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4.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5.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6.xml" ContentType="application/vnd.openxmlformats-officedocument.spreadsheetml.comments+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comments7.xml" ContentType="application/vnd.openxmlformats-officedocument.spreadsheetml.comments+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comments8.xml" ContentType="application/vnd.openxmlformats-officedocument.spreadsheetml.comments+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comments9.xml" ContentType="application/vnd.openxmlformats-officedocument.spreadsheetml.comments+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comments10.xml" ContentType="application/vnd.openxmlformats-officedocument.spreadsheetml.comments+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comments11.xml" ContentType="application/vnd.openxmlformats-officedocument.spreadsheetml.comments+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comments12.xml" ContentType="application/vnd.openxmlformats-officedocument.spreadsheetml.comments+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comments13.xml" ContentType="application/vnd.openxmlformats-officedocument.spreadsheetml.comments+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comments14.xml" ContentType="application/vnd.openxmlformats-officedocument.spreadsheetml.comments+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comments15.xml" ContentType="application/vnd.openxmlformats-officedocument.spreadsheetml.comments+xml"/>
  <Override PartName="/xl/drawings/drawing118.xml" ContentType="application/vnd.openxmlformats-officedocument.drawing+xml"/>
  <Override PartName="/xl/drawings/drawing119.xml" ContentType="application/vnd.openxmlformats-officedocument.drawing+xml"/>
  <Override PartName="/xl/comments16.xml" ContentType="application/vnd.openxmlformats-officedocument.spreadsheetml.comments+xml"/>
  <Override PartName="/xl/drawings/drawing120.xml" ContentType="application/vnd.openxmlformats-officedocument.drawing+xml"/>
  <Override PartName="/xl/drawings/drawing121.xml" ContentType="application/vnd.openxmlformats-officedocument.drawing+xml"/>
  <Override PartName="/xl/comments17.xml" ContentType="application/vnd.openxmlformats-officedocument.spreadsheetml.comments+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comments18.xml" ContentType="application/vnd.openxmlformats-officedocument.spreadsheetml.comments+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comments19.xml" ContentType="application/vnd.openxmlformats-officedocument.spreadsheetml.comments+xml"/>
  <Override PartName="/xl/drawings/drawing158.xml" ContentType="application/vnd.openxmlformats-officedocument.drawing+xml"/>
  <Override PartName="/xl/drawings/drawing159.xml" ContentType="application/vnd.openxmlformats-officedocument.drawing+xml"/>
  <Override PartName="/xl/comments20.xml" ContentType="application/vnd.openxmlformats-officedocument.spreadsheetml.comments+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comments21.xml" ContentType="application/vnd.openxmlformats-officedocument.spreadsheetml.comments+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comments22.xml" ContentType="application/vnd.openxmlformats-officedocument.spreadsheetml.comments+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comments23.xml" ContentType="application/vnd.openxmlformats-officedocument.spreadsheetml.comments+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comments24.xml" ContentType="application/vnd.openxmlformats-officedocument.spreadsheetml.comments+xml"/>
  <Override PartName="/xl/drawings/drawing188.xml" ContentType="application/vnd.openxmlformats-officedocument.drawing+xml"/>
  <Override PartName="/xl/drawings/drawing189.xml" ContentType="application/vnd.openxmlformats-officedocument.drawing+xml"/>
  <Override PartName="/xl/comments25.xml" ContentType="application/vnd.openxmlformats-officedocument.spreadsheetml.comments+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comments26.xml" ContentType="application/vnd.openxmlformats-officedocument.spreadsheetml.comments+xml"/>
  <Override PartName="/xl/drawings/drawing200.xml" ContentType="application/vnd.openxmlformats-officedocument.drawing+xml"/>
  <Override PartName="/xl/drawings/drawing201.xml" ContentType="application/vnd.openxmlformats-officedocument.drawing+xml"/>
  <Override PartName="/xl/comments27.xml" ContentType="application/vnd.openxmlformats-officedocument.spreadsheetml.comments+xml"/>
  <Override PartName="/xl/drawings/drawing202.xml" ContentType="application/vnd.openxmlformats-officedocument.drawing+xml"/>
  <Override PartName="/xl/drawings/drawing203.xml" ContentType="application/vnd.openxmlformats-officedocument.drawing+xml"/>
  <Override PartName="/xl/comments28.xml" ContentType="application/vnd.openxmlformats-officedocument.spreadsheetml.comments+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comments29.xml" ContentType="application/vnd.openxmlformats-officedocument.spreadsheetml.comments+xml"/>
  <Override PartName="/xl/drawings/drawing271.xml" ContentType="application/vnd.openxmlformats-officedocument.drawing+xml"/>
  <Override PartName="/xl/drawings/drawing272.xml" ContentType="application/vnd.openxmlformats-officedocument.drawing+xml"/>
  <Override PartName="/xl/comments30.xml" ContentType="application/vnd.openxmlformats-officedocument.spreadsheetml.comments+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xl/drawings/drawing327.xml" ContentType="application/vnd.openxmlformats-officedocument.drawing+xml"/>
  <Override PartName="/xl/drawings/drawing328.xml" ContentType="application/vnd.openxmlformats-officedocument.drawing+xml"/>
  <Override PartName="/xl/drawings/drawing329.xml" ContentType="application/vnd.openxmlformats-officedocument.drawing+xml"/>
  <Override PartName="/xl/drawings/drawing330.xml" ContentType="application/vnd.openxmlformats-officedocument.drawing+xml"/>
  <Override PartName="/xl/drawings/drawing331.xml" ContentType="application/vnd.openxmlformats-officedocument.drawing+xml"/>
  <Override PartName="/xl/drawings/drawing332.xml" ContentType="application/vnd.openxmlformats-officedocument.drawing+xml"/>
  <Override PartName="/xl/drawings/drawing333.xml" ContentType="application/vnd.openxmlformats-officedocument.drawing+xml"/>
  <Override PartName="/xl/drawings/drawing334.xml" ContentType="application/vnd.openxmlformats-officedocument.drawing+xml"/>
  <Override PartName="/xl/drawings/drawing335.xml" ContentType="application/vnd.openxmlformats-officedocument.drawing+xml"/>
  <Override PartName="/xl/drawings/drawing336.xml" ContentType="application/vnd.openxmlformats-officedocument.drawing+xml"/>
  <Override PartName="/xl/drawings/drawing337.xml" ContentType="application/vnd.openxmlformats-officedocument.drawing+xml"/>
  <Override PartName="/xl/drawings/drawing338.xml" ContentType="application/vnd.openxmlformats-officedocument.drawing+xml"/>
  <Override PartName="/xl/drawings/drawing339.xml" ContentType="application/vnd.openxmlformats-officedocument.drawing+xml"/>
  <Override PartName="/xl/drawings/drawing340.xml" ContentType="application/vnd.openxmlformats-officedocument.drawing+xml"/>
  <Override PartName="/xl/drawings/drawing341.xml" ContentType="application/vnd.openxmlformats-officedocument.drawing+xml"/>
  <Override PartName="/xl/drawings/drawing342.xml" ContentType="application/vnd.openxmlformats-officedocument.drawing+xml"/>
  <Override PartName="/xl/drawings/drawing343.xml" ContentType="application/vnd.openxmlformats-officedocument.drawing+xml"/>
  <Override PartName="/xl/drawings/drawing344.xml" ContentType="application/vnd.openxmlformats-officedocument.drawing+xml"/>
  <Override PartName="/xl/drawings/drawing345.xml" ContentType="application/vnd.openxmlformats-officedocument.drawing+xml"/>
  <Override PartName="/xl/drawings/drawing346.xml" ContentType="application/vnd.openxmlformats-officedocument.drawing+xml"/>
  <Override PartName="/xl/drawings/drawing347.xml" ContentType="application/vnd.openxmlformats-officedocument.drawing+xml"/>
  <Override PartName="/xl/drawings/drawing348.xml" ContentType="application/vnd.openxmlformats-officedocument.drawing+xml"/>
  <Override PartName="/xl/drawings/drawing349.xml" ContentType="application/vnd.openxmlformats-officedocument.drawing+xml"/>
  <Override PartName="/xl/drawings/drawing350.xml" ContentType="application/vnd.openxmlformats-officedocument.drawing+xml"/>
  <Override PartName="/xl/drawings/drawing351.xml" ContentType="application/vnd.openxmlformats-officedocument.drawing+xml"/>
  <Override PartName="/xl/drawings/drawing352.xml" ContentType="application/vnd.openxmlformats-officedocument.drawing+xml"/>
  <Override PartName="/xl/drawings/drawing353.xml" ContentType="application/vnd.openxmlformats-officedocument.drawing+xml"/>
  <Override PartName="/xl/drawings/drawing354.xml" ContentType="application/vnd.openxmlformats-officedocument.drawing+xml"/>
  <Override PartName="/xl/drawings/drawing355.xml" ContentType="application/vnd.openxmlformats-officedocument.drawing+xml"/>
  <Override PartName="/xl/drawings/drawing356.xml" ContentType="application/vnd.openxmlformats-officedocument.drawing+xml"/>
  <Override PartName="/xl/drawings/drawing357.xml" ContentType="application/vnd.openxmlformats-officedocument.drawing+xml"/>
  <Override PartName="/xl/drawings/drawing358.xml" ContentType="application/vnd.openxmlformats-officedocument.drawing+xml"/>
  <Override PartName="/xl/drawings/drawing359.xml" ContentType="application/vnd.openxmlformats-officedocument.drawing+xml"/>
  <Override PartName="/xl/drawings/drawing360.xml" ContentType="application/vnd.openxmlformats-officedocument.drawing+xml"/>
  <Override PartName="/xl/drawings/drawing361.xml" ContentType="application/vnd.openxmlformats-officedocument.drawing+xml"/>
  <Override PartName="/xl/drawings/drawing362.xml" ContentType="application/vnd.openxmlformats-officedocument.drawing+xml"/>
  <Override PartName="/xl/drawings/drawing363.xml" ContentType="application/vnd.openxmlformats-officedocument.drawing+xml"/>
  <Override PartName="/xl/drawings/drawing364.xml" ContentType="application/vnd.openxmlformats-officedocument.drawing+xml"/>
  <Override PartName="/xl/drawings/drawing365.xml" ContentType="application/vnd.openxmlformats-officedocument.drawing+xml"/>
  <Override PartName="/xl/drawings/drawing366.xml" ContentType="application/vnd.openxmlformats-officedocument.drawing+xml"/>
  <Override PartName="/xl/drawings/drawing367.xml" ContentType="application/vnd.openxmlformats-officedocument.drawing+xml"/>
  <Override PartName="/xl/drawings/drawing368.xml" ContentType="application/vnd.openxmlformats-officedocument.drawing+xml"/>
  <Override PartName="/xl/drawings/drawing369.xml" ContentType="application/vnd.openxmlformats-officedocument.drawing+xml"/>
  <Override PartName="/xl/drawings/drawing370.xml" ContentType="application/vnd.openxmlformats-officedocument.drawing+xml"/>
  <Override PartName="/xl/drawings/drawing371.xml" ContentType="application/vnd.openxmlformats-officedocument.drawing+xml"/>
  <Override PartName="/xl/drawings/drawing372.xml" ContentType="application/vnd.openxmlformats-officedocument.drawing+xml"/>
  <Override PartName="/xl/drawings/drawing373.xml" ContentType="application/vnd.openxmlformats-officedocument.drawing+xml"/>
  <Override PartName="/xl/drawings/drawing374.xml" ContentType="application/vnd.openxmlformats-officedocument.drawing+xml"/>
  <Override PartName="/xl/drawings/drawing375.xml" ContentType="application/vnd.openxmlformats-officedocument.drawing+xml"/>
  <Override PartName="/xl/drawings/drawing376.xml" ContentType="application/vnd.openxmlformats-officedocument.drawing+xml"/>
  <Override PartName="/xl/drawings/drawing377.xml" ContentType="application/vnd.openxmlformats-officedocument.drawing+xml"/>
  <Override PartName="/xl/drawings/drawing378.xml" ContentType="application/vnd.openxmlformats-officedocument.drawing+xml"/>
  <Override PartName="/xl/drawings/drawing379.xml" ContentType="application/vnd.openxmlformats-officedocument.drawing+xml"/>
  <Override PartName="/xl/drawings/drawing380.xml" ContentType="application/vnd.openxmlformats-officedocument.drawing+xml"/>
  <Override PartName="/xl/drawings/drawing381.xml" ContentType="application/vnd.openxmlformats-officedocument.drawing+xml"/>
  <Override PartName="/xl/drawings/drawing382.xml" ContentType="application/vnd.openxmlformats-officedocument.drawing+xml"/>
  <Override PartName="/xl/drawings/drawing383.xml" ContentType="application/vnd.openxmlformats-officedocument.drawing+xml"/>
  <Override PartName="/xl/drawings/drawing384.xml" ContentType="application/vnd.openxmlformats-officedocument.drawing+xml"/>
  <Override PartName="/xl/drawings/drawing385.xml" ContentType="application/vnd.openxmlformats-officedocument.drawing+xml"/>
  <Override PartName="/xl/drawings/drawing386.xml" ContentType="application/vnd.openxmlformats-officedocument.drawing+xml"/>
  <Override PartName="/xl/drawings/drawing387.xml" ContentType="application/vnd.openxmlformats-officedocument.drawing+xml"/>
  <Override PartName="/xl/drawings/drawing388.xml" ContentType="application/vnd.openxmlformats-officedocument.drawing+xml"/>
  <Override PartName="/xl/drawings/drawing389.xml" ContentType="application/vnd.openxmlformats-officedocument.drawing+xml"/>
  <Override PartName="/xl/drawings/drawing390.xml" ContentType="application/vnd.openxmlformats-officedocument.drawing+xml"/>
  <Override PartName="/xl/drawings/drawing391.xml" ContentType="application/vnd.openxmlformats-officedocument.drawing+xml"/>
  <Override PartName="/xl/drawings/drawing392.xml" ContentType="application/vnd.openxmlformats-officedocument.drawing+xml"/>
  <Override PartName="/xl/drawings/drawing393.xml" ContentType="application/vnd.openxmlformats-officedocument.drawing+xml"/>
  <Override PartName="/xl/drawings/drawing394.xml" ContentType="application/vnd.openxmlformats-officedocument.drawing+xml"/>
  <Override PartName="/xl/drawings/drawing395.xml" ContentType="application/vnd.openxmlformats-officedocument.drawing+xml"/>
  <Override PartName="/xl/drawings/drawing396.xml" ContentType="application/vnd.openxmlformats-officedocument.drawing+xml"/>
  <Override PartName="/xl/drawings/drawing397.xml" ContentType="application/vnd.openxmlformats-officedocument.drawing+xml"/>
  <Override PartName="/xl/drawings/drawing398.xml" ContentType="application/vnd.openxmlformats-officedocument.drawing+xml"/>
  <Override PartName="/xl/drawings/drawing399.xml" ContentType="application/vnd.openxmlformats-officedocument.drawing+xml"/>
  <Override PartName="/xl/drawings/drawing400.xml" ContentType="application/vnd.openxmlformats-officedocument.drawing+xml"/>
  <Override PartName="/xl/drawings/drawing401.xml" ContentType="application/vnd.openxmlformats-officedocument.drawing+xml"/>
  <Override PartName="/xl/drawings/drawing402.xml" ContentType="application/vnd.openxmlformats-officedocument.drawing+xml"/>
  <Override PartName="/xl/drawings/drawing403.xml" ContentType="application/vnd.openxmlformats-officedocument.drawing+xml"/>
  <Override PartName="/xl/drawings/drawing404.xml" ContentType="application/vnd.openxmlformats-officedocument.drawing+xml"/>
  <Override PartName="/xl/drawings/drawing405.xml" ContentType="application/vnd.openxmlformats-officedocument.drawing+xml"/>
  <Override PartName="/xl/drawings/drawing406.xml" ContentType="application/vnd.openxmlformats-officedocument.drawing+xml"/>
  <Override PartName="/xl/drawings/drawing407.xml" ContentType="application/vnd.openxmlformats-officedocument.drawing+xml"/>
  <Override PartName="/xl/drawings/drawing408.xml" ContentType="application/vnd.openxmlformats-officedocument.drawing+xml"/>
  <Override PartName="/xl/drawings/drawing409.xml" ContentType="application/vnd.openxmlformats-officedocument.drawing+xml"/>
  <Override PartName="/xl/drawings/drawing410.xml" ContentType="application/vnd.openxmlformats-officedocument.drawing+xml"/>
  <Override PartName="/xl/drawings/drawing411.xml" ContentType="application/vnd.openxmlformats-officedocument.drawing+xml"/>
  <Override PartName="/xl/drawings/drawing412.xml" ContentType="application/vnd.openxmlformats-officedocument.drawing+xml"/>
  <Override PartName="/xl/drawings/drawing413.xml" ContentType="application/vnd.openxmlformats-officedocument.drawing+xml"/>
  <Override PartName="/xl/drawings/drawing414.xml" ContentType="application/vnd.openxmlformats-officedocument.drawing+xml"/>
  <Override PartName="/xl/drawings/drawing415.xml" ContentType="application/vnd.openxmlformats-officedocument.drawing+xml"/>
  <Override PartName="/xl/drawings/drawing416.xml" ContentType="application/vnd.openxmlformats-officedocument.drawing+xml"/>
  <Override PartName="/xl/drawings/drawing417.xml" ContentType="application/vnd.openxmlformats-officedocument.drawing+xml"/>
  <Override PartName="/xl/drawings/drawing418.xml" ContentType="application/vnd.openxmlformats-officedocument.drawing+xml"/>
  <Override PartName="/xl/drawings/drawing419.xml" ContentType="application/vnd.openxmlformats-officedocument.drawing+xml"/>
  <Override PartName="/xl/drawings/drawing420.xml" ContentType="application/vnd.openxmlformats-officedocument.drawing+xml"/>
  <Override PartName="/xl/drawings/drawing421.xml" ContentType="application/vnd.openxmlformats-officedocument.drawing+xml"/>
  <Override PartName="/xl/drawings/drawing4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autoCompressPictures="0"/>
  <mc:AlternateContent xmlns:mc="http://schemas.openxmlformats.org/markup-compatibility/2006">
    <mc:Choice Requires="x15">
      <x15ac:absPath xmlns:x15ac="http://schemas.microsoft.com/office/spreadsheetml/2010/11/ac" url="C:\xampp\htdocs\casai\components\migracion\"/>
    </mc:Choice>
  </mc:AlternateContent>
  <bookViews>
    <workbookView xWindow="6912" yWindow="-336" windowWidth="12288" windowHeight="8136" tabRatio="887" activeTab="5"/>
  </bookViews>
  <sheets>
    <sheet name="MEDICION EJECUCION" sheetId="90" r:id="rId1"/>
    <sheet name="BASE DATOS" sheetId="91" r:id="rId2"/>
    <sheet name="gestores" sheetId="316" r:id="rId3"/>
    <sheet name="RESUMEN" sheetId="261" r:id="rId4"/>
    <sheet name="17-013" sheetId="317" r:id="rId5"/>
    <sheet name="OT17-013  CHÍA AMPLIACIÓN" sheetId="187" r:id="rId6"/>
    <sheet name="17-021" sheetId="633" r:id="rId7"/>
    <sheet name="OT17-021 CONCORDIA DR Y CN" sheetId="263" r:id="rId8"/>
    <sheet name="17-031" sheetId="634" r:id="rId9"/>
    <sheet name="OT17-031 CALLE 67 REP PROT" sheetId="484" r:id="rId10"/>
    <sheet name="17-043" sheetId="635" r:id="rId11"/>
    <sheet name="OT17-043 VICTORIA PTES D1 D2" sheetId="486" r:id="rId12"/>
    <sheet name="17-045" sheetId="636" r:id="rId13"/>
    <sheet name="OT17-045 VICTORIA CONT Y PR" sheetId="266" r:id="rId14"/>
    <sheet name="17-046" sheetId="637" r:id="rId15"/>
    <sheet name="OT17-046 VICTORIA POTENCIA" sheetId="488" r:id="rId16"/>
    <sheet name="17-047" sheetId="638" r:id="rId17"/>
    <sheet name="OT-047 MORATO AS BUILT" sheetId="526" r:id="rId18"/>
    <sheet name="17-048" sheetId="639" r:id="rId19"/>
    <sheet name="OT17-048 TECHO PLANOS AS BUILT" sheetId="527" r:id="rId20"/>
    <sheet name="17-098" sheetId="641" r:id="rId21"/>
    <sheet name="OT17-098 LA PAZ CTO TELAS" sheetId="209" r:id="rId22"/>
    <sheet name="17-108" sheetId="642" r:id="rId23"/>
    <sheet name="OT17-108 TOCANCIPÁ AMPLIACIÓN" sheetId="495" r:id="rId24"/>
    <sheet name="17-120" sheetId="644" r:id="rId25"/>
    <sheet name="OT17-120 GRAN SABANA COD MED" sheetId="497" r:id="rId26"/>
    <sheet name="17-111" sheetId="992" r:id="rId27"/>
    <sheet name="OT17-111 CIRCO COD MED TOP" sheetId="991" r:id="rId28"/>
    <sheet name="17-129" sheetId="645" r:id="rId29"/>
    <sheet name="OT17-129 BALSILLAS COD MEDIDA" sheetId="501" r:id="rId30"/>
    <sheet name="17-136" sheetId="647" r:id="rId31"/>
    <sheet name="OT17-136 ZIPAQUIRÁ" sheetId="502" r:id="rId32"/>
    <sheet name="17-139" sheetId="648" r:id="rId33"/>
    <sheet name="OT17-139 EL SOL CIVILES" sheetId="282" r:id="rId34"/>
    <sheet name="17-142" sheetId="650" r:id="rId35"/>
    <sheet name="OT17-142 LT SAN JOSÉ-CONCOR" sheetId="283" r:id="rId36"/>
    <sheet name="17-152" sheetId="651" r:id="rId37"/>
    <sheet name="OT17-152 SATÉLITE SIMP ROSARIO" sheetId="504" r:id="rId38"/>
    <sheet name="17-153" sheetId="652" r:id="rId39"/>
    <sheet name="OT17-153 SATÉLITE SIMP MAGDALEN" sheetId="508" r:id="rId40"/>
    <sheet name="17-155" sheetId="653" r:id="rId41"/>
    <sheet name="OT17-155 TOCANCIPÁ PROVISIONAL" sheetId="509" r:id="rId42"/>
    <sheet name="17-157" sheetId="954" r:id="rId43"/>
    <sheet name="OT17-157 ESPERANZA" sheetId="955" r:id="rId44"/>
    <sheet name="17-158" sheetId="956" r:id="rId45"/>
    <sheet name="OT17-158 JURATENA" sheetId="957" r:id="rId46"/>
    <sheet name="17-169" sheetId="659" r:id="rId47"/>
    <sheet name="OT17-169 LLANOS COD MEDIDA" sheetId="512" r:id="rId48"/>
    <sheet name="17-170" sheetId="660" r:id="rId49"/>
    <sheet name="OT17-170 INDUMIL- NVA ESPERANZA" sheetId="529" r:id="rId50"/>
    <sheet name="17-172" sheetId="661" r:id="rId51"/>
    <sheet name="OT17-172 - NORTE" sheetId="593" r:id="rId52"/>
    <sheet name="17-173" sheetId="662" r:id="rId53"/>
    <sheet name="OT17-173 MORATO ING BÁSICA" sheetId="514" r:id="rId54"/>
    <sheet name="17-174" sheetId="663" r:id="rId55"/>
    <sheet name="OT17-174 USAQUEN ING BÁSICA" sheetId="330" r:id="rId56"/>
    <sheet name="17-178" sheetId="857" r:id="rId57"/>
    <sheet name="OT17-178 BALSILLAS COD MEDIDA" sheetId="858" r:id="rId58"/>
    <sheet name="17-179" sheetId="664" r:id="rId59"/>
    <sheet name="OT17-179 EL SOL REV DE ING" sheetId="430" r:id="rId60"/>
    <sheet name="17-184" sheetId="667" r:id="rId61"/>
    <sheet name="OT17-184 LLTT TERMINAL" sheetId="303" r:id="rId62"/>
    <sheet name="17-186" sheetId="668" r:id="rId63"/>
    <sheet name="OT17-186 MUÑA III" sheetId="531" r:id="rId64"/>
    <sheet name="17-187" sheetId="669" r:id="rId65"/>
    <sheet name="OT17-187 GUACA" sheetId="393" r:id="rId66"/>
    <sheet name="17-189" sheetId="670" r:id="rId67"/>
    <sheet name="OT17-189 CUCUNUBÁ" sheetId="516" r:id="rId68"/>
    <sheet name="17-198" sheetId="859" r:id="rId69"/>
    <sheet name="OT17-198 SESQUILE AS BUILT" sheetId="860" r:id="rId70"/>
    <sheet name="17-199" sheetId="674" r:id="rId71"/>
    <sheet name="OT17-199 VILLETA REP PROTEC" sheetId="432" r:id="rId72"/>
    <sheet name="17-200" sheetId="675" r:id="rId73"/>
    <sheet name="OT17-200 LA PAZ REP PROTEC" sheetId="434" r:id="rId74"/>
    <sheet name="17-207" sheetId="681" r:id="rId75"/>
    <sheet name="OT17-207 INDUMIL" sheetId="259" r:id="rId76"/>
    <sheet name="17-225" sheetId="687" r:id="rId77"/>
    <sheet name="OT17-225 LT DOR GUA CONEX GUAD " sheetId="398" r:id="rId78"/>
    <sheet name="17-227" sheetId="689" r:id="rId79"/>
    <sheet name="OT17-227 BACATÁ VALIDA DISEÑO" sheetId="445" r:id="rId80"/>
    <sheet name="17-232" sheetId="690" r:id="rId81"/>
    <sheet name="OT17-232 NOROESTE" sheetId="399" r:id="rId82"/>
    <sheet name="17-236" sheetId="693" r:id="rId83"/>
    <sheet name="OT17-236 MUÑA AS BUILT" sheetId="447" r:id="rId84"/>
    <sheet name="17-237" sheetId="694" r:id="rId85"/>
    <sheet name="OT17-237 FONTIBÓN AS BUILT" sheetId="400" r:id="rId86"/>
    <sheet name="17-238" sheetId="695" r:id="rId87"/>
    <sheet name="OT17-238 LT SJ CN CIM ESP" sheetId="540" r:id="rId88"/>
    <sheet name="17-243" sheetId="698" r:id="rId89"/>
    <sheet name="OT17-243 VICTORIA 34,5 kV" sheetId="542" r:id="rId90"/>
    <sheet name="17-250" sheetId="703" r:id="rId91"/>
    <sheet name="OT17-250 VILLA PINZON" sheetId="455" r:id="rId92"/>
    <sheet name="17-258" sheetId="710" r:id="rId93"/>
    <sheet name="OT17-258 VILLA PINZON" sheetId="548" r:id="rId94"/>
    <sheet name="17-259" sheetId="711" r:id="rId95"/>
    <sheet name="OT17-259 CAJICA" sheetId="461" r:id="rId96"/>
    <sheet name="17-260" sheetId="712" r:id="rId97"/>
    <sheet name="OT17-260 LT COMPARTIR" sheetId="596" r:id="rId98"/>
    <sheet name="17-263" sheetId="714" r:id="rId99"/>
    <sheet name="OT17-263 CALLE 51" sheetId="550" r:id="rId100"/>
    <sheet name="17-265" sheetId="716" r:id="rId101"/>
    <sheet name="OT17-265 CHARQUITO ADIC" sheetId="551" r:id="rId102"/>
    <sheet name="17-269" sheetId="720" r:id="rId103"/>
    <sheet name="OT17-269 ESPERANZA" sheetId="554" r:id="rId104"/>
    <sheet name="17-270" sheetId="721" r:id="rId105"/>
    <sheet name="OT17-270 JURATENA" sheetId="555" r:id="rId106"/>
    <sheet name="17-279" sheetId="728" r:id="rId107"/>
    <sheet name="OT17-279 SANTANDERCITO" sheetId="562" r:id="rId108"/>
    <sheet name="17-280" sheetId="729" r:id="rId109"/>
    <sheet name="OT17-280 CÁQUEZA ILUMINA INTER" sheetId="563" r:id="rId110"/>
    <sheet name="17-282" sheetId="731" r:id="rId111"/>
    <sheet name="OT17-282 LA DORADA IN-OUT" sheetId="565" r:id="rId112"/>
    <sheet name="17-283" sheetId="732" r:id="rId113"/>
    <sheet name="OT17-283 NAMAY ENTRADA SALID" sheetId="566" r:id="rId114"/>
    <sheet name="17-284" sheetId="733" r:id="rId115"/>
    <sheet name="OT17-284 PARAMO ALTO ENTRA SALI" sheetId="567" r:id="rId116"/>
    <sheet name="17-285" sheetId="734" r:id="rId117"/>
    <sheet name="OT17-285 TRES ESQUINAS" sheetId="568" r:id="rId118"/>
    <sheet name="17-286" sheetId="735" r:id="rId119"/>
    <sheet name="OT17-286 VIANÍ ENTRADA SALID" sheetId="569" r:id="rId120"/>
    <sheet name="17-287" sheetId="736" r:id="rId121"/>
    <sheet name="OT17-287 EL PEÑON IN-OUT" sheetId="570" r:id="rId122"/>
    <sheet name="17-288" sheetId="737" r:id="rId123"/>
    <sheet name="OT17-288 CAPARRAPÍ" sheetId="571" r:id="rId124"/>
    <sheet name="17-290" sheetId="738" r:id="rId125"/>
    <sheet name="OT17-290 LT ZP UB PELDAR" sheetId="573" r:id="rId126"/>
    <sheet name="17-292" sheetId="740" r:id="rId127"/>
    <sheet name="OT17-292 SAN MATEO" sheetId="575" r:id="rId128"/>
    <sheet name="17-298" sheetId="744" r:id="rId129"/>
    <sheet name="OT17-298 ANOLAIMA " sheetId="598" r:id="rId130"/>
    <sheet name="17-299" sheetId="745" r:id="rId131"/>
    <sheet name="OT17-299 ALBÁN" sheetId="599" r:id="rId132"/>
    <sheet name="17-300" sheetId="746" r:id="rId133"/>
    <sheet name="OT17-300 SAN JORGE" sheetId="600" r:id="rId134"/>
    <sheet name="17-301" sheetId="747" r:id="rId135"/>
    <sheet name="OT17-301 CHINAUTA" sheetId="601" r:id="rId136"/>
    <sheet name="17-302" sheetId="748" r:id="rId137"/>
    <sheet name="OT17-302 TOCAIMA" sheetId="602" r:id="rId138"/>
    <sheet name="17-303" sheetId="749" r:id="rId139"/>
    <sheet name="OT17-303 TAMARINDO" sheetId="603" r:id="rId140"/>
    <sheet name="17-304" sheetId="750" r:id="rId141"/>
    <sheet name="OT17-304 MESA" sheetId="604" r:id="rId142"/>
    <sheet name="17-305" sheetId="751" r:id="rId143"/>
    <sheet name="OT17-305 JMCÓRDOBA" sheetId="605" r:id="rId144"/>
    <sheet name="17-306" sheetId="752" r:id="rId145"/>
    <sheet name="OT17-306 EL HOBAL" sheetId="595" r:id="rId146"/>
    <sheet name="17-307" sheetId="753" r:id="rId147"/>
    <sheet name="OT17-307 APULO" sheetId="606" r:id="rId148"/>
    <sheet name="17-308" sheetId="754" r:id="rId149"/>
    <sheet name="OT17-308 TORIBA" sheetId="607" r:id="rId150"/>
    <sheet name="17-309" sheetId="755" r:id="rId151"/>
    <sheet name="OT17-309 PTO SALGAR" sheetId="608" r:id="rId152"/>
    <sheet name="17-310" sheetId="756" r:id="rId153"/>
    <sheet name="OT17-310 GUADUAS" sheetId="609" r:id="rId154"/>
    <sheet name="17-311" sheetId="757" r:id="rId155"/>
    <sheet name="OT17-311 RIONEGRITO" sheetId="610" r:id="rId156"/>
    <sheet name="17-312" sheetId="758" r:id="rId157"/>
    <sheet name="OT17-312 FONTIBÓN" sheetId="611" r:id="rId158"/>
    <sheet name="17-313" sheetId="759" r:id="rId159"/>
    <sheet name="OT17-313 BOLIVIA" sheetId="612" r:id="rId160"/>
    <sheet name="17-318" sheetId="761" r:id="rId161"/>
    <sheet name="OT17-318 FONTIBÓN " sheetId="615" r:id="rId162"/>
    <sheet name="17-332" sheetId="764" r:id="rId163"/>
    <sheet name="OT17-332 CÁQUEZA" sheetId="620" r:id="rId164"/>
    <sheet name="17-333" sheetId="765" r:id="rId165"/>
    <sheet name="OT17-333 CONCORDIA" sheetId="591" r:id="rId166"/>
    <sheet name="17-334" sheetId="766" r:id="rId167"/>
    <sheet name="OT17-334 VICTORIA " sheetId="630" r:id="rId168"/>
    <sheet name="17-335" sheetId="767" r:id="rId169"/>
    <sheet name="OT17-335 VICTORIA TAB REG" sheetId="621" r:id="rId170"/>
    <sheet name="17-337" sheetId="769" r:id="rId171"/>
    <sheet name="OT17-337 LLTT TERMOZIPA - AGAFA" sheetId="631" r:id="rId172"/>
    <sheet name="17-339" sheetId="771" r:id="rId173"/>
    <sheet name="OT17-339 CALLE 51" sheetId="624" r:id="rId174"/>
    <sheet name="17-341" sheetId="772" r:id="rId175"/>
    <sheet name="OT17-341 BOLIVIA" sheetId="625" r:id="rId176"/>
    <sheet name="17-342" sheetId="773" r:id="rId177"/>
    <sheet name="OT17-342 TORCA" sheetId="626" r:id="rId178"/>
    <sheet name="17-349" sheetId="856" r:id="rId179"/>
    <sheet name="OT17-349 TERMOZIPA" sheetId="777" r:id="rId180"/>
    <sheet name="17-359" sheetId="825" r:id="rId181"/>
    <sheet name="OT17-359 LA PITALA" sheetId="786" r:id="rId182"/>
    <sheet name="17-365" sheetId="830" r:id="rId183"/>
    <sheet name="OT17-365 LA SALADA" sheetId="791" r:id="rId184"/>
    <sheet name="17-367" sheetId="832" r:id="rId185"/>
    <sheet name="OT17-367 VICTORIA" sheetId="793" r:id="rId186"/>
    <sheet name="17-370" sheetId="835" r:id="rId187"/>
    <sheet name="OT17-370 - LLTT GUAVIO - UBALA" sheetId="796" r:id="rId188"/>
    <sheet name="17-371" sheetId="836" r:id="rId189"/>
    <sheet name="OT17-371 VICTORIA" sheetId="797" r:id="rId190"/>
    <sheet name="17-372" sheetId="837" r:id="rId191"/>
    <sheet name="OT17-372 IN CH" sheetId="798" r:id="rId192"/>
    <sheet name="17-377" sheetId="842" r:id="rId193"/>
    <sheet name="OT17-377 VIOTA IN-OUT" sheetId="803" r:id="rId194"/>
    <sheet name="17-378" sheetId="843" r:id="rId195"/>
    <sheet name="OT17-378 AUTOPISTA" sheetId="804" r:id="rId196"/>
    <sheet name="17-379" sheetId="844" r:id="rId197"/>
    <sheet name="OT17-379 EL SOL" sheetId="805" r:id="rId198"/>
    <sheet name="17-382" sheetId="847" r:id="rId199"/>
    <sheet name="OT17-382 CASTELLANA" sheetId="808" r:id="rId200"/>
    <sheet name="17-383" sheetId="848" r:id="rId201"/>
    <sheet name="OT17-383 BALMORAL" sheetId="809" r:id="rId202"/>
    <sheet name="17-384" sheetId="849" r:id="rId203"/>
    <sheet name="OT17-384 LOS MANGOS" sheetId="810" r:id="rId204"/>
    <sheet name="17-385" sheetId="850" r:id="rId205"/>
    <sheet name="OT17-385 EL PEÑÓN " sheetId="811" r:id="rId206"/>
    <sheet name="17-386" sheetId="851" r:id="rId207"/>
    <sheet name="OT17-386 CHOACHÍ" sheetId="812" r:id="rId208"/>
    <sheet name="17-387" sheetId="852" r:id="rId209"/>
    <sheet name="OT17-387 MOSQUERA " sheetId="813" r:id="rId210"/>
    <sheet name="17-390" sheetId="855" r:id="rId211"/>
    <sheet name="OT17-390 FONTIBÓN " sheetId="816" r:id="rId212"/>
    <sheet name="17-391" sheetId="958" r:id="rId213"/>
    <sheet name="OT17-391 LA GUACA" sheetId="865" r:id="rId214"/>
    <sheet name="17-393" sheetId="959" r:id="rId215"/>
    <sheet name="OT 17-393 EL SOL R1" sheetId="867" r:id="rId216"/>
    <sheet name="17-394" sheetId="932" r:id="rId217"/>
    <sheet name="OT17-394 BACATÁ" sheetId="869" r:id="rId218"/>
    <sheet name="17-395" sheetId="931" r:id="rId219"/>
    <sheet name="OT 17-395 TECHO" sheetId="868" r:id="rId220"/>
    <sheet name="17-396" sheetId="930" r:id="rId221"/>
    <sheet name="OT 17-396 VICTORIA" sheetId="871" r:id="rId222"/>
    <sheet name="17-397" sheetId="1102" r:id="rId223"/>
    <sheet name="OT17-397 FLORIDA ASBUILT" sheetId="872" r:id="rId224"/>
    <sheet name="17-398" sheetId="960" r:id="rId225"/>
    <sheet name="OT17-398 CASTELLANA AS BUILT" sheetId="873" r:id="rId226"/>
    <sheet name="17-399" sheetId="1101" r:id="rId227"/>
    <sheet name="OT17-399 CHICALA AS BUILT" sheetId="874" r:id="rId228"/>
    <sheet name="17-400" sheetId="961" r:id="rId229"/>
    <sheet name="OT17-400 CALLE PRIMERA AS BUIL" sheetId="875" r:id="rId230"/>
    <sheet name="17-401" sheetId="962" r:id="rId231"/>
    <sheet name="OT17-401 BOSA DIS. INT." sheetId="876" r:id="rId232"/>
    <sheet name="17-402" sheetId="963" r:id="rId233"/>
    <sheet name="OT17-402 CALLE51" sheetId="880" r:id="rId234"/>
    <sheet name="17-403" sheetId="964" r:id="rId235"/>
    <sheet name="OT17-403 FONTIBÓN INT" sheetId="877" r:id="rId236"/>
    <sheet name="17-404" sheetId="965" r:id="rId237"/>
    <sheet name="OT17-404 MOSQUERA INT" sheetId="878" r:id="rId238"/>
    <sheet name="17-405" sheetId="1103" r:id="rId239"/>
    <sheet name="OT17-405 MUÑA INT." sheetId="879" r:id="rId240"/>
    <sheet name="17-406" sheetId="966" r:id="rId241"/>
    <sheet name="OT17-406 DIAMANTE SSAA" sheetId="881" r:id="rId242"/>
    <sheet name="17-407" sheetId="967" r:id="rId243"/>
    <sheet name="OT17-407 DIAMANTE MEDIDA SSAA" sheetId="882" r:id="rId244"/>
    <sheet name="17-408" sheetId="968" r:id="rId245"/>
    <sheet name="OT17-408 LA ISLA SSAA" sheetId="883" r:id="rId246"/>
    <sheet name="17-409" sheetId="969" r:id="rId247"/>
    <sheet name="OT117-409 LA ISLA MEDIDA" sheetId="884" r:id="rId248"/>
    <sheet name="17-410" sheetId="929" r:id="rId249"/>
    <sheet name="OT17-410 FACA MINI MANTIS" sheetId="885" r:id="rId250"/>
    <sheet name="17-411" sheetId="928" r:id="rId251"/>
    <sheet name="OT17-411 SAUCES MINI MANTIS" sheetId="886" r:id="rId252"/>
    <sheet name="17-412" sheetId="970" r:id="rId253"/>
    <sheet name="OT17-412 TENJO MINI MANTIS" sheetId="887" r:id="rId254"/>
    <sheet name="17-413" sheetId="927" r:id="rId255"/>
    <sheet name="OT17-413 SALITRE MEDIDA " sheetId="888" r:id="rId256"/>
    <sheet name="17-414" sheetId="925" r:id="rId257"/>
    <sheet name="OT17-414 SUBA MINI  MANTIS" sheetId="889" r:id="rId258"/>
    <sheet name="17-415" sheetId="971" r:id="rId259"/>
    <sheet name="OT17-415 CASTELLANA AS BUILT" sheetId="890" r:id="rId260"/>
    <sheet name="17-419" sheetId="972" r:id="rId261"/>
    <sheet name="OT17-419 SALTO I " sheetId="893" r:id="rId262"/>
    <sheet name="17-421" sheetId="973" r:id="rId263"/>
    <sheet name="OT17-421 CIRCO ADICIONALES" sheetId="895" r:id="rId264"/>
    <sheet name="17-422" sheetId="974" r:id="rId265"/>
    <sheet name="OT17-422 SESQUILE REP. INT" sheetId="896" r:id="rId266"/>
    <sheet name="17-423" sheetId="921" r:id="rId267"/>
    <sheet name="OT17-423 BALSILLAS ADICIONAL " sheetId="897" r:id="rId268"/>
    <sheet name="17-425" sheetId="975" r:id="rId269"/>
    <sheet name="OT17-425 SAN JOSÉ MIN " sheetId="899" r:id="rId270"/>
    <sheet name="17-427" sheetId="976" r:id="rId271"/>
    <sheet name="OT17-427 LT BALSILLAS FACA " sheetId="902" r:id="rId272"/>
    <sheet name="17-428" sheetId="1104" r:id="rId273"/>
    <sheet name="OT17-428 BALSILLAS AS BUILT" sheetId="903" r:id="rId274"/>
    <sheet name="OT17-429 LA GUACA AS BUILT" sheetId="905" r:id="rId275"/>
    <sheet name="OT17-431 VERGUAS AS BUILT" sheetId="906" r:id="rId276"/>
    <sheet name="OT17-432 USQUEN AS BUILT" sheetId="907" r:id="rId277"/>
    <sheet name="OT17-433 SIMIJACA AS BUILT" sheetId="908" r:id="rId278"/>
    <sheet name="OT17-434 MOSQUERA AS BUILT" sheetId="909" r:id="rId279"/>
    <sheet name="OT17-435 UBATE ASBUILT" sheetId="910" r:id="rId280"/>
    <sheet name="OT17-436 LA PAZ ASBUILT" sheetId="911" r:id="rId281"/>
    <sheet name="OT17-437 SALITRE ASBUILT" sheetId="912" r:id="rId282"/>
    <sheet name="17-438" sheetId="918" r:id="rId283"/>
    <sheet name="OT17-438 CÓDIGO ZONA SUR" sheetId="913" r:id="rId284"/>
    <sheet name="17-439" sheetId="917" r:id="rId285"/>
    <sheet name="OT17-439 CÓDIGO ZONA NORTE" sheetId="914" r:id="rId286"/>
    <sheet name="17-440" sheetId="977" r:id="rId287"/>
    <sheet name="OT17-440 LLTT DO GU EST 533" sheetId="915" r:id="rId288"/>
    <sheet name="17-441" sheetId="978" r:id="rId289"/>
    <sheet name="OT17-441 GUACHETA" sheetId="916" r:id="rId290"/>
    <sheet name="18-001" sheetId="979" r:id="rId291"/>
    <sheet name="OT18-001 FONTIBÓN" sheetId="936" r:id="rId292"/>
    <sheet name="18-002" sheetId="1105" r:id="rId293"/>
    <sheet name="OT18-002 VIANÍ" sheetId="937" r:id="rId294"/>
    <sheet name="18-003" sheetId="1106" r:id="rId295"/>
    <sheet name="OT18-003 REP PROT DES NOCT" sheetId="938" r:id="rId296"/>
    <sheet name="18-004" sheetId="980" r:id="rId297"/>
    <sheet name="OT18-004 AUTOPISTA" sheetId="939" r:id="rId298"/>
    <sheet name="18-005" sheetId="1107" r:id="rId299"/>
    <sheet name="OT18-005 VERAGUAS" sheetId="940" r:id="rId300"/>
    <sheet name="18-006" sheetId="1108" r:id="rId301"/>
    <sheet name="OT18-006 BOLIVIA " sheetId="941" r:id="rId302"/>
    <sheet name="18-007" sheetId="1109" r:id="rId303"/>
    <sheet name="OT18-007 TECHO" sheetId="942" r:id="rId304"/>
    <sheet name="18-008" sheetId="988" r:id="rId305"/>
    <sheet name="OT18-008 TUNAL" sheetId="987" r:id="rId306"/>
    <sheet name="18-009" sheetId="990" r:id="rId307"/>
    <sheet name="OT18-009 EL SOL R2" sheetId="989" r:id="rId308"/>
    <sheet name="18-010" sheetId="981" r:id="rId309"/>
    <sheet name="OT18-010 SIBERIA" sheetId="943" r:id="rId310"/>
    <sheet name="18-011" sheetId="1110" r:id="rId311"/>
    <sheet name="OT18-011 SIBERIA" sheetId="944" r:id="rId312"/>
    <sheet name="18-012" sheetId="1111" r:id="rId313"/>
    <sheet name="OT18-012 SUBACHOQUE" sheetId="945" r:id="rId314"/>
    <sheet name="18-013" sheetId="1112" r:id="rId315"/>
    <sheet name="OT18-013 SUBACHOQUE" sheetId="946" r:id="rId316"/>
    <sheet name="18-014" sheetId="1113" r:id="rId317"/>
    <sheet name="OT18-014 BALSILLAS" sheetId="947" r:id="rId318"/>
    <sheet name="18-015" sheetId="982" r:id="rId319"/>
    <sheet name="OT18-015 SAN CARLOS" sheetId="948" r:id="rId320"/>
    <sheet name="18-016" sheetId="983" r:id="rId321"/>
    <sheet name="OT18-016 TUNAL" sheetId="949" r:id="rId322"/>
    <sheet name="18-017" sheetId="984" r:id="rId323"/>
    <sheet name="OT18-017 LLTT GUADUERO" sheetId="950" r:id="rId324"/>
    <sheet name="18-018" sheetId="985" r:id="rId325"/>
    <sheet name="OT18-018 TUNAL" sheetId="951" r:id="rId326"/>
    <sheet name="18-019" sheetId="1114" r:id="rId327"/>
    <sheet name="OT18-019 SAN CARLOS AS BUILT  " sheetId="952" r:id="rId328"/>
    <sheet name="18-020" sheetId="986" r:id="rId329"/>
    <sheet name="OT18-020 LT COMPARTIR" sheetId="953" r:id="rId330"/>
    <sheet name="17-024" sheetId="996" r:id="rId331"/>
    <sheet name="OT18-024 CENTRO CHÍA" sheetId="995" r:id="rId332"/>
    <sheet name="OT18-025" sheetId="998" r:id="rId333"/>
    <sheet name="OT18-025 NAMAY " sheetId="997" r:id="rId334"/>
    <sheet name="OT18-026" sheetId="1005" r:id="rId335"/>
    <sheet name="OT18-026 SESQUILE" sheetId="1004" r:id="rId336"/>
    <sheet name="OT18-027" sheetId="1003" r:id="rId337"/>
    <sheet name="OT18-027 CHINAUTA" sheetId="1002" r:id="rId338"/>
    <sheet name="OT18-028" sheetId="1001" r:id="rId339"/>
    <sheet name="OT18-028 EL HOBAL" sheetId="1000" r:id="rId340"/>
    <sheet name="OT18-029" sheetId="1014" r:id="rId341"/>
    <sheet name="OT18-029 TAUSA" sheetId="1013" r:id="rId342"/>
    <sheet name="OT18-030" sheetId="1012" r:id="rId343"/>
    <sheet name="OT18-030 CONCORDIA" sheetId="1011" r:id="rId344"/>
    <sheet name="OT18-031" sheetId="1010" r:id="rId345"/>
    <sheet name="OT18-031 LA PAZ" sheetId="1009" r:id="rId346"/>
    <sheet name="OT18-032" sheetId="1008" r:id="rId347"/>
    <sheet name="OT18-032 SALITRE" sheetId="1007" r:id="rId348"/>
    <sheet name="OT18-033" sheetId="1006" r:id="rId349"/>
    <sheet name="OT18-033 SUBA" sheetId="1018" r:id="rId350"/>
    <sheet name="OT18-034" sheetId="1024" r:id="rId351"/>
    <sheet name="OT18-034 EL SOL" sheetId="1023" r:id="rId352"/>
    <sheet name="OT18-035" sheetId="1022" r:id="rId353"/>
    <sheet name="OT18-035 ZIPAQUIRA" sheetId="1021" r:id="rId354"/>
    <sheet name="OT18-036" sheetId="1020" r:id="rId355"/>
    <sheet name="OT18-036 NOROESTE" sheetId="1019" r:id="rId356"/>
    <sheet name="OT18-037" sheetId="1025" r:id="rId357"/>
    <sheet name="OT18-037 COMPARTIR" sheetId="1029" r:id="rId358"/>
    <sheet name="OT18-038" sheetId="1028" r:id="rId359"/>
    <sheet name="OT18-038 CAQUEZA" sheetId="1027" r:id="rId360"/>
    <sheet name="OT18-039" sheetId="1026" r:id="rId361"/>
    <sheet name="OT18-039 TECHO" sheetId="1017" r:id="rId362"/>
    <sheet name="OT18-040" sheetId="1016" r:id="rId363"/>
    <sheet name="OT18-040 AUTOPISTA" sheetId="1015" r:id="rId364"/>
    <sheet name="OT18-041" sheetId="1042" r:id="rId365"/>
    <sheet name="OT18-041 BOSANOVA" sheetId="1041" r:id="rId366"/>
    <sheet name="OT18-042" sheetId="1040" r:id="rId367"/>
    <sheet name="OT18-042 CASTELLANA" sheetId="1039" r:id="rId368"/>
    <sheet name="OT18-043" sheetId="1038" r:id="rId369"/>
    <sheet name="OT18-043 BOLIVIA" sheetId="1037" r:id="rId370"/>
    <sheet name="OT18-044" sheetId="1036" r:id="rId371"/>
    <sheet name="OT18-044 MORATO" sheetId="1035" r:id="rId372"/>
    <sheet name="OT18-045" sheetId="1034" r:id="rId373"/>
    <sheet name="OT18-045 VERAGUAS" sheetId="1033" r:id="rId374"/>
    <sheet name="OT18-046" sheetId="1032" r:id="rId375"/>
    <sheet name="OT18-046 BOLIVIA" sheetId="1031" r:id="rId376"/>
    <sheet name="OT18-047" sheetId="1048" r:id="rId377"/>
    <sheet name="OT18-047 FONTIBÓN" sheetId="1047" r:id="rId378"/>
    <sheet name="OT18-048" sheetId="1056" r:id="rId379"/>
    <sheet name="OT18-048 SALITRE" sheetId="1055" r:id="rId380"/>
    <sheet name="OT18-049" sheetId="1054" r:id="rId381"/>
    <sheet name="OT18-049 VARIAS" sheetId="1053" r:id="rId382"/>
    <sheet name="OT18-051" sheetId="1052" r:id="rId383"/>
    <sheet name="OT18-051 EL HOBAL" sheetId="1051" r:id="rId384"/>
    <sheet name="OT18-052" sheetId="1050" r:id="rId385"/>
    <sheet name="OT18-052 CABRERA" sheetId="1049" r:id="rId386"/>
    <sheet name="OT18-053" sheetId="1046" r:id="rId387"/>
    <sheet name="OT18-053 SIBERIA" sheetId="1045" r:id="rId388"/>
    <sheet name="OT18-054" sheetId="1044" r:id="rId389"/>
    <sheet name="OT18-054 CHINAUTA" sheetId="1043" r:id="rId390"/>
    <sheet name="OT18-055" sheetId="1030" r:id="rId391"/>
    <sheet name="OT18-055 SALITRE" sheetId="999" r:id="rId392"/>
    <sheet name="OT18-056" sheetId="1060" r:id="rId393"/>
    <sheet name="OT18-056 FACATATIVÁ" sheetId="1066" r:id="rId394"/>
    <sheet name="OT18-057" sheetId="1074" r:id="rId395"/>
    <sheet name="OT18-057 SUBA" sheetId="1089" r:id="rId396"/>
    <sheet name="OT18-058" sheetId="1088" r:id="rId397"/>
    <sheet name="OT18-058 TERMINAL" sheetId="1087" r:id="rId398"/>
    <sheet name="OT18-059" sheetId="1086" r:id="rId399"/>
    <sheet name="OT18-059 LOS MANGOS" sheetId="1085" r:id="rId400"/>
    <sheet name="OT18-060" sheetId="1084" r:id="rId401"/>
    <sheet name="OT18-060 LLTT ZIPAQUIRA -UP " sheetId="1083" r:id="rId402"/>
    <sheet name="OT18-061" sheetId="1082" r:id="rId403"/>
    <sheet name="OT18-061 GUACHETA" sheetId="1081" r:id="rId404"/>
    <sheet name="OT18-063" sheetId="1080" r:id="rId405"/>
    <sheet name="OT18-063 FONTIBÓN" sheetId="1079" r:id="rId406"/>
    <sheet name="OT18-064" sheetId="1078" r:id="rId407"/>
    <sheet name="OT18-064 COMPARTIR" sheetId="1077" r:id="rId408"/>
    <sheet name="OT18-065" sheetId="1076" r:id="rId409"/>
    <sheet name="OT18-065 SAN CAYETANO" sheetId="1073" r:id="rId410"/>
    <sheet name="OT18-066" sheetId="1072" r:id="rId411"/>
    <sheet name="OT18-066 TERRAZAS" sheetId="1071" r:id="rId412"/>
    <sheet name="OT18-067" sheetId="1070" r:id="rId413"/>
    <sheet name="OT18-067 SAN CAYETANO" sheetId="1069" r:id="rId414"/>
    <sheet name="OT18-068" sheetId="1068" r:id="rId415"/>
    <sheet name="OT18-068 VILLA PINZÓN" sheetId="1067" r:id="rId416"/>
    <sheet name="OT18-069" sheetId="1065" r:id="rId417"/>
    <sheet name="OT18-069 NORTE" sheetId="1064" r:id="rId418"/>
    <sheet name="OT18-070" sheetId="1063" r:id="rId419"/>
    <sheet name="OT18-070 SESQUILE" sheetId="1062" r:id="rId420"/>
    <sheet name="OT18-071" sheetId="1061" r:id="rId421"/>
    <sheet name="OT18-071 LLTT SIMIJACA " sheetId="1059" r:id="rId422"/>
    <sheet name="OT18-072" sheetId="1090" r:id="rId423"/>
    <sheet name="OT18-072 LLTT-DORADA" sheetId="1058" r:id="rId424"/>
    <sheet name="OT18-073" sheetId="1092" r:id="rId425"/>
    <sheet name="OT18-073 CALERA" sheetId="1100" r:id="rId426"/>
    <sheet name="OT18-074" sheetId="1099" r:id="rId427"/>
    <sheet name="OT18-074 LA PAZ" sheetId="1098" r:id="rId428"/>
    <sheet name="OT18-075" sheetId="1097" r:id="rId429"/>
    <sheet name="OT18-075 BOLIVIA" sheetId="1096" r:id="rId430"/>
    <sheet name="OT18-076" sheetId="1095" r:id="rId431"/>
    <sheet name="OT18-076 CHIA" sheetId="1094" r:id="rId432"/>
    <sheet name="OT18-077" sheetId="1093" r:id="rId433"/>
    <sheet name="OT18-077 CONCORDIA" sheetId="1091" r:id="rId434"/>
    <sheet name="INCENTIVOS JUL - SEP 17" sheetId="993" r:id="rId435"/>
    <sheet name="INCENTIVOS OCT - DIC 17" sheetId="994" r:id="rId436"/>
  </sheets>
  <externalReferences>
    <externalReference r:id="rId437"/>
  </externalReferences>
  <definedNames>
    <definedName name="_xlnm._FilterDatabase" localSheetId="1" hidden="1">'BASE DATOS'!$B$1:$J$992</definedName>
    <definedName name="_xlnm._FilterDatabase" localSheetId="2" hidden="1">gestores!#REF!</definedName>
    <definedName name="_xlnm._FilterDatabase" localSheetId="15" hidden="1">'OT17-046 VICTORIA POTENCIA'!$A$13:$AE$107</definedName>
    <definedName name="_xlnm._FilterDatabase" localSheetId="3" hidden="1">RESUMEN!$A$8:$AL$215</definedName>
    <definedName name="AA" localSheetId="6">#REF!</definedName>
    <definedName name="AA" localSheetId="330">#REF!</definedName>
    <definedName name="AA" localSheetId="8">#REF!</definedName>
    <definedName name="AA" localSheetId="10">#REF!</definedName>
    <definedName name="AA" localSheetId="12">#REF!</definedName>
    <definedName name="AA" localSheetId="14">#REF!</definedName>
    <definedName name="AA" localSheetId="16">#REF!</definedName>
    <definedName name="AA" localSheetId="18">#REF!</definedName>
    <definedName name="AA" localSheetId="20">#REF!</definedName>
    <definedName name="AA" localSheetId="22">#REF!</definedName>
    <definedName name="AA" localSheetId="26">#REF!</definedName>
    <definedName name="AA" localSheetId="24">#REF!</definedName>
    <definedName name="AA" localSheetId="28">#REF!</definedName>
    <definedName name="AA" localSheetId="30">#REF!</definedName>
    <definedName name="AA" localSheetId="32">#REF!</definedName>
    <definedName name="AA" localSheetId="34">#REF!</definedName>
    <definedName name="AA" localSheetId="36">#REF!</definedName>
    <definedName name="AA" localSheetId="38">#REF!</definedName>
    <definedName name="AA" localSheetId="40">#REF!</definedName>
    <definedName name="AA" localSheetId="42">#REF!</definedName>
    <definedName name="AA" localSheetId="44">#REF!</definedName>
    <definedName name="AA" localSheetId="46">#REF!</definedName>
    <definedName name="AA" localSheetId="48">#REF!</definedName>
    <definedName name="AA" localSheetId="50">#REF!</definedName>
    <definedName name="AA" localSheetId="52">#REF!</definedName>
    <definedName name="AA" localSheetId="54">#REF!</definedName>
    <definedName name="AA" localSheetId="56">#REF!</definedName>
    <definedName name="AA" localSheetId="58">#REF!</definedName>
    <definedName name="AA" localSheetId="60">#REF!</definedName>
    <definedName name="AA" localSheetId="62">#REF!</definedName>
    <definedName name="AA" localSheetId="64">#REF!</definedName>
    <definedName name="AA" localSheetId="66">#REF!</definedName>
    <definedName name="AA" localSheetId="68">#REF!</definedName>
    <definedName name="AA" localSheetId="70">#REF!</definedName>
    <definedName name="AA" localSheetId="72">#REF!</definedName>
    <definedName name="AA" localSheetId="74">#REF!</definedName>
    <definedName name="AA" localSheetId="76">#REF!</definedName>
    <definedName name="AA" localSheetId="78">#REF!</definedName>
    <definedName name="AA" localSheetId="80">#REF!</definedName>
    <definedName name="AA" localSheetId="82">#REF!</definedName>
    <definedName name="AA" localSheetId="84">#REF!</definedName>
    <definedName name="AA" localSheetId="86">#REF!</definedName>
    <definedName name="AA" localSheetId="88">#REF!</definedName>
    <definedName name="AA" localSheetId="90">#REF!</definedName>
    <definedName name="AA" localSheetId="92">#REF!</definedName>
    <definedName name="AA" localSheetId="94">#REF!</definedName>
    <definedName name="AA" localSheetId="96">#REF!</definedName>
    <definedName name="AA" localSheetId="98">#REF!</definedName>
    <definedName name="AA" localSheetId="100">#REF!</definedName>
    <definedName name="AA" localSheetId="102">#REF!</definedName>
    <definedName name="AA" localSheetId="104">#REF!</definedName>
    <definedName name="AA" localSheetId="106">#REF!</definedName>
    <definedName name="AA" localSheetId="108">#REF!</definedName>
    <definedName name="AA" localSheetId="110">#REF!</definedName>
    <definedName name="AA" localSheetId="112">#REF!</definedName>
    <definedName name="AA" localSheetId="114">#REF!</definedName>
    <definedName name="AA" localSheetId="116">#REF!</definedName>
    <definedName name="AA" localSheetId="118">#REF!</definedName>
    <definedName name="AA" localSheetId="120">#REF!</definedName>
    <definedName name="AA" localSheetId="122">#REF!</definedName>
    <definedName name="AA" localSheetId="124">#REF!</definedName>
    <definedName name="AA" localSheetId="126">#REF!</definedName>
    <definedName name="AA" localSheetId="128">#REF!</definedName>
    <definedName name="AA" localSheetId="130">#REF!</definedName>
    <definedName name="AA" localSheetId="132">#REF!</definedName>
    <definedName name="AA" localSheetId="134">#REF!</definedName>
    <definedName name="AA" localSheetId="136">#REF!</definedName>
    <definedName name="AA" localSheetId="138">#REF!</definedName>
    <definedName name="AA" localSheetId="140">#REF!</definedName>
    <definedName name="AA" localSheetId="142">#REF!</definedName>
    <definedName name="AA" localSheetId="144">#REF!</definedName>
    <definedName name="AA" localSheetId="146">#REF!</definedName>
    <definedName name="AA" localSheetId="148">#REF!</definedName>
    <definedName name="AA" localSheetId="150">#REF!</definedName>
    <definedName name="AA" localSheetId="152">#REF!</definedName>
    <definedName name="AA" localSheetId="154">#REF!</definedName>
    <definedName name="AA" localSheetId="156">#REF!</definedName>
    <definedName name="AA" localSheetId="158">#REF!</definedName>
    <definedName name="AA" localSheetId="160">#REF!</definedName>
    <definedName name="AA" localSheetId="162">#REF!</definedName>
    <definedName name="AA" localSheetId="164">#REF!</definedName>
    <definedName name="AA" localSheetId="166">#REF!</definedName>
    <definedName name="AA" localSheetId="168">#REF!</definedName>
    <definedName name="AA" localSheetId="170">#REF!</definedName>
    <definedName name="AA" localSheetId="172">#REF!</definedName>
    <definedName name="AA" localSheetId="174">#REF!</definedName>
    <definedName name="AA" localSheetId="176">#REF!</definedName>
    <definedName name="AA" localSheetId="178">#REF!</definedName>
    <definedName name="AA" localSheetId="180">#REF!</definedName>
    <definedName name="AA" localSheetId="182">#REF!</definedName>
    <definedName name="AA" localSheetId="184">#REF!</definedName>
    <definedName name="AA" localSheetId="186">#REF!</definedName>
    <definedName name="AA" localSheetId="188">#REF!</definedName>
    <definedName name="AA" localSheetId="190">#REF!</definedName>
    <definedName name="AA" localSheetId="192">#REF!</definedName>
    <definedName name="AA" localSheetId="194">#REF!</definedName>
    <definedName name="AA" localSheetId="196">#REF!</definedName>
    <definedName name="AA" localSheetId="198">#REF!</definedName>
    <definedName name="AA" localSheetId="200">#REF!</definedName>
    <definedName name="AA" localSheetId="202">#REF!</definedName>
    <definedName name="AA" localSheetId="204">#REF!</definedName>
    <definedName name="AA" localSheetId="206">#REF!</definedName>
    <definedName name="AA" localSheetId="208">#REF!</definedName>
    <definedName name="AA" localSheetId="210">#REF!</definedName>
    <definedName name="AA" localSheetId="212">#REF!</definedName>
    <definedName name="AA" localSheetId="214">#REF!</definedName>
    <definedName name="AA" localSheetId="216">#REF!</definedName>
    <definedName name="AA" localSheetId="218">#REF!</definedName>
    <definedName name="AA" localSheetId="220">#REF!</definedName>
    <definedName name="AA" localSheetId="224">#REF!</definedName>
    <definedName name="AA" localSheetId="228">#REF!</definedName>
    <definedName name="AA" localSheetId="230">#REF!</definedName>
    <definedName name="AA" localSheetId="232">#REF!</definedName>
    <definedName name="AA" localSheetId="234">#REF!</definedName>
    <definedName name="AA" localSheetId="236">#REF!</definedName>
    <definedName name="AA" localSheetId="240">#REF!</definedName>
    <definedName name="AA" localSheetId="242">#REF!</definedName>
    <definedName name="AA" localSheetId="244">#REF!</definedName>
    <definedName name="AA" localSheetId="246">#REF!</definedName>
    <definedName name="AA" localSheetId="248">#REF!</definedName>
    <definedName name="AA" localSheetId="250">#REF!</definedName>
    <definedName name="AA" localSheetId="252">#REF!</definedName>
    <definedName name="AA" localSheetId="254">#REF!</definedName>
    <definedName name="AA" localSheetId="256">#REF!</definedName>
    <definedName name="AA" localSheetId="258">#REF!</definedName>
    <definedName name="AA" localSheetId="260">#REF!</definedName>
    <definedName name="AA" localSheetId="262">#REF!</definedName>
    <definedName name="AA" localSheetId="264">#REF!</definedName>
    <definedName name="AA" localSheetId="266">#REF!</definedName>
    <definedName name="AA" localSheetId="268">#REF!</definedName>
    <definedName name="AA" localSheetId="270">#REF!</definedName>
    <definedName name="AA" localSheetId="282">#REF!</definedName>
    <definedName name="AA" localSheetId="284">#REF!</definedName>
    <definedName name="AA" localSheetId="286">#REF!</definedName>
    <definedName name="AA" localSheetId="288">#REF!</definedName>
    <definedName name="AA" localSheetId="290">#REF!</definedName>
    <definedName name="AA" localSheetId="296">#REF!</definedName>
    <definedName name="AA" localSheetId="304">#REF!</definedName>
    <definedName name="AA" localSheetId="306">#REF!</definedName>
    <definedName name="AA" localSheetId="308">#REF!</definedName>
    <definedName name="AA" localSheetId="318">#REF!</definedName>
    <definedName name="AA" localSheetId="320">#REF!</definedName>
    <definedName name="AA" localSheetId="322">#REF!</definedName>
    <definedName name="AA" localSheetId="324">#REF!</definedName>
    <definedName name="AA" localSheetId="328">#REF!</definedName>
    <definedName name="AA" localSheetId="5">#REF!</definedName>
    <definedName name="AA" localSheetId="7">#REF!</definedName>
    <definedName name="AA" localSheetId="9">#REF!</definedName>
    <definedName name="AA" localSheetId="11">#REF!</definedName>
    <definedName name="AA" localSheetId="15">#REF!</definedName>
    <definedName name="AA" localSheetId="21">#REF!</definedName>
    <definedName name="AA" localSheetId="23">#REF!</definedName>
    <definedName name="AA" localSheetId="27">#REF!</definedName>
    <definedName name="AA" localSheetId="25">#REF!</definedName>
    <definedName name="AA" localSheetId="29">#REF!</definedName>
    <definedName name="AA" localSheetId="31">#REF!</definedName>
    <definedName name="AA" localSheetId="35">#REF!</definedName>
    <definedName name="AA" localSheetId="37">#REF!</definedName>
    <definedName name="AA" localSheetId="41">#REF!</definedName>
    <definedName name="AA" localSheetId="51">#REF!</definedName>
    <definedName name="AA" localSheetId="97">#REF!</definedName>
    <definedName name="AA" localSheetId="129">#REF!</definedName>
    <definedName name="AA" localSheetId="131">#REF!</definedName>
    <definedName name="AA" localSheetId="133">#REF!</definedName>
    <definedName name="AA" localSheetId="135">#REF!</definedName>
    <definedName name="AA" localSheetId="137">#REF!</definedName>
    <definedName name="AA" localSheetId="139">#REF!</definedName>
    <definedName name="AA" localSheetId="141">#REF!</definedName>
    <definedName name="AA" localSheetId="143">#REF!</definedName>
    <definedName name="AA" localSheetId="145">#REF!</definedName>
    <definedName name="AA" localSheetId="147">#REF!</definedName>
    <definedName name="AA" localSheetId="149">#REF!</definedName>
    <definedName name="AA" localSheetId="151">#REF!</definedName>
    <definedName name="AA" localSheetId="153">#REF!</definedName>
    <definedName name="AA" localSheetId="155">#REF!</definedName>
    <definedName name="AA" localSheetId="157">#REF!</definedName>
    <definedName name="AA" localSheetId="159">#REF!</definedName>
    <definedName name="AA" localSheetId="161">#REF!</definedName>
    <definedName name="AA" localSheetId="163">#REF!</definedName>
    <definedName name="AA" localSheetId="169">#REF!</definedName>
    <definedName name="AA" localSheetId="173">#REF!</definedName>
    <definedName name="AA" localSheetId="175">#REF!</definedName>
    <definedName name="AA" localSheetId="177">#REF!</definedName>
    <definedName name="AA" localSheetId="179">#REF!</definedName>
    <definedName name="AA" localSheetId="3">#REF!</definedName>
    <definedName name="AA">#REF!</definedName>
    <definedName name="AAA" localSheetId="6">#REF!</definedName>
    <definedName name="AAA" localSheetId="330">#REF!</definedName>
    <definedName name="AAA" localSheetId="8">#REF!</definedName>
    <definedName name="AAA" localSheetId="10">#REF!</definedName>
    <definedName name="AAA" localSheetId="12">#REF!</definedName>
    <definedName name="AAA" localSheetId="14">#REF!</definedName>
    <definedName name="AAA" localSheetId="16">#REF!</definedName>
    <definedName name="AAA" localSheetId="18">#REF!</definedName>
    <definedName name="AAA" localSheetId="20">#REF!</definedName>
    <definedName name="AAA" localSheetId="22">#REF!</definedName>
    <definedName name="AAA" localSheetId="26">#REF!</definedName>
    <definedName name="AAA" localSheetId="24">#REF!</definedName>
    <definedName name="AAA" localSheetId="28">#REF!</definedName>
    <definedName name="AAA" localSheetId="30">#REF!</definedName>
    <definedName name="AAA" localSheetId="32">#REF!</definedName>
    <definedName name="AAA" localSheetId="34">#REF!</definedName>
    <definedName name="AAA" localSheetId="36">#REF!</definedName>
    <definedName name="AAA" localSheetId="38">#REF!</definedName>
    <definedName name="AAA" localSheetId="40">#REF!</definedName>
    <definedName name="AAA" localSheetId="42">#REF!</definedName>
    <definedName name="AAA" localSheetId="44">#REF!</definedName>
    <definedName name="AAA" localSheetId="46">#REF!</definedName>
    <definedName name="AAA" localSheetId="48">#REF!</definedName>
    <definedName name="AAA" localSheetId="50">#REF!</definedName>
    <definedName name="AAA" localSheetId="52">#REF!</definedName>
    <definedName name="AAA" localSheetId="54">#REF!</definedName>
    <definedName name="AAA" localSheetId="56">#REF!</definedName>
    <definedName name="AAA" localSheetId="58">#REF!</definedName>
    <definedName name="AAA" localSheetId="60">#REF!</definedName>
    <definedName name="AAA" localSheetId="62">#REF!</definedName>
    <definedName name="AAA" localSheetId="64">#REF!</definedName>
    <definedName name="AAA" localSheetId="66">#REF!</definedName>
    <definedName name="AAA" localSheetId="68">#REF!</definedName>
    <definedName name="AAA" localSheetId="70">#REF!</definedName>
    <definedName name="AAA" localSheetId="72">#REF!</definedName>
    <definedName name="AAA" localSheetId="74">#REF!</definedName>
    <definedName name="AAA" localSheetId="76">#REF!</definedName>
    <definedName name="AAA" localSheetId="78">#REF!</definedName>
    <definedName name="AAA" localSheetId="80">#REF!</definedName>
    <definedName name="AAA" localSheetId="82">#REF!</definedName>
    <definedName name="AAA" localSheetId="84">#REF!</definedName>
    <definedName name="AAA" localSheetId="86">#REF!</definedName>
    <definedName name="AAA" localSheetId="88">#REF!</definedName>
    <definedName name="AAA" localSheetId="90">#REF!</definedName>
    <definedName name="AAA" localSheetId="92">#REF!</definedName>
    <definedName name="AAA" localSheetId="94">#REF!</definedName>
    <definedName name="AAA" localSheetId="96">#REF!</definedName>
    <definedName name="AAA" localSheetId="98">#REF!</definedName>
    <definedName name="AAA" localSheetId="100">#REF!</definedName>
    <definedName name="AAA" localSheetId="102">#REF!</definedName>
    <definedName name="AAA" localSheetId="104">#REF!</definedName>
    <definedName name="AAA" localSheetId="106">#REF!</definedName>
    <definedName name="AAA" localSheetId="108">#REF!</definedName>
    <definedName name="AAA" localSheetId="110">#REF!</definedName>
    <definedName name="AAA" localSheetId="112">#REF!</definedName>
    <definedName name="AAA" localSheetId="114">#REF!</definedName>
    <definedName name="AAA" localSheetId="116">#REF!</definedName>
    <definedName name="AAA" localSheetId="118">#REF!</definedName>
    <definedName name="AAA" localSheetId="120">#REF!</definedName>
    <definedName name="AAA" localSheetId="122">#REF!</definedName>
    <definedName name="AAA" localSheetId="124">#REF!</definedName>
    <definedName name="AAA" localSheetId="126">#REF!</definedName>
    <definedName name="AAA" localSheetId="128">#REF!</definedName>
    <definedName name="AAA" localSheetId="130">#REF!</definedName>
    <definedName name="AAA" localSheetId="132">#REF!</definedName>
    <definedName name="AAA" localSheetId="134">#REF!</definedName>
    <definedName name="AAA" localSheetId="136">#REF!</definedName>
    <definedName name="AAA" localSheetId="138">#REF!</definedName>
    <definedName name="AAA" localSheetId="140">#REF!</definedName>
    <definedName name="AAA" localSheetId="142">#REF!</definedName>
    <definedName name="AAA" localSheetId="144">#REF!</definedName>
    <definedName name="AAA" localSheetId="146">#REF!</definedName>
    <definedName name="AAA" localSheetId="148">#REF!</definedName>
    <definedName name="AAA" localSheetId="150">#REF!</definedName>
    <definedName name="AAA" localSheetId="152">#REF!</definedName>
    <definedName name="AAA" localSheetId="154">#REF!</definedName>
    <definedName name="AAA" localSheetId="156">#REF!</definedName>
    <definedName name="AAA" localSheetId="158">#REF!</definedName>
    <definedName name="AAA" localSheetId="160">#REF!</definedName>
    <definedName name="AAA" localSheetId="162">#REF!</definedName>
    <definedName name="AAA" localSheetId="164">#REF!</definedName>
    <definedName name="AAA" localSheetId="166">#REF!</definedName>
    <definedName name="AAA" localSheetId="168">#REF!</definedName>
    <definedName name="AAA" localSheetId="170">#REF!</definedName>
    <definedName name="AAA" localSheetId="172">#REF!</definedName>
    <definedName name="AAA" localSheetId="174">#REF!</definedName>
    <definedName name="AAA" localSheetId="176">#REF!</definedName>
    <definedName name="AAA" localSheetId="178">#REF!</definedName>
    <definedName name="AAA" localSheetId="180">#REF!</definedName>
    <definedName name="AAA" localSheetId="182">#REF!</definedName>
    <definedName name="AAA" localSheetId="184">#REF!</definedName>
    <definedName name="AAA" localSheetId="186">#REF!</definedName>
    <definedName name="AAA" localSheetId="188">#REF!</definedName>
    <definedName name="AAA" localSheetId="190">#REF!</definedName>
    <definedName name="AAA" localSheetId="192">#REF!</definedName>
    <definedName name="AAA" localSheetId="194">#REF!</definedName>
    <definedName name="AAA" localSheetId="196">#REF!</definedName>
    <definedName name="AAA" localSheetId="198">#REF!</definedName>
    <definedName name="AAA" localSheetId="200">#REF!</definedName>
    <definedName name="AAA" localSheetId="202">#REF!</definedName>
    <definedName name="AAA" localSheetId="204">#REF!</definedName>
    <definedName name="AAA" localSheetId="206">#REF!</definedName>
    <definedName name="AAA" localSheetId="208">#REF!</definedName>
    <definedName name="AAA" localSheetId="210">#REF!</definedName>
    <definedName name="AAA" localSheetId="212">#REF!</definedName>
    <definedName name="AAA" localSheetId="214">#REF!</definedName>
    <definedName name="AAA" localSheetId="216">#REF!</definedName>
    <definedName name="AAA" localSheetId="218">#REF!</definedName>
    <definedName name="AAA" localSheetId="220">#REF!</definedName>
    <definedName name="AAA" localSheetId="224">#REF!</definedName>
    <definedName name="AAA" localSheetId="228">#REF!</definedName>
    <definedName name="AAA" localSheetId="230">#REF!</definedName>
    <definedName name="AAA" localSheetId="232">#REF!</definedName>
    <definedName name="AAA" localSheetId="234">#REF!</definedName>
    <definedName name="AAA" localSheetId="236">#REF!</definedName>
    <definedName name="AAA" localSheetId="240">#REF!</definedName>
    <definedName name="AAA" localSheetId="242">#REF!</definedName>
    <definedName name="AAA" localSheetId="244">#REF!</definedName>
    <definedName name="AAA" localSheetId="246">#REF!</definedName>
    <definedName name="AAA" localSheetId="248">#REF!</definedName>
    <definedName name="AAA" localSheetId="250">#REF!</definedName>
    <definedName name="AAA" localSheetId="252">#REF!</definedName>
    <definedName name="AAA" localSheetId="254">#REF!</definedName>
    <definedName name="AAA" localSheetId="256">#REF!</definedName>
    <definedName name="AAA" localSheetId="258">#REF!</definedName>
    <definedName name="AAA" localSheetId="260">#REF!</definedName>
    <definedName name="AAA" localSheetId="262">#REF!</definedName>
    <definedName name="AAA" localSheetId="264">#REF!</definedName>
    <definedName name="AAA" localSheetId="266">#REF!</definedName>
    <definedName name="AAA" localSheetId="268">#REF!</definedName>
    <definedName name="AAA" localSheetId="270">#REF!</definedName>
    <definedName name="AAA" localSheetId="282">#REF!</definedName>
    <definedName name="AAA" localSheetId="284">#REF!</definedName>
    <definedName name="AAA" localSheetId="286">#REF!</definedName>
    <definedName name="AAA" localSheetId="288">#REF!</definedName>
    <definedName name="AAA" localSheetId="290">#REF!</definedName>
    <definedName name="AAA" localSheetId="296">#REF!</definedName>
    <definedName name="AAA" localSheetId="304">#REF!</definedName>
    <definedName name="AAA" localSheetId="306">#REF!</definedName>
    <definedName name="AAA" localSheetId="308">#REF!</definedName>
    <definedName name="AAA" localSheetId="318">#REF!</definedName>
    <definedName name="AAA" localSheetId="320">#REF!</definedName>
    <definedName name="AAA" localSheetId="322">#REF!</definedName>
    <definedName name="AAA" localSheetId="324">#REF!</definedName>
    <definedName name="AAA" localSheetId="328">#REF!</definedName>
    <definedName name="AAA" localSheetId="5">#REF!</definedName>
    <definedName name="AAA" localSheetId="7">#REF!</definedName>
    <definedName name="AAA" localSheetId="9">#REF!</definedName>
    <definedName name="AAA" localSheetId="11">#REF!</definedName>
    <definedName name="AAA" localSheetId="15">#REF!</definedName>
    <definedName name="AAA" localSheetId="21">#REF!</definedName>
    <definedName name="AAA" localSheetId="23">#REF!</definedName>
    <definedName name="AAA" localSheetId="27">#REF!</definedName>
    <definedName name="AAA" localSheetId="25">#REF!</definedName>
    <definedName name="AAA" localSheetId="29">#REF!</definedName>
    <definedName name="AAA" localSheetId="31">#REF!</definedName>
    <definedName name="AAA" localSheetId="35">#REF!</definedName>
    <definedName name="AAA" localSheetId="37">#REF!</definedName>
    <definedName name="AAA" localSheetId="41">#REF!</definedName>
    <definedName name="AAA" localSheetId="51">#REF!</definedName>
    <definedName name="AAA" localSheetId="97">#REF!</definedName>
    <definedName name="AAA" localSheetId="129">#REF!</definedName>
    <definedName name="AAA" localSheetId="131">#REF!</definedName>
    <definedName name="AAA" localSheetId="133">#REF!</definedName>
    <definedName name="AAA" localSheetId="135">#REF!</definedName>
    <definedName name="AAA" localSheetId="137">#REF!</definedName>
    <definedName name="AAA" localSheetId="139">#REF!</definedName>
    <definedName name="AAA" localSheetId="141">#REF!</definedName>
    <definedName name="AAA" localSheetId="143">#REF!</definedName>
    <definedName name="AAA" localSheetId="145">#REF!</definedName>
    <definedName name="AAA" localSheetId="147">#REF!</definedName>
    <definedName name="AAA" localSheetId="149">#REF!</definedName>
    <definedName name="AAA" localSheetId="151">#REF!</definedName>
    <definedName name="AAA" localSheetId="153">#REF!</definedName>
    <definedName name="AAA" localSheetId="155">#REF!</definedName>
    <definedName name="AAA" localSheetId="157">#REF!</definedName>
    <definedName name="AAA" localSheetId="159">#REF!</definedName>
    <definedName name="AAA" localSheetId="161">#REF!</definedName>
    <definedName name="AAA" localSheetId="163">#REF!</definedName>
    <definedName name="AAA" localSheetId="169">#REF!</definedName>
    <definedName name="AAA" localSheetId="173">#REF!</definedName>
    <definedName name="AAA" localSheetId="175">#REF!</definedName>
    <definedName name="AAA" localSheetId="177">#REF!</definedName>
    <definedName name="AAA" localSheetId="179">#REF!</definedName>
    <definedName name="AAA" localSheetId="3">#REF!</definedName>
    <definedName name="AAA">#REF!</definedName>
    <definedName name="aaaaaaaaaaaaaaaaaa" localSheetId="6">#REF!</definedName>
    <definedName name="aaaaaaaaaaaaaaaaaa" localSheetId="330">#REF!</definedName>
    <definedName name="aaaaaaaaaaaaaaaaaa" localSheetId="8">#REF!</definedName>
    <definedName name="aaaaaaaaaaaaaaaaaa" localSheetId="10">#REF!</definedName>
    <definedName name="aaaaaaaaaaaaaaaaaa" localSheetId="12">#REF!</definedName>
    <definedName name="aaaaaaaaaaaaaaaaaa" localSheetId="14">#REF!</definedName>
    <definedName name="aaaaaaaaaaaaaaaaaa" localSheetId="16">#REF!</definedName>
    <definedName name="aaaaaaaaaaaaaaaaaa" localSheetId="18">#REF!</definedName>
    <definedName name="aaaaaaaaaaaaaaaaaa" localSheetId="20">#REF!</definedName>
    <definedName name="aaaaaaaaaaaaaaaaaa" localSheetId="22">#REF!</definedName>
    <definedName name="aaaaaaaaaaaaaaaaaa" localSheetId="26">#REF!</definedName>
    <definedName name="aaaaaaaaaaaaaaaaaa" localSheetId="24">#REF!</definedName>
    <definedName name="aaaaaaaaaaaaaaaaaa" localSheetId="28">#REF!</definedName>
    <definedName name="aaaaaaaaaaaaaaaaaa" localSheetId="30">#REF!</definedName>
    <definedName name="aaaaaaaaaaaaaaaaaa" localSheetId="32">#REF!</definedName>
    <definedName name="aaaaaaaaaaaaaaaaaa" localSheetId="34">#REF!</definedName>
    <definedName name="aaaaaaaaaaaaaaaaaa" localSheetId="36">#REF!</definedName>
    <definedName name="aaaaaaaaaaaaaaaaaa" localSheetId="38">#REF!</definedName>
    <definedName name="aaaaaaaaaaaaaaaaaa" localSheetId="40">#REF!</definedName>
    <definedName name="aaaaaaaaaaaaaaaaaa" localSheetId="42">#REF!</definedName>
    <definedName name="aaaaaaaaaaaaaaaaaa" localSheetId="44">#REF!</definedName>
    <definedName name="aaaaaaaaaaaaaaaaaa" localSheetId="46">#REF!</definedName>
    <definedName name="aaaaaaaaaaaaaaaaaa" localSheetId="48">#REF!</definedName>
    <definedName name="aaaaaaaaaaaaaaaaaa" localSheetId="50">#REF!</definedName>
    <definedName name="aaaaaaaaaaaaaaaaaa" localSheetId="52">#REF!</definedName>
    <definedName name="aaaaaaaaaaaaaaaaaa" localSheetId="54">#REF!</definedName>
    <definedName name="aaaaaaaaaaaaaaaaaa" localSheetId="56">#REF!</definedName>
    <definedName name="aaaaaaaaaaaaaaaaaa" localSheetId="58">#REF!</definedName>
    <definedName name="aaaaaaaaaaaaaaaaaa" localSheetId="60">#REF!</definedName>
    <definedName name="aaaaaaaaaaaaaaaaaa" localSheetId="62">#REF!</definedName>
    <definedName name="aaaaaaaaaaaaaaaaaa" localSheetId="64">#REF!</definedName>
    <definedName name="aaaaaaaaaaaaaaaaaa" localSheetId="66">#REF!</definedName>
    <definedName name="aaaaaaaaaaaaaaaaaa" localSheetId="68">#REF!</definedName>
    <definedName name="aaaaaaaaaaaaaaaaaa" localSheetId="70">#REF!</definedName>
    <definedName name="aaaaaaaaaaaaaaaaaa" localSheetId="72">#REF!</definedName>
    <definedName name="aaaaaaaaaaaaaaaaaa" localSheetId="74">#REF!</definedName>
    <definedName name="aaaaaaaaaaaaaaaaaa" localSheetId="76">#REF!</definedName>
    <definedName name="aaaaaaaaaaaaaaaaaa" localSheetId="78">#REF!</definedName>
    <definedName name="aaaaaaaaaaaaaaaaaa" localSheetId="80">#REF!</definedName>
    <definedName name="aaaaaaaaaaaaaaaaaa" localSheetId="82">#REF!</definedName>
    <definedName name="aaaaaaaaaaaaaaaaaa" localSheetId="84">#REF!</definedName>
    <definedName name="aaaaaaaaaaaaaaaaaa" localSheetId="86">#REF!</definedName>
    <definedName name="aaaaaaaaaaaaaaaaaa" localSheetId="88">#REF!</definedName>
    <definedName name="aaaaaaaaaaaaaaaaaa" localSheetId="90">#REF!</definedName>
    <definedName name="aaaaaaaaaaaaaaaaaa" localSheetId="92">#REF!</definedName>
    <definedName name="aaaaaaaaaaaaaaaaaa" localSheetId="94">#REF!</definedName>
    <definedName name="aaaaaaaaaaaaaaaaaa" localSheetId="96">#REF!</definedName>
    <definedName name="aaaaaaaaaaaaaaaaaa" localSheetId="98">#REF!</definedName>
    <definedName name="aaaaaaaaaaaaaaaaaa" localSheetId="100">#REF!</definedName>
    <definedName name="aaaaaaaaaaaaaaaaaa" localSheetId="102">#REF!</definedName>
    <definedName name="aaaaaaaaaaaaaaaaaa" localSheetId="104">#REF!</definedName>
    <definedName name="aaaaaaaaaaaaaaaaaa" localSheetId="106">#REF!</definedName>
    <definedName name="aaaaaaaaaaaaaaaaaa" localSheetId="108">#REF!</definedName>
    <definedName name="aaaaaaaaaaaaaaaaaa" localSheetId="110">#REF!</definedName>
    <definedName name="aaaaaaaaaaaaaaaaaa" localSheetId="112">#REF!</definedName>
    <definedName name="aaaaaaaaaaaaaaaaaa" localSheetId="114">#REF!</definedName>
    <definedName name="aaaaaaaaaaaaaaaaaa" localSheetId="116">#REF!</definedName>
    <definedName name="aaaaaaaaaaaaaaaaaa" localSheetId="118">#REF!</definedName>
    <definedName name="aaaaaaaaaaaaaaaaaa" localSheetId="120">#REF!</definedName>
    <definedName name="aaaaaaaaaaaaaaaaaa" localSheetId="122">#REF!</definedName>
    <definedName name="aaaaaaaaaaaaaaaaaa" localSheetId="124">#REF!</definedName>
    <definedName name="aaaaaaaaaaaaaaaaaa" localSheetId="126">#REF!</definedName>
    <definedName name="aaaaaaaaaaaaaaaaaa" localSheetId="128">#REF!</definedName>
    <definedName name="aaaaaaaaaaaaaaaaaa" localSheetId="130">#REF!</definedName>
    <definedName name="aaaaaaaaaaaaaaaaaa" localSheetId="132">#REF!</definedName>
    <definedName name="aaaaaaaaaaaaaaaaaa" localSheetId="134">#REF!</definedName>
    <definedName name="aaaaaaaaaaaaaaaaaa" localSheetId="136">#REF!</definedName>
    <definedName name="aaaaaaaaaaaaaaaaaa" localSheetId="138">#REF!</definedName>
    <definedName name="aaaaaaaaaaaaaaaaaa" localSheetId="140">#REF!</definedName>
    <definedName name="aaaaaaaaaaaaaaaaaa" localSheetId="142">#REF!</definedName>
    <definedName name="aaaaaaaaaaaaaaaaaa" localSheetId="144">#REF!</definedName>
    <definedName name="aaaaaaaaaaaaaaaaaa" localSheetId="146">#REF!</definedName>
    <definedName name="aaaaaaaaaaaaaaaaaa" localSheetId="148">#REF!</definedName>
    <definedName name="aaaaaaaaaaaaaaaaaa" localSheetId="150">#REF!</definedName>
    <definedName name="aaaaaaaaaaaaaaaaaa" localSheetId="152">#REF!</definedName>
    <definedName name="aaaaaaaaaaaaaaaaaa" localSheetId="154">#REF!</definedName>
    <definedName name="aaaaaaaaaaaaaaaaaa" localSheetId="156">#REF!</definedName>
    <definedName name="aaaaaaaaaaaaaaaaaa" localSheetId="158">#REF!</definedName>
    <definedName name="aaaaaaaaaaaaaaaaaa" localSheetId="160">#REF!</definedName>
    <definedName name="aaaaaaaaaaaaaaaaaa" localSheetId="162">#REF!</definedName>
    <definedName name="aaaaaaaaaaaaaaaaaa" localSheetId="164">#REF!</definedName>
    <definedName name="aaaaaaaaaaaaaaaaaa" localSheetId="166">#REF!</definedName>
    <definedName name="aaaaaaaaaaaaaaaaaa" localSheetId="168">#REF!</definedName>
    <definedName name="aaaaaaaaaaaaaaaaaa" localSheetId="170">#REF!</definedName>
    <definedName name="aaaaaaaaaaaaaaaaaa" localSheetId="172">#REF!</definedName>
    <definedName name="aaaaaaaaaaaaaaaaaa" localSheetId="174">#REF!</definedName>
    <definedName name="aaaaaaaaaaaaaaaaaa" localSheetId="176">#REF!</definedName>
    <definedName name="aaaaaaaaaaaaaaaaaa" localSheetId="178">#REF!</definedName>
    <definedName name="aaaaaaaaaaaaaaaaaa" localSheetId="180">#REF!</definedName>
    <definedName name="aaaaaaaaaaaaaaaaaa" localSheetId="182">#REF!</definedName>
    <definedName name="aaaaaaaaaaaaaaaaaa" localSheetId="184">#REF!</definedName>
    <definedName name="aaaaaaaaaaaaaaaaaa" localSheetId="186">#REF!</definedName>
    <definedName name="aaaaaaaaaaaaaaaaaa" localSheetId="188">#REF!</definedName>
    <definedName name="aaaaaaaaaaaaaaaaaa" localSheetId="190">#REF!</definedName>
    <definedName name="aaaaaaaaaaaaaaaaaa" localSheetId="192">#REF!</definedName>
    <definedName name="aaaaaaaaaaaaaaaaaa" localSheetId="194">#REF!</definedName>
    <definedName name="aaaaaaaaaaaaaaaaaa" localSheetId="196">#REF!</definedName>
    <definedName name="aaaaaaaaaaaaaaaaaa" localSheetId="198">#REF!</definedName>
    <definedName name="aaaaaaaaaaaaaaaaaa" localSheetId="200">#REF!</definedName>
    <definedName name="aaaaaaaaaaaaaaaaaa" localSheetId="202">#REF!</definedName>
    <definedName name="aaaaaaaaaaaaaaaaaa" localSheetId="204">#REF!</definedName>
    <definedName name="aaaaaaaaaaaaaaaaaa" localSheetId="206">#REF!</definedName>
    <definedName name="aaaaaaaaaaaaaaaaaa" localSheetId="208">#REF!</definedName>
    <definedName name="aaaaaaaaaaaaaaaaaa" localSheetId="210">#REF!</definedName>
    <definedName name="aaaaaaaaaaaaaaaaaa" localSheetId="212">#REF!</definedName>
    <definedName name="aaaaaaaaaaaaaaaaaa" localSheetId="214">#REF!</definedName>
    <definedName name="aaaaaaaaaaaaaaaaaa" localSheetId="216">#REF!</definedName>
    <definedName name="aaaaaaaaaaaaaaaaaa" localSheetId="218">#REF!</definedName>
    <definedName name="aaaaaaaaaaaaaaaaaa" localSheetId="220">#REF!</definedName>
    <definedName name="aaaaaaaaaaaaaaaaaa" localSheetId="224">#REF!</definedName>
    <definedName name="aaaaaaaaaaaaaaaaaa" localSheetId="228">#REF!</definedName>
    <definedName name="aaaaaaaaaaaaaaaaaa" localSheetId="230">#REF!</definedName>
    <definedName name="aaaaaaaaaaaaaaaaaa" localSheetId="232">#REF!</definedName>
    <definedName name="aaaaaaaaaaaaaaaaaa" localSheetId="234">#REF!</definedName>
    <definedName name="aaaaaaaaaaaaaaaaaa" localSheetId="236">#REF!</definedName>
    <definedName name="aaaaaaaaaaaaaaaaaa" localSheetId="240">#REF!</definedName>
    <definedName name="aaaaaaaaaaaaaaaaaa" localSheetId="242">#REF!</definedName>
    <definedName name="aaaaaaaaaaaaaaaaaa" localSheetId="244">#REF!</definedName>
    <definedName name="aaaaaaaaaaaaaaaaaa" localSheetId="246">#REF!</definedName>
    <definedName name="aaaaaaaaaaaaaaaaaa" localSheetId="248">#REF!</definedName>
    <definedName name="aaaaaaaaaaaaaaaaaa" localSheetId="250">#REF!</definedName>
    <definedName name="aaaaaaaaaaaaaaaaaa" localSheetId="252">#REF!</definedName>
    <definedName name="aaaaaaaaaaaaaaaaaa" localSheetId="254">#REF!</definedName>
    <definedName name="aaaaaaaaaaaaaaaaaa" localSheetId="256">#REF!</definedName>
    <definedName name="aaaaaaaaaaaaaaaaaa" localSheetId="258">#REF!</definedName>
    <definedName name="aaaaaaaaaaaaaaaaaa" localSheetId="260">#REF!</definedName>
    <definedName name="aaaaaaaaaaaaaaaaaa" localSheetId="262">#REF!</definedName>
    <definedName name="aaaaaaaaaaaaaaaaaa" localSheetId="264">#REF!</definedName>
    <definedName name="aaaaaaaaaaaaaaaaaa" localSheetId="266">#REF!</definedName>
    <definedName name="aaaaaaaaaaaaaaaaaa" localSheetId="268">#REF!</definedName>
    <definedName name="aaaaaaaaaaaaaaaaaa" localSheetId="270">#REF!</definedName>
    <definedName name="aaaaaaaaaaaaaaaaaa" localSheetId="282">#REF!</definedName>
    <definedName name="aaaaaaaaaaaaaaaaaa" localSheetId="284">#REF!</definedName>
    <definedName name="aaaaaaaaaaaaaaaaaa" localSheetId="286">#REF!</definedName>
    <definedName name="aaaaaaaaaaaaaaaaaa" localSheetId="288">#REF!</definedName>
    <definedName name="aaaaaaaaaaaaaaaaaa" localSheetId="290">#REF!</definedName>
    <definedName name="aaaaaaaaaaaaaaaaaa" localSheetId="296">#REF!</definedName>
    <definedName name="aaaaaaaaaaaaaaaaaa" localSheetId="304">#REF!</definedName>
    <definedName name="aaaaaaaaaaaaaaaaaa" localSheetId="306">#REF!</definedName>
    <definedName name="aaaaaaaaaaaaaaaaaa" localSheetId="308">#REF!</definedName>
    <definedName name="aaaaaaaaaaaaaaaaaa" localSheetId="318">#REF!</definedName>
    <definedName name="aaaaaaaaaaaaaaaaaa" localSheetId="320">#REF!</definedName>
    <definedName name="aaaaaaaaaaaaaaaaaa" localSheetId="322">#REF!</definedName>
    <definedName name="aaaaaaaaaaaaaaaaaa" localSheetId="324">#REF!</definedName>
    <definedName name="aaaaaaaaaaaaaaaaaa" localSheetId="328">#REF!</definedName>
    <definedName name="aaaaaaaaaaaaaaaaaa" localSheetId="5">#REF!</definedName>
    <definedName name="aaaaaaaaaaaaaaaaaa" localSheetId="7">#REF!</definedName>
    <definedName name="aaaaaaaaaaaaaaaaaa" localSheetId="9">#REF!</definedName>
    <definedName name="aaaaaaaaaaaaaaaaaa" localSheetId="11">#REF!</definedName>
    <definedName name="aaaaaaaaaaaaaaaaaa" localSheetId="15">#REF!</definedName>
    <definedName name="aaaaaaaaaaaaaaaaaa" localSheetId="21">#REF!</definedName>
    <definedName name="aaaaaaaaaaaaaaaaaa" localSheetId="23">#REF!</definedName>
    <definedName name="aaaaaaaaaaaaaaaaaa" localSheetId="27">#REF!</definedName>
    <definedName name="aaaaaaaaaaaaaaaaaa" localSheetId="25">#REF!</definedName>
    <definedName name="aaaaaaaaaaaaaaaaaa" localSheetId="29">#REF!</definedName>
    <definedName name="aaaaaaaaaaaaaaaaaa" localSheetId="31">#REF!</definedName>
    <definedName name="aaaaaaaaaaaaaaaaaa" localSheetId="35">#REF!</definedName>
    <definedName name="aaaaaaaaaaaaaaaaaa" localSheetId="37">#REF!</definedName>
    <definedName name="aaaaaaaaaaaaaaaaaa" localSheetId="41">#REF!</definedName>
    <definedName name="aaaaaaaaaaaaaaaaaa" localSheetId="51">#REF!</definedName>
    <definedName name="aaaaaaaaaaaaaaaaaa" localSheetId="97">#REF!</definedName>
    <definedName name="aaaaaaaaaaaaaaaaaa" localSheetId="129">#REF!</definedName>
    <definedName name="aaaaaaaaaaaaaaaaaa" localSheetId="131">#REF!</definedName>
    <definedName name="aaaaaaaaaaaaaaaaaa" localSheetId="133">#REF!</definedName>
    <definedName name="aaaaaaaaaaaaaaaaaa" localSheetId="135">#REF!</definedName>
    <definedName name="aaaaaaaaaaaaaaaaaa" localSheetId="137">#REF!</definedName>
    <definedName name="aaaaaaaaaaaaaaaaaa" localSheetId="139">#REF!</definedName>
    <definedName name="aaaaaaaaaaaaaaaaaa" localSheetId="141">#REF!</definedName>
    <definedName name="aaaaaaaaaaaaaaaaaa" localSheetId="143">#REF!</definedName>
    <definedName name="aaaaaaaaaaaaaaaaaa" localSheetId="145">#REF!</definedName>
    <definedName name="aaaaaaaaaaaaaaaaaa" localSheetId="147">#REF!</definedName>
    <definedName name="aaaaaaaaaaaaaaaaaa" localSheetId="149">#REF!</definedName>
    <definedName name="aaaaaaaaaaaaaaaaaa" localSheetId="151">#REF!</definedName>
    <definedName name="aaaaaaaaaaaaaaaaaa" localSheetId="153">#REF!</definedName>
    <definedName name="aaaaaaaaaaaaaaaaaa" localSheetId="155">#REF!</definedName>
    <definedName name="aaaaaaaaaaaaaaaaaa" localSheetId="157">#REF!</definedName>
    <definedName name="aaaaaaaaaaaaaaaaaa" localSheetId="159">#REF!</definedName>
    <definedName name="aaaaaaaaaaaaaaaaaa" localSheetId="161">#REF!</definedName>
    <definedName name="aaaaaaaaaaaaaaaaaa" localSheetId="163">#REF!</definedName>
    <definedName name="aaaaaaaaaaaaaaaaaa" localSheetId="169">#REF!</definedName>
    <definedName name="aaaaaaaaaaaaaaaaaa" localSheetId="173">#REF!</definedName>
    <definedName name="aaaaaaaaaaaaaaaaaa" localSheetId="175">#REF!</definedName>
    <definedName name="aaaaaaaaaaaaaaaaaa" localSheetId="177">#REF!</definedName>
    <definedName name="aaaaaaaaaaaaaaaaaa" localSheetId="179">#REF!</definedName>
    <definedName name="aaaaaaaaaaaaaaaaaa" localSheetId="3">#REF!</definedName>
    <definedName name="aaaaaaaaaaaaaaaaaa">#REF!</definedName>
    <definedName name="aaaaaaaaaaaaaaaaaaa" localSheetId="6">#REF!</definedName>
    <definedName name="aaaaaaaaaaaaaaaaaaa" localSheetId="330">#REF!</definedName>
    <definedName name="aaaaaaaaaaaaaaaaaaa" localSheetId="8">#REF!</definedName>
    <definedName name="aaaaaaaaaaaaaaaaaaa" localSheetId="10">#REF!</definedName>
    <definedName name="aaaaaaaaaaaaaaaaaaa" localSheetId="12">#REF!</definedName>
    <definedName name="aaaaaaaaaaaaaaaaaaa" localSheetId="14">#REF!</definedName>
    <definedName name="aaaaaaaaaaaaaaaaaaa" localSheetId="16">#REF!</definedName>
    <definedName name="aaaaaaaaaaaaaaaaaaa" localSheetId="18">#REF!</definedName>
    <definedName name="aaaaaaaaaaaaaaaaaaa" localSheetId="20">#REF!</definedName>
    <definedName name="aaaaaaaaaaaaaaaaaaa" localSheetId="22">#REF!</definedName>
    <definedName name="aaaaaaaaaaaaaaaaaaa" localSheetId="26">#REF!</definedName>
    <definedName name="aaaaaaaaaaaaaaaaaaa" localSheetId="24">#REF!</definedName>
    <definedName name="aaaaaaaaaaaaaaaaaaa" localSheetId="28">#REF!</definedName>
    <definedName name="aaaaaaaaaaaaaaaaaaa" localSheetId="30">#REF!</definedName>
    <definedName name="aaaaaaaaaaaaaaaaaaa" localSheetId="32">#REF!</definedName>
    <definedName name="aaaaaaaaaaaaaaaaaaa" localSheetId="34">#REF!</definedName>
    <definedName name="aaaaaaaaaaaaaaaaaaa" localSheetId="36">#REF!</definedName>
    <definedName name="aaaaaaaaaaaaaaaaaaa" localSheetId="38">#REF!</definedName>
    <definedName name="aaaaaaaaaaaaaaaaaaa" localSheetId="40">#REF!</definedName>
    <definedName name="aaaaaaaaaaaaaaaaaaa" localSheetId="42">#REF!</definedName>
    <definedName name="aaaaaaaaaaaaaaaaaaa" localSheetId="44">#REF!</definedName>
    <definedName name="aaaaaaaaaaaaaaaaaaa" localSheetId="46">#REF!</definedName>
    <definedName name="aaaaaaaaaaaaaaaaaaa" localSheetId="48">#REF!</definedName>
    <definedName name="aaaaaaaaaaaaaaaaaaa" localSheetId="50">#REF!</definedName>
    <definedName name="aaaaaaaaaaaaaaaaaaa" localSheetId="52">#REF!</definedName>
    <definedName name="aaaaaaaaaaaaaaaaaaa" localSheetId="54">#REF!</definedName>
    <definedName name="aaaaaaaaaaaaaaaaaaa" localSheetId="56">#REF!</definedName>
    <definedName name="aaaaaaaaaaaaaaaaaaa" localSheetId="58">#REF!</definedName>
    <definedName name="aaaaaaaaaaaaaaaaaaa" localSheetId="60">#REF!</definedName>
    <definedName name="aaaaaaaaaaaaaaaaaaa" localSheetId="62">#REF!</definedName>
    <definedName name="aaaaaaaaaaaaaaaaaaa" localSheetId="64">#REF!</definedName>
    <definedName name="aaaaaaaaaaaaaaaaaaa" localSheetId="66">#REF!</definedName>
    <definedName name="aaaaaaaaaaaaaaaaaaa" localSheetId="68">#REF!</definedName>
    <definedName name="aaaaaaaaaaaaaaaaaaa" localSheetId="70">#REF!</definedName>
    <definedName name="aaaaaaaaaaaaaaaaaaa" localSheetId="72">#REF!</definedName>
    <definedName name="aaaaaaaaaaaaaaaaaaa" localSheetId="74">#REF!</definedName>
    <definedName name="aaaaaaaaaaaaaaaaaaa" localSheetId="76">#REF!</definedName>
    <definedName name="aaaaaaaaaaaaaaaaaaa" localSheetId="78">#REF!</definedName>
    <definedName name="aaaaaaaaaaaaaaaaaaa" localSheetId="80">#REF!</definedName>
    <definedName name="aaaaaaaaaaaaaaaaaaa" localSheetId="82">#REF!</definedName>
    <definedName name="aaaaaaaaaaaaaaaaaaa" localSheetId="84">#REF!</definedName>
    <definedName name="aaaaaaaaaaaaaaaaaaa" localSheetId="86">#REF!</definedName>
    <definedName name="aaaaaaaaaaaaaaaaaaa" localSheetId="88">#REF!</definedName>
    <definedName name="aaaaaaaaaaaaaaaaaaa" localSheetId="90">#REF!</definedName>
    <definedName name="aaaaaaaaaaaaaaaaaaa" localSheetId="92">#REF!</definedName>
    <definedName name="aaaaaaaaaaaaaaaaaaa" localSheetId="94">#REF!</definedName>
    <definedName name="aaaaaaaaaaaaaaaaaaa" localSheetId="96">#REF!</definedName>
    <definedName name="aaaaaaaaaaaaaaaaaaa" localSheetId="98">#REF!</definedName>
    <definedName name="aaaaaaaaaaaaaaaaaaa" localSheetId="100">#REF!</definedName>
    <definedName name="aaaaaaaaaaaaaaaaaaa" localSheetId="102">#REF!</definedName>
    <definedName name="aaaaaaaaaaaaaaaaaaa" localSheetId="104">#REF!</definedName>
    <definedName name="aaaaaaaaaaaaaaaaaaa" localSheetId="106">#REF!</definedName>
    <definedName name="aaaaaaaaaaaaaaaaaaa" localSheetId="108">#REF!</definedName>
    <definedName name="aaaaaaaaaaaaaaaaaaa" localSheetId="110">#REF!</definedName>
    <definedName name="aaaaaaaaaaaaaaaaaaa" localSheetId="112">#REF!</definedName>
    <definedName name="aaaaaaaaaaaaaaaaaaa" localSheetId="114">#REF!</definedName>
    <definedName name="aaaaaaaaaaaaaaaaaaa" localSheetId="116">#REF!</definedName>
    <definedName name="aaaaaaaaaaaaaaaaaaa" localSheetId="118">#REF!</definedName>
    <definedName name="aaaaaaaaaaaaaaaaaaa" localSheetId="120">#REF!</definedName>
    <definedName name="aaaaaaaaaaaaaaaaaaa" localSheetId="122">#REF!</definedName>
    <definedName name="aaaaaaaaaaaaaaaaaaa" localSheetId="124">#REF!</definedName>
    <definedName name="aaaaaaaaaaaaaaaaaaa" localSheetId="126">#REF!</definedName>
    <definedName name="aaaaaaaaaaaaaaaaaaa" localSheetId="128">#REF!</definedName>
    <definedName name="aaaaaaaaaaaaaaaaaaa" localSheetId="130">#REF!</definedName>
    <definedName name="aaaaaaaaaaaaaaaaaaa" localSheetId="132">#REF!</definedName>
    <definedName name="aaaaaaaaaaaaaaaaaaa" localSheetId="134">#REF!</definedName>
    <definedName name="aaaaaaaaaaaaaaaaaaa" localSheetId="136">#REF!</definedName>
    <definedName name="aaaaaaaaaaaaaaaaaaa" localSheetId="138">#REF!</definedName>
    <definedName name="aaaaaaaaaaaaaaaaaaa" localSheetId="140">#REF!</definedName>
    <definedName name="aaaaaaaaaaaaaaaaaaa" localSheetId="142">#REF!</definedName>
    <definedName name="aaaaaaaaaaaaaaaaaaa" localSheetId="144">#REF!</definedName>
    <definedName name="aaaaaaaaaaaaaaaaaaa" localSheetId="146">#REF!</definedName>
    <definedName name="aaaaaaaaaaaaaaaaaaa" localSheetId="148">#REF!</definedName>
    <definedName name="aaaaaaaaaaaaaaaaaaa" localSheetId="150">#REF!</definedName>
    <definedName name="aaaaaaaaaaaaaaaaaaa" localSheetId="152">#REF!</definedName>
    <definedName name="aaaaaaaaaaaaaaaaaaa" localSheetId="154">#REF!</definedName>
    <definedName name="aaaaaaaaaaaaaaaaaaa" localSheetId="156">#REF!</definedName>
    <definedName name="aaaaaaaaaaaaaaaaaaa" localSheetId="158">#REF!</definedName>
    <definedName name="aaaaaaaaaaaaaaaaaaa" localSheetId="160">#REF!</definedName>
    <definedName name="aaaaaaaaaaaaaaaaaaa" localSheetId="162">#REF!</definedName>
    <definedName name="aaaaaaaaaaaaaaaaaaa" localSheetId="164">#REF!</definedName>
    <definedName name="aaaaaaaaaaaaaaaaaaa" localSheetId="166">#REF!</definedName>
    <definedName name="aaaaaaaaaaaaaaaaaaa" localSheetId="168">#REF!</definedName>
    <definedName name="aaaaaaaaaaaaaaaaaaa" localSheetId="170">#REF!</definedName>
    <definedName name="aaaaaaaaaaaaaaaaaaa" localSheetId="172">#REF!</definedName>
    <definedName name="aaaaaaaaaaaaaaaaaaa" localSheetId="174">#REF!</definedName>
    <definedName name="aaaaaaaaaaaaaaaaaaa" localSheetId="176">#REF!</definedName>
    <definedName name="aaaaaaaaaaaaaaaaaaa" localSheetId="178">#REF!</definedName>
    <definedName name="aaaaaaaaaaaaaaaaaaa" localSheetId="180">#REF!</definedName>
    <definedName name="aaaaaaaaaaaaaaaaaaa" localSheetId="182">#REF!</definedName>
    <definedName name="aaaaaaaaaaaaaaaaaaa" localSheetId="184">#REF!</definedName>
    <definedName name="aaaaaaaaaaaaaaaaaaa" localSheetId="186">#REF!</definedName>
    <definedName name="aaaaaaaaaaaaaaaaaaa" localSheetId="188">#REF!</definedName>
    <definedName name="aaaaaaaaaaaaaaaaaaa" localSheetId="190">#REF!</definedName>
    <definedName name="aaaaaaaaaaaaaaaaaaa" localSheetId="192">#REF!</definedName>
    <definedName name="aaaaaaaaaaaaaaaaaaa" localSheetId="194">#REF!</definedName>
    <definedName name="aaaaaaaaaaaaaaaaaaa" localSheetId="196">#REF!</definedName>
    <definedName name="aaaaaaaaaaaaaaaaaaa" localSheetId="198">#REF!</definedName>
    <definedName name="aaaaaaaaaaaaaaaaaaa" localSheetId="200">#REF!</definedName>
    <definedName name="aaaaaaaaaaaaaaaaaaa" localSheetId="202">#REF!</definedName>
    <definedName name="aaaaaaaaaaaaaaaaaaa" localSheetId="204">#REF!</definedName>
    <definedName name="aaaaaaaaaaaaaaaaaaa" localSheetId="206">#REF!</definedName>
    <definedName name="aaaaaaaaaaaaaaaaaaa" localSheetId="208">#REF!</definedName>
    <definedName name="aaaaaaaaaaaaaaaaaaa" localSheetId="210">#REF!</definedName>
    <definedName name="aaaaaaaaaaaaaaaaaaa" localSheetId="212">#REF!</definedName>
    <definedName name="aaaaaaaaaaaaaaaaaaa" localSheetId="214">#REF!</definedName>
    <definedName name="aaaaaaaaaaaaaaaaaaa" localSheetId="216">#REF!</definedName>
    <definedName name="aaaaaaaaaaaaaaaaaaa" localSheetId="218">#REF!</definedName>
    <definedName name="aaaaaaaaaaaaaaaaaaa" localSheetId="220">#REF!</definedName>
    <definedName name="aaaaaaaaaaaaaaaaaaa" localSheetId="224">#REF!</definedName>
    <definedName name="aaaaaaaaaaaaaaaaaaa" localSheetId="228">#REF!</definedName>
    <definedName name="aaaaaaaaaaaaaaaaaaa" localSheetId="230">#REF!</definedName>
    <definedName name="aaaaaaaaaaaaaaaaaaa" localSheetId="232">#REF!</definedName>
    <definedName name="aaaaaaaaaaaaaaaaaaa" localSheetId="234">#REF!</definedName>
    <definedName name="aaaaaaaaaaaaaaaaaaa" localSheetId="236">#REF!</definedName>
    <definedName name="aaaaaaaaaaaaaaaaaaa" localSheetId="240">#REF!</definedName>
    <definedName name="aaaaaaaaaaaaaaaaaaa" localSheetId="242">#REF!</definedName>
    <definedName name="aaaaaaaaaaaaaaaaaaa" localSheetId="244">#REF!</definedName>
    <definedName name="aaaaaaaaaaaaaaaaaaa" localSheetId="246">#REF!</definedName>
    <definedName name="aaaaaaaaaaaaaaaaaaa" localSheetId="248">#REF!</definedName>
    <definedName name="aaaaaaaaaaaaaaaaaaa" localSheetId="250">#REF!</definedName>
    <definedName name="aaaaaaaaaaaaaaaaaaa" localSheetId="252">#REF!</definedName>
    <definedName name="aaaaaaaaaaaaaaaaaaa" localSheetId="254">#REF!</definedName>
    <definedName name="aaaaaaaaaaaaaaaaaaa" localSheetId="256">#REF!</definedName>
    <definedName name="aaaaaaaaaaaaaaaaaaa" localSheetId="258">#REF!</definedName>
    <definedName name="aaaaaaaaaaaaaaaaaaa" localSheetId="260">#REF!</definedName>
    <definedName name="aaaaaaaaaaaaaaaaaaa" localSheetId="262">#REF!</definedName>
    <definedName name="aaaaaaaaaaaaaaaaaaa" localSheetId="264">#REF!</definedName>
    <definedName name="aaaaaaaaaaaaaaaaaaa" localSheetId="266">#REF!</definedName>
    <definedName name="aaaaaaaaaaaaaaaaaaa" localSheetId="268">#REF!</definedName>
    <definedName name="aaaaaaaaaaaaaaaaaaa" localSheetId="270">#REF!</definedName>
    <definedName name="aaaaaaaaaaaaaaaaaaa" localSheetId="282">#REF!</definedName>
    <definedName name="aaaaaaaaaaaaaaaaaaa" localSheetId="284">#REF!</definedName>
    <definedName name="aaaaaaaaaaaaaaaaaaa" localSheetId="286">#REF!</definedName>
    <definedName name="aaaaaaaaaaaaaaaaaaa" localSheetId="288">#REF!</definedName>
    <definedName name="aaaaaaaaaaaaaaaaaaa" localSheetId="290">#REF!</definedName>
    <definedName name="aaaaaaaaaaaaaaaaaaa" localSheetId="296">#REF!</definedName>
    <definedName name="aaaaaaaaaaaaaaaaaaa" localSheetId="304">#REF!</definedName>
    <definedName name="aaaaaaaaaaaaaaaaaaa" localSheetId="306">#REF!</definedName>
    <definedName name="aaaaaaaaaaaaaaaaaaa" localSheetId="308">#REF!</definedName>
    <definedName name="aaaaaaaaaaaaaaaaaaa" localSheetId="318">#REF!</definedName>
    <definedName name="aaaaaaaaaaaaaaaaaaa" localSheetId="320">#REF!</definedName>
    <definedName name="aaaaaaaaaaaaaaaaaaa" localSheetId="322">#REF!</definedName>
    <definedName name="aaaaaaaaaaaaaaaaaaa" localSheetId="324">#REF!</definedName>
    <definedName name="aaaaaaaaaaaaaaaaaaa" localSheetId="328">#REF!</definedName>
    <definedName name="aaaaaaaaaaaaaaaaaaa" localSheetId="5">#REF!</definedName>
    <definedName name="aaaaaaaaaaaaaaaaaaa" localSheetId="7">#REF!</definedName>
    <definedName name="aaaaaaaaaaaaaaaaaaa" localSheetId="9">#REF!</definedName>
    <definedName name="aaaaaaaaaaaaaaaaaaa" localSheetId="11">#REF!</definedName>
    <definedName name="aaaaaaaaaaaaaaaaaaa" localSheetId="15">#REF!</definedName>
    <definedName name="aaaaaaaaaaaaaaaaaaa" localSheetId="21">#REF!</definedName>
    <definedName name="aaaaaaaaaaaaaaaaaaa" localSheetId="23">#REF!</definedName>
    <definedName name="aaaaaaaaaaaaaaaaaaa" localSheetId="27">#REF!</definedName>
    <definedName name="aaaaaaaaaaaaaaaaaaa" localSheetId="25">#REF!</definedName>
    <definedName name="aaaaaaaaaaaaaaaaaaa" localSheetId="29">#REF!</definedName>
    <definedName name="aaaaaaaaaaaaaaaaaaa" localSheetId="31">#REF!</definedName>
    <definedName name="aaaaaaaaaaaaaaaaaaa" localSheetId="35">#REF!</definedName>
    <definedName name="aaaaaaaaaaaaaaaaaaa" localSheetId="37">#REF!</definedName>
    <definedName name="aaaaaaaaaaaaaaaaaaa" localSheetId="41">#REF!</definedName>
    <definedName name="aaaaaaaaaaaaaaaaaaa" localSheetId="51">#REF!</definedName>
    <definedName name="aaaaaaaaaaaaaaaaaaa" localSheetId="97">#REF!</definedName>
    <definedName name="aaaaaaaaaaaaaaaaaaa" localSheetId="129">#REF!</definedName>
    <definedName name="aaaaaaaaaaaaaaaaaaa" localSheetId="131">#REF!</definedName>
    <definedName name="aaaaaaaaaaaaaaaaaaa" localSheetId="133">#REF!</definedName>
    <definedName name="aaaaaaaaaaaaaaaaaaa" localSheetId="135">#REF!</definedName>
    <definedName name="aaaaaaaaaaaaaaaaaaa" localSheetId="137">#REF!</definedName>
    <definedName name="aaaaaaaaaaaaaaaaaaa" localSheetId="139">#REF!</definedName>
    <definedName name="aaaaaaaaaaaaaaaaaaa" localSheetId="141">#REF!</definedName>
    <definedName name="aaaaaaaaaaaaaaaaaaa" localSheetId="143">#REF!</definedName>
    <definedName name="aaaaaaaaaaaaaaaaaaa" localSheetId="145">#REF!</definedName>
    <definedName name="aaaaaaaaaaaaaaaaaaa" localSheetId="147">#REF!</definedName>
    <definedName name="aaaaaaaaaaaaaaaaaaa" localSheetId="149">#REF!</definedName>
    <definedName name="aaaaaaaaaaaaaaaaaaa" localSheetId="151">#REF!</definedName>
    <definedName name="aaaaaaaaaaaaaaaaaaa" localSheetId="153">#REF!</definedName>
    <definedName name="aaaaaaaaaaaaaaaaaaa" localSheetId="155">#REF!</definedName>
    <definedName name="aaaaaaaaaaaaaaaaaaa" localSheetId="157">#REF!</definedName>
    <definedName name="aaaaaaaaaaaaaaaaaaa" localSheetId="159">#REF!</definedName>
    <definedName name="aaaaaaaaaaaaaaaaaaa" localSheetId="161">#REF!</definedName>
    <definedName name="aaaaaaaaaaaaaaaaaaa" localSheetId="163">#REF!</definedName>
    <definedName name="aaaaaaaaaaaaaaaaaaa" localSheetId="169">#REF!</definedName>
    <definedName name="aaaaaaaaaaaaaaaaaaa" localSheetId="173">#REF!</definedName>
    <definedName name="aaaaaaaaaaaaaaaaaaa" localSheetId="175">#REF!</definedName>
    <definedName name="aaaaaaaaaaaaaaaaaaa" localSheetId="177">#REF!</definedName>
    <definedName name="aaaaaaaaaaaaaaaaaaa" localSheetId="179">#REF!</definedName>
    <definedName name="aaaaaaaaaaaaaaaaaaa" localSheetId="3">#REF!</definedName>
    <definedName name="aaaaaaaaaaaaaaaaaaa">#REF!</definedName>
    <definedName name="AAL" localSheetId="6">#REF!</definedName>
    <definedName name="AAL" localSheetId="330">#REF!</definedName>
    <definedName name="AAL" localSheetId="8">#REF!</definedName>
    <definedName name="AAL" localSheetId="10">#REF!</definedName>
    <definedName name="AAL" localSheetId="12">#REF!</definedName>
    <definedName name="AAL" localSheetId="14">#REF!</definedName>
    <definedName name="AAL" localSheetId="16">#REF!</definedName>
    <definedName name="AAL" localSheetId="18">#REF!</definedName>
    <definedName name="AAL" localSheetId="20">#REF!</definedName>
    <definedName name="AAL" localSheetId="22">#REF!</definedName>
    <definedName name="AAL" localSheetId="26">#REF!</definedName>
    <definedName name="AAL" localSheetId="24">#REF!</definedName>
    <definedName name="AAL" localSheetId="28">#REF!</definedName>
    <definedName name="AAL" localSheetId="30">#REF!</definedName>
    <definedName name="AAL" localSheetId="32">#REF!</definedName>
    <definedName name="AAL" localSheetId="34">#REF!</definedName>
    <definedName name="AAL" localSheetId="36">#REF!</definedName>
    <definedName name="AAL" localSheetId="38">#REF!</definedName>
    <definedName name="AAL" localSheetId="40">#REF!</definedName>
    <definedName name="AAL" localSheetId="42">#REF!</definedName>
    <definedName name="AAL" localSheetId="44">#REF!</definedName>
    <definedName name="AAL" localSheetId="46">#REF!</definedName>
    <definedName name="AAL" localSheetId="48">#REF!</definedName>
    <definedName name="AAL" localSheetId="50">#REF!</definedName>
    <definedName name="AAL" localSheetId="52">#REF!</definedName>
    <definedName name="AAL" localSheetId="54">#REF!</definedName>
    <definedName name="AAL" localSheetId="56">#REF!</definedName>
    <definedName name="AAL" localSheetId="58">#REF!</definedName>
    <definedName name="AAL" localSheetId="60">#REF!</definedName>
    <definedName name="AAL" localSheetId="62">#REF!</definedName>
    <definedName name="AAL" localSheetId="64">#REF!</definedName>
    <definedName name="AAL" localSheetId="66">#REF!</definedName>
    <definedName name="AAL" localSheetId="68">#REF!</definedName>
    <definedName name="AAL" localSheetId="70">#REF!</definedName>
    <definedName name="AAL" localSheetId="72">#REF!</definedName>
    <definedName name="AAL" localSheetId="74">#REF!</definedName>
    <definedName name="AAL" localSheetId="76">#REF!</definedName>
    <definedName name="AAL" localSheetId="78">#REF!</definedName>
    <definedName name="AAL" localSheetId="80">#REF!</definedName>
    <definedName name="AAL" localSheetId="82">#REF!</definedName>
    <definedName name="AAL" localSheetId="84">#REF!</definedName>
    <definedName name="AAL" localSheetId="86">#REF!</definedName>
    <definedName name="AAL" localSheetId="88">#REF!</definedName>
    <definedName name="AAL" localSheetId="90">#REF!</definedName>
    <definedName name="AAL" localSheetId="92">#REF!</definedName>
    <definedName name="AAL" localSheetId="94">#REF!</definedName>
    <definedName name="AAL" localSheetId="96">#REF!</definedName>
    <definedName name="AAL" localSheetId="98">#REF!</definedName>
    <definedName name="AAL" localSheetId="100">#REF!</definedName>
    <definedName name="AAL" localSheetId="102">#REF!</definedName>
    <definedName name="AAL" localSheetId="104">#REF!</definedName>
    <definedName name="AAL" localSheetId="106">#REF!</definedName>
    <definedName name="AAL" localSheetId="108">#REF!</definedName>
    <definedName name="AAL" localSheetId="110">#REF!</definedName>
    <definedName name="AAL" localSheetId="112">#REF!</definedName>
    <definedName name="AAL" localSheetId="114">#REF!</definedName>
    <definedName name="AAL" localSheetId="116">#REF!</definedName>
    <definedName name="AAL" localSheetId="118">#REF!</definedName>
    <definedName name="AAL" localSheetId="120">#REF!</definedName>
    <definedName name="AAL" localSheetId="122">#REF!</definedName>
    <definedName name="AAL" localSheetId="124">#REF!</definedName>
    <definedName name="AAL" localSheetId="126">#REF!</definedName>
    <definedName name="AAL" localSheetId="128">#REF!</definedName>
    <definedName name="AAL" localSheetId="130">#REF!</definedName>
    <definedName name="AAL" localSheetId="132">#REF!</definedName>
    <definedName name="AAL" localSheetId="134">#REF!</definedName>
    <definedName name="AAL" localSheetId="136">#REF!</definedName>
    <definedName name="AAL" localSheetId="138">#REF!</definedName>
    <definedName name="AAL" localSheetId="140">#REF!</definedName>
    <definedName name="AAL" localSheetId="142">#REF!</definedName>
    <definedName name="AAL" localSheetId="144">#REF!</definedName>
    <definedName name="AAL" localSheetId="146">#REF!</definedName>
    <definedName name="AAL" localSheetId="148">#REF!</definedName>
    <definedName name="AAL" localSheetId="150">#REF!</definedName>
    <definedName name="AAL" localSheetId="152">#REF!</definedName>
    <definedName name="AAL" localSheetId="154">#REF!</definedName>
    <definedName name="AAL" localSheetId="156">#REF!</definedName>
    <definedName name="AAL" localSheetId="158">#REF!</definedName>
    <definedName name="AAL" localSheetId="160">#REF!</definedName>
    <definedName name="AAL" localSheetId="162">#REF!</definedName>
    <definedName name="AAL" localSheetId="164">#REF!</definedName>
    <definedName name="AAL" localSheetId="166">#REF!</definedName>
    <definedName name="AAL" localSheetId="168">#REF!</definedName>
    <definedName name="AAL" localSheetId="170">#REF!</definedName>
    <definedName name="AAL" localSheetId="172">#REF!</definedName>
    <definedName name="AAL" localSheetId="174">#REF!</definedName>
    <definedName name="AAL" localSheetId="176">#REF!</definedName>
    <definedName name="AAL" localSheetId="178">#REF!</definedName>
    <definedName name="AAL" localSheetId="180">#REF!</definedName>
    <definedName name="AAL" localSheetId="182">#REF!</definedName>
    <definedName name="AAL" localSheetId="184">#REF!</definedName>
    <definedName name="AAL" localSheetId="186">#REF!</definedName>
    <definedName name="AAL" localSheetId="188">#REF!</definedName>
    <definedName name="AAL" localSheetId="190">#REF!</definedName>
    <definedName name="AAL" localSheetId="192">#REF!</definedName>
    <definedName name="AAL" localSheetId="194">#REF!</definedName>
    <definedName name="AAL" localSheetId="196">#REF!</definedName>
    <definedName name="AAL" localSheetId="198">#REF!</definedName>
    <definedName name="AAL" localSheetId="200">#REF!</definedName>
    <definedName name="AAL" localSheetId="202">#REF!</definedName>
    <definedName name="AAL" localSheetId="204">#REF!</definedName>
    <definedName name="AAL" localSheetId="206">#REF!</definedName>
    <definedName name="AAL" localSheetId="208">#REF!</definedName>
    <definedName name="AAL" localSheetId="210">#REF!</definedName>
    <definedName name="AAL" localSheetId="212">#REF!</definedName>
    <definedName name="AAL" localSheetId="214">#REF!</definedName>
    <definedName name="AAL" localSheetId="216">#REF!</definedName>
    <definedName name="AAL" localSheetId="218">#REF!</definedName>
    <definedName name="AAL" localSheetId="220">#REF!</definedName>
    <definedName name="AAL" localSheetId="224">#REF!</definedName>
    <definedName name="AAL" localSheetId="228">#REF!</definedName>
    <definedName name="AAL" localSheetId="230">#REF!</definedName>
    <definedName name="AAL" localSheetId="232">#REF!</definedName>
    <definedName name="AAL" localSheetId="234">#REF!</definedName>
    <definedName name="AAL" localSheetId="236">#REF!</definedName>
    <definedName name="AAL" localSheetId="240">#REF!</definedName>
    <definedName name="AAL" localSheetId="242">#REF!</definedName>
    <definedName name="AAL" localSheetId="244">#REF!</definedName>
    <definedName name="AAL" localSheetId="246">#REF!</definedName>
    <definedName name="AAL" localSheetId="248">#REF!</definedName>
    <definedName name="AAL" localSheetId="250">#REF!</definedName>
    <definedName name="AAL" localSheetId="252">#REF!</definedName>
    <definedName name="AAL" localSheetId="254">#REF!</definedName>
    <definedName name="AAL" localSheetId="256">#REF!</definedName>
    <definedName name="AAL" localSheetId="258">#REF!</definedName>
    <definedName name="AAL" localSheetId="260">#REF!</definedName>
    <definedName name="AAL" localSheetId="262">#REF!</definedName>
    <definedName name="AAL" localSheetId="264">#REF!</definedName>
    <definedName name="AAL" localSheetId="266">#REF!</definedName>
    <definedName name="AAL" localSheetId="268">#REF!</definedName>
    <definedName name="AAL" localSheetId="270">#REF!</definedName>
    <definedName name="AAL" localSheetId="282">#REF!</definedName>
    <definedName name="AAL" localSheetId="284">#REF!</definedName>
    <definedName name="AAL" localSheetId="286">#REF!</definedName>
    <definedName name="AAL" localSheetId="288">#REF!</definedName>
    <definedName name="AAL" localSheetId="290">#REF!</definedName>
    <definedName name="AAL" localSheetId="296">#REF!</definedName>
    <definedName name="AAL" localSheetId="304">#REF!</definedName>
    <definedName name="AAL" localSheetId="306">#REF!</definedName>
    <definedName name="AAL" localSheetId="308">#REF!</definedName>
    <definedName name="AAL" localSheetId="318">#REF!</definedName>
    <definedName name="AAL" localSheetId="320">#REF!</definedName>
    <definedName name="AAL" localSheetId="322">#REF!</definedName>
    <definedName name="AAL" localSheetId="324">#REF!</definedName>
    <definedName name="AAL" localSheetId="328">#REF!</definedName>
    <definedName name="AAL" localSheetId="5">#REF!</definedName>
    <definedName name="AAL" localSheetId="7">#REF!</definedName>
    <definedName name="AAL" localSheetId="9">#REF!</definedName>
    <definedName name="AAL" localSheetId="11">#REF!</definedName>
    <definedName name="AAL" localSheetId="15">#REF!</definedName>
    <definedName name="AAL" localSheetId="21">#REF!</definedName>
    <definedName name="AAL" localSheetId="23">#REF!</definedName>
    <definedName name="AAL" localSheetId="27">#REF!</definedName>
    <definedName name="AAL" localSheetId="25">#REF!</definedName>
    <definedName name="AAL" localSheetId="29">#REF!</definedName>
    <definedName name="AAL" localSheetId="31">#REF!</definedName>
    <definedName name="AAL" localSheetId="35">#REF!</definedName>
    <definedName name="AAL" localSheetId="37">#REF!</definedName>
    <definedName name="AAL" localSheetId="41">#REF!</definedName>
    <definedName name="AAL" localSheetId="51">#REF!</definedName>
    <definedName name="AAL" localSheetId="97">#REF!</definedName>
    <definedName name="AAL" localSheetId="129">#REF!</definedName>
    <definedName name="AAL" localSheetId="131">#REF!</definedName>
    <definedName name="AAL" localSheetId="133">#REF!</definedName>
    <definedName name="AAL" localSheetId="135">#REF!</definedName>
    <definedName name="AAL" localSheetId="137">#REF!</definedName>
    <definedName name="AAL" localSheetId="139">#REF!</definedName>
    <definedName name="AAL" localSheetId="141">#REF!</definedName>
    <definedName name="AAL" localSheetId="143">#REF!</definedName>
    <definedName name="AAL" localSheetId="145">#REF!</definedName>
    <definedName name="AAL" localSheetId="147">#REF!</definedName>
    <definedName name="AAL" localSheetId="149">#REF!</definedName>
    <definedName name="AAL" localSheetId="151">#REF!</definedName>
    <definedName name="AAL" localSheetId="153">#REF!</definedName>
    <definedName name="AAL" localSheetId="155">#REF!</definedName>
    <definedName name="AAL" localSheetId="157">#REF!</definedName>
    <definedName name="AAL" localSheetId="159">#REF!</definedName>
    <definedName name="AAL" localSheetId="161">#REF!</definedName>
    <definedName name="AAL" localSheetId="163">#REF!</definedName>
    <definedName name="AAL" localSheetId="169">#REF!</definedName>
    <definedName name="AAL" localSheetId="173">#REF!</definedName>
    <definedName name="AAL" localSheetId="175">#REF!</definedName>
    <definedName name="AAL" localSheetId="177">#REF!</definedName>
    <definedName name="AAL" localSheetId="179">#REF!</definedName>
    <definedName name="AAL" localSheetId="3">#REF!</definedName>
    <definedName name="AAL">#REF!</definedName>
    <definedName name="AB" localSheetId="6">#REF!</definedName>
    <definedName name="AB" localSheetId="330">#REF!</definedName>
    <definedName name="AB" localSheetId="8">#REF!</definedName>
    <definedName name="AB" localSheetId="10">#REF!</definedName>
    <definedName name="AB" localSheetId="12">#REF!</definedName>
    <definedName name="AB" localSheetId="14">#REF!</definedName>
    <definedName name="AB" localSheetId="16">#REF!</definedName>
    <definedName name="AB" localSheetId="18">#REF!</definedName>
    <definedName name="AB" localSheetId="20">#REF!</definedName>
    <definedName name="AB" localSheetId="22">#REF!</definedName>
    <definedName name="AB" localSheetId="26">#REF!</definedName>
    <definedName name="AB" localSheetId="24">#REF!</definedName>
    <definedName name="AB" localSheetId="28">#REF!</definedName>
    <definedName name="AB" localSheetId="30">#REF!</definedName>
    <definedName name="AB" localSheetId="32">#REF!</definedName>
    <definedName name="AB" localSheetId="34">#REF!</definedName>
    <definedName name="AB" localSheetId="36">#REF!</definedName>
    <definedName name="AB" localSheetId="38">#REF!</definedName>
    <definedName name="AB" localSheetId="40">#REF!</definedName>
    <definedName name="AB" localSheetId="42">#REF!</definedName>
    <definedName name="AB" localSheetId="44">#REF!</definedName>
    <definedName name="AB" localSheetId="46">#REF!</definedName>
    <definedName name="AB" localSheetId="48">#REF!</definedName>
    <definedName name="AB" localSheetId="50">#REF!</definedName>
    <definedName name="AB" localSheetId="52">#REF!</definedName>
    <definedName name="AB" localSheetId="54">#REF!</definedName>
    <definedName name="AB" localSheetId="56">#REF!</definedName>
    <definedName name="AB" localSheetId="58">#REF!</definedName>
    <definedName name="AB" localSheetId="60">#REF!</definedName>
    <definedName name="AB" localSheetId="62">#REF!</definedName>
    <definedName name="AB" localSheetId="64">#REF!</definedName>
    <definedName name="AB" localSheetId="66">#REF!</definedName>
    <definedName name="AB" localSheetId="68">#REF!</definedName>
    <definedName name="AB" localSheetId="70">#REF!</definedName>
    <definedName name="AB" localSheetId="72">#REF!</definedName>
    <definedName name="AB" localSheetId="74">#REF!</definedName>
    <definedName name="AB" localSheetId="76">#REF!</definedName>
    <definedName name="AB" localSheetId="78">#REF!</definedName>
    <definedName name="AB" localSheetId="80">#REF!</definedName>
    <definedName name="AB" localSheetId="82">#REF!</definedName>
    <definedName name="AB" localSheetId="84">#REF!</definedName>
    <definedName name="AB" localSheetId="86">#REF!</definedName>
    <definedName name="AB" localSheetId="88">#REF!</definedName>
    <definedName name="AB" localSheetId="90">#REF!</definedName>
    <definedName name="AB" localSheetId="92">#REF!</definedName>
    <definedName name="AB" localSheetId="94">#REF!</definedName>
    <definedName name="AB" localSheetId="96">#REF!</definedName>
    <definedName name="AB" localSheetId="98">#REF!</definedName>
    <definedName name="AB" localSheetId="100">#REF!</definedName>
    <definedName name="AB" localSheetId="102">#REF!</definedName>
    <definedName name="AB" localSheetId="104">#REF!</definedName>
    <definedName name="AB" localSheetId="106">#REF!</definedName>
    <definedName name="AB" localSheetId="108">#REF!</definedName>
    <definedName name="AB" localSheetId="110">#REF!</definedName>
    <definedName name="AB" localSheetId="112">#REF!</definedName>
    <definedName name="AB" localSheetId="114">#REF!</definedName>
    <definedName name="AB" localSheetId="116">#REF!</definedName>
    <definedName name="AB" localSheetId="118">#REF!</definedName>
    <definedName name="AB" localSheetId="120">#REF!</definedName>
    <definedName name="AB" localSheetId="122">#REF!</definedName>
    <definedName name="AB" localSheetId="124">#REF!</definedName>
    <definedName name="AB" localSheetId="126">#REF!</definedName>
    <definedName name="AB" localSheetId="128">#REF!</definedName>
    <definedName name="AB" localSheetId="130">#REF!</definedName>
    <definedName name="AB" localSheetId="132">#REF!</definedName>
    <definedName name="AB" localSheetId="134">#REF!</definedName>
    <definedName name="AB" localSheetId="136">#REF!</definedName>
    <definedName name="AB" localSheetId="138">#REF!</definedName>
    <definedName name="AB" localSheetId="140">#REF!</definedName>
    <definedName name="AB" localSheetId="142">#REF!</definedName>
    <definedName name="AB" localSheetId="144">#REF!</definedName>
    <definedName name="AB" localSheetId="146">#REF!</definedName>
    <definedName name="AB" localSheetId="148">#REF!</definedName>
    <definedName name="AB" localSheetId="150">#REF!</definedName>
    <definedName name="AB" localSheetId="152">#REF!</definedName>
    <definedName name="AB" localSheetId="154">#REF!</definedName>
    <definedName name="AB" localSheetId="156">#REF!</definedName>
    <definedName name="AB" localSheetId="158">#REF!</definedName>
    <definedName name="AB" localSheetId="160">#REF!</definedName>
    <definedName name="AB" localSheetId="162">#REF!</definedName>
    <definedName name="AB" localSheetId="164">#REF!</definedName>
    <definedName name="AB" localSheetId="166">#REF!</definedName>
    <definedName name="AB" localSheetId="168">#REF!</definedName>
    <definedName name="AB" localSheetId="170">#REF!</definedName>
    <definedName name="AB" localSheetId="172">#REF!</definedName>
    <definedName name="AB" localSheetId="174">#REF!</definedName>
    <definedName name="AB" localSheetId="176">#REF!</definedName>
    <definedName name="AB" localSheetId="178">#REF!</definedName>
    <definedName name="AB" localSheetId="180">#REF!</definedName>
    <definedName name="AB" localSheetId="182">#REF!</definedName>
    <definedName name="AB" localSheetId="184">#REF!</definedName>
    <definedName name="AB" localSheetId="186">#REF!</definedName>
    <definedName name="AB" localSheetId="188">#REF!</definedName>
    <definedName name="AB" localSheetId="190">#REF!</definedName>
    <definedName name="AB" localSheetId="192">#REF!</definedName>
    <definedName name="AB" localSheetId="194">#REF!</definedName>
    <definedName name="AB" localSheetId="196">#REF!</definedName>
    <definedName name="AB" localSheetId="198">#REF!</definedName>
    <definedName name="AB" localSheetId="200">#REF!</definedName>
    <definedName name="AB" localSheetId="202">#REF!</definedName>
    <definedName name="AB" localSheetId="204">#REF!</definedName>
    <definedName name="AB" localSheetId="206">#REF!</definedName>
    <definedName name="AB" localSheetId="208">#REF!</definedName>
    <definedName name="AB" localSheetId="210">#REF!</definedName>
    <definedName name="AB" localSheetId="212">#REF!</definedName>
    <definedName name="AB" localSheetId="214">#REF!</definedName>
    <definedName name="AB" localSheetId="216">#REF!</definedName>
    <definedName name="AB" localSheetId="218">#REF!</definedName>
    <definedName name="AB" localSheetId="220">#REF!</definedName>
    <definedName name="AB" localSheetId="224">#REF!</definedName>
    <definedName name="AB" localSheetId="228">#REF!</definedName>
    <definedName name="AB" localSheetId="230">#REF!</definedName>
    <definedName name="AB" localSheetId="232">#REF!</definedName>
    <definedName name="AB" localSheetId="234">#REF!</definedName>
    <definedName name="AB" localSheetId="236">#REF!</definedName>
    <definedName name="AB" localSheetId="240">#REF!</definedName>
    <definedName name="AB" localSheetId="242">#REF!</definedName>
    <definedName name="AB" localSheetId="244">#REF!</definedName>
    <definedName name="AB" localSheetId="246">#REF!</definedName>
    <definedName name="AB" localSheetId="248">#REF!</definedName>
    <definedName name="AB" localSheetId="250">#REF!</definedName>
    <definedName name="AB" localSheetId="252">#REF!</definedName>
    <definedName name="AB" localSheetId="254">#REF!</definedName>
    <definedName name="AB" localSheetId="256">#REF!</definedName>
    <definedName name="AB" localSheetId="258">#REF!</definedName>
    <definedName name="AB" localSheetId="260">#REF!</definedName>
    <definedName name="AB" localSheetId="262">#REF!</definedName>
    <definedName name="AB" localSheetId="264">#REF!</definedName>
    <definedName name="AB" localSheetId="266">#REF!</definedName>
    <definedName name="AB" localSheetId="268">#REF!</definedName>
    <definedName name="AB" localSheetId="270">#REF!</definedName>
    <definedName name="AB" localSheetId="282">#REF!</definedName>
    <definedName name="AB" localSheetId="284">#REF!</definedName>
    <definedName name="AB" localSheetId="286">#REF!</definedName>
    <definedName name="AB" localSheetId="288">#REF!</definedName>
    <definedName name="AB" localSheetId="290">#REF!</definedName>
    <definedName name="AB" localSheetId="296">#REF!</definedName>
    <definedName name="AB" localSheetId="304">#REF!</definedName>
    <definedName name="AB" localSheetId="306">#REF!</definedName>
    <definedName name="AB" localSheetId="308">#REF!</definedName>
    <definedName name="AB" localSheetId="318">#REF!</definedName>
    <definedName name="AB" localSheetId="320">#REF!</definedName>
    <definedName name="AB" localSheetId="322">#REF!</definedName>
    <definedName name="AB" localSheetId="324">#REF!</definedName>
    <definedName name="AB" localSheetId="328">#REF!</definedName>
    <definedName name="AB" localSheetId="5">#REF!</definedName>
    <definedName name="AB" localSheetId="7">#REF!</definedName>
    <definedName name="AB" localSheetId="9">#REF!</definedName>
    <definedName name="AB" localSheetId="11">#REF!</definedName>
    <definedName name="AB" localSheetId="15">#REF!</definedName>
    <definedName name="AB" localSheetId="21">#REF!</definedName>
    <definedName name="AB" localSheetId="23">#REF!</definedName>
    <definedName name="AB" localSheetId="27">#REF!</definedName>
    <definedName name="AB" localSheetId="25">#REF!</definedName>
    <definedName name="AB" localSheetId="29">#REF!</definedName>
    <definedName name="AB" localSheetId="31">#REF!</definedName>
    <definedName name="AB" localSheetId="35">#REF!</definedName>
    <definedName name="AB" localSheetId="37">#REF!</definedName>
    <definedName name="AB" localSheetId="41">#REF!</definedName>
    <definedName name="AB" localSheetId="51">#REF!</definedName>
    <definedName name="AB" localSheetId="97">#REF!</definedName>
    <definedName name="AB" localSheetId="129">#REF!</definedName>
    <definedName name="AB" localSheetId="131">#REF!</definedName>
    <definedName name="AB" localSheetId="133">#REF!</definedName>
    <definedName name="AB" localSheetId="135">#REF!</definedName>
    <definedName name="AB" localSheetId="137">#REF!</definedName>
    <definedName name="AB" localSheetId="139">#REF!</definedName>
    <definedName name="AB" localSheetId="141">#REF!</definedName>
    <definedName name="AB" localSheetId="143">#REF!</definedName>
    <definedName name="AB" localSheetId="145">#REF!</definedName>
    <definedName name="AB" localSheetId="147">#REF!</definedName>
    <definedName name="AB" localSheetId="149">#REF!</definedName>
    <definedName name="AB" localSheetId="151">#REF!</definedName>
    <definedName name="AB" localSheetId="153">#REF!</definedName>
    <definedName name="AB" localSheetId="155">#REF!</definedName>
    <definedName name="AB" localSheetId="157">#REF!</definedName>
    <definedName name="AB" localSheetId="159">#REF!</definedName>
    <definedName name="AB" localSheetId="161">#REF!</definedName>
    <definedName name="AB" localSheetId="163">#REF!</definedName>
    <definedName name="AB" localSheetId="169">#REF!</definedName>
    <definedName name="AB" localSheetId="173">#REF!</definedName>
    <definedName name="AB" localSheetId="175">#REF!</definedName>
    <definedName name="AB" localSheetId="177">#REF!</definedName>
    <definedName name="AB" localSheetId="179">#REF!</definedName>
    <definedName name="AB" localSheetId="3">#REF!</definedName>
    <definedName name="AB">#REF!</definedName>
    <definedName name="ALE" localSheetId="6">#REF!</definedName>
    <definedName name="ALE" localSheetId="330">#REF!</definedName>
    <definedName name="ALE" localSheetId="8">#REF!</definedName>
    <definedName name="ALE" localSheetId="10">#REF!</definedName>
    <definedName name="ALE" localSheetId="12">#REF!</definedName>
    <definedName name="ALE" localSheetId="14">#REF!</definedName>
    <definedName name="ALE" localSheetId="16">#REF!</definedName>
    <definedName name="ALE" localSheetId="18">#REF!</definedName>
    <definedName name="ALE" localSheetId="20">#REF!</definedName>
    <definedName name="ALE" localSheetId="22">#REF!</definedName>
    <definedName name="ALE" localSheetId="26">#REF!</definedName>
    <definedName name="ALE" localSheetId="24">#REF!</definedName>
    <definedName name="ALE" localSheetId="28">#REF!</definedName>
    <definedName name="ALE" localSheetId="30">#REF!</definedName>
    <definedName name="ALE" localSheetId="32">#REF!</definedName>
    <definedName name="ALE" localSheetId="34">#REF!</definedName>
    <definedName name="ALE" localSheetId="36">#REF!</definedName>
    <definedName name="ALE" localSheetId="38">#REF!</definedName>
    <definedName name="ALE" localSheetId="40">#REF!</definedName>
    <definedName name="ALE" localSheetId="42">#REF!</definedName>
    <definedName name="ALE" localSheetId="44">#REF!</definedName>
    <definedName name="ALE" localSheetId="46">#REF!</definedName>
    <definedName name="ALE" localSheetId="48">#REF!</definedName>
    <definedName name="ALE" localSheetId="50">#REF!</definedName>
    <definedName name="ALE" localSheetId="52">#REF!</definedName>
    <definedName name="ALE" localSheetId="54">#REF!</definedName>
    <definedName name="ALE" localSheetId="56">#REF!</definedName>
    <definedName name="ALE" localSheetId="58">#REF!</definedName>
    <definedName name="ALE" localSheetId="60">#REF!</definedName>
    <definedName name="ALE" localSheetId="62">#REF!</definedName>
    <definedName name="ALE" localSheetId="64">#REF!</definedName>
    <definedName name="ALE" localSheetId="66">#REF!</definedName>
    <definedName name="ALE" localSheetId="68">#REF!</definedName>
    <definedName name="ALE" localSheetId="70">#REF!</definedName>
    <definedName name="ALE" localSheetId="72">#REF!</definedName>
    <definedName name="ALE" localSheetId="74">#REF!</definedName>
    <definedName name="ALE" localSheetId="76">#REF!</definedName>
    <definedName name="ALE" localSheetId="78">#REF!</definedName>
    <definedName name="ALE" localSheetId="80">#REF!</definedName>
    <definedName name="ALE" localSheetId="82">#REF!</definedName>
    <definedName name="ALE" localSheetId="84">#REF!</definedName>
    <definedName name="ALE" localSheetId="86">#REF!</definedName>
    <definedName name="ALE" localSheetId="88">#REF!</definedName>
    <definedName name="ALE" localSheetId="90">#REF!</definedName>
    <definedName name="ALE" localSheetId="92">#REF!</definedName>
    <definedName name="ALE" localSheetId="94">#REF!</definedName>
    <definedName name="ALE" localSheetId="96">#REF!</definedName>
    <definedName name="ALE" localSheetId="98">#REF!</definedName>
    <definedName name="ALE" localSheetId="100">#REF!</definedName>
    <definedName name="ALE" localSheetId="102">#REF!</definedName>
    <definedName name="ALE" localSheetId="104">#REF!</definedName>
    <definedName name="ALE" localSheetId="106">#REF!</definedName>
    <definedName name="ALE" localSheetId="108">#REF!</definedName>
    <definedName name="ALE" localSheetId="110">#REF!</definedName>
    <definedName name="ALE" localSheetId="112">#REF!</definedName>
    <definedName name="ALE" localSheetId="114">#REF!</definedName>
    <definedName name="ALE" localSheetId="116">#REF!</definedName>
    <definedName name="ALE" localSheetId="118">#REF!</definedName>
    <definedName name="ALE" localSheetId="120">#REF!</definedName>
    <definedName name="ALE" localSheetId="122">#REF!</definedName>
    <definedName name="ALE" localSheetId="124">#REF!</definedName>
    <definedName name="ALE" localSheetId="126">#REF!</definedName>
    <definedName name="ALE" localSheetId="128">#REF!</definedName>
    <definedName name="ALE" localSheetId="130">#REF!</definedName>
    <definedName name="ALE" localSheetId="132">#REF!</definedName>
    <definedName name="ALE" localSheetId="134">#REF!</definedName>
    <definedName name="ALE" localSheetId="136">#REF!</definedName>
    <definedName name="ALE" localSheetId="138">#REF!</definedName>
    <definedName name="ALE" localSheetId="140">#REF!</definedName>
    <definedName name="ALE" localSheetId="142">#REF!</definedName>
    <definedName name="ALE" localSheetId="144">#REF!</definedName>
    <definedName name="ALE" localSheetId="146">#REF!</definedName>
    <definedName name="ALE" localSheetId="148">#REF!</definedName>
    <definedName name="ALE" localSheetId="150">#REF!</definedName>
    <definedName name="ALE" localSheetId="152">#REF!</definedName>
    <definedName name="ALE" localSheetId="154">#REF!</definedName>
    <definedName name="ALE" localSheetId="156">#REF!</definedName>
    <definedName name="ALE" localSheetId="158">#REF!</definedName>
    <definedName name="ALE" localSheetId="160">#REF!</definedName>
    <definedName name="ALE" localSheetId="162">#REF!</definedName>
    <definedName name="ALE" localSheetId="164">#REF!</definedName>
    <definedName name="ALE" localSheetId="166">#REF!</definedName>
    <definedName name="ALE" localSheetId="168">#REF!</definedName>
    <definedName name="ALE" localSheetId="170">#REF!</definedName>
    <definedName name="ALE" localSheetId="172">#REF!</definedName>
    <definedName name="ALE" localSheetId="174">#REF!</definedName>
    <definedName name="ALE" localSheetId="176">#REF!</definedName>
    <definedName name="ALE" localSheetId="178">#REF!</definedName>
    <definedName name="ALE" localSheetId="180">#REF!</definedName>
    <definedName name="ALE" localSheetId="182">#REF!</definedName>
    <definedName name="ALE" localSheetId="184">#REF!</definedName>
    <definedName name="ALE" localSheetId="186">#REF!</definedName>
    <definedName name="ALE" localSheetId="188">#REF!</definedName>
    <definedName name="ALE" localSheetId="190">#REF!</definedName>
    <definedName name="ALE" localSheetId="192">#REF!</definedName>
    <definedName name="ALE" localSheetId="194">#REF!</definedName>
    <definedName name="ALE" localSheetId="196">#REF!</definedName>
    <definedName name="ALE" localSheetId="198">#REF!</definedName>
    <definedName name="ALE" localSheetId="200">#REF!</definedName>
    <definedName name="ALE" localSheetId="202">#REF!</definedName>
    <definedName name="ALE" localSheetId="204">#REF!</definedName>
    <definedName name="ALE" localSheetId="206">#REF!</definedName>
    <definedName name="ALE" localSheetId="208">#REF!</definedName>
    <definedName name="ALE" localSheetId="210">#REF!</definedName>
    <definedName name="ALE" localSheetId="212">#REF!</definedName>
    <definedName name="ALE" localSheetId="214">#REF!</definedName>
    <definedName name="ALE" localSheetId="216">#REF!</definedName>
    <definedName name="ALE" localSheetId="218">#REF!</definedName>
    <definedName name="ALE" localSheetId="220">#REF!</definedName>
    <definedName name="ALE" localSheetId="224">#REF!</definedName>
    <definedName name="ALE" localSheetId="228">#REF!</definedName>
    <definedName name="ALE" localSheetId="230">#REF!</definedName>
    <definedName name="ALE" localSheetId="232">#REF!</definedName>
    <definedName name="ALE" localSheetId="234">#REF!</definedName>
    <definedName name="ALE" localSheetId="236">#REF!</definedName>
    <definedName name="ALE" localSheetId="240">#REF!</definedName>
    <definedName name="ALE" localSheetId="242">#REF!</definedName>
    <definedName name="ALE" localSheetId="244">#REF!</definedName>
    <definedName name="ALE" localSheetId="246">#REF!</definedName>
    <definedName name="ALE" localSheetId="248">#REF!</definedName>
    <definedName name="ALE" localSheetId="250">#REF!</definedName>
    <definedName name="ALE" localSheetId="252">#REF!</definedName>
    <definedName name="ALE" localSheetId="254">#REF!</definedName>
    <definedName name="ALE" localSheetId="256">#REF!</definedName>
    <definedName name="ALE" localSheetId="258">#REF!</definedName>
    <definedName name="ALE" localSheetId="260">#REF!</definedName>
    <definedName name="ALE" localSheetId="262">#REF!</definedName>
    <definedName name="ALE" localSheetId="264">#REF!</definedName>
    <definedName name="ALE" localSheetId="266">#REF!</definedName>
    <definedName name="ALE" localSheetId="268">#REF!</definedName>
    <definedName name="ALE" localSheetId="270">#REF!</definedName>
    <definedName name="ALE" localSheetId="282">#REF!</definedName>
    <definedName name="ALE" localSheetId="284">#REF!</definedName>
    <definedName name="ALE" localSheetId="286">#REF!</definedName>
    <definedName name="ALE" localSheetId="288">#REF!</definedName>
    <definedName name="ALE" localSheetId="290">#REF!</definedName>
    <definedName name="ALE" localSheetId="296">#REF!</definedName>
    <definedName name="ALE" localSheetId="304">#REF!</definedName>
    <definedName name="ALE" localSheetId="306">#REF!</definedName>
    <definedName name="ALE" localSheetId="308">#REF!</definedName>
    <definedName name="ALE" localSheetId="318">#REF!</definedName>
    <definedName name="ALE" localSheetId="320">#REF!</definedName>
    <definedName name="ALE" localSheetId="322">#REF!</definedName>
    <definedName name="ALE" localSheetId="324">#REF!</definedName>
    <definedName name="ALE" localSheetId="328">#REF!</definedName>
    <definedName name="ALE" localSheetId="5">#REF!</definedName>
    <definedName name="ALE" localSheetId="7">#REF!</definedName>
    <definedName name="ALE" localSheetId="9">#REF!</definedName>
    <definedName name="ALE" localSheetId="11">#REF!</definedName>
    <definedName name="ALE" localSheetId="15">#REF!</definedName>
    <definedName name="ALE" localSheetId="21">#REF!</definedName>
    <definedName name="ALE" localSheetId="23">#REF!</definedName>
    <definedName name="ALE" localSheetId="27">#REF!</definedName>
    <definedName name="ALE" localSheetId="25">#REF!</definedName>
    <definedName name="ALE" localSheetId="29">#REF!</definedName>
    <definedName name="ALE" localSheetId="31">#REF!</definedName>
    <definedName name="ALE" localSheetId="35">#REF!</definedName>
    <definedName name="ALE" localSheetId="37">#REF!</definedName>
    <definedName name="ALE" localSheetId="41">#REF!</definedName>
    <definedName name="ALE" localSheetId="51">#REF!</definedName>
    <definedName name="ALE" localSheetId="97">#REF!</definedName>
    <definedName name="ALE" localSheetId="129">#REF!</definedName>
    <definedName name="ALE" localSheetId="131">#REF!</definedName>
    <definedName name="ALE" localSheetId="133">#REF!</definedName>
    <definedName name="ALE" localSheetId="135">#REF!</definedName>
    <definedName name="ALE" localSheetId="137">#REF!</definedName>
    <definedName name="ALE" localSheetId="139">#REF!</definedName>
    <definedName name="ALE" localSheetId="141">#REF!</definedName>
    <definedName name="ALE" localSheetId="143">#REF!</definedName>
    <definedName name="ALE" localSheetId="145">#REF!</definedName>
    <definedName name="ALE" localSheetId="147">#REF!</definedName>
    <definedName name="ALE" localSheetId="149">#REF!</definedName>
    <definedName name="ALE" localSheetId="151">#REF!</definedName>
    <definedName name="ALE" localSheetId="153">#REF!</definedName>
    <definedName name="ALE" localSheetId="155">#REF!</definedName>
    <definedName name="ALE" localSheetId="157">#REF!</definedName>
    <definedName name="ALE" localSheetId="159">#REF!</definedName>
    <definedName name="ALE" localSheetId="161">#REF!</definedName>
    <definedName name="ALE" localSheetId="163">#REF!</definedName>
    <definedName name="ALE" localSheetId="169">#REF!</definedName>
    <definedName name="ALE" localSheetId="173">#REF!</definedName>
    <definedName name="ALE" localSheetId="175">#REF!</definedName>
    <definedName name="ALE" localSheetId="177">#REF!</definedName>
    <definedName name="ALE" localSheetId="179">#REF!</definedName>
    <definedName name="ALE" localSheetId="3">#REF!</definedName>
    <definedName name="ALE">#REF!</definedName>
    <definedName name="_xlnm.Print_Area" localSheetId="434">'INCENTIVOS JUL - SEP 17'!$A$1:$J$108</definedName>
    <definedName name="_xlnm.Print_Area" localSheetId="435">'INCENTIVOS OCT - DIC 17'!$A$1:$J$127</definedName>
    <definedName name="_xlnm.Print_Area" localSheetId="221">'OT 17-396 VICTORIA'!$A$1:$S$41</definedName>
    <definedName name="_xlnm.Print_Area" localSheetId="5">'OT17-013  CHÍA AMPLIACIÓN'!$A$14:$AE$70</definedName>
    <definedName name="_xlnm.Print_Area" localSheetId="37">'OT17-152 SATÉLITE SIMP ROSARIO'!$A$13:$J$25</definedName>
    <definedName name="_xlnm.Print_Area" localSheetId="39">'OT17-153 SATÉLITE SIMP MAGDALEN'!$A$1:$AE$47</definedName>
    <definedName name="_xlnm.Print_Area" localSheetId="51">'OT17-172 - NORTE'!$A$1:$AB$93</definedName>
    <definedName name="_xlnm.Print_Area" localSheetId="91">'OT17-250 VILLA PINZON'!$A$1:$AE$51</definedName>
    <definedName name="_xlnm.Print_Area" localSheetId="109">'OT17-280 CÁQUEZA ILUMINA INTER'!$A$13:$H$15</definedName>
    <definedName name="_xlnm.Print_Area" localSheetId="167">'OT17-334 VICTORIA '!$A$1:$AB$76</definedName>
    <definedName name="_xlnm.Print_Area" localSheetId="171">'OT17-337 LLTT TERMOZIPA - AGAFA'!$A$13:$J$15</definedName>
    <definedName name="_xlnm.Print_Area" localSheetId="183">'OT17-365 LA SALADA'!$A$13:$J$38</definedName>
    <definedName name="_xlnm.Print_Area" localSheetId="185">'OT17-367 VICTORIA'!$A$13:$K$27</definedName>
    <definedName name="_xlnm.Print_Area" localSheetId="207">'OT17-386 CHOACHÍ'!$A$1:$V$57</definedName>
    <definedName name="_xlnm.Print_Area" localSheetId="295">'OT18-003 REP PROT DES NOCT'!$A$13:$H$95</definedName>
    <definedName name="BAL" localSheetId="6">#REF!</definedName>
    <definedName name="BAL" localSheetId="330">#REF!</definedName>
    <definedName name="BAL" localSheetId="8">#REF!</definedName>
    <definedName name="BAL" localSheetId="10">#REF!</definedName>
    <definedName name="BAL" localSheetId="12">#REF!</definedName>
    <definedName name="BAL" localSheetId="14">#REF!</definedName>
    <definedName name="BAL" localSheetId="16">#REF!</definedName>
    <definedName name="BAL" localSheetId="18">#REF!</definedName>
    <definedName name="BAL" localSheetId="20">#REF!</definedName>
    <definedName name="BAL" localSheetId="22">#REF!</definedName>
    <definedName name="BAL" localSheetId="26">#REF!</definedName>
    <definedName name="BAL" localSheetId="24">#REF!</definedName>
    <definedName name="BAL" localSheetId="28">#REF!</definedName>
    <definedName name="BAL" localSheetId="30">#REF!</definedName>
    <definedName name="BAL" localSheetId="32">#REF!</definedName>
    <definedName name="BAL" localSheetId="34">#REF!</definedName>
    <definedName name="BAL" localSheetId="36">#REF!</definedName>
    <definedName name="BAL" localSheetId="38">#REF!</definedName>
    <definedName name="BAL" localSheetId="40">#REF!</definedName>
    <definedName name="BAL" localSheetId="42">#REF!</definedName>
    <definedName name="BAL" localSheetId="44">#REF!</definedName>
    <definedName name="BAL" localSheetId="46">#REF!</definedName>
    <definedName name="BAL" localSheetId="48">#REF!</definedName>
    <definedName name="BAL" localSheetId="50">#REF!</definedName>
    <definedName name="BAL" localSheetId="52">#REF!</definedName>
    <definedName name="BAL" localSheetId="54">#REF!</definedName>
    <definedName name="BAL" localSheetId="56">#REF!</definedName>
    <definedName name="BAL" localSheetId="58">#REF!</definedName>
    <definedName name="BAL" localSheetId="60">#REF!</definedName>
    <definedName name="BAL" localSheetId="62">#REF!</definedName>
    <definedName name="BAL" localSheetId="64">#REF!</definedName>
    <definedName name="BAL" localSheetId="66">#REF!</definedName>
    <definedName name="BAL" localSheetId="68">#REF!</definedName>
    <definedName name="BAL" localSheetId="70">#REF!</definedName>
    <definedName name="BAL" localSheetId="72">#REF!</definedName>
    <definedName name="BAL" localSheetId="74">#REF!</definedName>
    <definedName name="BAL" localSheetId="76">#REF!</definedName>
    <definedName name="BAL" localSheetId="78">#REF!</definedName>
    <definedName name="BAL" localSheetId="80">#REF!</definedName>
    <definedName name="BAL" localSheetId="82">#REF!</definedName>
    <definedName name="BAL" localSheetId="84">#REF!</definedName>
    <definedName name="BAL" localSheetId="86">#REF!</definedName>
    <definedName name="BAL" localSheetId="88">#REF!</definedName>
    <definedName name="BAL" localSheetId="90">#REF!</definedName>
    <definedName name="BAL" localSheetId="92">#REF!</definedName>
    <definedName name="BAL" localSheetId="94">#REF!</definedName>
    <definedName name="BAL" localSheetId="96">#REF!</definedName>
    <definedName name="BAL" localSheetId="98">#REF!</definedName>
    <definedName name="BAL" localSheetId="100">#REF!</definedName>
    <definedName name="BAL" localSheetId="102">#REF!</definedName>
    <definedName name="BAL" localSheetId="104">#REF!</definedName>
    <definedName name="BAL" localSheetId="106">#REF!</definedName>
    <definedName name="BAL" localSheetId="108">#REF!</definedName>
    <definedName name="BAL" localSheetId="110">#REF!</definedName>
    <definedName name="BAL" localSheetId="112">#REF!</definedName>
    <definedName name="BAL" localSheetId="114">#REF!</definedName>
    <definedName name="BAL" localSheetId="116">#REF!</definedName>
    <definedName name="BAL" localSheetId="118">#REF!</definedName>
    <definedName name="BAL" localSheetId="120">#REF!</definedName>
    <definedName name="BAL" localSheetId="122">#REF!</definedName>
    <definedName name="BAL" localSheetId="124">#REF!</definedName>
    <definedName name="BAL" localSheetId="126">#REF!</definedName>
    <definedName name="BAL" localSheetId="128">#REF!</definedName>
    <definedName name="BAL" localSheetId="130">#REF!</definedName>
    <definedName name="BAL" localSheetId="132">#REF!</definedName>
    <definedName name="BAL" localSheetId="134">#REF!</definedName>
    <definedName name="BAL" localSheetId="136">#REF!</definedName>
    <definedName name="BAL" localSheetId="138">#REF!</definedName>
    <definedName name="BAL" localSheetId="140">#REF!</definedName>
    <definedName name="BAL" localSheetId="142">#REF!</definedName>
    <definedName name="BAL" localSheetId="144">#REF!</definedName>
    <definedName name="BAL" localSheetId="146">#REF!</definedName>
    <definedName name="BAL" localSheetId="148">#REF!</definedName>
    <definedName name="BAL" localSheetId="150">#REF!</definedName>
    <definedName name="BAL" localSheetId="152">#REF!</definedName>
    <definedName name="BAL" localSheetId="154">#REF!</definedName>
    <definedName name="BAL" localSheetId="156">#REF!</definedName>
    <definedName name="BAL" localSheetId="158">#REF!</definedName>
    <definedName name="BAL" localSheetId="160">#REF!</definedName>
    <definedName name="BAL" localSheetId="162">#REF!</definedName>
    <definedName name="BAL" localSheetId="164">#REF!</definedName>
    <definedName name="BAL" localSheetId="166">#REF!</definedName>
    <definedName name="BAL" localSheetId="168">#REF!</definedName>
    <definedName name="BAL" localSheetId="170">#REF!</definedName>
    <definedName name="BAL" localSheetId="172">#REF!</definedName>
    <definedName name="BAL" localSheetId="174">#REF!</definedName>
    <definedName name="BAL" localSheetId="176">#REF!</definedName>
    <definedName name="BAL" localSheetId="178">#REF!</definedName>
    <definedName name="BAL" localSheetId="180">#REF!</definedName>
    <definedName name="BAL" localSheetId="182">#REF!</definedName>
    <definedName name="BAL" localSheetId="184">#REF!</definedName>
    <definedName name="BAL" localSheetId="186">#REF!</definedName>
    <definedName name="BAL" localSheetId="188">#REF!</definedName>
    <definedName name="BAL" localSheetId="190">#REF!</definedName>
    <definedName name="BAL" localSheetId="192">#REF!</definedName>
    <definedName name="BAL" localSheetId="194">#REF!</definedName>
    <definedName name="BAL" localSheetId="196">#REF!</definedName>
    <definedName name="BAL" localSheetId="198">#REF!</definedName>
    <definedName name="BAL" localSheetId="200">#REF!</definedName>
    <definedName name="BAL" localSheetId="202">#REF!</definedName>
    <definedName name="BAL" localSheetId="204">#REF!</definedName>
    <definedName name="BAL" localSheetId="206">#REF!</definedName>
    <definedName name="BAL" localSheetId="208">#REF!</definedName>
    <definedName name="BAL" localSheetId="210">#REF!</definedName>
    <definedName name="BAL" localSheetId="212">#REF!</definedName>
    <definedName name="BAL" localSheetId="214">#REF!</definedName>
    <definedName name="BAL" localSheetId="216">#REF!</definedName>
    <definedName name="BAL" localSheetId="218">#REF!</definedName>
    <definedName name="BAL" localSheetId="220">#REF!</definedName>
    <definedName name="BAL" localSheetId="224">#REF!</definedName>
    <definedName name="BAL" localSheetId="228">#REF!</definedName>
    <definedName name="BAL" localSheetId="230">#REF!</definedName>
    <definedName name="BAL" localSheetId="232">#REF!</definedName>
    <definedName name="BAL" localSheetId="234">#REF!</definedName>
    <definedName name="BAL" localSheetId="236">#REF!</definedName>
    <definedName name="BAL" localSheetId="240">#REF!</definedName>
    <definedName name="BAL" localSheetId="242">#REF!</definedName>
    <definedName name="BAL" localSheetId="244">#REF!</definedName>
    <definedName name="BAL" localSheetId="246">#REF!</definedName>
    <definedName name="BAL" localSheetId="248">#REF!</definedName>
    <definedName name="BAL" localSheetId="250">#REF!</definedName>
    <definedName name="BAL" localSheetId="252">#REF!</definedName>
    <definedName name="BAL" localSheetId="254">#REF!</definedName>
    <definedName name="BAL" localSheetId="256">#REF!</definedName>
    <definedName name="BAL" localSheetId="258">#REF!</definedName>
    <definedName name="BAL" localSheetId="260">#REF!</definedName>
    <definedName name="BAL" localSheetId="262">#REF!</definedName>
    <definedName name="BAL" localSheetId="264">#REF!</definedName>
    <definedName name="BAL" localSheetId="266">#REF!</definedName>
    <definedName name="BAL" localSheetId="268">#REF!</definedName>
    <definedName name="BAL" localSheetId="270">#REF!</definedName>
    <definedName name="BAL" localSheetId="282">#REF!</definedName>
    <definedName name="BAL" localSheetId="284">#REF!</definedName>
    <definedName name="BAL" localSheetId="286">#REF!</definedName>
    <definedName name="BAL" localSheetId="288">#REF!</definedName>
    <definedName name="BAL" localSheetId="290">#REF!</definedName>
    <definedName name="BAL" localSheetId="296">#REF!</definedName>
    <definedName name="BAL" localSheetId="304">#REF!</definedName>
    <definedName name="BAL" localSheetId="306">#REF!</definedName>
    <definedName name="BAL" localSheetId="308">#REF!</definedName>
    <definedName name="BAL" localSheetId="318">#REF!</definedName>
    <definedName name="BAL" localSheetId="320">#REF!</definedName>
    <definedName name="BAL" localSheetId="322">#REF!</definedName>
    <definedName name="BAL" localSheetId="324">#REF!</definedName>
    <definedName name="BAL" localSheetId="328">#REF!</definedName>
    <definedName name="BAL" localSheetId="5">#REF!</definedName>
    <definedName name="BAL" localSheetId="7">#REF!</definedName>
    <definedName name="BAL" localSheetId="9">#REF!</definedName>
    <definedName name="BAL" localSheetId="11">#REF!</definedName>
    <definedName name="BAL" localSheetId="15">#REF!</definedName>
    <definedName name="BAL" localSheetId="21">#REF!</definedName>
    <definedName name="BAL" localSheetId="23">#REF!</definedName>
    <definedName name="BAL" localSheetId="27">#REF!</definedName>
    <definedName name="BAL" localSheetId="25">#REF!</definedName>
    <definedName name="BAL" localSheetId="29">#REF!</definedName>
    <definedName name="BAL" localSheetId="31">#REF!</definedName>
    <definedName name="BAL" localSheetId="35">#REF!</definedName>
    <definedName name="BAL" localSheetId="37">#REF!</definedName>
    <definedName name="BAL" localSheetId="41">#REF!</definedName>
    <definedName name="BAL" localSheetId="51">#REF!</definedName>
    <definedName name="BAL" localSheetId="97">#REF!</definedName>
    <definedName name="BAL" localSheetId="129">#REF!</definedName>
    <definedName name="BAL" localSheetId="131">#REF!</definedName>
    <definedName name="BAL" localSheetId="133">#REF!</definedName>
    <definedName name="BAL" localSheetId="135">#REF!</definedName>
    <definedName name="BAL" localSheetId="137">#REF!</definedName>
    <definedName name="BAL" localSheetId="139">#REF!</definedName>
    <definedName name="BAL" localSheetId="141">#REF!</definedName>
    <definedName name="BAL" localSheetId="143">#REF!</definedName>
    <definedName name="BAL" localSheetId="145">#REF!</definedName>
    <definedName name="BAL" localSheetId="147">#REF!</definedName>
    <definedName name="BAL" localSheetId="149">#REF!</definedName>
    <definedName name="BAL" localSheetId="151">#REF!</definedName>
    <definedName name="BAL" localSheetId="153">#REF!</definedName>
    <definedName name="BAL" localSheetId="155">#REF!</definedName>
    <definedName name="BAL" localSheetId="157">#REF!</definedName>
    <definedName name="BAL" localSheetId="159">#REF!</definedName>
    <definedName name="BAL" localSheetId="161">#REF!</definedName>
    <definedName name="BAL" localSheetId="163">#REF!</definedName>
    <definedName name="BAL" localSheetId="169">#REF!</definedName>
    <definedName name="BAL" localSheetId="173">#REF!</definedName>
    <definedName name="BAL" localSheetId="175">#REF!</definedName>
    <definedName name="BAL" localSheetId="177">#REF!</definedName>
    <definedName name="BAL" localSheetId="179">#REF!</definedName>
    <definedName name="BAL" localSheetId="3">#REF!</definedName>
    <definedName name="BAL">#REF!</definedName>
    <definedName name="BALSILLAS" localSheetId="6">#REF!</definedName>
    <definedName name="BALSILLAS" localSheetId="330">#REF!</definedName>
    <definedName name="BALSILLAS" localSheetId="8">#REF!</definedName>
    <definedName name="BALSILLAS" localSheetId="10">#REF!</definedName>
    <definedName name="BALSILLAS" localSheetId="12">#REF!</definedName>
    <definedName name="BALSILLAS" localSheetId="14">#REF!</definedName>
    <definedName name="BALSILLAS" localSheetId="16">#REF!</definedName>
    <definedName name="BALSILLAS" localSheetId="18">#REF!</definedName>
    <definedName name="BALSILLAS" localSheetId="20">#REF!</definedName>
    <definedName name="BALSILLAS" localSheetId="22">#REF!</definedName>
    <definedName name="BALSILLAS" localSheetId="26">#REF!</definedName>
    <definedName name="BALSILLAS" localSheetId="24">#REF!</definedName>
    <definedName name="BALSILLAS" localSheetId="28">#REF!</definedName>
    <definedName name="BALSILLAS" localSheetId="30">#REF!</definedName>
    <definedName name="BALSILLAS" localSheetId="32">#REF!</definedName>
    <definedName name="BALSILLAS" localSheetId="34">#REF!</definedName>
    <definedName name="BALSILLAS" localSheetId="36">#REF!</definedName>
    <definedName name="BALSILLAS" localSheetId="38">#REF!</definedName>
    <definedName name="BALSILLAS" localSheetId="40">#REF!</definedName>
    <definedName name="BALSILLAS" localSheetId="42">#REF!</definedName>
    <definedName name="BALSILLAS" localSheetId="44">#REF!</definedName>
    <definedName name="BALSILLAS" localSheetId="46">#REF!</definedName>
    <definedName name="BALSILLAS" localSheetId="48">#REF!</definedName>
    <definedName name="BALSILLAS" localSheetId="50">#REF!</definedName>
    <definedName name="BALSILLAS" localSheetId="52">#REF!</definedName>
    <definedName name="BALSILLAS" localSheetId="54">#REF!</definedName>
    <definedName name="BALSILLAS" localSheetId="56">#REF!</definedName>
    <definedName name="BALSILLAS" localSheetId="58">#REF!</definedName>
    <definedName name="BALSILLAS" localSheetId="60">#REF!</definedName>
    <definedName name="BALSILLAS" localSheetId="62">#REF!</definedName>
    <definedName name="BALSILLAS" localSheetId="64">#REF!</definedName>
    <definedName name="BALSILLAS" localSheetId="66">#REF!</definedName>
    <definedName name="BALSILLAS" localSheetId="68">#REF!</definedName>
    <definedName name="BALSILLAS" localSheetId="70">#REF!</definedName>
    <definedName name="BALSILLAS" localSheetId="72">#REF!</definedName>
    <definedName name="BALSILLAS" localSheetId="74">#REF!</definedName>
    <definedName name="BALSILLAS" localSheetId="76">#REF!</definedName>
    <definedName name="BALSILLAS" localSheetId="78">#REF!</definedName>
    <definedName name="BALSILLAS" localSheetId="80">#REF!</definedName>
    <definedName name="BALSILLAS" localSheetId="82">#REF!</definedName>
    <definedName name="BALSILLAS" localSheetId="84">#REF!</definedName>
    <definedName name="BALSILLAS" localSheetId="86">#REF!</definedName>
    <definedName name="BALSILLAS" localSheetId="88">#REF!</definedName>
    <definedName name="BALSILLAS" localSheetId="90">#REF!</definedName>
    <definedName name="BALSILLAS" localSheetId="92">#REF!</definedName>
    <definedName name="BALSILLAS" localSheetId="94">#REF!</definedName>
    <definedName name="BALSILLAS" localSheetId="96">#REF!</definedName>
    <definedName name="BALSILLAS" localSheetId="98">#REF!</definedName>
    <definedName name="BALSILLAS" localSheetId="100">#REF!</definedName>
    <definedName name="BALSILLAS" localSheetId="102">#REF!</definedName>
    <definedName name="BALSILLAS" localSheetId="104">#REF!</definedName>
    <definedName name="BALSILLAS" localSheetId="106">#REF!</definedName>
    <definedName name="BALSILLAS" localSheetId="108">#REF!</definedName>
    <definedName name="BALSILLAS" localSheetId="110">#REF!</definedName>
    <definedName name="BALSILLAS" localSheetId="112">#REF!</definedName>
    <definedName name="BALSILLAS" localSheetId="114">#REF!</definedName>
    <definedName name="BALSILLAS" localSheetId="116">#REF!</definedName>
    <definedName name="BALSILLAS" localSheetId="118">#REF!</definedName>
    <definedName name="BALSILLAS" localSheetId="120">#REF!</definedName>
    <definedName name="BALSILLAS" localSheetId="122">#REF!</definedName>
    <definedName name="BALSILLAS" localSheetId="124">#REF!</definedName>
    <definedName name="BALSILLAS" localSheetId="126">#REF!</definedName>
    <definedName name="BALSILLAS" localSheetId="128">#REF!</definedName>
    <definedName name="BALSILLAS" localSheetId="130">#REF!</definedName>
    <definedName name="BALSILLAS" localSheetId="132">#REF!</definedName>
    <definedName name="BALSILLAS" localSheetId="134">#REF!</definedName>
    <definedName name="BALSILLAS" localSheetId="136">#REF!</definedName>
    <definedName name="BALSILLAS" localSheetId="138">#REF!</definedName>
    <definedName name="BALSILLAS" localSheetId="140">#REF!</definedName>
    <definedName name="BALSILLAS" localSheetId="142">#REF!</definedName>
    <definedName name="BALSILLAS" localSheetId="144">#REF!</definedName>
    <definedName name="BALSILLAS" localSheetId="146">#REF!</definedName>
    <definedName name="BALSILLAS" localSheetId="148">#REF!</definedName>
    <definedName name="BALSILLAS" localSheetId="150">#REF!</definedName>
    <definedName name="BALSILLAS" localSheetId="152">#REF!</definedName>
    <definedName name="BALSILLAS" localSheetId="154">#REF!</definedName>
    <definedName name="BALSILLAS" localSheetId="156">#REF!</definedName>
    <definedName name="BALSILLAS" localSheetId="158">#REF!</definedName>
    <definedName name="BALSILLAS" localSheetId="160">#REF!</definedName>
    <definedName name="BALSILLAS" localSheetId="162">#REF!</definedName>
    <definedName name="BALSILLAS" localSheetId="164">#REF!</definedName>
    <definedName name="BALSILLAS" localSheetId="166">#REF!</definedName>
    <definedName name="BALSILLAS" localSheetId="168">#REF!</definedName>
    <definedName name="BALSILLAS" localSheetId="170">#REF!</definedName>
    <definedName name="BALSILLAS" localSheetId="172">#REF!</definedName>
    <definedName name="BALSILLAS" localSheetId="174">#REF!</definedName>
    <definedName name="BALSILLAS" localSheetId="176">#REF!</definedName>
    <definedName name="BALSILLAS" localSheetId="178">#REF!</definedName>
    <definedName name="BALSILLAS" localSheetId="180">#REF!</definedName>
    <definedName name="BALSILLAS" localSheetId="182">#REF!</definedName>
    <definedName name="BALSILLAS" localSheetId="184">#REF!</definedName>
    <definedName name="BALSILLAS" localSheetId="186">#REF!</definedName>
    <definedName name="BALSILLAS" localSheetId="188">#REF!</definedName>
    <definedName name="BALSILLAS" localSheetId="190">#REF!</definedName>
    <definedName name="BALSILLAS" localSheetId="192">#REF!</definedName>
    <definedName name="BALSILLAS" localSheetId="194">#REF!</definedName>
    <definedName name="BALSILLAS" localSheetId="196">#REF!</definedName>
    <definedName name="BALSILLAS" localSheetId="198">#REF!</definedName>
    <definedName name="BALSILLAS" localSheetId="200">#REF!</definedName>
    <definedName name="BALSILLAS" localSheetId="202">#REF!</definedName>
    <definedName name="BALSILLAS" localSheetId="204">#REF!</definedName>
    <definedName name="BALSILLAS" localSheetId="206">#REF!</definedName>
    <definedName name="BALSILLAS" localSheetId="208">#REF!</definedName>
    <definedName name="BALSILLAS" localSheetId="210">#REF!</definedName>
    <definedName name="BALSILLAS" localSheetId="212">#REF!</definedName>
    <definedName name="BALSILLAS" localSheetId="214">#REF!</definedName>
    <definedName name="BALSILLAS" localSheetId="216">#REF!</definedName>
    <definedName name="BALSILLAS" localSheetId="218">#REF!</definedName>
    <definedName name="BALSILLAS" localSheetId="220">#REF!</definedName>
    <definedName name="BALSILLAS" localSheetId="224">#REF!</definedName>
    <definedName name="BALSILLAS" localSheetId="228">#REF!</definedName>
    <definedName name="BALSILLAS" localSheetId="230">#REF!</definedName>
    <definedName name="BALSILLAS" localSheetId="232">#REF!</definedName>
    <definedName name="BALSILLAS" localSheetId="234">#REF!</definedName>
    <definedName name="BALSILLAS" localSheetId="236">#REF!</definedName>
    <definedName name="BALSILLAS" localSheetId="240">#REF!</definedName>
    <definedName name="BALSILLAS" localSheetId="242">#REF!</definedName>
    <definedName name="BALSILLAS" localSheetId="244">#REF!</definedName>
    <definedName name="BALSILLAS" localSheetId="246">#REF!</definedName>
    <definedName name="BALSILLAS" localSheetId="248">#REF!</definedName>
    <definedName name="BALSILLAS" localSheetId="250">#REF!</definedName>
    <definedName name="BALSILLAS" localSheetId="252">#REF!</definedName>
    <definedName name="BALSILLAS" localSheetId="254">#REF!</definedName>
    <definedName name="BALSILLAS" localSheetId="256">#REF!</definedName>
    <definedName name="BALSILLAS" localSheetId="258">#REF!</definedName>
    <definedName name="BALSILLAS" localSheetId="260">#REF!</definedName>
    <definedName name="BALSILLAS" localSheetId="262">#REF!</definedName>
    <definedName name="BALSILLAS" localSheetId="264">#REF!</definedName>
    <definedName name="BALSILLAS" localSheetId="266">#REF!</definedName>
    <definedName name="BALSILLAS" localSheetId="268">#REF!</definedName>
    <definedName name="BALSILLAS" localSheetId="270">#REF!</definedName>
    <definedName name="BALSILLAS" localSheetId="282">#REF!</definedName>
    <definedName name="BALSILLAS" localSheetId="284">#REF!</definedName>
    <definedName name="BALSILLAS" localSheetId="286">#REF!</definedName>
    <definedName name="BALSILLAS" localSheetId="288">#REF!</definedName>
    <definedName name="BALSILLAS" localSheetId="290">#REF!</definedName>
    <definedName name="BALSILLAS" localSheetId="296">#REF!</definedName>
    <definedName name="BALSILLAS" localSheetId="304">#REF!</definedName>
    <definedName name="BALSILLAS" localSheetId="306">#REF!</definedName>
    <definedName name="BALSILLAS" localSheetId="308">#REF!</definedName>
    <definedName name="BALSILLAS" localSheetId="318">#REF!</definedName>
    <definedName name="BALSILLAS" localSheetId="320">#REF!</definedName>
    <definedName name="BALSILLAS" localSheetId="322">#REF!</definedName>
    <definedName name="BALSILLAS" localSheetId="324">#REF!</definedName>
    <definedName name="BALSILLAS" localSheetId="328">#REF!</definedName>
    <definedName name="BALSILLAS" localSheetId="5">#REF!</definedName>
    <definedName name="BALSILLAS" localSheetId="7">#REF!</definedName>
    <definedName name="BALSILLAS" localSheetId="9">#REF!</definedName>
    <definedName name="BALSILLAS" localSheetId="11">#REF!</definedName>
    <definedName name="BALSILLAS" localSheetId="15">#REF!</definedName>
    <definedName name="BALSILLAS" localSheetId="21">#REF!</definedName>
    <definedName name="BALSILLAS" localSheetId="23">#REF!</definedName>
    <definedName name="BALSILLAS" localSheetId="27">#REF!</definedName>
    <definedName name="BALSILLAS" localSheetId="25">#REF!</definedName>
    <definedName name="BALSILLAS" localSheetId="29">#REF!</definedName>
    <definedName name="BALSILLAS" localSheetId="31">#REF!</definedName>
    <definedName name="BALSILLAS" localSheetId="35">#REF!</definedName>
    <definedName name="BALSILLAS" localSheetId="37">#REF!</definedName>
    <definedName name="BALSILLAS" localSheetId="41">#REF!</definedName>
    <definedName name="BALSILLAS" localSheetId="51">#REF!</definedName>
    <definedName name="BALSILLAS" localSheetId="97">#REF!</definedName>
    <definedName name="BALSILLAS" localSheetId="129">#REF!</definedName>
    <definedName name="BALSILLAS" localSheetId="131">#REF!</definedName>
    <definedName name="BALSILLAS" localSheetId="133">#REF!</definedName>
    <definedName name="BALSILLAS" localSheetId="135">#REF!</definedName>
    <definedName name="BALSILLAS" localSheetId="137">#REF!</definedName>
    <definedName name="BALSILLAS" localSheetId="139">#REF!</definedName>
    <definedName name="BALSILLAS" localSheetId="141">#REF!</definedName>
    <definedName name="BALSILLAS" localSheetId="143">#REF!</definedName>
    <definedName name="BALSILLAS" localSheetId="145">#REF!</definedName>
    <definedName name="BALSILLAS" localSheetId="147">#REF!</definedName>
    <definedName name="BALSILLAS" localSheetId="149">#REF!</definedName>
    <definedName name="BALSILLAS" localSheetId="151">#REF!</definedName>
    <definedName name="BALSILLAS" localSheetId="153">#REF!</definedName>
    <definedName name="BALSILLAS" localSheetId="155">#REF!</definedName>
    <definedName name="BALSILLAS" localSheetId="157">#REF!</definedName>
    <definedName name="BALSILLAS" localSheetId="159">#REF!</definedName>
    <definedName name="BALSILLAS" localSheetId="161">#REF!</definedName>
    <definedName name="BALSILLAS" localSheetId="163">#REF!</definedName>
    <definedName name="BALSILLAS" localSheetId="169">#REF!</definedName>
    <definedName name="BALSILLAS" localSheetId="173">#REF!</definedName>
    <definedName name="BALSILLAS" localSheetId="175">#REF!</definedName>
    <definedName name="BALSILLAS" localSheetId="177">#REF!</definedName>
    <definedName name="BALSILLAS" localSheetId="179">#REF!</definedName>
    <definedName name="BALSILLAS" localSheetId="3">#REF!</definedName>
    <definedName name="BALSILLAS">#REF!</definedName>
    <definedName name="cruzar111" localSheetId="6">#REF!</definedName>
    <definedName name="cruzar111" localSheetId="330">#REF!</definedName>
    <definedName name="cruzar111" localSheetId="8">#REF!</definedName>
    <definedName name="cruzar111" localSheetId="10">#REF!</definedName>
    <definedName name="cruzar111" localSheetId="12">#REF!</definedName>
    <definedName name="cruzar111" localSheetId="14">#REF!</definedName>
    <definedName name="cruzar111" localSheetId="16">#REF!</definedName>
    <definedName name="cruzar111" localSheetId="18">#REF!</definedName>
    <definedName name="cruzar111" localSheetId="20">#REF!</definedName>
    <definedName name="cruzar111" localSheetId="22">#REF!</definedName>
    <definedName name="cruzar111" localSheetId="26">#REF!</definedName>
    <definedName name="cruzar111" localSheetId="24">#REF!</definedName>
    <definedName name="cruzar111" localSheetId="28">#REF!</definedName>
    <definedName name="cruzar111" localSheetId="30">#REF!</definedName>
    <definedName name="cruzar111" localSheetId="32">#REF!</definedName>
    <definedName name="cruzar111" localSheetId="34">#REF!</definedName>
    <definedName name="cruzar111" localSheetId="36">#REF!</definedName>
    <definedName name="cruzar111" localSheetId="38">#REF!</definedName>
    <definedName name="cruzar111" localSheetId="40">#REF!</definedName>
    <definedName name="cruzar111" localSheetId="42">#REF!</definedName>
    <definedName name="cruzar111" localSheetId="44">#REF!</definedName>
    <definedName name="cruzar111" localSheetId="46">#REF!</definedName>
    <definedName name="cruzar111" localSheetId="48">#REF!</definedName>
    <definedName name="cruzar111" localSheetId="50">#REF!</definedName>
    <definedName name="cruzar111" localSheetId="52">#REF!</definedName>
    <definedName name="cruzar111" localSheetId="54">#REF!</definedName>
    <definedName name="cruzar111" localSheetId="56">#REF!</definedName>
    <definedName name="cruzar111" localSheetId="58">#REF!</definedName>
    <definedName name="cruzar111" localSheetId="60">#REF!</definedName>
    <definedName name="cruzar111" localSheetId="62">#REF!</definedName>
    <definedName name="cruzar111" localSheetId="64">#REF!</definedName>
    <definedName name="cruzar111" localSheetId="66">#REF!</definedName>
    <definedName name="cruzar111" localSheetId="68">#REF!</definedName>
    <definedName name="cruzar111" localSheetId="70">#REF!</definedName>
    <definedName name="cruzar111" localSheetId="72">#REF!</definedName>
    <definedName name="cruzar111" localSheetId="74">#REF!</definedName>
    <definedName name="cruzar111" localSheetId="76">#REF!</definedName>
    <definedName name="cruzar111" localSheetId="78">#REF!</definedName>
    <definedName name="cruzar111" localSheetId="80">#REF!</definedName>
    <definedName name="cruzar111" localSheetId="82">#REF!</definedName>
    <definedName name="cruzar111" localSheetId="84">#REF!</definedName>
    <definedName name="cruzar111" localSheetId="86">#REF!</definedName>
    <definedName name="cruzar111" localSheetId="88">#REF!</definedName>
    <definedName name="cruzar111" localSheetId="90">#REF!</definedName>
    <definedName name="cruzar111" localSheetId="92">#REF!</definedName>
    <definedName name="cruzar111" localSheetId="94">#REF!</definedName>
    <definedName name="cruzar111" localSheetId="96">#REF!</definedName>
    <definedName name="cruzar111" localSheetId="98">#REF!</definedName>
    <definedName name="cruzar111" localSheetId="100">#REF!</definedName>
    <definedName name="cruzar111" localSheetId="102">#REF!</definedName>
    <definedName name="cruzar111" localSheetId="104">#REF!</definedName>
    <definedName name="cruzar111" localSheetId="106">#REF!</definedName>
    <definedName name="cruzar111" localSheetId="108">#REF!</definedName>
    <definedName name="cruzar111" localSheetId="110">#REF!</definedName>
    <definedName name="cruzar111" localSheetId="112">#REF!</definedName>
    <definedName name="cruzar111" localSheetId="114">#REF!</definedName>
    <definedName name="cruzar111" localSheetId="116">#REF!</definedName>
    <definedName name="cruzar111" localSheetId="118">#REF!</definedName>
    <definedName name="cruzar111" localSheetId="120">#REF!</definedName>
    <definedName name="cruzar111" localSheetId="122">#REF!</definedName>
    <definedName name="cruzar111" localSheetId="124">#REF!</definedName>
    <definedName name="cruzar111" localSheetId="126">#REF!</definedName>
    <definedName name="cruzar111" localSheetId="128">#REF!</definedName>
    <definedName name="cruzar111" localSheetId="130">#REF!</definedName>
    <definedName name="cruzar111" localSheetId="132">#REF!</definedName>
    <definedName name="cruzar111" localSheetId="134">#REF!</definedName>
    <definedName name="cruzar111" localSheetId="136">#REF!</definedName>
    <definedName name="cruzar111" localSheetId="138">#REF!</definedName>
    <definedName name="cruzar111" localSheetId="140">#REF!</definedName>
    <definedName name="cruzar111" localSheetId="142">#REF!</definedName>
    <definedName name="cruzar111" localSheetId="144">#REF!</definedName>
    <definedName name="cruzar111" localSheetId="146">#REF!</definedName>
    <definedName name="cruzar111" localSheetId="148">#REF!</definedName>
    <definedName name="cruzar111" localSheetId="150">#REF!</definedName>
    <definedName name="cruzar111" localSheetId="152">#REF!</definedName>
    <definedName name="cruzar111" localSheetId="154">#REF!</definedName>
    <definedName name="cruzar111" localSheetId="156">#REF!</definedName>
    <definedName name="cruzar111" localSheetId="158">#REF!</definedName>
    <definedName name="cruzar111" localSheetId="160">#REF!</definedName>
    <definedName name="cruzar111" localSheetId="162">#REF!</definedName>
    <definedName name="cruzar111" localSheetId="164">#REF!</definedName>
    <definedName name="cruzar111" localSheetId="166">#REF!</definedName>
    <definedName name="cruzar111" localSheetId="168">#REF!</definedName>
    <definedName name="cruzar111" localSheetId="170">#REF!</definedName>
    <definedName name="cruzar111" localSheetId="172">#REF!</definedName>
    <definedName name="cruzar111" localSheetId="174">#REF!</definedName>
    <definedName name="cruzar111" localSheetId="176">#REF!</definedName>
    <definedName name="cruzar111" localSheetId="178">#REF!</definedName>
    <definedName name="cruzar111" localSheetId="180">#REF!</definedName>
    <definedName name="cruzar111" localSheetId="182">#REF!</definedName>
    <definedName name="cruzar111" localSheetId="184">#REF!</definedName>
    <definedName name="cruzar111" localSheetId="186">#REF!</definedName>
    <definedName name="cruzar111" localSheetId="188">#REF!</definedName>
    <definedName name="cruzar111" localSheetId="190">#REF!</definedName>
    <definedName name="cruzar111" localSheetId="192">#REF!</definedName>
    <definedName name="cruzar111" localSheetId="194">#REF!</definedName>
    <definedName name="cruzar111" localSheetId="196">#REF!</definedName>
    <definedName name="cruzar111" localSheetId="198">#REF!</definedName>
    <definedName name="cruzar111" localSheetId="200">#REF!</definedName>
    <definedName name="cruzar111" localSheetId="202">#REF!</definedName>
    <definedName name="cruzar111" localSheetId="204">#REF!</definedName>
    <definedName name="cruzar111" localSheetId="206">#REF!</definedName>
    <definedName name="cruzar111" localSheetId="208">#REF!</definedName>
    <definedName name="cruzar111" localSheetId="210">#REF!</definedName>
    <definedName name="cruzar111" localSheetId="212">#REF!</definedName>
    <definedName name="cruzar111" localSheetId="214">#REF!</definedName>
    <definedName name="cruzar111" localSheetId="216">#REF!</definedName>
    <definedName name="cruzar111" localSheetId="218">#REF!</definedName>
    <definedName name="cruzar111" localSheetId="220">#REF!</definedName>
    <definedName name="cruzar111" localSheetId="224">#REF!</definedName>
    <definedName name="cruzar111" localSheetId="228">#REF!</definedName>
    <definedName name="cruzar111" localSheetId="230">#REF!</definedName>
    <definedName name="cruzar111" localSheetId="232">#REF!</definedName>
    <definedName name="cruzar111" localSheetId="234">#REF!</definedName>
    <definedName name="cruzar111" localSheetId="236">#REF!</definedName>
    <definedName name="cruzar111" localSheetId="240">#REF!</definedName>
    <definedName name="cruzar111" localSheetId="242">#REF!</definedName>
    <definedName name="cruzar111" localSheetId="244">#REF!</definedName>
    <definedName name="cruzar111" localSheetId="246">#REF!</definedName>
    <definedName name="cruzar111" localSheetId="248">#REF!</definedName>
    <definedName name="cruzar111" localSheetId="250">#REF!</definedName>
    <definedName name="cruzar111" localSheetId="252">#REF!</definedName>
    <definedName name="cruzar111" localSheetId="254">#REF!</definedName>
    <definedName name="cruzar111" localSheetId="256">#REF!</definedName>
    <definedName name="cruzar111" localSheetId="258">#REF!</definedName>
    <definedName name="cruzar111" localSheetId="260">#REF!</definedName>
    <definedName name="cruzar111" localSheetId="262">#REF!</definedName>
    <definedName name="cruzar111" localSheetId="264">#REF!</definedName>
    <definedName name="cruzar111" localSheetId="266">#REF!</definedName>
    <definedName name="cruzar111" localSheetId="268">#REF!</definedName>
    <definedName name="cruzar111" localSheetId="270">#REF!</definedName>
    <definedName name="cruzar111" localSheetId="282">#REF!</definedName>
    <definedName name="cruzar111" localSheetId="284">#REF!</definedName>
    <definedName name="cruzar111" localSheetId="286">#REF!</definedName>
    <definedName name="cruzar111" localSheetId="288">#REF!</definedName>
    <definedName name="cruzar111" localSheetId="290">#REF!</definedName>
    <definedName name="cruzar111" localSheetId="296">#REF!</definedName>
    <definedName name="cruzar111" localSheetId="304">#REF!</definedName>
    <definedName name="cruzar111" localSheetId="306">#REF!</definedName>
    <definedName name="cruzar111" localSheetId="308">#REF!</definedName>
    <definedName name="cruzar111" localSheetId="318">#REF!</definedName>
    <definedName name="cruzar111" localSheetId="320">#REF!</definedName>
    <definedName name="cruzar111" localSheetId="322">#REF!</definedName>
    <definedName name="cruzar111" localSheetId="324">#REF!</definedName>
    <definedName name="cruzar111" localSheetId="328">#REF!</definedName>
    <definedName name="cruzar111" localSheetId="11">#REF!</definedName>
    <definedName name="cruzar111" localSheetId="27">#REF!</definedName>
    <definedName name="cruzar111" localSheetId="31">#REF!</definedName>
    <definedName name="cruzar111" localSheetId="37">#REF!</definedName>
    <definedName name="cruzar111" localSheetId="41">#REF!</definedName>
    <definedName name="cruzar111" localSheetId="51">#REF!</definedName>
    <definedName name="cruzar111" localSheetId="97">#REF!</definedName>
    <definedName name="cruzar111" localSheetId="129">#REF!</definedName>
    <definedName name="cruzar111" localSheetId="131">#REF!</definedName>
    <definedName name="cruzar111" localSheetId="133">#REF!</definedName>
    <definedName name="cruzar111" localSheetId="135">#REF!</definedName>
    <definedName name="cruzar111" localSheetId="137">#REF!</definedName>
    <definedName name="cruzar111" localSheetId="139">#REF!</definedName>
    <definedName name="cruzar111" localSheetId="141">#REF!</definedName>
    <definedName name="cruzar111" localSheetId="143">#REF!</definedName>
    <definedName name="cruzar111" localSheetId="145">#REF!</definedName>
    <definedName name="cruzar111" localSheetId="147">#REF!</definedName>
    <definedName name="cruzar111" localSheetId="149">#REF!</definedName>
    <definedName name="cruzar111" localSheetId="151">#REF!</definedName>
    <definedName name="cruzar111" localSheetId="153">#REF!</definedName>
    <definedName name="cruzar111" localSheetId="155">#REF!</definedName>
    <definedName name="cruzar111" localSheetId="157">#REF!</definedName>
    <definedName name="cruzar111" localSheetId="159">#REF!</definedName>
    <definedName name="cruzar111" localSheetId="161">#REF!</definedName>
    <definedName name="cruzar111" localSheetId="163">#REF!</definedName>
    <definedName name="cruzar111" localSheetId="169">#REF!</definedName>
    <definedName name="cruzar111" localSheetId="173">#REF!</definedName>
    <definedName name="cruzar111" localSheetId="175">#REF!</definedName>
    <definedName name="cruzar111" localSheetId="177">#REF!</definedName>
    <definedName name="cruzar111" localSheetId="179">#REF!</definedName>
    <definedName name="cruzar111">#REF!</definedName>
    <definedName name="d" localSheetId="330">#REF!</definedName>
    <definedName name="d" localSheetId="26">#REF!</definedName>
    <definedName name="d" localSheetId="42">#REF!</definedName>
    <definedName name="d" localSheetId="56">#REF!</definedName>
    <definedName name="d" localSheetId="212">#REF!</definedName>
    <definedName name="d" localSheetId="214">#REF!</definedName>
    <definedName name="d" localSheetId="216">#REF!</definedName>
    <definedName name="d" localSheetId="218">#REF!</definedName>
    <definedName name="d" localSheetId="220">#REF!</definedName>
    <definedName name="d" localSheetId="224">#REF!</definedName>
    <definedName name="d" localSheetId="228">#REF!</definedName>
    <definedName name="d" localSheetId="230">#REF!</definedName>
    <definedName name="d" localSheetId="232">#REF!</definedName>
    <definedName name="d" localSheetId="234">#REF!</definedName>
    <definedName name="d" localSheetId="236">#REF!</definedName>
    <definedName name="d" localSheetId="240">#REF!</definedName>
    <definedName name="d" localSheetId="242">#REF!</definedName>
    <definedName name="d" localSheetId="244">#REF!</definedName>
    <definedName name="d" localSheetId="246">#REF!</definedName>
    <definedName name="d" localSheetId="248">#REF!</definedName>
    <definedName name="d" localSheetId="250">#REF!</definedName>
    <definedName name="d" localSheetId="252">#REF!</definedName>
    <definedName name="d" localSheetId="254">#REF!</definedName>
    <definedName name="d" localSheetId="256">#REF!</definedName>
    <definedName name="d" localSheetId="258">#REF!</definedName>
    <definedName name="d" localSheetId="260">#REF!</definedName>
    <definedName name="d" localSheetId="262">#REF!</definedName>
    <definedName name="d" localSheetId="264">#REF!</definedName>
    <definedName name="d" localSheetId="266">#REF!</definedName>
    <definedName name="d" localSheetId="268">#REF!</definedName>
    <definedName name="d" localSheetId="270">#REF!</definedName>
    <definedName name="d" localSheetId="282">#REF!</definedName>
    <definedName name="d" localSheetId="284">#REF!</definedName>
    <definedName name="d" localSheetId="286">#REF!</definedName>
    <definedName name="d" localSheetId="288">#REF!</definedName>
    <definedName name="d" localSheetId="290">#REF!</definedName>
    <definedName name="d" localSheetId="296">#REF!</definedName>
    <definedName name="d" localSheetId="304">#REF!</definedName>
    <definedName name="d" localSheetId="306">#REF!</definedName>
    <definedName name="d" localSheetId="308">#REF!</definedName>
    <definedName name="d" localSheetId="318">#REF!</definedName>
    <definedName name="d" localSheetId="320">#REF!</definedName>
    <definedName name="d" localSheetId="322">#REF!</definedName>
    <definedName name="d" localSheetId="324">#REF!</definedName>
    <definedName name="d" localSheetId="328">#REF!</definedName>
    <definedName name="d">#REF!</definedName>
    <definedName name="DAT" localSheetId="6">#REF!</definedName>
    <definedName name="DAT" localSheetId="330">#REF!</definedName>
    <definedName name="DAT" localSheetId="8">#REF!</definedName>
    <definedName name="DAT" localSheetId="10">#REF!</definedName>
    <definedName name="DAT" localSheetId="12">#REF!</definedName>
    <definedName name="DAT" localSheetId="14">#REF!</definedName>
    <definedName name="DAT" localSheetId="16">#REF!</definedName>
    <definedName name="DAT" localSheetId="18">#REF!</definedName>
    <definedName name="DAT" localSheetId="20">#REF!</definedName>
    <definedName name="DAT" localSheetId="22">#REF!</definedName>
    <definedName name="DAT" localSheetId="26">#REF!</definedName>
    <definedName name="DAT" localSheetId="24">#REF!</definedName>
    <definedName name="DAT" localSheetId="28">#REF!</definedName>
    <definedName name="DAT" localSheetId="30">#REF!</definedName>
    <definedName name="DAT" localSheetId="32">#REF!</definedName>
    <definedName name="DAT" localSheetId="34">#REF!</definedName>
    <definedName name="DAT" localSheetId="36">#REF!</definedName>
    <definedName name="DAT" localSheetId="38">#REF!</definedName>
    <definedName name="DAT" localSheetId="40">#REF!</definedName>
    <definedName name="DAT" localSheetId="42">#REF!</definedName>
    <definedName name="DAT" localSheetId="44">#REF!</definedName>
    <definedName name="DAT" localSheetId="46">#REF!</definedName>
    <definedName name="DAT" localSheetId="48">#REF!</definedName>
    <definedName name="DAT" localSheetId="50">#REF!</definedName>
    <definedName name="DAT" localSheetId="52">#REF!</definedName>
    <definedName name="DAT" localSheetId="54">#REF!</definedName>
    <definedName name="DAT" localSheetId="56">#REF!</definedName>
    <definedName name="DAT" localSheetId="58">#REF!</definedName>
    <definedName name="DAT" localSheetId="60">#REF!</definedName>
    <definedName name="DAT" localSheetId="62">#REF!</definedName>
    <definedName name="DAT" localSheetId="64">#REF!</definedName>
    <definedName name="DAT" localSheetId="66">#REF!</definedName>
    <definedName name="DAT" localSheetId="68">#REF!</definedName>
    <definedName name="DAT" localSheetId="70">#REF!</definedName>
    <definedName name="DAT" localSheetId="72">#REF!</definedName>
    <definedName name="DAT" localSheetId="74">#REF!</definedName>
    <definedName name="DAT" localSheetId="76">#REF!</definedName>
    <definedName name="DAT" localSheetId="78">#REF!</definedName>
    <definedName name="DAT" localSheetId="80">#REF!</definedName>
    <definedName name="DAT" localSheetId="82">#REF!</definedName>
    <definedName name="DAT" localSheetId="84">#REF!</definedName>
    <definedName name="DAT" localSheetId="86">#REF!</definedName>
    <definedName name="DAT" localSheetId="88">#REF!</definedName>
    <definedName name="DAT" localSheetId="90">#REF!</definedName>
    <definedName name="DAT" localSheetId="92">#REF!</definedName>
    <definedName name="DAT" localSheetId="94">#REF!</definedName>
    <definedName name="DAT" localSheetId="96">#REF!</definedName>
    <definedName name="DAT" localSheetId="98">#REF!</definedName>
    <definedName name="DAT" localSheetId="100">#REF!</definedName>
    <definedName name="DAT" localSheetId="102">#REF!</definedName>
    <definedName name="DAT" localSheetId="104">#REF!</definedName>
    <definedName name="DAT" localSheetId="106">#REF!</definedName>
    <definedName name="DAT" localSheetId="108">#REF!</definedName>
    <definedName name="DAT" localSheetId="110">#REF!</definedName>
    <definedName name="DAT" localSheetId="112">#REF!</definedName>
    <definedName name="DAT" localSheetId="114">#REF!</definedName>
    <definedName name="DAT" localSheetId="116">#REF!</definedName>
    <definedName name="DAT" localSheetId="118">#REF!</definedName>
    <definedName name="DAT" localSheetId="120">#REF!</definedName>
    <definedName name="DAT" localSheetId="122">#REF!</definedName>
    <definedName name="DAT" localSheetId="124">#REF!</definedName>
    <definedName name="DAT" localSheetId="126">#REF!</definedName>
    <definedName name="DAT" localSheetId="128">#REF!</definedName>
    <definedName name="DAT" localSheetId="130">#REF!</definedName>
    <definedName name="DAT" localSheetId="132">#REF!</definedName>
    <definedName name="DAT" localSheetId="134">#REF!</definedName>
    <definedName name="DAT" localSheetId="136">#REF!</definedName>
    <definedName name="DAT" localSheetId="138">#REF!</definedName>
    <definedName name="DAT" localSheetId="140">#REF!</definedName>
    <definedName name="DAT" localSheetId="142">#REF!</definedName>
    <definedName name="DAT" localSheetId="144">#REF!</definedName>
    <definedName name="DAT" localSheetId="146">#REF!</definedName>
    <definedName name="DAT" localSheetId="148">#REF!</definedName>
    <definedName name="DAT" localSheetId="150">#REF!</definedName>
    <definedName name="DAT" localSheetId="152">#REF!</definedName>
    <definedName name="DAT" localSheetId="154">#REF!</definedName>
    <definedName name="DAT" localSheetId="156">#REF!</definedName>
    <definedName name="DAT" localSheetId="158">#REF!</definedName>
    <definedName name="DAT" localSheetId="160">#REF!</definedName>
    <definedName name="DAT" localSheetId="162">#REF!</definedName>
    <definedName name="DAT" localSheetId="164">#REF!</definedName>
    <definedName name="DAT" localSheetId="166">#REF!</definedName>
    <definedName name="DAT" localSheetId="168">#REF!</definedName>
    <definedName name="DAT" localSheetId="170">#REF!</definedName>
    <definedName name="DAT" localSheetId="172">#REF!</definedName>
    <definedName name="DAT" localSheetId="174">#REF!</definedName>
    <definedName name="DAT" localSheetId="176">#REF!</definedName>
    <definedName name="DAT" localSheetId="178">#REF!</definedName>
    <definedName name="DAT" localSheetId="180">#REF!</definedName>
    <definedName name="DAT" localSheetId="182">#REF!</definedName>
    <definedName name="DAT" localSheetId="184">#REF!</definedName>
    <definedName name="DAT" localSheetId="186">#REF!</definedName>
    <definedName name="DAT" localSheetId="188">#REF!</definedName>
    <definedName name="DAT" localSheetId="190">#REF!</definedName>
    <definedName name="DAT" localSheetId="192">#REF!</definedName>
    <definedName name="DAT" localSheetId="194">#REF!</definedName>
    <definedName name="DAT" localSheetId="196">#REF!</definedName>
    <definedName name="DAT" localSheetId="198">#REF!</definedName>
    <definedName name="DAT" localSheetId="200">#REF!</definedName>
    <definedName name="DAT" localSheetId="202">#REF!</definedName>
    <definedName name="DAT" localSheetId="204">#REF!</definedName>
    <definedName name="DAT" localSheetId="206">#REF!</definedName>
    <definedName name="DAT" localSheetId="208">#REF!</definedName>
    <definedName name="DAT" localSheetId="210">#REF!</definedName>
    <definedName name="DAT" localSheetId="212">#REF!</definedName>
    <definedName name="DAT" localSheetId="214">#REF!</definedName>
    <definedName name="DAT" localSheetId="216">#REF!</definedName>
    <definedName name="DAT" localSheetId="218">#REF!</definedName>
    <definedName name="DAT" localSheetId="220">#REF!</definedName>
    <definedName name="DAT" localSheetId="224">#REF!</definedName>
    <definedName name="DAT" localSheetId="228">#REF!</definedName>
    <definedName name="DAT" localSheetId="230">#REF!</definedName>
    <definedName name="DAT" localSheetId="232">#REF!</definedName>
    <definedName name="DAT" localSheetId="234">#REF!</definedName>
    <definedName name="DAT" localSheetId="236">#REF!</definedName>
    <definedName name="DAT" localSheetId="240">#REF!</definedName>
    <definedName name="DAT" localSheetId="242">#REF!</definedName>
    <definedName name="DAT" localSheetId="244">#REF!</definedName>
    <definedName name="DAT" localSheetId="246">#REF!</definedName>
    <definedName name="DAT" localSheetId="248">#REF!</definedName>
    <definedName name="DAT" localSheetId="250">#REF!</definedName>
    <definedName name="DAT" localSheetId="252">#REF!</definedName>
    <definedName name="DAT" localSheetId="254">#REF!</definedName>
    <definedName name="DAT" localSheetId="256">#REF!</definedName>
    <definedName name="DAT" localSheetId="258">#REF!</definedName>
    <definedName name="DAT" localSheetId="260">#REF!</definedName>
    <definedName name="DAT" localSheetId="262">#REF!</definedName>
    <definedName name="DAT" localSheetId="264">#REF!</definedName>
    <definedName name="DAT" localSheetId="266">#REF!</definedName>
    <definedName name="DAT" localSheetId="268">#REF!</definedName>
    <definedName name="DAT" localSheetId="270">#REF!</definedName>
    <definedName name="DAT" localSheetId="282">#REF!</definedName>
    <definedName name="DAT" localSheetId="284">#REF!</definedName>
    <definedName name="DAT" localSheetId="286">#REF!</definedName>
    <definedName name="DAT" localSheetId="288">#REF!</definedName>
    <definedName name="DAT" localSheetId="290">#REF!</definedName>
    <definedName name="DAT" localSheetId="296">#REF!</definedName>
    <definedName name="DAT" localSheetId="304">#REF!</definedName>
    <definedName name="DAT" localSheetId="306">#REF!</definedName>
    <definedName name="DAT" localSheetId="308">#REF!</definedName>
    <definedName name="DAT" localSheetId="318">#REF!</definedName>
    <definedName name="DAT" localSheetId="320">#REF!</definedName>
    <definedName name="DAT" localSheetId="322">#REF!</definedName>
    <definedName name="DAT" localSheetId="324">#REF!</definedName>
    <definedName name="DAT" localSheetId="328">#REF!</definedName>
    <definedName name="DAT" localSheetId="5">#REF!</definedName>
    <definedName name="DAT" localSheetId="7">#REF!</definedName>
    <definedName name="DAT" localSheetId="9">#REF!</definedName>
    <definedName name="DAT" localSheetId="11">#REF!</definedName>
    <definedName name="DAT" localSheetId="15">#REF!</definedName>
    <definedName name="DAT" localSheetId="21">#REF!</definedName>
    <definedName name="DAT" localSheetId="23">#REF!</definedName>
    <definedName name="DAT" localSheetId="27">#REF!</definedName>
    <definedName name="DAT" localSheetId="25">#REF!</definedName>
    <definedName name="DAT" localSheetId="29">#REF!</definedName>
    <definedName name="DAT" localSheetId="31">#REF!</definedName>
    <definedName name="DAT" localSheetId="35">#REF!</definedName>
    <definedName name="DAT" localSheetId="37">#REF!</definedName>
    <definedName name="DAT" localSheetId="41">#REF!</definedName>
    <definedName name="DAT" localSheetId="51">#REF!</definedName>
    <definedName name="DAT" localSheetId="97">#REF!</definedName>
    <definedName name="DAT" localSheetId="129">#REF!</definedName>
    <definedName name="DAT" localSheetId="131">#REF!</definedName>
    <definedName name="DAT" localSheetId="133">#REF!</definedName>
    <definedName name="DAT" localSheetId="135">#REF!</definedName>
    <definedName name="DAT" localSheetId="137">#REF!</definedName>
    <definedName name="DAT" localSheetId="139">#REF!</definedName>
    <definedName name="DAT" localSheetId="141">#REF!</definedName>
    <definedName name="DAT" localSheetId="143">#REF!</definedName>
    <definedName name="DAT" localSheetId="145">#REF!</definedName>
    <definedName name="DAT" localSheetId="147">#REF!</definedName>
    <definedName name="DAT" localSheetId="149">#REF!</definedName>
    <definedName name="DAT" localSheetId="151">#REF!</definedName>
    <definedName name="DAT" localSheetId="153">#REF!</definedName>
    <definedName name="DAT" localSheetId="155">#REF!</definedName>
    <definedName name="DAT" localSheetId="157">#REF!</definedName>
    <definedName name="DAT" localSheetId="159">#REF!</definedName>
    <definedName name="DAT" localSheetId="161">#REF!</definedName>
    <definedName name="DAT" localSheetId="163">#REF!</definedName>
    <definedName name="DAT" localSheetId="169">#REF!</definedName>
    <definedName name="DAT" localSheetId="173">#REF!</definedName>
    <definedName name="DAT" localSheetId="175">#REF!</definedName>
    <definedName name="DAT" localSheetId="177">#REF!</definedName>
    <definedName name="DAT" localSheetId="179">#REF!</definedName>
    <definedName name="DAT" localSheetId="3">#REF!</definedName>
    <definedName name="DAT">#REF!</definedName>
    <definedName name="DD" localSheetId="6">#REF!</definedName>
    <definedName name="DD" localSheetId="330">#REF!</definedName>
    <definedName name="DD" localSheetId="8">#REF!</definedName>
    <definedName name="DD" localSheetId="10">#REF!</definedName>
    <definedName name="DD" localSheetId="12">#REF!</definedName>
    <definedName name="DD" localSheetId="14">#REF!</definedName>
    <definedName name="DD" localSheetId="16">#REF!</definedName>
    <definedName name="DD" localSheetId="18">#REF!</definedName>
    <definedName name="DD" localSheetId="20">#REF!</definedName>
    <definedName name="DD" localSheetId="22">#REF!</definedName>
    <definedName name="DD" localSheetId="26">#REF!</definedName>
    <definedName name="DD" localSheetId="24">#REF!</definedName>
    <definedName name="DD" localSheetId="28">#REF!</definedName>
    <definedName name="DD" localSheetId="30">#REF!</definedName>
    <definedName name="DD" localSheetId="32">#REF!</definedName>
    <definedName name="DD" localSheetId="34">#REF!</definedName>
    <definedName name="DD" localSheetId="36">#REF!</definedName>
    <definedName name="DD" localSheetId="38">#REF!</definedName>
    <definedName name="DD" localSheetId="40">#REF!</definedName>
    <definedName name="DD" localSheetId="42">#REF!</definedName>
    <definedName name="DD" localSheetId="44">#REF!</definedName>
    <definedName name="DD" localSheetId="46">#REF!</definedName>
    <definedName name="DD" localSheetId="48">#REF!</definedName>
    <definedName name="DD" localSheetId="50">#REF!</definedName>
    <definedName name="DD" localSheetId="52">#REF!</definedName>
    <definedName name="DD" localSheetId="54">#REF!</definedName>
    <definedName name="DD" localSheetId="56">#REF!</definedName>
    <definedName name="DD" localSheetId="58">#REF!</definedName>
    <definedName name="DD" localSheetId="60">#REF!</definedName>
    <definedName name="DD" localSheetId="62">#REF!</definedName>
    <definedName name="DD" localSheetId="64">#REF!</definedName>
    <definedName name="DD" localSheetId="66">#REF!</definedName>
    <definedName name="DD" localSheetId="68">#REF!</definedName>
    <definedName name="DD" localSheetId="70">#REF!</definedName>
    <definedName name="DD" localSheetId="72">#REF!</definedName>
    <definedName name="DD" localSheetId="74">#REF!</definedName>
    <definedName name="DD" localSheetId="76">#REF!</definedName>
    <definedName name="DD" localSheetId="78">#REF!</definedName>
    <definedName name="DD" localSheetId="80">#REF!</definedName>
    <definedName name="DD" localSheetId="82">#REF!</definedName>
    <definedName name="DD" localSheetId="84">#REF!</definedName>
    <definedName name="DD" localSheetId="86">#REF!</definedName>
    <definedName name="DD" localSheetId="88">#REF!</definedName>
    <definedName name="DD" localSheetId="90">#REF!</definedName>
    <definedName name="DD" localSheetId="92">#REF!</definedName>
    <definedName name="DD" localSheetId="94">#REF!</definedName>
    <definedName name="DD" localSheetId="96">#REF!</definedName>
    <definedName name="DD" localSheetId="98">#REF!</definedName>
    <definedName name="DD" localSheetId="100">#REF!</definedName>
    <definedName name="DD" localSheetId="102">#REF!</definedName>
    <definedName name="DD" localSheetId="104">#REF!</definedName>
    <definedName name="DD" localSheetId="106">#REF!</definedName>
    <definedName name="DD" localSheetId="108">#REF!</definedName>
    <definedName name="DD" localSheetId="110">#REF!</definedName>
    <definedName name="DD" localSheetId="112">#REF!</definedName>
    <definedName name="DD" localSheetId="114">#REF!</definedName>
    <definedName name="DD" localSheetId="116">#REF!</definedName>
    <definedName name="DD" localSheetId="118">#REF!</definedName>
    <definedName name="DD" localSheetId="120">#REF!</definedName>
    <definedName name="DD" localSheetId="122">#REF!</definedName>
    <definedName name="DD" localSheetId="124">#REF!</definedName>
    <definedName name="DD" localSheetId="126">#REF!</definedName>
    <definedName name="DD" localSheetId="128">#REF!</definedName>
    <definedName name="DD" localSheetId="130">#REF!</definedName>
    <definedName name="DD" localSheetId="132">#REF!</definedName>
    <definedName name="DD" localSheetId="134">#REF!</definedName>
    <definedName name="DD" localSheetId="136">#REF!</definedName>
    <definedName name="DD" localSheetId="138">#REF!</definedName>
    <definedName name="DD" localSheetId="140">#REF!</definedName>
    <definedName name="DD" localSheetId="142">#REF!</definedName>
    <definedName name="DD" localSheetId="144">#REF!</definedName>
    <definedName name="DD" localSheetId="146">#REF!</definedName>
    <definedName name="DD" localSheetId="148">#REF!</definedName>
    <definedName name="DD" localSheetId="150">#REF!</definedName>
    <definedName name="DD" localSheetId="152">#REF!</definedName>
    <definedName name="DD" localSheetId="154">#REF!</definedName>
    <definedName name="DD" localSheetId="156">#REF!</definedName>
    <definedName name="DD" localSheetId="158">#REF!</definedName>
    <definedName name="DD" localSheetId="160">#REF!</definedName>
    <definedName name="DD" localSheetId="162">#REF!</definedName>
    <definedName name="DD" localSheetId="164">#REF!</definedName>
    <definedName name="DD" localSheetId="166">#REF!</definedName>
    <definedName name="DD" localSheetId="168">#REF!</definedName>
    <definedName name="DD" localSheetId="170">#REF!</definedName>
    <definedName name="DD" localSheetId="172">#REF!</definedName>
    <definedName name="DD" localSheetId="174">#REF!</definedName>
    <definedName name="DD" localSheetId="176">#REF!</definedName>
    <definedName name="DD" localSheetId="178">#REF!</definedName>
    <definedName name="DD" localSheetId="180">#REF!</definedName>
    <definedName name="DD" localSheetId="182">#REF!</definedName>
    <definedName name="DD" localSheetId="184">#REF!</definedName>
    <definedName name="DD" localSheetId="186">#REF!</definedName>
    <definedName name="DD" localSheetId="188">#REF!</definedName>
    <definedName name="DD" localSheetId="190">#REF!</definedName>
    <definedName name="DD" localSheetId="192">#REF!</definedName>
    <definedName name="DD" localSheetId="194">#REF!</definedName>
    <definedName name="DD" localSheetId="196">#REF!</definedName>
    <definedName name="DD" localSheetId="198">#REF!</definedName>
    <definedName name="DD" localSheetId="200">#REF!</definedName>
    <definedName name="DD" localSheetId="202">#REF!</definedName>
    <definedName name="DD" localSheetId="204">#REF!</definedName>
    <definedName name="DD" localSheetId="206">#REF!</definedName>
    <definedName name="DD" localSheetId="208">#REF!</definedName>
    <definedName name="DD" localSheetId="210">#REF!</definedName>
    <definedName name="DD" localSheetId="212">#REF!</definedName>
    <definedName name="DD" localSheetId="214">#REF!</definedName>
    <definedName name="DD" localSheetId="216">#REF!</definedName>
    <definedName name="DD" localSheetId="218">#REF!</definedName>
    <definedName name="DD" localSheetId="220">#REF!</definedName>
    <definedName name="DD" localSheetId="224">#REF!</definedName>
    <definedName name="DD" localSheetId="228">#REF!</definedName>
    <definedName name="DD" localSheetId="230">#REF!</definedName>
    <definedName name="DD" localSheetId="232">#REF!</definedName>
    <definedName name="DD" localSheetId="234">#REF!</definedName>
    <definedName name="DD" localSheetId="236">#REF!</definedName>
    <definedName name="DD" localSheetId="240">#REF!</definedName>
    <definedName name="DD" localSheetId="242">#REF!</definedName>
    <definedName name="DD" localSheetId="244">#REF!</definedName>
    <definedName name="DD" localSheetId="246">#REF!</definedName>
    <definedName name="DD" localSheetId="248">#REF!</definedName>
    <definedName name="DD" localSheetId="250">#REF!</definedName>
    <definedName name="DD" localSheetId="252">#REF!</definedName>
    <definedName name="DD" localSheetId="254">#REF!</definedName>
    <definedName name="DD" localSheetId="256">#REF!</definedName>
    <definedName name="DD" localSheetId="258">#REF!</definedName>
    <definedName name="DD" localSheetId="260">#REF!</definedName>
    <definedName name="DD" localSheetId="262">#REF!</definedName>
    <definedName name="DD" localSheetId="264">#REF!</definedName>
    <definedName name="DD" localSheetId="266">#REF!</definedName>
    <definedName name="DD" localSheetId="268">#REF!</definedName>
    <definedName name="DD" localSheetId="270">#REF!</definedName>
    <definedName name="DD" localSheetId="282">#REF!</definedName>
    <definedName name="DD" localSheetId="284">#REF!</definedName>
    <definedName name="DD" localSheetId="286">#REF!</definedName>
    <definedName name="DD" localSheetId="288">#REF!</definedName>
    <definedName name="DD" localSheetId="290">#REF!</definedName>
    <definedName name="DD" localSheetId="296">#REF!</definedName>
    <definedName name="DD" localSheetId="304">#REF!</definedName>
    <definedName name="DD" localSheetId="306">#REF!</definedName>
    <definedName name="DD" localSheetId="308">#REF!</definedName>
    <definedName name="DD" localSheetId="318">#REF!</definedName>
    <definedName name="DD" localSheetId="320">#REF!</definedName>
    <definedName name="DD" localSheetId="322">#REF!</definedName>
    <definedName name="DD" localSheetId="324">#REF!</definedName>
    <definedName name="DD" localSheetId="328">#REF!</definedName>
    <definedName name="DD" localSheetId="5">#REF!</definedName>
    <definedName name="DD" localSheetId="7">#REF!</definedName>
    <definedName name="DD" localSheetId="9">#REF!</definedName>
    <definedName name="DD" localSheetId="11">#REF!</definedName>
    <definedName name="DD" localSheetId="15">#REF!</definedName>
    <definedName name="DD" localSheetId="21">#REF!</definedName>
    <definedName name="DD" localSheetId="23">#REF!</definedName>
    <definedName name="DD" localSheetId="27">#REF!</definedName>
    <definedName name="DD" localSheetId="25">#REF!</definedName>
    <definedName name="DD" localSheetId="29">#REF!</definedName>
    <definedName name="DD" localSheetId="31">#REF!</definedName>
    <definedName name="DD" localSheetId="35">#REF!</definedName>
    <definedName name="DD" localSheetId="37">#REF!</definedName>
    <definedName name="DD" localSheetId="41">#REF!</definedName>
    <definedName name="DD" localSheetId="51">#REF!</definedName>
    <definedName name="DD" localSheetId="97">#REF!</definedName>
    <definedName name="DD" localSheetId="129">#REF!</definedName>
    <definedName name="DD" localSheetId="131">#REF!</definedName>
    <definedName name="DD" localSheetId="133">#REF!</definedName>
    <definedName name="DD" localSheetId="135">#REF!</definedName>
    <definedName name="DD" localSheetId="137">#REF!</definedName>
    <definedName name="DD" localSheetId="139">#REF!</definedName>
    <definedName name="DD" localSheetId="141">#REF!</definedName>
    <definedName name="DD" localSheetId="143">#REF!</definedName>
    <definedName name="DD" localSheetId="145">#REF!</definedName>
    <definedName name="DD" localSheetId="147">#REF!</definedName>
    <definedName name="DD" localSheetId="149">#REF!</definedName>
    <definedName name="DD" localSheetId="151">#REF!</definedName>
    <definedName name="DD" localSheetId="153">#REF!</definedName>
    <definedName name="DD" localSheetId="155">#REF!</definedName>
    <definedName name="DD" localSheetId="157">#REF!</definedName>
    <definedName name="DD" localSheetId="159">#REF!</definedName>
    <definedName name="DD" localSheetId="161">#REF!</definedName>
    <definedName name="DD" localSheetId="163">#REF!</definedName>
    <definedName name="DD" localSheetId="169">#REF!</definedName>
    <definedName name="DD" localSheetId="173">#REF!</definedName>
    <definedName name="DD" localSheetId="175">#REF!</definedName>
    <definedName name="DD" localSheetId="177">#REF!</definedName>
    <definedName name="DD" localSheetId="179">#REF!</definedName>
    <definedName name="DD" localSheetId="3">#REF!</definedName>
    <definedName name="DD">#REF!</definedName>
    <definedName name="ENTREGAS" localSheetId="6">#REF!</definedName>
    <definedName name="ENTREGAS" localSheetId="330">#REF!</definedName>
    <definedName name="ENTREGAS" localSheetId="8">#REF!</definedName>
    <definedName name="ENTREGAS" localSheetId="10">#REF!</definedName>
    <definedName name="ENTREGAS" localSheetId="12">#REF!</definedName>
    <definedName name="ENTREGAS" localSheetId="14">#REF!</definedName>
    <definedName name="ENTREGAS" localSheetId="16">#REF!</definedName>
    <definedName name="ENTREGAS" localSheetId="18">#REF!</definedName>
    <definedName name="ENTREGAS" localSheetId="20">#REF!</definedName>
    <definedName name="ENTREGAS" localSheetId="22">#REF!</definedName>
    <definedName name="ENTREGAS" localSheetId="26">#REF!</definedName>
    <definedName name="ENTREGAS" localSheetId="24">#REF!</definedName>
    <definedName name="ENTREGAS" localSheetId="28">#REF!</definedName>
    <definedName name="ENTREGAS" localSheetId="30">#REF!</definedName>
    <definedName name="ENTREGAS" localSheetId="32">#REF!</definedName>
    <definedName name="ENTREGAS" localSheetId="34">#REF!</definedName>
    <definedName name="ENTREGAS" localSheetId="36">#REF!</definedName>
    <definedName name="ENTREGAS" localSheetId="38">#REF!</definedName>
    <definedName name="ENTREGAS" localSheetId="40">#REF!</definedName>
    <definedName name="ENTREGAS" localSheetId="42">#REF!</definedName>
    <definedName name="ENTREGAS" localSheetId="44">#REF!</definedName>
    <definedName name="ENTREGAS" localSheetId="46">#REF!</definedName>
    <definedName name="ENTREGAS" localSheetId="48">#REF!</definedName>
    <definedName name="ENTREGAS" localSheetId="50">#REF!</definedName>
    <definedName name="ENTREGAS" localSheetId="52">#REF!</definedName>
    <definedName name="ENTREGAS" localSheetId="54">#REF!</definedName>
    <definedName name="ENTREGAS" localSheetId="56">#REF!</definedName>
    <definedName name="ENTREGAS" localSheetId="58">#REF!</definedName>
    <definedName name="ENTREGAS" localSheetId="60">#REF!</definedName>
    <definedName name="ENTREGAS" localSheetId="62">#REF!</definedName>
    <definedName name="ENTREGAS" localSheetId="64">#REF!</definedName>
    <definedName name="ENTREGAS" localSheetId="66">#REF!</definedName>
    <definedName name="ENTREGAS" localSheetId="68">#REF!</definedName>
    <definedName name="ENTREGAS" localSheetId="70">#REF!</definedName>
    <definedName name="ENTREGAS" localSheetId="72">#REF!</definedName>
    <definedName name="ENTREGAS" localSheetId="74">#REF!</definedName>
    <definedName name="ENTREGAS" localSheetId="76">#REF!</definedName>
    <definedName name="ENTREGAS" localSheetId="78">#REF!</definedName>
    <definedName name="ENTREGAS" localSheetId="80">#REF!</definedName>
    <definedName name="ENTREGAS" localSheetId="82">#REF!</definedName>
    <definedName name="ENTREGAS" localSheetId="84">#REF!</definedName>
    <definedName name="ENTREGAS" localSheetId="86">#REF!</definedName>
    <definedName name="ENTREGAS" localSheetId="88">#REF!</definedName>
    <definedName name="ENTREGAS" localSheetId="90">#REF!</definedName>
    <definedName name="ENTREGAS" localSheetId="92">#REF!</definedName>
    <definedName name="ENTREGAS" localSheetId="94">#REF!</definedName>
    <definedName name="ENTREGAS" localSheetId="96">#REF!</definedName>
    <definedName name="ENTREGAS" localSheetId="98">#REF!</definedName>
    <definedName name="ENTREGAS" localSheetId="100">#REF!</definedName>
    <definedName name="ENTREGAS" localSheetId="102">#REF!</definedName>
    <definedName name="ENTREGAS" localSheetId="104">#REF!</definedName>
    <definedName name="ENTREGAS" localSheetId="106">#REF!</definedName>
    <definedName name="ENTREGAS" localSheetId="108">#REF!</definedName>
    <definedName name="ENTREGAS" localSheetId="110">#REF!</definedName>
    <definedName name="ENTREGAS" localSheetId="112">#REF!</definedName>
    <definedName name="ENTREGAS" localSheetId="114">#REF!</definedName>
    <definedName name="ENTREGAS" localSheetId="116">#REF!</definedName>
    <definedName name="ENTREGAS" localSheetId="118">#REF!</definedName>
    <definedName name="ENTREGAS" localSheetId="120">#REF!</definedName>
    <definedName name="ENTREGAS" localSheetId="122">#REF!</definedName>
    <definedName name="ENTREGAS" localSheetId="124">#REF!</definedName>
    <definedName name="ENTREGAS" localSheetId="126">#REF!</definedName>
    <definedName name="ENTREGAS" localSheetId="128">#REF!</definedName>
    <definedName name="ENTREGAS" localSheetId="130">#REF!</definedName>
    <definedName name="ENTREGAS" localSheetId="132">#REF!</definedName>
    <definedName name="ENTREGAS" localSheetId="134">#REF!</definedName>
    <definedName name="ENTREGAS" localSheetId="136">#REF!</definedName>
    <definedName name="ENTREGAS" localSheetId="138">#REF!</definedName>
    <definedName name="ENTREGAS" localSheetId="140">#REF!</definedName>
    <definedName name="ENTREGAS" localSheetId="142">#REF!</definedName>
    <definedName name="ENTREGAS" localSheetId="144">#REF!</definedName>
    <definedName name="ENTREGAS" localSheetId="146">#REF!</definedName>
    <definedName name="ENTREGAS" localSheetId="148">#REF!</definedName>
    <definedName name="ENTREGAS" localSheetId="150">#REF!</definedName>
    <definedName name="ENTREGAS" localSheetId="152">#REF!</definedName>
    <definedName name="ENTREGAS" localSheetId="154">#REF!</definedName>
    <definedName name="ENTREGAS" localSheetId="156">#REF!</definedName>
    <definedName name="ENTREGAS" localSheetId="158">#REF!</definedName>
    <definedName name="ENTREGAS" localSheetId="160">#REF!</definedName>
    <definedName name="ENTREGAS" localSheetId="162">#REF!</definedName>
    <definedName name="ENTREGAS" localSheetId="164">#REF!</definedName>
    <definedName name="ENTREGAS" localSheetId="166">#REF!</definedName>
    <definedName name="ENTREGAS" localSheetId="168">#REF!</definedName>
    <definedName name="ENTREGAS" localSheetId="170">#REF!</definedName>
    <definedName name="ENTREGAS" localSheetId="172">#REF!</definedName>
    <definedName name="ENTREGAS" localSheetId="174">#REF!</definedName>
    <definedName name="ENTREGAS" localSheetId="176">#REF!</definedName>
    <definedName name="ENTREGAS" localSheetId="178">#REF!</definedName>
    <definedName name="ENTREGAS" localSheetId="180">#REF!</definedName>
    <definedName name="ENTREGAS" localSheetId="182">#REF!</definedName>
    <definedName name="ENTREGAS" localSheetId="184">#REF!</definedName>
    <definedName name="ENTREGAS" localSheetId="186">#REF!</definedName>
    <definedName name="ENTREGAS" localSheetId="188">#REF!</definedName>
    <definedName name="ENTREGAS" localSheetId="190">#REF!</definedName>
    <definedName name="ENTREGAS" localSheetId="192">#REF!</definedName>
    <definedName name="ENTREGAS" localSheetId="194">#REF!</definedName>
    <definedName name="ENTREGAS" localSheetId="196">#REF!</definedName>
    <definedName name="ENTREGAS" localSheetId="198">#REF!</definedName>
    <definedName name="ENTREGAS" localSheetId="200">#REF!</definedName>
    <definedName name="ENTREGAS" localSheetId="202">#REF!</definedName>
    <definedName name="ENTREGAS" localSheetId="204">#REF!</definedName>
    <definedName name="ENTREGAS" localSheetId="206">#REF!</definedName>
    <definedName name="ENTREGAS" localSheetId="208">#REF!</definedName>
    <definedName name="ENTREGAS" localSheetId="210">#REF!</definedName>
    <definedName name="ENTREGAS" localSheetId="212">#REF!</definedName>
    <definedName name="ENTREGAS" localSheetId="214">#REF!</definedName>
    <definedName name="ENTREGAS" localSheetId="216">#REF!</definedName>
    <definedName name="ENTREGAS" localSheetId="218">#REF!</definedName>
    <definedName name="ENTREGAS" localSheetId="220">#REF!</definedName>
    <definedName name="ENTREGAS" localSheetId="224">#REF!</definedName>
    <definedName name="ENTREGAS" localSheetId="228">#REF!</definedName>
    <definedName name="ENTREGAS" localSheetId="230">#REF!</definedName>
    <definedName name="ENTREGAS" localSheetId="232">#REF!</definedName>
    <definedName name="ENTREGAS" localSheetId="234">#REF!</definedName>
    <definedName name="ENTREGAS" localSheetId="236">#REF!</definedName>
    <definedName name="ENTREGAS" localSheetId="240">#REF!</definedName>
    <definedName name="ENTREGAS" localSheetId="242">#REF!</definedName>
    <definedName name="ENTREGAS" localSheetId="244">#REF!</definedName>
    <definedName name="ENTREGAS" localSheetId="246">#REF!</definedName>
    <definedName name="ENTREGAS" localSheetId="248">#REF!</definedName>
    <definedName name="ENTREGAS" localSheetId="250">#REF!</definedName>
    <definedName name="ENTREGAS" localSheetId="252">#REF!</definedName>
    <definedName name="ENTREGAS" localSheetId="254">#REF!</definedName>
    <definedName name="ENTREGAS" localSheetId="256">#REF!</definedName>
    <definedName name="ENTREGAS" localSheetId="258">#REF!</definedName>
    <definedName name="ENTREGAS" localSheetId="260">#REF!</definedName>
    <definedName name="ENTREGAS" localSheetId="262">#REF!</definedName>
    <definedName name="ENTREGAS" localSheetId="264">#REF!</definedName>
    <definedName name="ENTREGAS" localSheetId="266">#REF!</definedName>
    <definedName name="ENTREGAS" localSheetId="268">#REF!</definedName>
    <definedName name="ENTREGAS" localSheetId="270">#REF!</definedName>
    <definedName name="ENTREGAS" localSheetId="282">#REF!</definedName>
    <definedName name="ENTREGAS" localSheetId="284">#REF!</definedName>
    <definedName name="ENTREGAS" localSheetId="286">#REF!</definedName>
    <definedName name="ENTREGAS" localSheetId="288">#REF!</definedName>
    <definedName name="ENTREGAS" localSheetId="290">#REF!</definedName>
    <definedName name="ENTREGAS" localSheetId="296">#REF!</definedName>
    <definedName name="ENTREGAS" localSheetId="304">#REF!</definedName>
    <definedName name="ENTREGAS" localSheetId="306">#REF!</definedName>
    <definedName name="ENTREGAS" localSheetId="308">#REF!</definedName>
    <definedName name="ENTREGAS" localSheetId="318">#REF!</definedName>
    <definedName name="ENTREGAS" localSheetId="320">#REF!</definedName>
    <definedName name="ENTREGAS" localSheetId="322">#REF!</definedName>
    <definedName name="ENTREGAS" localSheetId="324">#REF!</definedName>
    <definedName name="ENTREGAS" localSheetId="328">#REF!</definedName>
    <definedName name="ENTREGAS" localSheetId="5">#REF!</definedName>
    <definedName name="ENTREGAS" localSheetId="7">#REF!</definedName>
    <definedName name="ENTREGAS" localSheetId="9">#REF!</definedName>
    <definedName name="ENTREGAS" localSheetId="11">#REF!</definedName>
    <definedName name="ENTREGAS" localSheetId="15">#REF!</definedName>
    <definedName name="ENTREGAS" localSheetId="21">#REF!</definedName>
    <definedName name="ENTREGAS" localSheetId="23">#REF!</definedName>
    <definedName name="ENTREGAS" localSheetId="27">#REF!</definedName>
    <definedName name="ENTREGAS" localSheetId="25">#REF!</definedName>
    <definedName name="ENTREGAS" localSheetId="29">#REF!</definedName>
    <definedName name="ENTREGAS" localSheetId="31">#REF!</definedName>
    <definedName name="ENTREGAS" localSheetId="35">#REF!</definedName>
    <definedName name="ENTREGAS" localSheetId="37">#REF!</definedName>
    <definedName name="ENTREGAS" localSheetId="41">#REF!</definedName>
    <definedName name="ENTREGAS" localSheetId="51">#REF!</definedName>
    <definedName name="ENTREGAS" localSheetId="97">#REF!</definedName>
    <definedName name="ENTREGAS" localSheetId="129">#REF!</definedName>
    <definedName name="ENTREGAS" localSheetId="131">#REF!</definedName>
    <definedName name="ENTREGAS" localSheetId="133">#REF!</definedName>
    <definedName name="ENTREGAS" localSheetId="135">#REF!</definedName>
    <definedName name="ENTREGAS" localSheetId="137">#REF!</definedName>
    <definedName name="ENTREGAS" localSheetId="139">#REF!</definedName>
    <definedName name="ENTREGAS" localSheetId="141">#REF!</definedName>
    <definedName name="ENTREGAS" localSheetId="143">#REF!</definedName>
    <definedName name="ENTREGAS" localSheetId="145">#REF!</definedName>
    <definedName name="ENTREGAS" localSheetId="147">#REF!</definedName>
    <definedName name="ENTREGAS" localSheetId="149">#REF!</definedName>
    <definedName name="ENTREGAS" localSheetId="151">#REF!</definedName>
    <definedName name="ENTREGAS" localSheetId="153">#REF!</definedName>
    <definedName name="ENTREGAS" localSheetId="155">#REF!</definedName>
    <definedName name="ENTREGAS" localSheetId="157">#REF!</definedName>
    <definedName name="ENTREGAS" localSheetId="159">#REF!</definedName>
    <definedName name="ENTREGAS" localSheetId="161">#REF!</definedName>
    <definedName name="ENTREGAS" localSheetId="163">#REF!</definedName>
    <definedName name="ENTREGAS" localSheetId="169">#REF!</definedName>
    <definedName name="ENTREGAS" localSheetId="173">#REF!</definedName>
    <definedName name="ENTREGAS" localSheetId="175">#REF!</definedName>
    <definedName name="ENTREGAS" localSheetId="177">#REF!</definedName>
    <definedName name="ENTREGAS" localSheetId="179">#REF!</definedName>
    <definedName name="ENTREGAS" localSheetId="3">#REF!</definedName>
    <definedName name="ENTREGAS">#REF!</definedName>
    <definedName name="Excel_BuiltIn_Print_Area_16" localSheetId="6">#REF!</definedName>
    <definedName name="Excel_BuiltIn_Print_Area_16" localSheetId="330">#REF!</definedName>
    <definedName name="Excel_BuiltIn_Print_Area_16" localSheetId="8">#REF!</definedName>
    <definedName name="Excel_BuiltIn_Print_Area_16" localSheetId="10">#REF!</definedName>
    <definedName name="Excel_BuiltIn_Print_Area_16" localSheetId="12">#REF!</definedName>
    <definedName name="Excel_BuiltIn_Print_Area_16" localSheetId="14">#REF!</definedName>
    <definedName name="Excel_BuiltIn_Print_Area_16" localSheetId="16">#REF!</definedName>
    <definedName name="Excel_BuiltIn_Print_Area_16" localSheetId="18">#REF!</definedName>
    <definedName name="Excel_BuiltIn_Print_Area_16" localSheetId="20">#REF!</definedName>
    <definedName name="Excel_BuiltIn_Print_Area_16" localSheetId="22">#REF!</definedName>
    <definedName name="Excel_BuiltIn_Print_Area_16" localSheetId="26">#REF!</definedName>
    <definedName name="Excel_BuiltIn_Print_Area_16" localSheetId="24">#REF!</definedName>
    <definedName name="Excel_BuiltIn_Print_Area_16" localSheetId="28">#REF!</definedName>
    <definedName name="Excel_BuiltIn_Print_Area_16" localSheetId="30">#REF!</definedName>
    <definedName name="Excel_BuiltIn_Print_Area_16" localSheetId="32">#REF!</definedName>
    <definedName name="Excel_BuiltIn_Print_Area_16" localSheetId="34">#REF!</definedName>
    <definedName name="Excel_BuiltIn_Print_Area_16" localSheetId="36">#REF!</definedName>
    <definedName name="Excel_BuiltIn_Print_Area_16" localSheetId="38">#REF!</definedName>
    <definedName name="Excel_BuiltIn_Print_Area_16" localSheetId="40">#REF!</definedName>
    <definedName name="Excel_BuiltIn_Print_Area_16" localSheetId="42">#REF!</definedName>
    <definedName name="Excel_BuiltIn_Print_Area_16" localSheetId="44">#REF!</definedName>
    <definedName name="Excel_BuiltIn_Print_Area_16" localSheetId="46">#REF!</definedName>
    <definedName name="Excel_BuiltIn_Print_Area_16" localSheetId="48">#REF!</definedName>
    <definedName name="Excel_BuiltIn_Print_Area_16" localSheetId="50">#REF!</definedName>
    <definedName name="Excel_BuiltIn_Print_Area_16" localSheetId="52">#REF!</definedName>
    <definedName name="Excel_BuiltIn_Print_Area_16" localSheetId="54">#REF!</definedName>
    <definedName name="Excel_BuiltIn_Print_Area_16" localSheetId="56">#REF!</definedName>
    <definedName name="Excel_BuiltIn_Print_Area_16" localSheetId="58">#REF!</definedName>
    <definedName name="Excel_BuiltIn_Print_Area_16" localSheetId="60">#REF!</definedName>
    <definedName name="Excel_BuiltIn_Print_Area_16" localSheetId="62">#REF!</definedName>
    <definedName name="Excel_BuiltIn_Print_Area_16" localSheetId="64">#REF!</definedName>
    <definedName name="Excel_BuiltIn_Print_Area_16" localSheetId="66">#REF!</definedName>
    <definedName name="Excel_BuiltIn_Print_Area_16" localSheetId="68">#REF!</definedName>
    <definedName name="Excel_BuiltIn_Print_Area_16" localSheetId="70">#REF!</definedName>
    <definedName name="Excel_BuiltIn_Print_Area_16" localSheetId="72">#REF!</definedName>
    <definedName name="Excel_BuiltIn_Print_Area_16" localSheetId="74">#REF!</definedName>
    <definedName name="Excel_BuiltIn_Print_Area_16" localSheetId="76">#REF!</definedName>
    <definedName name="Excel_BuiltIn_Print_Area_16" localSheetId="78">#REF!</definedName>
    <definedName name="Excel_BuiltIn_Print_Area_16" localSheetId="80">#REF!</definedName>
    <definedName name="Excel_BuiltIn_Print_Area_16" localSheetId="82">#REF!</definedName>
    <definedName name="Excel_BuiltIn_Print_Area_16" localSheetId="84">#REF!</definedName>
    <definedName name="Excel_BuiltIn_Print_Area_16" localSheetId="86">#REF!</definedName>
    <definedName name="Excel_BuiltIn_Print_Area_16" localSheetId="88">#REF!</definedName>
    <definedName name="Excel_BuiltIn_Print_Area_16" localSheetId="90">#REF!</definedName>
    <definedName name="Excel_BuiltIn_Print_Area_16" localSheetId="92">#REF!</definedName>
    <definedName name="Excel_BuiltIn_Print_Area_16" localSheetId="94">#REF!</definedName>
    <definedName name="Excel_BuiltIn_Print_Area_16" localSheetId="96">#REF!</definedName>
    <definedName name="Excel_BuiltIn_Print_Area_16" localSheetId="98">#REF!</definedName>
    <definedName name="Excel_BuiltIn_Print_Area_16" localSheetId="100">#REF!</definedName>
    <definedName name="Excel_BuiltIn_Print_Area_16" localSheetId="102">#REF!</definedName>
    <definedName name="Excel_BuiltIn_Print_Area_16" localSheetId="104">#REF!</definedName>
    <definedName name="Excel_BuiltIn_Print_Area_16" localSheetId="106">#REF!</definedName>
    <definedName name="Excel_BuiltIn_Print_Area_16" localSheetId="108">#REF!</definedName>
    <definedName name="Excel_BuiltIn_Print_Area_16" localSheetId="110">#REF!</definedName>
    <definedName name="Excel_BuiltIn_Print_Area_16" localSheetId="112">#REF!</definedName>
    <definedName name="Excel_BuiltIn_Print_Area_16" localSheetId="114">#REF!</definedName>
    <definedName name="Excel_BuiltIn_Print_Area_16" localSheetId="116">#REF!</definedName>
    <definedName name="Excel_BuiltIn_Print_Area_16" localSheetId="118">#REF!</definedName>
    <definedName name="Excel_BuiltIn_Print_Area_16" localSheetId="120">#REF!</definedName>
    <definedName name="Excel_BuiltIn_Print_Area_16" localSheetId="122">#REF!</definedName>
    <definedName name="Excel_BuiltIn_Print_Area_16" localSheetId="124">#REF!</definedName>
    <definedName name="Excel_BuiltIn_Print_Area_16" localSheetId="126">#REF!</definedName>
    <definedName name="Excel_BuiltIn_Print_Area_16" localSheetId="128">#REF!</definedName>
    <definedName name="Excel_BuiltIn_Print_Area_16" localSheetId="130">#REF!</definedName>
    <definedName name="Excel_BuiltIn_Print_Area_16" localSheetId="132">#REF!</definedName>
    <definedName name="Excel_BuiltIn_Print_Area_16" localSheetId="134">#REF!</definedName>
    <definedName name="Excel_BuiltIn_Print_Area_16" localSheetId="136">#REF!</definedName>
    <definedName name="Excel_BuiltIn_Print_Area_16" localSheetId="138">#REF!</definedName>
    <definedName name="Excel_BuiltIn_Print_Area_16" localSheetId="140">#REF!</definedName>
    <definedName name="Excel_BuiltIn_Print_Area_16" localSheetId="142">#REF!</definedName>
    <definedName name="Excel_BuiltIn_Print_Area_16" localSheetId="144">#REF!</definedName>
    <definedName name="Excel_BuiltIn_Print_Area_16" localSheetId="146">#REF!</definedName>
    <definedName name="Excel_BuiltIn_Print_Area_16" localSheetId="148">#REF!</definedName>
    <definedName name="Excel_BuiltIn_Print_Area_16" localSheetId="150">#REF!</definedName>
    <definedName name="Excel_BuiltIn_Print_Area_16" localSheetId="152">#REF!</definedName>
    <definedName name="Excel_BuiltIn_Print_Area_16" localSheetId="154">#REF!</definedName>
    <definedName name="Excel_BuiltIn_Print_Area_16" localSheetId="156">#REF!</definedName>
    <definedName name="Excel_BuiltIn_Print_Area_16" localSheetId="158">#REF!</definedName>
    <definedName name="Excel_BuiltIn_Print_Area_16" localSheetId="160">#REF!</definedName>
    <definedName name="Excel_BuiltIn_Print_Area_16" localSheetId="162">#REF!</definedName>
    <definedName name="Excel_BuiltIn_Print_Area_16" localSheetId="164">#REF!</definedName>
    <definedName name="Excel_BuiltIn_Print_Area_16" localSheetId="166">#REF!</definedName>
    <definedName name="Excel_BuiltIn_Print_Area_16" localSheetId="168">#REF!</definedName>
    <definedName name="Excel_BuiltIn_Print_Area_16" localSheetId="170">#REF!</definedName>
    <definedName name="Excel_BuiltIn_Print_Area_16" localSheetId="172">#REF!</definedName>
    <definedName name="Excel_BuiltIn_Print_Area_16" localSheetId="174">#REF!</definedName>
    <definedName name="Excel_BuiltIn_Print_Area_16" localSheetId="176">#REF!</definedName>
    <definedName name="Excel_BuiltIn_Print_Area_16" localSheetId="178">#REF!</definedName>
    <definedName name="Excel_BuiltIn_Print_Area_16" localSheetId="180">#REF!</definedName>
    <definedName name="Excel_BuiltIn_Print_Area_16" localSheetId="182">#REF!</definedName>
    <definedName name="Excel_BuiltIn_Print_Area_16" localSheetId="184">#REF!</definedName>
    <definedName name="Excel_BuiltIn_Print_Area_16" localSheetId="186">#REF!</definedName>
    <definedName name="Excel_BuiltIn_Print_Area_16" localSheetId="188">#REF!</definedName>
    <definedName name="Excel_BuiltIn_Print_Area_16" localSheetId="190">#REF!</definedName>
    <definedName name="Excel_BuiltIn_Print_Area_16" localSheetId="192">#REF!</definedName>
    <definedName name="Excel_BuiltIn_Print_Area_16" localSheetId="194">#REF!</definedName>
    <definedName name="Excel_BuiltIn_Print_Area_16" localSheetId="196">#REF!</definedName>
    <definedName name="Excel_BuiltIn_Print_Area_16" localSheetId="198">#REF!</definedName>
    <definedName name="Excel_BuiltIn_Print_Area_16" localSheetId="200">#REF!</definedName>
    <definedName name="Excel_BuiltIn_Print_Area_16" localSheetId="202">#REF!</definedName>
    <definedName name="Excel_BuiltIn_Print_Area_16" localSheetId="204">#REF!</definedName>
    <definedName name="Excel_BuiltIn_Print_Area_16" localSheetId="206">#REF!</definedName>
    <definedName name="Excel_BuiltIn_Print_Area_16" localSheetId="208">#REF!</definedName>
    <definedName name="Excel_BuiltIn_Print_Area_16" localSheetId="210">#REF!</definedName>
    <definedName name="Excel_BuiltIn_Print_Area_16" localSheetId="212">#REF!</definedName>
    <definedName name="Excel_BuiltIn_Print_Area_16" localSheetId="214">#REF!</definedName>
    <definedName name="Excel_BuiltIn_Print_Area_16" localSheetId="216">#REF!</definedName>
    <definedName name="Excel_BuiltIn_Print_Area_16" localSheetId="218">#REF!</definedName>
    <definedName name="Excel_BuiltIn_Print_Area_16" localSheetId="220">#REF!</definedName>
    <definedName name="Excel_BuiltIn_Print_Area_16" localSheetId="224">#REF!</definedName>
    <definedName name="Excel_BuiltIn_Print_Area_16" localSheetId="228">#REF!</definedName>
    <definedName name="Excel_BuiltIn_Print_Area_16" localSheetId="230">#REF!</definedName>
    <definedName name="Excel_BuiltIn_Print_Area_16" localSheetId="232">#REF!</definedName>
    <definedName name="Excel_BuiltIn_Print_Area_16" localSheetId="234">#REF!</definedName>
    <definedName name="Excel_BuiltIn_Print_Area_16" localSheetId="236">#REF!</definedName>
    <definedName name="Excel_BuiltIn_Print_Area_16" localSheetId="240">#REF!</definedName>
    <definedName name="Excel_BuiltIn_Print_Area_16" localSheetId="242">#REF!</definedName>
    <definedName name="Excel_BuiltIn_Print_Area_16" localSheetId="244">#REF!</definedName>
    <definedName name="Excel_BuiltIn_Print_Area_16" localSheetId="246">#REF!</definedName>
    <definedName name="Excel_BuiltIn_Print_Area_16" localSheetId="248">#REF!</definedName>
    <definedName name="Excel_BuiltIn_Print_Area_16" localSheetId="250">#REF!</definedName>
    <definedName name="Excel_BuiltIn_Print_Area_16" localSheetId="252">#REF!</definedName>
    <definedName name="Excel_BuiltIn_Print_Area_16" localSheetId="254">#REF!</definedName>
    <definedName name="Excel_BuiltIn_Print_Area_16" localSheetId="256">#REF!</definedName>
    <definedName name="Excel_BuiltIn_Print_Area_16" localSheetId="258">#REF!</definedName>
    <definedName name="Excel_BuiltIn_Print_Area_16" localSheetId="260">#REF!</definedName>
    <definedName name="Excel_BuiltIn_Print_Area_16" localSheetId="262">#REF!</definedName>
    <definedName name="Excel_BuiltIn_Print_Area_16" localSheetId="264">#REF!</definedName>
    <definedName name="Excel_BuiltIn_Print_Area_16" localSheetId="266">#REF!</definedName>
    <definedName name="Excel_BuiltIn_Print_Area_16" localSheetId="268">#REF!</definedName>
    <definedName name="Excel_BuiltIn_Print_Area_16" localSheetId="270">#REF!</definedName>
    <definedName name="Excel_BuiltIn_Print_Area_16" localSheetId="282">#REF!</definedName>
    <definedName name="Excel_BuiltIn_Print_Area_16" localSheetId="284">#REF!</definedName>
    <definedName name="Excel_BuiltIn_Print_Area_16" localSheetId="286">#REF!</definedName>
    <definedName name="Excel_BuiltIn_Print_Area_16" localSheetId="288">#REF!</definedName>
    <definedName name="Excel_BuiltIn_Print_Area_16" localSheetId="290">#REF!</definedName>
    <definedName name="Excel_BuiltIn_Print_Area_16" localSheetId="296">#REF!</definedName>
    <definedName name="Excel_BuiltIn_Print_Area_16" localSheetId="304">#REF!</definedName>
    <definedName name="Excel_BuiltIn_Print_Area_16" localSheetId="306">#REF!</definedName>
    <definedName name="Excel_BuiltIn_Print_Area_16" localSheetId="308">#REF!</definedName>
    <definedName name="Excel_BuiltIn_Print_Area_16" localSheetId="318">#REF!</definedName>
    <definedName name="Excel_BuiltIn_Print_Area_16" localSheetId="320">#REF!</definedName>
    <definedName name="Excel_BuiltIn_Print_Area_16" localSheetId="322">#REF!</definedName>
    <definedName name="Excel_BuiltIn_Print_Area_16" localSheetId="324">#REF!</definedName>
    <definedName name="Excel_BuiltIn_Print_Area_16" localSheetId="328">#REF!</definedName>
    <definedName name="Excel_BuiltIn_Print_Area_16" localSheetId="5">#REF!</definedName>
    <definedName name="Excel_BuiltIn_Print_Area_16" localSheetId="7">#REF!</definedName>
    <definedName name="Excel_BuiltIn_Print_Area_16" localSheetId="9">#REF!</definedName>
    <definedName name="Excel_BuiltIn_Print_Area_16" localSheetId="11">#REF!</definedName>
    <definedName name="Excel_BuiltIn_Print_Area_16" localSheetId="15">#REF!</definedName>
    <definedName name="Excel_BuiltIn_Print_Area_16" localSheetId="21">#REF!</definedName>
    <definedName name="Excel_BuiltIn_Print_Area_16" localSheetId="23">#REF!</definedName>
    <definedName name="Excel_BuiltIn_Print_Area_16" localSheetId="27">#REF!</definedName>
    <definedName name="Excel_BuiltIn_Print_Area_16" localSheetId="25">#REF!</definedName>
    <definedName name="Excel_BuiltIn_Print_Area_16" localSheetId="29">#REF!</definedName>
    <definedName name="Excel_BuiltIn_Print_Area_16" localSheetId="31">#REF!</definedName>
    <definedName name="Excel_BuiltIn_Print_Area_16" localSheetId="35">#REF!</definedName>
    <definedName name="Excel_BuiltIn_Print_Area_16" localSheetId="37">#REF!</definedName>
    <definedName name="Excel_BuiltIn_Print_Area_16" localSheetId="41">#REF!</definedName>
    <definedName name="Excel_BuiltIn_Print_Area_16" localSheetId="51">#REF!</definedName>
    <definedName name="Excel_BuiltIn_Print_Area_16" localSheetId="97">#REF!</definedName>
    <definedName name="Excel_BuiltIn_Print_Area_16" localSheetId="129">#REF!</definedName>
    <definedName name="Excel_BuiltIn_Print_Area_16" localSheetId="131">#REF!</definedName>
    <definedName name="Excel_BuiltIn_Print_Area_16" localSheetId="133">#REF!</definedName>
    <definedName name="Excel_BuiltIn_Print_Area_16" localSheetId="135">#REF!</definedName>
    <definedName name="Excel_BuiltIn_Print_Area_16" localSheetId="137">#REF!</definedName>
    <definedName name="Excel_BuiltIn_Print_Area_16" localSheetId="139">#REF!</definedName>
    <definedName name="Excel_BuiltIn_Print_Area_16" localSheetId="141">#REF!</definedName>
    <definedName name="Excel_BuiltIn_Print_Area_16" localSheetId="143">#REF!</definedName>
    <definedName name="Excel_BuiltIn_Print_Area_16" localSheetId="145">#REF!</definedName>
    <definedName name="Excel_BuiltIn_Print_Area_16" localSheetId="147">#REF!</definedName>
    <definedName name="Excel_BuiltIn_Print_Area_16" localSheetId="149">#REF!</definedName>
    <definedName name="Excel_BuiltIn_Print_Area_16" localSheetId="151">#REF!</definedName>
    <definedName name="Excel_BuiltIn_Print_Area_16" localSheetId="153">#REF!</definedName>
    <definedName name="Excel_BuiltIn_Print_Area_16" localSheetId="155">#REF!</definedName>
    <definedName name="Excel_BuiltIn_Print_Area_16" localSheetId="157">#REF!</definedName>
    <definedName name="Excel_BuiltIn_Print_Area_16" localSheetId="159">#REF!</definedName>
    <definedName name="Excel_BuiltIn_Print_Area_16" localSheetId="161">#REF!</definedName>
    <definedName name="Excel_BuiltIn_Print_Area_16" localSheetId="163">#REF!</definedName>
    <definedName name="Excel_BuiltIn_Print_Area_16" localSheetId="169">#REF!</definedName>
    <definedName name="Excel_BuiltIn_Print_Area_16" localSheetId="173">#REF!</definedName>
    <definedName name="Excel_BuiltIn_Print_Area_16" localSheetId="175">#REF!</definedName>
    <definedName name="Excel_BuiltIn_Print_Area_16" localSheetId="177">#REF!</definedName>
    <definedName name="Excel_BuiltIn_Print_Area_16" localSheetId="179">#REF!</definedName>
    <definedName name="Excel_BuiltIn_Print_Area_16" localSheetId="3">#REF!</definedName>
    <definedName name="Excel_BuiltIn_Print_Area_16">#REF!</definedName>
    <definedName name="Excel_BuiltIn_Print_Area_19" localSheetId="6">#REF!</definedName>
    <definedName name="Excel_BuiltIn_Print_Area_19" localSheetId="330">#REF!</definedName>
    <definedName name="Excel_BuiltIn_Print_Area_19" localSheetId="8">#REF!</definedName>
    <definedName name="Excel_BuiltIn_Print_Area_19" localSheetId="10">#REF!</definedName>
    <definedName name="Excel_BuiltIn_Print_Area_19" localSheetId="12">#REF!</definedName>
    <definedName name="Excel_BuiltIn_Print_Area_19" localSheetId="14">#REF!</definedName>
    <definedName name="Excel_BuiltIn_Print_Area_19" localSheetId="16">#REF!</definedName>
    <definedName name="Excel_BuiltIn_Print_Area_19" localSheetId="18">#REF!</definedName>
    <definedName name="Excel_BuiltIn_Print_Area_19" localSheetId="20">#REF!</definedName>
    <definedName name="Excel_BuiltIn_Print_Area_19" localSheetId="22">#REF!</definedName>
    <definedName name="Excel_BuiltIn_Print_Area_19" localSheetId="26">#REF!</definedName>
    <definedName name="Excel_BuiltIn_Print_Area_19" localSheetId="24">#REF!</definedName>
    <definedName name="Excel_BuiltIn_Print_Area_19" localSheetId="28">#REF!</definedName>
    <definedName name="Excel_BuiltIn_Print_Area_19" localSheetId="30">#REF!</definedName>
    <definedName name="Excel_BuiltIn_Print_Area_19" localSheetId="32">#REF!</definedName>
    <definedName name="Excel_BuiltIn_Print_Area_19" localSheetId="34">#REF!</definedName>
    <definedName name="Excel_BuiltIn_Print_Area_19" localSheetId="36">#REF!</definedName>
    <definedName name="Excel_BuiltIn_Print_Area_19" localSheetId="38">#REF!</definedName>
    <definedName name="Excel_BuiltIn_Print_Area_19" localSheetId="40">#REF!</definedName>
    <definedName name="Excel_BuiltIn_Print_Area_19" localSheetId="42">#REF!</definedName>
    <definedName name="Excel_BuiltIn_Print_Area_19" localSheetId="44">#REF!</definedName>
    <definedName name="Excel_BuiltIn_Print_Area_19" localSheetId="46">#REF!</definedName>
    <definedName name="Excel_BuiltIn_Print_Area_19" localSheetId="48">#REF!</definedName>
    <definedName name="Excel_BuiltIn_Print_Area_19" localSheetId="50">#REF!</definedName>
    <definedName name="Excel_BuiltIn_Print_Area_19" localSheetId="52">#REF!</definedName>
    <definedName name="Excel_BuiltIn_Print_Area_19" localSheetId="54">#REF!</definedName>
    <definedName name="Excel_BuiltIn_Print_Area_19" localSheetId="56">#REF!</definedName>
    <definedName name="Excel_BuiltIn_Print_Area_19" localSheetId="58">#REF!</definedName>
    <definedName name="Excel_BuiltIn_Print_Area_19" localSheetId="60">#REF!</definedName>
    <definedName name="Excel_BuiltIn_Print_Area_19" localSheetId="62">#REF!</definedName>
    <definedName name="Excel_BuiltIn_Print_Area_19" localSheetId="64">#REF!</definedName>
    <definedName name="Excel_BuiltIn_Print_Area_19" localSheetId="66">#REF!</definedName>
    <definedName name="Excel_BuiltIn_Print_Area_19" localSheetId="68">#REF!</definedName>
    <definedName name="Excel_BuiltIn_Print_Area_19" localSheetId="70">#REF!</definedName>
    <definedName name="Excel_BuiltIn_Print_Area_19" localSheetId="72">#REF!</definedName>
    <definedName name="Excel_BuiltIn_Print_Area_19" localSheetId="74">#REF!</definedName>
    <definedName name="Excel_BuiltIn_Print_Area_19" localSheetId="76">#REF!</definedName>
    <definedName name="Excel_BuiltIn_Print_Area_19" localSheetId="78">#REF!</definedName>
    <definedName name="Excel_BuiltIn_Print_Area_19" localSheetId="80">#REF!</definedName>
    <definedName name="Excel_BuiltIn_Print_Area_19" localSheetId="82">#REF!</definedName>
    <definedName name="Excel_BuiltIn_Print_Area_19" localSheetId="84">#REF!</definedName>
    <definedName name="Excel_BuiltIn_Print_Area_19" localSheetId="86">#REF!</definedName>
    <definedName name="Excel_BuiltIn_Print_Area_19" localSheetId="88">#REF!</definedName>
    <definedName name="Excel_BuiltIn_Print_Area_19" localSheetId="90">#REF!</definedName>
    <definedName name="Excel_BuiltIn_Print_Area_19" localSheetId="92">#REF!</definedName>
    <definedName name="Excel_BuiltIn_Print_Area_19" localSheetId="94">#REF!</definedName>
    <definedName name="Excel_BuiltIn_Print_Area_19" localSheetId="96">#REF!</definedName>
    <definedName name="Excel_BuiltIn_Print_Area_19" localSheetId="98">#REF!</definedName>
    <definedName name="Excel_BuiltIn_Print_Area_19" localSheetId="100">#REF!</definedName>
    <definedName name="Excel_BuiltIn_Print_Area_19" localSheetId="102">#REF!</definedName>
    <definedName name="Excel_BuiltIn_Print_Area_19" localSheetId="104">#REF!</definedName>
    <definedName name="Excel_BuiltIn_Print_Area_19" localSheetId="106">#REF!</definedName>
    <definedName name="Excel_BuiltIn_Print_Area_19" localSheetId="108">#REF!</definedName>
    <definedName name="Excel_BuiltIn_Print_Area_19" localSheetId="110">#REF!</definedName>
    <definedName name="Excel_BuiltIn_Print_Area_19" localSheetId="112">#REF!</definedName>
    <definedName name="Excel_BuiltIn_Print_Area_19" localSheetId="114">#REF!</definedName>
    <definedName name="Excel_BuiltIn_Print_Area_19" localSheetId="116">#REF!</definedName>
    <definedName name="Excel_BuiltIn_Print_Area_19" localSheetId="118">#REF!</definedName>
    <definedName name="Excel_BuiltIn_Print_Area_19" localSheetId="120">#REF!</definedName>
    <definedName name="Excel_BuiltIn_Print_Area_19" localSheetId="122">#REF!</definedName>
    <definedName name="Excel_BuiltIn_Print_Area_19" localSheetId="124">#REF!</definedName>
    <definedName name="Excel_BuiltIn_Print_Area_19" localSheetId="126">#REF!</definedName>
    <definedName name="Excel_BuiltIn_Print_Area_19" localSheetId="128">#REF!</definedName>
    <definedName name="Excel_BuiltIn_Print_Area_19" localSheetId="130">#REF!</definedName>
    <definedName name="Excel_BuiltIn_Print_Area_19" localSheetId="132">#REF!</definedName>
    <definedName name="Excel_BuiltIn_Print_Area_19" localSheetId="134">#REF!</definedName>
    <definedName name="Excel_BuiltIn_Print_Area_19" localSheetId="136">#REF!</definedName>
    <definedName name="Excel_BuiltIn_Print_Area_19" localSheetId="138">#REF!</definedName>
    <definedName name="Excel_BuiltIn_Print_Area_19" localSheetId="140">#REF!</definedName>
    <definedName name="Excel_BuiltIn_Print_Area_19" localSheetId="142">#REF!</definedName>
    <definedName name="Excel_BuiltIn_Print_Area_19" localSheetId="144">#REF!</definedName>
    <definedName name="Excel_BuiltIn_Print_Area_19" localSheetId="146">#REF!</definedName>
    <definedName name="Excel_BuiltIn_Print_Area_19" localSheetId="148">#REF!</definedName>
    <definedName name="Excel_BuiltIn_Print_Area_19" localSheetId="150">#REF!</definedName>
    <definedName name="Excel_BuiltIn_Print_Area_19" localSheetId="152">#REF!</definedName>
    <definedName name="Excel_BuiltIn_Print_Area_19" localSheetId="154">#REF!</definedName>
    <definedName name="Excel_BuiltIn_Print_Area_19" localSheetId="156">#REF!</definedName>
    <definedName name="Excel_BuiltIn_Print_Area_19" localSheetId="158">#REF!</definedName>
    <definedName name="Excel_BuiltIn_Print_Area_19" localSheetId="160">#REF!</definedName>
    <definedName name="Excel_BuiltIn_Print_Area_19" localSheetId="162">#REF!</definedName>
    <definedName name="Excel_BuiltIn_Print_Area_19" localSheetId="164">#REF!</definedName>
    <definedName name="Excel_BuiltIn_Print_Area_19" localSheetId="166">#REF!</definedName>
    <definedName name="Excel_BuiltIn_Print_Area_19" localSheetId="168">#REF!</definedName>
    <definedName name="Excel_BuiltIn_Print_Area_19" localSheetId="170">#REF!</definedName>
    <definedName name="Excel_BuiltIn_Print_Area_19" localSheetId="172">#REF!</definedName>
    <definedName name="Excel_BuiltIn_Print_Area_19" localSheetId="174">#REF!</definedName>
    <definedName name="Excel_BuiltIn_Print_Area_19" localSheetId="176">#REF!</definedName>
    <definedName name="Excel_BuiltIn_Print_Area_19" localSheetId="178">#REF!</definedName>
    <definedName name="Excel_BuiltIn_Print_Area_19" localSheetId="180">#REF!</definedName>
    <definedName name="Excel_BuiltIn_Print_Area_19" localSheetId="182">#REF!</definedName>
    <definedName name="Excel_BuiltIn_Print_Area_19" localSheetId="184">#REF!</definedName>
    <definedName name="Excel_BuiltIn_Print_Area_19" localSheetId="186">#REF!</definedName>
    <definedName name="Excel_BuiltIn_Print_Area_19" localSheetId="188">#REF!</definedName>
    <definedName name="Excel_BuiltIn_Print_Area_19" localSheetId="190">#REF!</definedName>
    <definedName name="Excel_BuiltIn_Print_Area_19" localSheetId="192">#REF!</definedName>
    <definedName name="Excel_BuiltIn_Print_Area_19" localSheetId="194">#REF!</definedName>
    <definedName name="Excel_BuiltIn_Print_Area_19" localSheetId="196">#REF!</definedName>
    <definedName name="Excel_BuiltIn_Print_Area_19" localSheetId="198">#REF!</definedName>
    <definedName name="Excel_BuiltIn_Print_Area_19" localSheetId="200">#REF!</definedName>
    <definedName name="Excel_BuiltIn_Print_Area_19" localSheetId="202">#REF!</definedName>
    <definedName name="Excel_BuiltIn_Print_Area_19" localSheetId="204">#REF!</definedName>
    <definedName name="Excel_BuiltIn_Print_Area_19" localSheetId="206">#REF!</definedName>
    <definedName name="Excel_BuiltIn_Print_Area_19" localSheetId="208">#REF!</definedName>
    <definedName name="Excel_BuiltIn_Print_Area_19" localSheetId="210">#REF!</definedName>
    <definedName name="Excel_BuiltIn_Print_Area_19" localSheetId="212">#REF!</definedName>
    <definedName name="Excel_BuiltIn_Print_Area_19" localSheetId="214">#REF!</definedName>
    <definedName name="Excel_BuiltIn_Print_Area_19" localSheetId="216">#REF!</definedName>
    <definedName name="Excel_BuiltIn_Print_Area_19" localSheetId="218">#REF!</definedName>
    <definedName name="Excel_BuiltIn_Print_Area_19" localSheetId="220">#REF!</definedName>
    <definedName name="Excel_BuiltIn_Print_Area_19" localSheetId="224">#REF!</definedName>
    <definedName name="Excel_BuiltIn_Print_Area_19" localSheetId="228">#REF!</definedName>
    <definedName name="Excel_BuiltIn_Print_Area_19" localSheetId="230">#REF!</definedName>
    <definedName name="Excel_BuiltIn_Print_Area_19" localSheetId="232">#REF!</definedName>
    <definedName name="Excel_BuiltIn_Print_Area_19" localSheetId="234">#REF!</definedName>
    <definedName name="Excel_BuiltIn_Print_Area_19" localSheetId="236">#REF!</definedName>
    <definedName name="Excel_BuiltIn_Print_Area_19" localSheetId="240">#REF!</definedName>
    <definedName name="Excel_BuiltIn_Print_Area_19" localSheetId="242">#REF!</definedName>
    <definedName name="Excel_BuiltIn_Print_Area_19" localSheetId="244">#REF!</definedName>
    <definedName name="Excel_BuiltIn_Print_Area_19" localSheetId="246">#REF!</definedName>
    <definedName name="Excel_BuiltIn_Print_Area_19" localSheetId="248">#REF!</definedName>
    <definedName name="Excel_BuiltIn_Print_Area_19" localSheetId="250">#REF!</definedName>
    <definedName name="Excel_BuiltIn_Print_Area_19" localSheetId="252">#REF!</definedName>
    <definedName name="Excel_BuiltIn_Print_Area_19" localSheetId="254">#REF!</definedName>
    <definedName name="Excel_BuiltIn_Print_Area_19" localSheetId="256">#REF!</definedName>
    <definedName name="Excel_BuiltIn_Print_Area_19" localSheetId="258">#REF!</definedName>
    <definedName name="Excel_BuiltIn_Print_Area_19" localSheetId="260">#REF!</definedName>
    <definedName name="Excel_BuiltIn_Print_Area_19" localSheetId="262">#REF!</definedName>
    <definedName name="Excel_BuiltIn_Print_Area_19" localSheetId="264">#REF!</definedName>
    <definedName name="Excel_BuiltIn_Print_Area_19" localSheetId="266">#REF!</definedName>
    <definedName name="Excel_BuiltIn_Print_Area_19" localSheetId="268">#REF!</definedName>
    <definedName name="Excel_BuiltIn_Print_Area_19" localSheetId="270">#REF!</definedName>
    <definedName name="Excel_BuiltIn_Print_Area_19" localSheetId="282">#REF!</definedName>
    <definedName name="Excel_BuiltIn_Print_Area_19" localSheetId="284">#REF!</definedName>
    <definedName name="Excel_BuiltIn_Print_Area_19" localSheetId="286">#REF!</definedName>
    <definedName name="Excel_BuiltIn_Print_Area_19" localSheetId="288">#REF!</definedName>
    <definedName name="Excel_BuiltIn_Print_Area_19" localSheetId="290">#REF!</definedName>
    <definedName name="Excel_BuiltIn_Print_Area_19" localSheetId="296">#REF!</definedName>
    <definedName name="Excel_BuiltIn_Print_Area_19" localSheetId="304">#REF!</definedName>
    <definedName name="Excel_BuiltIn_Print_Area_19" localSheetId="306">#REF!</definedName>
    <definedName name="Excel_BuiltIn_Print_Area_19" localSheetId="308">#REF!</definedName>
    <definedName name="Excel_BuiltIn_Print_Area_19" localSheetId="318">#REF!</definedName>
    <definedName name="Excel_BuiltIn_Print_Area_19" localSheetId="320">#REF!</definedName>
    <definedName name="Excel_BuiltIn_Print_Area_19" localSheetId="322">#REF!</definedName>
    <definedName name="Excel_BuiltIn_Print_Area_19" localSheetId="324">#REF!</definedName>
    <definedName name="Excel_BuiltIn_Print_Area_19" localSheetId="328">#REF!</definedName>
    <definedName name="Excel_BuiltIn_Print_Area_19" localSheetId="5">#REF!</definedName>
    <definedName name="Excel_BuiltIn_Print_Area_19" localSheetId="7">#REF!</definedName>
    <definedName name="Excel_BuiltIn_Print_Area_19" localSheetId="9">#REF!</definedName>
    <definedName name="Excel_BuiltIn_Print_Area_19" localSheetId="11">#REF!</definedName>
    <definedName name="Excel_BuiltIn_Print_Area_19" localSheetId="15">#REF!</definedName>
    <definedName name="Excel_BuiltIn_Print_Area_19" localSheetId="21">#REF!</definedName>
    <definedName name="Excel_BuiltIn_Print_Area_19" localSheetId="23">#REF!</definedName>
    <definedName name="Excel_BuiltIn_Print_Area_19" localSheetId="27">#REF!</definedName>
    <definedName name="Excel_BuiltIn_Print_Area_19" localSheetId="25">#REF!</definedName>
    <definedName name="Excel_BuiltIn_Print_Area_19" localSheetId="29">#REF!</definedName>
    <definedName name="Excel_BuiltIn_Print_Area_19" localSheetId="31">#REF!</definedName>
    <definedName name="Excel_BuiltIn_Print_Area_19" localSheetId="35">#REF!</definedName>
    <definedName name="Excel_BuiltIn_Print_Area_19" localSheetId="37">#REF!</definedName>
    <definedName name="Excel_BuiltIn_Print_Area_19" localSheetId="41">#REF!</definedName>
    <definedName name="Excel_BuiltIn_Print_Area_19" localSheetId="51">#REF!</definedName>
    <definedName name="Excel_BuiltIn_Print_Area_19" localSheetId="97">#REF!</definedName>
    <definedName name="Excel_BuiltIn_Print_Area_19" localSheetId="129">#REF!</definedName>
    <definedName name="Excel_BuiltIn_Print_Area_19" localSheetId="131">#REF!</definedName>
    <definedName name="Excel_BuiltIn_Print_Area_19" localSheetId="133">#REF!</definedName>
    <definedName name="Excel_BuiltIn_Print_Area_19" localSheetId="135">#REF!</definedName>
    <definedName name="Excel_BuiltIn_Print_Area_19" localSheetId="137">#REF!</definedName>
    <definedName name="Excel_BuiltIn_Print_Area_19" localSheetId="139">#REF!</definedName>
    <definedName name="Excel_BuiltIn_Print_Area_19" localSheetId="141">#REF!</definedName>
    <definedName name="Excel_BuiltIn_Print_Area_19" localSheetId="143">#REF!</definedName>
    <definedName name="Excel_BuiltIn_Print_Area_19" localSheetId="145">#REF!</definedName>
    <definedName name="Excel_BuiltIn_Print_Area_19" localSheetId="147">#REF!</definedName>
    <definedName name="Excel_BuiltIn_Print_Area_19" localSheetId="149">#REF!</definedName>
    <definedName name="Excel_BuiltIn_Print_Area_19" localSheetId="151">#REF!</definedName>
    <definedName name="Excel_BuiltIn_Print_Area_19" localSheetId="153">#REF!</definedName>
    <definedName name="Excel_BuiltIn_Print_Area_19" localSheetId="155">#REF!</definedName>
    <definedName name="Excel_BuiltIn_Print_Area_19" localSheetId="157">#REF!</definedName>
    <definedName name="Excel_BuiltIn_Print_Area_19" localSheetId="159">#REF!</definedName>
    <definedName name="Excel_BuiltIn_Print_Area_19" localSheetId="161">#REF!</definedName>
    <definedName name="Excel_BuiltIn_Print_Area_19" localSheetId="163">#REF!</definedName>
    <definedName name="Excel_BuiltIn_Print_Area_19" localSheetId="169">#REF!</definedName>
    <definedName name="Excel_BuiltIn_Print_Area_19" localSheetId="173">#REF!</definedName>
    <definedName name="Excel_BuiltIn_Print_Area_19" localSheetId="175">#REF!</definedName>
    <definedName name="Excel_BuiltIn_Print_Area_19" localSheetId="177">#REF!</definedName>
    <definedName name="Excel_BuiltIn_Print_Area_19" localSheetId="179">#REF!</definedName>
    <definedName name="Excel_BuiltIn_Print_Area_19" localSheetId="3">#REF!</definedName>
    <definedName name="Excel_BuiltIn_Print_Area_19">#REF!</definedName>
    <definedName name="Excel_BuiltIn_Print_Area_2_1" localSheetId="6">#REF!</definedName>
    <definedName name="Excel_BuiltIn_Print_Area_2_1" localSheetId="330">#REF!</definedName>
    <definedName name="Excel_BuiltIn_Print_Area_2_1" localSheetId="8">#REF!</definedName>
    <definedName name="Excel_BuiltIn_Print_Area_2_1" localSheetId="10">#REF!</definedName>
    <definedName name="Excel_BuiltIn_Print_Area_2_1" localSheetId="12">#REF!</definedName>
    <definedName name="Excel_BuiltIn_Print_Area_2_1" localSheetId="14">#REF!</definedName>
    <definedName name="Excel_BuiltIn_Print_Area_2_1" localSheetId="16">#REF!</definedName>
    <definedName name="Excel_BuiltIn_Print_Area_2_1" localSheetId="18">#REF!</definedName>
    <definedName name="Excel_BuiltIn_Print_Area_2_1" localSheetId="20">#REF!</definedName>
    <definedName name="Excel_BuiltIn_Print_Area_2_1" localSheetId="22">#REF!</definedName>
    <definedName name="Excel_BuiltIn_Print_Area_2_1" localSheetId="26">#REF!</definedName>
    <definedName name="Excel_BuiltIn_Print_Area_2_1" localSheetId="24">#REF!</definedName>
    <definedName name="Excel_BuiltIn_Print_Area_2_1" localSheetId="28">#REF!</definedName>
    <definedName name="Excel_BuiltIn_Print_Area_2_1" localSheetId="30">#REF!</definedName>
    <definedName name="Excel_BuiltIn_Print_Area_2_1" localSheetId="32">#REF!</definedName>
    <definedName name="Excel_BuiltIn_Print_Area_2_1" localSheetId="34">#REF!</definedName>
    <definedName name="Excel_BuiltIn_Print_Area_2_1" localSheetId="36">#REF!</definedName>
    <definedName name="Excel_BuiltIn_Print_Area_2_1" localSheetId="38">#REF!</definedName>
    <definedName name="Excel_BuiltIn_Print_Area_2_1" localSheetId="40">#REF!</definedName>
    <definedName name="Excel_BuiltIn_Print_Area_2_1" localSheetId="42">#REF!</definedName>
    <definedName name="Excel_BuiltIn_Print_Area_2_1" localSheetId="44">#REF!</definedName>
    <definedName name="Excel_BuiltIn_Print_Area_2_1" localSheetId="46">#REF!</definedName>
    <definedName name="Excel_BuiltIn_Print_Area_2_1" localSheetId="48">#REF!</definedName>
    <definedName name="Excel_BuiltIn_Print_Area_2_1" localSheetId="50">#REF!</definedName>
    <definedName name="Excel_BuiltIn_Print_Area_2_1" localSheetId="52">#REF!</definedName>
    <definedName name="Excel_BuiltIn_Print_Area_2_1" localSheetId="54">#REF!</definedName>
    <definedName name="Excel_BuiltIn_Print_Area_2_1" localSheetId="56">#REF!</definedName>
    <definedName name="Excel_BuiltIn_Print_Area_2_1" localSheetId="58">#REF!</definedName>
    <definedName name="Excel_BuiltIn_Print_Area_2_1" localSheetId="60">#REF!</definedName>
    <definedName name="Excel_BuiltIn_Print_Area_2_1" localSheetId="62">#REF!</definedName>
    <definedName name="Excel_BuiltIn_Print_Area_2_1" localSheetId="64">#REF!</definedName>
    <definedName name="Excel_BuiltIn_Print_Area_2_1" localSheetId="66">#REF!</definedName>
    <definedName name="Excel_BuiltIn_Print_Area_2_1" localSheetId="68">#REF!</definedName>
    <definedName name="Excel_BuiltIn_Print_Area_2_1" localSheetId="70">#REF!</definedName>
    <definedName name="Excel_BuiltIn_Print_Area_2_1" localSheetId="72">#REF!</definedName>
    <definedName name="Excel_BuiltIn_Print_Area_2_1" localSheetId="74">#REF!</definedName>
    <definedName name="Excel_BuiltIn_Print_Area_2_1" localSheetId="76">#REF!</definedName>
    <definedName name="Excel_BuiltIn_Print_Area_2_1" localSheetId="78">#REF!</definedName>
    <definedName name="Excel_BuiltIn_Print_Area_2_1" localSheetId="80">#REF!</definedName>
    <definedName name="Excel_BuiltIn_Print_Area_2_1" localSheetId="82">#REF!</definedName>
    <definedName name="Excel_BuiltIn_Print_Area_2_1" localSheetId="84">#REF!</definedName>
    <definedName name="Excel_BuiltIn_Print_Area_2_1" localSheetId="86">#REF!</definedName>
    <definedName name="Excel_BuiltIn_Print_Area_2_1" localSheetId="88">#REF!</definedName>
    <definedName name="Excel_BuiltIn_Print_Area_2_1" localSheetId="90">#REF!</definedName>
    <definedName name="Excel_BuiltIn_Print_Area_2_1" localSheetId="92">#REF!</definedName>
    <definedName name="Excel_BuiltIn_Print_Area_2_1" localSheetId="94">#REF!</definedName>
    <definedName name="Excel_BuiltIn_Print_Area_2_1" localSheetId="96">#REF!</definedName>
    <definedName name="Excel_BuiltIn_Print_Area_2_1" localSheetId="98">#REF!</definedName>
    <definedName name="Excel_BuiltIn_Print_Area_2_1" localSheetId="100">#REF!</definedName>
    <definedName name="Excel_BuiltIn_Print_Area_2_1" localSheetId="102">#REF!</definedName>
    <definedName name="Excel_BuiltIn_Print_Area_2_1" localSheetId="104">#REF!</definedName>
    <definedName name="Excel_BuiltIn_Print_Area_2_1" localSheetId="106">#REF!</definedName>
    <definedName name="Excel_BuiltIn_Print_Area_2_1" localSheetId="108">#REF!</definedName>
    <definedName name="Excel_BuiltIn_Print_Area_2_1" localSheetId="110">#REF!</definedName>
    <definedName name="Excel_BuiltIn_Print_Area_2_1" localSheetId="112">#REF!</definedName>
    <definedName name="Excel_BuiltIn_Print_Area_2_1" localSheetId="114">#REF!</definedName>
    <definedName name="Excel_BuiltIn_Print_Area_2_1" localSheetId="116">#REF!</definedName>
    <definedName name="Excel_BuiltIn_Print_Area_2_1" localSheetId="118">#REF!</definedName>
    <definedName name="Excel_BuiltIn_Print_Area_2_1" localSheetId="120">#REF!</definedName>
    <definedName name="Excel_BuiltIn_Print_Area_2_1" localSheetId="122">#REF!</definedName>
    <definedName name="Excel_BuiltIn_Print_Area_2_1" localSheetId="124">#REF!</definedName>
    <definedName name="Excel_BuiltIn_Print_Area_2_1" localSheetId="126">#REF!</definedName>
    <definedName name="Excel_BuiltIn_Print_Area_2_1" localSheetId="128">#REF!</definedName>
    <definedName name="Excel_BuiltIn_Print_Area_2_1" localSheetId="130">#REF!</definedName>
    <definedName name="Excel_BuiltIn_Print_Area_2_1" localSheetId="132">#REF!</definedName>
    <definedName name="Excel_BuiltIn_Print_Area_2_1" localSheetId="134">#REF!</definedName>
    <definedName name="Excel_BuiltIn_Print_Area_2_1" localSheetId="136">#REF!</definedName>
    <definedName name="Excel_BuiltIn_Print_Area_2_1" localSheetId="138">#REF!</definedName>
    <definedName name="Excel_BuiltIn_Print_Area_2_1" localSheetId="140">#REF!</definedName>
    <definedName name="Excel_BuiltIn_Print_Area_2_1" localSheetId="142">#REF!</definedName>
    <definedName name="Excel_BuiltIn_Print_Area_2_1" localSheetId="144">#REF!</definedName>
    <definedName name="Excel_BuiltIn_Print_Area_2_1" localSheetId="146">#REF!</definedName>
    <definedName name="Excel_BuiltIn_Print_Area_2_1" localSheetId="148">#REF!</definedName>
    <definedName name="Excel_BuiltIn_Print_Area_2_1" localSheetId="150">#REF!</definedName>
    <definedName name="Excel_BuiltIn_Print_Area_2_1" localSheetId="152">#REF!</definedName>
    <definedName name="Excel_BuiltIn_Print_Area_2_1" localSheetId="154">#REF!</definedName>
    <definedName name="Excel_BuiltIn_Print_Area_2_1" localSheetId="156">#REF!</definedName>
    <definedName name="Excel_BuiltIn_Print_Area_2_1" localSheetId="158">#REF!</definedName>
    <definedName name="Excel_BuiltIn_Print_Area_2_1" localSheetId="160">#REF!</definedName>
    <definedName name="Excel_BuiltIn_Print_Area_2_1" localSheetId="162">#REF!</definedName>
    <definedName name="Excel_BuiltIn_Print_Area_2_1" localSheetId="164">#REF!</definedName>
    <definedName name="Excel_BuiltIn_Print_Area_2_1" localSheetId="166">#REF!</definedName>
    <definedName name="Excel_BuiltIn_Print_Area_2_1" localSheetId="168">#REF!</definedName>
    <definedName name="Excel_BuiltIn_Print_Area_2_1" localSheetId="170">#REF!</definedName>
    <definedName name="Excel_BuiltIn_Print_Area_2_1" localSheetId="172">#REF!</definedName>
    <definedName name="Excel_BuiltIn_Print_Area_2_1" localSheetId="174">#REF!</definedName>
    <definedName name="Excel_BuiltIn_Print_Area_2_1" localSheetId="176">#REF!</definedName>
    <definedName name="Excel_BuiltIn_Print_Area_2_1" localSheetId="178">#REF!</definedName>
    <definedName name="Excel_BuiltIn_Print_Area_2_1" localSheetId="180">#REF!</definedName>
    <definedName name="Excel_BuiltIn_Print_Area_2_1" localSheetId="182">#REF!</definedName>
    <definedName name="Excel_BuiltIn_Print_Area_2_1" localSheetId="184">#REF!</definedName>
    <definedName name="Excel_BuiltIn_Print_Area_2_1" localSheetId="186">#REF!</definedName>
    <definedName name="Excel_BuiltIn_Print_Area_2_1" localSheetId="188">#REF!</definedName>
    <definedName name="Excel_BuiltIn_Print_Area_2_1" localSheetId="190">#REF!</definedName>
    <definedName name="Excel_BuiltIn_Print_Area_2_1" localSheetId="192">#REF!</definedName>
    <definedName name="Excel_BuiltIn_Print_Area_2_1" localSheetId="194">#REF!</definedName>
    <definedName name="Excel_BuiltIn_Print_Area_2_1" localSheetId="196">#REF!</definedName>
    <definedName name="Excel_BuiltIn_Print_Area_2_1" localSheetId="198">#REF!</definedName>
    <definedName name="Excel_BuiltIn_Print_Area_2_1" localSheetId="200">#REF!</definedName>
    <definedName name="Excel_BuiltIn_Print_Area_2_1" localSheetId="202">#REF!</definedName>
    <definedName name="Excel_BuiltIn_Print_Area_2_1" localSheetId="204">#REF!</definedName>
    <definedName name="Excel_BuiltIn_Print_Area_2_1" localSheetId="206">#REF!</definedName>
    <definedName name="Excel_BuiltIn_Print_Area_2_1" localSheetId="208">#REF!</definedName>
    <definedName name="Excel_BuiltIn_Print_Area_2_1" localSheetId="210">#REF!</definedName>
    <definedName name="Excel_BuiltIn_Print_Area_2_1" localSheetId="212">#REF!</definedName>
    <definedName name="Excel_BuiltIn_Print_Area_2_1" localSheetId="214">#REF!</definedName>
    <definedName name="Excel_BuiltIn_Print_Area_2_1" localSheetId="216">#REF!</definedName>
    <definedName name="Excel_BuiltIn_Print_Area_2_1" localSheetId="218">#REF!</definedName>
    <definedName name="Excel_BuiltIn_Print_Area_2_1" localSheetId="220">#REF!</definedName>
    <definedName name="Excel_BuiltIn_Print_Area_2_1" localSheetId="224">#REF!</definedName>
    <definedName name="Excel_BuiltIn_Print_Area_2_1" localSheetId="228">#REF!</definedName>
    <definedName name="Excel_BuiltIn_Print_Area_2_1" localSheetId="230">#REF!</definedName>
    <definedName name="Excel_BuiltIn_Print_Area_2_1" localSheetId="232">#REF!</definedName>
    <definedName name="Excel_BuiltIn_Print_Area_2_1" localSheetId="234">#REF!</definedName>
    <definedName name="Excel_BuiltIn_Print_Area_2_1" localSheetId="236">#REF!</definedName>
    <definedName name="Excel_BuiltIn_Print_Area_2_1" localSheetId="240">#REF!</definedName>
    <definedName name="Excel_BuiltIn_Print_Area_2_1" localSheetId="242">#REF!</definedName>
    <definedName name="Excel_BuiltIn_Print_Area_2_1" localSheetId="244">#REF!</definedName>
    <definedName name="Excel_BuiltIn_Print_Area_2_1" localSheetId="246">#REF!</definedName>
    <definedName name="Excel_BuiltIn_Print_Area_2_1" localSheetId="248">#REF!</definedName>
    <definedName name="Excel_BuiltIn_Print_Area_2_1" localSheetId="250">#REF!</definedName>
    <definedName name="Excel_BuiltIn_Print_Area_2_1" localSheetId="252">#REF!</definedName>
    <definedName name="Excel_BuiltIn_Print_Area_2_1" localSheetId="254">#REF!</definedName>
    <definedName name="Excel_BuiltIn_Print_Area_2_1" localSheetId="256">#REF!</definedName>
    <definedName name="Excel_BuiltIn_Print_Area_2_1" localSheetId="258">#REF!</definedName>
    <definedName name="Excel_BuiltIn_Print_Area_2_1" localSheetId="260">#REF!</definedName>
    <definedName name="Excel_BuiltIn_Print_Area_2_1" localSheetId="262">#REF!</definedName>
    <definedName name="Excel_BuiltIn_Print_Area_2_1" localSheetId="264">#REF!</definedName>
    <definedName name="Excel_BuiltIn_Print_Area_2_1" localSheetId="266">#REF!</definedName>
    <definedName name="Excel_BuiltIn_Print_Area_2_1" localSheetId="268">#REF!</definedName>
    <definedName name="Excel_BuiltIn_Print_Area_2_1" localSheetId="270">#REF!</definedName>
    <definedName name="Excel_BuiltIn_Print_Area_2_1" localSheetId="282">#REF!</definedName>
    <definedName name="Excel_BuiltIn_Print_Area_2_1" localSheetId="284">#REF!</definedName>
    <definedName name="Excel_BuiltIn_Print_Area_2_1" localSheetId="286">#REF!</definedName>
    <definedName name="Excel_BuiltIn_Print_Area_2_1" localSheetId="288">#REF!</definedName>
    <definedName name="Excel_BuiltIn_Print_Area_2_1" localSheetId="290">#REF!</definedName>
    <definedName name="Excel_BuiltIn_Print_Area_2_1" localSheetId="296">#REF!</definedName>
    <definedName name="Excel_BuiltIn_Print_Area_2_1" localSheetId="304">#REF!</definedName>
    <definedName name="Excel_BuiltIn_Print_Area_2_1" localSheetId="306">#REF!</definedName>
    <definedName name="Excel_BuiltIn_Print_Area_2_1" localSheetId="308">#REF!</definedName>
    <definedName name="Excel_BuiltIn_Print_Area_2_1" localSheetId="318">#REF!</definedName>
    <definedName name="Excel_BuiltIn_Print_Area_2_1" localSheetId="320">#REF!</definedName>
    <definedName name="Excel_BuiltIn_Print_Area_2_1" localSheetId="322">#REF!</definedName>
    <definedName name="Excel_BuiltIn_Print_Area_2_1" localSheetId="324">#REF!</definedName>
    <definedName name="Excel_BuiltIn_Print_Area_2_1" localSheetId="328">#REF!</definedName>
    <definedName name="Excel_BuiltIn_Print_Area_2_1" localSheetId="5">#REF!</definedName>
    <definedName name="Excel_BuiltIn_Print_Area_2_1" localSheetId="7">#REF!</definedName>
    <definedName name="Excel_BuiltIn_Print_Area_2_1" localSheetId="9">#REF!</definedName>
    <definedName name="Excel_BuiltIn_Print_Area_2_1" localSheetId="11">#REF!</definedName>
    <definedName name="Excel_BuiltIn_Print_Area_2_1" localSheetId="15">#REF!</definedName>
    <definedName name="Excel_BuiltIn_Print_Area_2_1" localSheetId="21">#REF!</definedName>
    <definedName name="Excel_BuiltIn_Print_Area_2_1" localSheetId="23">#REF!</definedName>
    <definedName name="Excel_BuiltIn_Print_Area_2_1" localSheetId="27">#REF!</definedName>
    <definedName name="Excel_BuiltIn_Print_Area_2_1" localSheetId="25">#REF!</definedName>
    <definedName name="Excel_BuiltIn_Print_Area_2_1" localSheetId="29">#REF!</definedName>
    <definedName name="Excel_BuiltIn_Print_Area_2_1" localSheetId="31">#REF!</definedName>
    <definedName name="Excel_BuiltIn_Print_Area_2_1" localSheetId="35">#REF!</definedName>
    <definedName name="Excel_BuiltIn_Print_Area_2_1" localSheetId="37">#REF!</definedName>
    <definedName name="Excel_BuiltIn_Print_Area_2_1" localSheetId="41">#REF!</definedName>
    <definedName name="Excel_BuiltIn_Print_Area_2_1" localSheetId="51">#REF!</definedName>
    <definedName name="Excel_BuiltIn_Print_Area_2_1" localSheetId="97">#REF!</definedName>
    <definedName name="Excel_BuiltIn_Print_Area_2_1" localSheetId="129">#REF!</definedName>
    <definedName name="Excel_BuiltIn_Print_Area_2_1" localSheetId="131">#REF!</definedName>
    <definedName name="Excel_BuiltIn_Print_Area_2_1" localSheetId="133">#REF!</definedName>
    <definedName name="Excel_BuiltIn_Print_Area_2_1" localSheetId="135">#REF!</definedName>
    <definedName name="Excel_BuiltIn_Print_Area_2_1" localSheetId="137">#REF!</definedName>
    <definedName name="Excel_BuiltIn_Print_Area_2_1" localSheetId="139">#REF!</definedName>
    <definedName name="Excel_BuiltIn_Print_Area_2_1" localSheetId="141">#REF!</definedName>
    <definedName name="Excel_BuiltIn_Print_Area_2_1" localSheetId="143">#REF!</definedName>
    <definedName name="Excel_BuiltIn_Print_Area_2_1" localSheetId="145">#REF!</definedName>
    <definedName name="Excel_BuiltIn_Print_Area_2_1" localSheetId="147">#REF!</definedName>
    <definedName name="Excel_BuiltIn_Print_Area_2_1" localSheetId="149">#REF!</definedName>
    <definedName name="Excel_BuiltIn_Print_Area_2_1" localSheetId="151">#REF!</definedName>
    <definedName name="Excel_BuiltIn_Print_Area_2_1" localSheetId="153">#REF!</definedName>
    <definedName name="Excel_BuiltIn_Print_Area_2_1" localSheetId="155">#REF!</definedName>
    <definedName name="Excel_BuiltIn_Print_Area_2_1" localSheetId="157">#REF!</definedName>
    <definedName name="Excel_BuiltIn_Print_Area_2_1" localSheetId="159">#REF!</definedName>
    <definedName name="Excel_BuiltIn_Print_Area_2_1" localSheetId="161">#REF!</definedName>
    <definedName name="Excel_BuiltIn_Print_Area_2_1" localSheetId="163">#REF!</definedName>
    <definedName name="Excel_BuiltIn_Print_Area_2_1" localSheetId="169">#REF!</definedName>
    <definedName name="Excel_BuiltIn_Print_Area_2_1" localSheetId="173">#REF!</definedName>
    <definedName name="Excel_BuiltIn_Print_Area_2_1" localSheetId="175">#REF!</definedName>
    <definedName name="Excel_BuiltIn_Print_Area_2_1" localSheetId="177">#REF!</definedName>
    <definedName name="Excel_BuiltIn_Print_Area_2_1" localSheetId="179">#REF!</definedName>
    <definedName name="Excel_BuiltIn_Print_Area_2_1" localSheetId="3">#REF!</definedName>
    <definedName name="Excel_BuiltIn_Print_Area_2_1">#REF!</definedName>
    <definedName name="Excel_BuiltIn_Print_Area_20" localSheetId="6">#REF!</definedName>
    <definedName name="Excel_BuiltIn_Print_Area_20" localSheetId="330">#REF!</definedName>
    <definedName name="Excel_BuiltIn_Print_Area_20" localSheetId="8">#REF!</definedName>
    <definedName name="Excel_BuiltIn_Print_Area_20" localSheetId="10">#REF!</definedName>
    <definedName name="Excel_BuiltIn_Print_Area_20" localSheetId="12">#REF!</definedName>
    <definedName name="Excel_BuiltIn_Print_Area_20" localSheetId="14">#REF!</definedName>
    <definedName name="Excel_BuiltIn_Print_Area_20" localSheetId="16">#REF!</definedName>
    <definedName name="Excel_BuiltIn_Print_Area_20" localSheetId="18">#REF!</definedName>
    <definedName name="Excel_BuiltIn_Print_Area_20" localSheetId="20">#REF!</definedName>
    <definedName name="Excel_BuiltIn_Print_Area_20" localSheetId="22">#REF!</definedName>
    <definedName name="Excel_BuiltIn_Print_Area_20" localSheetId="26">#REF!</definedName>
    <definedName name="Excel_BuiltIn_Print_Area_20" localSheetId="24">#REF!</definedName>
    <definedName name="Excel_BuiltIn_Print_Area_20" localSheetId="28">#REF!</definedName>
    <definedName name="Excel_BuiltIn_Print_Area_20" localSheetId="30">#REF!</definedName>
    <definedName name="Excel_BuiltIn_Print_Area_20" localSheetId="32">#REF!</definedName>
    <definedName name="Excel_BuiltIn_Print_Area_20" localSheetId="34">#REF!</definedName>
    <definedName name="Excel_BuiltIn_Print_Area_20" localSheetId="36">#REF!</definedName>
    <definedName name="Excel_BuiltIn_Print_Area_20" localSheetId="38">#REF!</definedName>
    <definedName name="Excel_BuiltIn_Print_Area_20" localSheetId="40">#REF!</definedName>
    <definedName name="Excel_BuiltIn_Print_Area_20" localSheetId="42">#REF!</definedName>
    <definedName name="Excel_BuiltIn_Print_Area_20" localSheetId="44">#REF!</definedName>
    <definedName name="Excel_BuiltIn_Print_Area_20" localSheetId="46">#REF!</definedName>
    <definedName name="Excel_BuiltIn_Print_Area_20" localSheetId="48">#REF!</definedName>
    <definedName name="Excel_BuiltIn_Print_Area_20" localSheetId="50">#REF!</definedName>
    <definedName name="Excel_BuiltIn_Print_Area_20" localSheetId="52">#REF!</definedName>
    <definedName name="Excel_BuiltIn_Print_Area_20" localSheetId="54">#REF!</definedName>
    <definedName name="Excel_BuiltIn_Print_Area_20" localSheetId="56">#REF!</definedName>
    <definedName name="Excel_BuiltIn_Print_Area_20" localSheetId="58">#REF!</definedName>
    <definedName name="Excel_BuiltIn_Print_Area_20" localSheetId="60">#REF!</definedName>
    <definedName name="Excel_BuiltIn_Print_Area_20" localSheetId="62">#REF!</definedName>
    <definedName name="Excel_BuiltIn_Print_Area_20" localSheetId="64">#REF!</definedName>
    <definedName name="Excel_BuiltIn_Print_Area_20" localSheetId="66">#REF!</definedName>
    <definedName name="Excel_BuiltIn_Print_Area_20" localSheetId="68">#REF!</definedName>
    <definedName name="Excel_BuiltIn_Print_Area_20" localSheetId="70">#REF!</definedName>
    <definedName name="Excel_BuiltIn_Print_Area_20" localSheetId="72">#REF!</definedName>
    <definedName name="Excel_BuiltIn_Print_Area_20" localSheetId="74">#REF!</definedName>
    <definedName name="Excel_BuiltIn_Print_Area_20" localSheetId="76">#REF!</definedName>
    <definedName name="Excel_BuiltIn_Print_Area_20" localSheetId="78">#REF!</definedName>
    <definedName name="Excel_BuiltIn_Print_Area_20" localSheetId="80">#REF!</definedName>
    <definedName name="Excel_BuiltIn_Print_Area_20" localSheetId="82">#REF!</definedName>
    <definedName name="Excel_BuiltIn_Print_Area_20" localSheetId="84">#REF!</definedName>
    <definedName name="Excel_BuiltIn_Print_Area_20" localSheetId="86">#REF!</definedName>
    <definedName name="Excel_BuiltIn_Print_Area_20" localSheetId="88">#REF!</definedName>
    <definedName name="Excel_BuiltIn_Print_Area_20" localSheetId="90">#REF!</definedName>
    <definedName name="Excel_BuiltIn_Print_Area_20" localSheetId="92">#REF!</definedName>
    <definedName name="Excel_BuiltIn_Print_Area_20" localSheetId="94">#REF!</definedName>
    <definedName name="Excel_BuiltIn_Print_Area_20" localSheetId="96">#REF!</definedName>
    <definedName name="Excel_BuiltIn_Print_Area_20" localSheetId="98">#REF!</definedName>
    <definedName name="Excel_BuiltIn_Print_Area_20" localSheetId="100">#REF!</definedName>
    <definedName name="Excel_BuiltIn_Print_Area_20" localSheetId="102">#REF!</definedName>
    <definedName name="Excel_BuiltIn_Print_Area_20" localSheetId="104">#REF!</definedName>
    <definedName name="Excel_BuiltIn_Print_Area_20" localSheetId="106">#REF!</definedName>
    <definedName name="Excel_BuiltIn_Print_Area_20" localSheetId="108">#REF!</definedName>
    <definedName name="Excel_BuiltIn_Print_Area_20" localSheetId="110">#REF!</definedName>
    <definedName name="Excel_BuiltIn_Print_Area_20" localSheetId="112">#REF!</definedName>
    <definedName name="Excel_BuiltIn_Print_Area_20" localSheetId="114">#REF!</definedName>
    <definedName name="Excel_BuiltIn_Print_Area_20" localSheetId="116">#REF!</definedName>
    <definedName name="Excel_BuiltIn_Print_Area_20" localSheetId="118">#REF!</definedName>
    <definedName name="Excel_BuiltIn_Print_Area_20" localSheetId="120">#REF!</definedName>
    <definedName name="Excel_BuiltIn_Print_Area_20" localSheetId="122">#REF!</definedName>
    <definedName name="Excel_BuiltIn_Print_Area_20" localSheetId="124">#REF!</definedName>
    <definedName name="Excel_BuiltIn_Print_Area_20" localSheetId="126">#REF!</definedName>
    <definedName name="Excel_BuiltIn_Print_Area_20" localSheetId="128">#REF!</definedName>
    <definedName name="Excel_BuiltIn_Print_Area_20" localSheetId="130">#REF!</definedName>
    <definedName name="Excel_BuiltIn_Print_Area_20" localSheetId="132">#REF!</definedName>
    <definedName name="Excel_BuiltIn_Print_Area_20" localSheetId="134">#REF!</definedName>
    <definedName name="Excel_BuiltIn_Print_Area_20" localSheetId="136">#REF!</definedName>
    <definedName name="Excel_BuiltIn_Print_Area_20" localSheetId="138">#REF!</definedName>
    <definedName name="Excel_BuiltIn_Print_Area_20" localSheetId="140">#REF!</definedName>
    <definedName name="Excel_BuiltIn_Print_Area_20" localSheetId="142">#REF!</definedName>
    <definedName name="Excel_BuiltIn_Print_Area_20" localSheetId="144">#REF!</definedName>
    <definedName name="Excel_BuiltIn_Print_Area_20" localSheetId="146">#REF!</definedName>
    <definedName name="Excel_BuiltIn_Print_Area_20" localSheetId="148">#REF!</definedName>
    <definedName name="Excel_BuiltIn_Print_Area_20" localSheetId="150">#REF!</definedName>
    <definedName name="Excel_BuiltIn_Print_Area_20" localSheetId="152">#REF!</definedName>
    <definedName name="Excel_BuiltIn_Print_Area_20" localSheetId="154">#REF!</definedName>
    <definedName name="Excel_BuiltIn_Print_Area_20" localSheetId="156">#REF!</definedName>
    <definedName name="Excel_BuiltIn_Print_Area_20" localSheetId="158">#REF!</definedName>
    <definedName name="Excel_BuiltIn_Print_Area_20" localSheetId="160">#REF!</definedName>
    <definedName name="Excel_BuiltIn_Print_Area_20" localSheetId="162">#REF!</definedName>
    <definedName name="Excel_BuiltIn_Print_Area_20" localSheetId="164">#REF!</definedName>
    <definedName name="Excel_BuiltIn_Print_Area_20" localSheetId="166">#REF!</definedName>
    <definedName name="Excel_BuiltIn_Print_Area_20" localSheetId="168">#REF!</definedName>
    <definedName name="Excel_BuiltIn_Print_Area_20" localSheetId="170">#REF!</definedName>
    <definedName name="Excel_BuiltIn_Print_Area_20" localSheetId="172">#REF!</definedName>
    <definedName name="Excel_BuiltIn_Print_Area_20" localSheetId="174">#REF!</definedName>
    <definedName name="Excel_BuiltIn_Print_Area_20" localSheetId="176">#REF!</definedName>
    <definedName name="Excel_BuiltIn_Print_Area_20" localSheetId="178">#REF!</definedName>
    <definedName name="Excel_BuiltIn_Print_Area_20" localSheetId="180">#REF!</definedName>
    <definedName name="Excel_BuiltIn_Print_Area_20" localSheetId="182">#REF!</definedName>
    <definedName name="Excel_BuiltIn_Print_Area_20" localSheetId="184">#REF!</definedName>
    <definedName name="Excel_BuiltIn_Print_Area_20" localSheetId="186">#REF!</definedName>
    <definedName name="Excel_BuiltIn_Print_Area_20" localSheetId="188">#REF!</definedName>
    <definedName name="Excel_BuiltIn_Print_Area_20" localSheetId="190">#REF!</definedName>
    <definedName name="Excel_BuiltIn_Print_Area_20" localSheetId="192">#REF!</definedName>
    <definedName name="Excel_BuiltIn_Print_Area_20" localSheetId="194">#REF!</definedName>
    <definedName name="Excel_BuiltIn_Print_Area_20" localSheetId="196">#REF!</definedName>
    <definedName name="Excel_BuiltIn_Print_Area_20" localSheetId="198">#REF!</definedName>
    <definedName name="Excel_BuiltIn_Print_Area_20" localSheetId="200">#REF!</definedName>
    <definedName name="Excel_BuiltIn_Print_Area_20" localSheetId="202">#REF!</definedName>
    <definedName name="Excel_BuiltIn_Print_Area_20" localSheetId="204">#REF!</definedName>
    <definedName name="Excel_BuiltIn_Print_Area_20" localSheetId="206">#REF!</definedName>
    <definedName name="Excel_BuiltIn_Print_Area_20" localSheetId="208">#REF!</definedName>
    <definedName name="Excel_BuiltIn_Print_Area_20" localSheetId="210">#REF!</definedName>
    <definedName name="Excel_BuiltIn_Print_Area_20" localSheetId="212">#REF!</definedName>
    <definedName name="Excel_BuiltIn_Print_Area_20" localSheetId="214">#REF!</definedName>
    <definedName name="Excel_BuiltIn_Print_Area_20" localSheetId="216">#REF!</definedName>
    <definedName name="Excel_BuiltIn_Print_Area_20" localSheetId="218">#REF!</definedName>
    <definedName name="Excel_BuiltIn_Print_Area_20" localSheetId="220">#REF!</definedName>
    <definedName name="Excel_BuiltIn_Print_Area_20" localSheetId="224">#REF!</definedName>
    <definedName name="Excel_BuiltIn_Print_Area_20" localSheetId="228">#REF!</definedName>
    <definedName name="Excel_BuiltIn_Print_Area_20" localSheetId="230">#REF!</definedName>
    <definedName name="Excel_BuiltIn_Print_Area_20" localSheetId="232">#REF!</definedName>
    <definedName name="Excel_BuiltIn_Print_Area_20" localSheetId="234">#REF!</definedName>
    <definedName name="Excel_BuiltIn_Print_Area_20" localSheetId="236">#REF!</definedName>
    <definedName name="Excel_BuiltIn_Print_Area_20" localSheetId="240">#REF!</definedName>
    <definedName name="Excel_BuiltIn_Print_Area_20" localSheetId="242">#REF!</definedName>
    <definedName name="Excel_BuiltIn_Print_Area_20" localSheetId="244">#REF!</definedName>
    <definedName name="Excel_BuiltIn_Print_Area_20" localSheetId="246">#REF!</definedName>
    <definedName name="Excel_BuiltIn_Print_Area_20" localSheetId="248">#REF!</definedName>
    <definedName name="Excel_BuiltIn_Print_Area_20" localSheetId="250">#REF!</definedName>
    <definedName name="Excel_BuiltIn_Print_Area_20" localSheetId="252">#REF!</definedName>
    <definedName name="Excel_BuiltIn_Print_Area_20" localSheetId="254">#REF!</definedName>
    <definedName name="Excel_BuiltIn_Print_Area_20" localSheetId="256">#REF!</definedName>
    <definedName name="Excel_BuiltIn_Print_Area_20" localSheetId="258">#REF!</definedName>
    <definedName name="Excel_BuiltIn_Print_Area_20" localSheetId="260">#REF!</definedName>
    <definedName name="Excel_BuiltIn_Print_Area_20" localSheetId="262">#REF!</definedName>
    <definedName name="Excel_BuiltIn_Print_Area_20" localSheetId="264">#REF!</definedName>
    <definedName name="Excel_BuiltIn_Print_Area_20" localSheetId="266">#REF!</definedName>
    <definedName name="Excel_BuiltIn_Print_Area_20" localSheetId="268">#REF!</definedName>
    <definedName name="Excel_BuiltIn_Print_Area_20" localSheetId="270">#REF!</definedName>
    <definedName name="Excel_BuiltIn_Print_Area_20" localSheetId="282">#REF!</definedName>
    <definedName name="Excel_BuiltIn_Print_Area_20" localSheetId="284">#REF!</definedName>
    <definedName name="Excel_BuiltIn_Print_Area_20" localSheetId="286">#REF!</definedName>
    <definedName name="Excel_BuiltIn_Print_Area_20" localSheetId="288">#REF!</definedName>
    <definedName name="Excel_BuiltIn_Print_Area_20" localSheetId="290">#REF!</definedName>
    <definedName name="Excel_BuiltIn_Print_Area_20" localSheetId="296">#REF!</definedName>
    <definedName name="Excel_BuiltIn_Print_Area_20" localSheetId="304">#REF!</definedName>
    <definedName name="Excel_BuiltIn_Print_Area_20" localSheetId="306">#REF!</definedName>
    <definedName name="Excel_BuiltIn_Print_Area_20" localSheetId="308">#REF!</definedName>
    <definedName name="Excel_BuiltIn_Print_Area_20" localSheetId="318">#REF!</definedName>
    <definedName name="Excel_BuiltIn_Print_Area_20" localSheetId="320">#REF!</definedName>
    <definedName name="Excel_BuiltIn_Print_Area_20" localSheetId="322">#REF!</definedName>
    <definedName name="Excel_BuiltIn_Print_Area_20" localSheetId="324">#REF!</definedName>
    <definedName name="Excel_BuiltIn_Print_Area_20" localSheetId="328">#REF!</definedName>
    <definedName name="Excel_BuiltIn_Print_Area_20" localSheetId="5">#REF!</definedName>
    <definedName name="Excel_BuiltIn_Print_Area_20" localSheetId="7">#REF!</definedName>
    <definedName name="Excel_BuiltIn_Print_Area_20" localSheetId="9">#REF!</definedName>
    <definedName name="Excel_BuiltIn_Print_Area_20" localSheetId="11">#REF!</definedName>
    <definedName name="Excel_BuiltIn_Print_Area_20" localSheetId="15">#REF!</definedName>
    <definedName name="Excel_BuiltIn_Print_Area_20" localSheetId="21">#REF!</definedName>
    <definedName name="Excel_BuiltIn_Print_Area_20" localSheetId="23">#REF!</definedName>
    <definedName name="Excel_BuiltIn_Print_Area_20" localSheetId="27">#REF!</definedName>
    <definedName name="Excel_BuiltIn_Print_Area_20" localSheetId="25">#REF!</definedName>
    <definedName name="Excel_BuiltIn_Print_Area_20" localSheetId="29">#REF!</definedName>
    <definedName name="Excel_BuiltIn_Print_Area_20" localSheetId="31">#REF!</definedName>
    <definedName name="Excel_BuiltIn_Print_Area_20" localSheetId="35">#REF!</definedName>
    <definedName name="Excel_BuiltIn_Print_Area_20" localSheetId="37">#REF!</definedName>
    <definedName name="Excel_BuiltIn_Print_Area_20" localSheetId="41">#REF!</definedName>
    <definedName name="Excel_BuiltIn_Print_Area_20" localSheetId="51">#REF!</definedName>
    <definedName name="Excel_BuiltIn_Print_Area_20" localSheetId="97">#REF!</definedName>
    <definedName name="Excel_BuiltIn_Print_Area_20" localSheetId="129">#REF!</definedName>
    <definedName name="Excel_BuiltIn_Print_Area_20" localSheetId="131">#REF!</definedName>
    <definedName name="Excel_BuiltIn_Print_Area_20" localSheetId="133">#REF!</definedName>
    <definedName name="Excel_BuiltIn_Print_Area_20" localSheetId="135">#REF!</definedName>
    <definedName name="Excel_BuiltIn_Print_Area_20" localSheetId="137">#REF!</definedName>
    <definedName name="Excel_BuiltIn_Print_Area_20" localSheetId="139">#REF!</definedName>
    <definedName name="Excel_BuiltIn_Print_Area_20" localSheetId="141">#REF!</definedName>
    <definedName name="Excel_BuiltIn_Print_Area_20" localSheetId="143">#REF!</definedName>
    <definedName name="Excel_BuiltIn_Print_Area_20" localSheetId="145">#REF!</definedName>
    <definedName name="Excel_BuiltIn_Print_Area_20" localSheetId="147">#REF!</definedName>
    <definedName name="Excel_BuiltIn_Print_Area_20" localSheetId="149">#REF!</definedName>
    <definedName name="Excel_BuiltIn_Print_Area_20" localSheetId="151">#REF!</definedName>
    <definedName name="Excel_BuiltIn_Print_Area_20" localSheetId="153">#REF!</definedName>
    <definedName name="Excel_BuiltIn_Print_Area_20" localSheetId="155">#REF!</definedName>
    <definedName name="Excel_BuiltIn_Print_Area_20" localSheetId="157">#REF!</definedName>
    <definedName name="Excel_BuiltIn_Print_Area_20" localSheetId="159">#REF!</definedName>
    <definedName name="Excel_BuiltIn_Print_Area_20" localSheetId="161">#REF!</definedName>
    <definedName name="Excel_BuiltIn_Print_Area_20" localSheetId="163">#REF!</definedName>
    <definedName name="Excel_BuiltIn_Print_Area_20" localSheetId="169">#REF!</definedName>
    <definedName name="Excel_BuiltIn_Print_Area_20" localSheetId="173">#REF!</definedName>
    <definedName name="Excel_BuiltIn_Print_Area_20" localSheetId="175">#REF!</definedName>
    <definedName name="Excel_BuiltIn_Print_Area_20" localSheetId="177">#REF!</definedName>
    <definedName name="Excel_BuiltIn_Print_Area_20" localSheetId="179">#REF!</definedName>
    <definedName name="Excel_BuiltIn_Print_Area_20" localSheetId="3">#REF!</definedName>
    <definedName name="Excel_BuiltIn_Print_Area_20">#REF!</definedName>
    <definedName name="Excel_BuiltIn_Print_Area_5" localSheetId="6">#REF!</definedName>
    <definedName name="Excel_BuiltIn_Print_Area_5" localSheetId="330">#REF!</definedName>
    <definedName name="Excel_BuiltIn_Print_Area_5" localSheetId="8">#REF!</definedName>
    <definedName name="Excel_BuiltIn_Print_Area_5" localSheetId="10">#REF!</definedName>
    <definedName name="Excel_BuiltIn_Print_Area_5" localSheetId="12">#REF!</definedName>
    <definedName name="Excel_BuiltIn_Print_Area_5" localSheetId="14">#REF!</definedName>
    <definedName name="Excel_BuiltIn_Print_Area_5" localSheetId="16">#REF!</definedName>
    <definedName name="Excel_BuiltIn_Print_Area_5" localSheetId="18">#REF!</definedName>
    <definedName name="Excel_BuiltIn_Print_Area_5" localSheetId="20">#REF!</definedName>
    <definedName name="Excel_BuiltIn_Print_Area_5" localSheetId="22">#REF!</definedName>
    <definedName name="Excel_BuiltIn_Print_Area_5" localSheetId="26">#REF!</definedName>
    <definedName name="Excel_BuiltIn_Print_Area_5" localSheetId="24">#REF!</definedName>
    <definedName name="Excel_BuiltIn_Print_Area_5" localSheetId="28">#REF!</definedName>
    <definedName name="Excel_BuiltIn_Print_Area_5" localSheetId="30">#REF!</definedName>
    <definedName name="Excel_BuiltIn_Print_Area_5" localSheetId="32">#REF!</definedName>
    <definedName name="Excel_BuiltIn_Print_Area_5" localSheetId="34">#REF!</definedName>
    <definedName name="Excel_BuiltIn_Print_Area_5" localSheetId="36">#REF!</definedName>
    <definedName name="Excel_BuiltIn_Print_Area_5" localSheetId="38">#REF!</definedName>
    <definedName name="Excel_BuiltIn_Print_Area_5" localSheetId="40">#REF!</definedName>
    <definedName name="Excel_BuiltIn_Print_Area_5" localSheetId="42">#REF!</definedName>
    <definedName name="Excel_BuiltIn_Print_Area_5" localSheetId="44">#REF!</definedName>
    <definedName name="Excel_BuiltIn_Print_Area_5" localSheetId="46">#REF!</definedName>
    <definedName name="Excel_BuiltIn_Print_Area_5" localSheetId="48">#REF!</definedName>
    <definedName name="Excel_BuiltIn_Print_Area_5" localSheetId="50">#REF!</definedName>
    <definedName name="Excel_BuiltIn_Print_Area_5" localSheetId="52">#REF!</definedName>
    <definedName name="Excel_BuiltIn_Print_Area_5" localSheetId="54">#REF!</definedName>
    <definedName name="Excel_BuiltIn_Print_Area_5" localSheetId="56">#REF!</definedName>
    <definedName name="Excel_BuiltIn_Print_Area_5" localSheetId="58">#REF!</definedName>
    <definedName name="Excel_BuiltIn_Print_Area_5" localSheetId="60">#REF!</definedName>
    <definedName name="Excel_BuiltIn_Print_Area_5" localSheetId="62">#REF!</definedName>
    <definedName name="Excel_BuiltIn_Print_Area_5" localSheetId="64">#REF!</definedName>
    <definedName name="Excel_BuiltIn_Print_Area_5" localSheetId="66">#REF!</definedName>
    <definedName name="Excel_BuiltIn_Print_Area_5" localSheetId="68">#REF!</definedName>
    <definedName name="Excel_BuiltIn_Print_Area_5" localSheetId="70">#REF!</definedName>
    <definedName name="Excel_BuiltIn_Print_Area_5" localSheetId="72">#REF!</definedName>
    <definedName name="Excel_BuiltIn_Print_Area_5" localSheetId="74">#REF!</definedName>
    <definedName name="Excel_BuiltIn_Print_Area_5" localSheetId="76">#REF!</definedName>
    <definedName name="Excel_BuiltIn_Print_Area_5" localSheetId="78">#REF!</definedName>
    <definedName name="Excel_BuiltIn_Print_Area_5" localSheetId="80">#REF!</definedName>
    <definedName name="Excel_BuiltIn_Print_Area_5" localSheetId="82">#REF!</definedName>
    <definedName name="Excel_BuiltIn_Print_Area_5" localSheetId="84">#REF!</definedName>
    <definedName name="Excel_BuiltIn_Print_Area_5" localSheetId="86">#REF!</definedName>
    <definedName name="Excel_BuiltIn_Print_Area_5" localSheetId="88">#REF!</definedName>
    <definedName name="Excel_BuiltIn_Print_Area_5" localSheetId="90">#REF!</definedName>
    <definedName name="Excel_BuiltIn_Print_Area_5" localSheetId="92">#REF!</definedName>
    <definedName name="Excel_BuiltIn_Print_Area_5" localSheetId="94">#REF!</definedName>
    <definedName name="Excel_BuiltIn_Print_Area_5" localSheetId="96">#REF!</definedName>
    <definedName name="Excel_BuiltIn_Print_Area_5" localSheetId="98">#REF!</definedName>
    <definedName name="Excel_BuiltIn_Print_Area_5" localSheetId="100">#REF!</definedName>
    <definedName name="Excel_BuiltIn_Print_Area_5" localSheetId="102">#REF!</definedName>
    <definedName name="Excel_BuiltIn_Print_Area_5" localSheetId="104">#REF!</definedName>
    <definedName name="Excel_BuiltIn_Print_Area_5" localSheetId="106">#REF!</definedName>
    <definedName name="Excel_BuiltIn_Print_Area_5" localSheetId="108">#REF!</definedName>
    <definedName name="Excel_BuiltIn_Print_Area_5" localSheetId="110">#REF!</definedName>
    <definedName name="Excel_BuiltIn_Print_Area_5" localSheetId="112">#REF!</definedName>
    <definedName name="Excel_BuiltIn_Print_Area_5" localSheetId="114">#REF!</definedName>
    <definedName name="Excel_BuiltIn_Print_Area_5" localSheetId="116">#REF!</definedName>
    <definedName name="Excel_BuiltIn_Print_Area_5" localSheetId="118">#REF!</definedName>
    <definedName name="Excel_BuiltIn_Print_Area_5" localSheetId="120">#REF!</definedName>
    <definedName name="Excel_BuiltIn_Print_Area_5" localSheetId="122">#REF!</definedName>
    <definedName name="Excel_BuiltIn_Print_Area_5" localSheetId="124">#REF!</definedName>
    <definedName name="Excel_BuiltIn_Print_Area_5" localSheetId="126">#REF!</definedName>
    <definedName name="Excel_BuiltIn_Print_Area_5" localSheetId="128">#REF!</definedName>
    <definedName name="Excel_BuiltIn_Print_Area_5" localSheetId="130">#REF!</definedName>
    <definedName name="Excel_BuiltIn_Print_Area_5" localSheetId="132">#REF!</definedName>
    <definedName name="Excel_BuiltIn_Print_Area_5" localSheetId="134">#REF!</definedName>
    <definedName name="Excel_BuiltIn_Print_Area_5" localSheetId="136">#REF!</definedName>
    <definedName name="Excel_BuiltIn_Print_Area_5" localSheetId="138">#REF!</definedName>
    <definedName name="Excel_BuiltIn_Print_Area_5" localSheetId="140">#REF!</definedName>
    <definedName name="Excel_BuiltIn_Print_Area_5" localSheetId="142">#REF!</definedName>
    <definedName name="Excel_BuiltIn_Print_Area_5" localSheetId="144">#REF!</definedName>
    <definedName name="Excel_BuiltIn_Print_Area_5" localSheetId="146">#REF!</definedName>
    <definedName name="Excel_BuiltIn_Print_Area_5" localSheetId="148">#REF!</definedName>
    <definedName name="Excel_BuiltIn_Print_Area_5" localSheetId="150">#REF!</definedName>
    <definedName name="Excel_BuiltIn_Print_Area_5" localSheetId="152">#REF!</definedName>
    <definedName name="Excel_BuiltIn_Print_Area_5" localSheetId="154">#REF!</definedName>
    <definedName name="Excel_BuiltIn_Print_Area_5" localSheetId="156">#REF!</definedName>
    <definedName name="Excel_BuiltIn_Print_Area_5" localSheetId="158">#REF!</definedName>
    <definedName name="Excel_BuiltIn_Print_Area_5" localSheetId="160">#REF!</definedName>
    <definedName name="Excel_BuiltIn_Print_Area_5" localSheetId="162">#REF!</definedName>
    <definedName name="Excel_BuiltIn_Print_Area_5" localSheetId="164">#REF!</definedName>
    <definedName name="Excel_BuiltIn_Print_Area_5" localSheetId="166">#REF!</definedName>
    <definedName name="Excel_BuiltIn_Print_Area_5" localSheetId="168">#REF!</definedName>
    <definedName name="Excel_BuiltIn_Print_Area_5" localSheetId="170">#REF!</definedName>
    <definedName name="Excel_BuiltIn_Print_Area_5" localSheetId="172">#REF!</definedName>
    <definedName name="Excel_BuiltIn_Print_Area_5" localSheetId="174">#REF!</definedName>
    <definedName name="Excel_BuiltIn_Print_Area_5" localSheetId="176">#REF!</definedName>
    <definedName name="Excel_BuiltIn_Print_Area_5" localSheetId="178">#REF!</definedName>
    <definedName name="Excel_BuiltIn_Print_Area_5" localSheetId="180">#REF!</definedName>
    <definedName name="Excel_BuiltIn_Print_Area_5" localSheetId="182">#REF!</definedName>
    <definedName name="Excel_BuiltIn_Print_Area_5" localSheetId="184">#REF!</definedName>
    <definedName name="Excel_BuiltIn_Print_Area_5" localSheetId="186">#REF!</definedName>
    <definedName name="Excel_BuiltIn_Print_Area_5" localSheetId="188">#REF!</definedName>
    <definedName name="Excel_BuiltIn_Print_Area_5" localSheetId="190">#REF!</definedName>
    <definedName name="Excel_BuiltIn_Print_Area_5" localSheetId="192">#REF!</definedName>
    <definedName name="Excel_BuiltIn_Print_Area_5" localSheetId="194">#REF!</definedName>
    <definedName name="Excel_BuiltIn_Print_Area_5" localSheetId="196">#REF!</definedName>
    <definedName name="Excel_BuiltIn_Print_Area_5" localSheetId="198">#REF!</definedName>
    <definedName name="Excel_BuiltIn_Print_Area_5" localSheetId="200">#REF!</definedName>
    <definedName name="Excel_BuiltIn_Print_Area_5" localSheetId="202">#REF!</definedName>
    <definedName name="Excel_BuiltIn_Print_Area_5" localSheetId="204">#REF!</definedName>
    <definedName name="Excel_BuiltIn_Print_Area_5" localSheetId="206">#REF!</definedName>
    <definedName name="Excel_BuiltIn_Print_Area_5" localSheetId="208">#REF!</definedName>
    <definedName name="Excel_BuiltIn_Print_Area_5" localSheetId="210">#REF!</definedName>
    <definedName name="Excel_BuiltIn_Print_Area_5" localSheetId="212">#REF!</definedName>
    <definedName name="Excel_BuiltIn_Print_Area_5" localSheetId="214">#REF!</definedName>
    <definedName name="Excel_BuiltIn_Print_Area_5" localSheetId="216">#REF!</definedName>
    <definedName name="Excel_BuiltIn_Print_Area_5" localSheetId="218">#REF!</definedName>
    <definedName name="Excel_BuiltIn_Print_Area_5" localSheetId="220">#REF!</definedName>
    <definedName name="Excel_BuiltIn_Print_Area_5" localSheetId="224">#REF!</definedName>
    <definedName name="Excel_BuiltIn_Print_Area_5" localSheetId="228">#REF!</definedName>
    <definedName name="Excel_BuiltIn_Print_Area_5" localSheetId="230">#REF!</definedName>
    <definedName name="Excel_BuiltIn_Print_Area_5" localSheetId="232">#REF!</definedName>
    <definedName name="Excel_BuiltIn_Print_Area_5" localSheetId="234">#REF!</definedName>
    <definedName name="Excel_BuiltIn_Print_Area_5" localSheetId="236">#REF!</definedName>
    <definedName name="Excel_BuiltIn_Print_Area_5" localSheetId="240">#REF!</definedName>
    <definedName name="Excel_BuiltIn_Print_Area_5" localSheetId="242">#REF!</definedName>
    <definedName name="Excel_BuiltIn_Print_Area_5" localSheetId="244">#REF!</definedName>
    <definedName name="Excel_BuiltIn_Print_Area_5" localSheetId="246">#REF!</definedName>
    <definedName name="Excel_BuiltIn_Print_Area_5" localSheetId="248">#REF!</definedName>
    <definedName name="Excel_BuiltIn_Print_Area_5" localSheetId="250">#REF!</definedName>
    <definedName name="Excel_BuiltIn_Print_Area_5" localSheetId="252">#REF!</definedName>
    <definedName name="Excel_BuiltIn_Print_Area_5" localSheetId="254">#REF!</definedName>
    <definedName name="Excel_BuiltIn_Print_Area_5" localSheetId="256">#REF!</definedName>
    <definedName name="Excel_BuiltIn_Print_Area_5" localSheetId="258">#REF!</definedName>
    <definedName name="Excel_BuiltIn_Print_Area_5" localSheetId="260">#REF!</definedName>
    <definedName name="Excel_BuiltIn_Print_Area_5" localSheetId="262">#REF!</definedName>
    <definedName name="Excel_BuiltIn_Print_Area_5" localSheetId="264">#REF!</definedName>
    <definedName name="Excel_BuiltIn_Print_Area_5" localSheetId="266">#REF!</definedName>
    <definedName name="Excel_BuiltIn_Print_Area_5" localSheetId="268">#REF!</definedName>
    <definedName name="Excel_BuiltIn_Print_Area_5" localSheetId="270">#REF!</definedName>
    <definedName name="Excel_BuiltIn_Print_Area_5" localSheetId="282">#REF!</definedName>
    <definedName name="Excel_BuiltIn_Print_Area_5" localSheetId="284">#REF!</definedName>
    <definedName name="Excel_BuiltIn_Print_Area_5" localSheetId="286">#REF!</definedName>
    <definedName name="Excel_BuiltIn_Print_Area_5" localSheetId="288">#REF!</definedName>
    <definedName name="Excel_BuiltIn_Print_Area_5" localSheetId="290">#REF!</definedName>
    <definedName name="Excel_BuiltIn_Print_Area_5" localSheetId="296">#REF!</definedName>
    <definedName name="Excel_BuiltIn_Print_Area_5" localSheetId="304">#REF!</definedName>
    <definedName name="Excel_BuiltIn_Print_Area_5" localSheetId="306">#REF!</definedName>
    <definedName name="Excel_BuiltIn_Print_Area_5" localSheetId="308">#REF!</definedName>
    <definedName name="Excel_BuiltIn_Print_Area_5" localSheetId="318">#REF!</definedName>
    <definedName name="Excel_BuiltIn_Print_Area_5" localSheetId="320">#REF!</definedName>
    <definedName name="Excel_BuiltIn_Print_Area_5" localSheetId="322">#REF!</definedName>
    <definedName name="Excel_BuiltIn_Print_Area_5" localSheetId="324">#REF!</definedName>
    <definedName name="Excel_BuiltIn_Print_Area_5" localSheetId="328">#REF!</definedName>
    <definedName name="Excel_BuiltIn_Print_Area_5" localSheetId="5">#REF!</definedName>
    <definedName name="Excel_BuiltIn_Print_Area_5" localSheetId="7">#REF!</definedName>
    <definedName name="Excel_BuiltIn_Print_Area_5" localSheetId="9">#REF!</definedName>
    <definedName name="Excel_BuiltIn_Print_Area_5" localSheetId="11">#REF!</definedName>
    <definedName name="Excel_BuiltIn_Print_Area_5" localSheetId="15">#REF!</definedName>
    <definedName name="Excel_BuiltIn_Print_Area_5" localSheetId="21">#REF!</definedName>
    <definedName name="Excel_BuiltIn_Print_Area_5" localSheetId="23">#REF!</definedName>
    <definedName name="Excel_BuiltIn_Print_Area_5" localSheetId="27">#REF!</definedName>
    <definedName name="Excel_BuiltIn_Print_Area_5" localSheetId="25">#REF!</definedName>
    <definedName name="Excel_BuiltIn_Print_Area_5" localSheetId="29">#REF!</definedName>
    <definedName name="Excel_BuiltIn_Print_Area_5" localSheetId="31">#REF!</definedName>
    <definedName name="Excel_BuiltIn_Print_Area_5" localSheetId="35">#REF!</definedName>
    <definedName name="Excel_BuiltIn_Print_Area_5" localSheetId="37">#REF!</definedName>
    <definedName name="Excel_BuiltIn_Print_Area_5" localSheetId="41">#REF!</definedName>
    <definedName name="Excel_BuiltIn_Print_Area_5" localSheetId="51">#REF!</definedName>
    <definedName name="Excel_BuiltIn_Print_Area_5" localSheetId="97">#REF!</definedName>
    <definedName name="Excel_BuiltIn_Print_Area_5" localSheetId="129">#REF!</definedName>
    <definedName name="Excel_BuiltIn_Print_Area_5" localSheetId="131">#REF!</definedName>
    <definedName name="Excel_BuiltIn_Print_Area_5" localSheetId="133">#REF!</definedName>
    <definedName name="Excel_BuiltIn_Print_Area_5" localSheetId="135">#REF!</definedName>
    <definedName name="Excel_BuiltIn_Print_Area_5" localSheetId="137">#REF!</definedName>
    <definedName name="Excel_BuiltIn_Print_Area_5" localSheetId="139">#REF!</definedName>
    <definedName name="Excel_BuiltIn_Print_Area_5" localSheetId="141">#REF!</definedName>
    <definedName name="Excel_BuiltIn_Print_Area_5" localSheetId="143">#REF!</definedName>
    <definedName name="Excel_BuiltIn_Print_Area_5" localSheetId="145">#REF!</definedName>
    <definedName name="Excel_BuiltIn_Print_Area_5" localSheetId="147">#REF!</definedName>
    <definedName name="Excel_BuiltIn_Print_Area_5" localSheetId="149">#REF!</definedName>
    <definedName name="Excel_BuiltIn_Print_Area_5" localSheetId="151">#REF!</definedName>
    <definedName name="Excel_BuiltIn_Print_Area_5" localSheetId="153">#REF!</definedName>
    <definedName name="Excel_BuiltIn_Print_Area_5" localSheetId="155">#REF!</definedName>
    <definedName name="Excel_BuiltIn_Print_Area_5" localSheetId="157">#REF!</definedName>
    <definedName name="Excel_BuiltIn_Print_Area_5" localSheetId="159">#REF!</definedName>
    <definedName name="Excel_BuiltIn_Print_Area_5" localSheetId="161">#REF!</definedName>
    <definedName name="Excel_BuiltIn_Print_Area_5" localSheetId="163">#REF!</definedName>
    <definedName name="Excel_BuiltIn_Print_Area_5" localSheetId="169">#REF!</definedName>
    <definedName name="Excel_BuiltIn_Print_Area_5" localSheetId="173">#REF!</definedName>
    <definedName name="Excel_BuiltIn_Print_Area_5" localSheetId="175">#REF!</definedName>
    <definedName name="Excel_BuiltIn_Print_Area_5" localSheetId="177">#REF!</definedName>
    <definedName name="Excel_BuiltIn_Print_Area_5" localSheetId="179">#REF!</definedName>
    <definedName name="Excel_BuiltIn_Print_Area_5" localSheetId="3">#REF!</definedName>
    <definedName name="Excel_BuiltIn_Print_Area_5">#REF!</definedName>
    <definedName name="Excel_BuiltIn_Print_Area_5_1" localSheetId="6">#REF!</definedName>
    <definedName name="Excel_BuiltIn_Print_Area_5_1" localSheetId="330">#REF!</definedName>
    <definedName name="Excel_BuiltIn_Print_Area_5_1" localSheetId="8">#REF!</definedName>
    <definedName name="Excel_BuiltIn_Print_Area_5_1" localSheetId="10">#REF!</definedName>
    <definedName name="Excel_BuiltIn_Print_Area_5_1" localSheetId="12">#REF!</definedName>
    <definedName name="Excel_BuiltIn_Print_Area_5_1" localSheetId="14">#REF!</definedName>
    <definedName name="Excel_BuiltIn_Print_Area_5_1" localSheetId="16">#REF!</definedName>
    <definedName name="Excel_BuiltIn_Print_Area_5_1" localSheetId="18">#REF!</definedName>
    <definedName name="Excel_BuiltIn_Print_Area_5_1" localSheetId="20">#REF!</definedName>
    <definedName name="Excel_BuiltIn_Print_Area_5_1" localSheetId="22">#REF!</definedName>
    <definedName name="Excel_BuiltIn_Print_Area_5_1" localSheetId="26">#REF!</definedName>
    <definedName name="Excel_BuiltIn_Print_Area_5_1" localSheetId="24">#REF!</definedName>
    <definedName name="Excel_BuiltIn_Print_Area_5_1" localSheetId="28">#REF!</definedName>
    <definedName name="Excel_BuiltIn_Print_Area_5_1" localSheetId="30">#REF!</definedName>
    <definedName name="Excel_BuiltIn_Print_Area_5_1" localSheetId="32">#REF!</definedName>
    <definedName name="Excel_BuiltIn_Print_Area_5_1" localSheetId="34">#REF!</definedName>
    <definedName name="Excel_BuiltIn_Print_Area_5_1" localSheetId="36">#REF!</definedName>
    <definedName name="Excel_BuiltIn_Print_Area_5_1" localSheetId="38">#REF!</definedName>
    <definedName name="Excel_BuiltIn_Print_Area_5_1" localSheetId="40">#REF!</definedName>
    <definedName name="Excel_BuiltIn_Print_Area_5_1" localSheetId="42">#REF!</definedName>
    <definedName name="Excel_BuiltIn_Print_Area_5_1" localSheetId="44">#REF!</definedName>
    <definedName name="Excel_BuiltIn_Print_Area_5_1" localSheetId="46">#REF!</definedName>
    <definedName name="Excel_BuiltIn_Print_Area_5_1" localSheetId="48">#REF!</definedName>
    <definedName name="Excel_BuiltIn_Print_Area_5_1" localSheetId="50">#REF!</definedName>
    <definedName name="Excel_BuiltIn_Print_Area_5_1" localSheetId="52">#REF!</definedName>
    <definedName name="Excel_BuiltIn_Print_Area_5_1" localSheetId="54">#REF!</definedName>
    <definedName name="Excel_BuiltIn_Print_Area_5_1" localSheetId="56">#REF!</definedName>
    <definedName name="Excel_BuiltIn_Print_Area_5_1" localSheetId="58">#REF!</definedName>
    <definedName name="Excel_BuiltIn_Print_Area_5_1" localSheetId="60">#REF!</definedName>
    <definedName name="Excel_BuiltIn_Print_Area_5_1" localSheetId="62">#REF!</definedName>
    <definedName name="Excel_BuiltIn_Print_Area_5_1" localSheetId="64">#REF!</definedName>
    <definedName name="Excel_BuiltIn_Print_Area_5_1" localSheetId="66">#REF!</definedName>
    <definedName name="Excel_BuiltIn_Print_Area_5_1" localSheetId="68">#REF!</definedName>
    <definedName name="Excel_BuiltIn_Print_Area_5_1" localSheetId="70">#REF!</definedName>
    <definedName name="Excel_BuiltIn_Print_Area_5_1" localSheetId="72">#REF!</definedName>
    <definedName name="Excel_BuiltIn_Print_Area_5_1" localSheetId="74">#REF!</definedName>
    <definedName name="Excel_BuiltIn_Print_Area_5_1" localSheetId="76">#REF!</definedName>
    <definedName name="Excel_BuiltIn_Print_Area_5_1" localSheetId="78">#REF!</definedName>
    <definedName name="Excel_BuiltIn_Print_Area_5_1" localSheetId="80">#REF!</definedName>
    <definedName name="Excel_BuiltIn_Print_Area_5_1" localSheetId="82">#REF!</definedName>
    <definedName name="Excel_BuiltIn_Print_Area_5_1" localSheetId="84">#REF!</definedName>
    <definedName name="Excel_BuiltIn_Print_Area_5_1" localSheetId="86">#REF!</definedName>
    <definedName name="Excel_BuiltIn_Print_Area_5_1" localSheetId="88">#REF!</definedName>
    <definedName name="Excel_BuiltIn_Print_Area_5_1" localSheetId="90">#REF!</definedName>
    <definedName name="Excel_BuiltIn_Print_Area_5_1" localSheetId="92">#REF!</definedName>
    <definedName name="Excel_BuiltIn_Print_Area_5_1" localSheetId="94">#REF!</definedName>
    <definedName name="Excel_BuiltIn_Print_Area_5_1" localSheetId="96">#REF!</definedName>
    <definedName name="Excel_BuiltIn_Print_Area_5_1" localSheetId="98">#REF!</definedName>
    <definedName name="Excel_BuiltIn_Print_Area_5_1" localSheetId="100">#REF!</definedName>
    <definedName name="Excel_BuiltIn_Print_Area_5_1" localSheetId="102">#REF!</definedName>
    <definedName name="Excel_BuiltIn_Print_Area_5_1" localSheetId="104">#REF!</definedName>
    <definedName name="Excel_BuiltIn_Print_Area_5_1" localSheetId="106">#REF!</definedName>
    <definedName name="Excel_BuiltIn_Print_Area_5_1" localSheetId="108">#REF!</definedName>
    <definedName name="Excel_BuiltIn_Print_Area_5_1" localSheetId="110">#REF!</definedName>
    <definedName name="Excel_BuiltIn_Print_Area_5_1" localSheetId="112">#REF!</definedName>
    <definedName name="Excel_BuiltIn_Print_Area_5_1" localSheetId="114">#REF!</definedName>
    <definedName name="Excel_BuiltIn_Print_Area_5_1" localSheetId="116">#REF!</definedName>
    <definedName name="Excel_BuiltIn_Print_Area_5_1" localSheetId="118">#REF!</definedName>
    <definedName name="Excel_BuiltIn_Print_Area_5_1" localSheetId="120">#REF!</definedName>
    <definedName name="Excel_BuiltIn_Print_Area_5_1" localSheetId="122">#REF!</definedName>
    <definedName name="Excel_BuiltIn_Print_Area_5_1" localSheetId="124">#REF!</definedName>
    <definedName name="Excel_BuiltIn_Print_Area_5_1" localSheetId="126">#REF!</definedName>
    <definedName name="Excel_BuiltIn_Print_Area_5_1" localSheetId="128">#REF!</definedName>
    <definedName name="Excel_BuiltIn_Print_Area_5_1" localSheetId="130">#REF!</definedName>
    <definedName name="Excel_BuiltIn_Print_Area_5_1" localSheetId="132">#REF!</definedName>
    <definedName name="Excel_BuiltIn_Print_Area_5_1" localSheetId="134">#REF!</definedName>
    <definedName name="Excel_BuiltIn_Print_Area_5_1" localSheetId="136">#REF!</definedName>
    <definedName name="Excel_BuiltIn_Print_Area_5_1" localSheetId="138">#REF!</definedName>
    <definedName name="Excel_BuiltIn_Print_Area_5_1" localSheetId="140">#REF!</definedName>
    <definedName name="Excel_BuiltIn_Print_Area_5_1" localSheetId="142">#REF!</definedName>
    <definedName name="Excel_BuiltIn_Print_Area_5_1" localSheetId="144">#REF!</definedName>
    <definedName name="Excel_BuiltIn_Print_Area_5_1" localSheetId="146">#REF!</definedName>
    <definedName name="Excel_BuiltIn_Print_Area_5_1" localSheetId="148">#REF!</definedName>
    <definedName name="Excel_BuiltIn_Print_Area_5_1" localSheetId="150">#REF!</definedName>
    <definedName name="Excel_BuiltIn_Print_Area_5_1" localSheetId="152">#REF!</definedName>
    <definedName name="Excel_BuiltIn_Print_Area_5_1" localSheetId="154">#REF!</definedName>
    <definedName name="Excel_BuiltIn_Print_Area_5_1" localSheetId="156">#REF!</definedName>
    <definedName name="Excel_BuiltIn_Print_Area_5_1" localSheetId="158">#REF!</definedName>
    <definedName name="Excel_BuiltIn_Print_Area_5_1" localSheetId="160">#REF!</definedName>
    <definedName name="Excel_BuiltIn_Print_Area_5_1" localSheetId="162">#REF!</definedName>
    <definedName name="Excel_BuiltIn_Print_Area_5_1" localSheetId="164">#REF!</definedName>
    <definedName name="Excel_BuiltIn_Print_Area_5_1" localSheetId="166">#REF!</definedName>
    <definedName name="Excel_BuiltIn_Print_Area_5_1" localSheetId="168">#REF!</definedName>
    <definedName name="Excel_BuiltIn_Print_Area_5_1" localSheetId="170">#REF!</definedName>
    <definedName name="Excel_BuiltIn_Print_Area_5_1" localSheetId="172">#REF!</definedName>
    <definedName name="Excel_BuiltIn_Print_Area_5_1" localSheetId="174">#REF!</definedName>
    <definedName name="Excel_BuiltIn_Print_Area_5_1" localSheetId="176">#REF!</definedName>
    <definedName name="Excel_BuiltIn_Print_Area_5_1" localSheetId="178">#REF!</definedName>
    <definedName name="Excel_BuiltIn_Print_Area_5_1" localSheetId="180">#REF!</definedName>
    <definedName name="Excel_BuiltIn_Print_Area_5_1" localSheetId="182">#REF!</definedName>
    <definedName name="Excel_BuiltIn_Print_Area_5_1" localSheetId="184">#REF!</definedName>
    <definedName name="Excel_BuiltIn_Print_Area_5_1" localSheetId="186">#REF!</definedName>
    <definedName name="Excel_BuiltIn_Print_Area_5_1" localSheetId="188">#REF!</definedName>
    <definedName name="Excel_BuiltIn_Print_Area_5_1" localSheetId="190">#REF!</definedName>
    <definedName name="Excel_BuiltIn_Print_Area_5_1" localSheetId="192">#REF!</definedName>
    <definedName name="Excel_BuiltIn_Print_Area_5_1" localSheetId="194">#REF!</definedName>
    <definedName name="Excel_BuiltIn_Print_Area_5_1" localSheetId="196">#REF!</definedName>
    <definedName name="Excel_BuiltIn_Print_Area_5_1" localSheetId="198">#REF!</definedName>
    <definedName name="Excel_BuiltIn_Print_Area_5_1" localSheetId="200">#REF!</definedName>
    <definedName name="Excel_BuiltIn_Print_Area_5_1" localSheetId="202">#REF!</definedName>
    <definedName name="Excel_BuiltIn_Print_Area_5_1" localSheetId="204">#REF!</definedName>
    <definedName name="Excel_BuiltIn_Print_Area_5_1" localSheetId="206">#REF!</definedName>
    <definedName name="Excel_BuiltIn_Print_Area_5_1" localSheetId="208">#REF!</definedName>
    <definedName name="Excel_BuiltIn_Print_Area_5_1" localSheetId="210">#REF!</definedName>
    <definedName name="Excel_BuiltIn_Print_Area_5_1" localSheetId="212">#REF!</definedName>
    <definedName name="Excel_BuiltIn_Print_Area_5_1" localSheetId="214">#REF!</definedName>
    <definedName name="Excel_BuiltIn_Print_Area_5_1" localSheetId="216">#REF!</definedName>
    <definedName name="Excel_BuiltIn_Print_Area_5_1" localSheetId="218">#REF!</definedName>
    <definedName name="Excel_BuiltIn_Print_Area_5_1" localSheetId="220">#REF!</definedName>
    <definedName name="Excel_BuiltIn_Print_Area_5_1" localSheetId="224">#REF!</definedName>
    <definedName name="Excel_BuiltIn_Print_Area_5_1" localSheetId="228">#REF!</definedName>
    <definedName name="Excel_BuiltIn_Print_Area_5_1" localSheetId="230">#REF!</definedName>
    <definedName name="Excel_BuiltIn_Print_Area_5_1" localSheetId="232">#REF!</definedName>
    <definedName name="Excel_BuiltIn_Print_Area_5_1" localSheetId="234">#REF!</definedName>
    <definedName name="Excel_BuiltIn_Print_Area_5_1" localSheetId="236">#REF!</definedName>
    <definedName name="Excel_BuiltIn_Print_Area_5_1" localSheetId="240">#REF!</definedName>
    <definedName name="Excel_BuiltIn_Print_Area_5_1" localSheetId="242">#REF!</definedName>
    <definedName name="Excel_BuiltIn_Print_Area_5_1" localSheetId="244">#REF!</definedName>
    <definedName name="Excel_BuiltIn_Print_Area_5_1" localSheetId="246">#REF!</definedName>
    <definedName name="Excel_BuiltIn_Print_Area_5_1" localSheetId="248">#REF!</definedName>
    <definedName name="Excel_BuiltIn_Print_Area_5_1" localSheetId="250">#REF!</definedName>
    <definedName name="Excel_BuiltIn_Print_Area_5_1" localSheetId="252">#REF!</definedName>
    <definedName name="Excel_BuiltIn_Print_Area_5_1" localSheetId="254">#REF!</definedName>
    <definedName name="Excel_BuiltIn_Print_Area_5_1" localSheetId="256">#REF!</definedName>
    <definedName name="Excel_BuiltIn_Print_Area_5_1" localSheetId="258">#REF!</definedName>
    <definedName name="Excel_BuiltIn_Print_Area_5_1" localSheetId="260">#REF!</definedName>
    <definedName name="Excel_BuiltIn_Print_Area_5_1" localSheetId="262">#REF!</definedName>
    <definedName name="Excel_BuiltIn_Print_Area_5_1" localSheetId="264">#REF!</definedName>
    <definedName name="Excel_BuiltIn_Print_Area_5_1" localSheetId="266">#REF!</definedName>
    <definedName name="Excel_BuiltIn_Print_Area_5_1" localSheetId="268">#REF!</definedName>
    <definedName name="Excel_BuiltIn_Print_Area_5_1" localSheetId="270">#REF!</definedName>
    <definedName name="Excel_BuiltIn_Print_Area_5_1" localSheetId="282">#REF!</definedName>
    <definedName name="Excel_BuiltIn_Print_Area_5_1" localSheetId="284">#REF!</definedName>
    <definedName name="Excel_BuiltIn_Print_Area_5_1" localSheetId="286">#REF!</definedName>
    <definedName name="Excel_BuiltIn_Print_Area_5_1" localSheetId="288">#REF!</definedName>
    <definedName name="Excel_BuiltIn_Print_Area_5_1" localSheetId="290">#REF!</definedName>
    <definedName name="Excel_BuiltIn_Print_Area_5_1" localSheetId="296">#REF!</definedName>
    <definedName name="Excel_BuiltIn_Print_Area_5_1" localSheetId="304">#REF!</definedName>
    <definedName name="Excel_BuiltIn_Print_Area_5_1" localSheetId="306">#REF!</definedName>
    <definedName name="Excel_BuiltIn_Print_Area_5_1" localSheetId="308">#REF!</definedName>
    <definedName name="Excel_BuiltIn_Print_Area_5_1" localSheetId="318">#REF!</definedName>
    <definedName name="Excel_BuiltIn_Print_Area_5_1" localSheetId="320">#REF!</definedName>
    <definedName name="Excel_BuiltIn_Print_Area_5_1" localSheetId="322">#REF!</definedName>
    <definedName name="Excel_BuiltIn_Print_Area_5_1" localSheetId="324">#REF!</definedName>
    <definedName name="Excel_BuiltIn_Print_Area_5_1" localSheetId="328">#REF!</definedName>
    <definedName name="Excel_BuiltIn_Print_Area_5_1" localSheetId="5">#REF!</definedName>
    <definedName name="Excel_BuiltIn_Print_Area_5_1" localSheetId="7">#REF!</definedName>
    <definedName name="Excel_BuiltIn_Print_Area_5_1" localSheetId="9">#REF!</definedName>
    <definedName name="Excel_BuiltIn_Print_Area_5_1" localSheetId="11">#REF!</definedName>
    <definedName name="Excel_BuiltIn_Print_Area_5_1" localSheetId="15">#REF!</definedName>
    <definedName name="Excel_BuiltIn_Print_Area_5_1" localSheetId="21">#REF!</definedName>
    <definedName name="Excel_BuiltIn_Print_Area_5_1" localSheetId="23">#REF!</definedName>
    <definedName name="Excel_BuiltIn_Print_Area_5_1" localSheetId="27">#REF!</definedName>
    <definedName name="Excel_BuiltIn_Print_Area_5_1" localSheetId="25">#REF!</definedName>
    <definedName name="Excel_BuiltIn_Print_Area_5_1" localSheetId="29">#REF!</definedName>
    <definedName name="Excel_BuiltIn_Print_Area_5_1" localSheetId="31">#REF!</definedName>
    <definedName name="Excel_BuiltIn_Print_Area_5_1" localSheetId="35">#REF!</definedName>
    <definedName name="Excel_BuiltIn_Print_Area_5_1" localSheetId="37">#REF!</definedName>
    <definedName name="Excel_BuiltIn_Print_Area_5_1" localSheetId="41">#REF!</definedName>
    <definedName name="Excel_BuiltIn_Print_Area_5_1" localSheetId="51">#REF!</definedName>
    <definedName name="Excel_BuiltIn_Print_Area_5_1" localSheetId="97">#REF!</definedName>
    <definedName name="Excel_BuiltIn_Print_Area_5_1" localSheetId="129">#REF!</definedName>
    <definedName name="Excel_BuiltIn_Print_Area_5_1" localSheetId="131">#REF!</definedName>
    <definedName name="Excel_BuiltIn_Print_Area_5_1" localSheetId="133">#REF!</definedName>
    <definedName name="Excel_BuiltIn_Print_Area_5_1" localSheetId="135">#REF!</definedName>
    <definedName name="Excel_BuiltIn_Print_Area_5_1" localSheetId="137">#REF!</definedName>
    <definedName name="Excel_BuiltIn_Print_Area_5_1" localSheetId="139">#REF!</definedName>
    <definedName name="Excel_BuiltIn_Print_Area_5_1" localSheetId="141">#REF!</definedName>
    <definedName name="Excel_BuiltIn_Print_Area_5_1" localSheetId="143">#REF!</definedName>
    <definedName name="Excel_BuiltIn_Print_Area_5_1" localSheetId="145">#REF!</definedName>
    <definedName name="Excel_BuiltIn_Print_Area_5_1" localSheetId="147">#REF!</definedName>
    <definedName name="Excel_BuiltIn_Print_Area_5_1" localSheetId="149">#REF!</definedName>
    <definedName name="Excel_BuiltIn_Print_Area_5_1" localSheetId="151">#REF!</definedName>
    <definedName name="Excel_BuiltIn_Print_Area_5_1" localSheetId="153">#REF!</definedName>
    <definedName name="Excel_BuiltIn_Print_Area_5_1" localSheetId="155">#REF!</definedName>
    <definedName name="Excel_BuiltIn_Print_Area_5_1" localSheetId="157">#REF!</definedName>
    <definedName name="Excel_BuiltIn_Print_Area_5_1" localSheetId="159">#REF!</definedName>
    <definedName name="Excel_BuiltIn_Print_Area_5_1" localSheetId="161">#REF!</definedName>
    <definedName name="Excel_BuiltIn_Print_Area_5_1" localSheetId="163">#REF!</definedName>
    <definedName name="Excel_BuiltIn_Print_Area_5_1" localSheetId="169">#REF!</definedName>
    <definedName name="Excel_BuiltIn_Print_Area_5_1" localSheetId="173">#REF!</definedName>
    <definedName name="Excel_BuiltIn_Print_Area_5_1" localSheetId="175">#REF!</definedName>
    <definedName name="Excel_BuiltIn_Print_Area_5_1" localSheetId="177">#REF!</definedName>
    <definedName name="Excel_BuiltIn_Print_Area_5_1" localSheetId="179">#REF!</definedName>
    <definedName name="Excel_BuiltIn_Print_Area_5_1" localSheetId="3">#REF!</definedName>
    <definedName name="Excel_BuiltIn_Print_Area_5_1">#REF!</definedName>
    <definedName name="Excel_BuiltIn_Print_Area_6" localSheetId="6">#REF!</definedName>
    <definedName name="Excel_BuiltIn_Print_Area_6" localSheetId="330">#REF!</definedName>
    <definedName name="Excel_BuiltIn_Print_Area_6" localSheetId="8">#REF!</definedName>
    <definedName name="Excel_BuiltIn_Print_Area_6" localSheetId="10">#REF!</definedName>
    <definedName name="Excel_BuiltIn_Print_Area_6" localSheetId="12">#REF!</definedName>
    <definedName name="Excel_BuiltIn_Print_Area_6" localSheetId="14">#REF!</definedName>
    <definedName name="Excel_BuiltIn_Print_Area_6" localSheetId="16">#REF!</definedName>
    <definedName name="Excel_BuiltIn_Print_Area_6" localSheetId="18">#REF!</definedName>
    <definedName name="Excel_BuiltIn_Print_Area_6" localSheetId="20">#REF!</definedName>
    <definedName name="Excel_BuiltIn_Print_Area_6" localSheetId="22">#REF!</definedName>
    <definedName name="Excel_BuiltIn_Print_Area_6" localSheetId="26">#REF!</definedName>
    <definedName name="Excel_BuiltIn_Print_Area_6" localSheetId="24">#REF!</definedName>
    <definedName name="Excel_BuiltIn_Print_Area_6" localSheetId="28">#REF!</definedName>
    <definedName name="Excel_BuiltIn_Print_Area_6" localSheetId="30">#REF!</definedName>
    <definedName name="Excel_BuiltIn_Print_Area_6" localSheetId="32">#REF!</definedName>
    <definedName name="Excel_BuiltIn_Print_Area_6" localSheetId="34">#REF!</definedName>
    <definedName name="Excel_BuiltIn_Print_Area_6" localSheetId="36">#REF!</definedName>
    <definedName name="Excel_BuiltIn_Print_Area_6" localSheetId="38">#REF!</definedName>
    <definedName name="Excel_BuiltIn_Print_Area_6" localSheetId="40">#REF!</definedName>
    <definedName name="Excel_BuiltIn_Print_Area_6" localSheetId="42">#REF!</definedName>
    <definedName name="Excel_BuiltIn_Print_Area_6" localSheetId="44">#REF!</definedName>
    <definedName name="Excel_BuiltIn_Print_Area_6" localSheetId="46">#REF!</definedName>
    <definedName name="Excel_BuiltIn_Print_Area_6" localSheetId="48">#REF!</definedName>
    <definedName name="Excel_BuiltIn_Print_Area_6" localSheetId="50">#REF!</definedName>
    <definedName name="Excel_BuiltIn_Print_Area_6" localSheetId="52">#REF!</definedName>
    <definedName name="Excel_BuiltIn_Print_Area_6" localSheetId="54">#REF!</definedName>
    <definedName name="Excel_BuiltIn_Print_Area_6" localSheetId="56">#REF!</definedName>
    <definedName name="Excel_BuiltIn_Print_Area_6" localSheetId="58">#REF!</definedName>
    <definedName name="Excel_BuiltIn_Print_Area_6" localSheetId="60">#REF!</definedName>
    <definedName name="Excel_BuiltIn_Print_Area_6" localSheetId="62">#REF!</definedName>
    <definedName name="Excel_BuiltIn_Print_Area_6" localSheetId="64">#REF!</definedName>
    <definedName name="Excel_BuiltIn_Print_Area_6" localSheetId="66">#REF!</definedName>
    <definedName name="Excel_BuiltIn_Print_Area_6" localSheetId="68">#REF!</definedName>
    <definedName name="Excel_BuiltIn_Print_Area_6" localSheetId="70">#REF!</definedName>
    <definedName name="Excel_BuiltIn_Print_Area_6" localSheetId="72">#REF!</definedName>
    <definedName name="Excel_BuiltIn_Print_Area_6" localSheetId="74">#REF!</definedName>
    <definedName name="Excel_BuiltIn_Print_Area_6" localSheetId="76">#REF!</definedName>
    <definedName name="Excel_BuiltIn_Print_Area_6" localSheetId="78">#REF!</definedName>
    <definedName name="Excel_BuiltIn_Print_Area_6" localSheetId="80">#REF!</definedName>
    <definedName name="Excel_BuiltIn_Print_Area_6" localSheetId="82">#REF!</definedName>
    <definedName name="Excel_BuiltIn_Print_Area_6" localSheetId="84">#REF!</definedName>
    <definedName name="Excel_BuiltIn_Print_Area_6" localSheetId="86">#REF!</definedName>
    <definedName name="Excel_BuiltIn_Print_Area_6" localSheetId="88">#REF!</definedName>
    <definedName name="Excel_BuiltIn_Print_Area_6" localSheetId="90">#REF!</definedName>
    <definedName name="Excel_BuiltIn_Print_Area_6" localSheetId="92">#REF!</definedName>
    <definedName name="Excel_BuiltIn_Print_Area_6" localSheetId="94">#REF!</definedName>
    <definedName name="Excel_BuiltIn_Print_Area_6" localSheetId="96">#REF!</definedName>
    <definedName name="Excel_BuiltIn_Print_Area_6" localSheetId="98">#REF!</definedName>
    <definedName name="Excel_BuiltIn_Print_Area_6" localSheetId="100">#REF!</definedName>
    <definedName name="Excel_BuiltIn_Print_Area_6" localSheetId="102">#REF!</definedName>
    <definedName name="Excel_BuiltIn_Print_Area_6" localSheetId="104">#REF!</definedName>
    <definedName name="Excel_BuiltIn_Print_Area_6" localSheetId="106">#REF!</definedName>
    <definedName name="Excel_BuiltIn_Print_Area_6" localSheetId="108">#REF!</definedName>
    <definedName name="Excel_BuiltIn_Print_Area_6" localSheetId="110">#REF!</definedName>
    <definedName name="Excel_BuiltIn_Print_Area_6" localSheetId="112">#REF!</definedName>
    <definedName name="Excel_BuiltIn_Print_Area_6" localSheetId="114">#REF!</definedName>
    <definedName name="Excel_BuiltIn_Print_Area_6" localSheetId="116">#REF!</definedName>
    <definedName name="Excel_BuiltIn_Print_Area_6" localSheetId="118">#REF!</definedName>
    <definedName name="Excel_BuiltIn_Print_Area_6" localSheetId="120">#REF!</definedName>
    <definedName name="Excel_BuiltIn_Print_Area_6" localSheetId="122">#REF!</definedName>
    <definedName name="Excel_BuiltIn_Print_Area_6" localSheetId="124">#REF!</definedName>
    <definedName name="Excel_BuiltIn_Print_Area_6" localSheetId="126">#REF!</definedName>
    <definedName name="Excel_BuiltIn_Print_Area_6" localSheetId="128">#REF!</definedName>
    <definedName name="Excel_BuiltIn_Print_Area_6" localSheetId="130">#REF!</definedName>
    <definedName name="Excel_BuiltIn_Print_Area_6" localSheetId="132">#REF!</definedName>
    <definedName name="Excel_BuiltIn_Print_Area_6" localSheetId="134">#REF!</definedName>
    <definedName name="Excel_BuiltIn_Print_Area_6" localSheetId="136">#REF!</definedName>
    <definedName name="Excel_BuiltIn_Print_Area_6" localSheetId="138">#REF!</definedName>
    <definedName name="Excel_BuiltIn_Print_Area_6" localSheetId="140">#REF!</definedName>
    <definedName name="Excel_BuiltIn_Print_Area_6" localSheetId="142">#REF!</definedName>
    <definedName name="Excel_BuiltIn_Print_Area_6" localSheetId="144">#REF!</definedName>
    <definedName name="Excel_BuiltIn_Print_Area_6" localSheetId="146">#REF!</definedName>
    <definedName name="Excel_BuiltIn_Print_Area_6" localSheetId="148">#REF!</definedName>
    <definedName name="Excel_BuiltIn_Print_Area_6" localSheetId="150">#REF!</definedName>
    <definedName name="Excel_BuiltIn_Print_Area_6" localSheetId="152">#REF!</definedName>
    <definedName name="Excel_BuiltIn_Print_Area_6" localSheetId="154">#REF!</definedName>
    <definedName name="Excel_BuiltIn_Print_Area_6" localSheetId="156">#REF!</definedName>
    <definedName name="Excel_BuiltIn_Print_Area_6" localSheetId="158">#REF!</definedName>
    <definedName name="Excel_BuiltIn_Print_Area_6" localSheetId="160">#REF!</definedName>
    <definedName name="Excel_BuiltIn_Print_Area_6" localSheetId="162">#REF!</definedName>
    <definedName name="Excel_BuiltIn_Print_Area_6" localSheetId="164">#REF!</definedName>
    <definedName name="Excel_BuiltIn_Print_Area_6" localSheetId="166">#REF!</definedName>
    <definedName name="Excel_BuiltIn_Print_Area_6" localSheetId="168">#REF!</definedName>
    <definedName name="Excel_BuiltIn_Print_Area_6" localSheetId="170">#REF!</definedName>
    <definedName name="Excel_BuiltIn_Print_Area_6" localSheetId="172">#REF!</definedName>
    <definedName name="Excel_BuiltIn_Print_Area_6" localSheetId="174">#REF!</definedName>
    <definedName name="Excel_BuiltIn_Print_Area_6" localSheetId="176">#REF!</definedName>
    <definedName name="Excel_BuiltIn_Print_Area_6" localSheetId="178">#REF!</definedName>
    <definedName name="Excel_BuiltIn_Print_Area_6" localSheetId="180">#REF!</definedName>
    <definedName name="Excel_BuiltIn_Print_Area_6" localSheetId="182">#REF!</definedName>
    <definedName name="Excel_BuiltIn_Print_Area_6" localSheetId="184">#REF!</definedName>
    <definedName name="Excel_BuiltIn_Print_Area_6" localSheetId="186">#REF!</definedName>
    <definedName name="Excel_BuiltIn_Print_Area_6" localSheetId="188">#REF!</definedName>
    <definedName name="Excel_BuiltIn_Print_Area_6" localSheetId="190">#REF!</definedName>
    <definedName name="Excel_BuiltIn_Print_Area_6" localSheetId="192">#REF!</definedName>
    <definedName name="Excel_BuiltIn_Print_Area_6" localSheetId="194">#REF!</definedName>
    <definedName name="Excel_BuiltIn_Print_Area_6" localSheetId="196">#REF!</definedName>
    <definedName name="Excel_BuiltIn_Print_Area_6" localSheetId="198">#REF!</definedName>
    <definedName name="Excel_BuiltIn_Print_Area_6" localSheetId="200">#REF!</definedName>
    <definedName name="Excel_BuiltIn_Print_Area_6" localSheetId="202">#REF!</definedName>
    <definedName name="Excel_BuiltIn_Print_Area_6" localSheetId="204">#REF!</definedName>
    <definedName name="Excel_BuiltIn_Print_Area_6" localSheetId="206">#REF!</definedName>
    <definedName name="Excel_BuiltIn_Print_Area_6" localSheetId="208">#REF!</definedName>
    <definedName name="Excel_BuiltIn_Print_Area_6" localSheetId="210">#REF!</definedName>
    <definedName name="Excel_BuiltIn_Print_Area_6" localSheetId="212">#REF!</definedName>
    <definedName name="Excel_BuiltIn_Print_Area_6" localSheetId="214">#REF!</definedName>
    <definedName name="Excel_BuiltIn_Print_Area_6" localSheetId="216">#REF!</definedName>
    <definedName name="Excel_BuiltIn_Print_Area_6" localSheetId="218">#REF!</definedName>
    <definedName name="Excel_BuiltIn_Print_Area_6" localSheetId="220">#REF!</definedName>
    <definedName name="Excel_BuiltIn_Print_Area_6" localSheetId="224">#REF!</definedName>
    <definedName name="Excel_BuiltIn_Print_Area_6" localSheetId="228">#REF!</definedName>
    <definedName name="Excel_BuiltIn_Print_Area_6" localSheetId="230">#REF!</definedName>
    <definedName name="Excel_BuiltIn_Print_Area_6" localSheetId="232">#REF!</definedName>
    <definedName name="Excel_BuiltIn_Print_Area_6" localSheetId="234">#REF!</definedName>
    <definedName name="Excel_BuiltIn_Print_Area_6" localSheetId="236">#REF!</definedName>
    <definedName name="Excel_BuiltIn_Print_Area_6" localSheetId="240">#REF!</definedName>
    <definedName name="Excel_BuiltIn_Print_Area_6" localSheetId="242">#REF!</definedName>
    <definedName name="Excel_BuiltIn_Print_Area_6" localSheetId="244">#REF!</definedName>
    <definedName name="Excel_BuiltIn_Print_Area_6" localSheetId="246">#REF!</definedName>
    <definedName name="Excel_BuiltIn_Print_Area_6" localSheetId="248">#REF!</definedName>
    <definedName name="Excel_BuiltIn_Print_Area_6" localSheetId="250">#REF!</definedName>
    <definedName name="Excel_BuiltIn_Print_Area_6" localSheetId="252">#REF!</definedName>
    <definedName name="Excel_BuiltIn_Print_Area_6" localSheetId="254">#REF!</definedName>
    <definedName name="Excel_BuiltIn_Print_Area_6" localSheetId="256">#REF!</definedName>
    <definedName name="Excel_BuiltIn_Print_Area_6" localSheetId="258">#REF!</definedName>
    <definedName name="Excel_BuiltIn_Print_Area_6" localSheetId="260">#REF!</definedName>
    <definedName name="Excel_BuiltIn_Print_Area_6" localSheetId="262">#REF!</definedName>
    <definedName name="Excel_BuiltIn_Print_Area_6" localSheetId="264">#REF!</definedName>
    <definedName name="Excel_BuiltIn_Print_Area_6" localSheetId="266">#REF!</definedName>
    <definedName name="Excel_BuiltIn_Print_Area_6" localSheetId="268">#REF!</definedName>
    <definedName name="Excel_BuiltIn_Print_Area_6" localSheetId="270">#REF!</definedName>
    <definedName name="Excel_BuiltIn_Print_Area_6" localSheetId="282">#REF!</definedName>
    <definedName name="Excel_BuiltIn_Print_Area_6" localSheetId="284">#REF!</definedName>
    <definedName name="Excel_BuiltIn_Print_Area_6" localSheetId="286">#REF!</definedName>
    <definedName name="Excel_BuiltIn_Print_Area_6" localSheetId="288">#REF!</definedName>
    <definedName name="Excel_BuiltIn_Print_Area_6" localSheetId="290">#REF!</definedName>
    <definedName name="Excel_BuiltIn_Print_Area_6" localSheetId="296">#REF!</definedName>
    <definedName name="Excel_BuiltIn_Print_Area_6" localSheetId="304">#REF!</definedName>
    <definedName name="Excel_BuiltIn_Print_Area_6" localSheetId="306">#REF!</definedName>
    <definedName name="Excel_BuiltIn_Print_Area_6" localSheetId="308">#REF!</definedName>
    <definedName name="Excel_BuiltIn_Print_Area_6" localSheetId="318">#REF!</definedName>
    <definedName name="Excel_BuiltIn_Print_Area_6" localSheetId="320">#REF!</definedName>
    <definedName name="Excel_BuiltIn_Print_Area_6" localSheetId="322">#REF!</definedName>
    <definedName name="Excel_BuiltIn_Print_Area_6" localSheetId="324">#REF!</definedName>
    <definedName name="Excel_BuiltIn_Print_Area_6" localSheetId="328">#REF!</definedName>
    <definedName name="Excel_BuiltIn_Print_Area_6" localSheetId="5">#REF!</definedName>
    <definedName name="Excel_BuiltIn_Print_Area_6" localSheetId="7">#REF!</definedName>
    <definedName name="Excel_BuiltIn_Print_Area_6" localSheetId="9">#REF!</definedName>
    <definedName name="Excel_BuiltIn_Print_Area_6" localSheetId="11">#REF!</definedName>
    <definedName name="Excel_BuiltIn_Print_Area_6" localSheetId="15">#REF!</definedName>
    <definedName name="Excel_BuiltIn_Print_Area_6" localSheetId="21">#REF!</definedName>
    <definedName name="Excel_BuiltIn_Print_Area_6" localSheetId="23">#REF!</definedName>
    <definedName name="Excel_BuiltIn_Print_Area_6" localSheetId="27">#REF!</definedName>
    <definedName name="Excel_BuiltIn_Print_Area_6" localSheetId="25">#REF!</definedName>
    <definedName name="Excel_BuiltIn_Print_Area_6" localSheetId="29">#REF!</definedName>
    <definedName name="Excel_BuiltIn_Print_Area_6" localSheetId="31">#REF!</definedName>
    <definedName name="Excel_BuiltIn_Print_Area_6" localSheetId="35">#REF!</definedName>
    <definedName name="Excel_BuiltIn_Print_Area_6" localSheetId="37">#REF!</definedName>
    <definedName name="Excel_BuiltIn_Print_Area_6" localSheetId="41">#REF!</definedName>
    <definedName name="Excel_BuiltIn_Print_Area_6" localSheetId="51">#REF!</definedName>
    <definedName name="Excel_BuiltIn_Print_Area_6" localSheetId="97">#REF!</definedName>
    <definedName name="Excel_BuiltIn_Print_Area_6" localSheetId="129">#REF!</definedName>
    <definedName name="Excel_BuiltIn_Print_Area_6" localSheetId="131">#REF!</definedName>
    <definedName name="Excel_BuiltIn_Print_Area_6" localSheetId="133">#REF!</definedName>
    <definedName name="Excel_BuiltIn_Print_Area_6" localSheetId="135">#REF!</definedName>
    <definedName name="Excel_BuiltIn_Print_Area_6" localSheetId="137">#REF!</definedName>
    <definedName name="Excel_BuiltIn_Print_Area_6" localSheetId="139">#REF!</definedName>
    <definedName name="Excel_BuiltIn_Print_Area_6" localSheetId="141">#REF!</definedName>
    <definedName name="Excel_BuiltIn_Print_Area_6" localSheetId="143">#REF!</definedName>
    <definedName name="Excel_BuiltIn_Print_Area_6" localSheetId="145">#REF!</definedName>
    <definedName name="Excel_BuiltIn_Print_Area_6" localSheetId="147">#REF!</definedName>
    <definedName name="Excel_BuiltIn_Print_Area_6" localSheetId="149">#REF!</definedName>
    <definedName name="Excel_BuiltIn_Print_Area_6" localSheetId="151">#REF!</definedName>
    <definedName name="Excel_BuiltIn_Print_Area_6" localSheetId="153">#REF!</definedName>
    <definedName name="Excel_BuiltIn_Print_Area_6" localSheetId="155">#REF!</definedName>
    <definedName name="Excel_BuiltIn_Print_Area_6" localSheetId="157">#REF!</definedName>
    <definedName name="Excel_BuiltIn_Print_Area_6" localSheetId="159">#REF!</definedName>
    <definedName name="Excel_BuiltIn_Print_Area_6" localSheetId="161">#REF!</definedName>
    <definedName name="Excel_BuiltIn_Print_Area_6" localSheetId="163">#REF!</definedName>
    <definedName name="Excel_BuiltIn_Print_Area_6" localSheetId="169">#REF!</definedName>
    <definedName name="Excel_BuiltIn_Print_Area_6" localSheetId="173">#REF!</definedName>
    <definedName name="Excel_BuiltIn_Print_Area_6" localSheetId="175">#REF!</definedName>
    <definedName name="Excel_BuiltIn_Print_Area_6" localSheetId="177">#REF!</definedName>
    <definedName name="Excel_BuiltIn_Print_Area_6" localSheetId="179">#REF!</definedName>
    <definedName name="Excel_BuiltIn_Print_Area_6" localSheetId="3">#REF!</definedName>
    <definedName name="Excel_BuiltIn_Print_Area_6">#REF!</definedName>
    <definedName name="FACA" localSheetId="6">#REF!</definedName>
    <definedName name="FACA" localSheetId="330">#REF!</definedName>
    <definedName name="FACA" localSheetId="8">#REF!</definedName>
    <definedName name="FACA" localSheetId="10">#REF!</definedName>
    <definedName name="FACA" localSheetId="12">#REF!</definedName>
    <definedName name="FACA" localSheetId="14">#REF!</definedName>
    <definedName name="FACA" localSheetId="16">#REF!</definedName>
    <definedName name="FACA" localSheetId="18">#REF!</definedName>
    <definedName name="FACA" localSheetId="20">#REF!</definedName>
    <definedName name="FACA" localSheetId="22">#REF!</definedName>
    <definedName name="FACA" localSheetId="26">#REF!</definedName>
    <definedName name="FACA" localSheetId="24">#REF!</definedName>
    <definedName name="FACA" localSheetId="28">#REF!</definedName>
    <definedName name="FACA" localSheetId="30">#REF!</definedName>
    <definedName name="FACA" localSheetId="32">#REF!</definedName>
    <definedName name="FACA" localSheetId="34">#REF!</definedName>
    <definedName name="FACA" localSheetId="36">#REF!</definedName>
    <definedName name="FACA" localSheetId="38">#REF!</definedName>
    <definedName name="FACA" localSheetId="40">#REF!</definedName>
    <definedName name="FACA" localSheetId="42">#REF!</definedName>
    <definedName name="FACA" localSheetId="44">#REF!</definedName>
    <definedName name="FACA" localSheetId="46">#REF!</definedName>
    <definedName name="FACA" localSheetId="48">#REF!</definedName>
    <definedName name="FACA" localSheetId="50">#REF!</definedName>
    <definedName name="FACA" localSheetId="52">#REF!</definedName>
    <definedName name="FACA" localSheetId="54">#REF!</definedName>
    <definedName name="FACA" localSheetId="56">#REF!</definedName>
    <definedName name="FACA" localSheetId="58">#REF!</definedName>
    <definedName name="FACA" localSheetId="60">#REF!</definedName>
    <definedName name="FACA" localSheetId="62">#REF!</definedName>
    <definedName name="FACA" localSheetId="64">#REF!</definedName>
    <definedName name="FACA" localSheetId="66">#REF!</definedName>
    <definedName name="FACA" localSheetId="68">#REF!</definedName>
    <definedName name="FACA" localSheetId="70">#REF!</definedName>
    <definedName name="FACA" localSheetId="72">#REF!</definedName>
    <definedName name="FACA" localSheetId="74">#REF!</definedName>
    <definedName name="FACA" localSheetId="76">#REF!</definedName>
    <definedName name="FACA" localSheetId="78">#REF!</definedName>
    <definedName name="FACA" localSheetId="80">#REF!</definedName>
    <definedName name="FACA" localSheetId="82">#REF!</definedName>
    <definedName name="FACA" localSheetId="84">#REF!</definedName>
    <definedName name="FACA" localSheetId="86">#REF!</definedName>
    <definedName name="FACA" localSheetId="88">#REF!</definedName>
    <definedName name="FACA" localSheetId="90">#REF!</definedName>
    <definedName name="FACA" localSheetId="92">#REF!</definedName>
    <definedName name="FACA" localSheetId="94">#REF!</definedName>
    <definedName name="FACA" localSheetId="96">#REF!</definedName>
    <definedName name="FACA" localSheetId="98">#REF!</definedName>
    <definedName name="FACA" localSheetId="100">#REF!</definedName>
    <definedName name="FACA" localSheetId="102">#REF!</definedName>
    <definedName name="FACA" localSheetId="104">#REF!</definedName>
    <definedName name="FACA" localSheetId="106">#REF!</definedName>
    <definedName name="FACA" localSheetId="108">#REF!</definedName>
    <definedName name="FACA" localSheetId="110">#REF!</definedName>
    <definedName name="FACA" localSheetId="112">#REF!</definedName>
    <definedName name="FACA" localSheetId="114">#REF!</definedName>
    <definedName name="FACA" localSheetId="116">#REF!</definedName>
    <definedName name="FACA" localSheetId="118">#REF!</definedName>
    <definedName name="FACA" localSheetId="120">#REF!</definedName>
    <definedName name="FACA" localSheetId="122">#REF!</definedName>
    <definedName name="FACA" localSheetId="124">#REF!</definedName>
    <definedName name="FACA" localSheetId="126">#REF!</definedName>
    <definedName name="FACA" localSheetId="128">#REF!</definedName>
    <definedName name="FACA" localSheetId="130">#REF!</definedName>
    <definedName name="FACA" localSheetId="132">#REF!</definedName>
    <definedName name="FACA" localSheetId="134">#REF!</definedName>
    <definedName name="FACA" localSheetId="136">#REF!</definedName>
    <definedName name="FACA" localSheetId="138">#REF!</definedName>
    <definedName name="FACA" localSheetId="140">#REF!</definedName>
    <definedName name="FACA" localSheetId="142">#REF!</definedName>
    <definedName name="FACA" localSheetId="144">#REF!</definedName>
    <definedName name="FACA" localSheetId="146">#REF!</definedName>
    <definedName name="FACA" localSheetId="148">#REF!</definedName>
    <definedName name="FACA" localSheetId="150">#REF!</definedName>
    <definedName name="FACA" localSheetId="152">#REF!</definedName>
    <definedName name="FACA" localSheetId="154">#REF!</definedName>
    <definedName name="FACA" localSheetId="156">#REF!</definedName>
    <definedName name="FACA" localSheetId="158">#REF!</definedName>
    <definedName name="FACA" localSheetId="160">#REF!</definedName>
    <definedName name="FACA" localSheetId="162">#REF!</definedName>
    <definedName name="FACA" localSheetId="164">#REF!</definedName>
    <definedName name="FACA" localSheetId="166">#REF!</definedName>
    <definedName name="FACA" localSheetId="168">#REF!</definedName>
    <definedName name="FACA" localSheetId="170">#REF!</definedName>
    <definedName name="FACA" localSheetId="172">#REF!</definedName>
    <definedName name="FACA" localSheetId="174">#REF!</definedName>
    <definedName name="FACA" localSheetId="176">#REF!</definedName>
    <definedName name="FACA" localSheetId="178">#REF!</definedName>
    <definedName name="FACA" localSheetId="180">#REF!</definedName>
    <definedName name="FACA" localSheetId="182">#REF!</definedName>
    <definedName name="FACA" localSheetId="184">#REF!</definedName>
    <definedName name="FACA" localSheetId="186">#REF!</definedName>
    <definedName name="FACA" localSheetId="188">#REF!</definedName>
    <definedName name="FACA" localSheetId="190">#REF!</definedName>
    <definedName name="FACA" localSheetId="192">#REF!</definedName>
    <definedName name="FACA" localSheetId="194">#REF!</definedName>
    <definedName name="FACA" localSheetId="196">#REF!</definedName>
    <definedName name="FACA" localSheetId="198">#REF!</definedName>
    <definedName name="FACA" localSheetId="200">#REF!</definedName>
    <definedName name="FACA" localSheetId="202">#REF!</definedName>
    <definedName name="FACA" localSheetId="204">#REF!</definedName>
    <definedName name="FACA" localSheetId="206">#REF!</definedName>
    <definedName name="FACA" localSheetId="208">#REF!</definedName>
    <definedName name="FACA" localSheetId="210">#REF!</definedName>
    <definedName name="FACA" localSheetId="212">#REF!</definedName>
    <definedName name="FACA" localSheetId="214">#REF!</definedName>
    <definedName name="FACA" localSheetId="216">#REF!</definedName>
    <definedName name="FACA" localSheetId="218">#REF!</definedName>
    <definedName name="FACA" localSheetId="220">#REF!</definedName>
    <definedName name="FACA" localSheetId="224">#REF!</definedName>
    <definedName name="FACA" localSheetId="228">#REF!</definedName>
    <definedName name="FACA" localSheetId="230">#REF!</definedName>
    <definedName name="FACA" localSheetId="232">#REF!</definedName>
    <definedName name="FACA" localSheetId="234">#REF!</definedName>
    <definedName name="FACA" localSheetId="236">#REF!</definedName>
    <definedName name="FACA" localSheetId="240">#REF!</definedName>
    <definedName name="FACA" localSheetId="242">#REF!</definedName>
    <definedName name="FACA" localSheetId="244">#REF!</definedName>
    <definedName name="FACA" localSheetId="246">#REF!</definedName>
    <definedName name="FACA" localSheetId="248">#REF!</definedName>
    <definedName name="FACA" localSheetId="250">#REF!</definedName>
    <definedName name="FACA" localSheetId="252">#REF!</definedName>
    <definedName name="FACA" localSheetId="254">#REF!</definedName>
    <definedName name="FACA" localSheetId="256">#REF!</definedName>
    <definedName name="FACA" localSheetId="258">#REF!</definedName>
    <definedName name="FACA" localSheetId="260">#REF!</definedName>
    <definedName name="FACA" localSheetId="262">#REF!</definedName>
    <definedName name="FACA" localSheetId="264">#REF!</definedName>
    <definedName name="FACA" localSheetId="266">#REF!</definedName>
    <definedName name="FACA" localSheetId="268">#REF!</definedName>
    <definedName name="FACA" localSheetId="270">#REF!</definedName>
    <definedName name="FACA" localSheetId="282">#REF!</definedName>
    <definedName name="FACA" localSheetId="284">#REF!</definedName>
    <definedName name="FACA" localSheetId="286">#REF!</definedName>
    <definedName name="FACA" localSheetId="288">#REF!</definedName>
    <definedName name="FACA" localSheetId="290">#REF!</definedName>
    <definedName name="FACA" localSheetId="296">#REF!</definedName>
    <definedName name="FACA" localSheetId="304">#REF!</definedName>
    <definedName name="FACA" localSheetId="306">#REF!</definedName>
    <definedName name="FACA" localSheetId="308">#REF!</definedName>
    <definedName name="FACA" localSheetId="318">#REF!</definedName>
    <definedName name="FACA" localSheetId="320">#REF!</definedName>
    <definedName name="FACA" localSheetId="322">#REF!</definedName>
    <definedName name="FACA" localSheetId="324">#REF!</definedName>
    <definedName name="FACA" localSheetId="328">#REF!</definedName>
    <definedName name="FACA" localSheetId="5">#REF!</definedName>
    <definedName name="FACA" localSheetId="7">#REF!</definedName>
    <definedName name="FACA" localSheetId="9">#REF!</definedName>
    <definedName name="FACA" localSheetId="11">#REF!</definedName>
    <definedName name="FACA" localSheetId="15">#REF!</definedName>
    <definedName name="FACA" localSheetId="21">#REF!</definedName>
    <definedName name="FACA" localSheetId="23">#REF!</definedName>
    <definedName name="FACA" localSheetId="27">#REF!</definedName>
    <definedName name="FACA" localSheetId="25">#REF!</definedName>
    <definedName name="FACA" localSheetId="29">#REF!</definedName>
    <definedName name="FACA" localSheetId="31">#REF!</definedName>
    <definedName name="FACA" localSheetId="35">#REF!</definedName>
    <definedName name="FACA" localSheetId="37">#REF!</definedName>
    <definedName name="FACA" localSheetId="41">#REF!</definedName>
    <definedName name="FACA" localSheetId="51">#REF!</definedName>
    <definedName name="FACA" localSheetId="97">#REF!</definedName>
    <definedName name="FACA" localSheetId="129">#REF!</definedName>
    <definedName name="FACA" localSheetId="131">#REF!</definedName>
    <definedName name="FACA" localSheetId="133">#REF!</definedName>
    <definedName name="FACA" localSheetId="135">#REF!</definedName>
    <definedName name="FACA" localSheetId="137">#REF!</definedName>
    <definedName name="FACA" localSheetId="139">#REF!</definedName>
    <definedName name="FACA" localSheetId="141">#REF!</definedName>
    <definedName name="FACA" localSheetId="143">#REF!</definedName>
    <definedName name="FACA" localSheetId="145">#REF!</definedName>
    <definedName name="FACA" localSheetId="147">#REF!</definedName>
    <definedName name="FACA" localSheetId="149">#REF!</definedName>
    <definedName name="FACA" localSheetId="151">#REF!</definedName>
    <definedName name="FACA" localSheetId="153">#REF!</definedName>
    <definedName name="FACA" localSheetId="155">#REF!</definedName>
    <definedName name="FACA" localSheetId="157">#REF!</definedName>
    <definedName name="FACA" localSheetId="159">#REF!</definedName>
    <definedName name="FACA" localSheetId="161">#REF!</definedName>
    <definedName name="FACA" localSheetId="163">#REF!</definedName>
    <definedName name="FACA" localSheetId="169">#REF!</definedName>
    <definedName name="FACA" localSheetId="173">#REF!</definedName>
    <definedName name="FACA" localSheetId="175">#REF!</definedName>
    <definedName name="FACA" localSheetId="177">#REF!</definedName>
    <definedName name="FACA" localSheetId="179">#REF!</definedName>
    <definedName name="FACA" localSheetId="3">#REF!</definedName>
    <definedName name="FACA">#REF!</definedName>
    <definedName name="FON" localSheetId="6">#REF!</definedName>
    <definedName name="FON" localSheetId="330">#REF!</definedName>
    <definedName name="FON" localSheetId="8">#REF!</definedName>
    <definedName name="FON" localSheetId="10">#REF!</definedName>
    <definedName name="FON" localSheetId="12">#REF!</definedName>
    <definedName name="FON" localSheetId="14">#REF!</definedName>
    <definedName name="FON" localSheetId="16">#REF!</definedName>
    <definedName name="FON" localSheetId="18">#REF!</definedName>
    <definedName name="FON" localSheetId="20">#REF!</definedName>
    <definedName name="FON" localSheetId="22">#REF!</definedName>
    <definedName name="FON" localSheetId="26">#REF!</definedName>
    <definedName name="FON" localSheetId="24">#REF!</definedName>
    <definedName name="FON" localSheetId="28">#REF!</definedName>
    <definedName name="FON" localSheetId="30">#REF!</definedName>
    <definedName name="FON" localSheetId="32">#REF!</definedName>
    <definedName name="FON" localSheetId="34">#REF!</definedName>
    <definedName name="FON" localSheetId="36">#REF!</definedName>
    <definedName name="FON" localSheetId="38">#REF!</definedName>
    <definedName name="FON" localSheetId="40">#REF!</definedName>
    <definedName name="FON" localSheetId="42">#REF!</definedName>
    <definedName name="FON" localSheetId="44">#REF!</definedName>
    <definedName name="FON" localSheetId="46">#REF!</definedName>
    <definedName name="FON" localSheetId="48">#REF!</definedName>
    <definedName name="FON" localSheetId="50">#REF!</definedName>
    <definedName name="FON" localSheetId="52">#REF!</definedName>
    <definedName name="FON" localSheetId="54">#REF!</definedName>
    <definedName name="FON" localSheetId="56">#REF!</definedName>
    <definedName name="FON" localSheetId="58">#REF!</definedName>
    <definedName name="FON" localSheetId="60">#REF!</definedName>
    <definedName name="FON" localSheetId="62">#REF!</definedName>
    <definedName name="FON" localSheetId="64">#REF!</definedName>
    <definedName name="FON" localSheetId="66">#REF!</definedName>
    <definedName name="FON" localSheetId="68">#REF!</definedName>
    <definedName name="FON" localSheetId="70">#REF!</definedName>
    <definedName name="FON" localSheetId="72">#REF!</definedName>
    <definedName name="FON" localSheetId="74">#REF!</definedName>
    <definedName name="FON" localSheetId="76">#REF!</definedName>
    <definedName name="FON" localSheetId="78">#REF!</definedName>
    <definedName name="FON" localSheetId="80">#REF!</definedName>
    <definedName name="FON" localSheetId="82">#REF!</definedName>
    <definedName name="FON" localSheetId="84">#REF!</definedName>
    <definedName name="FON" localSheetId="86">#REF!</definedName>
    <definedName name="FON" localSheetId="88">#REF!</definedName>
    <definedName name="FON" localSheetId="90">#REF!</definedName>
    <definedName name="FON" localSheetId="92">#REF!</definedName>
    <definedName name="FON" localSheetId="94">#REF!</definedName>
    <definedName name="FON" localSheetId="96">#REF!</definedName>
    <definedName name="FON" localSheetId="98">#REF!</definedName>
    <definedName name="FON" localSheetId="100">#REF!</definedName>
    <definedName name="FON" localSheetId="102">#REF!</definedName>
    <definedName name="FON" localSheetId="104">#REF!</definedName>
    <definedName name="FON" localSheetId="106">#REF!</definedName>
    <definedName name="FON" localSheetId="108">#REF!</definedName>
    <definedName name="FON" localSheetId="110">#REF!</definedName>
    <definedName name="FON" localSheetId="112">#REF!</definedName>
    <definedName name="FON" localSheetId="114">#REF!</definedName>
    <definedName name="FON" localSheetId="116">#REF!</definedName>
    <definedName name="FON" localSheetId="118">#REF!</definedName>
    <definedName name="FON" localSheetId="120">#REF!</definedName>
    <definedName name="FON" localSheetId="122">#REF!</definedName>
    <definedName name="FON" localSheetId="124">#REF!</definedName>
    <definedName name="FON" localSheetId="126">#REF!</definedName>
    <definedName name="FON" localSheetId="128">#REF!</definedName>
    <definedName name="FON" localSheetId="130">#REF!</definedName>
    <definedName name="FON" localSheetId="132">#REF!</definedName>
    <definedName name="FON" localSheetId="134">#REF!</definedName>
    <definedName name="FON" localSheetId="136">#REF!</definedName>
    <definedName name="FON" localSheetId="138">#REF!</definedName>
    <definedName name="FON" localSheetId="140">#REF!</definedName>
    <definedName name="FON" localSheetId="142">#REF!</definedName>
    <definedName name="FON" localSheetId="144">#REF!</definedName>
    <definedName name="FON" localSheetId="146">#REF!</definedName>
    <definedName name="FON" localSheetId="148">#REF!</definedName>
    <definedName name="FON" localSheetId="150">#REF!</definedName>
    <definedName name="FON" localSheetId="152">#REF!</definedName>
    <definedName name="FON" localSheetId="154">#REF!</definedName>
    <definedName name="FON" localSheetId="156">#REF!</definedName>
    <definedName name="FON" localSheetId="158">#REF!</definedName>
    <definedName name="FON" localSheetId="160">#REF!</definedName>
    <definedName name="FON" localSheetId="162">#REF!</definedName>
    <definedName name="FON" localSheetId="164">#REF!</definedName>
    <definedName name="FON" localSheetId="166">#REF!</definedName>
    <definedName name="FON" localSheetId="168">#REF!</definedName>
    <definedName name="FON" localSheetId="170">#REF!</definedName>
    <definedName name="FON" localSheetId="172">#REF!</definedName>
    <definedName name="FON" localSheetId="174">#REF!</definedName>
    <definedName name="FON" localSheetId="176">#REF!</definedName>
    <definedName name="FON" localSheetId="178">#REF!</definedName>
    <definedName name="FON" localSheetId="180">#REF!</definedName>
    <definedName name="FON" localSheetId="182">#REF!</definedName>
    <definedName name="FON" localSheetId="184">#REF!</definedName>
    <definedName name="FON" localSheetId="186">#REF!</definedName>
    <definedName name="FON" localSheetId="188">#REF!</definedName>
    <definedName name="FON" localSheetId="190">#REF!</definedName>
    <definedName name="FON" localSheetId="192">#REF!</definedName>
    <definedName name="FON" localSheetId="194">#REF!</definedName>
    <definedName name="FON" localSheetId="196">#REF!</definedName>
    <definedName name="FON" localSheetId="198">#REF!</definedName>
    <definedName name="FON" localSheetId="200">#REF!</definedName>
    <definedName name="FON" localSheetId="202">#REF!</definedName>
    <definedName name="FON" localSheetId="204">#REF!</definedName>
    <definedName name="FON" localSheetId="206">#REF!</definedName>
    <definedName name="FON" localSheetId="208">#REF!</definedName>
    <definedName name="FON" localSheetId="210">#REF!</definedName>
    <definedName name="FON" localSheetId="212">#REF!</definedName>
    <definedName name="FON" localSheetId="214">#REF!</definedName>
    <definedName name="FON" localSheetId="216">#REF!</definedName>
    <definedName name="FON" localSheetId="218">#REF!</definedName>
    <definedName name="FON" localSheetId="220">#REF!</definedName>
    <definedName name="FON" localSheetId="224">#REF!</definedName>
    <definedName name="FON" localSheetId="228">#REF!</definedName>
    <definedName name="FON" localSheetId="230">#REF!</definedName>
    <definedName name="FON" localSheetId="232">#REF!</definedName>
    <definedName name="FON" localSheetId="234">#REF!</definedName>
    <definedName name="FON" localSheetId="236">#REF!</definedName>
    <definedName name="FON" localSheetId="240">#REF!</definedName>
    <definedName name="FON" localSheetId="242">#REF!</definedName>
    <definedName name="FON" localSheetId="244">#REF!</definedName>
    <definedName name="FON" localSheetId="246">#REF!</definedName>
    <definedName name="FON" localSheetId="248">#REF!</definedName>
    <definedName name="FON" localSheetId="250">#REF!</definedName>
    <definedName name="FON" localSheetId="252">#REF!</definedName>
    <definedName name="FON" localSheetId="254">#REF!</definedName>
    <definedName name="FON" localSheetId="256">#REF!</definedName>
    <definedName name="FON" localSheetId="258">#REF!</definedName>
    <definedName name="FON" localSheetId="260">#REF!</definedName>
    <definedName name="FON" localSheetId="262">#REF!</definedName>
    <definedName name="FON" localSheetId="264">#REF!</definedName>
    <definedName name="FON" localSheetId="266">#REF!</definedName>
    <definedName name="FON" localSheetId="268">#REF!</definedName>
    <definedName name="FON" localSheetId="270">#REF!</definedName>
    <definedName name="FON" localSheetId="282">#REF!</definedName>
    <definedName name="FON" localSheetId="284">#REF!</definedName>
    <definedName name="FON" localSheetId="286">#REF!</definedName>
    <definedName name="FON" localSheetId="288">#REF!</definedName>
    <definedName name="FON" localSheetId="290">#REF!</definedName>
    <definedName name="FON" localSheetId="296">#REF!</definedName>
    <definedName name="FON" localSheetId="304">#REF!</definedName>
    <definedName name="FON" localSheetId="306">#REF!</definedName>
    <definedName name="FON" localSheetId="308">#REF!</definedName>
    <definedName name="FON" localSheetId="318">#REF!</definedName>
    <definedName name="FON" localSheetId="320">#REF!</definedName>
    <definedName name="FON" localSheetId="322">#REF!</definedName>
    <definedName name="FON" localSheetId="324">#REF!</definedName>
    <definedName name="FON" localSheetId="328">#REF!</definedName>
    <definedName name="FON" localSheetId="5">#REF!</definedName>
    <definedName name="FON" localSheetId="7">#REF!</definedName>
    <definedName name="FON" localSheetId="9">#REF!</definedName>
    <definedName name="FON" localSheetId="11">#REF!</definedName>
    <definedName name="FON" localSheetId="15">#REF!</definedName>
    <definedName name="FON" localSheetId="21">#REF!</definedName>
    <definedName name="FON" localSheetId="23">#REF!</definedName>
    <definedName name="FON" localSheetId="27">#REF!</definedName>
    <definedName name="FON" localSheetId="25">#REF!</definedName>
    <definedName name="FON" localSheetId="29">#REF!</definedName>
    <definedName name="FON" localSheetId="31">#REF!</definedName>
    <definedName name="FON" localSheetId="35">#REF!</definedName>
    <definedName name="FON" localSheetId="37">#REF!</definedName>
    <definedName name="FON" localSheetId="41">#REF!</definedName>
    <definedName name="FON" localSheetId="51">#REF!</definedName>
    <definedName name="FON" localSheetId="97">#REF!</definedName>
    <definedName name="FON" localSheetId="129">#REF!</definedName>
    <definedName name="FON" localSheetId="131">#REF!</definedName>
    <definedName name="FON" localSheetId="133">#REF!</definedName>
    <definedName name="FON" localSheetId="135">#REF!</definedName>
    <definedName name="FON" localSheetId="137">#REF!</definedName>
    <definedName name="FON" localSheetId="139">#REF!</definedName>
    <definedName name="FON" localSheetId="141">#REF!</definedName>
    <definedName name="FON" localSheetId="143">#REF!</definedName>
    <definedName name="FON" localSheetId="145">#REF!</definedName>
    <definedName name="FON" localSheetId="147">#REF!</definedName>
    <definedName name="FON" localSheetId="149">#REF!</definedName>
    <definedName name="FON" localSheetId="151">#REF!</definedName>
    <definedName name="FON" localSheetId="153">#REF!</definedName>
    <definedName name="FON" localSheetId="155">#REF!</definedName>
    <definedName name="FON" localSheetId="157">#REF!</definedName>
    <definedName name="FON" localSheetId="159">#REF!</definedName>
    <definedName name="FON" localSheetId="161">#REF!</definedName>
    <definedName name="FON" localSheetId="163">#REF!</definedName>
    <definedName name="FON" localSheetId="169">#REF!</definedName>
    <definedName name="FON" localSheetId="173">#REF!</definedName>
    <definedName name="FON" localSheetId="175">#REF!</definedName>
    <definedName name="FON" localSheetId="177">#REF!</definedName>
    <definedName name="FON" localSheetId="179">#REF!</definedName>
    <definedName name="FON" localSheetId="3">#REF!</definedName>
    <definedName name="FON">#REF!</definedName>
    <definedName name="gestores_1110" localSheetId="27">#REF!</definedName>
    <definedName name="gestores_1110">gestores!$A$1:$B$270</definedName>
    <definedName name="gestores_xxx" localSheetId="68">#REF!</definedName>
    <definedName name="gestores_xxx" localSheetId="27">#REF!</definedName>
    <definedName name="gestores_xxx">gestores!$A$1:$B$200</definedName>
    <definedName name="LAGUACA" localSheetId="6">#REF!</definedName>
    <definedName name="LAGUACA" localSheetId="330">#REF!</definedName>
    <definedName name="LAGUACA" localSheetId="8">#REF!</definedName>
    <definedName name="LAGUACA" localSheetId="10">#REF!</definedName>
    <definedName name="LAGUACA" localSheetId="12">#REF!</definedName>
    <definedName name="LAGUACA" localSheetId="14">#REF!</definedName>
    <definedName name="LAGUACA" localSheetId="16">#REF!</definedName>
    <definedName name="LAGUACA" localSheetId="18">#REF!</definedName>
    <definedName name="LAGUACA" localSheetId="20">#REF!</definedName>
    <definedName name="LAGUACA" localSheetId="22">#REF!</definedName>
    <definedName name="LAGUACA" localSheetId="26">#REF!</definedName>
    <definedName name="LAGUACA" localSheetId="24">#REF!</definedName>
    <definedName name="LAGUACA" localSheetId="28">#REF!</definedName>
    <definedName name="LAGUACA" localSheetId="30">#REF!</definedName>
    <definedName name="LAGUACA" localSheetId="32">#REF!</definedName>
    <definedName name="LAGUACA" localSheetId="34">#REF!</definedName>
    <definedName name="LAGUACA" localSheetId="36">#REF!</definedName>
    <definedName name="LAGUACA" localSheetId="38">#REF!</definedName>
    <definedName name="LAGUACA" localSheetId="40">#REF!</definedName>
    <definedName name="LAGUACA" localSheetId="42">#REF!</definedName>
    <definedName name="LAGUACA" localSheetId="44">#REF!</definedName>
    <definedName name="LAGUACA" localSheetId="46">#REF!</definedName>
    <definedName name="LAGUACA" localSheetId="48">#REF!</definedName>
    <definedName name="LAGUACA" localSheetId="50">#REF!</definedName>
    <definedName name="LAGUACA" localSheetId="52">#REF!</definedName>
    <definedName name="LAGUACA" localSheetId="54">#REF!</definedName>
    <definedName name="LAGUACA" localSheetId="56">#REF!</definedName>
    <definedName name="LAGUACA" localSheetId="58">#REF!</definedName>
    <definedName name="LAGUACA" localSheetId="60">#REF!</definedName>
    <definedName name="LAGUACA" localSheetId="62">#REF!</definedName>
    <definedName name="LAGUACA" localSheetId="64">#REF!</definedName>
    <definedName name="LAGUACA" localSheetId="66">#REF!</definedName>
    <definedName name="LAGUACA" localSheetId="68">#REF!</definedName>
    <definedName name="LAGUACA" localSheetId="70">#REF!</definedName>
    <definedName name="LAGUACA" localSheetId="72">#REF!</definedName>
    <definedName name="LAGUACA" localSheetId="74">#REF!</definedName>
    <definedName name="LAGUACA" localSheetId="76">#REF!</definedName>
    <definedName name="LAGUACA" localSheetId="78">#REF!</definedName>
    <definedName name="LAGUACA" localSheetId="80">#REF!</definedName>
    <definedName name="LAGUACA" localSheetId="82">#REF!</definedName>
    <definedName name="LAGUACA" localSheetId="84">#REF!</definedName>
    <definedName name="LAGUACA" localSheetId="86">#REF!</definedName>
    <definedName name="LAGUACA" localSheetId="88">#REF!</definedName>
    <definedName name="LAGUACA" localSheetId="90">#REF!</definedName>
    <definedName name="LAGUACA" localSheetId="92">#REF!</definedName>
    <definedName name="LAGUACA" localSheetId="94">#REF!</definedName>
    <definedName name="LAGUACA" localSheetId="96">#REF!</definedName>
    <definedName name="LAGUACA" localSheetId="98">#REF!</definedName>
    <definedName name="LAGUACA" localSheetId="100">#REF!</definedName>
    <definedName name="LAGUACA" localSheetId="102">#REF!</definedName>
    <definedName name="LAGUACA" localSheetId="104">#REF!</definedName>
    <definedName name="LAGUACA" localSheetId="106">#REF!</definedName>
    <definedName name="LAGUACA" localSheetId="108">#REF!</definedName>
    <definedName name="LAGUACA" localSheetId="110">#REF!</definedName>
    <definedName name="LAGUACA" localSheetId="112">#REF!</definedName>
    <definedName name="LAGUACA" localSheetId="114">#REF!</definedName>
    <definedName name="LAGUACA" localSheetId="116">#REF!</definedName>
    <definedName name="LAGUACA" localSheetId="118">#REF!</definedName>
    <definedName name="LAGUACA" localSheetId="120">#REF!</definedName>
    <definedName name="LAGUACA" localSheetId="122">#REF!</definedName>
    <definedName name="LAGUACA" localSheetId="124">#REF!</definedName>
    <definedName name="LAGUACA" localSheetId="126">#REF!</definedName>
    <definedName name="LAGUACA" localSheetId="128">#REF!</definedName>
    <definedName name="LAGUACA" localSheetId="130">#REF!</definedName>
    <definedName name="LAGUACA" localSheetId="132">#REF!</definedName>
    <definedName name="LAGUACA" localSheetId="134">#REF!</definedName>
    <definedName name="LAGUACA" localSheetId="136">#REF!</definedName>
    <definedName name="LAGUACA" localSheetId="138">#REF!</definedName>
    <definedName name="LAGUACA" localSheetId="140">#REF!</definedName>
    <definedName name="LAGUACA" localSheetId="142">#REF!</definedName>
    <definedName name="LAGUACA" localSheetId="144">#REF!</definedName>
    <definedName name="LAGUACA" localSheetId="146">#REF!</definedName>
    <definedName name="LAGUACA" localSheetId="148">#REF!</definedName>
    <definedName name="LAGUACA" localSheetId="150">#REF!</definedName>
    <definedName name="LAGUACA" localSheetId="152">#REF!</definedName>
    <definedName name="LAGUACA" localSheetId="154">#REF!</definedName>
    <definedName name="LAGUACA" localSheetId="156">#REF!</definedName>
    <definedName name="LAGUACA" localSheetId="158">#REF!</definedName>
    <definedName name="LAGUACA" localSheetId="160">#REF!</definedName>
    <definedName name="LAGUACA" localSheetId="162">#REF!</definedName>
    <definedName name="LAGUACA" localSheetId="164">#REF!</definedName>
    <definedName name="LAGUACA" localSheetId="166">#REF!</definedName>
    <definedName name="LAGUACA" localSheetId="168">#REF!</definedName>
    <definedName name="LAGUACA" localSheetId="170">#REF!</definedName>
    <definedName name="LAGUACA" localSheetId="172">#REF!</definedName>
    <definedName name="LAGUACA" localSheetId="174">#REF!</definedName>
    <definedName name="LAGUACA" localSheetId="176">#REF!</definedName>
    <definedName name="LAGUACA" localSheetId="178">#REF!</definedName>
    <definedName name="LAGUACA" localSheetId="180">#REF!</definedName>
    <definedName name="LAGUACA" localSheetId="182">#REF!</definedName>
    <definedName name="LAGUACA" localSheetId="184">#REF!</definedName>
    <definedName name="LAGUACA" localSheetId="186">#REF!</definedName>
    <definedName name="LAGUACA" localSheetId="188">#REF!</definedName>
    <definedName name="LAGUACA" localSheetId="190">#REF!</definedName>
    <definedName name="LAGUACA" localSheetId="192">#REF!</definedName>
    <definedName name="LAGUACA" localSheetId="194">#REF!</definedName>
    <definedName name="LAGUACA" localSheetId="196">#REF!</definedName>
    <definedName name="LAGUACA" localSheetId="198">#REF!</definedName>
    <definedName name="LAGUACA" localSheetId="200">#REF!</definedName>
    <definedName name="LAGUACA" localSheetId="202">#REF!</definedName>
    <definedName name="LAGUACA" localSheetId="204">#REF!</definedName>
    <definedName name="LAGUACA" localSheetId="206">#REF!</definedName>
    <definedName name="LAGUACA" localSheetId="208">#REF!</definedName>
    <definedName name="LAGUACA" localSheetId="210">#REF!</definedName>
    <definedName name="LAGUACA" localSheetId="212">#REF!</definedName>
    <definedName name="LAGUACA" localSheetId="214">#REF!</definedName>
    <definedName name="LAGUACA" localSheetId="216">#REF!</definedName>
    <definedName name="LAGUACA" localSheetId="218">#REF!</definedName>
    <definedName name="LAGUACA" localSheetId="220">#REF!</definedName>
    <definedName name="LAGUACA" localSheetId="224">#REF!</definedName>
    <definedName name="LAGUACA" localSheetId="228">#REF!</definedName>
    <definedName name="LAGUACA" localSheetId="230">#REF!</definedName>
    <definedName name="LAGUACA" localSheetId="232">#REF!</definedName>
    <definedName name="LAGUACA" localSheetId="234">#REF!</definedName>
    <definedName name="LAGUACA" localSheetId="236">#REF!</definedName>
    <definedName name="LAGUACA" localSheetId="240">#REF!</definedName>
    <definedName name="LAGUACA" localSheetId="242">#REF!</definedName>
    <definedName name="LAGUACA" localSheetId="244">#REF!</definedName>
    <definedName name="LAGUACA" localSheetId="246">#REF!</definedName>
    <definedName name="LAGUACA" localSheetId="248">#REF!</definedName>
    <definedName name="LAGUACA" localSheetId="250">#REF!</definedName>
    <definedName name="LAGUACA" localSheetId="252">#REF!</definedName>
    <definedName name="LAGUACA" localSheetId="254">#REF!</definedName>
    <definedName name="LAGUACA" localSheetId="256">#REF!</definedName>
    <definedName name="LAGUACA" localSheetId="258">#REF!</definedName>
    <definedName name="LAGUACA" localSheetId="260">#REF!</definedName>
    <definedName name="LAGUACA" localSheetId="262">#REF!</definedName>
    <definedName name="LAGUACA" localSheetId="264">#REF!</definedName>
    <definedName name="LAGUACA" localSheetId="266">#REF!</definedName>
    <definedName name="LAGUACA" localSheetId="268">#REF!</definedName>
    <definedName name="LAGUACA" localSheetId="270">#REF!</definedName>
    <definedName name="LAGUACA" localSheetId="282">#REF!</definedName>
    <definedName name="LAGUACA" localSheetId="284">#REF!</definedName>
    <definedName name="LAGUACA" localSheetId="286">#REF!</definedName>
    <definedName name="LAGUACA" localSheetId="288">#REF!</definedName>
    <definedName name="LAGUACA" localSheetId="290">#REF!</definedName>
    <definedName name="LAGUACA" localSheetId="296">#REF!</definedName>
    <definedName name="LAGUACA" localSheetId="304">#REF!</definedName>
    <definedName name="LAGUACA" localSheetId="306">#REF!</definedName>
    <definedName name="LAGUACA" localSheetId="308">#REF!</definedName>
    <definedName name="LAGUACA" localSheetId="318">#REF!</definedName>
    <definedName name="LAGUACA" localSheetId="320">#REF!</definedName>
    <definedName name="LAGUACA" localSheetId="322">#REF!</definedName>
    <definedName name="LAGUACA" localSheetId="324">#REF!</definedName>
    <definedName name="LAGUACA" localSheetId="328">#REF!</definedName>
    <definedName name="LAGUACA" localSheetId="5">#REF!</definedName>
    <definedName name="LAGUACA" localSheetId="7">#REF!</definedName>
    <definedName name="LAGUACA" localSheetId="9">#REF!</definedName>
    <definedName name="LAGUACA" localSheetId="11">#REF!</definedName>
    <definedName name="LAGUACA" localSheetId="15">#REF!</definedName>
    <definedName name="LAGUACA" localSheetId="21">#REF!</definedName>
    <definedName name="LAGUACA" localSheetId="23">#REF!</definedName>
    <definedName name="LAGUACA" localSheetId="27">#REF!</definedName>
    <definedName name="LAGUACA" localSheetId="25">#REF!</definedName>
    <definedName name="LAGUACA" localSheetId="29">#REF!</definedName>
    <definedName name="LAGUACA" localSheetId="31">#REF!</definedName>
    <definedName name="LAGUACA" localSheetId="35">#REF!</definedName>
    <definedName name="LAGUACA" localSheetId="37">#REF!</definedName>
    <definedName name="LAGUACA" localSheetId="41">#REF!</definedName>
    <definedName name="LAGUACA" localSheetId="51">#REF!</definedName>
    <definedName name="LAGUACA" localSheetId="97">#REF!</definedName>
    <definedName name="LAGUACA" localSheetId="129">#REF!</definedName>
    <definedName name="LAGUACA" localSheetId="131">#REF!</definedName>
    <definedName name="LAGUACA" localSheetId="133">#REF!</definedName>
    <definedName name="LAGUACA" localSheetId="135">#REF!</definedName>
    <definedName name="LAGUACA" localSheetId="137">#REF!</definedName>
    <definedName name="LAGUACA" localSheetId="139">#REF!</definedName>
    <definedName name="LAGUACA" localSheetId="141">#REF!</definedName>
    <definedName name="LAGUACA" localSheetId="143">#REF!</definedName>
    <definedName name="LAGUACA" localSheetId="145">#REF!</definedName>
    <definedName name="LAGUACA" localSheetId="147">#REF!</definedName>
    <definedName name="LAGUACA" localSheetId="149">#REF!</definedName>
    <definedName name="LAGUACA" localSheetId="151">#REF!</definedName>
    <definedName name="LAGUACA" localSheetId="153">#REF!</definedName>
    <definedName name="LAGUACA" localSheetId="155">#REF!</definedName>
    <definedName name="LAGUACA" localSheetId="157">#REF!</definedName>
    <definedName name="LAGUACA" localSheetId="159">#REF!</definedName>
    <definedName name="LAGUACA" localSheetId="161">#REF!</definedName>
    <definedName name="LAGUACA" localSheetId="163">#REF!</definedName>
    <definedName name="LAGUACA" localSheetId="169">#REF!</definedName>
    <definedName name="LAGUACA" localSheetId="173">#REF!</definedName>
    <definedName name="LAGUACA" localSheetId="175">#REF!</definedName>
    <definedName name="LAGUACA" localSheetId="177">#REF!</definedName>
    <definedName name="LAGUACA" localSheetId="179">#REF!</definedName>
    <definedName name="LAGUACA" localSheetId="3">#REF!</definedName>
    <definedName name="LAGUACA">#REF!</definedName>
    <definedName name="LAGUNETA" localSheetId="6">#REF!</definedName>
    <definedName name="LAGUNETA" localSheetId="330">#REF!</definedName>
    <definedName name="LAGUNETA" localSheetId="8">#REF!</definedName>
    <definedName name="LAGUNETA" localSheetId="10">#REF!</definedName>
    <definedName name="LAGUNETA" localSheetId="12">#REF!</definedName>
    <definedName name="LAGUNETA" localSheetId="14">#REF!</definedName>
    <definedName name="LAGUNETA" localSheetId="16">#REF!</definedName>
    <definedName name="LAGUNETA" localSheetId="18">#REF!</definedName>
    <definedName name="LAGUNETA" localSheetId="20">#REF!</definedName>
    <definedName name="LAGUNETA" localSheetId="22">#REF!</definedName>
    <definedName name="LAGUNETA" localSheetId="26">#REF!</definedName>
    <definedName name="LAGUNETA" localSheetId="24">#REF!</definedName>
    <definedName name="LAGUNETA" localSheetId="28">#REF!</definedName>
    <definedName name="LAGUNETA" localSheetId="30">#REF!</definedName>
    <definedName name="LAGUNETA" localSheetId="32">#REF!</definedName>
    <definedName name="LAGUNETA" localSheetId="34">#REF!</definedName>
    <definedName name="LAGUNETA" localSheetId="36">#REF!</definedName>
    <definedName name="LAGUNETA" localSheetId="38">#REF!</definedName>
    <definedName name="LAGUNETA" localSheetId="40">#REF!</definedName>
    <definedName name="LAGUNETA" localSheetId="42">#REF!</definedName>
    <definedName name="LAGUNETA" localSheetId="44">#REF!</definedName>
    <definedName name="LAGUNETA" localSheetId="46">#REF!</definedName>
    <definedName name="LAGUNETA" localSheetId="48">#REF!</definedName>
    <definedName name="LAGUNETA" localSheetId="50">#REF!</definedName>
    <definedName name="LAGUNETA" localSheetId="52">#REF!</definedName>
    <definedName name="LAGUNETA" localSheetId="54">#REF!</definedName>
    <definedName name="LAGUNETA" localSheetId="56">#REF!</definedName>
    <definedName name="LAGUNETA" localSheetId="58">#REF!</definedName>
    <definedName name="LAGUNETA" localSheetId="60">#REF!</definedName>
    <definedName name="LAGUNETA" localSheetId="62">#REF!</definedName>
    <definedName name="LAGUNETA" localSheetId="64">#REF!</definedName>
    <definedName name="LAGUNETA" localSheetId="66">#REF!</definedName>
    <definedName name="LAGUNETA" localSheetId="68">#REF!</definedName>
    <definedName name="LAGUNETA" localSheetId="70">#REF!</definedName>
    <definedName name="LAGUNETA" localSheetId="72">#REF!</definedName>
    <definedName name="LAGUNETA" localSheetId="74">#REF!</definedName>
    <definedName name="LAGUNETA" localSheetId="76">#REF!</definedName>
    <definedName name="LAGUNETA" localSheetId="78">#REF!</definedName>
    <definedName name="LAGUNETA" localSheetId="80">#REF!</definedName>
    <definedName name="LAGUNETA" localSheetId="82">#REF!</definedName>
    <definedName name="LAGUNETA" localSheetId="84">#REF!</definedName>
    <definedName name="LAGUNETA" localSheetId="86">#REF!</definedName>
    <definedName name="LAGUNETA" localSheetId="88">#REF!</definedName>
    <definedName name="LAGUNETA" localSheetId="90">#REF!</definedName>
    <definedName name="LAGUNETA" localSheetId="92">#REF!</definedName>
    <definedName name="LAGUNETA" localSheetId="94">#REF!</definedName>
    <definedName name="LAGUNETA" localSheetId="96">#REF!</definedName>
    <definedName name="LAGUNETA" localSheetId="98">#REF!</definedName>
    <definedName name="LAGUNETA" localSheetId="100">#REF!</definedName>
    <definedName name="LAGUNETA" localSheetId="102">#REF!</definedName>
    <definedName name="LAGUNETA" localSheetId="104">#REF!</definedName>
    <definedName name="LAGUNETA" localSheetId="106">#REF!</definedName>
    <definedName name="LAGUNETA" localSheetId="108">#REF!</definedName>
    <definedName name="LAGUNETA" localSheetId="110">#REF!</definedName>
    <definedName name="LAGUNETA" localSheetId="112">#REF!</definedName>
    <definedName name="LAGUNETA" localSheetId="114">#REF!</definedName>
    <definedName name="LAGUNETA" localSheetId="116">#REF!</definedName>
    <definedName name="LAGUNETA" localSheetId="118">#REF!</definedName>
    <definedName name="LAGUNETA" localSheetId="120">#REF!</definedName>
    <definedName name="LAGUNETA" localSheetId="122">#REF!</definedName>
    <definedName name="LAGUNETA" localSheetId="124">#REF!</definedName>
    <definedName name="LAGUNETA" localSheetId="126">#REF!</definedName>
    <definedName name="LAGUNETA" localSheetId="128">#REF!</definedName>
    <definedName name="LAGUNETA" localSheetId="130">#REF!</definedName>
    <definedName name="LAGUNETA" localSheetId="132">#REF!</definedName>
    <definedName name="LAGUNETA" localSheetId="134">#REF!</definedName>
    <definedName name="LAGUNETA" localSheetId="136">#REF!</definedName>
    <definedName name="LAGUNETA" localSheetId="138">#REF!</definedName>
    <definedName name="LAGUNETA" localSheetId="140">#REF!</definedName>
    <definedName name="LAGUNETA" localSheetId="142">#REF!</definedName>
    <definedName name="LAGUNETA" localSheetId="144">#REF!</definedName>
    <definedName name="LAGUNETA" localSheetId="146">#REF!</definedName>
    <definedName name="LAGUNETA" localSheetId="148">#REF!</definedName>
    <definedName name="LAGUNETA" localSheetId="150">#REF!</definedName>
    <definedName name="LAGUNETA" localSheetId="152">#REF!</definedName>
    <definedName name="LAGUNETA" localSheetId="154">#REF!</definedName>
    <definedName name="LAGUNETA" localSheetId="156">#REF!</definedName>
    <definedName name="LAGUNETA" localSheetId="158">#REF!</definedName>
    <definedName name="LAGUNETA" localSheetId="160">#REF!</definedName>
    <definedName name="LAGUNETA" localSheetId="162">#REF!</definedName>
    <definedName name="LAGUNETA" localSheetId="164">#REF!</definedName>
    <definedName name="LAGUNETA" localSheetId="166">#REF!</definedName>
    <definedName name="LAGUNETA" localSheetId="168">#REF!</definedName>
    <definedName name="LAGUNETA" localSheetId="170">#REF!</definedName>
    <definedName name="LAGUNETA" localSheetId="172">#REF!</definedName>
    <definedName name="LAGUNETA" localSheetId="174">#REF!</definedName>
    <definedName name="LAGUNETA" localSheetId="176">#REF!</definedName>
    <definedName name="LAGUNETA" localSheetId="178">#REF!</definedName>
    <definedName name="LAGUNETA" localSheetId="180">#REF!</definedName>
    <definedName name="LAGUNETA" localSheetId="182">#REF!</definedName>
    <definedName name="LAGUNETA" localSheetId="184">#REF!</definedName>
    <definedName name="LAGUNETA" localSheetId="186">#REF!</definedName>
    <definedName name="LAGUNETA" localSheetId="188">#REF!</definedName>
    <definedName name="LAGUNETA" localSheetId="190">#REF!</definedName>
    <definedName name="LAGUNETA" localSheetId="192">#REF!</definedName>
    <definedName name="LAGUNETA" localSheetId="194">#REF!</definedName>
    <definedName name="LAGUNETA" localSheetId="196">#REF!</definedName>
    <definedName name="LAGUNETA" localSheetId="198">#REF!</definedName>
    <definedName name="LAGUNETA" localSheetId="200">#REF!</definedName>
    <definedName name="LAGUNETA" localSheetId="202">#REF!</definedName>
    <definedName name="LAGUNETA" localSheetId="204">#REF!</definedName>
    <definedName name="LAGUNETA" localSheetId="206">#REF!</definedName>
    <definedName name="LAGUNETA" localSheetId="208">#REF!</definedName>
    <definedName name="LAGUNETA" localSheetId="210">#REF!</definedName>
    <definedName name="LAGUNETA" localSheetId="212">#REF!</definedName>
    <definedName name="LAGUNETA" localSheetId="214">#REF!</definedName>
    <definedName name="LAGUNETA" localSheetId="216">#REF!</definedName>
    <definedName name="LAGUNETA" localSheetId="218">#REF!</definedName>
    <definedName name="LAGUNETA" localSheetId="220">#REF!</definedName>
    <definedName name="LAGUNETA" localSheetId="224">#REF!</definedName>
    <definedName name="LAGUNETA" localSheetId="228">#REF!</definedName>
    <definedName name="LAGUNETA" localSheetId="230">#REF!</definedName>
    <definedName name="LAGUNETA" localSheetId="232">#REF!</definedName>
    <definedName name="LAGUNETA" localSheetId="234">#REF!</definedName>
    <definedName name="LAGUNETA" localSheetId="236">#REF!</definedName>
    <definedName name="LAGUNETA" localSheetId="240">#REF!</definedName>
    <definedName name="LAGUNETA" localSheetId="242">#REF!</definedName>
    <definedName name="LAGUNETA" localSheetId="244">#REF!</definedName>
    <definedName name="LAGUNETA" localSheetId="246">#REF!</definedName>
    <definedName name="LAGUNETA" localSheetId="248">#REF!</definedName>
    <definedName name="LAGUNETA" localSheetId="250">#REF!</definedName>
    <definedName name="LAGUNETA" localSheetId="252">#REF!</definedName>
    <definedName name="LAGUNETA" localSheetId="254">#REF!</definedName>
    <definedName name="LAGUNETA" localSheetId="256">#REF!</definedName>
    <definedName name="LAGUNETA" localSheetId="258">#REF!</definedName>
    <definedName name="LAGUNETA" localSheetId="260">#REF!</definedName>
    <definedName name="LAGUNETA" localSheetId="262">#REF!</definedName>
    <definedName name="LAGUNETA" localSheetId="264">#REF!</definedName>
    <definedName name="LAGUNETA" localSheetId="266">#REF!</definedName>
    <definedName name="LAGUNETA" localSheetId="268">#REF!</definedName>
    <definedName name="LAGUNETA" localSheetId="270">#REF!</definedName>
    <definedName name="LAGUNETA" localSheetId="282">#REF!</definedName>
    <definedName name="LAGUNETA" localSheetId="284">#REF!</definedName>
    <definedName name="LAGUNETA" localSheetId="286">#REF!</definedName>
    <definedName name="LAGUNETA" localSheetId="288">#REF!</definedName>
    <definedName name="LAGUNETA" localSheetId="290">#REF!</definedName>
    <definedName name="LAGUNETA" localSheetId="296">#REF!</definedName>
    <definedName name="LAGUNETA" localSheetId="304">#REF!</definedName>
    <definedName name="LAGUNETA" localSheetId="306">#REF!</definedName>
    <definedName name="LAGUNETA" localSheetId="308">#REF!</definedName>
    <definedName name="LAGUNETA" localSheetId="318">#REF!</definedName>
    <definedName name="LAGUNETA" localSheetId="320">#REF!</definedName>
    <definedName name="LAGUNETA" localSheetId="322">#REF!</definedName>
    <definedName name="LAGUNETA" localSheetId="324">#REF!</definedName>
    <definedName name="LAGUNETA" localSheetId="328">#REF!</definedName>
    <definedName name="LAGUNETA" localSheetId="5">#REF!</definedName>
    <definedName name="LAGUNETA" localSheetId="7">#REF!</definedName>
    <definedName name="LAGUNETA" localSheetId="9">#REF!</definedName>
    <definedName name="LAGUNETA" localSheetId="11">#REF!</definedName>
    <definedName name="LAGUNETA" localSheetId="15">#REF!</definedName>
    <definedName name="LAGUNETA" localSheetId="21">#REF!</definedName>
    <definedName name="LAGUNETA" localSheetId="23">#REF!</definedName>
    <definedName name="LAGUNETA" localSheetId="27">#REF!</definedName>
    <definedName name="LAGUNETA" localSheetId="25">#REF!</definedName>
    <definedName name="LAGUNETA" localSheetId="29">#REF!</definedName>
    <definedName name="LAGUNETA" localSheetId="31">#REF!</definedName>
    <definedName name="LAGUNETA" localSheetId="35">#REF!</definedName>
    <definedName name="LAGUNETA" localSheetId="37">#REF!</definedName>
    <definedName name="LAGUNETA" localSheetId="41">#REF!</definedName>
    <definedName name="LAGUNETA" localSheetId="51">#REF!</definedName>
    <definedName name="LAGUNETA" localSheetId="97">#REF!</definedName>
    <definedName name="LAGUNETA" localSheetId="129">#REF!</definedName>
    <definedName name="LAGUNETA" localSheetId="131">#REF!</definedName>
    <definedName name="LAGUNETA" localSheetId="133">#REF!</definedName>
    <definedName name="LAGUNETA" localSheetId="135">#REF!</definedName>
    <definedName name="LAGUNETA" localSheetId="137">#REF!</definedName>
    <definedName name="LAGUNETA" localSheetId="139">#REF!</definedName>
    <definedName name="LAGUNETA" localSheetId="141">#REF!</definedName>
    <definedName name="LAGUNETA" localSheetId="143">#REF!</definedName>
    <definedName name="LAGUNETA" localSheetId="145">#REF!</definedName>
    <definedName name="LAGUNETA" localSheetId="147">#REF!</definedName>
    <definedName name="LAGUNETA" localSheetId="149">#REF!</definedName>
    <definedName name="LAGUNETA" localSheetId="151">#REF!</definedName>
    <definedName name="LAGUNETA" localSheetId="153">#REF!</definedName>
    <definedName name="LAGUNETA" localSheetId="155">#REF!</definedName>
    <definedName name="LAGUNETA" localSheetId="157">#REF!</definedName>
    <definedName name="LAGUNETA" localSheetId="159">#REF!</definedName>
    <definedName name="LAGUNETA" localSheetId="161">#REF!</definedName>
    <definedName name="LAGUNETA" localSheetId="163">#REF!</definedName>
    <definedName name="LAGUNETA" localSheetId="169">#REF!</definedName>
    <definedName name="LAGUNETA" localSheetId="173">#REF!</definedName>
    <definedName name="LAGUNETA" localSheetId="175">#REF!</definedName>
    <definedName name="LAGUNETA" localSheetId="177">#REF!</definedName>
    <definedName name="LAGUNETA" localSheetId="179">#REF!</definedName>
    <definedName name="LAGUNETA" localSheetId="3">#REF!</definedName>
    <definedName name="LAGUNETA">#REF!</definedName>
    <definedName name="LL" localSheetId="6">#REF!</definedName>
    <definedName name="LL" localSheetId="330">#REF!</definedName>
    <definedName name="LL" localSheetId="8">#REF!</definedName>
    <definedName name="LL" localSheetId="10">#REF!</definedName>
    <definedName name="LL" localSheetId="12">#REF!</definedName>
    <definedName name="LL" localSheetId="14">#REF!</definedName>
    <definedName name="LL" localSheetId="16">#REF!</definedName>
    <definedName name="LL" localSheetId="18">#REF!</definedName>
    <definedName name="LL" localSheetId="20">#REF!</definedName>
    <definedName name="LL" localSheetId="22">#REF!</definedName>
    <definedName name="LL" localSheetId="26">#REF!</definedName>
    <definedName name="LL" localSheetId="24">#REF!</definedName>
    <definedName name="LL" localSheetId="28">#REF!</definedName>
    <definedName name="LL" localSheetId="30">#REF!</definedName>
    <definedName name="LL" localSheetId="32">#REF!</definedName>
    <definedName name="LL" localSheetId="34">#REF!</definedName>
    <definedName name="LL" localSheetId="36">#REF!</definedName>
    <definedName name="LL" localSheetId="38">#REF!</definedName>
    <definedName name="LL" localSheetId="40">#REF!</definedName>
    <definedName name="LL" localSheetId="42">#REF!</definedName>
    <definedName name="LL" localSheetId="44">#REF!</definedName>
    <definedName name="LL" localSheetId="46">#REF!</definedName>
    <definedName name="LL" localSheetId="48">#REF!</definedName>
    <definedName name="LL" localSheetId="50">#REF!</definedName>
    <definedName name="LL" localSheetId="52">#REF!</definedName>
    <definedName name="LL" localSheetId="54">#REF!</definedName>
    <definedName name="LL" localSheetId="56">#REF!</definedName>
    <definedName name="LL" localSheetId="58">#REF!</definedName>
    <definedName name="LL" localSheetId="60">#REF!</definedName>
    <definedName name="LL" localSheetId="62">#REF!</definedName>
    <definedName name="LL" localSheetId="64">#REF!</definedName>
    <definedName name="LL" localSheetId="66">#REF!</definedName>
    <definedName name="LL" localSheetId="68">#REF!</definedName>
    <definedName name="LL" localSheetId="70">#REF!</definedName>
    <definedName name="LL" localSheetId="72">#REF!</definedName>
    <definedName name="LL" localSheetId="74">#REF!</definedName>
    <definedName name="LL" localSheetId="76">#REF!</definedName>
    <definedName name="LL" localSheetId="78">#REF!</definedName>
    <definedName name="LL" localSheetId="80">#REF!</definedName>
    <definedName name="LL" localSheetId="82">#REF!</definedName>
    <definedName name="LL" localSheetId="84">#REF!</definedName>
    <definedName name="LL" localSheetId="86">#REF!</definedName>
    <definedName name="LL" localSheetId="88">#REF!</definedName>
    <definedName name="LL" localSheetId="90">#REF!</definedName>
    <definedName name="LL" localSheetId="92">#REF!</definedName>
    <definedName name="LL" localSheetId="94">#REF!</definedName>
    <definedName name="LL" localSheetId="96">#REF!</definedName>
    <definedName name="LL" localSheetId="98">#REF!</definedName>
    <definedName name="LL" localSheetId="100">#REF!</definedName>
    <definedName name="LL" localSheetId="102">#REF!</definedName>
    <definedName name="LL" localSheetId="104">#REF!</definedName>
    <definedName name="LL" localSheetId="106">#REF!</definedName>
    <definedName name="LL" localSheetId="108">#REF!</definedName>
    <definedName name="LL" localSheetId="110">#REF!</definedName>
    <definedName name="LL" localSheetId="112">#REF!</definedName>
    <definedName name="LL" localSheetId="114">#REF!</definedName>
    <definedName name="LL" localSheetId="116">#REF!</definedName>
    <definedName name="LL" localSheetId="118">#REF!</definedName>
    <definedName name="LL" localSheetId="120">#REF!</definedName>
    <definedName name="LL" localSheetId="122">#REF!</definedName>
    <definedName name="LL" localSheetId="124">#REF!</definedName>
    <definedName name="LL" localSheetId="126">#REF!</definedName>
    <definedName name="LL" localSheetId="128">#REF!</definedName>
    <definedName name="LL" localSheetId="130">#REF!</definedName>
    <definedName name="LL" localSheetId="132">#REF!</definedName>
    <definedName name="LL" localSheetId="134">#REF!</definedName>
    <definedName name="LL" localSheetId="136">#REF!</definedName>
    <definedName name="LL" localSheetId="138">#REF!</definedName>
    <definedName name="LL" localSheetId="140">#REF!</definedName>
    <definedName name="LL" localSheetId="142">#REF!</definedName>
    <definedName name="LL" localSheetId="144">#REF!</definedName>
    <definedName name="LL" localSheetId="146">#REF!</definedName>
    <definedName name="LL" localSheetId="148">#REF!</definedName>
    <definedName name="LL" localSheetId="150">#REF!</definedName>
    <definedName name="LL" localSheetId="152">#REF!</definedName>
    <definedName name="LL" localSheetId="154">#REF!</definedName>
    <definedName name="LL" localSheetId="156">#REF!</definedName>
    <definedName name="LL" localSheetId="158">#REF!</definedName>
    <definedName name="LL" localSheetId="160">#REF!</definedName>
    <definedName name="LL" localSheetId="162">#REF!</definedName>
    <definedName name="LL" localSheetId="164">#REF!</definedName>
    <definedName name="LL" localSheetId="166">#REF!</definedName>
    <definedName name="LL" localSheetId="168">#REF!</definedName>
    <definedName name="LL" localSheetId="170">#REF!</definedName>
    <definedName name="LL" localSheetId="172">#REF!</definedName>
    <definedName name="LL" localSheetId="174">#REF!</definedName>
    <definedName name="LL" localSheetId="176">#REF!</definedName>
    <definedName name="LL" localSheetId="178">#REF!</definedName>
    <definedName name="LL" localSheetId="180">#REF!</definedName>
    <definedName name="LL" localSheetId="182">#REF!</definedName>
    <definedName name="LL" localSheetId="184">#REF!</definedName>
    <definedName name="LL" localSheetId="186">#REF!</definedName>
    <definedName name="LL" localSheetId="188">#REF!</definedName>
    <definedName name="LL" localSheetId="190">#REF!</definedName>
    <definedName name="LL" localSheetId="192">#REF!</definedName>
    <definedName name="LL" localSheetId="194">#REF!</definedName>
    <definedName name="LL" localSheetId="196">#REF!</definedName>
    <definedName name="LL" localSheetId="198">#REF!</definedName>
    <definedName name="LL" localSheetId="200">#REF!</definedName>
    <definedName name="LL" localSheetId="202">#REF!</definedName>
    <definedName name="LL" localSheetId="204">#REF!</definedName>
    <definedName name="LL" localSheetId="206">#REF!</definedName>
    <definedName name="LL" localSheetId="208">#REF!</definedName>
    <definedName name="LL" localSheetId="210">#REF!</definedName>
    <definedName name="LL" localSheetId="212">#REF!</definedName>
    <definedName name="LL" localSheetId="214">#REF!</definedName>
    <definedName name="LL" localSheetId="216">#REF!</definedName>
    <definedName name="LL" localSheetId="218">#REF!</definedName>
    <definedName name="LL" localSheetId="220">#REF!</definedName>
    <definedName name="LL" localSheetId="224">#REF!</definedName>
    <definedName name="LL" localSheetId="228">#REF!</definedName>
    <definedName name="LL" localSheetId="230">#REF!</definedName>
    <definedName name="LL" localSheetId="232">#REF!</definedName>
    <definedName name="LL" localSheetId="234">#REF!</definedName>
    <definedName name="LL" localSheetId="236">#REF!</definedName>
    <definedName name="LL" localSheetId="240">#REF!</definedName>
    <definedName name="LL" localSheetId="242">#REF!</definedName>
    <definedName name="LL" localSheetId="244">#REF!</definedName>
    <definedName name="LL" localSheetId="246">#REF!</definedName>
    <definedName name="LL" localSheetId="248">#REF!</definedName>
    <definedName name="LL" localSheetId="250">#REF!</definedName>
    <definedName name="LL" localSheetId="252">#REF!</definedName>
    <definedName name="LL" localSheetId="254">#REF!</definedName>
    <definedName name="LL" localSheetId="256">#REF!</definedName>
    <definedName name="LL" localSheetId="258">#REF!</definedName>
    <definedName name="LL" localSheetId="260">#REF!</definedName>
    <definedName name="LL" localSheetId="262">#REF!</definedName>
    <definedName name="LL" localSheetId="264">#REF!</definedName>
    <definedName name="LL" localSheetId="266">#REF!</definedName>
    <definedName name="LL" localSheetId="268">#REF!</definedName>
    <definedName name="LL" localSheetId="270">#REF!</definedName>
    <definedName name="LL" localSheetId="282">#REF!</definedName>
    <definedName name="LL" localSheetId="284">#REF!</definedName>
    <definedName name="LL" localSheetId="286">#REF!</definedName>
    <definedName name="LL" localSheetId="288">#REF!</definedName>
    <definedName name="LL" localSheetId="290">#REF!</definedName>
    <definedName name="LL" localSheetId="296">#REF!</definedName>
    <definedName name="LL" localSheetId="304">#REF!</definedName>
    <definedName name="LL" localSheetId="306">#REF!</definedName>
    <definedName name="LL" localSheetId="308">#REF!</definedName>
    <definedName name="LL" localSheetId="318">#REF!</definedName>
    <definedName name="LL" localSheetId="320">#REF!</definedName>
    <definedName name="LL" localSheetId="322">#REF!</definedName>
    <definedName name="LL" localSheetId="324">#REF!</definedName>
    <definedName name="LL" localSheetId="328">#REF!</definedName>
    <definedName name="LL" localSheetId="5">#REF!</definedName>
    <definedName name="LL" localSheetId="7">#REF!</definedName>
    <definedName name="LL" localSheetId="9">#REF!</definedName>
    <definedName name="LL" localSheetId="11">#REF!</definedName>
    <definedName name="LL" localSheetId="15">#REF!</definedName>
    <definedName name="LL" localSheetId="21">#REF!</definedName>
    <definedName name="LL" localSheetId="23">#REF!</definedName>
    <definedName name="LL" localSheetId="27">#REF!</definedName>
    <definedName name="LL" localSheetId="25">#REF!</definedName>
    <definedName name="LL" localSheetId="29">#REF!</definedName>
    <definedName name="LL" localSheetId="31">#REF!</definedName>
    <definedName name="LL" localSheetId="35">#REF!</definedName>
    <definedName name="LL" localSheetId="37">#REF!</definedName>
    <definedName name="LL" localSheetId="41">#REF!</definedName>
    <definedName name="LL" localSheetId="51">#REF!</definedName>
    <definedName name="LL" localSheetId="97">#REF!</definedName>
    <definedName name="LL" localSheetId="129">#REF!</definedName>
    <definedName name="LL" localSheetId="131">#REF!</definedName>
    <definedName name="LL" localSheetId="133">#REF!</definedName>
    <definedName name="LL" localSheetId="135">#REF!</definedName>
    <definedName name="LL" localSheetId="137">#REF!</definedName>
    <definedName name="LL" localSheetId="139">#REF!</definedName>
    <definedName name="LL" localSheetId="141">#REF!</definedName>
    <definedName name="LL" localSheetId="143">#REF!</definedName>
    <definedName name="LL" localSheetId="145">#REF!</definedName>
    <definedName name="LL" localSheetId="147">#REF!</definedName>
    <definedName name="LL" localSheetId="149">#REF!</definedName>
    <definedName name="LL" localSheetId="151">#REF!</definedName>
    <definedName name="LL" localSheetId="153">#REF!</definedName>
    <definedName name="LL" localSheetId="155">#REF!</definedName>
    <definedName name="LL" localSheetId="157">#REF!</definedName>
    <definedName name="LL" localSheetId="159">#REF!</definedName>
    <definedName name="LL" localSheetId="161">#REF!</definedName>
    <definedName name="LL" localSheetId="163">#REF!</definedName>
    <definedName name="LL" localSheetId="169">#REF!</definedName>
    <definedName name="LL" localSheetId="173">#REF!</definedName>
    <definedName name="LL" localSheetId="175">#REF!</definedName>
    <definedName name="LL" localSheetId="177">#REF!</definedName>
    <definedName name="LL" localSheetId="179">#REF!</definedName>
    <definedName name="LL" localSheetId="3">#REF!</definedName>
    <definedName name="LL">#REF!</definedName>
    <definedName name="LLLLLL" localSheetId="6">#REF!</definedName>
    <definedName name="LLLLLL" localSheetId="330">#REF!</definedName>
    <definedName name="LLLLLL" localSheetId="8">#REF!</definedName>
    <definedName name="LLLLLL" localSheetId="10">#REF!</definedName>
    <definedName name="LLLLLL" localSheetId="12">#REF!</definedName>
    <definedName name="LLLLLL" localSheetId="14">#REF!</definedName>
    <definedName name="LLLLLL" localSheetId="16">#REF!</definedName>
    <definedName name="LLLLLL" localSheetId="18">#REF!</definedName>
    <definedName name="LLLLLL" localSheetId="20">#REF!</definedName>
    <definedName name="LLLLLL" localSheetId="22">#REF!</definedName>
    <definedName name="LLLLLL" localSheetId="26">#REF!</definedName>
    <definedName name="LLLLLL" localSheetId="24">#REF!</definedName>
    <definedName name="LLLLLL" localSheetId="28">#REF!</definedName>
    <definedName name="LLLLLL" localSheetId="30">#REF!</definedName>
    <definedName name="LLLLLL" localSheetId="32">#REF!</definedName>
    <definedName name="LLLLLL" localSheetId="34">#REF!</definedName>
    <definedName name="LLLLLL" localSheetId="36">#REF!</definedName>
    <definedName name="LLLLLL" localSheetId="38">#REF!</definedName>
    <definedName name="LLLLLL" localSheetId="40">#REF!</definedName>
    <definedName name="LLLLLL" localSheetId="42">#REF!</definedName>
    <definedName name="LLLLLL" localSheetId="44">#REF!</definedName>
    <definedName name="LLLLLL" localSheetId="46">#REF!</definedName>
    <definedName name="LLLLLL" localSheetId="48">#REF!</definedName>
    <definedName name="LLLLLL" localSheetId="50">#REF!</definedName>
    <definedName name="LLLLLL" localSheetId="52">#REF!</definedName>
    <definedName name="LLLLLL" localSheetId="54">#REF!</definedName>
    <definedName name="LLLLLL" localSheetId="56">#REF!</definedName>
    <definedName name="LLLLLL" localSheetId="58">#REF!</definedName>
    <definedName name="LLLLLL" localSheetId="60">#REF!</definedName>
    <definedName name="LLLLLL" localSheetId="62">#REF!</definedName>
    <definedName name="LLLLLL" localSheetId="64">#REF!</definedName>
    <definedName name="LLLLLL" localSheetId="66">#REF!</definedName>
    <definedName name="LLLLLL" localSheetId="68">#REF!</definedName>
    <definedName name="LLLLLL" localSheetId="70">#REF!</definedName>
    <definedName name="LLLLLL" localSheetId="72">#REF!</definedName>
    <definedName name="LLLLLL" localSheetId="74">#REF!</definedName>
    <definedName name="LLLLLL" localSheetId="76">#REF!</definedName>
    <definedName name="LLLLLL" localSheetId="78">#REF!</definedName>
    <definedName name="LLLLLL" localSheetId="80">#REF!</definedName>
    <definedName name="LLLLLL" localSheetId="82">#REF!</definedName>
    <definedName name="LLLLLL" localSheetId="84">#REF!</definedName>
    <definedName name="LLLLLL" localSheetId="86">#REF!</definedName>
    <definedName name="LLLLLL" localSheetId="88">#REF!</definedName>
    <definedName name="LLLLLL" localSheetId="90">#REF!</definedName>
    <definedName name="LLLLLL" localSheetId="92">#REF!</definedName>
    <definedName name="LLLLLL" localSheetId="94">#REF!</definedName>
    <definedName name="LLLLLL" localSheetId="96">#REF!</definedName>
    <definedName name="LLLLLL" localSheetId="98">#REF!</definedName>
    <definedName name="LLLLLL" localSheetId="100">#REF!</definedName>
    <definedName name="LLLLLL" localSheetId="102">#REF!</definedName>
    <definedName name="LLLLLL" localSheetId="104">#REF!</definedName>
    <definedName name="LLLLLL" localSheetId="106">#REF!</definedName>
    <definedName name="LLLLLL" localSheetId="108">#REF!</definedName>
    <definedName name="LLLLLL" localSheetId="110">#REF!</definedName>
    <definedName name="LLLLLL" localSheetId="112">#REF!</definedName>
    <definedName name="LLLLLL" localSheetId="114">#REF!</definedName>
    <definedName name="LLLLLL" localSheetId="116">#REF!</definedName>
    <definedName name="LLLLLL" localSheetId="118">#REF!</definedName>
    <definedName name="LLLLLL" localSheetId="120">#REF!</definedName>
    <definedName name="LLLLLL" localSheetId="122">#REF!</definedName>
    <definedName name="LLLLLL" localSheetId="124">#REF!</definedName>
    <definedName name="LLLLLL" localSheetId="126">#REF!</definedName>
    <definedName name="LLLLLL" localSheetId="128">#REF!</definedName>
    <definedName name="LLLLLL" localSheetId="130">#REF!</definedName>
    <definedName name="LLLLLL" localSheetId="132">#REF!</definedName>
    <definedName name="LLLLLL" localSheetId="134">#REF!</definedName>
    <definedName name="LLLLLL" localSheetId="136">#REF!</definedName>
    <definedName name="LLLLLL" localSheetId="138">#REF!</definedName>
    <definedName name="LLLLLL" localSheetId="140">#REF!</definedName>
    <definedName name="LLLLLL" localSheetId="142">#REF!</definedName>
    <definedName name="LLLLLL" localSheetId="144">#REF!</definedName>
    <definedName name="LLLLLL" localSheetId="146">#REF!</definedName>
    <definedName name="LLLLLL" localSheetId="148">#REF!</definedName>
    <definedName name="LLLLLL" localSheetId="150">#REF!</definedName>
    <definedName name="LLLLLL" localSheetId="152">#REF!</definedName>
    <definedName name="LLLLLL" localSheetId="154">#REF!</definedName>
    <definedName name="LLLLLL" localSheetId="156">#REF!</definedName>
    <definedName name="LLLLLL" localSheetId="158">#REF!</definedName>
    <definedName name="LLLLLL" localSheetId="160">#REF!</definedName>
    <definedName name="LLLLLL" localSheetId="162">#REF!</definedName>
    <definedName name="LLLLLL" localSheetId="164">#REF!</definedName>
    <definedName name="LLLLLL" localSheetId="166">#REF!</definedName>
    <definedName name="LLLLLL" localSheetId="168">#REF!</definedName>
    <definedName name="LLLLLL" localSheetId="170">#REF!</definedName>
    <definedName name="LLLLLL" localSheetId="172">#REF!</definedName>
    <definedName name="LLLLLL" localSheetId="174">#REF!</definedName>
    <definedName name="LLLLLL" localSheetId="176">#REF!</definedName>
    <definedName name="LLLLLL" localSheetId="178">#REF!</definedName>
    <definedName name="LLLLLL" localSheetId="180">#REF!</definedName>
    <definedName name="LLLLLL" localSheetId="182">#REF!</definedName>
    <definedName name="LLLLLL" localSheetId="184">#REF!</definedName>
    <definedName name="LLLLLL" localSheetId="186">#REF!</definedName>
    <definedName name="LLLLLL" localSheetId="188">#REF!</definedName>
    <definedName name="LLLLLL" localSheetId="190">#REF!</definedName>
    <definedName name="LLLLLL" localSheetId="192">#REF!</definedName>
    <definedName name="LLLLLL" localSheetId="194">#REF!</definedName>
    <definedName name="LLLLLL" localSheetId="196">#REF!</definedName>
    <definedName name="LLLLLL" localSheetId="198">#REF!</definedName>
    <definedName name="LLLLLL" localSheetId="200">#REF!</definedName>
    <definedName name="LLLLLL" localSheetId="202">#REF!</definedName>
    <definedName name="LLLLLL" localSheetId="204">#REF!</definedName>
    <definedName name="LLLLLL" localSheetId="206">#REF!</definedName>
    <definedName name="LLLLLL" localSheetId="208">#REF!</definedName>
    <definedName name="LLLLLL" localSheetId="210">#REF!</definedName>
    <definedName name="LLLLLL" localSheetId="212">#REF!</definedName>
    <definedName name="LLLLLL" localSheetId="214">#REF!</definedName>
    <definedName name="LLLLLL" localSheetId="216">#REF!</definedName>
    <definedName name="LLLLLL" localSheetId="218">#REF!</definedName>
    <definedName name="LLLLLL" localSheetId="220">#REF!</definedName>
    <definedName name="LLLLLL" localSheetId="224">#REF!</definedName>
    <definedName name="LLLLLL" localSheetId="228">#REF!</definedName>
    <definedName name="LLLLLL" localSheetId="230">#REF!</definedName>
    <definedName name="LLLLLL" localSheetId="232">#REF!</definedName>
    <definedName name="LLLLLL" localSheetId="234">#REF!</definedName>
    <definedName name="LLLLLL" localSheetId="236">#REF!</definedName>
    <definedName name="LLLLLL" localSheetId="240">#REF!</definedName>
    <definedName name="LLLLLL" localSheetId="242">#REF!</definedName>
    <definedName name="LLLLLL" localSheetId="244">#REF!</definedName>
    <definedName name="LLLLLL" localSheetId="246">#REF!</definedName>
    <definedName name="LLLLLL" localSheetId="248">#REF!</definedName>
    <definedName name="LLLLLL" localSheetId="250">#REF!</definedName>
    <definedName name="LLLLLL" localSheetId="252">#REF!</definedName>
    <definedName name="LLLLLL" localSheetId="254">#REF!</definedName>
    <definedName name="LLLLLL" localSheetId="256">#REF!</definedName>
    <definedName name="LLLLLL" localSheetId="258">#REF!</definedName>
    <definedName name="LLLLLL" localSheetId="260">#REF!</definedName>
    <definedName name="LLLLLL" localSheetId="262">#REF!</definedName>
    <definedName name="LLLLLL" localSheetId="264">#REF!</definedName>
    <definedName name="LLLLLL" localSheetId="266">#REF!</definedName>
    <definedName name="LLLLLL" localSheetId="268">#REF!</definedName>
    <definedName name="LLLLLL" localSheetId="270">#REF!</definedName>
    <definedName name="LLLLLL" localSheetId="282">#REF!</definedName>
    <definedName name="LLLLLL" localSheetId="284">#REF!</definedName>
    <definedName name="LLLLLL" localSheetId="286">#REF!</definedName>
    <definedName name="LLLLLL" localSheetId="288">#REF!</definedName>
    <definedName name="LLLLLL" localSheetId="290">#REF!</definedName>
    <definedName name="LLLLLL" localSheetId="296">#REF!</definedName>
    <definedName name="LLLLLL" localSheetId="304">#REF!</definedName>
    <definedName name="LLLLLL" localSheetId="306">#REF!</definedName>
    <definedName name="LLLLLL" localSheetId="308">#REF!</definedName>
    <definedName name="LLLLLL" localSheetId="318">#REF!</definedName>
    <definedName name="LLLLLL" localSheetId="320">#REF!</definedName>
    <definedName name="LLLLLL" localSheetId="322">#REF!</definedName>
    <definedName name="LLLLLL" localSheetId="324">#REF!</definedName>
    <definedName name="LLLLLL" localSheetId="328">#REF!</definedName>
    <definedName name="LLLLLL" localSheetId="5">#REF!</definedName>
    <definedName name="LLLLLL" localSheetId="7">#REF!</definedName>
    <definedName name="LLLLLL" localSheetId="9">#REF!</definedName>
    <definedName name="LLLLLL" localSheetId="11">#REF!</definedName>
    <definedName name="LLLLLL" localSheetId="15">#REF!</definedName>
    <definedName name="LLLLLL" localSheetId="21">#REF!</definedName>
    <definedName name="LLLLLL" localSheetId="23">#REF!</definedName>
    <definedName name="LLLLLL" localSheetId="27">#REF!</definedName>
    <definedName name="LLLLLL" localSheetId="25">#REF!</definedName>
    <definedName name="LLLLLL" localSheetId="29">#REF!</definedName>
    <definedName name="LLLLLL" localSheetId="31">#REF!</definedName>
    <definedName name="LLLLLL" localSheetId="35">#REF!</definedName>
    <definedName name="LLLLLL" localSheetId="37">#REF!</definedName>
    <definedName name="LLLLLL" localSheetId="41">#REF!</definedName>
    <definedName name="LLLLLL" localSheetId="51">#REF!</definedName>
    <definedName name="LLLLLL" localSheetId="97">#REF!</definedName>
    <definedName name="LLLLLL" localSheetId="129">#REF!</definedName>
    <definedName name="LLLLLL" localSheetId="131">#REF!</definedName>
    <definedName name="LLLLLL" localSheetId="133">#REF!</definedName>
    <definedName name="LLLLLL" localSheetId="135">#REF!</definedName>
    <definedName name="LLLLLL" localSheetId="137">#REF!</definedName>
    <definedName name="LLLLLL" localSheetId="139">#REF!</definedName>
    <definedName name="LLLLLL" localSheetId="141">#REF!</definedName>
    <definedName name="LLLLLL" localSheetId="143">#REF!</definedName>
    <definedName name="LLLLLL" localSheetId="145">#REF!</definedName>
    <definedName name="LLLLLL" localSheetId="147">#REF!</definedName>
    <definedName name="LLLLLL" localSheetId="149">#REF!</definedName>
    <definedName name="LLLLLL" localSheetId="151">#REF!</definedName>
    <definedName name="LLLLLL" localSheetId="153">#REF!</definedName>
    <definedName name="LLLLLL" localSheetId="155">#REF!</definedName>
    <definedName name="LLLLLL" localSheetId="157">#REF!</definedName>
    <definedName name="LLLLLL" localSheetId="159">#REF!</definedName>
    <definedName name="LLLLLL" localSheetId="161">#REF!</definedName>
    <definedName name="LLLLLL" localSheetId="163">#REF!</definedName>
    <definedName name="LLLLLL" localSheetId="169">#REF!</definedName>
    <definedName name="LLLLLL" localSheetId="173">#REF!</definedName>
    <definedName name="LLLLLL" localSheetId="175">#REF!</definedName>
    <definedName name="LLLLLL" localSheetId="177">#REF!</definedName>
    <definedName name="LLLLLL" localSheetId="179">#REF!</definedName>
    <definedName name="LLLLLL" localSheetId="3">#REF!</definedName>
    <definedName name="LLLLLL">#REF!</definedName>
    <definedName name="MARELITA">gestores!$A$1:$B$322</definedName>
    <definedName name="MATE" localSheetId="6">#REF!</definedName>
    <definedName name="MATE" localSheetId="330">#REF!</definedName>
    <definedName name="MATE" localSheetId="8">#REF!</definedName>
    <definedName name="MATE" localSheetId="10">#REF!</definedName>
    <definedName name="MATE" localSheetId="12">#REF!</definedName>
    <definedName name="MATE" localSheetId="14">#REF!</definedName>
    <definedName name="MATE" localSheetId="16">#REF!</definedName>
    <definedName name="MATE" localSheetId="18">#REF!</definedName>
    <definedName name="MATE" localSheetId="20">#REF!</definedName>
    <definedName name="MATE" localSheetId="22">#REF!</definedName>
    <definedName name="MATE" localSheetId="26">#REF!</definedName>
    <definedName name="MATE" localSheetId="24">#REF!</definedName>
    <definedName name="MATE" localSheetId="28">#REF!</definedName>
    <definedName name="MATE" localSheetId="30">#REF!</definedName>
    <definedName name="MATE" localSheetId="32">#REF!</definedName>
    <definedName name="MATE" localSheetId="34">#REF!</definedName>
    <definedName name="MATE" localSheetId="36">#REF!</definedName>
    <definedName name="MATE" localSheetId="38">#REF!</definedName>
    <definedName name="MATE" localSheetId="40">#REF!</definedName>
    <definedName name="MATE" localSheetId="42">#REF!</definedName>
    <definedName name="MATE" localSheetId="44">#REF!</definedName>
    <definedName name="MATE" localSheetId="46">#REF!</definedName>
    <definedName name="MATE" localSheetId="48">#REF!</definedName>
    <definedName name="MATE" localSheetId="50">#REF!</definedName>
    <definedName name="MATE" localSheetId="52">#REF!</definedName>
    <definedName name="MATE" localSheetId="54">#REF!</definedName>
    <definedName name="MATE" localSheetId="56">#REF!</definedName>
    <definedName name="MATE" localSheetId="58">#REF!</definedName>
    <definedName name="MATE" localSheetId="60">#REF!</definedName>
    <definedName name="MATE" localSheetId="62">#REF!</definedName>
    <definedName name="MATE" localSheetId="64">#REF!</definedName>
    <definedName name="MATE" localSheetId="66">#REF!</definedName>
    <definedName name="MATE" localSheetId="68">#REF!</definedName>
    <definedName name="MATE" localSheetId="70">#REF!</definedName>
    <definedName name="MATE" localSheetId="72">#REF!</definedName>
    <definedName name="MATE" localSheetId="74">#REF!</definedName>
    <definedName name="MATE" localSheetId="76">#REF!</definedName>
    <definedName name="MATE" localSheetId="78">#REF!</definedName>
    <definedName name="MATE" localSheetId="80">#REF!</definedName>
    <definedName name="MATE" localSheetId="82">#REF!</definedName>
    <definedName name="MATE" localSheetId="84">#REF!</definedName>
    <definedName name="MATE" localSheetId="86">#REF!</definedName>
    <definedName name="MATE" localSheetId="88">#REF!</definedName>
    <definedName name="MATE" localSheetId="90">#REF!</definedName>
    <definedName name="MATE" localSheetId="92">#REF!</definedName>
    <definedName name="MATE" localSheetId="94">#REF!</definedName>
    <definedName name="MATE" localSheetId="96">#REF!</definedName>
    <definedName name="MATE" localSheetId="98">#REF!</definedName>
    <definedName name="MATE" localSheetId="100">#REF!</definedName>
    <definedName name="MATE" localSheetId="102">#REF!</definedName>
    <definedName name="MATE" localSheetId="104">#REF!</definedName>
    <definedName name="MATE" localSheetId="106">#REF!</definedName>
    <definedName name="MATE" localSheetId="108">#REF!</definedName>
    <definedName name="MATE" localSheetId="110">#REF!</definedName>
    <definedName name="MATE" localSheetId="112">#REF!</definedName>
    <definedName name="MATE" localSheetId="114">#REF!</definedName>
    <definedName name="MATE" localSheetId="116">#REF!</definedName>
    <definedName name="MATE" localSheetId="118">#REF!</definedName>
    <definedName name="MATE" localSheetId="120">#REF!</definedName>
    <definedName name="MATE" localSheetId="122">#REF!</definedName>
    <definedName name="MATE" localSheetId="124">#REF!</definedName>
    <definedName name="MATE" localSheetId="126">#REF!</definedName>
    <definedName name="MATE" localSheetId="128">#REF!</definedName>
    <definedName name="MATE" localSheetId="130">#REF!</definedName>
    <definedName name="MATE" localSheetId="132">#REF!</definedName>
    <definedName name="MATE" localSheetId="134">#REF!</definedName>
    <definedName name="MATE" localSheetId="136">#REF!</definedName>
    <definedName name="MATE" localSheetId="138">#REF!</definedName>
    <definedName name="MATE" localSheetId="140">#REF!</definedName>
    <definedName name="MATE" localSheetId="142">#REF!</definedName>
    <definedName name="MATE" localSheetId="144">#REF!</definedName>
    <definedName name="MATE" localSheetId="146">#REF!</definedName>
    <definedName name="MATE" localSheetId="148">#REF!</definedName>
    <definedName name="MATE" localSheetId="150">#REF!</definedName>
    <definedName name="MATE" localSheetId="152">#REF!</definedName>
    <definedName name="MATE" localSheetId="154">#REF!</definedName>
    <definedName name="MATE" localSheetId="156">#REF!</definedName>
    <definedName name="MATE" localSheetId="158">#REF!</definedName>
    <definedName name="MATE" localSheetId="160">#REF!</definedName>
    <definedName name="MATE" localSheetId="162">#REF!</definedName>
    <definedName name="MATE" localSheetId="164">#REF!</definedName>
    <definedName name="MATE" localSheetId="166">#REF!</definedName>
    <definedName name="MATE" localSheetId="168">#REF!</definedName>
    <definedName name="MATE" localSheetId="170">#REF!</definedName>
    <definedName name="MATE" localSheetId="172">#REF!</definedName>
    <definedName name="MATE" localSheetId="174">#REF!</definedName>
    <definedName name="MATE" localSheetId="176">#REF!</definedName>
    <definedName name="MATE" localSheetId="178">#REF!</definedName>
    <definedName name="MATE" localSheetId="180">#REF!</definedName>
    <definedName name="MATE" localSheetId="182">#REF!</definedName>
    <definedName name="MATE" localSheetId="184">#REF!</definedName>
    <definedName name="MATE" localSheetId="186">#REF!</definedName>
    <definedName name="MATE" localSheetId="188">#REF!</definedName>
    <definedName name="MATE" localSheetId="190">#REF!</definedName>
    <definedName name="MATE" localSheetId="192">#REF!</definedName>
    <definedName name="MATE" localSheetId="194">#REF!</definedName>
    <definedName name="MATE" localSheetId="196">#REF!</definedName>
    <definedName name="MATE" localSheetId="198">#REF!</definedName>
    <definedName name="MATE" localSheetId="200">#REF!</definedName>
    <definedName name="MATE" localSheetId="202">#REF!</definedName>
    <definedName name="MATE" localSheetId="204">#REF!</definedName>
    <definedName name="MATE" localSheetId="206">#REF!</definedName>
    <definedName name="MATE" localSheetId="208">#REF!</definedName>
    <definedName name="MATE" localSheetId="210">#REF!</definedName>
    <definedName name="MATE" localSheetId="212">#REF!</definedName>
    <definedName name="MATE" localSheetId="214">#REF!</definedName>
    <definedName name="MATE" localSheetId="216">#REF!</definedName>
    <definedName name="MATE" localSheetId="218">#REF!</definedName>
    <definedName name="MATE" localSheetId="220">#REF!</definedName>
    <definedName name="MATE" localSheetId="224">#REF!</definedName>
    <definedName name="MATE" localSheetId="228">#REF!</definedName>
    <definedName name="MATE" localSheetId="230">#REF!</definedName>
    <definedName name="MATE" localSheetId="232">#REF!</definedName>
    <definedName name="MATE" localSheetId="234">#REF!</definedName>
    <definedName name="MATE" localSheetId="236">#REF!</definedName>
    <definedName name="MATE" localSheetId="240">#REF!</definedName>
    <definedName name="MATE" localSheetId="242">#REF!</definedName>
    <definedName name="MATE" localSheetId="244">#REF!</definedName>
    <definedName name="MATE" localSheetId="246">#REF!</definedName>
    <definedName name="MATE" localSheetId="248">#REF!</definedName>
    <definedName name="MATE" localSheetId="250">#REF!</definedName>
    <definedName name="MATE" localSheetId="252">#REF!</definedName>
    <definedName name="MATE" localSheetId="254">#REF!</definedName>
    <definedName name="MATE" localSheetId="256">#REF!</definedName>
    <definedName name="MATE" localSheetId="258">#REF!</definedName>
    <definedName name="MATE" localSheetId="260">#REF!</definedName>
    <definedName name="MATE" localSheetId="262">#REF!</definedName>
    <definedName name="MATE" localSheetId="264">#REF!</definedName>
    <definedName name="MATE" localSheetId="266">#REF!</definedName>
    <definedName name="MATE" localSheetId="268">#REF!</definedName>
    <definedName name="MATE" localSheetId="270">#REF!</definedName>
    <definedName name="MATE" localSheetId="282">#REF!</definedName>
    <definedName name="MATE" localSheetId="284">#REF!</definedName>
    <definedName name="MATE" localSheetId="286">#REF!</definedName>
    <definedName name="MATE" localSheetId="288">#REF!</definedName>
    <definedName name="MATE" localSheetId="290">#REF!</definedName>
    <definedName name="MATE" localSheetId="296">#REF!</definedName>
    <definedName name="MATE" localSheetId="304">#REF!</definedName>
    <definedName name="MATE" localSheetId="306">#REF!</definedName>
    <definedName name="MATE" localSheetId="308">#REF!</definedName>
    <definedName name="MATE" localSheetId="318">#REF!</definedName>
    <definedName name="MATE" localSheetId="320">#REF!</definedName>
    <definedName name="MATE" localSheetId="322">#REF!</definedName>
    <definedName name="MATE" localSheetId="324">#REF!</definedName>
    <definedName name="MATE" localSheetId="328">#REF!</definedName>
    <definedName name="MATE" localSheetId="5">#REF!</definedName>
    <definedName name="MATE" localSheetId="7">#REF!</definedName>
    <definedName name="MATE" localSheetId="9">#REF!</definedName>
    <definedName name="MATE" localSheetId="11">#REF!</definedName>
    <definedName name="MATE" localSheetId="15">#REF!</definedName>
    <definedName name="MATE" localSheetId="21">#REF!</definedName>
    <definedName name="MATE" localSheetId="23">#REF!</definedName>
    <definedName name="MATE" localSheetId="27">#REF!</definedName>
    <definedName name="MATE" localSheetId="25">#REF!</definedName>
    <definedName name="MATE" localSheetId="29">#REF!</definedName>
    <definedName name="MATE" localSheetId="31">#REF!</definedName>
    <definedName name="MATE" localSheetId="35">#REF!</definedName>
    <definedName name="MATE" localSheetId="37">#REF!</definedName>
    <definedName name="MATE" localSheetId="41">#REF!</definedName>
    <definedName name="MATE" localSheetId="51">#REF!</definedName>
    <definedName name="MATE" localSheetId="97">#REF!</definedName>
    <definedName name="MATE" localSheetId="129">#REF!</definedName>
    <definedName name="MATE" localSheetId="131">#REF!</definedName>
    <definedName name="MATE" localSheetId="133">#REF!</definedName>
    <definedName name="MATE" localSheetId="135">#REF!</definedName>
    <definedName name="MATE" localSheetId="137">#REF!</definedName>
    <definedName name="MATE" localSheetId="139">#REF!</definedName>
    <definedName name="MATE" localSheetId="141">#REF!</definedName>
    <definedName name="MATE" localSheetId="143">#REF!</definedName>
    <definedName name="MATE" localSheetId="145">#REF!</definedName>
    <definedName name="MATE" localSheetId="147">#REF!</definedName>
    <definedName name="MATE" localSheetId="149">#REF!</definedName>
    <definedName name="MATE" localSheetId="151">#REF!</definedName>
    <definedName name="MATE" localSheetId="153">#REF!</definedName>
    <definedName name="MATE" localSheetId="155">#REF!</definedName>
    <definedName name="MATE" localSheetId="157">#REF!</definedName>
    <definedName name="MATE" localSheetId="159">#REF!</definedName>
    <definedName name="MATE" localSheetId="161">#REF!</definedName>
    <definedName name="MATE" localSheetId="163">#REF!</definedName>
    <definedName name="MATE" localSheetId="169">#REF!</definedName>
    <definedName name="MATE" localSheetId="173">#REF!</definedName>
    <definedName name="MATE" localSheetId="175">#REF!</definedName>
    <definedName name="MATE" localSheetId="177">#REF!</definedName>
    <definedName name="MATE" localSheetId="179">#REF!</definedName>
    <definedName name="MATE" localSheetId="3">#REF!</definedName>
    <definedName name="MATE">#REF!</definedName>
    <definedName name="MM" localSheetId="6">#REF!</definedName>
    <definedName name="MM" localSheetId="330">#REF!</definedName>
    <definedName name="MM" localSheetId="8">#REF!</definedName>
    <definedName name="MM" localSheetId="10">#REF!</definedName>
    <definedName name="MM" localSheetId="12">#REF!</definedName>
    <definedName name="MM" localSheetId="14">#REF!</definedName>
    <definedName name="MM" localSheetId="16">#REF!</definedName>
    <definedName name="MM" localSheetId="18">#REF!</definedName>
    <definedName name="MM" localSheetId="20">#REF!</definedName>
    <definedName name="MM" localSheetId="22">#REF!</definedName>
    <definedName name="MM" localSheetId="26">#REF!</definedName>
    <definedName name="MM" localSheetId="24">#REF!</definedName>
    <definedName name="MM" localSheetId="28">#REF!</definedName>
    <definedName name="MM" localSheetId="30">#REF!</definedName>
    <definedName name="MM" localSheetId="32">#REF!</definedName>
    <definedName name="MM" localSheetId="34">#REF!</definedName>
    <definedName name="MM" localSheetId="36">#REF!</definedName>
    <definedName name="MM" localSheetId="38">#REF!</definedName>
    <definedName name="MM" localSheetId="40">#REF!</definedName>
    <definedName name="MM" localSheetId="42">#REF!</definedName>
    <definedName name="MM" localSheetId="44">#REF!</definedName>
    <definedName name="MM" localSheetId="46">#REF!</definedName>
    <definedName name="MM" localSheetId="48">#REF!</definedName>
    <definedName name="MM" localSheetId="50">#REF!</definedName>
    <definedName name="MM" localSheetId="52">#REF!</definedName>
    <definedName name="MM" localSheetId="54">#REF!</definedName>
    <definedName name="MM" localSheetId="56">#REF!</definedName>
    <definedName name="MM" localSheetId="58">#REF!</definedName>
    <definedName name="MM" localSheetId="60">#REF!</definedName>
    <definedName name="MM" localSheetId="62">#REF!</definedName>
    <definedName name="MM" localSheetId="64">#REF!</definedName>
    <definedName name="MM" localSheetId="66">#REF!</definedName>
    <definedName name="MM" localSheetId="68">#REF!</definedName>
    <definedName name="MM" localSheetId="70">#REF!</definedName>
    <definedName name="MM" localSheetId="72">#REF!</definedName>
    <definedName name="MM" localSheetId="74">#REF!</definedName>
    <definedName name="MM" localSheetId="76">#REF!</definedName>
    <definedName name="MM" localSheetId="78">#REF!</definedName>
    <definedName name="MM" localSheetId="80">#REF!</definedName>
    <definedName name="MM" localSheetId="82">#REF!</definedName>
    <definedName name="MM" localSheetId="84">#REF!</definedName>
    <definedName name="MM" localSheetId="86">#REF!</definedName>
    <definedName name="MM" localSheetId="88">#REF!</definedName>
    <definedName name="MM" localSheetId="90">#REF!</definedName>
    <definedName name="MM" localSheetId="92">#REF!</definedName>
    <definedName name="MM" localSheetId="94">#REF!</definedName>
    <definedName name="MM" localSheetId="96">#REF!</definedName>
    <definedName name="MM" localSheetId="98">#REF!</definedName>
    <definedName name="MM" localSheetId="100">#REF!</definedName>
    <definedName name="MM" localSheetId="102">#REF!</definedName>
    <definedName name="MM" localSheetId="104">#REF!</definedName>
    <definedName name="MM" localSheetId="106">#REF!</definedName>
    <definedName name="MM" localSheetId="108">#REF!</definedName>
    <definedName name="MM" localSheetId="110">#REF!</definedName>
    <definedName name="MM" localSheetId="112">#REF!</definedName>
    <definedName name="MM" localSheetId="114">#REF!</definedName>
    <definedName name="MM" localSheetId="116">#REF!</definedName>
    <definedName name="MM" localSheetId="118">#REF!</definedName>
    <definedName name="MM" localSheetId="120">#REF!</definedName>
    <definedName name="MM" localSheetId="122">#REF!</definedName>
    <definedName name="MM" localSheetId="124">#REF!</definedName>
    <definedName name="MM" localSheetId="126">#REF!</definedName>
    <definedName name="MM" localSheetId="128">#REF!</definedName>
    <definedName name="MM" localSheetId="130">#REF!</definedName>
    <definedName name="MM" localSheetId="132">#REF!</definedName>
    <definedName name="MM" localSheetId="134">#REF!</definedName>
    <definedName name="MM" localSheetId="136">#REF!</definedName>
    <definedName name="MM" localSheetId="138">#REF!</definedName>
    <definedName name="MM" localSheetId="140">#REF!</definedName>
    <definedName name="MM" localSheetId="142">#REF!</definedName>
    <definedName name="MM" localSheetId="144">#REF!</definedName>
    <definedName name="MM" localSheetId="146">#REF!</definedName>
    <definedName name="MM" localSheetId="148">#REF!</definedName>
    <definedName name="MM" localSheetId="150">#REF!</definedName>
    <definedName name="MM" localSheetId="152">#REF!</definedName>
    <definedName name="MM" localSheetId="154">#REF!</definedName>
    <definedName name="MM" localSheetId="156">#REF!</definedName>
    <definedName name="MM" localSheetId="158">#REF!</definedName>
    <definedName name="MM" localSheetId="160">#REF!</definedName>
    <definedName name="MM" localSheetId="162">#REF!</definedName>
    <definedName name="MM" localSheetId="164">#REF!</definedName>
    <definedName name="MM" localSheetId="166">#REF!</definedName>
    <definedName name="MM" localSheetId="168">#REF!</definedName>
    <definedName name="MM" localSheetId="170">#REF!</definedName>
    <definedName name="MM" localSheetId="172">#REF!</definedName>
    <definedName name="MM" localSheetId="174">#REF!</definedName>
    <definedName name="MM" localSheetId="176">#REF!</definedName>
    <definedName name="MM" localSheetId="178">#REF!</definedName>
    <definedName name="MM" localSheetId="180">#REF!</definedName>
    <definedName name="MM" localSheetId="182">#REF!</definedName>
    <definedName name="MM" localSheetId="184">#REF!</definedName>
    <definedName name="MM" localSheetId="186">#REF!</definedName>
    <definedName name="MM" localSheetId="188">#REF!</definedName>
    <definedName name="MM" localSheetId="190">#REF!</definedName>
    <definedName name="MM" localSheetId="192">#REF!</definedName>
    <definedName name="MM" localSheetId="194">#REF!</definedName>
    <definedName name="MM" localSheetId="196">#REF!</definedName>
    <definedName name="MM" localSheetId="198">#REF!</definedName>
    <definedName name="MM" localSheetId="200">#REF!</definedName>
    <definedName name="MM" localSheetId="202">#REF!</definedName>
    <definedName name="MM" localSheetId="204">#REF!</definedName>
    <definedName name="MM" localSheetId="206">#REF!</definedName>
    <definedName name="MM" localSheetId="208">#REF!</definedName>
    <definedName name="MM" localSheetId="210">#REF!</definedName>
    <definedName name="MM" localSheetId="212">#REF!</definedName>
    <definedName name="MM" localSheetId="214">#REF!</definedName>
    <definedName name="MM" localSheetId="216">#REF!</definedName>
    <definedName name="MM" localSheetId="218">#REF!</definedName>
    <definedName name="MM" localSheetId="220">#REF!</definedName>
    <definedName name="MM" localSheetId="224">#REF!</definedName>
    <definedName name="MM" localSheetId="228">#REF!</definedName>
    <definedName name="MM" localSheetId="230">#REF!</definedName>
    <definedName name="MM" localSheetId="232">#REF!</definedName>
    <definedName name="MM" localSheetId="234">#REF!</definedName>
    <definedName name="MM" localSheetId="236">#REF!</definedName>
    <definedName name="MM" localSheetId="240">#REF!</definedName>
    <definedName name="MM" localSheetId="242">#REF!</definedName>
    <definedName name="MM" localSheetId="244">#REF!</definedName>
    <definedName name="MM" localSheetId="246">#REF!</definedName>
    <definedName name="MM" localSheetId="248">#REF!</definedName>
    <definedName name="MM" localSheetId="250">#REF!</definedName>
    <definedName name="MM" localSheetId="252">#REF!</definedName>
    <definedName name="MM" localSheetId="254">#REF!</definedName>
    <definedName name="MM" localSheetId="256">#REF!</definedName>
    <definedName name="MM" localSheetId="258">#REF!</definedName>
    <definedName name="MM" localSheetId="260">#REF!</definedName>
    <definedName name="MM" localSheetId="262">#REF!</definedName>
    <definedName name="MM" localSheetId="264">#REF!</definedName>
    <definedName name="MM" localSheetId="266">#REF!</definedName>
    <definedName name="MM" localSheetId="268">#REF!</definedName>
    <definedName name="MM" localSheetId="270">#REF!</definedName>
    <definedName name="MM" localSheetId="282">#REF!</definedName>
    <definedName name="MM" localSheetId="284">#REF!</definedName>
    <definedName name="MM" localSheetId="286">#REF!</definedName>
    <definedName name="MM" localSheetId="288">#REF!</definedName>
    <definedName name="MM" localSheetId="290">#REF!</definedName>
    <definedName name="MM" localSheetId="296">#REF!</definedName>
    <definedName name="MM" localSheetId="304">#REF!</definedName>
    <definedName name="MM" localSheetId="306">#REF!</definedName>
    <definedName name="MM" localSheetId="308">#REF!</definedName>
    <definedName name="MM" localSheetId="318">#REF!</definedName>
    <definedName name="MM" localSheetId="320">#REF!</definedName>
    <definedName name="MM" localSheetId="322">#REF!</definedName>
    <definedName name="MM" localSheetId="324">#REF!</definedName>
    <definedName name="MM" localSheetId="328">#REF!</definedName>
    <definedName name="MM" localSheetId="5">#REF!</definedName>
    <definedName name="MM" localSheetId="7">#REF!</definedName>
    <definedName name="MM" localSheetId="9">#REF!</definedName>
    <definedName name="MM" localSheetId="11">#REF!</definedName>
    <definedName name="MM" localSheetId="15">#REF!</definedName>
    <definedName name="MM" localSheetId="21">#REF!</definedName>
    <definedName name="MM" localSheetId="23">#REF!</definedName>
    <definedName name="MM" localSheetId="27">#REF!</definedName>
    <definedName name="MM" localSheetId="25">#REF!</definedName>
    <definedName name="MM" localSheetId="29">#REF!</definedName>
    <definedName name="MM" localSheetId="31">#REF!</definedName>
    <definedName name="MM" localSheetId="35">#REF!</definedName>
    <definedName name="MM" localSheetId="37">#REF!</definedName>
    <definedName name="MM" localSheetId="41">#REF!</definedName>
    <definedName name="MM" localSheetId="51">#REF!</definedName>
    <definedName name="MM" localSheetId="97">#REF!</definedName>
    <definedName name="MM" localSheetId="129">#REF!</definedName>
    <definedName name="MM" localSheetId="131">#REF!</definedName>
    <definedName name="MM" localSheetId="133">#REF!</definedName>
    <definedName name="MM" localSheetId="135">#REF!</definedName>
    <definedName name="MM" localSheetId="137">#REF!</definedName>
    <definedName name="MM" localSheetId="139">#REF!</definedName>
    <definedName name="MM" localSheetId="141">#REF!</definedName>
    <definedName name="MM" localSheetId="143">#REF!</definedName>
    <definedName name="MM" localSheetId="145">#REF!</definedName>
    <definedName name="MM" localSheetId="147">#REF!</definedName>
    <definedName name="MM" localSheetId="149">#REF!</definedName>
    <definedName name="MM" localSheetId="151">#REF!</definedName>
    <definedName name="MM" localSheetId="153">#REF!</definedName>
    <definedName name="MM" localSheetId="155">#REF!</definedName>
    <definedName name="MM" localSheetId="157">#REF!</definedName>
    <definedName name="MM" localSheetId="159">#REF!</definedName>
    <definedName name="MM" localSheetId="161">#REF!</definedName>
    <definedName name="MM" localSheetId="163">#REF!</definedName>
    <definedName name="MM" localSheetId="169">#REF!</definedName>
    <definedName name="MM" localSheetId="173">#REF!</definedName>
    <definedName name="MM" localSheetId="175">#REF!</definedName>
    <definedName name="MM" localSheetId="177">#REF!</definedName>
    <definedName name="MM" localSheetId="179">#REF!</definedName>
    <definedName name="MM" localSheetId="3">#REF!</definedName>
    <definedName name="MM">#REF!</definedName>
    <definedName name="MOS" localSheetId="6">#REF!</definedName>
    <definedName name="MOS" localSheetId="330">#REF!</definedName>
    <definedName name="MOS" localSheetId="8">#REF!</definedName>
    <definedName name="MOS" localSheetId="10">#REF!</definedName>
    <definedName name="MOS" localSheetId="12">#REF!</definedName>
    <definedName name="MOS" localSheetId="14">#REF!</definedName>
    <definedName name="MOS" localSheetId="16">#REF!</definedName>
    <definedName name="MOS" localSheetId="18">#REF!</definedName>
    <definedName name="MOS" localSheetId="20">#REF!</definedName>
    <definedName name="MOS" localSheetId="22">#REF!</definedName>
    <definedName name="MOS" localSheetId="26">#REF!</definedName>
    <definedName name="MOS" localSheetId="24">#REF!</definedName>
    <definedName name="MOS" localSheetId="28">#REF!</definedName>
    <definedName name="MOS" localSheetId="30">#REF!</definedName>
    <definedName name="MOS" localSheetId="32">#REF!</definedName>
    <definedName name="MOS" localSheetId="34">#REF!</definedName>
    <definedName name="MOS" localSheetId="36">#REF!</definedName>
    <definedName name="MOS" localSheetId="38">#REF!</definedName>
    <definedName name="MOS" localSheetId="40">#REF!</definedName>
    <definedName name="MOS" localSheetId="42">#REF!</definedName>
    <definedName name="MOS" localSheetId="44">#REF!</definedName>
    <definedName name="MOS" localSheetId="46">#REF!</definedName>
    <definedName name="MOS" localSheetId="48">#REF!</definedName>
    <definedName name="MOS" localSheetId="50">#REF!</definedName>
    <definedName name="MOS" localSheetId="52">#REF!</definedName>
    <definedName name="MOS" localSheetId="54">#REF!</definedName>
    <definedName name="MOS" localSheetId="56">#REF!</definedName>
    <definedName name="MOS" localSheetId="58">#REF!</definedName>
    <definedName name="MOS" localSheetId="60">#REF!</definedName>
    <definedName name="MOS" localSheetId="62">#REF!</definedName>
    <definedName name="MOS" localSheetId="64">#REF!</definedName>
    <definedName name="MOS" localSheetId="66">#REF!</definedName>
    <definedName name="MOS" localSheetId="68">#REF!</definedName>
    <definedName name="MOS" localSheetId="70">#REF!</definedName>
    <definedName name="MOS" localSheetId="72">#REF!</definedName>
    <definedName name="MOS" localSheetId="74">#REF!</definedName>
    <definedName name="MOS" localSheetId="76">#REF!</definedName>
    <definedName name="MOS" localSheetId="78">#REF!</definedName>
    <definedName name="MOS" localSheetId="80">#REF!</definedName>
    <definedName name="MOS" localSheetId="82">#REF!</definedName>
    <definedName name="MOS" localSheetId="84">#REF!</definedName>
    <definedName name="MOS" localSheetId="86">#REF!</definedName>
    <definedName name="MOS" localSheetId="88">#REF!</definedName>
    <definedName name="MOS" localSheetId="90">#REF!</definedName>
    <definedName name="MOS" localSheetId="92">#REF!</definedName>
    <definedName name="MOS" localSheetId="94">#REF!</definedName>
    <definedName name="MOS" localSheetId="96">#REF!</definedName>
    <definedName name="MOS" localSheetId="98">#REF!</definedName>
    <definedName name="MOS" localSheetId="100">#REF!</definedName>
    <definedName name="MOS" localSheetId="102">#REF!</definedName>
    <definedName name="MOS" localSheetId="104">#REF!</definedName>
    <definedName name="MOS" localSheetId="106">#REF!</definedName>
    <definedName name="MOS" localSheetId="108">#REF!</definedName>
    <definedName name="MOS" localSheetId="110">#REF!</definedName>
    <definedName name="MOS" localSheetId="112">#REF!</definedName>
    <definedName name="MOS" localSheetId="114">#REF!</definedName>
    <definedName name="MOS" localSheetId="116">#REF!</definedName>
    <definedName name="MOS" localSheetId="118">#REF!</definedName>
    <definedName name="MOS" localSheetId="120">#REF!</definedName>
    <definedName name="MOS" localSheetId="122">#REF!</definedName>
    <definedName name="MOS" localSheetId="124">#REF!</definedName>
    <definedName name="MOS" localSheetId="126">#REF!</definedName>
    <definedName name="MOS" localSheetId="128">#REF!</definedName>
    <definedName name="MOS" localSheetId="130">#REF!</definedName>
    <definedName name="MOS" localSheetId="132">#REF!</definedName>
    <definedName name="MOS" localSheetId="134">#REF!</definedName>
    <definedName name="MOS" localSheetId="136">#REF!</definedName>
    <definedName name="MOS" localSheetId="138">#REF!</definedName>
    <definedName name="MOS" localSheetId="140">#REF!</definedName>
    <definedName name="MOS" localSheetId="142">#REF!</definedName>
    <definedName name="MOS" localSheetId="144">#REF!</definedName>
    <definedName name="MOS" localSheetId="146">#REF!</definedName>
    <definedName name="MOS" localSheetId="148">#REF!</definedName>
    <definedName name="MOS" localSheetId="150">#REF!</definedName>
    <definedName name="MOS" localSheetId="152">#REF!</definedName>
    <definedName name="MOS" localSheetId="154">#REF!</definedName>
    <definedName name="MOS" localSheetId="156">#REF!</definedName>
    <definedName name="MOS" localSheetId="158">#REF!</definedName>
    <definedName name="MOS" localSheetId="160">#REF!</definedName>
    <definedName name="MOS" localSheetId="162">#REF!</definedName>
    <definedName name="MOS" localSheetId="164">#REF!</definedName>
    <definedName name="MOS" localSheetId="166">#REF!</definedName>
    <definedName name="MOS" localSheetId="168">#REF!</definedName>
    <definedName name="MOS" localSheetId="170">#REF!</definedName>
    <definedName name="MOS" localSheetId="172">#REF!</definedName>
    <definedName name="MOS" localSheetId="174">#REF!</definedName>
    <definedName name="MOS" localSheetId="176">#REF!</definedName>
    <definedName name="MOS" localSheetId="178">#REF!</definedName>
    <definedName name="MOS" localSheetId="180">#REF!</definedName>
    <definedName name="MOS" localSheetId="182">#REF!</definedName>
    <definedName name="MOS" localSheetId="184">#REF!</definedName>
    <definedName name="MOS" localSheetId="186">#REF!</definedName>
    <definedName name="MOS" localSheetId="188">#REF!</definedName>
    <definedName name="MOS" localSheetId="190">#REF!</definedName>
    <definedName name="MOS" localSheetId="192">#REF!</definedName>
    <definedName name="MOS" localSheetId="194">#REF!</definedName>
    <definedName name="MOS" localSheetId="196">#REF!</definedName>
    <definedName name="MOS" localSheetId="198">#REF!</definedName>
    <definedName name="MOS" localSheetId="200">#REF!</definedName>
    <definedName name="MOS" localSheetId="202">#REF!</definedName>
    <definedName name="MOS" localSheetId="204">#REF!</definedName>
    <definedName name="MOS" localSheetId="206">#REF!</definedName>
    <definedName name="MOS" localSheetId="208">#REF!</definedName>
    <definedName name="MOS" localSheetId="210">#REF!</definedName>
    <definedName name="MOS" localSheetId="212">#REF!</definedName>
    <definedName name="MOS" localSheetId="214">#REF!</definedName>
    <definedName name="MOS" localSheetId="216">#REF!</definedName>
    <definedName name="MOS" localSheetId="218">#REF!</definedName>
    <definedName name="MOS" localSheetId="220">#REF!</definedName>
    <definedName name="MOS" localSheetId="224">#REF!</definedName>
    <definedName name="MOS" localSheetId="228">#REF!</definedName>
    <definedName name="MOS" localSheetId="230">#REF!</definedName>
    <definedName name="MOS" localSheetId="232">#REF!</definedName>
    <definedName name="MOS" localSheetId="234">#REF!</definedName>
    <definedName name="MOS" localSheetId="236">#REF!</definedName>
    <definedName name="MOS" localSheetId="240">#REF!</definedName>
    <definedName name="MOS" localSheetId="242">#REF!</definedName>
    <definedName name="MOS" localSheetId="244">#REF!</definedName>
    <definedName name="MOS" localSheetId="246">#REF!</definedName>
    <definedName name="MOS" localSheetId="248">#REF!</definedName>
    <definedName name="MOS" localSheetId="250">#REF!</definedName>
    <definedName name="MOS" localSheetId="252">#REF!</definedName>
    <definedName name="MOS" localSheetId="254">#REF!</definedName>
    <definedName name="MOS" localSheetId="256">#REF!</definedName>
    <definedName name="MOS" localSheetId="258">#REF!</definedName>
    <definedName name="MOS" localSheetId="260">#REF!</definedName>
    <definedName name="MOS" localSheetId="262">#REF!</definedName>
    <definedName name="MOS" localSheetId="264">#REF!</definedName>
    <definedName name="MOS" localSheetId="266">#REF!</definedName>
    <definedName name="MOS" localSheetId="268">#REF!</definedName>
    <definedName name="MOS" localSheetId="270">#REF!</definedName>
    <definedName name="MOS" localSheetId="282">#REF!</definedName>
    <definedName name="MOS" localSheetId="284">#REF!</definedName>
    <definedName name="MOS" localSheetId="286">#REF!</definedName>
    <definedName name="MOS" localSheetId="288">#REF!</definedName>
    <definedName name="MOS" localSheetId="290">#REF!</definedName>
    <definedName name="MOS" localSheetId="296">#REF!</definedName>
    <definedName name="MOS" localSheetId="304">#REF!</definedName>
    <definedName name="MOS" localSheetId="306">#REF!</definedName>
    <definedName name="MOS" localSheetId="308">#REF!</definedName>
    <definedName name="MOS" localSheetId="318">#REF!</definedName>
    <definedName name="MOS" localSheetId="320">#REF!</definedName>
    <definedName name="MOS" localSheetId="322">#REF!</definedName>
    <definedName name="MOS" localSheetId="324">#REF!</definedName>
    <definedName name="MOS" localSheetId="328">#REF!</definedName>
    <definedName name="MOS" localSheetId="5">#REF!</definedName>
    <definedName name="MOS" localSheetId="7">#REF!</definedName>
    <definedName name="MOS" localSheetId="9">#REF!</definedName>
    <definedName name="MOS" localSheetId="11">#REF!</definedName>
    <definedName name="MOS" localSheetId="15">#REF!</definedName>
    <definedName name="MOS" localSheetId="21">#REF!</definedName>
    <definedName name="MOS" localSheetId="23">#REF!</definedName>
    <definedName name="MOS" localSheetId="27">#REF!</definedName>
    <definedName name="MOS" localSheetId="25">#REF!</definedName>
    <definedName name="MOS" localSheetId="29">#REF!</definedName>
    <definedName name="MOS" localSheetId="31">#REF!</definedName>
    <definedName name="MOS" localSheetId="35">#REF!</definedName>
    <definedName name="MOS" localSheetId="37">#REF!</definedName>
    <definedName name="MOS" localSheetId="41">#REF!</definedName>
    <definedName name="MOS" localSheetId="51">#REF!</definedName>
    <definedName name="MOS" localSheetId="97">#REF!</definedName>
    <definedName name="MOS" localSheetId="129">#REF!</definedName>
    <definedName name="MOS" localSheetId="131">#REF!</definedName>
    <definedName name="MOS" localSheetId="133">#REF!</definedName>
    <definedName name="MOS" localSheetId="135">#REF!</definedName>
    <definedName name="MOS" localSheetId="137">#REF!</definedName>
    <definedName name="MOS" localSheetId="139">#REF!</definedName>
    <definedName name="MOS" localSheetId="141">#REF!</definedName>
    <definedName name="MOS" localSheetId="143">#REF!</definedName>
    <definedName name="MOS" localSheetId="145">#REF!</definedName>
    <definedName name="MOS" localSheetId="147">#REF!</definedName>
    <definedName name="MOS" localSheetId="149">#REF!</definedName>
    <definedName name="MOS" localSheetId="151">#REF!</definedName>
    <definedName name="MOS" localSheetId="153">#REF!</definedName>
    <definedName name="MOS" localSheetId="155">#REF!</definedName>
    <definedName name="MOS" localSheetId="157">#REF!</definedName>
    <definedName name="MOS" localSheetId="159">#REF!</definedName>
    <definedName name="MOS" localSheetId="161">#REF!</definedName>
    <definedName name="MOS" localSheetId="163">#REF!</definedName>
    <definedName name="MOS" localSheetId="169">#REF!</definedName>
    <definedName name="MOS" localSheetId="173">#REF!</definedName>
    <definedName name="MOS" localSheetId="175">#REF!</definedName>
    <definedName name="MOS" localSheetId="177">#REF!</definedName>
    <definedName name="MOS" localSheetId="179">#REF!</definedName>
    <definedName name="MOS" localSheetId="3">#REF!</definedName>
    <definedName name="MOS">#REF!</definedName>
    <definedName name="mosquera" localSheetId="6">#REF!</definedName>
    <definedName name="mosquera" localSheetId="330">#REF!</definedName>
    <definedName name="mosquera" localSheetId="8">#REF!</definedName>
    <definedName name="mosquera" localSheetId="10">#REF!</definedName>
    <definedName name="mosquera" localSheetId="12">#REF!</definedName>
    <definedName name="mosquera" localSheetId="14">#REF!</definedName>
    <definedName name="mosquera" localSheetId="16">#REF!</definedName>
    <definedName name="mosquera" localSheetId="18">#REF!</definedName>
    <definedName name="mosquera" localSheetId="20">#REF!</definedName>
    <definedName name="mosquera" localSheetId="22">#REF!</definedName>
    <definedName name="mosquera" localSheetId="26">#REF!</definedName>
    <definedName name="mosquera" localSheetId="24">#REF!</definedName>
    <definedName name="mosquera" localSheetId="28">#REF!</definedName>
    <definedName name="mosquera" localSheetId="30">#REF!</definedName>
    <definedName name="mosquera" localSheetId="32">#REF!</definedName>
    <definedName name="mosquera" localSheetId="34">#REF!</definedName>
    <definedName name="mosquera" localSheetId="36">#REF!</definedName>
    <definedName name="mosquera" localSheetId="38">#REF!</definedName>
    <definedName name="mosquera" localSheetId="40">#REF!</definedName>
    <definedName name="mosquera" localSheetId="42">#REF!</definedName>
    <definedName name="mosquera" localSheetId="44">#REF!</definedName>
    <definedName name="mosquera" localSheetId="46">#REF!</definedName>
    <definedName name="mosquera" localSheetId="48">#REF!</definedName>
    <definedName name="mosquera" localSheetId="50">#REF!</definedName>
    <definedName name="mosquera" localSheetId="52">#REF!</definedName>
    <definedName name="mosquera" localSheetId="54">#REF!</definedName>
    <definedName name="mosquera" localSheetId="56">#REF!</definedName>
    <definedName name="mosquera" localSheetId="58">#REF!</definedName>
    <definedName name="mosquera" localSheetId="60">#REF!</definedName>
    <definedName name="mosquera" localSheetId="62">#REF!</definedName>
    <definedName name="mosquera" localSheetId="64">#REF!</definedName>
    <definedName name="mosquera" localSheetId="66">#REF!</definedName>
    <definedName name="mosquera" localSheetId="68">#REF!</definedName>
    <definedName name="mosquera" localSheetId="70">#REF!</definedName>
    <definedName name="mosquera" localSheetId="72">#REF!</definedName>
    <definedName name="mosquera" localSheetId="74">#REF!</definedName>
    <definedName name="mosquera" localSheetId="76">#REF!</definedName>
    <definedName name="mosquera" localSheetId="78">#REF!</definedName>
    <definedName name="mosquera" localSheetId="80">#REF!</definedName>
    <definedName name="mosquera" localSheetId="82">#REF!</definedName>
    <definedName name="mosquera" localSheetId="84">#REF!</definedName>
    <definedName name="mosquera" localSheetId="86">#REF!</definedName>
    <definedName name="mosquera" localSheetId="88">#REF!</definedName>
    <definedName name="mosquera" localSheetId="90">#REF!</definedName>
    <definedName name="mosquera" localSheetId="92">#REF!</definedName>
    <definedName name="mosquera" localSheetId="94">#REF!</definedName>
    <definedName name="mosquera" localSheetId="96">#REF!</definedName>
    <definedName name="mosquera" localSheetId="98">#REF!</definedName>
    <definedName name="mosquera" localSheetId="100">#REF!</definedName>
    <definedName name="mosquera" localSheetId="102">#REF!</definedName>
    <definedName name="mosquera" localSheetId="104">#REF!</definedName>
    <definedName name="mosquera" localSheetId="106">#REF!</definedName>
    <definedName name="mosquera" localSheetId="108">#REF!</definedName>
    <definedName name="mosquera" localSheetId="110">#REF!</definedName>
    <definedName name="mosquera" localSheetId="112">#REF!</definedName>
    <definedName name="mosquera" localSheetId="114">#REF!</definedName>
    <definedName name="mosquera" localSheetId="116">#REF!</definedName>
    <definedName name="mosquera" localSheetId="118">#REF!</definedName>
    <definedName name="mosquera" localSheetId="120">#REF!</definedName>
    <definedName name="mosquera" localSheetId="122">#REF!</definedName>
    <definedName name="mosquera" localSheetId="124">#REF!</definedName>
    <definedName name="mosquera" localSheetId="126">#REF!</definedName>
    <definedName name="mosquera" localSheetId="128">#REF!</definedName>
    <definedName name="mosquera" localSheetId="130">#REF!</definedName>
    <definedName name="mosquera" localSheetId="132">#REF!</definedName>
    <definedName name="mosquera" localSheetId="134">#REF!</definedName>
    <definedName name="mosquera" localSheetId="136">#REF!</definedName>
    <definedName name="mosquera" localSheetId="138">#REF!</definedName>
    <definedName name="mosquera" localSheetId="140">#REF!</definedName>
    <definedName name="mosquera" localSheetId="142">#REF!</definedName>
    <definedName name="mosquera" localSheetId="144">#REF!</definedName>
    <definedName name="mosquera" localSheetId="146">#REF!</definedName>
    <definedName name="mosquera" localSheetId="148">#REF!</definedName>
    <definedName name="mosquera" localSheetId="150">#REF!</definedName>
    <definedName name="mosquera" localSheetId="152">#REF!</definedName>
    <definedName name="mosquera" localSheetId="154">#REF!</definedName>
    <definedName name="mosquera" localSheetId="156">#REF!</definedName>
    <definedName name="mosquera" localSheetId="158">#REF!</definedName>
    <definedName name="mosquera" localSheetId="160">#REF!</definedName>
    <definedName name="mosquera" localSheetId="162">#REF!</definedName>
    <definedName name="mosquera" localSheetId="164">#REF!</definedName>
    <definedName name="mosquera" localSheetId="166">#REF!</definedName>
    <definedName name="mosquera" localSheetId="168">#REF!</definedName>
    <definedName name="mosquera" localSheetId="170">#REF!</definedName>
    <definedName name="mosquera" localSheetId="172">#REF!</definedName>
    <definedName name="mosquera" localSheetId="174">#REF!</definedName>
    <definedName name="mosquera" localSheetId="176">#REF!</definedName>
    <definedName name="mosquera" localSheetId="178">#REF!</definedName>
    <definedName name="mosquera" localSheetId="180">#REF!</definedName>
    <definedName name="mosquera" localSheetId="182">#REF!</definedName>
    <definedName name="mosquera" localSheetId="184">#REF!</definedName>
    <definedName name="mosquera" localSheetId="186">#REF!</definedName>
    <definedName name="mosquera" localSheetId="188">#REF!</definedName>
    <definedName name="mosquera" localSheetId="190">#REF!</definedName>
    <definedName name="mosquera" localSheetId="192">#REF!</definedName>
    <definedName name="mosquera" localSheetId="194">#REF!</definedName>
    <definedName name="mosquera" localSheetId="196">#REF!</definedName>
    <definedName name="mosquera" localSheetId="198">#REF!</definedName>
    <definedName name="mosquera" localSheetId="200">#REF!</definedName>
    <definedName name="mosquera" localSheetId="202">#REF!</definedName>
    <definedName name="mosquera" localSheetId="204">#REF!</definedName>
    <definedName name="mosquera" localSheetId="206">#REF!</definedName>
    <definedName name="mosquera" localSheetId="208">#REF!</definedName>
    <definedName name="mosquera" localSheetId="210">#REF!</definedName>
    <definedName name="mosquera" localSheetId="212">#REF!</definedName>
    <definedName name="mosquera" localSheetId="214">#REF!</definedName>
    <definedName name="mosquera" localSheetId="216">#REF!</definedName>
    <definedName name="mosquera" localSheetId="218">#REF!</definedName>
    <definedName name="mosquera" localSheetId="220">#REF!</definedName>
    <definedName name="mosquera" localSheetId="224">#REF!</definedName>
    <definedName name="mosquera" localSheetId="228">#REF!</definedName>
    <definedName name="mosquera" localSheetId="230">#REF!</definedName>
    <definedName name="mosquera" localSheetId="232">#REF!</definedName>
    <definedName name="mosquera" localSheetId="234">#REF!</definedName>
    <definedName name="mosquera" localSheetId="236">#REF!</definedName>
    <definedName name="mosquera" localSheetId="240">#REF!</definedName>
    <definedName name="mosquera" localSheetId="242">#REF!</definedName>
    <definedName name="mosquera" localSheetId="244">#REF!</definedName>
    <definedName name="mosquera" localSheetId="246">#REF!</definedName>
    <definedName name="mosquera" localSheetId="248">#REF!</definedName>
    <definedName name="mosquera" localSheetId="250">#REF!</definedName>
    <definedName name="mosquera" localSheetId="252">#REF!</definedName>
    <definedName name="mosquera" localSheetId="254">#REF!</definedName>
    <definedName name="mosquera" localSheetId="256">#REF!</definedName>
    <definedName name="mosquera" localSheetId="258">#REF!</definedName>
    <definedName name="mosquera" localSheetId="260">#REF!</definedName>
    <definedName name="mosquera" localSheetId="262">#REF!</definedName>
    <definedName name="mosquera" localSheetId="264">#REF!</definedName>
    <definedName name="mosquera" localSheetId="266">#REF!</definedName>
    <definedName name="mosquera" localSheetId="268">#REF!</definedName>
    <definedName name="mosquera" localSheetId="270">#REF!</definedName>
    <definedName name="mosquera" localSheetId="282">#REF!</definedName>
    <definedName name="mosquera" localSheetId="284">#REF!</definedName>
    <definedName name="mosquera" localSheetId="286">#REF!</definedName>
    <definedName name="mosquera" localSheetId="288">#REF!</definedName>
    <definedName name="mosquera" localSheetId="290">#REF!</definedName>
    <definedName name="mosquera" localSheetId="296">#REF!</definedName>
    <definedName name="mosquera" localSheetId="304">#REF!</definedName>
    <definedName name="mosquera" localSheetId="306">#REF!</definedName>
    <definedName name="mosquera" localSheetId="308">#REF!</definedName>
    <definedName name="mosquera" localSheetId="318">#REF!</definedName>
    <definedName name="mosquera" localSheetId="320">#REF!</definedName>
    <definedName name="mosquera" localSheetId="322">#REF!</definedName>
    <definedName name="mosquera" localSheetId="324">#REF!</definedName>
    <definedName name="mosquera" localSheetId="328">#REF!</definedName>
    <definedName name="mosquera" localSheetId="5">#REF!</definedName>
    <definedName name="mosquera" localSheetId="7">#REF!</definedName>
    <definedName name="mosquera" localSheetId="9">#REF!</definedName>
    <definedName name="mosquera" localSheetId="11">#REF!</definedName>
    <definedName name="mosquera" localSheetId="15">#REF!</definedName>
    <definedName name="mosquera" localSheetId="21">#REF!</definedName>
    <definedName name="mosquera" localSheetId="23">#REF!</definedName>
    <definedName name="mosquera" localSheetId="27">#REF!</definedName>
    <definedName name="mosquera" localSheetId="25">#REF!</definedName>
    <definedName name="mosquera" localSheetId="29">#REF!</definedName>
    <definedName name="mosquera" localSheetId="31">#REF!</definedName>
    <definedName name="mosquera" localSheetId="35">#REF!</definedName>
    <definedName name="mosquera" localSheetId="37">#REF!</definedName>
    <definedName name="mosquera" localSheetId="41">#REF!</definedName>
    <definedName name="mosquera" localSheetId="51">#REF!</definedName>
    <definedName name="mosquera" localSheetId="97">#REF!</definedName>
    <definedName name="mosquera" localSheetId="129">#REF!</definedName>
    <definedName name="mosquera" localSheetId="131">#REF!</definedName>
    <definedName name="mosquera" localSheetId="133">#REF!</definedName>
    <definedName name="mosquera" localSheetId="135">#REF!</definedName>
    <definedName name="mosquera" localSheetId="137">#REF!</definedName>
    <definedName name="mosquera" localSheetId="139">#REF!</definedName>
    <definedName name="mosquera" localSheetId="141">#REF!</definedName>
    <definedName name="mosquera" localSheetId="143">#REF!</definedName>
    <definedName name="mosquera" localSheetId="145">#REF!</definedName>
    <definedName name="mosquera" localSheetId="147">#REF!</definedName>
    <definedName name="mosquera" localSheetId="149">#REF!</definedName>
    <definedName name="mosquera" localSheetId="151">#REF!</definedName>
    <definedName name="mosquera" localSheetId="153">#REF!</definedName>
    <definedName name="mosquera" localSheetId="155">#REF!</definedName>
    <definedName name="mosquera" localSheetId="157">#REF!</definedName>
    <definedName name="mosquera" localSheetId="159">#REF!</definedName>
    <definedName name="mosquera" localSheetId="161">#REF!</definedName>
    <definedName name="mosquera" localSheetId="163">#REF!</definedName>
    <definedName name="mosquera" localSheetId="169">#REF!</definedName>
    <definedName name="mosquera" localSheetId="173">#REF!</definedName>
    <definedName name="mosquera" localSheetId="175">#REF!</definedName>
    <definedName name="mosquera" localSheetId="177">#REF!</definedName>
    <definedName name="mosquera" localSheetId="179">#REF!</definedName>
    <definedName name="mosquera" localSheetId="3">#REF!</definedName>
    <definedName name="mosquera">#REF!</definedName>
    <definedName name="MOSQUERA09018" localSheetId="6">#REF!</definedName>
    <definedName name="MOSQUERA09018" localSheetId="330">#REF!</definedName>
    <definedName name="MOSQUERA09018" localSheetId="8">#REF!</definedName>
    <definedName name="MOSQUERA09018" localSheetId="10">#REF!</definedName>
    <definedName name="MOSQUERA09018" localSheetId="12">#REF!</definedName>
    <definedName name="MOSQUERA09018" localSheetId="14">#REF!</definedName>
    <definedName name="MOSQUERA09018" localSheetId="16">#REF!</definedName>
    <definedName name="MOSQUERA09018" localSheetId="18">#REF!</definedName>
    <definedName name="MOSQUERA09018" localSheetId="20">#REF!</definedName>
    <definedName name="MOSQUERA09018" localSheetId="22">#REF!</definedName>
    <definedName name="MOSQUERA09018" localSheetId="26">#REF!</definedName>
    <definedName name="MOSQUERA09018" localSheetId="24">#REF!</definedName>
    <definedName name="MOSQUERA09018" localSheetId="28">#REF!</definedName>
    <definedName name="MOSQUERA09018" localSheetId="30">#REF!</definedName>
    <definedName name="MOSQUERA09018" localSheetId="32">#REF!</definedName>
    <definedName name="MOSQUERA09018" localSheetId="34">#REF!</definedName>
    <definedName name="MOSQUERA09018" localSheetId="36">#REF!</definedName>
    <definedName name="MOSQUERA09018" localSheetId="38">#REF!</definedName>
    <definedName name="MOSQUERA09018" localSheetId="40">#REF!</definedName>
    <definedName name="MOSQUERA09018" localSheetId="42">#REF!</definedName>
    <definedName name="MOSQUERA09018" localSheetId="44">#REF!</definedName>
    <definedName name="MOSQUERA09018" localSheetId="46">#REF!</definedName>
    <definedName name="MOSQUERA09018" localSheetId="48">#REF!</definedName>
    <definedName name="MOSQUERA09018" localSheetId="50">#REF!</definedName>
    <definedName name="MOSQUERA09018" localSheetId="52">#REF!</definedName>
    <definedName name="MOSQUERA09018" localSheetId="54">#REF!</definedName>
    <definedName name="MOSQUERA09018" localSheetId="56">#REF!</definedName>
    <definedName name="MOSQUERA09018" localSheetId="58">#REF!</definedName>
    <definedName name="MOSQUERA09018" localSheetId="60">#REF!</definedName>
    <definedName name="MOSQUERA09018" localSheetId="62">#REF!</definedName>
    <definedName name="MOSQUERA09018" localSheetId="64">#REF!</definedName>
    <definedName name="MOSQUERA09018" localSheetId="66">#REF!</definedName>
    <definedName name="MOSQUERA09018" localSheetId="68">#REF!</definedName>
    <definedName name="MOSQUERA09018" localSheetId="70">#REF!</definedName>
    <definedName name="MOSQUERA09018" localSheetId="72">#REF!</definedName>
    <definedName name="MOSQUERA09018" localSheetId="74">#REF!</definedName>
    <definedName name="MOSQUERA09018" localSheetId="76">#REF!</definedName>
    <definedName name="MOSQUERA09018" localSheetId="78">#REF!</definedName>
    <definedName name="MOSQUERA09018" localSheetId="80">#REF!</definedName>
    <definedName name="MOSQUERA09018" localSheetId="82">#REF!</definedName>
    <definedName name="MOSQUERA09018" localSheetId="84">#REF!</definedName>
    <definedName name="MOSQUERA09018" localSheetId="86">#REF!</definedName>
    <definedName name="MOSQUERA09018" localSheetId="88">#REF!</definedName>
    <definedName name="MOSQUERA09018" localSheetId="90">#REF!</definedName>
    <definedName name="MOSQUERA09018" localSheetId="92">#REF!</definedName>
    <definedName name="MOSQUERA09018" localSheetId="94">#REF!</definedName>
    <definedName name="MOSQUERA09018" localSheetId="96">#REF!</definedName>
    <definedName name="MOSQUERA09018" localSheetId="98">#REF!</definedName>
    <definedName name="MOSQUERA09018" localSheetId="100">#REF!</definedName>
    <definedName name="MOSQUERA09018" localSheetId="102">#REF!</definedName>
    <definedName name="MOSQUERA09018" localSheetId="104">#REF!</definedName>
    <definedName name="MOSQUERA09018" localSheetId="106">#REF!</definedName>
    <definedName name="MOSQUERA09018" localSheetId="108">#REF!</definedName>
    <definedName name="MOSQUERA09018" localSheetId="110">#REF!</definedName>
    <definedName name="MOSQUERA09018" localSheetId="112">#REF!</definedName>
    <definedName name="MOSQUERA09018" localSheetId="114">#REF!</definedName>
    <definedName name="MOSQUERA09018" localSheetId="116">#REF!</definedName>
    <definedName name="MOSQUERA09018" localSheetId="118">#REF!</definedName>
    <definedName name="MOSQUERA09018" localSheetId="120">#REF!</definedName>
    <definedName name="MOSQUERA09018" localSheetId="122">#REF!</definedName>
    <definedName name="MOSQUERA09018" localSheetId="124">#REF!</definedName>
    <definedName name="MOSQUERA09018" localSheetId="126">#REF!</definedName>
    <definedName name="MOSQUERA09018" localSheetId="128">#REF!</definedName>
    <definedName name="MOSQUERA09018" localSheetId="130">#REF!</definedName>
    <definedName name="MOSQUERA09018" localSheetId="132">#REF!</definedName>
    <definedName name="MOSQUERA09018" localSheetId="134">#REF!</definedName>
    <definedName name="MOSQUERA09018" localSheetId="136">#REF!</definedName>
    <definedName name="MOSQUERA09018" localSheetId="138">#REF!</definedName>
    <definedName name="MOSQUERA09018" localSheetId="140">#REF!</definedName>
    <definedName name="MOSQUERA09018" localSheetId="142">#REF!</definedName>
    <definedName name="MOSQUERA09018" localSheetId="144">#REF!</definedName>
    <definedName name="MOSQUERA09018" localSheetId="146">#REF!</definedName>
    <definedName name="MOSQUERA09018" localSheetId="148">#REF!</definedName>
    <definedName name="MOSQUERA09018" localSheetId="150">#REF!</definedName>
    <definedName name="MOSQUERA09018" localSheetId="152">#REF!</definedName>
    <definedName name="MOSQUERA09018" localSheetId="154">#REF!</definedName>
    <definedName name="MOSQUERA09018" localSheetId="156">#REF!</definedName>
    <definedName name="MOSQUERA09018" localSheetId="158">#REF!</definedName>
    <definedName name="MOSQUERA09018" localSheetId="160">#REF!</definedName>
    <definedName name="MOSQUERA09018" localSheetId="162">#REF!</definedName>
    <definedName name="MOSQUERA09018" localSheetId="164">#REF!</definedName>
    <definedName name="MOSQUERA09018" localSheetId="166">#REF!</definedName>
    <definedName name="MOSQUERA09018" localSheetId="168">#REF!</definedName>
    <definedName name="MOSQUERA09018" localSheetId="170">#REF!</definedName>
    <definedName name="MOSQUERA09018" localSheetId="172">#REF!</definedName>
    <definedName name="MOSQUERA09018" localSheetId="174">#REF!</definedName>
    <definedName name="MOSQUERA09018" localSheetId="176">#REF!</definedName>
    <definedName name="MOSQUERA09018" localSheetId="178">#REF!</definedName>
    <definedName name="MOSQUERA09018" localSheetId="180">#REF!</definedName>
    <definedName name="MOSQUERA09018" localSheetId="182">#REF!</definedName>
    <definedName name="MOSQUERA09018" localSheetId="184">#REF!</definedName>
    <definedName name="MOSQUERA09018" localSheetId="186">#REF!</definedName>
    <definedName name="MOSQUERA09018" localSheetId="188">#REF!</definedName>
    <definedName name="MOSQUERA09018" localSheetId="190">#REF!</definedName>
    <definedName name="MOSQUERA09018" localSheetId="192">#REF!</definedName>
    <definedName name="MOSQUERA09018" localSheetId="194">#REF!</definedName>
    <definedName name="MOSQUERA09018" localSheetId="196">#REF!</definedName>
    <definedName name="MOSQUERA09018" localSheetId="198">#REF!</definedName>
    <definedName name="MOSQUERA09018" localSheetId="200">#REF!</definedName>
    <definedName name="MOSQUERA09018" localSheetId="202">#REF!</definedName>
    <definedName name="MOSQUERA09018" localSheetId="204">#REF!</definedName>
    <definedName name="MOSQUERA09018" localSheetId="206">#REF!</definedName>
    <definedName name="MOSQUERA09018" localSheetId="208">#REF!</definedName>
    <definedName name="MOSQUERA09018" localSheetId="210">#REF!</definedName>
    <definedName name="MOSQUERA09018" localSheetId="212">#REF!</definedName>
    <definedName name="MOSQUERA09018" localSheetId="214">#REF!</definedName>
    <definedName name="MOSQUERA09018" localSheetId="216">#REF!</definedName>
    <definedName name="MOSQUERA09018" localSheetId="218">#REF!</definedName>
    <definedName name="MOSQUERA09018" localSheetId="220">#REF!</definedName>
    <definedName name="MOSQUERA09018" localSheetId="224">#REF!</definedName>
    <definedName name="MOSQUERA09018" localSheetId="228">#REF!</definedName>
    <definedName name="MOSQUERA09018" localSheetId="230">#REF!</definedName>
    <definedName name="MOSQUERA09018" localSheetId="232">#REF!</definedName>
    <definedName name="MOSQUERA09018" localSheetId="234">#REF!</definedName>
    <definedName name="MOSQUERA09018" localSheetId="236">#REF!</definedName>
    <definedName name="MOSQUERA09018" localSheetId="240">#REF!</definedName>
    <definedName name="MOSQUERA09018" localSheetId="242">#REF!</definedName>
    <definedName name="MOSQUERA09018" localSheetId="244">#REF!</definedName>
    <definedName name="MOSQUERA09018" localSheetId="246">#REF!</definedName>
    <definedName name="MOSQUERA09018" localSheetId="248">#REF!</definedName>
    <definedName name="MOSQUERA09018" localSheetId="250">#REF!</definedName>
    <definedName name="MOSQUERA09018" localSheetId="252">#REF!</definedName>
    <definedName name="MOSQUERA09018" localSheetId="254">#REF!</definedName>
    <definedName name="MOSQUERA09018" localSheetId="256">#REF!</definedName>
    <definedName name="MOSQUERA09018" localSheetId="258">#REF!</definedName>
    <definedName name="MOSQUERA09018" localSheetId="260">#REF!</definedName>
    <definedName name="MOSQUERA09018" localSheetId="262">#REF!</definedName>
    <definedName name="MOSQUERA09018" localSheetId="264">#REF!</definedName>
    <definedName name="MOSQUERA09018" localSheetId="266">#REF!</definedName>
    <definedName name="MOSQUERA09018" localSheetId="268">#REF!</definedName>
    <definedName name="MOSQUERA09018" localSheetId="270">#REF!</definedName>
    <definedName name="MOSQUERA09018" localSheetId="282">#REF!</definedName>
    <definedName name="MOSQUERA09018" localSheetId="284">#REF!</definedName>
    <definedName name="MOSQUERA09018" localSheetId="286">#REF!</definedName>
    <definedName name="MOSQUERA09018" localSheetId="288">#REF!</definedName>
    <definedName name="MOSQUERA09018" localSheetId="290">#REF!</definedName>
    <definedName name="MOSQUERA09018" localSheetId="296">#REF!</definedName>
    <definedName name="MOSQUERA09018" localSheetId="304">#REF!</definedName>
    <definedName name="MOSQUERA09018" localSheetId="306">#REF!</definedName>
    <definedName name="MOSQUERA09018" localSheetId="308">#REF!</definedName>
    <definedName name="MOSQUERA09018" localSheetId="318">#REF!</definedName>
    <definedName name="MOSQUERA09018" localSheetId="320">#REF!</definedName>
    <definedName name="MOSQUERA09018" localSheetId="322">#REF!</definedName>
    <definedName name="MOSQUERA09018" localSheetId="324">#REF!</definedName>
    <definedName name="MOSQUERA09018" localSheetId="328">#REF!</definedName>
    <definedName name="MOSQUERA09018" localSheetId="5">#REF!</definedName>
    <definedName name="MOSQUERA09018" localSheetId="7">#REF!</definedName>
    <definedName name="MOSQUERA09018" localSheetId="9">#REF!</definedName>
    <definedName name="MOSQUERA09018" localSheetId="11">#REF!</definedName>
    <definedName name="MOSQUERA09018" localSheetId="15">#REF!</definedName>
    <definedName name="MOSQUERA09018" localSheetId="21">#REF!</definedName>
    <definedName name="MOSQUERA09018" localSheetId="23">#REF!</definedName>
    <definedName name="MOSQUERA09018" localSheetId="27">#REF!</definedName>
    <definedName name="MOSQUERA09018" localSheetId="25">#REF!</definedName>
    <definedName name="MOSQUERA09018" localSheetId="29">#REF!</definedName>
    <definedName name="MOSQUERA09018" localSheetId="31">#REF!</definedName>
    <definedName name="MOSQUERA09018" localSheetId="35">#REF!</definedName>
    <definedName name="MOSQUERA09018" localSheetId="37">#REF!</definedName>
    <definedName name="MOSQUERA09018" localSheetId="41">#REF!</definedName>
    <definedName name="MOSQUERA09018" localSheetId="51">#REF!</definedName>
    <definedName name="MOSQUERA09018" localSheetId="97">#REF!</definedName>
    <definedName name="MOSQUERA09018" localSheetId="129">#REF!</definedName>
    <definedName name="MOSQUERA09018" localSheetId="131">#REF!</definedName>
    <definedName name="MOSQUERA09018" localSheetId="133">#REF!</definedName>
    <definedName name="MOSQUERA09018" localSheetId="135">#REF!</definedName>
    <definedName name="MOSQUERA09018" localSheetId="137">#REF!</definedName>
    <definedName name="MOSQUERA09018" localSheetId="139">#REF!</definedName>
    <definedName name="MOSQUERA09018" localSheetId="141">#REF!</definedName>
    <definedName name="MOSQUERA09018" localSheetId="143">#REF!</definedName>
    <definedName name="MOSQUERA09018" localSheetId="145">#REF!</definedName>
    <definedName name="MOSQUERA09018" localSheetId="147">#REF!</definedName>
    <definedName name="MOSQUERA09018" localSheetId="149">#REF!</definedName>
    <definedName name="MOSQUERA09018" localSheetId="151">#REF!</definedName>
    <definedName name="MOSQUERA09018" localSheetId="153">#REF!</definedName>
    <definedName name="MOSQUERA09018" localSheetId="155">#REF!</definedName>
    <definedName name="MOSQUERA09018" localSheetId="157">#REF!</definedName>
    <definedName name="MOSQUERA09018" localSheetId="159">#REF!</definedName>
    <definedName name="MOSQUERA09018" localSheetId="161">#REF!</definedName>
    <definedName name="MOSQUERA09018" localSheetId="163">#REF!</definedName>
    <definedName name="MOSQUERA09018" localSheetId="169">#REF!</definedName>
    <definedName name="MOSQUERA09018" localSheetId="173">#REF!</definedName>
    <definedName name="MOSQUERA09018" localSheetId="175">#REF!</definedName>
    <definedName name="MOSQUERA09018" localSheetId="177">#REF!</definedName>
    <definedName name="MOSQUERA09018" localSheetId="179">#REF!</definedName>
    <definedName name="MOSQUERA09018" localSheetId="3">#REF!</definedName>
    <definedName name="MOSQUERA09018">#REF!</definedName>
    <definedName name="MUÑA" localSheetId="6">#REF!</definedName>
    <definedName name="MUÑA" localSheetId="330">#REF!</definedName>
    <definedName name="MUÑA" localSheetId="8">#REF!</definedName>
    <definedName name="MUÑA" localSheetId="10">#REF!</definedName>
    <definedName name="MUÑA" localSheetId="12">#REF!</definedName>
    <definedName name="MUÑA" localSheetId="14">#REF!</definedName>
    <definedName name="MUÑA" localSheetId="16">#REF!</definedName>
    <definedName name="MUÑA" localSheetId="18">#REF!</definedName>
    <definedName name="MUÑA" localSheetId="20">#REF!</definedName>
    <definedName name="MUÑA" localSheetId="22">#REF!</definedName>
    <definedName name="MUÑA" localSheetId="26">#REF!</definedName>
    <definedName name="MUÑA" localSheetId="24">#REF!</definedName>
    <definedName name="MUÑA" localSheetId="28">#REF!</definedName>
    <definedName name="MUÑA" localSheetId="30">#REF!</definedName>
    <definedName name="MUÑA" localSheetId="32">#REF!</definedName>
    <definedName name="MUÑA" localSheetId="34">#REF!</definedName>
    <definedName name="MUÑA" localSheetId="36">#REF!</definedName>
    <definedName name="MUÑA" localSheetId="38">#REF!</definedName>
    <definedName name="MUÑA" localSheetId="40">#REF!</definedName>
    <definedName name="MUÑA" localSheetId="42">#REF!</definedName>
    <definedName name="MUÑA" localSheetId="44">#REF!</definedName>
    <definedName name="MUÑA" localSheetId="46">#REF!</definedName>
    <definedName name="MUÑA" localSheetId="48">#REF!</definedName>
    <definedName name="MUÑA" localSheetId="50">#REF!</definedName>
    <definedName name="MUÑA" localSheetId="52">#REF!</definedName>
    <definedName name="MUÑA" localSheetId="54">#REF!</definedName>
    <definedName name="MUÑA" localSheetId="56">#REF!</definedName>
    <definedName name="MUÑA" localSheetId="58">#REF!</definedName>
    <definedName name="MUÑA" localSheetId="60">#REF!</definedName>
    <definedName name="MUÑA" localSheetId="62">#REF!</definedName>
    <definedName name="MUÑA" localSheetId="64">#REF!</definedName>
    <definedName name="MUÑA" localSheetId="66">#REF!</definedName>
    <definedName name="MUÑA" localSheetId="68">#REF!</definedName>
    <definedName name="MUÑA" localSheetId="70">#REF!</definedName>
    <definedName name="MUÑA" localSheetId="72">#REF!</definedName>
    <definedName name="MUÑA" localSheetId="74">#REF!</definedName>
    <definedName name="MUÑA" localSheetId="76">#REF!</definedName>
    <definedName name="MUÑA" localSheetId="78">#REF!</definedName>
    <definedName name="MUÑA" localSheetId="80">#REF!</definedName>
    <definedName name="MUÑA" localSheetId="82">#REF!</definedName>
    <definedName name="MUÑA" localSheetId="84">#REF!</definedName>
    <definedName name="MUÑA" localSheetId="86">#REF!</definedName>
    <definedName name="MUÑA" localSheetId="88">#REF!</definedName>
    <definedName name="MUÑA" localSheetId="90">#REF!</definedName>
    <definedName name="MUÑA" localSheetId="92">#REF!</definedName>
    <definedName name="MUÑA" localSheetId="94">#REF!</definedName>
    <definedName name="MUÑA" localSheetId="96">#REF!</definedName>
    <definedName name="MUÑA" localSheetId="98">#REF!</definedName>
    <definedName name="MUÑA" localSheetId="100">#REF!</definedName>
    <definedName name="MUÑA" localSheetId="102">#REF!</definedName>
    <definedName name="MUÑA" localSheetId="104">#REF!</definedName>
    <definedName name="MUÑA" localSheetId="106">#REF!</definedName>
    <definedName name="MUÑA" localSheetId="108">#REF!</definedName>
    <definedName name="MUÑA" localSheetId="110">#REF!</definedName>
    <definedName name="MUÑA" localSheetId="112">#REF!</definedName>
    <definedName name="MUÑA" localSheetId="114">#REF!</definedName>
    <definedName name="MUÑA" localSheetId="116">#REF!</definedName>
    <definedName name="MUÑA" localSheetId="118">#REF!</definedName>
    <definedName name="MUÑA" localSheetId="120">#REF!</definedName>
    <definedName name="MUÑA" localSheetId="122">#REF!</definedName>
    <definedName name="MUÑA" localSheetId="124">#REF!</definedName>
    <definedName name="MUÑA" localSheetId="126">#REF!</definedName>
    <definedName name="MUÑA" localSheetId="128">#REF!</definedName>
    <definedName name="MUÑA" localSheetId="130">#REF!</definedName>
    <definedName name="MUÑA" localSheetId="132">#REF!</definedName>
    <definedName name="MUÑA" localSheetId="134">#REF!</definedName>
    <definedName name="MUÑA" localSheetId="136">#REF!</definedName>
    <definedName name="MUÑA" localSheetId="138">#REF!</definedName>
    <definedName name="MUÑA" localSheetId="140">#REF!</definedName>
    <definedName name="MUÑA" localSheetId="142">#REF!</definedName>
    <definedName name="MUÑA" localSheetId="144">#REF!</definedName>
    <definedName name="MUÑA" localSheetId="146">#REF!</definedName>
    <definedName name="MUÑA" localSheetId="148">#REF!</definedName>
    <definedName name="MUÑA" localSheetId="150">#REF!</definedName>
    <definedName name="MUÑA" localSheetId="152">#REF!</definedName>
    <definedName name="MUÑA" localSheetId="154">#REF!</definedName>
    <definedName name="MUÑA" localSheetId="156">#REF!</definedName>
    <definedName name="MUÑA" localSheetId="158">#REF!</definedName>
    <definedName name="MUÑA" localSheetId="160">#REF!</definedName>
    <definedName name="MUÑA" localSheetId="162">#REF!</definedName>
    <definedName name="MUÑA" localSheetId="164">#REF!</definedName>
    <definedName name="MUÑA" localSheetId="166">#REF!</definedName>
    <definedName name="MUÑA" localSheetId="168">#REF!</definedName>
    <definedName name="MUÑA" localSheetId="170">#REF!</definedName>
    <definedName name="MUÑA" localSheetId="172">#REF!</definedName>
    <definedName name="MUÑA" localSheetId="174">#REF!</definedName>
    <definedName name="MUÑA" localSheetId="176">#REF!</definedName>
    <definedName name="MUÑA" localSheetId="178">#REF!</definedName>
    <definedName name="MUÑA" localSheetId="180">#REF!</definedName>
    <definedName name="MUÑA" localSheetId="182">#REF!</definedName>
    <definedName name="MUÑA" localSheetId="184">#REF!</definedName>
    <definedName name="MUÑA" localSheetId="186">#REF!</definedName>
    <definedName name="MUÑA" localSheetId="188">#REF!</definedName>
    <definedName name="MUÑA" localSheetId="190">#REF!</definedName>
    <definedName name="MUÑA" localSheetId="192">#REF!</definedName>
    <definedName name="MUÑA" localSheetId="194">#REF!</definedName>
    <definedName name="MUÑA" localSheetId="196">#REF!</definedName>
    <definedName name="MUÑA" localSheetId="198">#REF!</definedName>
    <definedName name="MUÑA" localSheetId="200">#REF!</definedName>
    <definedName name="MUÑA" localSheetId="202">#REF!</definedName>
    <definedName name="MUÑA" localSheetId="204">#REF!</definedName>
    <definedName name="MUÑA" localSheetId="206">#REF!</definedName>
    <definedName name="MUÑA" localSheetId="208">#REF!</definedName>
    <definedName name="MUÑA" localSheetId="210">#REF!</definedName>
    <definedName name="MUÑA" localSheetId="212">#REF!</definedName>
    <definedName name="MUÑA" localSheetId="214">#REF!</definedName>
    <definedName name="MUÑA" localSheetId="216">#REF!</definedName>
    <definedName name="MUÑA" localSheetId="218">#REF!</definedName>
    <definedName name="MUÑA" localSheetId="220">#REF!</definedName>
    <definedName name="MUÑA" localSheetId="224">#REF!</definedName>
    <definedName name="MUÑA" localSheetId="228">#REF!</definedName>
    <definedName name="MUÑA" localSheetId="230">#REF!</definedName>
    <definedName name="MUÑA" localSheetId="232">#REF!</definedName>
    <definedName name="MUÑA" localSheetId="234">#REF!</definedName>
    <definedName name="MUÑA" localSheetId="236">#REF!</definedName>
    <definedName name="MUÑA" localSheetId="240">#REF!</definedName>
    <definedName name="MUÑA" localSheetId="242">#REF!</definedName>
    <definedName name="MUÑA" localSheetId="244">#REF!</definedName>
    <definedName name="MUÑA" localSheetId="246">#REF!</definedName>
    <definedName name="MUÑA" localSheetId="248">#REF!</definedName>
    <definedName name="MUÑA" localSheetId="250">#REF!</definedName>
    <definedName name="MUÑA" localSheetId="252">#REF!</definedName>
    <definedName name="MUÑA" localSheetId="254">#REF!</definedName>
    <definedName name="MUÑA" localSheetId="256">#REF!</definedName>
    <definedName name="MUÑA" localSheetId="258">#REF!</definedName>
    <definedName name="MUÑA" localSheetId="260">#REF!</definedName>
    <definedName name="MUÑA" localSheetId="262">#REF!</definedName>
    <definedName name="MUÑA" localSheetId="264">#REF!</definedName>
    <definedName name="MUÑA" localSheetId="266">#REF!</definedName>
    <definedName name="MUÑA" localSheetId="268">#REF!</definedName>
    <definedName name="MUÑA" localSheetId="270">#REF!</definedName>
    <definedName name="MUÑA" localSheetId="282">#REF!</definedName>
    <definedName name="MUÑA" localSheetId="284">#REF!</definedName>
    <definedName name="MUÑA" localSheetId="286">#REF!</definedName>
    <definedName name="MUÑA" localSheetId="288">#REF!</definedName>
    <definedName name="MUÑA" localSheetId="290">#REF!</definedName>
    <definedName name="MUÑA" localSheetId="296">#REF!</definedName>
    <definedName name="MUÑA" localSheetId="304">#REF!</definedName>
    <definedName name="MUÑA" localSheetId="306">#REF!</definedName>
    <definedName name="MUÑA" localSheetId="308">#REF!</definedName>
    <definedName name="MUÑA" localSheetId="318">#REF!</definedName>
    <definedName name="MUÑA" localSheetId="320">#REF!</definedName>
    <definedName name="MUÑA" localSheetId="322">#REF!</definedName>
    <definedName name="MUÑA" localSheetId="324">#REF!</definedName>
    <definedName name="MUÑA" localSheetId="328">#REF!</definedName>
    <definedName name="MUÑA" localSheetId="5">#REF!</definedName>
    <definedName name="MUÑA" localSheetId="7">#REF!</definedName>
    <definedName name="MUÑA" localSheetId="9">#REF!</definedName>
    <definedName name="MUÑA" localSheetId="11">#REF!</definedName>
    <definedName name="MUÑA" localSheetId="15">#REF!</definedName>
    <definedName name="MUÑA" localSheetId="21">#REF!</definedName>
    <definedName name="MUÑA" localSheetId="23">#REF!</definedName>
    <definedName name="MUÑA" localSheetId="27">#REF!</definedName>
    <definedName name="MUÑA" localSheetId="25">#REF!</definedName>
    <definedName name="MUÑA" localSheetId="29">#REF!</definedName>
    <definedName name="MUÑA" localSheetId="31">#REF!</definedName>
    <definedName name="MUÑA" localSheetId="35">#REF!</definedName>
    <definedName name="MUÑA" localSheetId="37">#REF!</definedName>
    <definedName name="MUÑA" localSheetId="41">#REF!</definedName>
    <definedName name="MUÑA" localSheetId="51">#REF!</definedName>
    <definedName name="MUÑA" localSheetId="97">#REF!</definedName>
    <definedName name="MUÑA" localSheetId="129">#REF!</definedName>
    <definedName name="MUÑA" localSheetId="131">#REF!</definedName>
    <definedName name="MUÑA" localSheetId="133">#REF!</definedName>
    <definedName name="MUÑA" localSheetId="135">#REF!</definedName>
    <definedName name="MUÑA" localSheetId="137">#REF!</definedName>
    <definedName name="MUÑA" localSheetId="139">#REF!</definedName>
    <definedName name="MUÑA" localSheetId="141">#REF!</definedName>
    <definedName name="MUÑA" localSheetId="143">#REF!</definedName>
    <definedName name="MUÑA" localSheetId="145">#REF!</definedName>
    <definedName name="MUÑA" localSheetId="147">#REF!</definedName>
    <definedName name="MUÑA" localSheetId="149">#REF!</definedName>
    <definedName name="MUÑA" localSheetId="151">#REF!</definedName>
    <definedName name="MUÑA" localSheetId="153">#REF!</definedName>
    <definedName name="MUÑA" localSheetId="155">#REF!</definedName>
    <definedName name="MUÑA" localSheetId="157">#REF!</definedName>
    <definedName name="MUÑA" localSheetId="159">#REF!</definedName>
    <definedName name="MUÑA" localSheetId="161">#REF!</definedName>
    <definedName name="MUÑA" localSheetId="163">#REF!</definedName>
    <definedName name="MUÑA" localSheetId="169">#REF!</definedName>
    <definedName name="MUÑA" localSheetId="173">#REF!</definedName>
    <definedName name="MUÑA" localSheetId="175">#REF!</definedName>
    <definedName name="MUÑA" localSheetId="177">#REF!</definedName>
    <definedName name="MUÑA" localSheetId="179">#REF!</definedName>
    <definedName name="MUÑA" localSheetId="3">#REF!</definedName>
    <definedName name="MUÑA">#REF!</definedName>
    <definedName name="NO" localSheetId="6">#REF!</definedName>
    <definedName name="NO" localSheetId="330">#REF!</definedName>
    <definedName name="NO" localSheetId="8">#REF!</definedName>
    <definedName name="NO" localSheetId="10">#REF!</definedName>
    <definedName name="NO" localSheetId="12">#REF!</definedName>
    <definedName name="NO" localSheetId="14">#REF!</definedName>
    <definedName name="NO" localSheetId="16">#REF!</definedName>
    <definedName name="NO" localSheetId="18">#REF!</definedName>
    <definedName name="NO" localSheetId="20">#REF!</definedName>
    <definedName name="NO" localSheetId="22">#REF!</definedName>
    <definedName name="NO" localSheetId="26">#REF!</definedName>
    <definedName name="NO" localSheetId="24">#REF!</definedName>
    <definedName name="NO" localSheetId="28">#REF!</definedName>
    <definedName name="NO" localSheetId="30">#REF!</definedName>
    <definedName name="NO" localSheetId="32">#REF!</definedName>
    <definedName name="NO" localSheetId="34">#REF!</definedName>
    <definedName name="NO" localSheetId="36">#REF!</definedName>
    <definedName name="NO" localSheetId="38">#REF!</definedName>
    <definedName name="NO" localSheetId="40">#REF!</definedName>
    <definedName name="NO" localSheetId="42">#REF!</definedName>
    <definedName name="NO" localSheetId="44">#REF!</definedName>
    <definedName name="NO" localSheetId="46">#REF!</definedName>
    <definedName name="NO" localSheetId="48">#REF!</definedName>
    <definedName name="NO" localSheetId="50">#REF!</definedName>
    <definedName name="NO" localSheetId="52">#REF!</definedName>
    <definedName name="NO" localSheetId="54">#REF!</definedName>
    <definedName name="NO" localSheetId="56">#REF!</definedName>
    <definedName name="NO" localSheetId="58">#REF!</definedName>
    <definedName name="NO" localSheetId="60">#REF!</definedName>
    <definedName name="NO" localSheetId="62">#REF!</definedName>
    <definedName name="NO" localSheetId="64">#REF!</definedName>
    <definedName name="NO" localSheetId="66">#REF!</definedName>
    <definedName name="NO" localSheetId="68">#REF!</definedName>
    <definedName name="NO" localSheetId="70">#REF!</definedName>
    <definedName name="NO" localSheetId="72">#REF!</definedName>
    <definedName name="NO" localSheetId="74">#REF!</definedName>
    <definedName name="NO" localSheetId="76">#REF!</definedName>
    <definedName name="NO" localSheetId="78">#REF!</definedName>
    <definedName name="NO" localSheetId="80">#REF!</definedName>
    <definedName name="NO" localSheetId="82">#REF!</definedName>
    <definedName name="NO" localSheetId="84">#REF!</definedName>
    <definedName name="NO" localSheetId="86">#REF!</definedName>
    <definedName name="NO" localSheetId="88">#REF!</definedName>
    <definedName name="NO" localSheetId="90">#REF!</definedName>
    <definedName name="NO" localSheetId="92">#REF!</definedName>
    <definedName name="NO" localSheetId="94">#REF!</definedName>
    <definedName name="NO" localSheetId="96">#REF!</definedName>
    <definedName name="NO" localSheetId="98">#REF!</definedName>
    <definedName name="NO" localSheetId="100">#REF!</definedName>
    <definedName name="NO" localSheetId="102">#REF!</definedName>
    <definedName name="NO" localSheetId="104">#REF!</definedName>
    <definedName name="NO" localSheetId="106">#REF!</definedName>
    <definedName name="NO" localSheetId="108">#REF!</definedName>
    <definedName name="NO" localSheetId="110">#REF!</definedName>
    <definedName name="NO" localSheetId="112">#REF!</definedName>
    <definedName name="NO" localSheetId="114">#REF!</definedName>
    <definedName name="NO" localSheetId="116">#REF!</definedName>
    <definedName name="NO" localSheetId="118">#REF!</definedName>
    <definedName name="NO" localSheetId="120">#REF!</definedName>
    <definedName name="NO" localSheetId="122">#REF!</definedName>
    <definedName name="NO" localSheetId="124">#REF!</definedName>
    <definedName name="NO" localSheetId="126">#REF!</definedName>
    <definedName name="NO" localSheetId="128">#REF!</definedName>
    <definedName name="NO" localSheetId="130">#REF!</definedName>
    <definedName name="NO" localSheetId="132">#REF!</definedName>
    <definedName name="NO" localSheetId="134">#REF!</definedName>
    <definedName name="NO" localSheetId="136">#REF!</definedName>
    <definedName name="NO" localSheetId="138">#REF!</definedName>
    <definedName name="NO" localSheetId="140">#REF!</definedName>
    <definedName name="NO" localSheetId="142">#REF!</definedName>
    <definedName name="NO" localSheetId="144">#REF!</definedName>
    <definedName name="NO" localSheetId="146">#REF!</definedName>
    <definedName name="NO" localSheetId="148">#REF!</definedName>
    <definedName name="NO" localSheetId="150">#REF!</definedName>
    <definedName name="NO" localSheetId="152">#REF!</definedName>
    <definedName name="NO" localSheetId="154">#REF!</definedName>
    <definedName name="NO" localSheetId="156">#REF!</definedName>
    <definedName name="NO" localSheetId="158">#REF!</definedName>
    <definedName name="NO" localSheetId="160">#REF!</definedName>
    <definedName name="NO" localSheetId="162">#REF!</definedName>
    <definedName name="NO" localSheetId="164">#REF!</definedName>
    <definedName name="NO" localSheetId="166">#REF!</definedName>
    <definedName name="NO" localSheetId="168">#REF!</definedName>
    <definedName name="NO" localSheetId="170">#REF!</definedName>
    <definedName name="NO" localSheetId="172">#REF!</definedName>
    <definedName name="NO" localSheetId="174">#REF!</definedName>
    <definedName name="NO" localSheetId="176">#REF!</definedName>
    <definedName name="NO" localSheetId="178">#REF!</definedName>
    <definedName name="NO" localSheetId="180">#REF!</definedName>
    <definedName name="NO" localSheetId="182">#REF!</definedName>
    <definedName name="NO" localSheetId="184">#REF!</definedName>
    <definedName name="NO" localSheetId="186">#REF!</definedName>
    <definedName name="NO" localSheetId="188">#REF!</definedName>
    <definedName name="NO" localSheetId="190">#REF!</definedName>
    <definedName name="NO" localSheetId="192">#REF!</definedName>
    <definedName name="NO" localSheetId="194">#REF!</definedName>
    <definedName name="NO" localSheetId="196">#REF!</definedName>
    <definedName name="NO" localSheetId="198">#REF!</definedName>
    <definedName name="NO" localSheetId="200">#REF!</definedName>
    <definedName name="NO" localSheetId="202">#REF!</definedName>
    <definedName name="NO" localSheetId="204">#REF!</definedName>
    <definedName name="NO" localSheetId="206">#REF!</definedName>
    <definedName name="NO" localSheetId="208">#REF!</definedName>
    <definedName name="NO" localSheetId="210">#REF!</definedName>
    <definedName name="NO" localSheetId="212">#REF!</definedName>
    <definedName name="NO" localSheetId="214">#REF!</definedName>
    <definedName name="NO" localSheetId="216">#REF!</definedName>
    <definedName name="NO" localSheetId="218">#REF!</definedName>
    <definedName name="NO" localSheetId="220">#REF!</definedName>
    <definedName name="NO" localSheetId="224">#REF!</definedName>
    <definedName name="NO" localSheetId="228">#REF!</definedName>
    <definedName name="NO" localSheetId="230">#REF!</definedName>
    <definedName name="NO" localSheetId="232">#REF!</definedName>
    <definedName name="NO" localSheetId="234">#REF!</definedName>
    <definedName name="NO" localSheetId="236">#REF!</definedName>
    <definedName name="NO" localSheetId="240">#REF!</definedName>
    <definedName name="NO" localSheetId="242">#REF!</definedName>
    <definedName name="NO" localSheetId="244">#REF!</definedName>
    <definedName name="NO" localSheetId="246">#REF!</definedName>
    <definedName name="NO" localSheetId="248">#REF!</definedName>
    <definedName name="NO" localSheetId="250">#REF!</definedName>
    <definedName name="NO" localSheetId="252">#REF!</definedName>
    <definedName name="NO" localSheetId="254">#REF!</definedName>
    <definedName name="NO" localSheetId="256">#REF!</definedName>
    <definedName name="NO" localSheetId="258">#REF!</definedName>
    <definedName name="NO" localSheetId="260">#REF!</definedName>
    <definedName name="NO" localSheetId="262">#REF!</definedName>
    <definedName name="NO" localSheetId="264">#REF!</definedName>
    <definedName name="NO" localSheetId="266">#REF!</definedName>
    <definedName name="NO" localSheetId="268">#REF!</definedName>
    <definedName name="NO" localSheetId="270">#REF!</definedName>
    <definedName name="NO" localSheetId="282">#REF!</definedName>
    <definedName name="NO" localSheetId="284">#REF!</definedName>
    <definedName name="NO" localSheetId="286">#REF!</definedName>
    <definedName name="NO" localSheetId="288">#REF!</definedName>
    <definedName name="NO" localSheetId="290">#REF!</definedName>
    <definedName name="NO" localSheetId="296">#REF!</definedName>
    <definedName name="NO" localSheetId="304">#REF!</definedName>
    <definedName name="NO" localSheetId="306">#REF!</definedName>
    <definedName name="NO" localSheetId="308">#REF!</definedName>
    <definedName name="NO" localSheetId="318">#REF!</definedName>
    <definedName name="NO" localSheetId="320">#REF!</definedName>
    <definedName name="NO" localSheetId="322">#REF!</definedName>
    <definedName name="NO" localSheetId="324">#REF!</definedName>
    <definedName name="NO" localSheetId="328">#REF!</definedName>
    <definedName name="NO" localSheetId="5">#REF!</definedName>
    <definedName name="NO" localSheetId="7">#REF!</definedName>
    <definedName name="NO" localSheetId="9">#REF!</definedName>
    <definedName name="NO" localSheetId="11">#REF!</definedName>
    <definedName name="NO" localSheetId="15">#REF!</definedName>
    <definedName name="NO" localSheetId="21">#REF!</definedName>
    <definedName name="NO" localSheetId="23">#REF!</definedName>
    <definedName name="NO" localSheetId="27">#REF!</definedName>
    <definedName name="NO" localSheetId="25">#REF!</definedName>
    <definedName name="NO" localSheetId="29">#REF!</definedName>
    <definedName name="NO" localSheetId="31">#REF!</definedName>
    <definedName name="NO" localSheetId="35">#REF!</definedName>
    <definedName name="NO" localSheetId="37">#REF!</definedName>
    <definedName name="NO" localSheetId="41">#REF!</definedName>
    <definedName name="NO" localSheetId="51">#REF!</definedName>
    <definedName name="NO" localSheetId="97">#REF!</definedName>
    <definedName name="NO" localSheetId="129">#REF!</definedName>
    <definedName name="NO" localSheetId="131">#REF!</definedName>
    <definedName name="NO" localSheetId="133">#REF!</definedName>
    <definedName name="NO" localSheetId="135">#REF!</definedName>
    <definedName name="NO" localSheetId="137">#REF!</definedName>
    <definedName name="NO" localSheetId="139">#REF!</definedName>
    <definedName name="NO" localSheetId="141">#REF!</definedName>
    <definedName name="NO" localSheetId="143">#REF!</definedName>
    <definedName name="NO" localSheetId="145">#REF!</definedName>
    <definedName name="NO" localSheetId="147">#REF!</definedName>
    <definedName name="NO" localSheetId="149">#REF!</definedName>
    <definedName name="NO" localSheetId="151">#REF!</definedName>
    <definedName name="NO" localSheetId="153">#REF!</definedName>
    <definedName name="NO" localSheetId="155">#REF!</definedName>
    <definedName name="NO" localSheetId="157">#REF!</definedName>
    <definedName name="NO" localSheetId="159">#REF!</definedName>
    <definedName name="NO" localSheetId="161">#REF!</definedName>
    <definedName name="NO" localSheetId="163">#REF!</definedName>
    <definedName name="NO" localSheetId="169">#REF!</definedName>
    <definedName name="NO" localSheetId="173">#REF!</definedName>
    <definedName name="NO" localSheetId="175">#REF!</definedName>
    <definedName name="NO" localSheetId="177">#REF!</definedName>
    <definedName name="NO" localSheetId="179">#REF!</definedName>
    <definedName name="NO" localSheetId="3">#REF!</definedName>
    <definedName name="NO">#REF!</definedName>
    <definedName name="NVO" localSheetId="6">#REF!</definedName>
    <definedName name="NVO" localSheetId="330">#REF!</definedName>
    <definedName name="NVO" localSheetId="8">#REF!</definedName>
    <definedName name="NVO" localSheetId="10">#REF!</definedName>
    <definedName name="NVO" localSheetId="12">#REF!</definedName>
    <definedName name="NVO" localSheetId="14">#REF!</definedName>
    <definedName name="NVO" localSheetId="16">#REF!</definedName>
    <definedName name="NVO" localSheetId="18">#REF!</definedName>
    <definedName name="NVO" localSheetId="20">#REF!</definedName>
    <definedName name="NVO" localSheetId="22">#REF!</definedName>
    <definedName name="NVO" localSheetId="26">#REF!</definedName>
    <definedName name="NVO" localSheetId="24">#REF!</definedName>
    <definedName name="NVO" localSheetId="28">#REF!</definedName>
    <definedName name="NVO" localSheetId="30">#REF!</definedName>
    <definedName name="NVO" localSheetId="32">#REF!</definedName>
    <definedName name="NVO" localSheetId="34">#REF!</definedName>
    <definedName name="NVO" localSheetId="36">#REF!</definedName>
    <definedName name="NVO" localSheetId="38">#REF!</definedName>
    <definedName name="NVO" localSheetId="40">#REF!</definedName>
    <definedName name="NVO" localSheetId="42">#REF!</definedName>
    <definedName name="NVO" localSheetId="44">#REF!</definedName>
    <definedName name="NVO" localSheetId="46">#REF!</definedName>
    <definedName name="NVO" localSheetId="48">#REF!</definedName>
    <definedName name="NVO" localSheetId="50">#REF!</definedName>
    <definedName name="NVO" localSheetId="52">#REF!</definedName>
    <definedName name="NVO" localSheetId="54">#REF!</definedName>
    <definedName name="NVO" localSheetId="56">#REF!</definedName>
    <definedName name="NVO" localSheetId="58">#REF!</definedName>
    <definedName name="NVO" localSheetId="60">#REF!</definedName>
    <definedName name="NVO" localSheetId="62">#REF!</definedName>
    <definedName name="NVO" localSheetId="64">#REF!</definedName>
    <definedName name="NVO" localSheetId="66">#REF!</definedName>
    <definedName name="NVO" localSheetId="68">#REF!</definedName>
    <definedName name="NVO" localSheetId="70">#REF!</definedName>
    <definedName name="NVO" localSheetId="72">#REF!</definedName>
    <definedName name="NVO" localSheetId="74">#REF!</definedName>
    <definedName name="NVO" localSheetId="76">#REF!</definedName>
    <definedName name="NVO" localSheetId="78">#REF!</definedName>
    <definedName name="NVO" localSheetId="80">#REF!</definedName>
    <definedName name="NVO" localSheetId="82">#REF!</definedName>
    <definedName name="NVO" localSheetId="84">#REF!</definedName>
    <definedName name="NVO" localSheetId="86">#REF!</definedName>
    <definedName name="NVO" localSheetId="88">#REF!</definedName>
    <definedName name="NVO" localSheetId="90">#REF!</definedName>
    <definedName name="NVO" localSheetId="92">#REF!</definedName>
    <definedName name="NVO" localSheetId="94">#REF!</definedName>
    <definedName name="NVO" localSheetId="96">#REF!</definedName>
    <definedName name="NVO" localSheetId="98">#REF!</definedName>
    <definedName name="NVO" localSheetId="100">#REF!</definedName>
    <definedName name="NVO" localSheetId="102">#REF!</definedName>
    <definedName name="NVO" localSheetId="104">#REF!</definedName>
    <definedName name="NVO" localSheetId="106">#REF!</definedName>
    <definedName name="NVO" localSheetId="108">#REF!</definedName>
    <definedName name="NVO" localSheetId="110">#REF!</definedName>
    <definedName name="NVO" localSheetId="112">#REF!</definedName>
    <definedName name="NVO" localSheetId="114">#REF!</definedName>
    <definedName name="NVO" localSheetId="116">#REF!</definedName>
    <definedName name="NVO" localSheetId="118">#REF!</definedName>
    <definedName name="NVO" localSheetId="120">#REF!</definedName>
    <definedName name="NVO" localSheetId="122">#REF!</definedName>
    <definedName name="NVO" localSheetId="124">#REF!</definedName>
    <definedName name="NVO" localSheetId="126">#REF!</definedName>
    <definedName name="NVO" localSheetId="128">#REF!</definedName>
    <definedName name="NVO" localSheetId="130">#REF!</definedName>
    <definedName name="NVO" localSheetId="132">#REF!</definedName>
    <definedName name="NVO" localSheetId="134">#REF!</definedName>
    <definedName name="NVO" localSheetId="136">#REF!</definedName>
    <definedName name="NVO" localSheetId="138">#REF!</definedName>
    <definedName name="NVO" localSheetId="140">#REF!</definedName>
    <definedName name="NVO" localSheetId="142">#REF!</definedName>
    <definedName name="NVO" localSheetId="144">#REF!</definedName>
    <definedName name="NVO" localSheetId="146">#REF!</definedName>
    <definedName name="NVO" localSheetId="148">#REF!</definedName>
    <definedName name="NVO" localSheetId="150">#REF!</definedName>
    <definedName name="NVO" localSheetId="152">#REF!</definedName>
    <definedName name="NVO" localSheetId="154">#REF!</definedName>
    <definedName name="NVO" localSheetId="156">#REF!</definedName>
    <definedName name="NVO" localSheetId="158">#REF!</definedName>
    <definedName name="NVO" localSheetId="160">#REF!</definedName>
    <definedName name="NVO" localSheetId="162">#REF!</definedName>
    <definedName name="NVO" localSheetId="164">#REF!</definedName>
    <definedName name="NVO" localSheetId="166">#REF!</definedName>
    <definedName name="NVO" localSheetId="168">#REF!</definedName>
    <definedName name="NVO" localSheetId="170">#REF!</definedName>
    <definedName name="NVO" localSheetId="172">#REF!</definedName>
    <definedName name="NVO" localSheetId="174">#REF!</definedName>
    <definedName name="NVO" localSheetId="176">#REF!</definedName>
    <definedName name="NVO" localSheetId="178">#REF!</definedName>
    <definedName name="NVO" localSheetId="180">#REF!</definedName>
    <definedName name="NVO" localSheetId="182">#REF!</definedName>
    <definedName name="NVO" localSheetId="184">#REF!</definedName>
    <definedName name="NVO" localSheetId="186">#REF!</definedName>
    <definedName name="NVO" localSheetId="188">#REF!</definedName>
    <definedName name="NVO" localSheetId="190">#REF!</definedName>
    <definedName name="NVO" localSheetId="192">#REF!</definedName>
    <definedName name="NVO" localSheetId="194">#REF!</definedName>
    <definedName name="NVO" localSheetId="196">#REF!</definedName>
    <definedName name="NVO" localSheetId="198">#REF!</definedName>
    <definedName name="NVO" localSheetId="200">#REF!</definedName>
    <definedName name="NVO" localSheetId="202">#REF!</definedName>
    <definedName name="NVO" localSheetId="204">#REF!</definedName>
    <definedName name="NVO" localSheetId="206">#REF!</definedName>
    <definedName name="NVO" localSheetId="208">#REF!</definedName>
    <definedName name="NVO" localSheetId="210">#REF!</definedName>
    <definedName name="NVO" localSheetId="212">#REF!</definedName>
    <definedName name="NVO" localSheetId="214">#REF!</definedName>
    <definedName name="NVO" localSheetId="216">#REF!</definedName>
    <definedName name="NVO" localSheetId="218">#REF!</definedName>
    <definedName name="NVO" localSheetId="220">#REF!</definedName>
    <definedName name="NVO" localSheetId="224">#REF!</definedName>
    <definedName name="NVO" localSheetId="228">#REF!</definedName>
    <definedName name="NVO" localSheetId="230">#REF!</definedName>
    <definedName name="NVO" localSheetId="232">#REF!</definedName>
    <definedName name="NVO" localSheetId="234">#REF!</definedName>
    <definedName name="NVO" localSheetId="236">#REF!</definedName>
    <definedName name="NVO" localSheetId="240">#REF!</definedName>
    <definedName name="NVO" localSheetId="242">#REF!</definedName>
    <definedName name="NVO" localSheetId="244">#REF!</definedName>
    <definedName name="NVO" localSheetId="246">#REF!</definedName>
    <definedName name="NVO" localSheetId="248">#REF!</definedName>
    <definedName name="NVO" localSheetId="250">#REF!</definedName>
    <definedName name="NVO" localSheetId="252">#REF!</definedName>
    <definedName name="NVO" localSheetId="254">#REF!</definedName>
    <definedName name="NVO" localSheetId="256">#REF!</definedName>
    <definedName name="NVO" localSheetId="258">#REF!</definedName>
    <definedName name="NVO" localSheetId="260">#REF!</definedName>
    <definedName name="NVO" localSheetId="262">#REF!</definedName>
    <definedName name="NVO" localSheetId="264">#REF!</definedName>
    <definedName name="NVO" localSheetId="266">#REF!</definedName>
    <definedName name="NVO" localSheetId="268">#REF!</definedName>
    <definedName name="NVO" localSheetId="270">#REF!</definedName>
    <definedName name="NVO" localSheetId="282">#REF!</definedName>
    <definedName name="NVO" localSheetId="284">#REF!</definedName>
    <definedName name="NVO" localSheetId="286">#REF!</definedName>
    <definedName name="NVO" localSheetId="288">#REF!</definedName>
    <definedName name="NVO" localSheetId="290">#REF!</definedName>
    <definedName name="NVO" localSheetId="296">#REF!</definedName>
    <definedName name="NVO" localSheetId="304">#REF!</definedName>
    <definedName name="NVO" localSheetId="306">#REF!</definedName>
    <definedName name="NVO" localSheetId="308">#REF!</definedName>
    <definedName name="NVO" localSheetId="318">#REF!</definedName>
    <definedName name="NVO" localSheetId="320">#REF!</definedName>
    <definedName name="NVO" localSheetId="322">#REF!</definedName>
    <definedName name="NVO" localSheetId="324">#REF!</definedName>
    <definedName name="NVO" localSheetId="328">#REF!</definedName>
    <definedName name="NVO" localSheetId="5">#REF!</definedName>
    <definedName name="NVO" localSheetId="7">#REF!</definedName>
    <definedName name="NVO" localSheetId="9">#REF!</definedName>
    <definedName name="NVO" localSheetId="11">#REF!</definedName>
    <definedName name="NVO" localSheetId="15">#REF!</definedName>
    <definedName name="NVO" localSheetId="21">#REF!</definedName>
    <definedName name="NVO" localSheetId="23">#REF!</definedName>
    <definedName name="NVO" localSheetId="27">#REF!</definedName>
    <definedName name="NVO" localSheetId="25">#REF!</definedName>
    <definedName name="NVO" localSheetId="29">#REF!</definedName>
    <definedName name="NVO" localSheetId="31">#REF!</definedName>
    <definedName name="NVO" localSheetId="35">#REF!</definedName>
    <definedName name="NVO" localSheetId="37">#REF!</definedName>
    <definedName name="NVO" localSheetId="41">#REF!</definedName>
    <definedName name="NVO" localSheetId="51">#REF!</definedName>
    <definedName name="NVO" localSheetId="97">#REF!</definedName>
    <definedName name="NVO" localSheetId="129">#REF!</definedName>
    <definedName name="NVO" localSheetId="131">#REF!</definedName>
    <definedName name="NVO" localSheetId="133">#REF!</definedName>
    <definedName name="NVO" localSheetId="135">#REF!</definedName>
    <definedName name="NVO" localSheetId="137">#REF!</definedName>
    <definedName name="NVO" localSheetId="139">#REF!</definedName>
    <definedName name="NVO" localSheetId="141">#REF!</definedName>
    <definedName name="NVO" localSheetId="143">#REF!</definedName>
    <definedName name="NVO" localSheetId="145">#REF!</definedName>
    <definedName name="NVO" localSheetId="147">#REF!</definedName>
    <definedName name="NVO" localSheetId="149">#REF!</definedName>
    <definedName name="NVO" localSheetId="151">#REF!</definedName>
    <definedName name="NVO" localSheetId="153">#REF!</definedName>
    <definedName name="NVO" localSheetId="155">#REF!</definedName>
    <definedName name="NVO" localSheetId="157">#REF!</definedName>
    <definedName name="NVO" localSheetId="159">#REF!</definedName>
    <definedName name="NVO" localSheetId="161">#REF!</definedName>
    <definedName name="NVO" localSheetId="163">#REF!</definedName>
    <definedName name="NVO" localSheetId="169">#REF!</definedName>
    <definedName name="NVO" localSheetId="173">#REF!</definedName>
    <definedName name="NVO" localSheetId="175">#REF!</definedName>
    <definedName name="NVO" localSheetId="177">#REF!</definedName>
    <definedName name="NVO" localSheetId="179">#REF!</definedName>
    <definedName name="NVO" localSheetId="3">#REF!</definedName>
    <definedName name="NVO">#REF!</definedName>
    <definedName name="ok" localSheetId="6">#REF!</definedName>
    <definedName name="ok" localSheetId="330">#REF!</definedName>
    <definedName name="ok" localSheetId="8">#REF!</definedName>
    <definedName name="ok" localSheetId="10">#REF!</definedName>
    <definedName name="ok" localSheetId="12">#REF!</definedName>
    <definedName name="ok" localSheetId="14">#REF!</definedName>
    <definedName name="ok" localSheetId="16">#REF!</definedName>
    <definedName name="ok" localSheetId="18">#REF!</definedName>
    <definedName name="ok" localSheetId="20">#REF!</definedName>
    <definedName name="ok" localSheetId="22">#REF!</definedName>
    <definedName name="ok" localSheetId="26">#REF!</definedName>
    <definedName name="ok" localSheetId="24">#REF!</definedName>
    <definedName name="ok" localSheetId="28">#REF!</definedName>
    <definedName name="ok" localSheetId="30">#REF!</definedName>
    <definedName name="ok" localSheetId="32">#REF!</definedName>
    <definedName name="ok" localSheetId="34">#REF!</definedName>
    <definedName name="ok" localSheetId="36">#REF!</definedName>
    <definedName name="ok" localSheetId="38">#REF!</definedName>
    <definedName name="ok" localSheetId="40">#REF!</definedName>
    <definedName name="ok" localSheetId="42">#REF!</definedName>
    <definedName name="ok" localSheetId="44">#REF!</definedName>
    <definedName name="ok" localSheetId="46">#REF!</definedName>
    <definedName name="ok" localSheetId="48">#REF!</definedName>
    <definedName name="ok" localSheetId="50">#REF!</definedName>
    <definedName name="ok" localSheetId="52">#REF!</definedName>
    <definedName name="ok" localSheetId="54">#REF!</definedName>
    <definedName name="ok" localSheetId="56">#REF!</definedName>
    <definedName name="ok" localSheetId="58">#REF!</definedName>
    <definedName name="ok" localSheetId="60">#REF!</definedName>
    <definedName name="ok" localSheetId="62">#REF!</definedName>
    <definedName name="ok" localSheetId="64">#REF!</definedName>
    <definedName name="ok" localSheetId="66">#REF!</definedName>
    <definedName name="ok" localSheetId="68">#REF!</definedName>
    <definedName name="ok" localSheetId="70">#REF!</definedName>
    <definedName name="ok" localSheetId="72">#REF!</definedName>
    <definedName name="ok" localSheetId="74">#REF!</definedName>
    <definedName name="ok" localSheetId="76">#REF!</definedName>
    <definedName name="ok" localSheetId="78">#REF!</definedName>
    <definedName name="ok" localSheetId="80">#REF!</definedName>
    <definedName name="ok" localSheetId="82">#REF!</definedName>
    <definedName name="ok" localSheetId="84">#REF!</definedName>
    <definedName name="ok" localSheetId="86">#REF!</definedName>
    <definedName name="ok" localSheetId="88">#REF!</definedName>
    <definedName name="ok" localSheetId="90">#REF!</definedName>
    <definedName name="ok" localSheetId="92">#REF!</definedName>
    <definedName name="ok" localSheetId="94">#REF!</definedName>
    <definedName name="ok" localSheetId="96">#REF!</definedName>
    <definedName name="ok" localSheetId="98">#REF!</definedName>
    <definedName name="ok" localSheetId="100">#REF!</definedName>
    <definedName name="ok" localSheetId="102">#REF!</definedName>
    <definedName name="ok" localSheetId="104">#REF!</definedName>
    <definedName name="ok" localSheetId="106">#REF!</definedName>
    <definedName name="ok" localSheetId="108">#REF!</definedName>
    <definedName name="ok" localSheetId="110">#REF!</definedName>
    <definedName name="ok" localSheetId="112">#REF!</definedName>
    <definedName name="ok" localSheetId="114">#REF!</definedName>
    <definedName name="ok" localSheetId="116">#REF!</definedName>
    <definedName name="ok" localSheetId="118">#REF!</definedName>
    <definedName name="ok" localSheetId="120">#REF!</definedName>
    <definedName name="ok" localSheetId="122">#REF!</definedName>
    <definedName name="ok" localSheetId="124">#REF!</definedName>
    <definedName name="ok" localSheetId="126">#REF!</definedName>
    <definedName name="ok" localSheetId="128">#REF!</definedName>
    <definedName name="ok" localSheetId="130">#REF!</definedName>
    <definedName name="ok" localSheetId="132">#REF!</definedName>
    <definedName name="ok" localSheetId="134">#REF!</definedName>
    <definedName name="ok" localSheetId="136">#REF!</definedName>
    <definedName name="ok" localSheetId="138">#REF!</definedName>
    <definedName name="ok" localSheetId="140">#REF!</definedName>
    <definedName name="ok" localSheetId="142">#REF!</definedName>
    <definedName name="ok" localSheetId="144">#REF!</definedName>
    <definedName name="ok" localSheetId="146">#REF!</definedName>
    <definedName name="ok" localSheetId="148">#REF!</definedName>
    <definedName name="ok" localSheetId="150">#REF!</definedName>
    <definedName name="ok" localSheetId="152">#REF!</definedName>
    <definedName name="ok" localSheetId="154">#REF!</definedName>
    <definedName name="ok" localSheetId="156">#REF!</definedName>
    <definedName name="ok" localSheetId="158">#REF!</definedName>
    <definedName name="ok" localSheetId="160">#REF!</definedName>
    <definedName name="ok" localSheetId="162">#REF!</definedName>
    <definedName name="ok" localSheetId="164">#REF!</definedName>
    <definedName name="ok" localSheetId="166">#REF!</definedName>
    <definedName name="ok" localSheetId="168">#REF!</definedName>
    <definedName name="ok" localSheetId="170">#REF!</definedName>
    <definedName name="ok" localSheetId="172">#REF!</definedName>
    <definedName name="ok" localSheetId="174">#REF!</definedName>
    <definedName name="ok" localSheetId="176">#REF!</definedName>
    <definedName name="ok" localSheetId="178">#REF!</definedName>
    <definedName name="ok" localSheetId="180">#REF!</definedName>
    <definedName name="ok" localSheetId="182">#REF!</definedName>
    <definedName name="ok" localSheetId="184">#REF!</definedName>
    <definedName name="ok" localSheetId="186">#REF!</definedName>
    <definedName name="ok" localSheetId="188">#REF!</definedName>
    <definedName name="ok" localSheetId="190">#REF!</definedName>
    <definedName name="ok" localSheetId="192">#REF!</definedName>
    <definedName name="ok" localSheetId="194">#REF!</definedName>
    <definedName name="ok" localSheetId="196">#REF!</definedName>
    <definedName name="ok" localSheetId="198">#REF!</definedName>
    <definedName name="ok" localSheetId="200">#REF!</definedName>
    <definedName name="ok" localSheetId="202">#REF!</definedName>
    <definedName name="ok" localSheetId="204">#REF!</definedName>
    <definedName name="ok" localSheetId="206">#REF!</definedName>
    <definedName name="ok" localSheetId="208">#REF!</definedName>
    <definedName name="ok" localSheetId="210">#REF!</definedName>
    <definedName name="ok" localSheetId="212">#REF!</definedName>
    <definedName name="ok" localSheetId="214">#REF!</definedName>
    <definedName name="ok" localSheetId="216">#REF!</definedName>
    <definedName name="ok" localSheetId="218">#REF!</definedName>
    <definedName name="ok" localSheetId="220">#REF!</definedName>
    <definedName name="ok" localSheetId="224">#REF!</definedName>
    <definedName name="ok" localSheetId="228">#REF!</definedName>
    <definedName name="ok" localSheetId="230">#REF!</definedName>
    <definedName name="ok" localSheetId="232">#REF!</definedName>
    <definedName name="ok" localSheetId="234">#REF!</definedName>
    <definedName name="ok" localSheetId="236">#REF!</definedName>
    <definedName name="ok" localSheetId="240">#REF!</definedName>
    <definedName name="ok" localSheetId="242">#REF!</definedName>
    <definedName name="ok" localSheetId="244">#REF!</definedName>
    <definedName name="ok" localSheetId="246">#REF!</definedName>
    <definedName name="ok" localSheetId="248">#REF!</definedName>
    <definedName name="ok" localSheetId="250">#REF!</definedName>
    <definedName name="ok" localSheetId="252">#REF!</definedName>
    <definedName name="ok" localSheetId="254">#REF!</definedName>
    <definedName name="ok" localSheetId="256">#REF!</definedName>
    <definedName name="ok" localSheetId="258">#REF!</definedName>
    <definedName name="ok" localSheetId="260">#REF!</definedName>
    <definedName name="ok" localSheetId="262">#REF!</definedName>
    <definedName name="ok" localSheetId="264">#REF!</definedName>
    <definedName name="ok" localSheetId="266">#REF!</definedName>
    <definedName name="ok" localSheetId="268">#REF!</definedName>
    <definedName name="ok" localSheetId="270">#REF!</definedName>
    <definedName name="ok" localSheetId="282">#REF!</definedName>
    <definedName name="ok" localSheetId="284">#REF!</definedName>
    <definedName name="ok" localSheetId="286">#REF!</definedName>
    <definedName name="ok" localSheetId="288">#REF!</definedName>
    <definedName name="ok" localSheetId="290">#REF!</definedName>
    <definedName name="ok" localSheetId="296">#REF!</definedName>
    <definedName name="ok" localSheetId="304">#REF!</definedName>
    <definedName name="ok" localSheetId="306">#REF!</definedName>
    <definedName name="ok" localSheetId="308">#REF!</definedName>
    <definedName name="ok" localSheetId="318">#REF!</definedName>
    <definedName name="ok" localSheetId="320">#REF!</definedName>
    <definedName name="ok" localSheetId="322">#REF!</definedName>
    <definedName name="ok" localSheetId="324">#REF!</definedName>
    <definedName name="ok" localSheetId="328">#REF!</definedName>
    <definedName name="ok" localSheetId="5">#REF!</definedName>
    <definedName name="ok" localSheetId="7">#REF!</definedName>
    <definedName name="ok" localSheetId="9">#REF!</definedName>
    <definedName name="ok" localSheetId="11">#REF!</definedName>
    <definedName name="ok" localSheetId="15">#REF!</definedName>
    <definedName name="ok" localSheetId="21">#REF!</definedName>
    <definedName name="ok" localSheetId="23">#REF!</definedName>
    <definedName name="ok" localSheetId="27">#REF!</definedName>
    <definedName name="ok" localSheetId="25">#REF!</definedName>
    <definedName name="ok" localSheetId="29">#REF!</definedName>
    <definedName name="ok" localSheetId="31">#REF!</definedName>
    <definedName name="ok" localSheetId="35">#REF!</definedName>
    <definedName name="ok" localSheetId="37">#REF!</definedName>
    <definedName name="ok" localSheetId="41">#REF!</definedName>
    <definedName name="ok" localSheetId="51">#REF!</definedName>
    <definedName name="ok" localSheetId="97">#REF!</definedName>
    <definedName name="ok" localSheetId="129">#REF!</definedName>
    <definedName name="ok" localSheetId="131">#REF!</definedName>
    <definedName name="ok" localSheetId="133">#REF!</definedName>
    <definedName name="ok" localSheetId="135">#REF!</definedName>
    <definedName name="ok" localSheetId="137">#REF!</definedName>
    <definedName name="ok" localSheetId="139">#REF!</definedName>
    <definedName name="ok" localSheetId="141">#REF!</definedName>
    <definedName name="ok" localSheetId="143">#REF!</definedName>
    <definedName name="ok" localSheetId="145">#REF!</definedName>
    <definedName name="ok" localSheetId="147">#REF!</definedName>
    <definedName name="ok" localSheetId="149">#REF!</definedName>
    <definedName name="ok" localSheetId="151">#REF!</definedName>
    <definedName name="ok" localSheetId="153">#REF!</definedName>
    <definedName name="ok" localSheetId="155">#REF!</definedName>
    <definedName name="ok" localSheetId="157">#REF!</definedName>
    <definedName name="ok" localSheetId="159">#REF!</definedName>
    <definedName name="ok" localSheetId="161">#REF!</definedName>
    <definedName name="ok" localSheetId="163">#REF!</definedName>
    <definedName name="ok" localSheetId="169">#REF!</definedName>
    <definedName name="ok" localSheetId="173">#REF!</definedName>
    <definedName name="ok" localSheetId="175">#REF!</definedName>
    <definedName name="ok" localSheetId="177">#REF!</definedName>
    <definedName name="ok" localSheetId="179">#REF!</definedName>
    <definedName name="ok" localSheetId="3">#REF!</definedName>
    <definedName name="ok">#REF!</definedName>
    <definedName name="OTRA" localSheetId="6">#REF!</definedName>
    <definedName name="OTRA" localSheetId="330">#REF!</definedName>
    <definedName name="OTRA" localSheetId="8">#REF!</definedName>
    <definedName name="OTRA" localSheetId="10">#REF!</definedName>
    <definedName name="OTRA" localSheetId="12">#REF!</definedName>
    <definedName name="OTRA" localSheetId="14">#REF!</definedName>
    <definedName name="OTRA" localSheetId="16">#REF!</definedName>
    <definedName name="OTRA" localSheetId="18">#REF!</definedName>
    <definedName name="OTRA" localSheetId="20">#REF!</definedName>
    <definedName name="OTRA" localSheetId="22">#REF!</definedName>
    <definedName name="OTRA" localSheetId="26">#REF!</definedName>
    <definedName name="OTRA" localSheetId="24">#REF!</definedName>
    <definedName name="OTRA" localSheetId="28">#REF!</definedName>
    <definedName name="OTRA" localSheetId="30">#REF!</definedName>
    <definedName name="OTRA" localSheetId="32">#REF!</definedName>
    <definedName name="OTRA" localSheetId="34">#REF!</definedName>
    <definedName name="OTRA" localSheetId="36">#REF!</definedName>
    <definedName name="OTRA" localSheetId="38">#REF!</definedName>
    <definedName name="OTRA" localSheetId="40">#REF!</definedName>
    <definedName name="OTRA" localSheetId="42">#REF!</definedName>
    <definedName name="OTRA" localSheetId="44">#REF!</definedName>
    <definedName name="OTRA" localSheetId="46">#REF!</definedName>
    <definedName name="OTRA" localSheetId="48">#REF!</definedName>
    <definedName name="OTRA" localSheetId="50">#REF!</definedName>
    <definedName name="OTRA" localSheetId="52">#REF!</definedName>
    <definedName name="OTRA" localSheetId="54">#REF!</definedName>
    <definedName name="OTRA" localSheetId="56">#REF!</definedName>
    <definedName name="OTRA" localSheetId="58">#REF!</definedName>
    <definedName name="OTRA" localSheetId="60">#REF!</definedName>
    <definedName name="OTRA" localSheetId="62">#REF!</definedName>
    <definedName name="OTRA" localSheetId="64">#REF!</definedName>
    <definedName name="OTRA" localSheetId="66">#REF!</definedName>
    <definedName name="OTRA" localSheetId="68">#REF!</definedName>
    <definedName name="OTRA" localSheetId="70">#REF!</definedName>
    <definedName name="OTRA" localSheetId="72">#REF!</definedName>
    <definedName name="OTRA" localSheetId="74">#REF!</definedName>
    <definedName name="OTRA" localSheetId="76">#REF!</definedName>
    <definedName name="OTRA" localSheetId="78">#REF!</definedName>
    <definedName name="OTRA" localSheetId="80">#REF!</definedName>
    <definedName name="OTRA" localSheetId="82">#REF!</definedName>
    <definedName name="OTRA" localSheetId="84">#REF!</definedName>
    <definedName name="OTRA" localSheetId="86">#REF!</definedName>
    <definedName name="OTRA" localSheetId="88">#REF!</definedName>
    <definedName name="OTRA" localSheetId="90">#REF!</definedName>
    <definedName name="OTRA" localSheetId="92">#REF!</definedName>
    <definedName name="OTRA" localSheetId="94">#REF!</definedName>
    <definedName name="OTRA" localSheetId="96">#REF!</definedName>
    <definedName name="OTRA" localSheetId="98">#REF!</definedName>
    <definedName name="OTRA" localSheetId="100">#REF!</definedName>
    <definedName name="OTRA" localSheetId="102">#REF!</definedName>
    <definedName name="OTRA" localSheetId="104">#REF!</definedName>
    <definedName name="OTRA" localSheetId="106">#REF!</definedName>
    <definedName name="OTRA" localSheetId="108">#REF!</definedName>
    <definedName name="OTRA" localSheetId="110">#REF!</definedName>
    <definedName name="OTRA" localSheetId="112">#REF!</definedName>
    <definedName name="OTRA" localSheetId="114">#REF!</definedName>
    <definedName name="OTRA" localSheetId="116">#REF!</definedName>
    <definedName name="OTRA" localSheetId="118">#REF!</definedName>
    <definedName name="OTRA" localSheetId="120">#REF!</definedName>
    <definedName name="OTRA" localSheetId="122">#REF!</definedName>
    <definedName name="OTRA" localSheetId="124">#REF!</definedName>
    <definedName name="OTRA" localSheetId="126">#REF!</definedName>
    <definedName name="OTRA" localSheetId="128">#REF!</definedName>
    <definedName name="OTRA" localSheetId="130">#REF!</definedName>
    <definedName name="OTRA" localSheetId="132">#REF!</definedName>
    <definedName name="OTRA" localSheetId="134">#REF!</definedName>
    <definedName name="OTRA" localSheetId="136">#REF!</definedName>
    <definedName name="OTRA" localSheetId="138">#REF!</definedName>
    <definedName name="OTRA" localSheetId="140">#REF!</definedName>
    <definedName name="OTRA" localSheetId="142">#REF!</definedName>
    <definedName name="OTRA" localSheetId="144">#REF!</definedName>
    <definedName name="OTRA" localSheetId="146">#REF!</definedName>
    <definedName name="OTRA" localSheetId="148">#REF!</definedName>
    <definedName name="OTRA" localSheetId="150">#REF!</definedName>
    <definedName name="OTRA" localSheetId="152">#REF!</definedName>
    <definedName name="OTRA" localSheetId="154">#REF!</definedName>
    <definedName name="OTRA" localSheetId="156">#REF!</definedName>
    <definedName name="OTRA" localSheetId="158">#REF!</definedName>
    <definedName name="OTRA" localSheetId="160">#REF!</definedName>
    <definedName name="OTRA" localSheetId="162">#REF!</definedName>
    <definedName name="OTRA" localSheetId="164">#REF!</definedName>
    <definedName name="OTRA" localSheetId="166">#REF!</definedName>
    <definedName name="OTRA" localSheetId="168">#REF!</definedName>
    <definedName name="OTRA" localSheetId="170">#REF!</definedName>
    <definedName name="OTRA" localSheetId="172">#REF!</definedName>
    <definedName name="OTRA" localSheetId="174">#REF!</definedName>
    <definedName name="OTRA" localSheetId="176">#REF!</definedName>
    <definedName name="OTRA" localSheetId="178">#REF!</definedName>
    <definedName name="OTRA" localSheetId="180">#REF!</definedName>
    <definedName name="OTRA" localSheetId="182">#REF!</definedName>
    <definedName name="OTRA" localSheetId="184">#REF!</definedName>
    <definedName name="OTRA" localSheetId="186">#REF!</definedName>
    <definedName name="OTRA" localSheetId="188">#REF!</definedName>
    <definedName name="OTRA" localSheetId="190">#REF!</definedName>
    <definedName name="OTRA" localSheetId="192">#REF!</definedName>
    <definedName name="OTRA" localSheetId="194">#REF!</definedName>
    <definedName name="OTRA" localSheetId="196">#REF!</definedName>
    <definedName name="OTRA" localSheetId="198">#REF!</definedName>
    <definedName name="OTRA" localSheetId="200">#REF!</definedName>
    <definedName name="OTRA" localSheetId="202">#REF!</definedName>
    <definedName name="OTRA" localSheetId="204">#REF!</definedName>
    <definedName name="OTRA" localSheetId="206">#REF!</definedName>
    <definedName name="OTRA" localSheetId="208">#REF!</definedName>
    <definedName name="OTRA" localSheetId="210">#REF!</definedName>
    <definedName name="OTRA" localSheetId="212">#REF!</definedName>
    <definedName name="OTRA" localSheetId="214">#REF!</definedName>
    <definedName name="OTRA" localSheetId="216">#REF!</definedName>
    <definedName name="OTRA" localSheetId="218">#REF!</definedName>
    <definedName name="OTRA" localSheetId="220">#REF!</definedName>
    <definedName name="OTRA" localSheetId="224">#REF!</definedName>
    <definedName name="OTRA" localSheetId="228">#REF!</definedName>
    <definedName name="OTRA" localSheetId="230">#REF!</definedName>
    <definedName name="OTRA" localSheetId="232">#REF!</definedName>
    <definedName name="OTRA" localSheetId="234">#REF!</definedName>
    <definedName name="OTRA" localSheetId="236">#REF!</definedName>
    <definedName name="OTRA" localSheetId="240">#REF!</definedName>
    <definedName name="OTRA" localSheetId="242">#REF!</definedName>
    <definedName name="OTRA" localSheetId="244">#REF!</definedName>
    <definedName name="OTRA" localSheetId="246">#REF!</definedName>
    <definedName name="OTRA" localSheetId="248">#REF!</definedName>
    <definedName name="OTRA" localSheetId="250">#REF!</definedName>
    <definedName name="OTRA" localSheetId="252">#REF!</definedName>
    <definedName name="OTRA" localSheetId="254">#REF!</definedName>
    <definedName name="OTRA" localSheetId="256">#REF!</definedName>
    <definedName name="OTRA" localSheetId="258">#REF!</definedName>
    <definedName name="OTRA" localSheetId="260">#REF!</definedName>
    <definedName name="OTRA" localSheetId="262">#REF!</definedName>
    <definedName name="OTRA" localSheetId="264">#REF!</definedName>
    <definedName name="OTRA" localSheetId="266">#REF!</definedName>
    <definedName name="OTRA" localSheetId="268">#REF!</definedName>
    <definedName name="OTRA" localSheetId="270">#REF!</definedName>
    <definedName name="OTRA" localSheetId="282">#REF!</definedName>
    <definedName name="OTRA" localSheetId="284">#REF!</definedName>
    <definedName name="OTRA" localSheetId="286">#REF!</definedName>
    <definedName name="OTRA" localSheetId="288">#REF!</definedName>
    <definedName name="OTRA" localSheetId="290">#REF!</definedName>
    <definedName name="OTRA" localSheetId="296">#REF!</definedName>
    <definedName name="OTRA" localSheetId="304">#REF!</definedName>
    <definedName name="OTRA" localSheetId="306">#REF!</definedName>
    <definedName name="OTRA" localSheetId="308">#REF!</definedName>
    <definedName name="OTRA" localSheetId="318">#REF!</definedName>
    <definedName name="OTRA" localSheetId="320">#REF!</definedName>
    <definedName name="OTRA" localSheetId="322">#REF!</definedName>
    <definedName name="OTRA" localSheetId="324">#REF!</definedName>
    <definedName name="OTRA" localSheetId="328">#REF!</definedName>
    <definedName name="OTRA" localSheetId="5">#REF!</definedName>
    <definedName name="OTRA" localSheetId="7">#REF!</definedName>
    <definedName name="OTRA" localSheetId="9">#REF!</definedName>
    <definedName name="OTRA" localSheetId="11">#REF!</definedName>
    <definedName name="OTRA" localSheetId="15">#REF!</definedName>
    <definedName name="OTRA" localSheetId="21">#REF!</definedName>
    <definedName name="OTRA" localSheetId="23">#REF!</definedName>
    <definedName name="OTRA" localSheetId="27">#REF!</definedName>
    <definedName name="OTRA" localSheetId="25">#REF!</definedName>
    <definedName name="OTRA" localSheetId="29">#REF!</definedName>
    <definedName name="OTRA" localSheetId="31">#REF!</definedName>
    <definedName name="OTRA" localSheetId="35">#REF!</definedName>
    <definedName name="OTRA" localSheetId="37">#REF!</definedName>
    <definedName name="OTRA" localSheetId="41">#REF!</definedName>
    <definedName name="OTRA" localSheetId="51">#REF!</definedName>
    <definedName name="OTRA" localSheetId="97">#REF!</definedName>
    <definedName name="OTRA" localSheetId="129">#REF!</definedName>
    <definedName name="OTRA" localSheetId="131">#REF!</definedName>
    <definedName name="OTRA" localSheetId="133">#REF!</definedName>
    <definedName name="OTRA" localSheetId="135">#REF!</definedName>
    <definedName name="OTRA" localSheetId="137">#REF!</definedName>
    <definedName name="OTRA" localSheetId="139">#REF!</definedName>
    <definedName name="OTRA" localSheetId="141">#REF!</definedName>
    <definedName name="OTRA" localSheetId="143">#REF!</definedName>
    <definedName name="OTRA" localSheetId="145">#REF!</definedName>
    <definedName name="OTRA" localSheetId="147">#REF!</definedName>
    <definedName name="OTRA" localSheetId="149">#REF!</definedName>
    <definedName name="OTRA" localSheetId="151">#REF!</definedName>
    <definedName name="OTRA" localSheetId="153">#REF!</definedName>
    <definedName name="OTRA" localSheetId="155">#REF!</definedName>
    <definedName name="OTRA" localSheetId="157">#REF!</definedName>
    <definedName name="OTRA" localSheetId="159">#REF!</definedName>
    <definedName name="OTRA" localSheetId="161">#REF!</definedName>
    <definedName name="OTRA" localSheetId="163">#REF!</definedName>
    <definedName name="OTRA" localSheetId="169">#REF!</definedName>
    <definedName name="OTRA" localSheetId="173">#REF!</definedName>
    <definedName name="OTRA" localSheetId="175">#REF!</definedName>
    <definedName name="OTRA" localSheetId="177">#REF!</definedName>
    <definedName name="OTRA" localSheetId="179">#REF!</definedName>
    <definedName name="OTRA" localSheetId="3">#REF!</definedName>
    <definedName name="OTRA">#REF!</definedName>
    <definedName name="ots111111111" localSheetId="27">#REF!</definedName>
    <definedName name="ots111111111">gestores!$A$1:$A$200</definedName>
    <definedName name="pat" localSheetId="6">#REF!</definedName>
    <definedName name="pat" localSheetId="330">#REF!</definedName>
    <definedName name="pat" localSheetId="8">#REF!</definedName>
    <definedName name="pat" localSheetId="10">#REF!</definedName>
    <definedName name="pat" localSheetId="12">#REF!</definedName>
    <definedName name="pat" localSheetId="14">#REF!</definedName>
    <definedName name="pat" localSheetId="16">#REF!</definedName>
    <definedName name="pat" localSheetId="18">#REF!</definedName>
    <definedName name="pat" localSheetId="20">#REF!</definedName>
    <definedName name="pat" localSheetId="22">#REF!</definedName>
    <definedName name="pat" localSheetId="26">#REF!</definedName>
    <definedName name="pat" localSheetId="24">#REF!</definedName>
    <definedName name="pat" localSheetId="28">#REF!</definedName>
    <definedName name="pat" localSheetId="30">#REF!</definedName>
    <definedName name="pat" localSheetId="32">#REF!</definedName>
    <definedName name="pat" localSheetId="34">#REF!</definedName>
    <definedName name="pat" localSheetId="36">#REF!</definedName>
    <definedName name="pat" localSheetId="38">#REF!</definedName>
    <definedName name="pat" localSheetId="40">#REF!</definedName>
    <definedName name="pat" localSheetId="42">#REF!</definedName>
    <definedName name="pat" localSheetId="44">#REF!</definedName>
    <definedName name="pat" localSheetId="46">#REF!</definedName>
    <definedName name="pat" localSheetId="48">#REF!</definedName>
    <definedName name="pat" localSheetId="50">#REF!</definedName>
    <definedName name="pat" localSheetId="52">#REF!</definedName>
    <definedName name="pat" localSheetId="54">#REF!</definedName>
    <definedName name="pat" localSheetId="56">#REF!</definedName>
    <definedName name="pat" localSheetId="58">#REF!</definedName>
    <definedName name="pat" localSheetId="60">#REF!</definedName>
    <definedName name="pat" localSheetId="62">#REF!</definedName>
    <definedName name="pat" localSheetId="64">#REF!</definedName>
    <definedName name="pat" localSheetId="66">#REF!</definedName>
    <definedName name="pat" localSheetId="68">#REF!</definedName>
    <definedName name="pat" localSheetId="70">#REF!</definedName>
    <definedName name="pat" localSheetId="72">#REF!</definedName>
    <definedName name="pat" localSheetId="74">#REF!</definedName>
    <definedName name="pat" localSheetId="76">#REF!</definedName>
    <definedName name="pat" localSheetId="78">#REF!</definedName>
    <definedName name="pat" localSheetId="80">#REF!</definedName>
    <definedName name="pat" localSheetId="82">#REF!</definedName>
    <definedName name="pat" localSheetId="84">#REF!</definedName>
    <definedName name="pat" localSheetId="86">#REF!</definedName>
    <definedName name="pat" localSheetId="88">#REF!</definedName>
    <definedName name="pat" localSheetId="90">#REF!</definedName>
    <definedName name="pat" localSheetId="92">#REF!</definedName>
    <definedName name="pat" localSheetId="94">#REF!</definedName>
    <definedName name="pat" localSheetId="96">#REF!</definedName>
    <definedName name="pat" localSheetId="98">#REF!</definedName>
    <definedName name="pat" localSheetId="100">#REF!</definedName>
    <definedName name="pat" localSheetId="102">#REF!</definedName>
    <definedName name="pat" localSheetId="104">#REF!</definedName>
    <definedName name="pat" localSheetId="106">#REF!</definedName>
    <definedName name="pat" localSheetId="108">#REF!</definedName>
    <definedName name="pat" localSheetId="110">#REF!</definedName>
    <definedName name="pat" localSheetId="112">#REF!</definedName>
    <definedName name="pat" localSheetId="114">#REF!</definedName>
    <definedName name="pat" localSheetId="116">#REF!</definedName>
    <definedName name="pat" localSheetId="118">#REF!</definedName>
    <definedName name="pat" localSheetId="120">#REF!</definedName>
    <definedName name="pat" localSheetId="122">#REF!</definedName>
    <definedName name="pat" localSheetId="124">#REF!</definedName>
    <definedName name="pat" localSheetId="126">#REF!</definedName>
    <definedName name="pat" localSheetId="128">#REF!</definedName>
    <definedName name="pat" localSheetId="130">#REF!</definedName>
    <definedName name="pat" localSheetId="132">#REF!</definedName>
    <definedName name="pat" localSheetId="134">#REF!</definedName>
    <definedName name="pat" localSheetId="136">#REF!</definedName>
    <definedName name="pat" localSheetId="138">#REF!</definedName>
    <definedName name="pat" localSheetId="140">#REF!</definedName>
    <definedName name="pat" localSheetId="142">#REF!</definedName>
    <definedName name="pat" localSheetId="144">#REF!</definedName>
    <definedName name="pat" localSheetId="146">#REF!</definedName>
    <definedName name="pat" localSheetId="148">#REF!</definedName>
    <definedName name="pat" localSheetId="150">#REF!</definedName>
    <definedName name="pat" localSheetId="152">#REF!</definedName>
    <definedName name="pat" localSheetId="154">#REF!</definedName>
    <definedName name="pat" localSheetId="156">#REF!</definedName>
    <definedName name="pat" localSheetId="158">#REF!</definedName>
    <definedName name="pat" localSheetId="160">#REF!</definedName>
    <definedName name="pat" localSheetId="162">#REF!</definedName>
    <definedName name="pat" localSheetId="164">#REF!</definedName>
    <definedName name="pat" localSheetId="166">#REF!</definedName>
    <definedName name="pat" localSheetId="168">#REF!</definedName>
    <definedName name="pat" localSheetId="170">#REF!</definedName>
    <definedName name="pat" localSheetId="172">#REF!</definedName>
    <definedName name="pat" localSheetId="174">#REF!</definedName>
    <definedName name="pat" localSheetId="176">#REF!</definedName>
    <definedName name="pat" localSheetId="178">#REF!</definedName>
    <definedName name="pat" localSheetId="180">#REF!</definedName>
    <definedName name="pat" localSheetId="182">#REF!</definedName>
    <definedName name="pat" localSheetId="184">#REF!</definedName>
    <definedName name="pat" localSheetId="186">#REF!</definedName>
    <definedName name="pat" localSheetId="188">#REF!</definedName>
    <definedName name="pat" localSheetId="190">#REF!</definedName>
    <definedName name="pat" localSheetId="192">#REF!</definedName>
    <definedName name="pat" localSheetId="194">#REF!</definedName>
    <definedName name="pat" localSheetId="196">#REF!</definedName>
    <definedName name="pat" localSheetId="198">#REF!</definedName>
    <definedName name="pat" localSheetId="200">#REF!</definedName>
    <definedName name="pat" localSheetId="202">#REF!</definedName>
    <definedName name="pat" localSheetId="204">#REF!</definedName>
    <definedName name="pat" localSheetId="206">#REF!</definedName>
    <definedName name="pat" localSheetId="208">#REF!</definedName>
    <definedName name="pat" localSheetId="210">#REF!</definedName>
    <definedName name="pat" localSheetId="212">#REF!</definedName>
    <definedName name="pat" localSheetId="214">#REF!</definedName>
    <definedName name="pat" localSheetId="216">#REF!</definedName>
    <definedName name="pat" localSheetId="218">#REF!</definedName>
    <definedName name="pat" localSheetId="220">#REF!</definedName>
    <definedName name="pat" localSheetId="224">#REF!</definedName>
    <definedName name="pat" localSheetId="228">#REF!</definedName>
    <definedName name="pat" localSheetId="230">#REF!</definedName>
    <definedName name="pat" localSheetId="232">#REF!</definedName>
    <definedName name="pat" localSheetId="234">#REF!</definedName>
    <definedName name="pat" localSheetId="236">#REF!</definedName>
    <definedName name="pat" localSheetId="240">#REF!</definedName>
    <definedName name="pat" localSheetId="242">#REF!</definedName>
    <definedName name="pat" localSheetId="244">#REF!</definedName>
    <definedName name="pat" localSheetId="246">#REF!</definedName>
    <definedName name="pat" localSheetId="248">#REF!</definedName>
    <definedName name="pat" localSheetId="250">#REF!</definedName>
    <definedName name="pat" localSheetId="252">#REF!</definedName>
    <definedName name="pat" localSheetId="254">#REF!</definedName>
    <definedName name="pat" localSheetId="256">#REF!</definedName>
    <definedName name="pat" localSheetId="258">#REF!</definedName>
    <definedName name="pat" localSheetId="260">#REF!</definedName>
    <definedName name="pat" localSheetId="262">#REF!</definedName>
    <definedName name="pat" localSheetId="264">#REF!</definedName>
    <definedName name="pat" localSheetId="266">#REF!</definedName>
    <definedName name="pat" localSheetId="268">#REF!</definedName>
    <definedName name="pat" localSheetId="270">#REF!</definedName>
    <definedName name="pat" localSheetId="282">#REF!</definedName>
    <definedName name="pat" localSheetId="284">#REF!</definedName>
    <definedName name="pat" localSheetId="286">#REF!</definedName>
    <definedName name="pat" localSheetId="288">#REF!</definedName>
    <definedName name="pat" localSheetId="290">#REF!</definedName>
    <definedName name="pat" localSheetId="296">#REF!</definedName>
    <definedName name="pat" localSheetId="304">#REF!</definedName>
    <definedName name="pat" localSheetId="306">#REF!</definedName>
    <definedName name="pat" localSheetId="308">#REF!</definedName>
    <definedName name="pat" localSheetId="318">#REF!</definedName>
    <definedName name="pat" localSheetId="320">#REF!</definedName>
    <definedName name="pat" localSheetId="322">#REF!</definedName>
    <definedName name="pat" localSheetId="324">#REF!</definedName>
    <definedName name="pat" localSheetId="328">#REF!</definedName>
    <definedName name="pat" localSheetId="5">#REF!</definedName>
    <definedName name="pat" localSheetId="7">#REF!</definedName>
    <definedName name="pat" localSheetId="9">#REF!</definedName>
    <definedName name="pat" localSheetId="11">#REF!</definedName>
    <definedName name="pat" localSheetId="15">#REF!</definedName>
    <definedName name="pat" localSheetId="21">#REF!</definedName>
    <definedName name="pat" localSheetId="23">#REF!</definedName>
    <definedName name="pat" localSheetId="27">#REF!</definedName>
    <definedName name="pat" localSheetId="25">#REF!</definedName>
    <definedName name="pat" localSheetId="29">#REF!</definedName>
    <definedName name="pat" localSheetId="31">#REF!</definedName>
    <definedName name="pat" localSheetId="35">#REF!</definedName>
    <definedName name="pat" localSheetId="37">#REF!</definedName>
    <definedName name="pat" localSheetId="41">#REF!</definedName>
    <definedName name="pat" localSheetId="51">#REF!</definedName>
    <definedName name="pat" localSheetId="97">#REF!</definedName>
    <definedName name="pat" localSheetId="129">#REF!</definedName>
    <definedName name="pat" localSheetId="131">#REF!</definedName>
    <definedName name="pat" localSheetId="133">#REF!</definedName>
    <definedName name="pat" localSheetId="135">#REF!</definedName>
    <definedName name="pat" localSheetId="137">#REF!</definedName>
    <definedName name="pat" localSheetId="139">#REF!</definedName>
    <definedName name="pat" localSheetId="141">#REF!</definedName>
    <definedName name="pat" localSheetId="143">#REF!</definedName>
    <definedName name="pat" localSheetId="145">#REF!</definedName>
    <definedName name="pat" localSheetId="147">#REF!</definedName>
    <definedName name="pat" localSheetId="149">#REF!</definedName>
    <definedName name="pat" localSheetId="151">#REF!</definedName>
    <definedName name="pat" localSheetId="153">#REF!</definedName>
    <definedName name="pat" localSheetId="155">#REF!</definedName>
    <definedName name="pat" localSheetId="157">#REF!</definedName>
    <definedName name="pat" localSheetId="159">#REF!</definedName>
    <definedName name="pat" localSheetId="161">#REF!</definedName>
    <definedName name="pat" localSheetId="163">#REF!</definedName>
    <definedName name="pat" localSheetId="169">#REF!</definedName>
    <definedName name="pat" localSheetId="173">#REF!</definedName>
    <definedName name="pat" localSheetId="175">#REF!</definedName>
    <definedName name="pat" localSheetId="177">#REF!</definedName>
    <definedName name="pat" localSheetId="179">#REF!</definedName>
    <definedName name="pat" localSheetId="3">#REF!</definedName>
    <definedName name="pat">#REF!</definedName>
    <definedName name="POR_AHORA">gestores!$A$1:$A$270</definedName>
    <definedName name="PPP" localSheetId="6">#REF!</definedName>
    <definedName name="PPP" localSheetId="330">#REF!</definedName>
    <definedName name="PPP" localSheetId="8">#REF!</definedName>
    <definedName name="PPP" localSheetId="10">#REF!</definedName>
    <definedName name="PPP" localSheetId="12">#REF!</definedName>
    <definedName name="PPP" localSheetId="14">#REF!</definedName>
    <definedName name="PPP" localSheetId="16">#REF!</definedName>
    <definedName name="PPP" localSheetId="18">#REF!</definedName>
    <definedName name="PPP" localSheetId="20">#REF!</definedName>
    <definedName name="PPP" localSheetId="22">#REF!</definedName>
    <definedName name="PPP" localSheetId="26">#REF!</definedName>
    <definedName name="PPP" localSheetId="24">#REF!</definedName>
    <definedName name="PPP" localSheetId="28">#REF!</definedName>
    <definedName name="PPP" localSheetId="30">#REF!</definedName>
    <definedName name="PPP" localSheetId="32">#REF!</definedName>
    <definedName name="PPP" localSheetId="34">#REF!</definedName>
    <definedName name="PPP" localSheetId="36">#REF!</definedName>
    <definedName name="PPP" localSheetId="38">#REF!</definedName>
    <definedName name="PPP" localSheetId="40">#REF!</definedName>
    <definedName name="PPP" localSheetId="42">#REF!</definedName>
    <definedName name="PPP" localSheetId="44">#REF!</definedName>
    <definedName name="PPP" localSheetId="46">#REF!</definedName>
    <definedName name="PPP" localSheetId="48">#REF!</definedName>
    <definedName name="PPP" localSheetId="50">#REF!</definedName>
    <definedName name="PPP" localSheetId="52">#REF!</definedName>
    <definedName name="PPP" localSheetId="54">#REF!</definedName>
    <definedName name="PPP" localSheetId="56">#REF!</definedName>
    <definedName name="PPP" localSheetId="58">#REF!</definedName>
    <definedName name="PPP" localSheetId="60">#REF!</definedName>
    <definedName name="PPP" localSheetId="62">#REF!</definedName>
    <definedName name="PPP" localSheetId="64">#REF!</definedName>
    <definedName name="PPP" localSheetId="66">#REF!</definedName>
    <definedName name="PPP" localSheetId="68">#REF!</definedName>
    <definedName name="PPP" localSheetId="70">#REF!</definedName>
    <definedName name="PPP" localSheetId="72">#REF!</definedName>
    <definedName name="PPP" localSheetId="74">#REF!</definedName>
    <definedName name="PPP" localSheetId="76">#REF!</definedName>
    <definedName name="PPP" localSheetId="78">#REF!</definedName>
    <definedName name="PPP" localSheetId="80">#REF!</definedName>
    <definedName name="PPP" localSheetId="82">#REF!</definedName>
    <definedName name="PPP" localSheetId="84">#REF!</definedName>
    <definedName name="PPP" localSheetId="86">#REF!</definedName>
    <definedName name="PPP" localSheetId="88">#REF!</definedName>
    <definedName name="PPP" localSheetId="90">#REF!</definedName>
    <definedName name="PPP" localSheetId="92">#REF!</definedName>
    <definedName name="PPP" localSheetId="94">#REF!</definedName>
    <definedName name="PPP" localSheetId="96">#REF!</definedName>
    <definedName name="PPP" localSheetId="98">#REF!</definedName>
    <definedName name="PPP" localSheetId="100">#REF!</definedName>
    <definedName name="PPP" localSheetId="102">#REF!</definedName>
    <definedName name="PPP" localSheetId="104">#REF!</definedName>
    <definedName name="PPP" localSheetId="106">#REF!</definedName>
    <definedName name="PPP" localSheetId="108">#REF!</definedName>
    <definedName name="PPP" localSheetId="110">#REF!</definedName>
    <definedName name="PPP" localSheetId="112">#REF!</definedName>
    <definedName name="PPP" localSheetId="114">#REF!</definedName>
    <definedName name="PPP" localSheetId="116">#REF!</definedName>
    <definedName name="PPP" localSheetId="118">#REF!</definedName>
    <definedName name="PPP" localSheetId="120">#REF!</definedName>
    <definedName name="PPP" localSheetId="122">#REF!</definedName>
    <definedName name="PPP" localSheetId="124">#REF!</definedName>
    <definedName name="PPP" localSheetId="126">#REF!</definedName>
    <definedName name="PPP" localSheetId="128">#REF!</definedName>
    <definedName name="PPP" localSheetId="130">#REF!</definedName>
    <definedName name="PPP" localSheetId="132">#REF!</definedName>
    <definedName name="PPP" localSheetId="134">#REF!</definedName>
    <definedName name="PPP" localSheetId="136">#REF!</definedName>
    <definedName name="PPP" localSheetId="138">#REF!</definedName>
    <definedName name="PPP" localSheetId="140">#REF!</definedName>
    <definedName name="PPP" localSheetId="142">#REF!</definedName>
    <definedName name="PPP" localSheetId="144">#REF!</definedName>
    <definedName name="PPP" localSheetId="146">#REF!</definedName>
    <definedName name="PPP" localSheetId="148">#REF!</definedName>
    <definedName name="PPP" localSheetId="150">#REF!</definedName>
    <definedName name="PPP" localSheetId="152">#REF!</definedName>
    <definedName name="PPP" localSheetId="154">#REF!</definedName>
    <definedName name="PPP" localSheetId="156">#REF!</definedName>
    <definedName name="PPP" localSheetId="158">#REF!</definedName>
    <definedName name="PPP" localSheetId="160">#REF!</definedName>
    <definedName name="PPP" localSheetId="162">#REF!</definedName>
    <definedName name="PPP" localSheetId="164">#REF!</definedName>
    <definedName name="PPP" localSheetId="166">#REF!</definedName>
    <definedName name="PPP" localSheetId="168">#REF!</definedName>
    <definedName name="PPP" localSheetId="170">#REF!</definedName>
    <definedName name="PPP" localSheetId="172">#REF!</definedName>
    <definedName name="PPP" localSheetId="174">#REF!</definedName>
    <definedName name="PPP" localSheetId="176">#REF!</definedName>
    <definedName name="PPP" localSheetId="178">#REF!</definedName>
    <definedName name="PPP" localSheetId="180">#REF!</definedName>
    <definedName name="PPP" localSheetId="182">#REF!</definedName>
    <definedName name="PPP" localSheetId="184">#REF!</definedName>
    <definedName name="PPP" localSheetId="186">#REF!</definedName>
    <definedName name="PPP" localSheetId="188">#REF!</definedName>
    <definedName name="PPP" localSheetId="190">#REF!</definedName>
    <definedName name="PPP" localSheetId="192">#REF!</definedName>
    <definedName name="PPP" localSheetId="194">#REF!</definedName>
    <definedName name="PPP" localSheetId="196">#REF!</definedName>
    <definedName name="PPP" localSheetId="198">#REF!</definedName>
    <definedName name="PPP" localSheetId="200">#REF!</definedName>
    <definedName name="PPP" localSheetId="202">#REF!</definedName>
    <definedName name="PPP" localSheetId="204">#REF!</definedName>
    <definedName name="PPP" localSheetId="206">#REF!</definedName>
    <definedName name="PPP" localSheetId="208">#REF!</definedName>
    <definedName name="PPP" localSheetId="210">#REF!</definedName>
    <definedName name="PPP" localSheetId="212">#REF!</definedName>
    <definedName name="PPP" localSheetId="214">#REF!</definedName>
    <definedName name="PPP" localSheetId="216">#REF!</definedName>
    <definedName name="PPP" localSheetId="218">#REF!</definedName>
    <definedName name="PPP" localSheetId="220">#REF!</definedName>
    <definedName name="PPP" localSheetId="224">#REF!</definedName>
    <definedName name="PPP" localSheetId="228">#REF!</definedName>
    <definedName name="PPP" localSheetId="230">#REF!</definedName>
    <definedName name="PPP" localSheetId="232">#REF!</definedName>
    <definedName name="PPP" localSheetId="234">#REF!</definedName>
    <definedName name="PPP" localSheetId="236">#REF!</definedName>
    <definedName name="PPP" localSheetId="240">#REF!</definedName>
    <definedName name="PPP" localSheetId="242">#REF!</definedName>
    <definedName name="PPP" localSheetId="244">#REF!</definedName>
    <definedName name="PPP" localSheetId="246">#REF!</definedName>
    <definedName name="PPP" localSheetId="248">#REF!</definedName>
    <definedName name="PPP" localSheetId="250">#REF!</definedName>
    <definedName name="PPP" localSheetId="252">#REF!</definedName>
    <definedName name="PPP" localSheetId="254">#REF!</definedName>
    <definedName name="PPP" localSheetId="256">#REF!</definedName>
    <definedName name="PPP" localSheetId="258">#REF!</definedName>
    <definedName name="PPP" localSheetId="260">#REF!</definedName>
    <definedName name="PPP" localSheetId="262">#REF!</definedName>
    <definedName name="PPP" localSheetId="264">#REF!</definedName>
    <definedName name="PPP" localSheetId="266">#REF!</definedName>
    <definedName name="PPP" localSheetId="268">#REF!</definedName>
    <definedName name="PPP" localSheetId="270">#REF!</definedName>
    <definedName name="PPP" localSheetId="282">#REF!</definedName>
    <definedName name="PPP" localSheetId="284">#REF!</definedName>
    <definedName name="PPP" localSheetId="286">#REF!</definedName>
    <definedName name="PPP" localSheetId="288">#REF!</definedName>
    <definedName name="PPP" localSheetId="290">#REF!</definedName>
    <definedName name="PPP" localSheetId="296">#REF!</definedName>
    <definedName name="PPP" localSheetId="304">#REF!</definedName>
    <definedName name="PPP" localSheetId="306">#REF!</definedName>
    <definedName name="PPP" localSheetId="308">#REF!</definedName>
    <definedName name="PPP" localSheetId="318">#REF!</definedName>
    <definedName name="PPP" localSheetId="320">#REF!</definedName>
    <definedName name="PPP" localSheetId="322">#REF!</definedName>
    <definedName name="PPP" localSheetId="324">#REF!</definedName>
    <definedName name="PPP" localSheetId="328">#REF!</definedName>
    <definedName name="PPP" localSheetId="5">#REF!</definedName>
    <definedName name="PPP" localSheetId="7">#REF!</definedName>
    <definedName name="PPP" localSheetId="9">#REF!</definedName>
    <definedName name="PPP" localSheetId="11">#REF!</definedName>
    <definedName name="PPP" localSheetId="15">#REF!</definedName>
    <definedName name="PPP" localSheetId="21">#REF!</definedName>
    <definedName name="PPP" localSheetId="23">#REF!</definedName>
    <definedName name="PPP" localSheetId="27">#REF!</definedName>
    <definedName name="PPP" localSheetId="25">#REF!</definedName>
    <definedName name="PPP" localSheetId="29">#REF!</definedName>
    <definedName name="PPP" localSheetId="31">#REF!</definedName>
    <definedName name="PPP" localSheetId="35">#REF!</definedName>
    <definedName name="PPP" localSheetId="37">#REF!</definedName>
    <definedName name="PPP" localSheetId="41">#REF!</definedName>
    <definedName name="PPP" localSheetId="51">#REF!</definedName>
    <definedName name="PPP" localSheetId="97">#REF!</definedName>
    <definedName name="PPP" localSheetId="129">#REF!</definedName>
    <definedName name="PPP" localSheetId="131">#REF!</definedName>
    <definedName name="PPP" localSheetId="133">#REF!</definedName>
    <definedName name="PPP" localSheetId="135">#REF!</definedName>
    <definedName name="PPP" localSheetId="137">#REF!</definedName>
    <definedName name="PPP" localSheetId="139">#REF!</definedName>
    <definedName name="PPP" localSheetId="141">#REF!</definedName>
    <definedName name="PPP" localSheetId="143">#REF!</definedName>
    <definedName name="PPP" localSheetId="145">#REF!</definedName>
    <definedName name="PPP" localSheetId="147">#REF!</definedName>
    <definedName name="PPP" localSheetId="149">#REF!</definedName>
    <definedName name="PPP" localSheetId="151">#REF!</definedName>
    <definedName name="PPP" localSheetId="153">#REF!</definedName>
    <definedName name="PPP" localSheetId="155">#REF!</definedName>
    <definedName name="PPP" localSheetId="157">#REF!</definedName>
    <definedName name="PPP" localSheetId="159">#REF!</definedName>
    <definedName name="PPP" localSheetId="161">#REF!</definedName>
    <definedName name="PPP" localSheetId="163">#REF!</definedName>
    <definedName name="PPP" localSheetId="169">#REF!</definedName>
    <definedName name="PPP" localSheetId="173">#REF!</definedName>
    <definedName name="PPP" localSheetId="175">#REF!</definedName>
    <definedName name="PPP" localSheetId="177">#REF!</definedName>
    <definedName name="PPP" localSheetId="179">#REF!</definedName>
    <definedName name="PPP" localSheetId="3">#REF!</definedName>
    <definedName name="PPP">#REF!</definedName>
    <definedName name="satelitero" localSheetId="330">#REF!</definedName>
    <definedName name="satelitero" localSheetId="26">#REF!</definedName>
    <definedName name="satelitero" localSheetId="42">#REF!</definedName>
    <definedName name="satelitero" localSheetId="56">#REF!</definedName>
    <definedName name="satelitero" localSheetId="212">#REF!</definedName>
    <definedName name="satelitero" localSheetId="214">#REF!</definedName>
    <definedName name="satelitero" localSheetId="216">#REF!</definedName>
    <definedName name="satelitero" localSheetId="218">#REF!</definedName>
    <definedName name="satelitero" localSheetId="220">#REF!</definedName>
    <definedName name="satelitero" localSheetId="224">#REF!</definedName>
    <definedName name="satelitero" localSheetId="228">#REF!</definedName>
    <definedName name="satelitero" localSheetId="230">#REF!</definedName>
    <definedName name="satelitero" localSheetId="232">#REF!</definedName>
    <definedName name="satelitero" localSheetId="234">#REF!</definedName>
    <definedName name="satelitero" localSheetId="236">#REF!</definedName>
    <definedName name="satelitero" localSheetId="240">#REF!</definedName>
    <definedName name="satelitero" localSheetId="242">#REF!</definedName>
    <definedName name="satelitero" localSheetId="244">#REF!</definedName>
    <definedName name="satelitero" localSheetId="246">#REF!</definedName>
    <definedName name="satelitero" localSheetId="248">#REF!</definedName>
    <definedName name="satelitero" localSheetId="250">#REF!</definedName>
    <definedName name="satelitero" localSheetId="252">#REF!</definedName>
    <definedName name="satelitero" localSheetId="254">#REF!</definedName>
    <definedName name="satelitero" localSheetId="256">#REF!</definedName>
    <definedName name="satelitero" localSheetId="258">#REF!</definedName>
    <definedName name="satelitero" localSheetId="260">#REF!</definedName>
    <definedName name="satelitero" localSheetId="262">#REF!</definedName>
    <definedName name="satelitero" localSheetId="264">#REF!</definedName>
    <definedName name="satelitero" localSheetId="266">#REF!</definedName>
    <definedName name="satelitero" localSheetId="268">#REF!</definedName>
    <definedName name="satelitero" localSheetId="270">#REF!</definedName>
    <definedName name="satelitero" localSheetId="282">#REF!</definedName>
    <definedName name="satelitero" localSheetId="284">#REF!</definedName>
    <definedName name="satelitero" localSheetId="286">#REF!</definedName>
    <definedName name="satelitero" localSheetId="288">#REF!</definedName>
    <definedName name="satelitero" localSheetId="290">#REF!</definedName>
    <definedName name="satelitero" localSheetId="296">#REF!</definedName>
    <definedName name="satelitero" localSheetId="304">#REF!</definedName>
    <definedName name="satelitero" localSheetId="306">#REF!</definedName>
    <definedName name="satelitero" localSheetId="308">#REF!</definedName>
    <definedName name="satelitero" localSheetId="318">#REF!</definedName>
    <definedName name="satelitero" localSheetId="320">#REF!</definedName>
    <definedName name="satelitero" localSheetId="322">#REF!</definedName>
    <definedName name="satelitero" localSheetId="324">#REF!</definedName>
    <definedName name="satelitero" localSheetId="328">#REF!</definedName>
    <definedName name="satelitero">#REF!</definedName>
    <definedName name="SOF" localSheetId="6">#REF!</definedName>
    <definedName name="SOF" localSheetId="330">#REF!</definedName>
    <definedName name="SOF" localSheetId="8">#REF!</definedName>
    <definedName name="SOF" localSheetId="10">#REF!</definedName>
    <definedName name="SOF" localSheetId="12">#REF!</definedName>
    <definedName name="SOF" localSheetId="14">#REF!</definedName>
    <definedName name="SOF" localSheetId="16">#REF!</definedName>
    <definedName name="SOF" localSheetId="18">#REF!</definedName>
    <definedName name="SOF" localSheetId="20">#REF!</definedName>
    <definedName name="SOF" localSheetId="22">#REF!</definedName>
    <definedName name="SOF" localSheetId="26">#REF!</definedName>
    <definedName name="SOF" localSheetId="24">#REF!</definedName>
    <definedName name="SOF" localSheetId="28">#REF!</definedName>
    <definedName name="SOF" localSheetId="30">#REF!</definedName>
    <definedName name="SOF" localSheetId="32">#REF!</definedName>
    <definedName name="SOF" localSheetId="34">#REF!</definedName>
    <definedName name="SOF" localSheetId="36">#REF!</definedName>
    <definedName name="SOF" localSheetId="38">#REF!</definedName>
    <definedName name="SOF" localSheetId="40">#REF!</definedName>
    <definedName name="SOF" localSheetId="42">#REF!</definedName>
    <definedName name="SOF" localSheetId="44">#REF!</definedName>
    <definedName name="SOF" localSheetId="46">#REF!</definedName>
    <definedName name="SOF" localSheetId="48">#REF!</definedName>
    <definedName name="SOF" localSheetId="50">#REF!</definedName>
    <definedName name="SOF" localSheetId="52">#REF!</definedName>
    <definedName name="SOF" localSheetId="54">#REF!</definedName>
    <definedName name="SOF" localSheetId="56">#REF!</definedName>
    <definedName name="SOF" localSheetId="58">#REF!</definedName>
    <definedName name="SOF" localSheetId="60">#REF!</definedName>
    <definedName name="SOF" localSheetId="62">#REF!</definedName>
    <definedName name="SOF" localSheetId="64">#REF!</definedName>
    <definedName name="SOF" localSheetId="66">#REF!</definedName>
    <definedName name="SOF" localSheetId="68">#REF!</definedName>
    <definedName name="SOF" localSheetId="70">#REF!</definedName>
    <definedName name="SOF" localSheetId="72">#REF!</definedName>
    <definedName name="SOF" localSheetId="74">#REF!</definedName>
    <definedName name="SOF" localSheetId="76">#REF!</definedName>
    <definedName name="SOF" localSheetId="78">#REF!</definedName>
    <definedName name="SOF" localSheetId="80">#REF!</definedName>
    <definedName name="SOF" localSheetId="82">#REF!</definedName>
    <definedName name="SOF" localSheetId="84">#REF!</definedName>
    <definedName name="SOF" localSheetId="86">#REF!</definedName>
    <definedName name="SOF" localSheetId="88">#REF!</definedName>
    <definedName name="SOF" localSheetId="90">#REF!</definedName>
    <definedName name="SOF" localSheetId="92">#REF!</definedName>
    <definedName name="SOF" localSheetId="94">#REF!</definedName>
    <definedName name="SOF" localSheetId="96">#REF!</definedName>
    <definedName name="SOF" localSheetId="98">#REF!</definedName>
    <definedName name="SOF" localSheetId="100">#REF!</definedName>
    <definedName name="SOF" localSheetId="102">#REF!</definedName>
    <definedName name="SOF" localSheetId="104">#REF!</definedName>
    <definedName name="SOF" localSheetId="106">#REF!</definedName>
    <definedName name="SOF" localSheetId="108">#REF!</definedName>
    <definedName name="SOF" localSheetId="110">#REF!</definedName>
    <definedName name="SOF" localSheetId="112">#REF!</definedName>
    <definedName name="SOF" localSheetId="114">#REF!</definedName>
    <definedName name="SOF" localSheetId="116">#REF!</definedName>
    <definedName name="SOF" localSheetId="118">#REF!</definedName>
    <definedName name="SOF" localSheetId="120">#REF!</definedName>
    <definedName name="SOF" localSheetId="122">#REF!</definedName>
    <definedName name="SOF" localSheetId="124">#REF!</definedName>
    <definedName name="SOF" localSheetId="126">#REF!</definedName>
    <definedName name="SOF" localSheetId="128">#REF!</definedName>
    <definedName name="SOF" localSheetId="130">#REF!</definedName>
    <definedName name="SOF" localSheetId="132">#REF!</definedName>
    <definedName name="SOF" localSheetId="134">#REF!</definedName>
    <definedName name="SOF" localSheetId="136">#REF!</definedName>
    <definedName name="SOF" localSheetId="138">#REF!</definedName>
    <definedName name="SOF" localSheetId="140">#REF!</definedName>
    <definedName name="SOF" localSheetId="142">#REF!</definedName>
    <definedName name="SOF" localSheetId="144">#REF!</definedName>
    <definedName name="SOF" localSheetId="146">#REF!</definedName>
    <definedName name="SOF" localSheetId="148">#REF!</definedName>
    <definedName name="SOF" localSheetId="150">#REF!</definedName>
    <definedName name="SOF" localSheetId="152">#REF!</definedName>
    <definedName name="SOF" localSheetId="154">#REF!</definedName>
    <definedName name="SOF" localSheetId="156">#REF!</definedName>
    <definedName name="SOF" localSheetId="158">#REF!</definedName>
    <definedName name="SOF" localSheetId="160">#REF!</definedName>
    <definedName name="SOF" localSheetId="162">#REF!</definedName>
    <definedName name="SOF" localSheetId="164">#REF!</definedName>
    <definedName name="SOF" localSheetId="166">#REF!</definedName>
    <definedName name="SOF" localSheetId="168">#REF!</definedName>
    <definedName name="SOF" localSheetId="170">#REF!</definedName>
    <definedName name="SOF" localSheetId="172">#REF!</definedName>
    <definedName name="SOF" localSheetId="174">#REF!</definedName>
    <definedName name="SOF" localSheetId="176">#REF!</definedName>
    <definedName name="SOF" localSheetId="178">#REF!</definedName>
    <definedName name="SOF" localSheetId="180">#REF!</definedName>
    <definedName name="SOF" localSheetId="182">#REF!</definedName>
    <definedName name="SOF" localSheetId="184">#REF!</definedName>
    <definedName name="SOF" localSheetId="186">#REF!</definedName>
    <definedName name="SOF" localSheetId="188">#REF!</definedName>
    <definedName name="SOF" localSheetId="190">#REF!</definedName>
    <definedName name="SOF" localSheetId="192">#REF!</definedName>
    <definedName name="SOF" localSheetId="194">#REF!</definedName>
    <definedName name="SOF" localSheetId="196">#REF!</definedName>
    <definedName name="SOF" localSheetId="198">#REF!</definedName>
    <definedName name="SOF" localSheetId="200">#REF!</definedName>
    <definedName name="SOF" localSheetId="202">#REF!</definedName>
    <definedName name="SOF" localSheetId="204">#REF!</definedName>
    <definedName name="SOF" localSheetId="206">#REF!</definedName>
    <definedName name="SOF" localSheetId="208">#REF!</definedName>
    <definedName name="SOF" localSheetId="210">#REF!</definedName>
    <definedName name="SOF" localSheetId="212">#REF!</definedName>
    <definedName name="SOF" localSheetId="214">#REF!</definedName>
    <definedName name="SOF" localSheetId="216">#REF!</definedName>
    <definedName name="SOF" localSheetId="218">#REF!</definedName>
    <definedName name="SOF" localSheetId="220">#REF!</definedName>
    <definedName name="SOF" localSheetId="224">#REF!</definedName>
    <definedName name="SOF" localSheetId="228">#REF!</definedName>
    <definedName name="SOF" localSheetId="230">#REF!</definedName>
    <definedName name="SOF" localSheetId="232">#REF!</definedName>
    <definedName name="SOF" localSheetId="234">#REF!</definedName>
    <definedName name="SOF" localSheetId="236">#REF!</definedName>
    <definedName name="SOF" localSheetId="240">#REF!</definedName>
    <definedName name="SOF" localSheetId="242">#REF!</definedName>
    <definedName name="SOF" localSheetId="244">#REF!</definedName>
    <definedName name="SOF" localSheetId="246">#REF!</definedName>
    <definedName name="SOF" localSheetId="248">#REF!</definedName>
    <definedName name="SOF" localSheetId="250">#REF!</definedName>
    <definedName name="SOF" localSheetId="252">#REF!</definedName>
    <definedName name="SOF" localSheetId="254">#REF!</definedName>
    <definedName name="SOF" localSheetId="256">#REF!</definedName>
    <definedName name="SOF" localSheetId="258">#REF!</definedName>
    <definedName name="SOF" localSheetId="260">#REF!</definedName>
    <definedName name="SOF" localSheetId="262">#REF!</definedName>
    <definedName name="SOF" localSheetId="264">#REF!</definedName>
    <definedName name="SOF" localSheetId="266">#REF!</definedName>
    <definedName name="SOF" localSheetId="268">#REF!</definedName>
    <definedName name="SOF" localSheetId="270">#REF!</definedName>
    <definedName name="SOF" localSheetId="282">#REF!</definedName>
    <definedName name="SOF" localSheetId="284">#REF!</definedName>
    <definedName name="SOF" localSheetId="286">#REF!</definedName>
    <definedName name="SOF" localSheetId="288">#REF!</definedName>
    <definedName name="SOF" localSheetId="290">#REF!</definedName>
    <definedName name="SOF" localSheetId="296">#REF!</definedName>
    <definedName name="SOF" localSheetId="304">#REF!</definedName>
    <definedName name="SOF" localSheetId="306">#REF!</definedName>
    <definedName name="SOF" localSheetId="308">#REF!</definedName>
    <definedName name="SOF" localSheetId="318">#REF!</definedName>
    <definedName name="SOF" localSheetId="320">#REF!</definedName>
    <definedName name="SOF" localSheetId="322">#REF!</definedName>
    <definedName name="SOF" localSheetId="324">#REF!</definedName>
    <definedName name="SOF" localSheetId="328">#REF!</definedName>
    <definedName name="SOF" localSheetId="5">#REF!</definedName>
    <definedName name="SOF" localSheetId="7">#REF!</definedName>
    <definedName name="SOF" localSheetId="9">#REF!</definedName>
    <definedName name="SOF" localSheetId="11">#REF!</definedName>
    <definedName name="SOF" localSheetId="15">#REF!</definedName>
    <definedName name="SOF" localSheetId="21">#REF!</definedName>
    <definedName name="SOF" localSheetId="23">#REF!</definedName>
    <definedName name="SOF" localSheetId="27">#REF!</definedName>
    <definedName name="SOF" localSheetId="25">#REF!</definedName>
    <definedName name="SOF" localSheetId="29">#REF!</definedName>
    <definedName name="SOF" localSheetId="31">#REF!</definedName>
    <definedName name="SOF" localSheetId="35">#REF!</definedName>
    <definedName name="SOF" localSheetId="37">#REF!</definedName>
    <definedName name="SOF" localSheetId="41">#REF!</definedName>
    <definedName name="SOF" localSheetId="51">#REF!</definedName>
    <definedName name="SOF" localSheetId="97">#REF!</definedName>
    <definedName name="SOF" localSheetId="129">#REF!</definedName>
    <definedName name="SOF" localSheetId="131">#REF!</definedName>
    <definedName name="SOF" localSheetId="133">#REF!</definedName>
    <definedName name="SOF" localSheetId="135">#REF!</definedName>
    <definedName name="SOF" localSheetId="137">#REF!</definedName>
    <definedName name="SOF" localSheetId="139">#REF!</definedName>
    <definedName name="SOF" localSheetId="141">#REF!</definedName>
    <definedName name="SOF" localSheetId="143">#REF!</definedName>
    <definedName name="SOF" localSheetId="145">#REF!</definedName>
    <definedName name="SOF" localSheetId="147">#REF!</definedName>
    <definedName name="SOF" localSheetId="149">#REF!</definedName>
    <definedName name="SOF" localSheetId="151">#REF!</definedName>
    <definedName name="SOF" localSheetId="153">#REF!</definedName>
    <definedName name="SOF" localSheetId="155">#REF!</definedName>
    <definedName name="SOF" localSheetId="157">#REF!</definedName>
    <definedName name="SOF" localSheetId="159">#REF!</definedName>
    <definedName name="SOF" localSheetId="161">#REF!</definedName>
    <definedName name="SOF" localSheetId="163">#REF!</definedName>
    <definedName name="SOF" localSheetId="169">#REF!</definedName>
    <definedName name="SOF" localSheetId="173">#REF!</definedName>
    <definedName name="SOF" localSheetId="175">#REF!</definedName>
    <definedName name="SOF" localSheetId="177">#REF!</definedName>
    <definedName name="SOF" localSheetId="179">#REF!</definedName>
    <definedName name="SOF" localSheetId="3">#REF!</definedName>
    <definedName name="SOF">#REF!</definedName>
    <definedName name="SOL" localSheetId="6">#REF!</definedName>
    <definedName name="SOL" localSheetId="330">#REF!</definedName>
    <definedName name="SOL" localSheetId="8">#REF!</definedName>
    <definedName name="SOL" localSheetId="10">#REF!</definedName>
    <definedName name="SOL" localSheetId="12">#REF!</definedName>
    <definedName name="SOL" localSheetId="14">#REF!</definedName>
    <definedName name="SOL" localSheetId="16">#REF!</definedName>
    <definedName name="SOL" localSheetId="18">#REF!</definedName>
    <definedName name="SOL" localSheetId="20">#REF!</definedName>
    <definedName name="SOL" localSheetId="22">#REF!</definedName>
    <definedName name="SOL" localSheetId="26">#REF!</definedName>
    <definedName name="SOL" localSheetId="24">#REF!</definedName>
    <definedName name="SOL" localSheetId="28">#REF!</definedName>
    <definedName name="SOL" localSheetId="30">#REF!</definedName>
    <definedName name="SOL" localSheetId="32">#REF!</definedName>
    <definedName name="SOL" localSheetId="34">#REF!</definedName>
    <definedName name="SOL" localSheetId="36">#REF!</definedName>
    <definedName name="SOL" localSheetId="38">#REF!</definedName>
    <definedName name="SOL" localSheetId="40">#REF!</definedName>
    <definedName name="SOL" localSheetId="42">#REF!</definedName>
    <definedName name="SOL" localSheetId="44">#REF!</definedName>
    <definedName name="SOL" localSheetId="46">#REF!</definedName>
    <definedName name="SOL" localSheetId="48">#REF!</definedName>
    <definedName name="SOL" localSheetId="50">#REF!</definedName>
    <definedName name="SOL" localSheetId="52">#REF!</definedName>
    <definedName name="SOL" localSheetId="54">#REF!</definedName>
    <definedName name="SOL" localSheetId="56">#REF!</definedName>
    <definedName name="SOL" localSheetId="58">#REF!</definedName>
    <definedName name="SOL" localSheetId="60">#REF!</definedName>
    <definedName name="SOL" localSheetId="62">#REF!</definedName>
    <definedName name="SOL" localSheetId="64">#REF!</definedName>
    <definedName name="SOL" localSheetId="66">#REF!</definedName>
    <definedName name="SOL" localSheetId="68">#REF!</definedName>
    <definedName name="SOL" localSheetId="70">#REF!</definedName>
    <definedName name="SOL" localSheetId="72">#REF!</definedName>
    <definedName name="SOL" localSheetId="74">#REF!</definedName>
    <definedName name="SOL" localSheetId="76">#REF!</definedName>
    <definedName name="SOL" localSheetId="78">#REF!</definedName>
    <definedName name="SOL" localSheetId="80">#REF!</definedName>
    <definedName name="SOL" localSheetId="82">#REF!</definedName>
    <definedName name="SOL" localSheetId="84">#REF!</definedName>
    <definedName name="SOL" localSheetId="86">#REF!</definedName>
    <definedName name="SOL" localSheetId="88">#REF!</definedName>
    <definedName name="SOL" localSheetId="90">#REF!</definedName>
    <definedName name="SOL" localSheetId="92">#REF!</definedName>
    <definedName name="SOL" localSheetId="94">#REF!</definedName>
    <definedName name="SOL" localSheetId="96">#REF!</definedName>
    <definedName name="SOL" localSheetId="98">#REF!</definedName>
    <definedName name="SOL" localSheetId="100">#REF!</definedName>
    <definedName name="SOL" localSheetId="102">#REF!</definedName>
    <definedName name="SOL" localSheetId="104">#REF!</definedName>
    <definedName name="SOL" localSheetId="106">#REF!</definedName>
    <definedName name="SOL" localSheetId="108">#REF!</definedName>
    <definedName name="SOL" localSheetId="110">#REF!</definedName>
    <definedName name="SOL" localSheetId="112">#REF!</definedName>
    <definedName name="SOL" localSheetId="114">#REF!</definedName>
    <definedName name="SOL" localSheetId="116">#REF!</definedName>
    <definedName name="SOL" localSheetId="118">#REF!</definedName>
    <definedName name="SOL" localSheetId="120">#REF!</definedName>
    <definedName name="SOL" localSheetId="122">#REF!</definedName>
    <definedName name="SOL" localSheetId="124">#REF!</definedName>
    <definedName name="SOL" localSheetId="126">#REF!</definedName>
    <definedName name="SOL" localSheetId="128">#REF!</definedName>
    <definedName name="SOL" localSheetId="130">#REF!</definedName>
    <definedName name="SOL" localSheetId="132">#REF!</definedName>
    <definedName name="SOL" localSheetId="134">#REF!</definedName>
    <definedName name="SOL" localSheetId="136">#REF!</definedName>
    <definedName name="SOL" localSheetId="138">#REF!</definedName>
    <definedName name="SOL" localSheetId="140">#REF!</definedName>
    <definedName name="SOL" localSheetId="142">#REF!</definedName>
    <definedName name="SOL" localSheetId="144">#REF!</definedName>
    <definedName name="SOL" localSheetId="146">#REF!</definedName>
    <definedName name="SOL" localSheetId="148">#REF!</definedName>
    <definedName name="SOL" localSheetId="150">#REF!</definedName>
    <definedName name="SOL" localSheetId="152">#REF!</definedName>
    <definedName name="SOL" localSheetId="154">#REF!</definedName>
    <definedName name="SOL" localSheetId="156">#REF!</definedName>
    <definedName name="SOL" localSheetId="158">#REF!</definedName>
    <definedName name="SOL" localSheetId="160">#REF!</definedName>
    <definedName name="SOL" localSheetId="162">#REF!</definedName>
    <definedName name="SOL" localSheetId="164">#REF!</definedName>
    <definedName name="SOL" localSheetId="166">#REF!</definedName>
    <definedName name="SOL" localSheetId="168">#REF!</definedName>
    <definedName name="SOL" localSheetId="170">#REF!</definedName>
    <definedName name="SOL" localSheetId="172">#REF!</definedName>
    <definedName name="SOL" localSheetId="174">#REF!</definedName>
    <definedName name="SOL" localSheetId="176">#REF!</definedName>
    <definedName name="SOL" localSheetId="178">#REF!</definedName>
    <definedName name="SOL" localSheetId="180">#REF!</definedName>
    <definedName name="SOL" localSheetId="182">#REF!</definedName>
    <definedName name="SOL" localSheetId="184">#REF!</definedName>
    <definedName name="SOL" localSheetId="186">#REF!</definedName>
    <definedName name="SOL" localSheetId="188">#REF!</definedName>
    <definedName name="SOL" localSheetId="190">#REF!</definedName>
    <definedName name="SOL" localSheetId="192">#REF!</definedName>
    <definedName name="SOL" localSheetId="194">#REF!</definedName>
    <definedName name="SOL" localSheetId="196">#REF!</definedName>
    <definedName name="SOL" localSheetId="198">#REF!</definedName>
    <definedName name="SOL" localSheetId="200">#REF!</definedName>
    <definedName name="SOL" localSheetId="202">#REF!</definedName>
    <definedName name="SOL" localSheetId="204">#REF!</definedName>
    <definedName name="SOL" localSheetId="206">#REF!</definedName>
    <definedName name="SOL" localSheetId="208">#REF!</definedName>
    <definedName name="SOL" localSheetId="210">#REF!</definedName>
    <definedName name="SOL" localSheetId="212">#REF!</definedName>
    <definedName name="SOL" localSheetId="214">#REF!</definedName>
    <definedName name="SOL" localSheetId="216">#REF!</definedName>
    <definedName name="SOL" localSheetId="218">#REF!</definedName>
    <definedName name="SOL" localSheetId="220">#REF!</definedName>
    <definedName name="SOL" localSheetId="224">#REF!</definedName>
    <definedName name="SOL" localSheetId="228">#REF!</definedName>
    <definedName name="SOL" localSheetId="230">#REF!</definedName>
    <definedName name="SOL" localSheetId="232">#REF!</definedName>
    <definedName name="SOL" localSheetId="234">#REF!</definedName>
    <definedName name="SOL" localSheetId="236">#REF!</definedName>
    <definedName name="SOL" localSheetId="240">#REF!</definedName>
    <definedName name="SOL" localSheetId="242">#REF!</definedName>
    <definedName name="SOL" localSheetId="244">#REF!</definedName>
    <definedName name="SOL" localSheetId="246">#REF!</definedName>
    <definedName name="SOL" localSheetId="248">#REF!</definedName>
    <definedName name="SOL" localSheetId="250">#REF!</definedName>
    <definedName name="SOL" localSheetId="252">#REF!</definedName>
    <definedName name="SOL" localSheetId="254">#REF!</definedName>
    <definedName name="SOL" localSheetId="256">#REF!</definedName>
    <definedName name="SOL" localSheetId="258">#REF!</definedName>
    <definedName name="SOL" localSheetId="260">#REF!</definedName>
    <definedName name="SOL" localSheetId="262">#REF!</definedName>
    <definedName name="SOL" localSheetId="264">#REF!</definedName>
    <definedName name="SOL" localSheetId="266">#REF!</definedName>
    <definedName name="SOL" localSheetId="268">#REF!</definedName>
    <definedName name="SOL" localSheetId="270">#REF!</definedName>
    <definedName name="SOL" localSheetId="282">#REF!</definedName>
    <definedName name="SOL" localSheetId="284">#REF!</definedName>
    <definedName name="SOL" localSheetId="286">#REF!</definedName>
    <definedName name="SOL" localSheetId="288">#REF!</definedName>
    <definedName name="SOL" localSheetId="290">#REF!</definedName>
    <definedName name="SOL" localSheetId="296">#REF!</definedName>
    <definedName name="SOL" localSheetId="304">#REF!</definedName>
    <definedName name="SOL" localSheetId="306">#REF!</definedName>
    <definedName name="SOL" localSheetId="308">#REF!</definedName>
    <definedName name="SOL" localSheetId="318">#REF!</definedName>
    <definedName name="SOL" localSheetId="320">#REF!</definedName>
    <definedName name="SOL" localSheetId="322">#REF!</definedName>
    <definedName name="SOL" localSheetId="324">#REF!</definedName>
    <definedName name="SOL" localSheetId="328">#REF!</definedName>
    <definedName name="SOL" localSheetId="5">#REF!</definedName>
    <definedName name="SOL" localSheetId="7">#REF!</definedName>
    <definedName name="SOL" localSheetId="9">#REF!</definedName>
    <definedName name="SOL" localSheetId="11">#REF!</definedName>
    <definedName name="SOL" localSheetId="15">#REF!</definedName>
    <definedName name="SOL" localSheetId="21">#REF!</definedName>
    <definedName name="SOL" localSheetId="23">#REF!</definedName>
    <definedName name="SOL" localSheetId="27">#REF!</definedName>
    <definedName name="SOL" localSheetId="25">#REF!</definedName>
    <definedName name="SOL" localSheetId="29">#REF!</definedName>
    <definedName name="SOL" localSheetId="31">#REF!</definedName>
    <definedName name="SOL" localSheetId="35">#REF!</definedName>
    <definedName name="SOL" localSheetId="37">#REF!</definedName>
    <definedName name="SOL" localSheetId="41">#REF!</definedName>
    <definedName name="SOL" localSheetId="51">#REF!</definedName>
    <definedName name="SOL" localSheetId="97">#REF!</definedName>
    <definedName name="SOL" localSheetId="129">#REF!</definedName>
    <definedName name="SOL" localSheetId="131">#REF!</definedName>
    <definedName name="SOL" localSheetId="133">#REF!</definedName>
    <definedName name="SOL" localSheetId="135">#REF!</definedName>
    <definedName name="SOL" localSheetId="137">#REF!</definedName>
    <definedName name="SOL" localSheetId="139">#REF!</definedName>
    <definedName name="SOL" localSheetId="141">#REF!</definedName>
    <definedName name="SOL" localSheetId="143">#REF!</definedName>
    <definedName name="SOL" localSheetId="145">#REF!</definedName>
    <definedName name="SOL" localSheetId="147">#REF!</definedName>
    <definedName name="SOL" localSheetId="149">#REF!</definedName>
    <definedName name="SOL" localSheetId="151">#REF!</definedName>
    <definedName name="SOL" localSheetId="153">#REF!</definedName>
    <definedName name="SOL" localSheetId="155">#REF!</definedName>
    <definedName name="SOL" localSheetId="157">#REF!</definedName>
    <definedName name="SOL" localSheetId="159">#REF!</definedName>
    <definedName name="SOL" localSheetId="161">#REF!</definedName>
    <definedName name="SOL" localSheetId="163">#REF!</definedName>
    <definedName name="SOL" localSheetId="169">#REF!</definedName>
    <definedName name="SOL" localSheetId="173">#REF!</definedName>
    <definedName name="SOL" localSheetId="175">#REF!</definedName>
    <definedName name="SOL" localSheetId="177">#REF!</definedName>
    <definedName name="SOL" localSheetId="179">#REF!</definedName>
    <definedName name="SOL" localSheetId="3">#REF!</definedName>
    <definedName name="SOL">#REF!</definedName>
    <definedName name="T" localSheetId="6">#REF!</definedName>
    <definedName name="T" localSheetId="330">#REF!</definedName>
    <definedName name="T" localSheetId="8">#REF!</definedName>
    <definedName name="T" localSheetId="10">#REF!</definedName>
    <definedName name="T" localSheetId="12">#REF!</definedName>
    <definedName name="T" localSheetId="14">#REF!</definedName>
    <definedName name="T" localSheetId="16">#REF!</definedName>
    <definedName name="T" localSheetId="18">#REF!</definedName>
    <definedName name="T" localSheetId="20">#REF!</definedName>
    <definedName name="T" localSheetId="22">#REF!</definedName>
    <definedName name="T" localSheetId="26">#REF!</definedName>
    <definedName name="T" localSheetId="24">#REF!</definedName>
    <definedName name="T" localSheetId="28">#REF!</definedName>
    <definedName name="T" localSheetId="30">#REF!</definedName>
    <definedName name="T" localSheetId="32">#REF!</definedName>
    <definedName name="T" localSheetId="34">#REF!</definedName>
    <definedName name="T" localSheetId="36">#REF!</definedName>
    <definedName name="T" localSheetId="38">#REF!</definedName>
    <definedName name="T" localSheetId="40">#REF!</definedName>
    <definedName name="T" localSheetId="42">#REF!</definedName>
    <definedName name="T" localSheetId="44">#REF!</definedName>
    <definedName name="T" localSheetId="46">#REF!</definedName>
    <definedName name="T" localSheetId="48">#REF!</definedName>
    <definedName name="T" localSheetId="50">#REF!</definedName>
    <definedName name="T" localSheetId="52">#REF!</definedName>
    <definedName name="T" localSheetId="54">#REF!</definedName>
    <definedName name="T" localSheetId="56">#REF!</definedName>
    <definedName name="T" localSheetId="58">#REF!</definedName>
    <definedName name="T" localSheetId="60">#REF!</definedName>
    <definedName name="T" localSheetId="62">#REF!</definedName>
    <definedName name="T" localSheetId="64">#REF!</definedName>
    <definedName name="T" localSheetId="66">#REF!</definedName>
    <definedName name="T" localSheetId="68">#REF!</definedName>
    <definedName name="T" localSheetId="70">#REF!</definedName>
    <definedName name="T" localSheetId="72">#REF!</definedName>
    <definedName name="T" localSheetId="74">#REF!</definedName>
    <definedName name="T" localSheetId="76">#REF!</definedName>
    <definedName name="T" localSheetId="78">#REF!</definedName>
    <definedName name="T" localSheetId="80">#REF!</definedName>
    <definedName name="T" localSheetId="82">#REF!</definedName>
    <definedName name="T" localSheetId="84">#REF!</definedName>
    <definedName name="T" localSheetId="86">#REF!</definedName>
    <definedName name="T" localSheetId="88">#REF!</definedName>
    <definedName name="T" localSheetId="90">#REF!</definedName>
    <definedName name="T" localSheetId="92">#REF!</definedName>
    <definedName name="T" localSheetId="94">#REF!</definedName>
    <definedName name="T" localSheetId="96">#REF!</definedName>
    <definedName name="T" localSheetId="98">#REF!</definedName>
    <definedName name="T" localSheetId="100">#REF!</definedName>
    <definedName name="T" localSheetId="102">#REF!</definedName>
    <definedName name="T" localSheetId="104">#REF!</definedName>
    <definedName name="T" localSheetId="106">#REF!</definedName>
    <definedName name="T" localSheetId="108">#REF!</definedName>
    <definedName name="T" localSheetId="110">#REF!</definedName>
    <definedName name="T" localSheetId="112">#REF!</definedName>
    <definedName name="T" localSheetId="114">#REF!</definedName>
    <definedName name="T" localSheetId="116">#REF!</definedName>
    <definedName name="T" localSheetId="118">#REF!</definedName>
    <definedName name="T" localSheetId="120">#REF!</definedName>
    <definedName name="T" localSheetId="122">#REF!</definedName>
    <definedName name="T" localSheetId="124">#REF!</definedName>
    <definedName name="T" localSheetId="126">#REF!</definedName>
    <definedName name="T" localSheetId="128">#REF!</definedName>
    <definedName name="T" localSheetId="130">#REF!</definedName>
    <definedName name="T" localSheetId="132">#REF!</definedName>
    <definedName name="T" localSheetId="134">#REF!</definedName>
    <definedName name="T" localSheetId="136">#REF!</definedName>
    <definedName name="T" localSheetId="138">#REF!</definedName>
    <definedName name="T" localSheetId="140">#REF!</definedName>
    <definedName name="T" localSheetId="142">#REF!</definedName>
    <definedName name="T" localSheetId="144">#REF!</definedName>
    <definedName name="T" localSheetId="146">#REF!</definedName>
    <definedName name="T" localSheetId="148">#REF!</definedName>
    <definedName name="T" localSheetId="150">#REF!</definedName>
    <definedName name="T" localSheetId="152">#REF!</definedName>
    <definedName name="T" localSheetId="154">#REF!</definedName>
    <definedName name="T" localSheetId="156">#REF!</definedName>
    <definedName name="T" localSheetId="158">#REF!</definedName>
    <definedName name="T" localSheetId="160">#REF!</definedName>
    <definedName name="T" localSheetId="162">#REF!</definedName>
    <definedName name="T" localSheetId="164">#REF!</definedName>
    <definedName name="T" localSheetId="166">#REF!</definedName>
    <definedName name="T" localSheetId="168">#REF!</definedName>
    <definedName name="T" localSheetId="170">#REF!</definedName>
    <definedName name="T" localSheetId="172">#REF!</definedName>
    <definedName name="T" localSheetId="174">#REF!</definedName>
    <definedName name="T" localSheetId="176">#REF!</definedName>
    <definedName name="T" localSheetId="178">#REF!</definedName>
    <definedName name="T" localSheetId="180">#REF!</definedName>
    <definedName name="T" localSheetId="182">#REF!</definedName>
    <definedName name="T" localSheetId="184">#REF!</definedName>
    <definedName name="T" localSheetId="186">#REF!</definedName>
    <definedName name="T" localSheetId="188">#REF!</definedName>
    <definedName name="T" localSheetId="190">#REF!</definedName>
    <definedName name="T" localSheetId="192">#REF!</definedName>
    <definedName name="T" localSheetId="194">#REF!</definedName>
    <definedName name="T" localSheetId="196">#REF!</definedName>
    <definedName name="T" localSheetId="198">#REF!</definedName>
    <definedName name="T" localSheetId="200">#REF!</definedName>
    <definedName name="T" localSheetId="202">#REF!</definedName>
    <definedName name="T" localSheetId="204">#REF!</definedName>
    <definedName name="T" localSheetId="206">#REF!</definedName>
    <definedName name="T" localSheetId="208">#REF!</definedName>
    <definedName name="T" localSheetId="210">#REF!</definedName>
    <definedName name="T" localSheetId="212">#REF!</definedName>
    <definedName name="T" localSheetId="214">#REF!</definedName>
    <definedName name="T" localSheetId="216">#REF!</definedName>
    <definedName name="T" localSheetId="218">#REF!</definedName>
    <definedName name="T" localSheetId="220">#REF!</definedName>
    <definedName name="T" localSheetId="224">#REF!</definedName>
    <definedName name="T" localSheetId="228">#REF!</definedName>
    <definedName name="T" localSheetId="230">#REF!</definedName>
    <definedName name="T" localSheetId="232">#REF!</definedName>
    <definedName name="T" localSheetId="234">#REF!</definedName>
    <definedName name="T" localSheetId="236">#REF!</definedName>
    <definedName name="T" localSheetId="240">#REF!</definedName>
    <definedName name="T" localSheetId="242">#REF!</definedName>
    <definedName name="T" localSheetId="244">#REF!</definedName>
    <definedName name="T" localSheetId="246">#REF!</definedName>
    <definedName name="T" localSheetId="248">#REF!</definedName>
    <definedName name="T" localSheetId="250">#REF!</definedName>
    <definedName name="T" localSheetId="252">#REF!</definedName>
    <definedName name="T" localSheetId="254">#REF!</definedName>
    <definedName name="T" localSheetId="256">#REF!</definedName>
    <definedName name="T" localSheetId="258">#REF!</definedName>
    <definedName name="T" localSheetId="260">#REF!</definedName>
    <definedName name="T" localSheetId="262">#REF!</definedName>
    <definedName name="T" localSheetId="264">#REF!</definedName>
    <definedName name="T" localSheetId="266">#REF!</definedName>
    <definedName name="T" localSheetId="268">#REF!</definedName>
    <definedName name="T" localSheetId="270">#REF!</definedName>
    <definedName name="T" localSheetId="282">#REF!</definedName>
    <definedName name="T" localSheetId="284">#REF!</definedName>
    <definedName name="T" localSheetId="286">#REF!</definedName>
    <definedName name="T" localSheetId="288">#REF!</definedName>
    <definedName name="T" localSheetId="290">#REF!</definedName>
    <definedName name="T" localSheetId="296">#REF!</definedName>
    <definedName name="T" localSheetId="304">#REF!</definedName>
    <definedName name="T" localSheetId="306">#REF!</definedName>
    <definedName name="T" localSheetId="308">#REF!</definedName>
    <definedName name="T" localSheetId="318">#REF!</definedName>
    <definedName name="T" localSheetId="320">#REF!</definedName>
    <definedName name="T" localSheetId="322">#REF!</definedName>
    <definedName name="T" localSheetId="324">#REF!</definedName>
    <definedName name="T" localSheetId="328">#REF!</definedName>
    <definedName name="T" localSheetId="5">#REF!</definedName>
    <definedName name="T" localSheetId="7">#REF!</definedName>
    <definedName name="T" localSheetId="9">#REF!</definedName>
    <definedName name="T" localSheetId="11">#REF!</definedName>
    <definedName name="T" localSheetId="15">#REF!</definedName>
    <definedName name="T" localSheetId="21">#REF!</definedName>
    <definedName name="T" localSheetId="23">#REF!</definedName>
    <definedName name="T" localSheetId="27">#REF!</definedName>
    <definedName name="T" localSheetId="25">#REF!</definedName>
    <definedName name="T" localSheetId="29">#REF!</definedName>
    <definedName name="T" localSheetId="31">#REF!</definedName>
    <definedName name="T" localSheetId="35">#REF!</definedName>
    <definedName name="T" localSheetId="37">#REF!</definedName>
    <definedName name="T" localSheetId="41">#REF!</definedName>
    <definedName name="T" localSheetId="51">#REF!</definedName>
    <definedName name="T" localSheetId="97">#REF!</definedName>
    <definedName name="T" localSheetId="129">#REF!</definedName>
    <definedName name="T" localSheetId="131">#REF!</definedName>
    <definedName name="T" localSheetId="133">#REF!</definedName>
    <definedName name="T" localSheetId="135">#REF!</definedName>
    <definedName name="T" localSheetId="137">#REF!</definedName>
    <definedName name="T" localSheetId="139">#REF!</definedName>
    <definedName name="T" localSheetId="141">#REF!</definedName>
    <definedName name="T" localSheetId="143">#REF!</definedName>
    <definedName name="T" localSheetId="145">#REF!</definedName>
    <definedName name="T" localSheetId="147">#REF!</definedName>
    <definedName name="T" localSheetId="149">#REF!</definedName>
    <definedName name="T" localSheetId="151">#REF!</definedName>
    <definedName name="T" localSheetId="153">#REF!</definedName>
    <definedName name="T" localSheetId="155">#REF!</definedName>
    <definedName name="T" localSheetId="157">#REF!</definedName>
    <definedName name="T" localSheetId="159">#REF!</definedName>
    <definedName name="T" localSheetId="161">#REF!</definedName>
    <definedName name="T" localSheetId="163">#REF!</definedName>
    <definedName name="T" localSheetId="169">#REF!</definedName>
    <definedName name="T" localSheetId="173">#REF!</definedName>
    <definedName name="T" localSheetId="175">#REF!</definedName>
    <definedName name="T" localSheetId="177">#REF!</definedName>
    <definedName name="T" localSheetId="179">#REF!</definedName>
    <definedName name="T" localSheetId="3">#REF!</definedName>
    <definedName name="T">#REF!</definedName>
    <definedName name="_xlnm.Print_Titles" localSheetId="17">'OT-047 MORATO AS BUILT'!$13:$13</definedName>
    <definedName name="_xlnm.Print_Titles" localSheetId="5">'OT17-013  CHÍA AMPLIACIÓN'!$1:$13</definedName>
    <definedName name="_xlnm.Print_Titles" localSheetId="15">'OT17-046 VICTORIA POTENCIA'!$1:$13</definedName>
    <definedName name="_xlnm.Print_Titles" localSheetId="19">'OT17-048 TECHO PLANOS AS BUILT'!$13:$13</definedName>
    <definedName name="_xlnm.Print_Titles" localSheetId="23">'OT17-108 TOCANCIPÁ AMPLIACIÓN'!$1:$13</definedName>
    <definedName name="_xlnm.Print_Titles" localSheetId="33">'OT17-139 EL SOL CIVILES'!$13:$13</definedName>
    <definedName name="_xlnm.Print_Titles" localSheetId="51">'OT17-172 - NORTE'!$1:$13</definedName>
    <definedName name="_xlnm.Print_Titles" localSheetId="57">'OT17-178 BALSILLAS COD MEDIDA'!$13:$13</definedName>
    <definedName name="_xlnm.Print_Titles" localSheetId="77">'OT17-225 LT DOR GUA CONEX GUAD '!$1:$13</definedName>
    <definedName name="_xlnm.Print_Titles" localSheetId="83">'OT17-236 MUÑA AS BUILT'!$13:$13</definedName>
    <definedName name="_xlnm.Print_Titles" localSheetId="85">'OT17-237 FONTIBÓN AS BUILT'!$13:$13</definedName>
    <definedName name="_xlnm.Print_Titles" localSheetId="89">'OT17-243 VICTORIA 34,5 kV'!$13:$13</definedName>
    <definedName name="_xlnm.Print_Titles" localSheetId="167">'OT17-334 VICTORIA '!$13:$13</definedName>
    <definedName name="_xlnm.Print_Titles" localSheetId="183">'OT17-365 LA SALADA'!$13:$13</definedName>
    <definedName name="_xlnm.Print_Titles" localSheetId="201">'OT17-383 BALMORAL'!$13:$13</definedName>
    <definedName name="_xlnm.Print_Titles" localSheetId="203">'OT17-384 LOS MANGOS'!$13:$13</definedName>
    <definedName name="_xlnm.Print_Titles" localSheetId="205">'OT17-385 EL PEÑÓN '!$13:$13</definedName>
    <definedName name="_xlnm.Print_Titles" localSheetId="207">'OT17-386 CHOACHÍ'!$13:$13</definedName>
    <definedName name="_xlnm.Print_Titles" localSheetId="209">'OT17-387 MOSQUERA '!$1:$13</definedName>
    <definedName name="_xlnm.Print_Titles" localSheetId="309">'OT18-010 SIBERIA'!$13:$13</definedName>
    <definedName name="US" localSheetId="6">#REF!</definedName>
    <definedName name="US" localSheetId="330">#REF!</definedName>
    <definedName name="US" localSheetId="8">#REF!</definedName>
    <definedName name="US" localSheetId="10">#REF!</definedName>
    <definedName name="US" localSheetId="12">#REF!</definedName>
    <definedName name="US" localSheetId="14">#REF!</definedName>
    <definedName name="US" localSheetId="16">#REF!</definedName>
    <definedName name="US" localSheetId="18">#REF!</definedName>
    <definedName name="US" localSheetId="20">#REF!</definedName>
    <definedName name="US" localSheetId="22">#REF!</definedName>
    <definedName name="US" localSheetId="26">#REF!</definedName>
    <definedName name="US" localSheetId="24">#REF!</definedName>
    <definedName name="US" localSheetId="28">#REF!</definedName>
    <definedName name="US" localSheetId="30">#REF!</definedName>
    <definedName name="US" localSheetId="32">#REF!</definedName>
    <definedName name="US" localSheetId="34">#REF!</definedName>
    <definedName name="US" localSheetId="36">#REF!</definedName>
    <definedName name="US" localSheetId="38">#REF!</definedName>
    <definedName name="US" localSheetId="40">#REF!</definedName>
    <definedName name="US" localSheetId="42">#REF!</definedName>
    <definedName name="US" localSheetId="44">#REF!</definedName>
    <definedName name="US" localSheetId="46">#REF!</definedName>
    <definedName name="US" localSheetId="48">#REF!</definedName>
    <definedName name="US" localSheetId="50">#REF!</definedName>
    <definedName name="US" localSheetId="52">#REF!</definedName>
    <definedName name="US" localSheetId="54">#REF!</definedName>
    <definedName name="US" localSheetId="56">#REF!</definedName>
    <definedName name="US" localSheetId="58">#REF!</definedName>
    <definedName name="US" localSheetId="60">#REF!</definedName>
    <definedName name="US" localSheetId="62">#REF!</definedName>
    <definedName name="US" localSheetId="64">#REF!</definedName>
    <definedName name="US" localSheetId="66">#REF!</definedName>
    <definedName name="US" localSheetId="68">#REF!</definedName>
    <definedName name="US" localSheetId="70">#REF!</definedName>
    <definedName name="US" localSheetId="72">#REF!</definedName>
    <definedName name="US" localSheetId="74">#REF!</definedName>
    <definedName name="US" localSheetId="76">#REF!</definedName>
    <definedName name="US" localSheetId="78">#REF!</definedName>
    <definedName name="US" localSheetId="80">#REF!</definedName>
    <definedName name="US" localSheetId="82">#REF!</definedName>
    <definedName name="US" localSheetId="84">#REF!</definedName>
    <definedName name="US" localSheetId="86">#REF!</definedName>
    <definedName name="US" localSheetId="88">#REF!</definedName>
    <definedName name="US" localSheetId="90">#REF!</definedName>
    <definedName name="US" localSheetId="92">#REF!</definedName>
    <definedName name="US" localSheetId="94">#REF!</definedName>
    <definedName name="US" localSheetId="96">#REF!</definedName>
    <definedName name="US" localSheetId="98">#REF!</definedName>
    <definedName name="US" localSheetId="100">#REF!</definedName>
    <definedName name="US" localSheetId="102">#REF!</definedName>
    <definedName name="US" localSheetId="104">#REF!</definedName>
    <definedName name="US" localSheetId="106">#REF!</definedName>
    <definedName name="US" localSheetId="108">#REF!</definedName>
    <definedName name="US" localSheetId="110">#REF!</definedName>
    <definedName name="US" localSheetId="112">#REF!</definedName>
    <definedName name="US" localSheetId="114">#REF!</definedName>
    <definedName name="US" localSheetId="116">#REF!</definedName>
    <definedName name="US" localSheetId="118">#REF!</definedName>
    <definedName name="US" localSheetId="120">#REF!</definedName>
    <definedName name="US" localSheetId="122">#REF!</definedName>
    <definedName name="US" localSheetId="124">#REF!</definedName>
    <definedName name="US" localSheetId="126">#REF!</definedName>
    <definedName name="US" localSheetId="128">#REF!</definedName>
    <definedName name="US" localSheetId="130">#REF!</definedName>
    <definedName name="US" localSheetId="132">#REF!</definedName>
    <definedName name="US" localSheetId="134">#REF!</definedName>
    <definedName name="US" localSheetId="136">#REF!</definedName>
    <definedName name="US" localSheetId="138">#REF!</definedName>
    <definedName name="US" localSheetId="140">#REF!</definedName>
    <definedName name="US" localSheetId="142">#REF!</definedName>
    <definedName name="US" localSheetId="144">#REF!</definedName>
    <definedName name="US" localSheetId="146">#REF!</definedName>
    <definedName name="US" localSheetId="148">#REF!</definedName>
    <definedName name="US" localSheetId="150">#REF!</definedName>
    <definedName name="US" localSheetId="152">#REF!</definedName>
    <definedName name="US" localSheetId="154">#REF!</definedName>
    <definedName name="US" localSheetId="156">#REF!</definedName>
    <definedName name="US" localSheetId="158">#REF!</definedName>
    <definedName name="US" localSheetId="160">#REF!</definedName>
    <definedName name="US" localSheetId="162">#REF!</definedName>
    <definedName name="US" localSheetId="164">#REF!</definedName>
    <definedName name="US" localSheetId="166">#REF!</definedName>
    <definedName name="US" localSheetId="168">#REF!</definedName>
    <definedName name="US" localSheetId="170">#REF!</definedName>
    <definedName name="US" localSheetId="172">#REF!</definedName>
    <definedName name="US" localSheetId="174">#REF!</definedName>
    <definedName name="US" localSheetId="176">#REF!</definedName>
    <definedName name="US" localSheetId="178">#REF!</definedName>
    <definedName name="US" localSheetId="180">#REF!</definedName>
    <definedName name="US" localSheetId="182">#REF!</definedName>
    <definedName name="US" localSheetId="184">#REF!</definedName>
    <definedName name="US" localSheetId="186">#REF!</definedName>
    <definedName name="US" localSheetId="188">#REF!</definedName>
    <definedName name="US" localSheetId="190">#REF!</definedName>
    <definedName name="US" localSheetId="192">#REF!</definedName>
    <definedName name="US" localSheetId="194">#REF!</definedName>
    <definedName name="US" localSheetId="196">#REF!</definedName>
    <definedName name="US" localSheetId="198">#REF!</definedName>
    <definedName name="US" localSheetId="200">#REF!</definedName>
    <definedName name="US" localSheetId="202">#REF!</definedName>
    <definedName name="US" localSheetId="204">#REF!</definedName>
    <definedName name="US" localSheetId="206">#REF!</definedName>
    <definedName name="US" localSheetId="208">#REF!</definedName>
    <definedName name="US" localSheetId="210">#REF!</definedName>
    <definedName name="US" localSheetId="212">#REF!</definedName>
    <definedName name="US" localSheetId="214">#REF!</definedName>
    <definedName name="US" localSheetId="216">#REF!</definedName>
    <definedName name="US" localSheetId="218">#REF!</definedName>
    <definedName name="US" localSheetId="220">#REF!</definedName>
    <definedName name="US" localSheetId="224">#REF!</definedName>
    <definedName name="US" localSheetId="228">#REF!</definedName>
    <definedName name="US" localSheetId="230">#REF!</definedName>
    <definedName name="US" localSheetId="232">#REF!</definedName>
    <definedName name="US" localSheetId="234">#REF!</definedName>
    <definedName name="US" localSheetId="236">#REF!</definedName>
    <definedName name="US" localSheetId="240">#REF!</definedName>
    <definedName name="US" localSheetId="242">#REF!</definedName>
    <definedName name="US" localSheetId="244">#REF!</definedName>
    <definedName name="US" localSheetId="246">#REF!</definedName>
    <definedName name="US" localSheetId="248">#REF!</definedName>
    <definedName name="US" localSheetId="250">#REF!</definedName>
    <definedName name="US" localSheetId="252">#REF!</definedName>
    <definedName name="US" localSheetId="254">#REF!</definedName>
    <definedName name="US" localSheetId="256">#REF!</definedName>
    <definedName name="US" localSheetId="258">#REF!</definedName>
    <definedName name="US" localSheetId="260">#REF!</definedName>
    <definedName name="US" localSheetId="262">#REF!</definedName>
    <definedName name="US" localSheetId="264">#REF!</definedName>
    <definedName name="US" localSheetId="266">#REF!</definedName>
    <definedName name="US" localSheetId="268">#REF!</definedName>
    <definedName name="US" localSheetId="270">#REF!</definedName>
    <definedName name="US" localSheetId="282">#REF!</definedName>
    <definedName name="US" localSheetId="284">#REF!</definedName>
    <definedName name="US" localSheetId="286">#REF!</definedName>
    <definedName name="US" localSheetId="288">#REF!</definedName>
    <definedName name="US" localSheetId="290">#REF!</definedName>
    <definedName name="US" localSheetId="296">#REF!</definedName>
    <definedName name="US" localSheetId="304">#REF!</definedName>
    <definedName name="US" localSheetId="306">#REF!</definedName>
    <definedName name="US" localSheetId="308">#REF!</definedName>
    <definedName name="US" localSheetId="318">#REF!</definedName>
    <definedName name="US" localSheetId="320">#REF!</definedName>
    <definedName name="US" localSheetId="322">#REF!</definedName>
    <definedName name="US" localSheetId="324">#REF!</definedName>
    <definedName name="US" localSheetId="328">#REF!</definedName>
    <definedName name="US" localSheetId="5">#REF!</definedName>
    <definedName name="US" localSheetId="7">#REF!</definedName>
    <definedName name="US" localSheetId="9">#REF!</definedName>
    <definedName name="US" localSheetId="11">#REF!</definedName>
    <definedName name="US" localSheetId="15">#REF!</definedName>
    <definedName name="US" localSheetId="21">#REF!</definedName>
    <definedName name="US" localSheetId="23">#REF!</definedName>
    <definedName name="US" localSheetId="27">#REF!</definedName>
    <definedName name="US" localSheetId="25">#REF!</definedName>
    <definedName name="US" localSheetId="29">#REF!</definedName>
    <definedName name="US" localSheetId="31">#REF!</definedName>
    <definedName name="US" localSheetId="35">#REF!</definedName>
    <definedName name="US" localSheetId="37">#REF!</definedName>
    <definedName name="US" localSheetId="41">#REF!</definedName>
    <definedName name="US" localSheetId="51">#REF!</definedName>
    <definedName name="US" localSheetId="97">#REF!</definedName>
    <definedName name="US" localSheetId="129">#REF!</definedName>
    <definedName name="US" localSheetId="131">#REF!</definedName>
    <definedName name="US" localSheetId="133">#REF!</definedName>
    <definedName name="US" localSheetId="135">#REF!</definedName>
    <definedName name="US" localSheetId="137">#REF!</definedName>
    <definedName name="US" localSheetId="139">#REF!</definedName>
    <definedName name="US" localSheetId="141">#REF!</definedName>
    <definedName name="US" localSheetId="143">#REF!</definedName>
    <definedName name="US" localSheetId="145">#REF!</definedName>
    <definedName name="US" localSheetId="147">#REF!</definedName>
    <definedName name="US" localSheetId="149">#REF!</definedName>
    <definedName name="US" localSheetId="151">#REF!</definedName>
    <definedName name="US" localSheetId="153">#REF!</definedName>
    <definedName name="US" localSheetId="155">#REF!</definedName>
    <definedName name="US" localSheetId="157">#REF!</definedName>
    <definedName name="US" localSheetId="159">#REF!</definedName>
    <definedName name="US" localSheetId="161">#REF!</definedName>
    <definedName name="US" localSheetId="163">#REF!</definedName>
    <definedName name="US" localSheetId="169">#REF!</definedName>
    <definedName name="US" localSheetId="173">#REF!</definedName>
    <definedName name="US" localSheetId="175">#REF!</definedName>
    <definedName name="US" localSheetId="177">#REF!</definedName>
    <definedName name="US" localSheetId="179">#REF!</definedName>
    <definedName name="US" localSheetId="3">#REF!</definedName>
    <definedName name="US">#REF!</definedName>
    <definedName name="vfgh" localSheetId="6">#REF!</definedName>
    <definedName name="vfgh" localSheetId="330">#REF!</definedName>
    <definedName name="vfgh" localSheetId="8">#REF!</definedName>
    <definedName name="vfgh" localSheetId="10">#REF!</definedName>
    <definedName name="vfgh" localSheetId="12">#REF!</definedName>
    <definedName name="vfgh" localSheetId="14">#REF!</definedName>
    <definedName name="vfgh" localSheetId="16">#REF!</definedName>
    <definedName name="vfgh" localSheetId="18">#REF!</definedName>
    <definedName name="vfgh" localSheetId="20">#REF!</definedName>
    <definedName name="vfgh" localSheetId="22">#REF!</definedName>
    <definedName name="vfgh" localSheetId="26">#REF!</definedName>
    <definedName name="vfgh" localSheetId="24">#REF!</definedName>
    <definedName name="vfgh" localSheetId="28">#REF!</definedName>
    <definedName name="vfgh" localSheetId="30">#REF!</definedName>
    <definedName name="vfgh" localSheetId="32">#REF!</definedName>
    <definedName name="vfgh" localSheetId="34">#REF!</definedName>
    <definedName name="vfgh" localSheetId="36">#REF!</definedName>
    <definedName name="vfgh" localSheetId="38">#REF!</definedName>
    <definedName name="vfgh" localSheetId="40">#REF!</definedName>
    <definedName name="vfgh" localSheetId="42">#REF!</definedName>
    <definedName name="vfgh" localSheetId="44">#REF!</definedName>
    <definedName name="vfgh" localSheetId="46">#REF!</definedName>
    <definedName name="vfgh" localSheetId="48">#REF!</definedName>
    <definedName name="vfgh" localSheetId="50">#REF!</definedName>
    <definedName name="vfgh" localSheetId="52">#REF!</definedName>
    <definedName name="vfgh" localSheetId="54">#REF!</definedName>
    <definedName name="vfgh" localSheetId="56">#REF!</definedName>
    <definedName name="vfgh" localSheetId="58">#REF!</definedName>
    <definedName name="vfgh" localSheetId="60">#REF!</definedName>
    <definedName name="vfgh" localSheetId="62">#REF!</definedName>
    <definedName name="vfgh" localSheetId="64">#REF!</definedName>
    <definedName name="vfgh" localSheetId="66">#REF!</definedName>
    <definedName name="vfgh" localSheetId="68">#REF!</definedName>
    <definedName name="vfgh" localSheetId="70">#REF!</definedName>
    <definedName name="vfgh" localSheetId="72">#REF!</definedName>
    <definedName name="vfgh" localSheetId="74">#REF!</definedName>
    <definedName name="vfgh" localSheetId="76">#REF!</definedName>
    <definedName name="vfgh" localSheetId="78">#REF!</definedName>
    <definedName name="vfgh" localSheetId="80">#REF!</definedName>
    <definedName name="vfgh" localSheetId="82">#REF!</definedName>
    <definedName name="vfgh" localSheetId="84">#REF!</definedName>
    <definedName name="vfgh" localSheetId="86">#REF!</definedName>
    <definedName name="vfgh" localSheetId="88">#REF!</definedName>
    <definedName name="vfgh" localSheetId="90">#REF!</definedName>
    <definedName name="vfgh" localSheetId="92">#REF!</definedName>
    <definedName name="vfgh" localSheetId="94">#REF!</definedName>
    <definedName name="vfgh" localSheetId="96">#REF!</definedName>
    <definedName name="vfgh" localSheetId="98">#REF!</definedName>
    <definedName name="vfgh" localSheetId="100">#REF!</definedName>
    <definedName name="vfgh" localSheetId="102">#REF!</definedName>
    <definedName name="vfgh" localSheetId="104">#REF!</definedName>
    <definedName name="vfgh" localSheetId="106">#REF!</definedName>
    <definedName name="vfgh" localSheetId="108">#REF!</definedName>
    <definedName name="vfgh" localSheetId="110">#REF!</definedName>
    <definedName name="vfgh" localSheetId="112">#REF!</definedName>
    <definedName name="vfgh" localSheetId="114">#REF!</definedName>
    <definedName name="vfgh" localSheetId="116">#REF!</definedName>
    <definedName name="vfgh" localSheetId="118">#REF!</definedName>
    <definedName name="vfgh" localSheetId="120">#REF!</definedName>
    <definedName name="vfgh" localSheetId="122">#REF!</definedName>
    <definedName name="vfgh" localSheetId="124">#REF!</definedName>
    <definedName name="vfgh" localSheetId="126">#REF!</definedName>
    <definedName name="vfgh" localSheetId="128">#REF!</definedName>
    <definedName name="vfgh" localSheetId="130">#REF!</definedName>
    <definedName name="vfgh" localSheetId="132">#REF!</definedName>
    <definedName name="vfgh" localSheetId="134">#REF!</definedName>
    <definedName name="vfgh" localSheetId="136">#REF!</definedName>
    <definedName name="vfgh" localSheetId="138">#REF!</definedName>
    <definedName name="vfgh" localSheetId="140">#REF!</definedName>
    <definedName name="vfgh" localSheetId="142">#REF!</definedName>
    <definedName name="vfgh" localSheetId="144">#REF!</definedName>
    <definedName name="vfgh" localSheetId="146">#REF!</definedName>
    <definedName name="vfgh" localSheetId="148">#REF!</definedName>
    <definedName name="vfgh" localSheetId="150">#REF!</definedName>
    <definedName name="vfgh" localSheetId="152">#REF!</definedName>
    <definedName name="vfgh" localSheetId="154">#REF!</definedName>
    <definedName name="vfgh" localSheetId="156">#REF!</definedName>
    <definedName name="vfgh" localSheetId="158">#REF!</definedName>
    <definedName name="vfgh" localSheetId="160">#REF!</definedName>
    <definedName name="vfgh" localSheetId="162">#REF!</definedName>
    <definedName name="vfgh" localSheetId="164">#REF!</definedName>
    <definedName name="vfgh" localSheetId="166">#REF!</definedName>
    <definedName name="vfgh" localSheetId="168">#REF!</definedName>
    <definedName name="vfgh" localSheetId="170">#REF!</definedName>
    <definedName name="vfgh" localSheetId="172">#REF!</definedName>
    <definedName name="vfgh" localSheetId="174">#REF!</definedName>
    <definedName name="vfgh" localSheetId="176">#REF!</definedName>
    <definedName name="vfgh" localSheetId="178">#REF!</definedName>
    <definedName name="vfgh" localSheetId="180">#REF!</definedName>
    <definedName name="vfgh" localSheetId="182">#REF!</definedName>
    <definedName name="vfgh" localSheetId="184">#REF!</definedName>
    <definedName name="vfgh" localSheetId="186">#REF!</definedName>
    <definedName name="vfgh" localSheetId="188">#REF!</definedName>
    <definedName name="vfgh" localSheetId="190">#REF!</definedName>
    <definedName name="vfgh" localSheetId="192">#REF!</definedName>
    <definedName name="vfgh" localSheetId="194">#REF!</definedName>
    <definedName name="vfgh" localSheetId="196">#REF!</definedName>
    <definedName name="vfgh" localSheetId="198">#REF!</definedName>
    <definedName name="vfgh" localSheetId="200">#REF!</definedName>
    <definedName name="vfgh" localSheetId="202">#REF!</definedName>
    <definedName name="vfgh" localSheetId="204">#REF!</definedName>
    <definedName name="vfgh" localSheetId="206">#REF!</definedName>
    <definedName name="vfgh" localSheetId="208">#REF!</definedName>
    <definedName name="vfgh" localSheetId="210">#REF!</definedName>
    <definedName name="vfgh" localSheetId="212">#REF!</definedName>
    <definedName name="vfgh" localSheetId="214">#REF!</definedName>
    <definedName name="vfgh" localSheetId="216">#REF!</definedName>
    <definedName name="vfgh" localSheetId="218">#REF!</definedName>
    <definedName name="vfgh" localSheetId="220">#REF!</definedName>
    <definedName name="vfgh" localSheetId="224">#REF!</definedName>
    <definedName name="vfgh" localSheetId="228">#REF!</definedName>
    <definedName name="vfgh" localSheetId="230">#REF!</definedName>
    <definedName name="vfgh" localSheetId="232">#REF!</definedName>
    <definedName name="vfgh" localSheetId="234">#REF!</definedName>
    <definedName name="vfgh" localSheetId="236">#REF!</definedName>
    <definedName name="vfgh" localSheetId="240">#REF!</definedName>
    <definedName name="vfgh" localSheetId="242">#REF!</definedName>
    <definedName name="vfgh" localSheetId="244">#REF!</definedName>
    <definedName name="vfgh" localSheetId="246">#REF!</definedName>
    <definedName name="vfgh" localSheetId="248">#REF!</definedName>
    <definedName name="vfgh" localSheetId="250">#REF!</definedName>
    <definedName name="vfgh" localSheetId="252">#REF!</definedName>
    <definedName name="vfgh" localSheetId="254">#REF!</definedName>
    <definedName name="vfgh" localSheetId="256">#REF!</definedName>
    <definedName name="vfgh" localSheetId="258">#REF!</definedName>
    <definedName name="vfgh" localSheetId="260">#REF!</definedName>
    <definedName name="vfgh" localSheetId="262">#REF!</definedName>
    <definedName name="vfgh" localSheetId="264">#REF!</definedName>
    <definedName name="vfgh" localSheetId="266">#REF!</definedName>
    <definedName name="vfgh" localSheetId="268">#REF!</definedName>
    <definedName name="vfgh" localSheetId="270">#REF!</definedName>
    <definedName name="vfgh" localSheetId="282">#REF!</definedName>
    <definedName name="vfgh" localSheetId="284">#REF!</definedName>
    <definedName name="vfgh" localSheetId="286">#REF!</definedName>
    <definedName name="vfgh" localSheetId="288">#REF!</definedName>
    <definedName name="vfgh" localSheetId="290">#REF!</definedName>
    <definedName name="vfgh" localSheetId="296">#REF!</definedName>
    <definedName name="vfgh" localSheetId="304">#REF!</definedName>
    <definedName name="vfgh" localSheetId="306">#REF!</definedName>
    <definedName name="vfgh" localSheetId="308">#REF!</definedName>
    <definedName name="vfgh" localSheetId="318">#REF!</definedName>
    <definedName name="vfgh" localSheetId="320">#REF!</definedName>
    <definedName name="vfgh" localSheetId="322">#REF!</definedName>
    <definedName name="vfgh" localSheetId="324">#REF!</definedName>
    <definedName name="vfgh" localSheetId="328">#REF!</definedName>
    <definedName name="vfgh" localSheetId="5">#REF!</definedName>
    <definedName name="vfgh" localSheetId="7">#REF!</definedName>
    <definedName name="vfgh" localSheetId="9">#REF!</definedName>
    <definedName name="vfgh" localSheetId="11">#REF!</definedName>
    <definedName name="vfgh" localSheetId="15">#REF!</definedName>
    <definedName name="vfgh" localSheetId="21">#REF!</definedName>
    <definedName name="vfgh" localSheetId="23">#REF!</definedName>
    <definedName name="vfgh" localSheetId="27">#REF!</definedName>
    <definedName name="vfgh" localSheetId="25">#REF!</definedName>
    <definedName name="vfgh" localSheetId="29">#REF!</definedName>
    <definedName name="vfgh" localSheetId="31">#REF!</definedName>
    <definedName name="vfgh" localSheetId="35">#REF!</definedName>
    <definedName name="vfgh" localSheetId="37">#REF!</definedName>
    <definedName name="vfgh" localSheetId="41">#REF!</definedName>
    <definedName name="vfgh" localSheetId="51">#REF!</definedName>
    <definedName name="vfgh" localSheetId="97">#REF!</definedName>
    <definedName name="vfgh" localSheetId="129">#REF!</definedName>
    <definedName name="vfgh" localSheetId="131">#REF!</definedName>
    <definedName name="vfgh" localSheetId="133">#REF!</definedName>
    <definedName name="vfgh" localSheetId="135">#REF!</definedName>
    <definedName name="vfgh" localSheetId="137">#REF!</definedName>
    <definedName name="vfgh" localSheetId="139">#REF!</definedName>
    <definedName name="vfgh" localSheetId="141">#REF!</definedName>
    <definedName name="vfgh" localSheetId="143">#REF!</definedName>
    <definedName name="vfgh" localSheetId="145">#REF!</definedName>
    <definedName name="vfgh" localSheetId="147">#REF!</definedName>
    <definedName name="vfgh" localSheetId="149">#REF!</definedName>
    <definedName name="vfgh" localSheetId="151">#REF!</definedName>
    <definedName name="vfgh" localSheetId="153">#REF!</definedName>
    <definedName name="vfgh" localSheetId="155">#REF!</definedName>
    <definedName name="vfgh" localSheetId="157">#REF!</definedName>
    <definedName name="vfgh" localSheetId="159">#REF!</definedName>
    <definedName name="vfgh" localSheetId="161">#REF!</definedName>
    <definedName name="vfgh" localSheetId="163">#REF!</definedName>
    <definedName name="vfgh" localSheetId="169">#REF!</definedName>
    <definedName name="vfgh" localSheetId="173">#REF!</definedName>
    <definedName name="vfgh" localSheetId="175">#REF!</definedName>
    <definedName name="vfgh" localSheetId="177">#REF!</definedName>
    <definedName name="vfgh" localSheetId="179">#REF!</definedName>
    <definedName name="vfgh" localSheetId="3">#REF!</definedName>
    <definedName name="vfgh">#REF!</definedName>
    <definedName name="VIDELYOUS" localSheetId="6">#REF!</definedName>
    <definedName name="VIDELYOUS" localSheetId="330">#REF!</definedName>
    <definedName name="VIDELYOUS" localSheetId="8">#REF!</definedName>
    <definedName name="VIDELYOUS" localSheetId="10">#REF!</definedName>
    <definedName name="VIDELYOUS" localSheetId="12">#REF!</definedName>
    <definedName name="VIDELYOUS" localSheetId="14">#REF!</definedName>
    <definedName name="VIDELYOUS" localSheetId="16">#REF!</definedName>
    <definedName name="VIDELYOUS" localSheetId="18">#REF!</definedName>
    <definedName name="VIDELYOUS" localSheetId="20">#REF!</definedName>
    <definedName name="VIDELYOUS" localSheetId="22">#REF!</definedName>
    <definedName name="VIDELYOUS" localSheetId="26">#REF!</definedName>
    <definedName name="VIDELYOUS" localSheetId="24">#REF!</definedName>
    <definedName name="VIDELYOUS" localSheetId="28">#REF!</definedName>
    <definedName name="VIDELYOUS" localSheetId="30">#REF!</definedName>
    <definedName name="VIDELYOUS" localSheetId="32">#REF!</definedName>
    <definedName name="VIDELYOUS" localSheetId="34">#REF!</definedName>
    <definedName name="VIDELYOUS" localSheetId="36">#REF!</definedName>
    <definedName name="VIDELYOUS" localSheetId="38">#REF!</definedName>
    <definedName name="VIDELYOUS" localSheetId="40">#REF!</definedName>
    <definedName name="VIDELYOUS" localSheetId="42">#REF!</definedName>
    <definedName name="VIDELYOUS" localSheetId="44">#REF!</definedName>
    <definedName name="VIDELYOUS" localSheetId="46">#REF!</definedName>
    <definedName name="VIDELYOUS" localSheetId="48">#REF!</definedName>
    <definedName name="VIDELYOUS" localSheetId="50">#REF!</definedName>
    <definedName name="VIDELYOUS" localSheetId="52">#REF!</definedName>
    <definedName name="VIDELYOUS" localSheetId="54">#REF!</definedName>
    <definedName name="VIDELYOUS" localSheetId="56">#REF!</definedName>
    <definedName name="VIDELYOUS" localSheetId="58">#REF!</definedName>
    <definedName name="VIDELYOUS" localSheetId="60">#REF!</definedName>
    <definedName name="VIDELYOUS" localSheetId="62">#REF!</definedName>
    <definedName name="VIDELYOUS" localSheetId="64">#REF!</definedName>
    <definedName name="VIDELYOUS" localSheetId="66">#REF!</definedName>
    <definedName name="VIDELYOUS" localSheetId="68">#REF!</definedName>
    <definedName name="VIDELYOUS" localSheetId="70">#REF!</definedName>
    <definedName name="VIDELYOUS" localSheetId="72">#REF!</definedName>
    <definedName name="VIDELYOUS" localSheetId="74">#REF!</definedName>
    <definedName name="VIDELYOUS" localSheetId="76">#REF!</definedName>
    <definedName name="VIDELYOUS" localSheetId="78">#REF!</definedName>
    <definedName name="VIDELYOUS" localSheetId="80">#REF!</definedName>
    <definedName name="VIDELYOUS" localSheetId="82">#REF!</definedName>
    <definedName name="VIDELYOUS" localSheetId="84">#REF!</definedName>
    <definedName name="VIDELYOUS" localSheetId="86">#REF!</definedName>
    <definedName name="VIDELYOUS" localSheetId="88">#REF!</definedName>
    <definedName name="VIDELYOUS" localSheetId="90">#REF!</definedName>
    <definedName name="VIDELYOUS" localSheetId="92">#REF!</definedName>
    <definedName name="VIDELYOUS" localSheetId="94">#REF!</definedName>
    <definedName name="VIDELYOUS" localSheetId="96">#REF!</definedName>
    <definedName name="VIDELYOUS" localSheetId="98">#REF!</definedName>
    <definedName name="VIDELYOUS" localSheetId="100">#REF!</definedName>
    <definedName name="VIDELYOUS" localSheetId="102">#REF!</definedName>
    <definedName name="VIDELYOUS" localSheetId="104">#REF!</definedName>
    <definedName name="VIDELYOUS" localSheetId="106">#REF!</definedName>
    <definedName name="VIDELYOUS" localSheetId="108">#REF!</definedName>
    <definedName name="VIDELYOUS" localSheetId="110">#REF!</definedName>
    <definedName name="VIDELYOUS" localSheetId="112">#REF!</definedName>
    <definedName name="VIDELYOUS" localSheetId="114">#REF!</definedName>
    <definedName name="VIDELYOUS" localSheetId="116">#REF!</definedName>
    <definedName name="VIDELYOUS" localSheetId="118">#REF!</definedName>
    <definedName name="VIDELYOUS" localSheetId="120">#REF!</definedName>
    <definedName name="VIDELYOUS" localSheetId="122">#REF!</definedName>
    <definedName name="VIDELYOUS" localSheetId="124">#REF!</definedName>
    <definedName name="VIDELYOUS" localSheetId="126">#REF!</definedName>
    <definedName name="VIDELYOUS" localSheetId="128">#REF!</definedName>
    <definedName name="VIDELYOUS" localSheetId="130">#REF!</definedName>
    <definedName name="VIDELYOUS" localSheetId="132">#REF!</definedName>
    <definedName name="VIDELYOUS" localSheetId="134">#REF!</definedName>
    <definedName name="VIDELYOUS" localSheetId="136">#REF!</definedName>
    <definedName name="VIDELYOUS" localSheetId="138">#REF!</definedName>
    <definedName name="VIDELYOUS" localSheetId="140">#REF!</definedName>
    <definedName name="VIDELYOUS" localSheetId="142">#REF!</definedName>
    <definedName name="VIDELYOUS" localSheetId="144">#REF!</definedName>
    <definedName name="VIDELYOUS" localSheetId="146">#REF!</definedName>
    <definedName name="VIDELYOUS" localSheetId="148">#REF!</definedName>
    <definedName name="VIDELYOUS" localSheetId="150">#REF!</definedName>
    <definedName name="VIDELYOUS" localSheetId="152">#REF!</definedName>
    <definedName name="VIDELYOUS" localSheetId="154">#REF!</definedName>
    <definedName name="VIDELYOUS" localSheetId="156">#REF!</definedName>
    <definedName name="VIDELYOUS" localSheetId="158">#REF!</definedName>
    <definedName name="VIDELYOUS" localSheetId="160">#REF!</definedName>
    <definedName name="VIDELYOUS" localSheetId="162">#REF!</definedName>
    <definedName name="VIDELYOUS" localSheetId="164">#REF!</definedName>
    <definedName name="VIDELYOUS" localSheetId="166">#REF!</definedName>
    <definedName name="VIDELYOUS" localSheetId="168">#REF!</definedName>
    <definedName name="VIDELYOUS" localSheetId="170">#REF!</definedName>
    <definedName name="VIDELYOUS" localSheetId="172">#REF!</definedName>
    <definedName name="VIDELYOUS" localSheetId="174">#REF!</definedName>
    <definedName name="VIDELYOUS" localSheetId="176">#REF!</definedName>
    <definedName name="VIDELYOUS" localSheetId="178">#REF!</definedName>
    <definedName name="VIDELYOUS" localSheetId="180">#REF!</definedName>
    <definedName name="VIDELYOUS" localSheetId="182">#REF!</definedName>
    <definedName name="VIDELYOUS" localSheetId="184">#REF!</definedName>
    <definedName name="VIDELYOUS" localSheetId="186">#REF!</definedName>
    <definedName name="VIDELYOUS" localSheetId="188">#REF!</definedName>
    <definedName name="VIDELYOUS" localSheetId="190">#REF!</definedName>
    <definedName name="VIDELYOUS" localSheetId="192">#REF!</definedName>
    <definedName name="VIDELYOUS" localSheetId="194">#REF!</definedName>
    <definedName name="VIDELYOUS" localSheetId="196">#REF!</definedName>
    <definedName name="VIDELYOUS" localSheetId="198">#REF!</definedName>
    <definedName name="VIDELYOUS" localSheetId="200">#REF!</definedName>
    <definedName name="VIDELYOUS" localSheetId="202">#REF!</definedName>
    <definedName name="VIDELYOUS" localSheetId="204">#REF!</definedName>
    <definedName name="VIDELYOUS" localSheetId="206">#REF!</definedName>
    <definedName name="VIDELYOUS" localSheetId="208">#REF!</definedName>
    <definedName name="VIDELYOUS" localSheetId="210">#REF!</definedName>
    <definedName name="VIDELYOUS" localSheetId="212">#REF!</definedName>
    <definedName name="VIDELYOUS" localSheetId="214">#REF!</definedName>
    <definedName name="VIDELYOUS" localSheetId="216">#REF!</definedName>
    <definedName name="VIDELYOUS" localSheetId="218">#REF!</definedName>
    <definedName name="VIDELYOUS" localSheetId="220">#REF!</definedName>
    <definedName name="VIDELYOUS" localSheetId="224">#REF!</definedName>
    <definedName name="VIDELYOUS" localSheetId="228">#REF!</definedName>
    <definedName name="VIDELYOUS" localSheetId="230">#REF!</definedName>
    <definedName name="VIDELYOUS" localSheetId="232">#REF!</definedName>
    <definedName name="VIDELYOUS" localSheetId="234">#REF!</definedName>
    <definedName name="VIDELYOUS" localSheetId="236">#REF!</definedName>
    <definedName name="VIDELYOUS" localSheetId="240">#REF!</definedName>
    <definedName name="VIDELYOUS" localSheetId="242">#REF!</definedName>
    <definedName name="VIDELYOUS" localSheetId="244">#REF!</definedName>
    <definedName name="VIDELYOUS" localSheetId="246">#REF!</definedName>
    <definedName name="VIDELYOUS" localSheetId="248">#REF!</definedName>
    <definedName name="VIDELYOUS" localSheetId="250">#REF!</definedName>
    <definedName name="VIDELYOUS" localSheetId="252">#REF!</definedName>
    <definedName name="VIDELYOUS" localSheetId="254">#REF!</definedName>
    <definedName name="VIDELYOUS" localSheetId="256">#REF!</definedName>
    <definedName name="VIDELYOUS" localSheetId="258">#REF!</definedName>
    <definedName name="VIDELYOUS" localSheetId="260">#REF!</definedName>
    <definedName name="VIDELYOUS" localSheetId="262">#REF!</definedName>
    <definedName name="VIDELYOUS" localSheetId="264">#REF!</definedName>
    <definedName name="VIDELYOUS" localSheetId="266">#REF!</definedName>
    <definedName name="VIDELYOUS" localSheetId="268">#REF!</definedName>
    <definedName name="VIDELYOUS" localSheetId="270">#REF!</definedName>
    <definedName name="VIDELYOUS" localSheetId="282">#REF!</definedName>
    <definedName name="VIDELYOUS" localSheetId="284">#REF!</definedName>
    <definedName name="VIDELYOUS" localSheetId="286">#REF!</definedName>
    <definedName name="VIDELYOUS" localSheetId="288">#REF!</definedName>
    <definedName name="VIDELYOUS" localSheetId="290">#REF!</definedName>
    <definedName name="VIDELYOUS" localSheetId="296">#REF!</definedName>
    <definedName name="VIDELYOUS" localSheetId="304">#REF!</definedName>
    <definedName name="VIDELYOUS" localSheetId="306">#REF!</definedName>
    <definedName name="VIDELYOUS" localSheetId="308">#REF!</definedName>
    <definedName name="VIDELYOUS" localSheetId="318">#REF!</definedName>
    <definedName name="VIDELYOUS" localSheetId="320">#REF!</definedName>
    <definedName name="VIDELYOUS" localSheetId="322">#REF!</definedName>
    <definedName name="VIDELYOUS" localSheetId="324">#REF!</definedName>
    <definedName name="VIDELYOUS" localSheetId="328">#REF!</definedName>
    <definedName name="VIDELYOUS" localSheetId="5">#REF!</definedName>
    <definedName name="VIDELYOUS" localSheetId="7">#REF!</definedName>
    <definedName name="VIDELYOUS" localSheetId="9">#REF!</definedName>
    <definedName name="VIDELYOUS" localSheetId="11">#REF!</definedName>
    <definedName name="VIDELYOUS" localSheetId="15">#REF!</definedName>
    <definedName name="VIDELYOUS" localSheetId="21">#REF!</definedName>
    <definedName name="VIDELYOUS" localSheetId="23">#REF!</definedName>
    <definedName name="VIDELYOUS" localSheetId="27">#REF!</definedName>
    <definedName name="VIDELYOUS" localSheetId="25">#REF!</definedName>
    <definedName name="VIDELYOUS" localSheetId="29">#REF!</definedName>
    <definedName name="VIDELYOUS" localSheetId="31">#REF!</definedName>
    <definedName name="VIDELYOUS" localSheetId="35">#REF!</definedName>
    <definedName name="VIDELYOUS" localSheetId="37">#REF!</definedName>
    <definedName name="VIDELYOUS" localSheetId="41">#REF!</definedName>
    <definedName name="VIDELYOUS" localSheetId="51">#REF!</definedName>
    <definedName name="VIDELYOUS" localSheetId="97">#REF!</definedName>
    <definedName name="VIDELYOUS" localSheetId="129">#REF!</definedName>
    <definedName name="VIDELYOUS" localSheetId="131">#REF!</definedName>
    <definedName name="VIDELYOUS" localSheetId="133">#REF!</definedName>
    <definedName name="VIDELYOUS" localSheetId="135">#REF!</definedName>
    <definedName name="VIDELYOUS" localSheetId="137">#REF!</definedName>
    <definedName name="VIDELYOUS" localSheetId="139">#REF!</definedName>
    <definedName name="VIDELYOUS" localSheetId="141">#REF!</definedName>
    <definedName name="VIDELYOUS" localSheetId="143">#REF!</definedName>
    <definedName name="VIDELYOUS" localSheetId="145">#REF!</definedName>
    <definedName name="VIDELYOUS" localSheetId="147">#REF!</definedName>
    <definedName name="VIDELYOUS" localSheetId="149">#REF!</definedName>
    <definedName name="VIDELYOUS" localSheetId="151">#REF!</definedName>
    <definedName name="VIDELYOUS" localSheetId="153">#REF!</definedName>
    <definedName name="VIDELYOUS" localSheetId="155">#REF!</definedName>
    <definedName name="VIDELYOUS" localSheetId="157">#REF!</definedName>
    <definedName name="VIDELYOUS" localSheetId="159">#REF!</definedName>
    <definedName name="VIDELYOUS" localSheetId="161">#REF!</definedName>
    <definedName name="VIDELYOUS" localSheetId="163">#REF!</definedName>
    <definedName name="VIDELYOUS" localSheetId="169">#REF!</definedName>
    <definedName name="VIDELYOUS" localSheetId="173">#REF!</definedName>
    <definedName name="VIDELYOUS" localSheetId="175">#REF!</definedName>
    <definedName name="VIDELYOUS" localSheetId="177">#REF!</definedName>
    <definedName name="VIDELYOUS" localSheetId="179">#REF!</definedName>
    <definedName name="VIDELYOUS" localSheetId="3">#REF!</definedName>
    <definedName name="VIDELYOUS">#REF!</definedName>
  </definedNames>
  <calcPr calcId="152511"/>
  <fileRecoveryPr autoRecover="0"/>
</workbook>
</file>

<file path=xl/calcChain.xml><?xml version="1.0" encoding="utf-8"?>
<calcChain xmlns="http://schemas.openxmlformats.org/spreadsheetml/2006/main">
  <c r="G14" i="951" l="1"/>
  <c r="E28" i="1093" l="1"/>
  <c r="C28" i="1093"/>
  <c r="B28" i="1093"/>
  <c r="A40" i="1093"/>
  <c r="E24" i="1093"/>
  <c r="E23" i="1093"/>
  <c r="E22" i="1093"/>
  <c r="E21" i="1093"/>
  <c r="E20" i="1093"/>
  <c r="E19" i="1093"/>
  <c r="A12" i="1093"/>
  <c r="G10" i="1093"/>
  <c r="B10" i="1093"/>
  <c r="G9" i="1093"/>
  <c r="G8" i="1093"/>
  <c r="B8" i="1093"/>
  <c r="G7" i="1093"/>
  <c r="B7" i="1093"/>
  <c r="B5" i="1093"/>
  <c r="E28" i="1095"/>
  <c r="C28" i="1095"/>
  <c r="B28" i="1095"/>
  <c r="A40" i="1095"/>
  <c r="E24" i="1095"/>
  <c r="E23" i="1095"/>
  <c r="E22" i="1095"/>
  <c r="E21" i="1095"/>
  <c r="E20" i="1095"/>
  <c r="E19" i="1095"/>
  <c r="A12" i="1095"/>
  <c r="G10" i="1095"/>
  <c r="B10" i="1095"/>
  <c r="G9" i="1095"/>
  <c r="G8" i="1095"/>
  <c r="B8" i="1095"/>
  <c r="G7" i="1095"/>
  <c r="B7" i="1095"/>
  <c r="B5" i="1095"/>
  <c r="E28" i="1097"/>
  <c r="C28" i="1097"/>
  <c r="B28" i="1097"/>
  <c r="A40" i="1097"/>
  <c r="E24" i="1097"/>
  <c r="E23" i="1097"/>
  <c r="E22" i="1097"/>
  <c r="E21" i="1097"/>
  <c r="E20" i="1097"/>
  <c r="E19" i="1097"/>
  <c r="A12" i="1097"/>
  <c r="G10" i="1097"/>
  <c r="B10" i="1097"/>
  <c r="G9" i="1097"/>
  <c r="G8" i="1097"/>
  <c r="B8" i="1097"/>
  <c r="G7" i="1097"/>
  <c r="B7" i="1097"/>
  <c r="B5" i="1097"/>
  <c r="E28" i="1099"/>
  <c r="C28" i="1099"/>
  <c r="B28" i="1099"/>
  <c r="A40" i="1099"/>
  <c r="E24" i="1099"/>
  <c r="E23" i="1099"/>
  <c r="E22" i="1099"/>
  <c r="E21" i="1099"/>
  <c r="E20" i="1099"/>
  <c r="E19" i="1099"/>
  <c r="A12" i="1099"/>
  <c r="G10" i="1099"/>
  <c r="B10" i="1099"/>
  <c r="G9" i="1099"/>
  <c r="G8" i="1099"/>
  <c r="B8" i="1099"/>
  <c r="G7" i="1099"/>
  <c r="B7" i="1099"/>
  <c r="B5" i="1099"/>
  <c r="E28" i="1092"/>
  <c r="C28" i="1092"/>
  <c r="B28" i="1092"/>
  <c r="A40" i="1092"/>
  <c r="E24" i="1092"/>
  <c r="E23" i="1092"/>
  <c r="E22" i="1092"/>
  <c r="E21" i="1092"/>
  <c r="E20" i="1092"/>
  <c r="E19" i="1092"/>
  <c r="A12" i="1092"/>
  <c r="G10" i="1092"/>
  <c r="B10" i="1092"/>
  <c r="G9" i="1092"/>
  <c r="G8" i="1092"/>
  <c r="B8" i="1092"/>
  <c r="G7" i="1092"/>
  <c r="B7" i="1092"/>
  <c r="B5" i="1092"/>
  <c r="E28" i="1090"/>
  <c r="C28" i="1090"/>
  <c r="B28" i="1090"/>
  <c r="A40" i="1090"/>
  <c r="E24" i="1090"/>
  <c r="E23" i="1090"/>
  <c r="E22" i="1090"/>
  <c r="E21" i="1090"/>
  <c r="E20" i="1090"/>
  <c r="E19" i="1090"/>
  <c r="A12" i="1090"/>
  <c r="G10" i="1090"/>
  <c r="B10" i="1090"/>
  <c r="G9" i="1090"/>
  <c r="G8" i="1090"/>
  <c r="B8" i="1090"/>
  <c r="G7" i="1090"/>
  <c r="B7" i="1090"/>
  <c r="B5" i="1090"/>
  <c r="E28" i="1061"/>
  <c r="C28" i="1061"/>
  <c r="B28" i="1061"/>
  <c r="A40" i="1061"/>
  <c r="E24" i="1061"/>
  <c r="E23" i="1061"/>
  <c r="E22" i="1061"/>
  <c r="E21" i="1061"/>
  <c r="E20" i="1061"/>
  <c r="E19" i="1061"/>
  <c r="A12" i="1061"/>
  <c r="G10" i="1061"/>
  <c r="B10" i="1061"/>
  <c r="G9" i="1061"/>
  <c r="G8" i="1061"/>
  <c r="B8" i="1061"/>
  <c r="G7" i="1061"/>
  <c r="B7" i="1061"/>
  <c r="B5" i="1061"/>
  <c r="E28" i="1063"/>
  <c r="C28" i="1063"/>
  <c r="B28" i="1063"/>
  <c r="A40" i="1063"/>
  <c r="E24" i="1063"/>
  <c r="E23" i="1063"/>
  <c r="E22" i="1063"/>
  <c r="E21" i="1063"/>
  <c r="E20" i="1063"/>
  <c r="E19" i="1063"/>
  <c r="A12" i="1063"/>
  <c r="G10" i="1063"/>
  <c r="B10" i="1063"/>
  <c r="G9" i="1063"/>
  <c r="G8" i="1063"/>
  <c r="B8" i="1063"/>
  <c r="G7" i="1063"/>
  <c r="B7" i="1063"/>
  <c r="B5" i="1063"/>
  <c r="E28" i="1065"/>
  <c r="C28" i="1065"/>
  <c r="B28" i="1065"/>
  <c r="A40" i="1065"/>
  <c r="E24" i="1065"/>
  <c r="E23" i="1065"/>
  <c r="E22" i="1065"/>
  <c r="E21" i="1065"/>
  <c r="E20" i="1065"/>
  <c r="E19" i="1065"/>
  <c r="A12" i="1065"/>
  <c r="G10" i="1065"/>
  <c r="B10" i="1065"/>
  <c r="G9" i="1065"/>
  <c r="G8" i="1065"/>
  <c r="B8" i="1065"/>
  <c r="G7" i="1065"/>
  <c r="B7" i="1065"/>
  <c r="B5" i="1065"/>
  <c r="E28" i="1068"/>
  <c r="C28" i="1068"/>
  <c r="B28" i="1068"/>
  <c r="A40" i="1068"/>
  <c r="E24" i="1068"/>
  <c r="E23" i="1068"/>
  <c r="E22" i="1068"/>
  <c r="E21" i="1068"/>
  <c r="E20" i="1068"/>
  <c r="E19" i="1068"/>
  <c r="A12" i="1068"/>
  <c r="G10" i="1068"/>
  <c r="B10" i="1068"/>
  <c r="G9" i="1068"/>
  <c r="G8" i="1068"/>
  <c r="B8" i="1068"/>
  <c r="G7" i="1068"/>
  <c r="B7" i="1068"/>
  <c r="B5" i="1068"/>
  <c r="E28" i="1070"/>
  <c r="C28" i="1070"/>
  <c r="B28" i="1070"/>
  <c r="A40" i="1070"/>
  <c r="E24" i="1070"/>
  <c r="E23" i="1070"/>
  <c r="E22" i="1070"/>
  <c r="E21" i="1070"/>
  <c r="E20" i="1070"/>
  <c r="E19" i="1070"/>
  <c r="A12" i="1070"/>
  <c r="G10" i="1070"/>
  <c r="B10" i="1070"/>
  <c r="G9" i="1070"/>
  <c r="G8" i="1070"/>
  <c r="B8" i="1070"/>
  <c r="G7" i="1070"/>
  <c r="B7" i="1070"/>
  <c r="B5" i="1070"/>
  <c r="E28" i="1072"/>
  <c r="C28" i="1072"/>
  <c r="B28" i="1072"/>
  <c r="A40" i="1072"/>
  <c r="E24" i="1072"/>
  <c r="E23" i="1072"/>
  <c r="E22" i="1072"/>
  <c r="E21" i="1072"/>
  <c r="E20" i="1072"/>
  <c r="E19" i="1072"/>
  <c r="A12" i="1072"/>
  <c r="G10" i="1072"/>
  <c r="B10" i="1072"/>
  <c r="G9" i="1072"/>
  <c r="G8" i="1072"/>
  <c r="B8" i="1072"/>
  <c r="G7" i="1072"/>
  <c r="B7" i="1072"/>
  <c r="B5" i="1072"/>
  <c r="E28" i="1076"/>
  <c r="C28" i="1076"/>
  <c r="B28" i="1076"/>
  <c r="A40" i="1076"/>
  <c r="E24" i="1076"/>
  <c r="E23" i="1076"/>
  <c r="E22" i="1076"/>
  <c r="E21" i="1076"/>
  <c r="E20" i="1076"/>
  <c r="E19" i="1076"/>
  <c r="A12" i="1076"/>
  <c r="G10" i="1076"/>
  <c r="B10" i="1076"/>
  <c r="G9" i="1076"/>
  <c r="G8" i="1076"/>
  <c r="B8" i="1076"/>
  <c r="G7" i="1076"/>
  <c r="B7" i="1076"/>
  <c r="B5" i="1076"/>
  <c r="E28" i="1078"/>
  <c r="C28" i="1078"/>
  <c r="B28" i="1078"/>
  <c r="A40" i="1078"/>
  <c r="E24" i="1078"/>
  <c r="E23" i="1078"/>
  <c r="E22" i="1078"/>
  <c r="E21" i="1078"/>
  <c r="E20" i="1078"/>
  <c r="E19" i="1078"/>
  <c r="A12" i="1078"/>
  <c r="G10" i="1078"/>
  <c r="B10" i="1078"/>
  <c r="G9" i="1078"/>
  <c r="G8" i="1078"/>
  <c r="B8" i="1078"/>
  <c r="G7" i="1078"/>
  <c r="B7" i="1078"/>
  <c r="B5" i="1078"/>
  <c r="E28" i="1080"/>
  <c r="C28" i="1080"/>
  <c r="B28" i="1080"/>
  <c r="A40" i="1080"/>
  <c r="E24" i="1080"/>
  <c r="E23" i="1080"/>
  <c r="E22" i="1080"/>
  <c r="E21" i="1080"/>
  <c r="E20" i="1080"/>
  <c r="E19" i="1080"/>
  <c r="A12" i="1080"/>
  <c r="G10" i="1080"/>
  <c r="B10" i="1080"/>
  <c r="G9" i="1080"/>
  <c r="G8" i="1080"/>
  <c r="B8" i="1080"/>
  <c r="G7" i="1080"/>
  <c r="B7" i="1080"/>
  <c r="B5" i="1080"/>
  <c r="E28" i="1082"/>
  <c r="C28" i="1082"/>
  <c r="B28" i="1082"/>
  <c r="A40" i="1082"/>
  <c r="E24" i="1082"/>
  <c r="E23" i="1082"/>
  <c r="E22" i="1082"/>
  <c r="E21" i="1082"/>
  <c r="E20" i="1082"/>
  <c r="E19" i="1082"/>
  <c r="A12" i="1082"/>
  <c r="G10" i="1082"/>
  <c r="B10" i="1082"/>
  <c r="G9" i="1082"/>
  <c r="G8" i="1082"/>
  <c r="B8" i="1082"/>
  <c r="G7" i="1082"/>
  <c r="B7" i="1082"/>
  <c r="B5" i="1082"/>
  <c r="E28" i="1084"/>
  <c r="C28" i="1084"/>
  <c r="B28" i="1084"/>
  <c r="A40" i="1084"/>
  <c r="E24" i="1084"/>
  <c r="E23" i="1084"/>
  <c r="E22" i="1084"/>
  <c r="E21" i="1084"/>
  <c r="E20" i="1084"/>
  <c r="E19" i="1084"/>
  <c r="A12" i="1084"/>
  <c r="G10" i="1084"/>
  <c r="B10" i="1084"/>
  <c r="G9" i="1084"/>
  <c r="G8" i="1084"/>
  <c r="B8" i="1084"/>
  <c r="G7" i="1084"/>
  <c r="B7" i="1084"/>
  <c r="B5" i="1084"/>
  <c r="E28" i="1086"/>
  <c r="C28" i="1086"/>
  <c r="B28" i="1086"/>
  <c r="A40" i="1086"/>
  <c r="E24" i="1086"/>
  <c r="E23" i="1086"/>
  <c r="E22" i="1086"/>
  <c r="E21" i="1086"/>
  <c r="E20" i="1086"/>
  <c r="E19" i="1086"/>
  <c r="A12" i="1086"/>
  <c r="G10" i="1086"/>
  <c r="B10" i="1086"/>
  <c r="G9" i="1086"/>
  <c r="G8" i="1086"/>
  <c r="B8" i="1086"/>
  <c r="G7" i="1086"/>
  <c r="B7" i="1086"/>
  <c r="B5" i="1086"/>
  <c r="E28" i="1088"/>
  <c r="C28" i="1088"/>
  <c r="B28" i="1088"/>
  <c r="A40" i="1088"/>
  <c r="E24" i="1088"/>
  <c r="E23" i="1088"/>
  <c r="E22" i="1088"/>
  <c r="E21" i="1088"/>
  <c r="E20" i="1088"/>
  <c r="E19" i="1088"/>
  <c r="A12" i="1088"/>
  <c r="G10" i="1088"/>
  <c r="B10" i="1088"/>
  <c r="G9" i="1088"/>
  <c r="G8" i="1088"/>
  <c r="B8" i="1088"/>
  <c r="G7" i="1088"/>
  <c r="B7" i="1088"/>
  <c r="B5" i="1088"/>
  <c r="E28" i="1074"/>
  <c r="C28" i="1074"/>
  <c r="B28" i="1074"/>
  <c r="A40" i="1074"/>
  <c r="E24" i="1074"/>
  <c r="E23" i="1074"/>
  <c r="E22" i="1074"/>
  <c r="E21" i="1074"/>
  <c r="E20" i="1074"/>
  <c r="E19" i="1074"/>
  <c r="A12" i="1074"/>
  <c r="G10" i="1074"/>
  <c r="B10" i="1074"/>
  <c r="G9" i="1074"/>
  <c r="G8" i="1074"/>
  <c r="B8" i="1074"/>
  <c r="G7" i="1074"/>
  <c r="B7" i="1074"/>
  <c r="B5" i="1074"/>
  <c r="E28" i="1060"/>
  <c r="C28" i="1060"/>
  <c r="B28" i="1060"/>
  <c r="A40" i="1060"/>
  <c r="E24" i="1060"/>
  <c r="E23" i="1060"/>
  <c r="E22" i="1060"/>
  <c r="E21" i="1060"/>
  <c r="E20" i="1060"/>
  <c r="E19" i="1060"/>
  <c r="A12" i="1060"/>
  <c r="G10" i="1060"/>
  <c r="B10" i="1060"/>
  <c r="G9" i="1060"/>
  <c r="G8" i="1060"/>
  <c r="B8" i="1060"/>
  <c r="G7" i="1060"/>
  <c r="B7" i="1060"/>
  <c r="B5" i="1060"/>
  <c r="E28" i="1030"/>
  <c r="C28" i="1030"/>
  <c r="B28" i="1030"/>
  <c r="A40" i="1030"/>
  <c r="E24" i="1030"/>
  <c r="E23" i="1030"/>
  <c r="E22" i="1030"/>
  <c r="E21" i="1030"/>
  <c r="E20" i="1030"/>
  <c r="E19" i="1030"/>
  <c r="A12" i="1030"/>
  <c r="G10" i="1030"/>
  <c r="B10" i="1030"/>
  <c r="G9" i="1030"/>
  <c r="G8" i="1030"/>
  <c r="B8" i="1030"/>
  <c r="G7" i="1030"/>
  <c r="B7" i="1030"/>
  <c r="B5" i="1030"/>
  <c r="E28" i="1044"/>
  <c r="C28" i="1044"/>
  <c r="B28" i="1044"/>
  <c r="A40" i="1044"/>
  <c r="E24" i="1044"/>
  <c r="E23" i="1044"/>
  <c r="E22" i="1044"/>
  <c r="E21" i="1044"/>
  <c r="E20" i="1044"/>
  <c r="E19" i="1044"/>
  <c r="A12" i="1044"/>
  <c r="G10" i="1044"/>
  <c r="B10" i="1044"/>
  <c r="G9" i="1044"/>
  <c r="G8" i="1044"/>
  <c r="B8" i="1044"/>
  <c r="G7" i="1044"/>
  <c r="B7" i="1044"/>
  <c r="B5" i="1044"/>
  <c r="E28" i="1046"/>
  <c r="C28" i="1046"/>
  <c r="B28" i="1046"/>
  <c r="A40" i="1046"/>
  <c r="E24" i="1046"/>
  <c r="E23" i="1046"/>
  <c r="E22" i="1046"/>
  <c r="E21" i="1046"/>
  <c r="E20" i="1046"/>
  <c r="E19" i="1046"/>
  <c r="A12" i="1046"/>
  <c r="G10" i="1046"/>
  <c r="B10" i="1046"/>
  <c r="G9" i="1046"/>
  <c r="G8" i="1046"/>
  <c r="B8" i="1046"/>
  <c r="G7" i="1046"/>
  <c r="B7" i="1046"/>
  <c r="B5" i="1046"/>
  <c r="E28" i="1050"/>
  <c r="C28" i="1050"/>
  <c r="B28" i="1050"/>
  <c r="A40" i="1050"/>
  <c r="E24" i="1050"/>
  <c r="E23" i="1050"/>
  <c r="E22" i="1050"/>
  <c r="E21" i="1050"/>
  <c r="E20" i="1050"/>
  <c r="E19" i="1050"/>
  <c r="A12" i="1050"/>
  <c r="G10" i="1050"/>
  <c r="B10" i="1050"/>
  <c r="G9" i="1050"/>
  <c r="G8" i="1050"/>
  <c r="B8" i="1050"/>
  <c r="G7" i="1050"/>
  <c r="B7" i="1050"/>
  <c r="B5" i="1050"/>
  <c r="E28" i="1052"/>
  <c r="C28" i="1052"/>
  <c r="B28" i="1052"/>
  <c r="A40" i="1052"/>
  <c r="E24" i="1052"/>
  <c r="E23" i="1052"/>
  <c r="E22" i="1052"/>
  <c r="E21" i="1052"/>
  <c r="E20" i="1052"/>
  <c r="E19" i="1052"/>
  <c r="A12" i="1052"/>
  <c r="G10" i="1052"/>
  <c r="B10" i="1052"/>
  <c r="G9" i="1052"/>
  <c r="G8" i="1052"/>
  <c r="B8" i="1052"/>
  <c r="G7" i="1052"/>
  <c r="B7" i="1052"/>
  <c r="B5" i="1052"/>
  <c r="E28" i="1054"/>
  <c r="C28" i="1054"/>
  <c r="B28" i="1054"/>
  <c r="A40" i="1054"/>
  <c r="E24" i="1054"/>
  <c r="E23" i="1054"/>
  <c r="E22" i="1054"/>
  <c r="E21" i="1054"/>
  <c r="E20" i="1054"/>
  <c r="E19" i="1054"/>
  <c r="A12" i="1054"/>
  <c r="G10" i="1054"/>
  <c r="B10" i="1054"/>
  <c r="G9" i="1054"/>
  <c r="G8" i="1054"/>
  <c r="B8" i="1054"/>
  <c r="G7" i="1054"/>
  <c r="B7" i="1054"/>
  <c r="B5" i="1054"/>
  <c r="E28" i="1056"/>
  <c r="C28" i="1056"/>
  <c r="B28" i="1056"/>
  <c r="A40" i="1056"/>
  <c r="E24" i="1056"/>
  <c r="E23" i="1056"/>
  <c r="E22" i="1056"/>
  <c r="E21" i="1056"/>
  <c r="E20" i="1056"/>
  <c r="E19" i="1056"/>
  <c r="A12" i="1056"/>
  <c r="G10" i="1056"/>
  <c r="B10" i="1056"/>
  <c r="G9" i="1056"/>
  <c r="G8" i="1056"/>
  <c r="B8" i="1056"/>
  <c r="G7" i="1056"/>
  <c r="B7" i="1056"/>
  <c r="B5" i="1056"/>
  <c r="E28" i="1048"/>
  <c r="C28" i="1048"/>
  <c r="B28" i="1048"/>
  <c r="A40" i="1048"/>
  <c r="E24" i="1048"/>
  <c r="E23" i="1048"/>
  <c r="E22" i="1048"/>
  <c r="E21" i="1048"/>
  <c r="E20" i="1048"/>
  <c r="E19" i="1048"/>
  <c r="A12" i="1048"/>
  <c r="G10" i="1048"/>
  <c r="B10" i="1048"/>
  <c r="G9" i="1048"/>
  <c r="G8" i="1048"/>
  <c r="B8" i="1048"/>
  <c r="G7" i="1048"/>
  <c r="B7" i="1048"/>
  <c r="B5" i="1048"/>
  <c r="E28" i="1032"/>
  <c r="C28" i="1032"/>
  <c r="B28" i="1032"/>
  <c r="A40" i="1032"/>
  <c r="E24" i="1032"/>
  <c r="E23" i="1032"/>
  <c r="E22" i="1032"/>
  <c r="E21" i="1032"/>
  <c r="E20" i="1032"/>
  <c r="E19" i="1032"/>
  <c r="A12" i="1032"/>
  <c r="G10" i="1032"/>
  <c r="B10" i="1032"/>
  <c r="G9" i="1032"/>
  <c r="G8" i="1032"/>
  <c r="B8" i="1032"/>
  <c r="G7" i="1032"/>
  <c r="B7" i="1032"/>
  <c r="B5" i="1032"/>
  <c r="E28" i="1034"/>
  <c r="C28" i="1034"/>
  <c r="B28" i="1034"/>
  <c r="A40" i="1034"/>
  <c r="E24" i="1034"/>
  <c r="E23" i="1034"/>
  <c r="E22" i="1034"/>
  <c r="E21" i="1034"/>
  <c r="E20" i="1034"/>
  <c r="E19" i="1034"/>
  <c r="A12" i="1034"/>
  <c r="G10" i="1034"/>
  <c r="B10" i="1034"/>
  <c r="G9" i="1034"/>
  <c r="G8" i="1034"/>
  <c r="B8" i="1034"/>
  <c r="G7" i="1034"/>
  <c r="B7" i="1034"/>
  <c r="B5" i="1034"/>
  <c r="E28" i="1036"/>
  <c r="C28" i="1036"/>
  <c r="B28" i="1036"/>
  <c r="A40" i="1036"/>
  <c r="E24" i="1036"/>
  <c r="E23" i="1036"/>
  <c r="E22" i="1036"/>
  <c r="E21" i="1036"/>
  <c r="E20" i="1036"/>
  <c r="E19" i="1036"/>
  <c r="A12" i="1036"/>
  <c r="G10" i="1036"/>
  <c r="B10" i="1036"/>
  <c r="G9" i="1036"/>
  <c r="G8" i="1036"/>
  <c r="B8" i="1036"/>
  <c r="G7" i="1036"/>
  <c r="B7" i="1036"/>
  <c r="B5" i="1036"/>
  <c r="E28" i="1038"/>
  <c r="C28" i="1038"/>
  <c r="B28" i="1038"/>
  <c r="A40" i="1038"/>
  <c r="E24" i="1038"/>
  <c r="E23" i="1038"/>
  <c r="E22" i="1038"/>
  <c r="E21" i="1038"/>
  <c r="E20" i="1038"/>
  <c r="E19" i="1038"/>
  <c r="A12" i="1038"/>
  <c r="G10" i="1038"/>
  <c r="B10" i="1038"/>
  <c r="G9" i="1038"/>
  <c r="G8" i="1038"/>
  <c r="B8" i="1038"/>
  <c r="G7" i="1038"/>
  <c r="B7" i="1038"/>
  <c r="B5" i="1038"/>
  <c r="E28" i="1040"/>
  <c r="C28" i="1040"/>
  <c r="B28" i="1040"/>
  <c r="A40" i="1040"/>
  <c r="E24" i="1040"/>
  <c r="E23" i="1040"/>
  <c r="E22" i="1040"/>
  <c r="E21" i="1040"/>
  <c r="E20" i="1040"/>
  <c r="E19" i="1040"/>
  <c r="A12" i="1040"/>
  <c r="G10" i="1040"/>
  <c r="B10" i="1040"/>
  <c r="G9" i="1040"/>
  <c r="G8" i="1040"/>
  <c r="B8" i="1040"/>
  <c r="G7" i="1040"/>
  <c r="B7" i="1040"/>
  <c r="B5" i="1040"/>
  <c r="E28" i="1042"/>
  <c r="C28" i="1042"/>
  <c r="B28" i="1042"/>
  <c r="A40" i="1042"/>
  <c r="E24" i="1042"/>
  <c r="E23" i="1042"/>
  <c r="E22" i="1042"/>
  <c r="E21" i="1042"/>
  <c r="E20" i="1042"/>
  <c r="E19" i="1042"/>
  <c r="A12" i="1042"/>
  <c r="G10" i="1042"/>
  <c r="B10" i="1042"/>
  <c r="G9" i="1042"/>
  <c r="G8" i="1042"/>
  <c r="B8" i="1042"/>
  <c r="G7" i="1042"/>
  <c r="B7" i="1042"/>
  <c r="B5" i="1042"/>
  <c r="E28" i="1016"/>
  <c r="C28" i="1016"/>
  <c r="B28" i="1016"/>
  <c r="A40" i="1016"/>
  <c r="E24" i="1016"/>
  <c r="E23" i="1016"/>
  <c r="E22" i="1016"/>
  <c r="E21" i="1016"/>
  <c r="E20" i="1016"/>
  <c r="E19" i="1016"/>
  <c r="A12" i="1016"/>
  <c r="G10" i="1016"/>
  <c r="B10" i="1016"/>
  <c r="G9" i="1016"/>
  <c r="G8" i="1016"/>
  <c r="B8" i="1016"/>
  <c r="G7" i="1016"/>
  <c r="B7" i="1016"/>
  <c r="B5" i="1016"/>
  <c r="E28" i="1026"/>
  <c r="C28" i="1026"/>
  <c r="B28" i="1026"/>
  <c r="A40" i="1026"/>
  <c r="E24" i="1026"/>
  <c r="E23" i="1026"/>
  <c r="E22" i="1026"/>
  <c r="E21" i="1026"/>
  <c r="E20" i="1026"/>
  <c r="E19" i="1026"/>
  <c r="A12" i="1026"/>
  <c r="G10" i="1026"/>
  <c r="B10" i="1026"/>
  <c r="G9" i="1026"/>
  <c r="G8" i="1026"/>
  <c r="B8" i="1026"/>
  <c r="G7" i="1026"/>
  <c r="B7" i="1026"/>
  <c r="B5" i="1026"/>
  <c r="E28" i="1028"/>
  <c r="C28" i="1028"/>
  <c r="B28" i="1028"/>
  <c r="A40" i="1028"/>
  <c r="E24" i="1028"/>
  <c r="E23" i="1028"/>
  <c r="E22" i="1028"/>
  <c r="E21" i="1028"/>
  <c r="E20" i="1028"/>
  <c r="E19" i="1028"/>
  <c r="A12" i="1028"/>
  <c r="G10" i="1028"/>
  <c r="B10" i="1028"/>
  <c r="G9" i="1028"/>
  <c r="G8" i="1028"/>
  <c r="B8" i="1028"/>
  <c r="G7" i="1028"/>
  <c r="B7" i="1028"/>
  <c r="B5" i="1028"/>
  <c r="E28" i="1025"/>
  <c r="E34" i="1025" s="1"/>
  <c r="C28" i="1025"/>
  <c r="B28" i="1025"/>
  <c r="A40" i="1025"/>
  <c r="E24" i="1025"/>
  <c r="E23" i="1025"/>
  <c r="E22" i="1025"/>
  <c r="E21" i="1025"/>
  <c r="E20" i="1025"/>
  <c r="E19" i="1025"/>
  <c r="A12" i="1025"/>
  <c r="G10" i="1025"/>
  <c r="B10" i="1025"/>
  <c r="G9" i="1025"/>
  <c r="G8" i="1025"/>
  <c r="B8" i="1025"/>
  <c r="G7" i="1025"/>
  <c r="B7" i="1025"/>
  <c r="B5" i="1025"/>
  <c r="E28" i="1020"/>
  <c r="C28" i="1020"/>
  <c r="B28" i="1020"/>
  <c r="A40" i="1020"/>
  <c r="E24" i="1020"/>
  <c r="E23" i="1020"/>
  <c r="E22" i="1020"/>
  <c r="E21" i="1020"/>
  <c r="E20" i="1020"/>
  <c r="E19" i="1020"/>
  <c r="A12" i="1020"/>
  <c r="G10" i="1020"/>
  <c r="B10" i="1020"/>
  <c r="G9" i="1020"/>
  <c r="G8" i="1020"/>
  <c r="B8" i="1020"/>
  <c r="G7" i="1020"/>
  <c r="B7" i="1020"/>
  <c r="B5" i="1020"/>
  <c r="E28" i="1022"/>
  <c r="C28" i="1022"/>
  <c r="B28" i="1022"/>
  <c r="A40" i="1022"/>
  <c r="E24" i="1022"/>
  <c r="E23" i="1022"/>
  <c r="E22" i="1022"/>
  <c r="E21" i="1022"/>
  <c r="E20" i="1022"/>
  <c r="E19" i="1022"/>
  <c r="A12" i="1022"/>
  <c r="G10" i="1022"/>
  <c r="B10" i="1022"/>
  <c r="G9" i="1022"/>
  <c r="G8" i="1022"/>
  <c r="B8" i="1022"/>
  <c r="G7" i="1022"/>
  <c r="B7" i="1022"/>
  <c r="B5" i="1022"/>
  <c r="E28" i="1024"/>
  <c r="C28" i="1024"/>
  <c r="B28" i="1024"/>
  <c r="A40" i="1024"/>
  <c r="E24" i="1024"/>
  <c r="E23" i="1024"/>
  <c r="E22" i="1024"/>
  <c r="E21" i="1024"/>
  <c r="E20" i="1024"/>
  <c r="E19" i="1024"/>
  <c r="A12" i="1024"/>
  <c r="G10" i="1024"/>
  <c r="B10" i="1024"/>
  <c r="G9" i="1024"/>
  <c r="G8" i="1024"/>
  <c r="B8" i="1024"/>
  <c r="G7" i="1024"/>
  <c r="B7" i="1024"/>
  <c r="B5" i="1024"/>
  <c r="E28" i="1006"/>
  <c r="C28" i="1006"/>
  <c r="B28" i="1006"/>
  <c r="A40" i="1006"/>
  <c r="E24" i="1006"/>
  <c r="E23" i="1006"/>
  <c r="E22" i="1006"/>
  <c r="E21" i="1006"/>
  <c r="E20" i="1006"/>
  <c r="E19" i="1006"/>
  <c r="A12" i="1006"/>
  <c r="G10" i="1006"/>
  <c r="B10" i="1006"/>
  <c r="G9" i="1006"/>
  <c r="G8" i="1006"/>
  <c r="B8" i="1006"/>
  <c r="G7" i="1006"/>
  <c r="B7" i="1006"/>
  <c r="B5" i="1006"/>
  <c r="E28" i="1008"/>
  <c r="C28" i="1008"/>
  <c r="B28" i="1008"/>
  <c r="A40" i="1008"/>
  <c r="E24" i="1008"/>
  <c r="E23" i="1008"/>
  <c r="E22" i="1008"/>
  <c r="E21" i="1008"/>
  <c r="E20" i="1008"/>
  <c r="E19" i="1008"/>
  <c r="A12" i="1008"/>
  <c r="G10" i="1008"/>
  <c r="B10" i="1008"/>
  <c r="G9" i="1008"/>
  <c r="G8" i="1008"/>
  <c r="B8" i="1008"/>
  <c r="G7" i="1008"/>
  <c r="B7" i="1008"/>
  <c r="B5" i="1008"/>
  <c r="E28" i="1010"/>
  <c r="C28" i="1010"/>
  <c r="B28" i="1010"/>
  <c r="A40" i="1010"/>
  <c r="E24" i="1010"/>
  <c r="E23" i="1010"/>
  <c r="E22" i="1010"/>
  <c r="E21" i="1010"/>
  <c r="E20" i="1010"/>
  <c r="E19" i="1010"/>
  <c r="A12" i="1010"/>
  <c r="G10" i="1010"/>
  <c r="B10" i="1010"/>
  <c r="G9" i="1010"/>
  <c r="G8" i="1010"/>
  <c r="B8" i="1010"/>
  <c r="G7" i="1010"/>
  <c r="B7" i="1010"/>
  <c r="B5" i="1010"/>
  <c r="E28" i="1012"/>
  <c r="C28" i="1012"/>
  <c r="B28" i="1012"/>
  <c r="A40" i="1012"/>
  <c r="E24" i="1012"/>
  <c r="E23" i="1012"/>
  <c r="E22" i="1012"/>
  <c r="E21" i="1012"/>
  <c r="E20" i="1012"/>
  <c r="E19" i="1012"/>
  <c r="A12" i="1012"/>
  <c r="G10" i="1012"/>
  <c r="B10" i="1012"/>
  <c r="G9" i="1012"/>
  <c r="G8" i="1012"/>
  <c r="B8" i="1012"/>
  <c r="G7" i="1012"/>
  <c r="B7" i="1012"/>
  <c r="B5" i="1012"/>
  <c r="E28" i="1014"/>
  <c r="C28" i="1014"/>
  <c r="B28" i="1014"/>
  <c r="A40" i="1014"/>
  <c r="E24" i="1014"/>
  <c r="E23" i="1014"/>
  <c r="E22" i="1014"/>
  <c r="E21" i="1014"/>
  <c r="E20" i="1014"/>
  <c r="E19" i="1014"/>
  <c r="A12" i="1014"/>
  <c r="G10" i="1014"/>
  <c r="B10" i="1014"/>
  <c r="G9" i="1014"/>
  <c r="G8" i="1014"/>
  <c r="B8" i="1014"/>
  <c r="G7" i="1014"/>
  <c r="B7" i="1014"/>
  <c r="B5" i="1014"/>
  <c r="E28" i="1001"/>
  <c r="C28" i="1001"/>
  <c r="B28" i="1001"/>
  <c r="A40" i="1001"/>
  <c r="E24" i="1001"/>
  <c r="E23" i="1001"/>
  <c r="E22" i="1001"/>
  <c r="E21" i="1001"/>
  <c r="E20" i="1001"/>
  <c r="E19" i="1001"/>
  <c r="A12" i="1001"/>
  <c r="G10" i="1001"/>
  <c r="B10" i="1001"/>
  <c r="G9" i="1001"/>
  <c r="G8" i="1001"/>
  <c r="B8" i="1001"/>
  <c r="G7" i="1001"/>
  <c r="B7" i="1001"/>
  <c r="B5" i="1001"/>
  <c r="E28" i="1003"/>
  <c r="C28" i="1003"/>
  <c r="B28" i="1003"/>
  <c r="A40" i="1003"/>
  <c r="E24" i="1003"/>
  <c r="E23" i="1003"/>
  <c r="E22" i="1003"/>
  <c r="E21" i="1003"/>
  <c r="E20" i="1003"/>
  <c r="E19" i="1003"/>
  <c r="A12" i="1003"/>
  <c r="G10" i="1003"/>
  <c r="B10" i="1003"/>
  <c r="G9" i="1003"/>
  <c r="G8" i="1003"/>
  <c r="B8" i="1003"/>
  <c r="G7" i="1003"/>
  <c r="B7" i="1003"/>
  <c r="B5" i="1003"/>
  <c r="E28" i="1005"/>
  <c r="C28" i="1005"/>
  <c r="B28" i="1005"/>
  <c r="A40" i="1005"/>
  <c r="E24" i="1005"/>
  <c r="E23" i="1005"/>
  <c r="E22" i="1005"/>
  <c r="E21" i="1005"/>
  <c r="E20" i="1005"/>
  <c r="E19" i="1005"/>
  <c r="A12" i="1005"/>
  <c r="G10" i="1005"/>
  <c r="B10" i="1005"/>
  <c r="G9" i="1005"/>
  <c r="G8" i="1005"/>
  <c r="B8" i="1005"/>
  <c r="G7" i="1005"/>
  <c r="B7" i="1005"/>
  <c r="B5" i="1005"/>
  <c r="E28" i="998"/>
  <c r="C28" i="998"/>
  <c r="B28" i="998"/>
  <c r="A40" i="998"/>
  <c r="E24" i="998"/>
  <c r="E23" i="998"/>
  <c r="E22" i="998"/>
  <c r="E21" i="998"/>
  <c r="E20" i="998"/>
  <c r="E19" i="998"/>
  <c r="A12" i="998"/>
  <c r="G10" i="998"/>
  <c r="B10" i="998"/>
  <c r="G9" i="998"/>
  <c r="G8" i="998"/>
  <c r="B8" i="998"/>
  <c r="G7" i="998"/>
  <c r="B7" i="998"/>
  <c r="B5" i="998"/>
  <c r="E28" i="996"/>
  <c r="C28" i="996"/>
  <c r="B28" i="996"/>
  <c r="A40" i="996"/>
  <c r="E24" i="996"/>
  <c r="E23" i="996"/>
  <c r="E22" i="996"/>
  <c r="E21" i="996"/>
  <c r="E20" i="996"/>
  <c r="E19" i="996"/>
  <c r="A12" i="996"/>
  <c r="G10" i="996"/>
  <c r="B10" i="996"/>
  <c r="G9" i="996"/>
  <c r="G8" i="996"/>
  <c r="B8" i="996"/>
  <c r="G7" i="996"/>
  <c r="B7" i="996"/>
  <c r="B5" i="996"/>
  <c r="E29" i="986"/>
  <c r="C29" i="986"/>
  <c r="B29" i="986"/>
  <c r="E28" i="986"/>
  <c r="C28" i="986"/>
  <c r="B28" i="986"/>
  <c r="A40" i="986"/>
  <c r="E24" i="986"/>
  <c r="E23" i="986"/>
  <c r="E22" i="986"/>
  <c r="E21" i="986"/>
  <c r="E20" i="986"/>
  <c r="E19" i="986"/>
  <c r="A12" i="986"/>
  <c r="G10" i="986"/>
  <c r="B10" i="986"/>
  <c r="G9" i="986"/>
  <c r="G8" i="986"/>
  <c r="B8" i="986"/>
  <c r="G7" i="986"/>
  <c r="B7" i="986"/>
  <c r="B5" i="986"/>
  <c r="E28" i="1114"/>
  <c r="C28" i="1114"/>
  <c r="B28" i="1114"/>
  <c r="A40" i="1114"/>
  <c r="E24" i="1114"/>
  <c r="E23" i="1114"/>
  <c r="E22" i="1114"/>
  <c r="E21" i="1114"/>
  <c r="E20" i="1114"/>
  <c r="E19" i="1114"/>
  <c r="A12" i="1114"/>
  <c r="G10" i="1114"/>
  <c r="B10" i="1114"/>
  <c r="G9" i="1114"/>
  <c r="G8" i="1114"/>
  <c r="B8" i="1114"/>
  <c r="G7" i="1114"/>
  <c r="B7" i="1114"/>
  <c r="B5" i="1114"/>
  <c r="E28" i="982"/>
  <c r="C28" i="982"/>
  <c r="B28" i="982"/>
  <c r="A40" i="982"/>
  <c r="E24" i="982"/>
  <c r="E23" i="982"/>
  <c r="E22" i="982"/>
  <c r="E21" i="982"/>
  <c r="E20" i="982"/>
  <c r="E19" i="982"/>
  <c r="A12" i="982"/>
  <c r="G10" i="982"/>
  <c r="B10" i="982"/>
  <c r="G9" i="982"/>
  <c r="G8" i="982"/>
  <c r="B8" i="982"/>
  <c r="G7" i="982"/>
  <c r="B7" i="982"/>
  <c r="B5" i="982"/>
  <c r="E28" i="1113"/>
  <c r="C28" i="1113"/>
  <c r="B28" i="1113"/>
  <c r="A40" i="1113"/>
  <c r="E24" i="1113"/>
  <c r="E23" i="1113"/>
  <c r="E22" i="1113"/>
  <c r="E21" i="1113"/>
  <c r="E20" i="1113"/>
  <c r="E19" i="1113"/>
  <c r="A12" i="1113"/>
  <c r="G10" i="1113"/>
  <c r="B10" i="1113"/>
  <c r="G9" i="1113"/>
  <c r="G8" i="1113"/>
  <c r="B8" i="1113"/>
  <c r="G7" i="1113"/>
  <c r="B7" i="1113"/>
  <c r="B5" i="1113"/>
  <c r="E28" i="1112"/>
  <c r="C28" i="1112"/>
  <c r="B28" i="1112"/>
  <c r="A40" i="1112"/>
  <c r="E24" i="1112"/>
  <c r="E23" i="1112"/>
  <c r="E22" i="1112"/>
  <c r="E21" i="1112"/>
  <c r="E20" i="1112"/>
  <c r="E19" i="1112"/>
  <c r="A12" i="1112"/>
  <c r="G10" i="1112"/>
  <c r="B10" i="1112"/>
  <c r="G9" i="1112"/>
  <c r="G8" i="1112"/>
  <c r="B8" i="1112"/>
  <c r="G7" i="1112"/>
  <c r="B7" i="1112"/>
  <c r="B5" i="1112"/>
  <c r="E28" i="1111"/>
  <c r="C28" i="1111"/>
  <c r="B28" i="1111"/>
  <c r="A40" i="1111"/>
  <c r="E24" i="1111"/>
  <c r="E23" i="1111"/>
  <c r="E22" i="1111"/>
  <c r="E21" i="1111"/>
  <c r="E20" i="1111"/>
  <c r="E19" i="1111"/>
  <c r="A12" i="1111"/>
  <c r="G10" i="1111"/>
  <c r="B10" i="1111"/>
  <c r="G9" i="1111"/>
  <c r="G8" i="1111"/>
  <c r="B8" i="1111"/>
  <c r="G7" i="1111"/>
  <c r="B7" i="1111"/>
  <c r="B5" i="1111"/>
  <c r="E28" i="1110"/>
  <c r="C28" i="1110"/>
  <c r="B28" i="1110"/>
  <c r="A40" i="1110"/>
  <c r="E24" i="1110"/>
  <c r="E23" i="1110"/>
  <c r="E22" i="1110"/>
  <c r="E21" i="1110"/>
  <c r="E20" i="1110"/>
  <c r="E19" i="1110"/>
  <c r="A12" i="1110"/>
  <c r="G10" i="1110"/>
  <c r="B10" i="1110"/>
  <c r="G9" i="1110"/>
  <c r="G8" i="1110"/>
  <c r="B8" i="1110"/>
  <c r="G7" i="1110"/>
  <c r="B7" i="1110"/>
  <c r="B5" i="1110"/>
  <c r="E29" i="981"/>
  <c r="C29" i="981"/>
  <c r="B29" i="981"/>
  <c r="E28" i="981"/>
  <c r="C28" i="981"/>
  <c r="B28" i="981"/>
  <c r="A40" i="981"/>
  <c r="E24" i="981"/>
  <c r="E23" i="981"/>
  <c r="E22" i="981"/>
  <c r="E21" i="981"/>
  <c r="E20" i="981"/>
  <c r="E19" i="981"/>
  <c r="A12" i="981"/>
  <c r="G10" i="981"/>
  <c r="B10" i="981"/>
  <c r="G9" i="981"/>
  <c r="G8" i="981"/>
  <c r="B8" i="981"/>
  <c r="G7" i="981"/>
  <c r="B7" i="981"/>
  <c r="B5" i="981"/>
  <c r="E28" i="990"/>
  <c r="E34" i="990" s="1"/>
  <c r="C28" i="990"/>
  <c r="B28" i="990"/>
  <c r="A40" i="990"/>
  <c r="E24" i="990"/>
  <c r="E23" i="990"/>
  <c r="E22" i="990"/>
  <c r="E21" i="990"/>
  <c r="E20" i="990"/>
  <c r="E19" i="990"/>
  <c r="A12" i="990"/>
  <c r="G10" i="990"/>
  <c r="B10" i="990"/>
  <c r="G9" i="990"/>
  <c r="G8" i="990"/>
  <c r="B8" i="990"/>
  <c r="G7" i="990"/>
  <c r="B7" i="990"/>
  <c r="B5" i="990"/>
  <c r="E29" i="988"/>
  <c r="C29" i="988"/>
  <c r="B29" i="988"/>
  <c r="E28" i="988"/>
  <c r="C28" i="988"/>
  <c r="B28" i="988"/>
  <c r="A40" i="988"/>
  <c r="E24" i="988"/>
  <c r="E23" i="988"/>
  <c r="E22" i="988"/>
  <c r="E21" i="988"/>
  <c r="E20" i="988"/>
  <c r="E19" i="988"/>
  <c r="A12" i="988"/>
  <c r="G10" i="988"/>
  <c r="B10" i="988"/>
  <c r="G9" i="988"/>
  <c r="G8" i="988"/>
  <c r="B8" i="988"/>
  <c r="G7" i="988"/>
  <c r="B7" i="988"/>
  <c r="B5" i="988"/>
  <c r="E28" i="1109"/>
  <c r="C28" i="1109"/>
  <c r="B28" i="1109"/>
  <c r="A40" i="1109"/>
  <c r="E24" i="1109"/>
  <c r="E23" i="1109"/>
  <c r="E22" i="1109"/>
  <c r="E21" i="1109"/>
  <c r="E20" i="1109"/>
  <c r="E19" i="1109"/>
  <c r="A12" i="1109"/>
  <c r="G10" i="1109"/>
  <c r="B10" i="1109"/>
  <c r="G9" i="1109"/>
  <c r="G8" i="1109"/>
  <c r="B8" i="1109"/>
  <c r="G7" i="1109"/>
  <c r="B7" i="1109"/>
  <c r="B5" i="1109"/>
  <c r="E28" i="1108"/>
  <c r="C28" i="1108"/>
  <c r="B28" i="1108"/>
  <c r="A40" i="1108"/>
  <c r="E24" i="1108"/>
  <c r="E23" i="1108"/>
  <c r="E22" i="1108"/>
  <c r="E21" i="1108"/>
  <c r="E20" i="1108"/>
  <c r="E19" i="1108"/>
  <c r="A12" i="1108"/>
  <c r="G10" i="1108"/>
  <c r="B10" i="1108"/>
  <c r="G9" i="1108"/>
  <c r="G8" i="1108"/>
  <c r="B8" i="1108"/>
  <c r="G7" i="1108"/>
  <c r="B7" i="1108"/>
  <c r="B5" i="1108"/>
  <c r="E28" i="1107"/>
  <c r="C28" i="1107"/>
  <c r="B28" i="1107"/>
  <c r="A40" i="1107"/>
  <c r="E24" i="1107"/>
  <c r="E23" i="1107"/>
  <c r="E22" i="1107"/>
  <c r="E21" i="1107"/>
  <c r="E20" i="1107"/>
  <c r="E19" i="1107"/>
  <c r="A12" i="1107"/>
  <c r="G10" i="1107"/>
  <c r="B10" i="1107"/>
  <c r="G9" i="1107"/>
  <c r="G8" i="1107"/>
  <c r="B8" i="1107"/>
  <c r="G7" i="1107"/>
  <c r="B7" i="1107"/>
  <c r="B5" i="1107"/>
  <c r="E28" i="980"/>
  <c r="C28" i="980"/>
  <c r="B28" i="980"/>
  <c r="A40" i="980"/>
  <c r="E24" i="980"/>
  <c r="E23" i="980"/>
  <c r="E22" i="980"/>
  <c r="E21" i="980"/>
  <c r="E20" i="980"/>
  <c r="E19" i="980"/>
  <c r="A12" i="980"/>
  <c r="G10" i="980"/>
  <c r="B10" i="980"/>
  <c r="G9" i="980"/>
  <c r="G8" i="980"/>
  <c r="B8" i="980"/>
  <c r="G7" i="980"/>
  <c r="B7" i="980"/>
  <c r="B5" i="980"/>
  <c r="E28" i="1106"/>
  <c r="C28" i="1106"/>
  <c r="B28" i="1106"/>
  <c r="A40" i="1106"/>
  <c r="E24" i="1106"/>
  <c r="E23" i="1106"/>
  <c r="E22" i="1106"/>
  <c r="E21" i="1106"/>
  <c r="E20" i="1106"/>
  <c r="E19" i="1106"/>
  <c r="A12" i="1106"/>
  <c r="G10" i="1106"/>
  <c r="B10" i="1106"/>
  <c r="G9" i="1106"/>
  <c r="G8" i="1106"/>
  <c r="B8" i="1106"/>
  <c r="G7" i="1106"/>
  <c r="B7" i="1106"/>
  <c r="B5" i="1106"/>
  <c r="E28" i="1105"/>
  <c r="C28" i="1105"/>
  <c r="B28" i="1105"/>
  <c r="A40" i="1105"/>
  <c r="E24" i="1105"/>
  <c r="E23" i="1105"/>
  <c r="E22" i="1105"/>
  <c r="E21" i="1105"/>
  <c r="E20" i="1105"/>
  <c r="E19" i="1105"/>
  <c r="A12" i="1105"/>
  <c r="G10" i="1105"/>
  <c r="B10" i="1105"/>
  <c r="G9" i="1105"/>
  <c r="G8" i="1105"/>
  <c r="B8" i="1105"/>
  <c r="G7" i="1105"/>
  <c r="B7" i="1105"/>
  <c r="B5" i="1105"/>
  <c r="E29" i="979"/>
  <c r="C29" i="979"/>
  <c r="B29" i="979"/>
  <c r="E28" i="979"/>
  <c r="C28" i="979"/>
  <c r="B28" i="979"/>
  <c r="A40" i="979"/>
  <c r="E24" i="979"/>
  <c r="E23" i="979"/>
  <c r="E22" i="979"/>
  <c r="E20" i="979"/>
  <c r="E19" i="979"/>
  <c r="A12" i="979"/>
  <c r="G10" i="979"/>
  <c r="B10" i="979"/>
  <c r="G9" i="979"/>
  <c r="G8" i="979"/>
  <c r="B8" i="979"/>
  <c r="G7" i="979"/>
  <c r="B7" i="979"/>
  <c r="B5" i="979"/>
  <c r="E21" i="979"/>
  <c r="E29" i="978"/>
  <c r="C29" i="978"/>
  <c r="B29" i="978"/>
  <c r="E28" i="978"/>
  <c r="C28" i="978"/>
  <c r="B28" i="978"/>
  <c r="A40" i="978"/>
  <c r="E24" i="978"/>
  <c r="E23" i="978"/>
  <c r="E22" i="978"/>
  <c r="E21" i="978"/>
  <c r="E20" i="978"/>
  <c r="E19" i="978"/>
  <c r="A12" i="978"/>
  <c r="G10" i="978"/>
  <c r="B10" i="978"/>
  <c r="G9" i="978"/>
  <c r="G8" i="978"/>
  <c r="B8" i="978"/>
  <c r="G7" i="978"/>
  <c r="B7" i="978"/>
  <c r="B5" i="978"/>
  <c r="E29" i="977"/>
  <c r="C29" i="977"/>
  <c r="B29" i="977"/>
  <c r="E28" i="977"/>
  <c r="C28" i="977"/>
  <c r="B28" i="977"/>
  <c r="A40" i="977"/>
  <c r="E24" i="977"/>
  <c r="E23" i="977"/>
  <c r="E22" i="977"/>
  <c r="E21" i="977"/>
  <c r="E20" i="977"/>
  <c r="E19" i="977"/>
  <c r="A12" i="977"/>
  <c r="G10" i="977"/>
  <c r="B10" i="977"/>
  <c r="G9" i="977"/>
  <c r="G8" i="977"/>
  <c r="B8" i="977"/>
  <c r="G7" i="977"/>
  <c r="B7" i="977"/>
  <c r="B5" i="977"/>
  <c r="E30" i="917"/>
  <c r="C30" i="917"/>
  <c r="B29" i="917"/>
  <c r="B30" i="917"/>
  <c r="B28" i="917"/>
  <c r="E29" i="917"/>
  <c r="C29" i="917"/>
  <c r="E28" i="917"/>
  <c r="C28" i="917"/>
  <c r="A40" i="917"/>
  <c r="E24" i="917"/>
  <c r="E23" i="917"/>
  <c r="E22" i="917"/>
  <c r="E21" i="917"/>
  <c r="E20" i="917"/>
  <c r="E19" i="917"/>
  <c r="A12" i="917"/>
  <c r="G10" i="917"/>
  <c r="B10" i="917"/>
  <c r="G9" i="917"/>
  <c r="G8" i="917"/>
  <c r="B8" i="917"/>
  <c r="G7" i="917"/>
  <c r="B7" i="917"/>
  <c r="B5" i="917"/>
  <c r="E29" i="918"/>
  <c r="E30" i="918"/>
  <c r="C29" i="918"/>
  <c r="C30" i="918"/>
  <c r="B29" i="918"/>
  <c r="B30" i="918"/>
  <c r="E28" i="918"/>
  <c r="C28" i="918"/>
  <c r="B28" i="918"/>
  <c r="A40" i="918"/>
  <c r="E24" i="918"/>
  <c r="E23" i="918"/>
  <c r="E22" i="918"/>
  <c r="E21" i="918"/>
  <c r="E20" i="918"/>
  <c r="E19" i="918"/>
  <c r="A12" i="918"/>
  <c r="G10" i="918"/>
  <c r="B10" i="918"/>
  <c r="G9" i="918"/>
  <c r="G8" i="918"/>
  <c r="B8" i="918"/>
  <c r="G7" i="918"/>
  <c r="B7" i="918"/>
  <c r="B5" i="918"/>
  <c r="E28" i="1104"/>
  <c r="C28" i="1104"/>
  <c r="B28" i="1104"/>
  <c r="A40" i="1104"/>
  <c r="E24" i="1104"/>
  <c r="E23" i="1104"/>
  <c r="E22" i="1104"/>
  <c r="E21" i="1104"/>
  <c r="E20" i="1104"/>
  <c r="E19" i="1104"/>
  <c r="A12" i="1104"/>
  <c r="G10" i="1104"/>
  <c r="B10" i="1104"/>
  <c r="G9" i="1104"/>
  <c r="G8" i="1104"/>
  <c r="B8" i="1104"/>
  <c r="G7" i="1104"/>
  <c r="B7" i="1104"/>
  <c r="B5" i="1104"/>
  <c r="E29" i="976"/>
  <c r="E34" i="976" s="1"/>
  <c r="C29" i="976"/>
  <c r="B29" i="976"/>
  <c r="E28" i="976"/>
  <c r="C28" i="976"/>
  <c r="B28" i="976"/>
  <c r="A40" i="976"/>
  <c r="E24" i="976"/>
  <c r="E23" i="976"/>
  <c r="E22" i="976"/>
  <c r="E21" i="976"/>
  <c r="E20" i="976"/>
  <c r="E19" i="976"/>
  <c r="A12" i="976"/>
  <c r="G10" i="976"/>
  <c r="B10" i="976"/>
  <c r="G9" i="976"/>
  <c r="G8" i="976"/>
  <c r="B8" i="976"/>
  <c r="G7" i="976"/>
  <c r="B7" i="976"/>
  <c r="B5" i="976"/>
  <c r="E29" i="975"/>
  <c r="C29" i="975"/>
  <c r="B29" i="975"/>
  <c r="E28" i="975"/>
  <c r="C28" i="975"/>
  <c r="B28" i="975"/>
  <c r="A40" i="975"/>
  <c r="E24" i="975"/>
  <c r="E23" i="975"/>
  <c r="E22" i="975"/>
  <c r="E21" i="975"/>
  <c r="E20" i="975"/>
  <c r="E19" i="975"/>
  <c r="A12" i="975"/>
  <c r="G10" i="975"/>
  <c r="B10" i="975"/>
  <c r="G9" i="975"/>
  <c r="G8" i="975"/>
  <c r="B8" i="975"/>
  <c r="G7" i="975"/>
  <c r="B7" i="975"/>
  <c r="B5" i="975"/>
  <c r="E29" i="921"/>
  <c r="C29" i="921"/>
  <c r="B29" i="921"/>
  <c r="E28" i="921"/>
  <c r="C28" i="921"/>
  <c r="B28" i="921"/>
  <c r="A40" i="921"/>
  <c r="E24" i="921"/>
  <c r="E23" i="921"/>
  <c r="E22" i="921"/>
  <c r="E21" i="921"/>
  <c r="E20" i="921"/>
  <c r="E19" i="921"/>
  <c r="A12" i="921"/>
  <c r="G10" i="921"/>
  <c r="B10" i="921"/>
  <c r="G9" i="921"/>
  <c r="G8" i="921"/>
  <c r="B8" i="921"/>
  <c r="G7" i="921"/>
  <c r="B7" i="921"/>
  <c r="B5" i="921"/>
  <c r="E29" i="974"/>
  <c r="C29" i="974"/>
  <c r="B29" i="974"/>
  <c r="E28" i="974"/>
  <c r="C28" i="974"/>
  <c r="B28" i="974"/>
  <c r="A40" i="974"/>
  <c r="E24" i="974"/>
  <c r="E23" i="974"/>
  <c r="E22" i="974"/>
  <c r="E21" i="974"/>
  <c r="E20" i="974"/>
  <c r="E19" i="974"/>
  <c r="A12" i="974"/>
  <c r="G10" i="974"/>
  <c r="B10" i="974"/>
  <c r="G9" i="974"/>
  <c r="G8" i="974"/>
  <c r="B8" i="974"/>
  <c r="G7" i="974"/>
  <c r="B7" i="974"/>
  <c r="B5" i="974"/>
  <c r="E34" i="1093"/>
  <c r="C34" i="1093"/>
  <c r="E34" i="1095"/>
  <c r="C34" i="1095"/>
  <c r="E34" i="1097"/>
  <c r="C34" i="1097"/>
  <c r="E34" i="1099"/>
  <c r="C34" i="1099"/>
  <c r="E34" i="1092"/>
  <c r="C34" i="1092"/>
  <c r="E34" i="1090"/>
  <c r="C34" i="1090"/>
  <c r="E34" i="1061"/>
  <c r="C34" i="1061"/>
  <c r="E34" i="1063"/>
  <c r="C34" i="1063"/>
  <c r="E34" i="1065"/>
  <c r="C34" i="1065"/>
  <c r="E34" i="1068"/>
  <c r="C34" i="1068"/>
  <c r="E34" i="1070"/>
  <c r="C34" i="1070"/>
  <c r="E34" i="1072"/>
  <c r="C34" i="1072"/>
  <c r="E34" i="1076"/>
  <c r="C34" i="1076"/>
  <c r="E34" i="1078"/>
  <c r="C34" i="1078"/>
  <c r="E34" i="1080"/>
  <c r="C34" i="1080"/>
  <c r="E34" i="1082"/>
  <c r="C34" i="1082"/>
  <c r="E34" i="1084"/>
  <c r="C34" i="1084"/>
  <c r="E34" i="1086"/>
  <c r="C34" i="1086"/>
  <c r="E34" i="1088"/>
  <c r="C34" i="1088"/>
  <c r="E34" i="1074"/>
  <c r="C34" i="1074"/>
  <c r="E34" i="1060"/>
  <c r="C34" i="1060"/>
  <c r="E34" i="1030"/>
  <c r="C34" i="1030"/>
  <c r="E34" i="1044"/>
  <c r="C34" i="1044"/>
  <c r="E34" i="1046"/>
  <c r="C34" i="1046"/>
  <c r="E34" i="1050"/>
  <c r="C34" i="1050"/>
  <c r="E34" i="1052"/>
  <c r="C34" i="1052"/>
  <c r="E34" i="1054"/>
  <c r="C34" i="1054"/>
  <c r="E34" i="1056"/>
  <c r="C34" i="1056"/>
  <c r="E34" i="1048"/>
  <c r="C34" i="1048"/>
  <c r="E34" i="1032"/>
  <c r="C34" i="1032"/>
  <c r="E34" i="1034"/>
  <c r="C34" i="1034"/>
  <c r="E34" i="1036"/>
  <c r="C34" i="1036"/>
  <c r="E34" i="1038"/>
  <c r="C34" i="1038"/>
  <c r="E34" i="1040"/>
  <c r="C34" i="1040"/>
  <c r="E34" i="1042"/>
  <c r="C34" i="1042"/>
  <c r="E34" i="1016"/>
  <c r="C34" i="1016"/>
  <c r="E34" i="1026"/>
  <c r="C34" i="1026"/>
  <c r="E34" i="1028"/>
  <c r="C34" i="1028"/>
  <c r="C34" i="1025"/>
  <c r="E34" i="1020"/>
  <c r="C34" i="1020"/>
  <c r="E34" i="1022"/>
  <c r="C34" i="1022"/>
  <c r="E34" i="1024"/>
  <c r="C34" i="1024"/>
  <c r="E34" i="1006"/>
  <c r="C34" i="1006"/>
  <c r="E34" i="1008"/>
  <c r="C34" i="1008"/>
  <c r="E34" i="1010"/>
  <c r="C34" i="1010"/>
  <c r="E34" i="1012"/>
  <c r="C34" i="1012"/>
  <c r="E34" i="1014"/>
  <c r="C34" i="1014"/>
  <c r="E34" i="1001"/>
  <c r="C34" i="1001"/>
  <c r="E34" i="1003"/>
  <c r="C34" i="1003"/>
  <c r="E34" i="1005"/>
  <c r="C34" i="1005"/>
  <c r="E34" i="998"/>
  <c r="C34" i="998"/>
  <c r="E34" i="996"/>
  <c r="C34" i="996"/>
  <c r="E34" i="986"/>
  <c r="C34" i="986"/>
  <c r="E34" i="1114"/>
  <c r="C34" i="1114"/>
  <c r="E34" i="982"/>
  <c r="C34" i="982"/>
  <c r="E34" i="1113"/>
  <c r="C34" i="1113"/>
  <c r="E34" i="1112"/>
  <c r="C34" i="1112"/>
  <c r="E34" i="1111"/>
  <c r="C34" i="1111"/>
  <c r="E34" i="1110"/>
  <c r="C34" i="1110"/>
  <c r="E34" i="981"/>
  <c r="C34" i="981"/>
  <c r="C34" i="990"/>
  <c r="E34" i="988"/>
  <c r="C34" i="988"/>
  <c r="E34" i="1109"/>
  <c r="C34" i="1109"/>
  <c r="E34" i="1108"/>
  <c r="C34" i="1108"/>
  <c r="E34" i="1107"/>
  <c r="C34" i="1107"/>
  <c r="E34" i="980"/>
  <c r="C34" i="980"/>
  <c r="E34" i="1106"/>
  <c r="C34" i="1106"/>
  <c r="E34" i="1105"/>
  <c r="C34" i="1105"/>
  <c r="E34" i="979"/>
  <c r="C34" i="979"/>
  <c r="E34" i="978"/>
  <c r="C34" i="978"/>
  <c r="E34" i="977"/>
  <c r="C34" i="977"/>
  <c r="C34" i="917"/>
  <c r="E34" i="918"/>
  <c r="C34" i="918"/>
  <c r="E34" i="1104"/>
  <c r="C34" i="1104"/>
  <c r="C34" i="976"/>
  <c r="B29" i="973"/>
  <c r="B28" i="973"/>
  <c r="A40" i="973"/>
  <c r="B10" i="973"/>
  <c r="G7" i="973"/>
  <c r="B28" i="972"/>
  <c r="A40" i="972"/>
  <c r="B10" i="972"/>
  <c r="G7" i="972"/>
  <c r="B29" i="971"/>
  <c r="B28" i="971"/>
  <c r="A40" i="971"/>
  <c r="B10" i="971"/>
  <c r="G7" i="971"/>
  <c r="B29" i="925"/>
  <c r="B28" i="925"/>
  <c r="A40" i="925"/>
  <c r="B10" i="925"/>
  <c r="G7" i="925"/>
  <c r="B29" i="927"/>
  <c r="B28" i="927"/>
  <c r="A40" i="927"/>
  <c r="B10" i="927"/>
  <c r="G7" i="927"/>
  <c r="B29" i="970"/>
  <c r="B28" i="970"/>
  <c r="A40" i="970"/>
  <c r="B10" i="970"/>
  <c r="G7" i="970"/>
  <c r="B29" i="928"/>
  <c r="B30" i="928"/>
  <c r="B28" i="928"/>
  <c r="A40" i="928"/>
  <c r="B10" i="928"/>
  <c r="G7" i="928"/>
  <c r="B29" i="929"/>
  <c r="B30" i="929"/>
  <c r="B28" i="929"/>
  <c r="A40" i="929"/>
  <c r="B10" i="929"/>
  <c r="G7" i="929"/>
  <c r="B29" i="969"/>
  <c r="B28" i="969"/>
  <c r="A40" i="969"/>
  <c r="B10" i="969"/>
  <c r="G7" i="969"/>
  <c r="B29" i="968"/>
  <c r="B28" i="968"/>
  <c r="A40" i="968"/>
  <c r="B10" i="968"/>
  <c r="G7" i="968"/>
  <c r="B29" i="967"/>
  <c r="B28" i="967"/>
  <c r="A40" i="967"/>
  <c r="B10" i="967"/>
  <c r="G7" i="967"/>
  <c r="B29" i="966"/>
  <c r="B28" i="966"/>
  <c r="A40" i="966"/>
  <c r="B10" i="966"/>
  <c r="G7" i="966"/>
  <c r="B28" i="1103"/>
  <c r="A40" i="1103"/>
  <c r="B10" i="1103"/>
  <c r="G7" i="1103"/>
  <c r="B29" i="965"/>
  <c r="B28" i="965"/>
  <c r="A40" i="965"/>
  <c r="B10" i="965"/>
  <c r="G7" i="965"/>
  <c r="B29" i="964"/>
  <c r="B28" i="964"/>
  <c r="A40" i="964"/>
  <c r="B10" i="964"/>
  <c r="G7" i="964"/>
  <c r="B29" i="963"/>
  <c r="B28" i="963"/>
  <c r="A40" i="963"/>
  <c r="B10" i="963"/>
  <c r="G7" i="963"/>
  <c r="B29" i="962"/>
  <c r="B28" i="962"/>
  <c r="A40" i="962"/>
  <c r="B10" i="962"/>
  <c r="G7" i="962"/>
  <c r="B29" i="961"/>
  <c r="B28" i="961"/>
  <c r="A40" i="961"/>
  <c r="B10" i="961"/>
  <c r="G7" i="961"/>
  <c r="B28" i="1101"/>
  <c r="A40" i="1101"/>
  <c r="B10" i="1101"/>
  <c r="G7" i="1101"/>
  <c r="B29" i="960"/>
  <c r="B28" i="960"/>
  <c r="A40" i="960"/>
  <c r="B10" i="960"/>
  <c r="G7" i="960"/>
  <c r="B28" i="1102"/>
  <c r="A40" i="1102"/>
  <c r="B10" i="1102"/>
  <c r="G7" i="1102"/>
  <c r="B29" i="930"/>
  <c r="B28" i="930"/>
  <c r="A40" i="930"/>
  <c r="B10" i="930"/>
  <c r="G7" i="930"/>
  <c r="A40" i="931"/>
  <c r="B10" i="931"/>
  <c r="G7" i="931"/>
  <c r="B29" i="932"/>
  <c r="B30" i="932"/>
  <c r="B28" i="932"/>
  <c r="A40" i="932"/>
  <c r="B10" i="932"/>
  <c r="G7" i="932"/>
  <c r="B29" i="959"/>
  <c r="B28" i="959"/>
  <c r="A40" i="959"/>
  <c r="B10" i="959"/>
  <c r="G7" i="959"/>
  <c r="E34" i="931"/>
  <c r="C34" i="931"/>
  <c r="B29" i="852"/>
  <c r="B28" i="852"/>
  <c r="A40" i="852"/>
  <c r="B10" i="852"/>
  <c r="G7" i="852"/>
  <c r="B29" i="851"/>
  <c r="B30" i="851"/>
  <c r="B28" i="851"/>
  <c r="A40" i="851"/>
  <c r="B10" i="851"/>
  <c r="G7" i="851"/>
  <c r="B29" i="850"/>
  <c r="B28" i="850"/>
  <c r="A40" i="850"/>
  <c r="B10" i="850"/>
  <c r="G7" i="850"/>
  <c r="B29" i="849"/>
  <c r="B28" i="849"/>
  <c r="A40" i="849"/>
  <c r="B10" i="849"/>
  <c r="G7" i="849"/>
  <c r="B29" i="848"/>
  <c r="B30" i="848"/>
  <c r="B28" i="848"/>
  <c r="A40" i="848"/>
  <c r="B10" i="848"/>
  <c r="G7" i="848"/>
  <c r="A40" i="844"/>
  <c r="B10" i="844"/>
  <c r="G7" i="844"/>
  <c r="A40" i="843"/>
  <c r="B10" i="843"/>
  <c r="G7" i="843"/>
  <c r="A40" i="958"/>
  <c r="E34" i="958"/>
  <c r="C34" i="958"/>
  <c r="E24" i="958"/>
  <c r="E23" i="958"/>
  <c r="E22" i="958"/>
  <c r="E21" i="958"/>
  <c r="E20" i="958"/>
  <c r="E19" i="958"/>
  <c r="A12" i="958"/>
  <c r="G10" i="958"/>
  <c r="B10" i="958"/>
  <c r="G9" i="958"/>
  <c r="G8" i="958"/>
  <c r="B8" i="958"/>
  <c r="G7" i="958"/>
  <c r="B7" i="958"/>
  <c r="B5" i="958"/>
  <c r="A40" i="855"/>
  <c r="E34" i="855"/>
  <c r="C34" i="855"/>
  <c r="E24" i="855"/>
  <c r="E23" i="855"/>
  <c r="E22" i="855"/>
  <c r="E21" i="855"/>
  <c r="E20" i="855"/>
  <c r="E19" i="855"/>
  <c r="A12" i="855"/>
  <c r="G10" i="855"/>
  <c r="B10" i="855"/>
  <c r="G9" i="855"/>
  <c r="G8" i="855"/>
  <c r="B8" i="855"/>
  <c r="G7" i="855"/>
  <c r="B7" i="855"/>
  <c r="B5" i="855"/>
  <c r="B29" i="842"/>
  <c r="B30" i="842"/>
  <c r="B28" i="842"/>
  <c r="A40" i="842"/>
  <c r="B10" i="842"/>
  <c r="G7" i="842"/>
  <c r="A40" i="837"/>
  <c r="B10" i="837"/>
  <c r="G7" i="837"/>
  <c r="B29" i="836"/>
  <c r="B28" i="836"/>
  <c r="A40" i="836"/>
  <c r="B10" i="836"/>
  <c r="G7" i="836"/>
  <c r="B29" i="835"/>
  <c r="B28" i="835"/>
  <c r="A40" i="835"/>
  <c r="B10" i="835"/>
  <c r="G7" i="835"/>
  <c r="B28" i="832"/>
  <c r="A40" i="832"/>
  <c r="B10" i="832"/>
  <c r="G7" i="832"/>
  <c r="A40" i="847"/>
  <c r="E34" i="847"/>
  <c r="C34" i="847"/>
  <c r="E24" i="847"/>
  <c r="E23" i="847"/>
  <c r="E22" i="847"/>
  <c r="E21" i="847"/>
  <c r="E20" i="847"/>
  <c r="E19" i="847"/>
  <c r="A12" i="847"/>
  <c r="G10" i="847"/>
  <c r="B10" i="847"/>
  <c r="G9" i="847"/>
  <c r="G8" i="847"/>
  <c r="B8" i="847"/>
  <c r="G7" i="847"/>
  <c r="B7" i="847"/>
  <c r="B5" i="847"/>
  <c r="E34" i="844"/>
  <c r="C34" i="844"/>
  <c r="E34" i="843"/>
  <c r="C34" i="843"/>
  <c r="E34" i="837"/>
  <c r="C34" i="837"/>
  <c r="B29" i="830"/>
  <c r="B30" i="830"/>
  <c r="B28" i="830"/>
  <c r="A40" i="830"/>
  <c r="B10" i="830"/>
  <c r="G7" i="830"/>
  <c r="B29" i="825"/>
  <c r="B28" i="825"/>
  <c r="A40" i="825"/>
  <c r="B10" i="825"/>
  <c r="G7" i="825"/>
  <c r="B29" i="856"/>
  <c r="B28" i="856"/>
  <c r="A40" i="856"/>
  <c r="B10" i="856"/>
  <c r="G7" i="856"/>
  <c r="B29" i="773"/>
  <c r="B28" i="773"/>
  <c r="A40" i="773"/>
  <c r="B10" i="773"/>
  <c r="G7" i="773"/>
  <c r="B29" i="772"/>
  <c r="B28" i="772"/>
  <c r="A40" i="772"/>
  <c r="B10" i="772"/>
  <c r="G7" i="772"/>
  <c r="B29" i="771"/>
  <c r="B28" i="771"/>
  <c r="A40" i="771"/>
  <c r="B10" i="771"/>
  <c r="G7" i="771"/>
  <c r="B28" i="769"/>
  <c r="A40" i="769"/>
  <c r="B10" i="769"/>
  <c r="G7" i="769"/>
  <c r="B29" i="767"/>
  <c r="B30" i="767"/>
  <c r="B28" i="767"/>
  <c r="A40" i="767"/>
  <c r="B10" i="767"/>
  <c r="G7" i="767"/>
  <c r="B29" i="766"/>
  <c r="B30" i="766"/>
  <c r="B31" i="766"/>
  <c r="B32" i="766"/>
  <c r="B28" i="766"/>
  <c r="A40" i="766"/>
  <c r="B10" i="766"/>
  <c r="G7" i="766"/>
  <c r="B29" i="765"/>
  <c r="B30" i="765"/>
  <c r="B31" i="765"/>
  <c r="B32" i="765"/>
  <c r="B28" i="765"/>
  <c r="A40" i="765"/>
  <c r="B10" i="765"/>
  <c r="G7" i="765"/>
  <c r="B29" i="764"/>
  <c r="B28" i="764"/>
  <c r="A40" i="764"/>
  <c r="B10" i="764"/>
  <c r="G7" i="764"/>
  <c r="B29" i="761"/>
  <c r="B30" i="761"/>
  <c r="B31" i="761"/>
  <c r="B28" i="761"/>
  <c r="A40" i="761"/>
  <c r="B10" i="761"/>
  <c r="G7" i="761"/>
  <c r="B29" i="759"/>
  <c r="B30" i="759"/>
  <c r="B28" i="759"/>
  <c r="A40" i="759"/>
  <c r="B10" i="759"/>
  <c r="G7" i="759"/>
  <c r="B30" i="758"/>
  <c r="B29" i="758"/>
  <c r="B28" i="758"/>
  <c r="A40" i="758"/>
  <c r="B10" i="758"/>
  <c r="G7" i="758"/>
  <c r="B29" i="757"/>
  <c r="B28" i="757"/>
  <c r="A40" i="757"/>
  <c r="B10" i="757"/>
  <c r="G7" i="757"/>
  <c r="B28" i="756"/>
  <c r="A40" i="756"/>
  <c r="B10" i="756"/>
  <c r="G7" i="756"/>
  <c r="B29" i="755"/>
  <c r="B28" i="755"/>
  <c r="A40" i="755"/>
  <c r="B10" i="755"/>
  <c r="G7" i="755"/>
  <c r="B29" i="754"/>
  <c r="B28" i="754"/>
  <c r="A40" i="754"/>
  <c r="B10" i="754"/>
  <c r="G7" i="754"/>
  <c r="B29" i="753"/>
  <c r="B28" i="753"/>
  <c r="A40" i="753"/>
  <c r="B10" i="753"/>
  <c r="G7" i="753"/>
  <c r="B29" i="752"/>
  <c r="B28" i="752"/>
  <c r="A40" i="752"/>
  <c r="B10" i="752"/>
  <c r="G7" i="752"/>
  <c r="B29" i="751"/>
  <c r="B28" i="751"/>
  <c r="A40" i="751"/>
  <c r="B10" i="751"/>
  <c r="G7" i="751"/>
  <c r="B29" i="749"/>
  <c r="B28" i="749"/>
  <c r="A40" i="749"/>
  <c r="B10" i="749"/>
  <c r="G7" i="749"/>
  <c r="A40" i="747"/>
  <c r="B10" i="747"/>
  <c r="G7" i="747"/>
  <c r="B29" i="747"/>
  <c r="B28" i="747"/>
  <c r="B29" i="746"/>
  <c r="B28" i="746"/>
  <c r="A40" i="746"/>
  <c r="B10" i="746"/>
  <c r="G7" i="746"/>
  <c r="B29" i="744"/>
  <c r="B28" i="744"/>
  <c r="A40" i="744"/>
  <c r="B10" i="744"/>
  <c r="G7" i="744"/>
  <c r="A40" i="740"/>
  <c r="B10" i="740"/>
  <c r="G7" i="740"/>
  <c r="B30" i="738"/>
  <c r="B29" i="738"/>
  <c r="B28" i="738"/>
  <c r="A40" i="738"/>
  <c r="B10" i="738"/>
  <c r="G7" i="738"/>
  <c r="B29" i="737"/>
  <c r="B30" i="737"/>
  <c r="B31" i="737"/>
  <c r="B28" i="737"/>
  <c r="A40" i="737"/>
  <c r="B10" i="737"/>
  <c r="G7" i="737"/>
  <c r="B29" i="736"/>
  <c r="B30" i="736"/>
  <c r="B31" i="736"/>
  <c r="B28" i="736"/>
  <c r="A40" i="736"/>
  <c r="B10" i="736"/>
  <c r="G7" i="736"/>
  <c r="B29" i="735"/>
  <c r="B30" i="735"/>
  <c r="B31" i="735"/>
  <c r="B32" i="735"/>
  <c r="B28" i="735"/>
  <c r="A40" i="735"/>
  <c r="B10" i="735"/>
  <c r="G7" i="735"/>
  <c r="B29" i="734"/>
  <c r="B30" i="734"/>
  <c r="B31" i="734"/>
  <c r="B28" i="734"/>
  <c r="A40" i="734"/>
  <c r="B10" i="734"/>
  <c r="G7" i="734"/>
  <c r="B29" i="733"/>
  <c r="B30" i="733"/>
  <c r="B31" i="733"/>
  <c r="B28" i="733"/>
  <c r="A40" i="733"/>
  <c r="B10" i="733"/>
  <c r="G7" i="733"/>
  <c r="B29" i="732"/>
  <c r="B30" i="732"/>
  <c r="B28" i="732"/>
  <c r="A40" i="732"/>
  <c r="B10" i="732"/>
  <c r="G7" i="732"/>
  <c r="B29" i="731"/>
  <c r="B30" i="731"/>
  <c r="B31" i="731"/>
  <c r="B28" i="731"/>
  <c r="A40" i="731"/>
  <c r="B10" i="731"/>
  <c r="G7" i="731"/>
  <c r="B28" i="729"/>
  <c r="A40" i="729"/>
  <c r="B10" i="729"/>
  <c r="G7" i="729"/>
  <c r="B29" i="728"/>
  <c r="B30" i="728"/>
  <c r="B31" i="728"/>
  <c r="B32" i="728"/>
  <c r="B28" i="728"/>
  <c r="A40" i="728"/>
  <c r="B10" i="728"/>
  <c r="G7" i="728"/>
  <c r="B29" i="721"/>
  <c r="B28" i="721"/>
  <c r="A40" i="721"/>
  <c r="B10" i="721"/>
  <c r="G7" i="721"/>
  <c r="B29" i="720"/>
  <c r="B28" i="720"/>
  <c r="A40" i="720"/>
  <c r="B10" i="720"/>
  <c r="G7" i="720"/>
  <c r="B29" i="716"/>
  <c r="B30" i="716"/>
  <c r="B31" i="716"/>
  <c r="B28" i="716"/>
  <c r="A40" i="716"/>
  <c r="B10" i="716"/>
  <c r="G7" i="716"/>
  <c r="B29" i="714"/>
  <c r="B30" i="714"/>
  <c r="B28" i="714"/>
  <c r="A40" i="714"/>
  <c r="B10" i="714"/>
  <c r="G7" i="714"/>
  <c r="B29" i="712"/>
  <c r="B30" i="712"/>
  <c r="B31" i="712"/>
  <c r="B32" i="712"/>
  <c r="B28" i="712"/>
  <c r="A40" i="712"/>
  <c r="B10" i="712"/>
  <c r="G7" i="712"/>
  <c r="B29" i="711"/>
  <c r="B28" i="711"/>
  <c r="A40" i="711"/>
  <c r="B10" i="711"/>
  <c r="G7" i="711"/>
  <c r="B30" i="710"/>
  <c r="B29" i="710"/>
  <c r="B28" i="710"/>
  <c r="A40" i="710"/>
  <c r="B10" i="710"/>
  <c r="G7" i="710"/>
  <c r="B29" i="703"/>
  <c r="B30" i="703"/>
  <c r="B31" i="703"/>
  <c r="B32" i="703"/>
  <c r="B33" i="703"/>
  <c r="B28" i="703"/>
  <c r="A40" i="703"/>
  <c r="B10" i="703"/>
  <c r="G7" i="703"/>
  <c r="B29" i="698"/>
  <c r="B30" i="698"/>
  <c r="B31" i="698"/>
  <c r="B28" i="698"/>
  <c r="A40" i="698"/>
  <c r="B10" i="698"/>
  <c r="G7" i="698"/>
  <c r="B29" i="695"/>
  <c r="B28" i="695"/>
  <c r="A40" i="695"/>
  <c r="B10" i="695"/>
  <c r="G7" i="695"/>
  <c r="B29" i="694"/>
  <c r="B28" i="694"/>
  <c r="A40" i="694"/>
  <c r="B10" i="694"/>
  <c r="G7" i="694"/>
  <c r="B29" i="693"/>
  <c r="B28" i="693"/>
  <c r="A40" i="693"/>
  <c r="B10" i="693"/>
  <c r="G7" i="693"/>
  <c r="B29" i="690"/>
  <c r="B30" i="690"/>
  <c r="B31" i="690"/>
  <c r="B28" i="690"/>
  <c r="A40" i="690"/>
  <c r="B10" i="690"/>
  <c r="G7" i="690"/>
  <c r="B29" i="689"/>
  <c r="B30" i="689"/>
  <c r="B28" i="689"/>
  <c r="A40" i="689"/>
  <c r="B10" i="689"/>
  <c r="G7" i="689"/>
  <c r="B29" i="687"/>
  <c r="B30" i="687"/>
  <c r="B31" i="687"/>
  <c r="B32" i="687"/>
  <c r="B28" i="687"/>
  <c r="A40" i="687"/>
  <c r="B10" i="687"/>
  <c r="G7" i="687"/>
  <c r="B29" i="681"/>
  <c r="B30" i="681"/>
  <c r="B31" i="681"/>
  <c r="B32" i="681"/>
  <c r="B28" i="681"/>
  <c r="A40" i="681"/>
  <c r="B10" i="681"/>
  <c r="G7" i="681"/>
  <c r="B29" i="675"/>
  <c r="B30" i="675"/>
  <c r="B31" i="675"/>
  <c r="B28" i="675"/>
  <c r="A40" i="675"/>
  <c r="B10" i="675"/>
  <c r="G7" i="675"/>
  <c r="A40" i="750"/>
  <c r="E34" i="750"/>
  <c r="C34" i="750"/>
  <c r="E24" i="750"/>
  <c r="E23" i="750"/>
  <c r="E22" i="750"/>
  <c r="E21" i="750"/>
  <c r="E20" i="750"/>
  <c r="E19" i="750"/>
  <c r="A12" i="750"/>
  <c r="G10" i="750"/>
  <c r="B10" i="750"/>
  <c r="G9" i="750"/>
  <c r="G8" i="750"/>
  <c r="B8" i="750"/>
  <c r="G7" i="750"/>
  <c r="B7" i="750"/>
  <c r="B5" i="750"/>
  <c r="A40" i="748"/>
  <c r="E34" i="748"/>
  <c r="C34" i="748"/>
  <c r="E24" i="748"/>
  <c r="E23" i="748"/>
  <c r="E22" i="748"/>
  <c r="E21" i="748"/>
  <c r="E20" i="748"/>
  <c r="E19" i="748"/>
  <c r="A12" i="748"/>
  <c r="G10" i="748"/>
  <c r="B10" i="748"/>
  <c r="G9" i="748"/>
  <c r="G8" i="748"/>
  <c r="B8" i="748"/>
  <c r="G7" i="748"/>
  <c r="B7" i="748"/>
  <c r="B5" i="748"/>
  <c r="A40" i="745"/>
  <c r="E34" i="745"/>
  <c r="C34" i="745"/>
  <c r="E24" i="745"/>
  <c r="E23" i="745"/>
  <c r="E22" i="745"/>
  <c r="E21" i="745"/>
  <c r="E20" i="745"/>
  <c r="E19" i="745"/>
  <c r="A12" i="745"/>
  <c r="G10" i="745"/>
  <c r="B10" i="745"/>
  <c r="G9" i="745"/>
  <c r="G8" i="745"/>
  <c r="B8" i="745"/>
  <c r="G7" i="745"/>
  <c r="B7" i="745"/>
  <c r="B5" i="745"/>
  <c r="E34" i="740"/>
  <c r="C34" i="740"/>
  <c r="B29" i="674"/>
  <c r="B30" i="674"/>
  <c r="B31" i="674"/>
  <c r="B32" i="674"/>
  <c r="B28" i="674"/>
  <c r="A40" i="674"/>
  <c r="B10" i="674"/>
  <c r="G7" i="674"/>
  <c r="B29" i="859"/>
  <c r="B30" i="859"/>
  <c r="B28" i="859"/>
  <c r="A40" i="859"/>
  <c r="B10" i="859"/>
  <c r="G7" i="859"/>
  <c r="B29" i="670"/>
  <c r="B30" i="670"/>
  <c r="B28" i="670"/>
  <c r="A40" i="670"/>
  <c r="B10" i="670"/>
  <c r="G7" i="670"/>
  <c r="B29" i="669"/>
  <c r="B30" i="669"/>
  <c r="B28" i="669"/>
  <c r="A40" i="669"/>
  <c r="B10" i="669"/>
  <c r="G7" i="669"/>
  <c r="B29" i="668"/>
  <c r="B28" i="668"/>
  <c r="A40" i="668"/>
  <c r="B10" i="668"/>
  <c r="G7" i="668"/>
  <c r="B29" i="667"/>
  <c r="B30" i="667"/>
  <c r="B31" i="667"/>
  <c r="B32" i="667"/>
  <c r="B33" i="667"/>
  <c r="B34" i="667"/>
  <c r="B28" i="667"/>
  <c r="A43" i="667"/>
  <c r="B10" i="667"/>
  <c r="G7" i="667"/>
  <c r="B29" i="664"/>
  <c r="B30" i="664"/>
  <c r="B28" i="664"/>
  <c r="A40" i="664"/>
  <c r="B10" i="664"/>
  <c r="G7" i="664"/>
  <c r="B29" i="663"/>
  <c r="B30" i="663"/>
  <c r="B28" i="663"/>
  <c r="A40" i="663"/>
  <c r="B10" i="663"/>
  <c r="G7" i="663"/>
  <c r="B29" i="662"/>
  <c r="B28" i="662"/>
  <c r="A40" i="662"/>
  <c r="B10" i="662"/>
  <c r="G7" i="662"/>
  <c r="B29" i="661"/>
  <c r="B30" i="661"/>
  <c r="B31" i="661"/>
  <c r="B32" i="661"/>
  <c r="B28" i="661"/>
  <c r="A40" i="661"/>
  <c r="B10" i="661"/>
  <c r="G7" i="661"/>
  <c r="B29" i="660"/>
  <c r="B30" i="660"/>
  <c r="B28" i="660"/>
  <c r="A40" i="660"/>
  <c r="B10" i="660"/>
  <c r="G7" i="660"/>
  <c r="B30" i="659"/>
  <c r="B29" i="659"/>
  <c r="B28" i="659"/>
  <c r="A40" i="659"/>
  <c r="B10" i="659"/>
  <c r="G7" i="659"/>
  <c r="B29" i="653"/>
  <c r="B30" i="653"/>
  <c r="B31" i="653"/>
  <c r="B28" i="653"/>
  <c r="A40" i="653"/>
  <c r="B10" i="653"/>
  <c r="G7" i="653"/>
  <c r="B29" i="652"/>
  <c r="B30" i="652"/>
  <c r="B31" i="652"/>
  <c r="B32" i="652"/>
  <c r="B33" i="652"/>
  <c r="B28" i="652"/>
  <c r="A43" i="652"/>
  <c r="B10" i="652"/>
  <c r="G7" i="652"/>
  <c r="B29" i="651"/>
  <c r="B30" i="651"/>
  <c r="B31" i="651"/>
  <c r="B32" i="651"/>
  <c r="B33" i="651"/>
  <c r="B28" i="651"/>
  <c r="A43" i="651"/>
  <c r="B10" i="651"/>
  <c r="G7" i="651"/>
  <c r="B29" i="650"/>
  <c r="B30" i="650"/>
  <c r="B31" i="650"/>
  <c r="B32" i="650"/>
  <c r="B33" i="650"/>
  <c r="B28" i="650"/>
  <c r="A40" i="650"/>
  <c r="E24" i="650"/>
  <c r="E23" i="650"/>
  <c r="E22" i="650"/>
  <c r="E21" i="650"/>
  <c r="E20" i="650"/>
  <c r="E19" i="650"/>
  <c r="A12" i="650"/>
  <c r="G10" i="650"/>
  <c r="B10" i="650"/>
  <c r="G9" i="650"/>
  <c r="G8" i="650"/>
  <c r="B8" i="650"/>
  <c r="G7" i="650"/>
  <c r="B7" i="650"/>
  <c r="B5" i="650"/>
  <c r="B29" i="648"/>
  <c r="B30" i="648"/>
  <c r="B31" i="648"/>
  <c r="B32" i="648"/>
  <c r="B28" i="648"/>
  <c r="A40" i="648"/>
  <c r="E24" i="648"/>
  <c r="E23" i="648"/>
  <c r="E22" i="648"/>
  <c r="E21" i="648"/>
  <c r="E20" i="648"/>
  <c r="E19" i="648"/>
  <c r="A12" i="648"/>
  <c r="G10" i="648"/>
  <c r="B10" i="648"/>
  <c r="G9" i="648"/>
  <c r="G8" i="648"/>
  <c r="B8" i="648"/>
  <c r="G7" i="648"/>
  <c r="B7" i="648"/>
  <c r="B5" i="648"/>
  <c r="B29" i="647"/>
  <c r="B30" i="647"/>
  <c r="B31" i="647"/>
  <c r="B28" i="647"/>
  <c r="A40" i="647"/>
  <c r="E24" i="647"/>
  <c r="E23" i="647"/>
  <c r="E22" i="647"/>
  <c r="E21" i="647"/>
  <c r="E20" i="647"/>
  <c r="E19" i="647"/>
  <c r="A12" i="647"/>
  <c r="G10" i="647"/>
  <c r="B10" i="647"/>
  <c r="G9" i="647"/>
  <c r="G8" i="647"/>
  <c r="B8" i="647"/>
  <c r="G7" i="647"/>
  <c r="B7" i="647"/>
  <c r="B5" i="647"/>
  <c r="B29" i="644"/>
  <c r="B30" i="644"/>
  <c r="B31" i="644"/>
  <c r="B28" i="644"/>
  <c r="A40" i="644"/>
  <c r="B10" i="644"/>
  <c r="G7" i="644"/>
  <c r="B34" i="642"/>
  <c r="B29" i="642"/>
  <c r="B30" i="642"/>
  <c r="B31" i="642"/>
  <c r="B32" i="642"/>
  <c r="B33" i="642"/>
  <c r="B28" i="642"/>
  <c r="A43" i="642"/>
  <c r="B10" i="642"/>
  <c r="G7" i="642"/>
  <c r="B29" i="641"/>
  <c r="B30" i="641"/>
  <c r="B31" i="641"/>
  <c r="B32" i="641"/>
  <c r="B33" i="641"/>
  <c r="B28" i="641"/>
  <c r="A43" i="641"/>
  <c r="B10" i="641"/>
  <c r="G7" i="641"/>
  <c r="B29" i="639"/>
  <c r="B28" i="639"/>
  <c r="A40" i="639"/>
  <c r="B10" i="639"/>
  <c r="G7" i="639"/>
  <c r="B29" i="638"/>
  <c r="B28" i="638"/>
  <c r="A40" i="638"/>
  <c r="B10" i="638"/>
  <c r="G7" i="638"/>
  <c r="B29" i="637"/>
  <c r="B30" i="637"/>
  <c r="B31" i="637"/>
  <c r="B32" i="637"/>
  <c r="B33" i="637"/>
  <c r="B28" i="637"/>
  <c r="A43" i="637"/>
  <c r="B10" i="637"/>
  <c r="G7" i="637"/>
  <c r="B31" i="636"/>
  <c r="B29" i="636"/>
  <c r="B30" i="636"/>
  <c r="B28" i="636"/>
  <c r="A40" i="636"/>
  <c r="B10" i="636"/>
  <c r="G7" i="636"/>
  <c r="B29" i="635"/>
  <c r="B30" i="635"/>
  <c r="B31" i="635"/>
  <c r="B28" i="635"/>
  <c r="A40" i="635"/>
  <c r="B10" i="635"/>
  <c r="G7" i="635"/>
  <c r="B29" i="634"/>
  <c r="B30" i="634"/>
  <c r="B28" i="634"/>
  <c r="A40" i="634"/>
  <c r="B10" i="634"/>
  <c r="G7" i="634"/>
  <c r="B29" i="633"/>
  <c r="B30" i="633"/>
  <c r="B31" i="633"/>
  <c r="B32" i="633"/>
  <c r="B33" i="633"/>
  <c r="B34" i="633"/>
  <c r="B28" i="633"/>
  <c r="A44" i="633"/>
  <c r="B10" i="633"/>
  <c r="G7" i="633"/>
  <c r="A40" i="317"/>
  <c r="B10" i="317"/>
  <c r="G7" i="317"/>
  <c r="B24" i="261"/>
  <c r="B7" i="651" s="1"/>
  <c r="B25" i="261"/>
  <c r="B7" i="652" s="1"/>
  <c r="B26" i="261"/>
  <c r="B7" i="653" s="1"/>
  <c r="B27" i="261"/>
  <c r="U211" i="261"/>
  <c r="P211" i="261"/>
  <c r="I211" i="261"/>
  <c r="G211" i="261"/>
  <c r="F211" i="261"/>
  <c r="C211" i="261"/>
  <c r="B211" i="261"/>
  <c r="U210" i="261"/>
  <c r="P210" i="261"/>
  <c r="I210" i="261"/>
  <c r="G210" i="261"/>
  <c r="F210" i="261"/>
  <c r="C210" i="261"/>
  <c r="B210" i="261"/>
  <c r="U209" i="261"/>
  <c r="P209" i="261"/>
  <c r="I209" i="261"/>
  <c r="G209" i="261"/>
  <c r="F209" i="261"/>
  <c r="C209" i="261"/>
  <c r="B209" i="261"/>
  <c r="U208" i="261"/>
  <c r="P208" i="261"/>
  <c r="I208" i="261"/>
  <c r="G208" i="261"/>
  <c r="F208" i="261"/>
  <c r="C208" i="261"/>
  <c r="B208" i="261"/>
  <c r="U207" i="261"/>
  <c r="P207" i="261"/>
  <c r="I207" i="261"/>
  <c r="G207" i="261"/>
  <c r="F207" i="261"/>
  <c r="C207" i="261"/>
  <c r="B207" i="261"/>
  <c r="U206" i="261"/>
  <c r="G206" i="261"/>
  <c r="F206" i="261"/>
  <c r="C206" i="261"/>
  <c r="B206" i="261"/>
  <c r="U205" i="261"/>
  <c r="P205" i="261"/>
  <c r="I205" i="261"/>
  <c r="G205" i="261"/>
  <c r="F205" i="261"/>
  <c r="C205" i="261"/>
  <c r="B205" i="261"/>
  <c r="U204" i="261"/>
  <c r="G204" i="261"/>
  <c r="F204" i="261"/>
  <c r="C204" i="261"/>
  <c r="B204" i="261"/>
  <c r="U203" i="261"/>
  <c r="P203" i="261"/>
  <c r="I203" i="261"/>
  <c r="G203" i="261"/>
  <c r="F203" i="261"/>
  <c r="C203" i="261"/>
  <c r="B203" i="261"/>
  <c r="U202" i="261"/>
  <c r="P202" i="261"/>
  <c r="I202" i="261"/>
  <c r="G202" i="261"/>
  <c r="F202" i="261"/>
  <c r="C202" i="261"/>
  <c r="B202" i="261"/>
  <c r="U201" i="261"/>
  <c r="P201" i="261"/>
  <c r="O201" i="261"/>
  <c r="I201" i="261"/>
  <c r="G201" i="261"/>
  <c r="F201" i="261"/>
  <c r="C201" i="261"/>
  <c r="B201" i="261"/>
  <c r="U200" i="261"/>
  <c r="P200" i="261"/>
  <c r="I200" i="261"/>
  <c r="G200" i="261"/>
  <c r="F200" i="261"/>
  <c r="C200" i="261"/>
  <c r="B200" i="261"/>
  <c r="U199" i="261"/>
  <c r="P199" i="261"/>
  <c r="I199" i="261"/>
  <c r="G199" i="261"/>
  <c r="F199" i="261"/>
  <c r="C199" i="261"/>
  <c r="B199" i="261"/>
  <c r="U198" i="261"/>
  <c r="P198" i="261"/>
  <c r="I198" i="261"/>
  <c r="G198" i="261"/>
  <c r="F198" i="261"/>
  <c r="C198" i="261"/>
  <c r="B198" i="261"/>
  <c r="U197" i="261"/>
  <c r="P197" i="261"/>
  <c r="I197" i="261"/>
  <c r="G197" i="261"/>
  <c r="F197" i="261"/>
  <c r="C197" i="261"/>
  <c r="B197" i="261"/>
  <c r="U196" i="261"/>
  <c r="G196" i="261"/>
  <c r="F196" i="261"/>
  <c r="C196" i="261"/>
  <c r="B196" i="261"/>
  <c r="U195" i="261"/>
  <c r="P195" i="261"/>
  <c r="I195" i="261"/>
  <c r="G195" i="261"/>
  <c r="F195" i="261"/>
  <c r="C195" i="261"/>
  <c r="B195" i="261"/>
  <c r="U194" i="261"/>
  <c r="G194" i="261"/>
  <c r="F194" i="261"/>
  <c r="C194" i="261"/>
  <c r="B194" i="261"/>
  <c r="U193" i="261"/>
  <c r="P193" i="261"/>
  <c r="I193" i="261"/>
  <c r="G193" i="261"/>
  <c r="F193" i="261"/>
  <c r="C193" i="261"/>
  <c r="B193" i="261"/>
  <c r="U192" i="261"/>
  <c r="P192" i="261"/>
  <c r="I192" i="261"/>
  <c r="G192" i="261"/>
  <c r="F192" i="261"/>
  <c r="C192" i="261"/>
  <c r="B192" i="261"/>
  <c r="U191" i="261"/>
  <c r="P191" i="261"/>
  <c r="I191" i="261"/>
  <c r="G191" i="261"/>
  <c r="F191" i="261"/>
  <c r="C191" i="261"/>
  <c r="B191" i="261"/>
  <c r="U190" i="261"/>
  <c r="P190" i="261"/>
  <c r="I190" i="261"/>
  <c r="G190" i="261"/>
  <c r="F190" i="261"/>
  <c r="C190" i="261"/>
  <c r="B190" i="261"/>
  <c r="U189" i="261"/>
  <c r="P189" i="261"/>
  <c r="I189" i="261"/>
  <c r="G189" i="261"/>
  <c r="F189" i="261"/>
  <c r="C189" i="261"/>
  <c r="B189" i="261"/>
  <c r="U188" i="261"/>
  <c r="P188" i="261"/>
  <c r="I188" i="261"/>
  <c r="G188" i="261"/>
  <c r="F188" i="261"/>
  <c r="C188" i="261"/>
  <c r="B188" i="261"/>
  <c r="U187" i="261"/>
  <c r="P187" i="261"/>
  <c r="I187" i="261"/>
  <c r="G187" i="261"/>
  <c r="F187" i="261"/>
  <c r="C187" i="261"/>
  <c r="B187" i="261"/>
  <c r="U186" i="261"/>
  <c r="P186" i="261"/>
  <c r="I186" i="261"/>
  <c r="G186" i="261"/>
  <c r="F186" i="261"/>
  <c r="C186" i="261"/>
  <c r="B186" i="261"/>
  <c r="U185" i="261"/>
  <c r="P185" i="261"/>
  <c r="I185" i="261"/>
  <c r="G185" i="261"/>
  <c r="F185" i="261"/>
  <c r="C185" i="261"/>
  <c r="B185" i="261"/>
  <c r="U184" i="261"/>
  <c r="P184" i="261"/>
  <c r="I184" i="261"/>
  <c r="G184" i="261"/>
  <c r="F184" i="261"/>
  <c r="C184" i="261"/>
  <c r="B184" i="261"/>
  <c r="U183" i="261"/>
  <c r="P183" i="261"/>
  <c r="I183" i="261"/>
  <c r="G183" i="261"/>
  <c r="F183" i="261"/>
  <c r="C183" i="261"/>
  <c r="B183" i="261"/>
  <c r="U182" i="261"/>
  <c r="P182" i="261"/>
  <c r="I182" i="261"/>
  <c r="G182" i="261"/>
  <c r="F182" i="261"/>
  <c r="C182" i="261"/>
  <c r="B182" i="261"/>
  <c r="U181" i="261"/>
  <c r="P181" i="261"/>
  <c r="I181" i="261"/>
  <c r="G181" i="261"/>
  <c r="F181" i="261"/>
  <c r="C181" i="261"/>
  <c r="B181" i="261"/>
  <c r="U180" i="261"/>
  <c r="P180" i="261"/>
  <c r="I180" i="261"/>
  <c r="G180" i="261"/>
  <c r="F180" i="261"/>
  <c r="C180" i="261"/>
  <c r="B180" i="261"/>
  <c r="U179" i="261"/>
  <c r="P179" i="261"/>
  <c r="I179" i="261"/>
  <c r="G179" i="261"/>
  <c r="F179" i="261"/>
  <c r="C179" i="261"/>
  <c r="B179" i="261"/>
  <c r="U178" i="261"/>
  <c r="P178" i="261"/>
  <c r="I178" i="261"/>
  <c r="G178" i="261"/>
  <c r="F178" i="261"/>
  <c r="C178" i="261"/>
  <c r="B178" i="261"/>
  <c r="U177" i="261"/>
  <c r="P177" i="261"/>
  <c r="I177" i="261"/>
  <c r="G177" i="261"/>
  <c r="F177" i="261"/>
  <c r="C177" i="261"/>
  <c r="B177" i="261"/>
  <c r="U176" i="261"/>
  <c r="P176" i="261"/>
  <c r="I176" i="261"/>
  <c r="G176" i="261"/>
  <c r="F176" i="261"/>
  <c r="C176" i="261"/>
  <c r="B176" i="261"/>
  <c r="U175" i="261"/>
  <c r="P175" i="261"/>
  <c r="I175" i="261"/>
  <c r="G175" i="261"/>
  <c r="F175" i="261"/>
  <c r="C175" i="261"/>
  <c r="B175" i="261"/>
  <c r="U174" i="261"/>
  <c r="P174" i="261"/>
  <c r="I174" i="261"/>
  <c r="G174" i="261"/>
  <c r="F174" i="261"/>
  <c r="C174" i="261"/>
  <c r="B174" i="261"/>
  <c r="U173" i="261"/>
  <c r="P173" i="261"/>
  <c r="I173" i="261"/>
  <c r="G173" i="261"/>
  <c r="F173" i="261"/>
  <c r="C173" i="261"/>
  <c r="B173" i="261"/>
  <c r="U171" i="261"/>
  <c r="P171" i="261"/>
  <c r="I171" i="261"/>
  <c r="G171" i="261"/>
  <c r="F171" i="261"/>
  <c r="C171" i="261"/>
  <c r="B171" i="261"/>
  <c r="U170" i="261"/>
  <c r="P170" i="261"/>
  <c r="I170" i="261"/>
  <c r="G170" i="261"/>
  <c r="F170" i="261"/>
  <c r="C170" i="261"/>
  <c r="B170" i="261"/>
  <c r="U169" i="261"/>
  <c r="P169" i="261"/>
  <c r="I169" i="261"/>
  <c r="G169" i="261"/>
  <c r="F169" i="261"/>
  <c r="C169" i="261"/>
  <c r="B169" i="261"/>
  <c r="U168" i="261"/>
  <c r="P168" i="261"/>
  <c r="I168" i="261"/>
  <c r="G168" i="261"/>
  <c r="F168" i="261"/>
  <c r="C168" i="261"/>
  <c r="B168" i="261"/>
  <c r="U167" i="261"/>
  <c r="P167" i="261"/>
  <c r="I167" i="261"/>
  <c r="G167" i="261"/>
  <c r="F167" i="261"/>
  <c r="C167" i="261"/>
  <c r="B167" i="261"/>
  <c r="U166" i="261"/>
  <c r="P166" i="261"/>
  <c r="I166" i="261"/>
  <c r="G166" i="261"/>
  <c r="F166" i="261"/>
  <c r="C166" i="261"/>
  <c r="B166" i="261"/>
  <c r="U165" i="261"/>
  <c r="P165" i="261"/>
  <c r="I165" i="261"/>
  <c r="G165" i="261"/>
  <c r="F165" i="261"/>
  <c r="C165" i="261"/>
  <c r="B165" i="261"/>
  <c r="U164" i="261"/>
  <c r="P164" i="261"/>
  <c r="I164" i="261"/>
  <c r="G164" i="261"/>
  <c r="F164" i="261"/>
  <c r="C164" i="261"/>
  <c r="B164" i="261"/>
  <c r="U163" i="261"/>
  <c r="G163" i="261"/>
  <c r="F163" i="261"/>
  <c r="C163" i="261"/>
  <c r="B163" i="261"/>
  <c r="U162" i="261"/>
  <c r="G162" i="261"/>
  <c r="F162" i="261"/>
  <c r="C162" i="261"/>
  <c r="B162" i="261"/>
  <c r="U161" i="261"/>
  <c r="P161" i="261"/>
  <c r="I161" i="261"/>
  <c r="G161" i="261"/>
  <c r="F161" i="261"/>
  <c r="C161" i="261"/>
  <c r="B161" i="261"/>
  <c r="U160" i="261"/>
  <c r="P160" i="261"/>
  <c r="I160" i="261"/>
  <c r="G160" i="261"/>
  <c r="F160" i="261"/>
  <c r="C160" i="261"/>
  <c r="B160" i="261"/>
  <c r="U159" i="261"/>
  <c r="P159" i="261"/>
  <c r="I159" i="261"/>
  <c r="G159" i="261"/>
  <c r="F159" i="261"/>
  <c r="C159" i="261"/>
  <c r="B159" i="261"/>
  <c r="P158" i="261"/>
  <c r="U157" i="261"/>
  <c r="P157" i="261"/>
  <c r="I157" i="261"/>
  <c r="G157" i="261"/>
  <c r="F157" i="261"/>
  <c r="C157" i="261"/>
  <c r="B157" i="261"/>
  <c r="U152" i="261"/>
  <c r="P152" i="261"/>
  <c r="I152" i="261"/>
  <c r="G152" i="261"/>
  <c r="F152" i="261"/>
  <c r="C152" i="261"/>
  <c r="B152" i="261"/>
  <c r="U151" i="261"/>
  <c r="P151" i="261"/>
  <c r="I151" i="261"/>
  <c r="G151" i="261"/>
  <c r="F151" i="261"/>
  <c r="C151" i="261"/>
  <c r="B151" i="261"/>
  <c r="U150" i="261"/>
  <c r="P150" i="261"/>
  <c r="O150" i="261"/>
  <c r="I150" i="261"/>
  <c r="G150" i="261"/>
  <c r="F150" i="261"/>
  <c r="C150" i="261"/>
  <c r="B150" i="261"/>
  <c r="U149" i="261"/>
  <c r="P149" i="261"/>
  <c r="I149" i="261"/>
  <c r="G149" i="261"/>
  <c r="F149" i="261"/>
  <c r="C149" i="261"/>
  <c r="B149" i="261"/>
  <c r="P148" i="261"/>
  <c r="P146" i="261"/>
  <c r="U145" i="261"/>
  <c r="P145" i="261"/>
  <c r="I145" i="261"/>
  <c r="G145" i="261"/>
  <c r="F145" i="261"/>
  <c r="C145" i="261"/>
  <c r="B145" i="261"/>
  <c r="U144" i="261"/>
  <c r="P144" i="261"/>
  <c r="I144" i="261"/>
  <c r="G144" i="261"/>
  <c r="F144" i="261"/>
  <c r="C144" i="261"/>
  <c r="B144" i="261"/>
  <c r="U143" i="261"/>
  <c r="P143" i="261"/>
  <c r="I143" i="261"/>
  <c r="G143" i="261"/>
  <c r="F143" i="261"/>
  <c r="C143" i="261"/>
  <c r="B143" i="261"/>
  <c r="U141" i="261"/>
  <c r="P141" i="261"/>
  <c r="I141" i="261"/>
  <c r="G141" i="261"/>
  <c r="F141" i="261"/>
  <c r="C141" i="261"/>
  <c r="B141" i="261"/>
  <c r="U140" i="261"/>
  <c r="P140" i="261"/>
  <c r="I140" i="261"/>
  <c r="G140" i="261"/>
  <c r="F140" i="261"/>
  <c r="C140" i="261"/>
  <c r="B140" i="261"/>
  <c r="P139" i="261"/>
  <c r="P138" i="261"/>
  <c r="U136" i="261"/>
  <c r="P136" i="261"/>
  <c r="I136" i="261"/>
  <c r="G136" i="261"/>
  <c r="F136" i="261"/>
  <c r="C136" i="261"/>
  <c r="B136" i="261"/>
  <c r="U135" i="261"/>
  <c r="P135" i="261"/>
  <c r="I135" i="261"/>
  <c r="G135" i="261"/>
  <c r="F135" i="261"/>
  <c r="C135" i="261"/>
  <c r="B135" i="261"/>
  <c r="U134" i="261"/>
  <c r="P134" i="261"/>
  <c r="I134" i="261"/>
  <c r="G134" i="261"/>
  <c r="F134" i="261"/>
  <c r="C134" i="261"/>
  <c r="B134" i="261"/>
  <c r="P132" i="261"/>
  <c r="P129" i="261"/>
  <c r="E20" i="973" s="1"/>
  <c r="P127" i="261"/>
  <c r="E20" i="971" s="1"/>
  <c r="P124" i="261"/>
  <c r="E20" i="970" s="1"/>
  <c r="P123" i="261"/>
  <c r="E20" i="928" s="1"/>
  <c r="P122" i="261"/>
  <c r="E20" i="929" s="1"/>
  <c r="P121" i="261"/>
  <c r="E20" i="969" s="1"/>
  <c r="P119" i="261"/>
  <c r="E20" i="967" s="1"/>
  <c r="U117" i="261"/>
  <c r="G8" i="1103" s="1"/>
  <c r="P117" i="261"/>
  <c r="E20" i="1103" s="1"/>
  <c r="I117" i="261"/>
  <c r="G117" i="261"/>
  <c r="A12" i="1103" s="1"/>
  <c r="F117" i="261"/>
  <c r="C117" i="261"/>
  <c r="B8" i="1103" s="1"/>
  <c r="B117" i="261"/>
  <c r="B7" i="1103" s="1"/>
  <c r="P115" i="261"/>
  <c r="E20" i="964" s="1"/>
  <c r="P114" i="261"/>
  <c r="E20" i="963" s="1"/>
  <c r="P113" i="261"/>
  <c r="E20" i="962" s="1"/>
  <c r="U111" i="261"/>
  <c r="G8" i="1101" s="1"/>
  <c r="P111" i="261"/>
  <c r="E20" i="1101" s="1"/>
  <c r="I111" i="261"/>
  <c r="G111" i="261"/>
  <c r="A12" i="1101" s="1"/>
  <c r="F111" i="261"/>
  <c r="C111" i="261"/>
  <c r="B8" i="1101" s="1"/>
  <c r="B111" i="261"/>
  <c r="B7" i="1101" s="1"/>
  <c r="U109" i="261"/>
  <c r="G8" i="1102" s="1"/>
  <c r="P109" i="261"/>
  <c r="E20" i="1102" s="1"/>
  <c r="I109" i="261"/>
  <c r="G109" i="261"/>
  <c r="A12" i="1102" s="1"/>
  <c r="F109" i="261"/>
  <c r="C109" i="261"/>
  <c r="B8" i="1102" s="1"/>
  <c r="B109" i="261"/>
  <c r="B7" i="1102" s="1"/>
  <c r="P108" i="261"/>
  <c r="E20" i="930" s="1"/>
  <c r="P106" i="261"/>
  <c r="E20" i="932" s="1"/>
  <c r="P105" i="261"/>
  <c r="E20" i="959" s="1"/>
  <c r="P103" i="261"/>
  <c r="E20" i="852" s="1"/>
  <c r="U102" i="261"/>
  <c r="G8" i="851" s="1"/>
  <c r="P102" i="261"/>
  <c r="E20" i="851" s="1"/>
  <c r="I102" i="261"/>
  <c r="G102" i="261"/>
  <c r="F102" i="261"/>
  <c r="C102" i="261"/>
  <c r="B8" i="851" s="1"/>
  <c r="B102" i="261"/>
  <c r="B7" i="851" s="1"/>
  <c r="U101" i="261"/>
  <c r="G8" i="850" s="1"/>
  <c r="P101" i="261"/>
  <c r="E20" i="850" s="1"/>
  <c r="I101" i="261"/>
  <c r="G101" i="261"/>
  <c r="F101" i="261"/>
  <c r="C101" i="261"/>
  <c r="B8" i="850" s="1"/>
  <c r="B101" i="261"/>
  <c r="B7" i="850" s="1"/>
  <c r="U100" i="261"/>
  <c r="G8" i="849" s="1"/>
  <c r="P100" i="261"/>
  <c r="E20" i="849" s="1"/>
  <c r="I100" i="261"/>
  <c r="G100" i="261"/>
  <c r="F100" i="261"/>
  <c r="C100" i="261"/>
  <c r="B8" i="849" s="1"/>
  <c r="B100" i="261"/>
  <c r="B7" i="849" s="1"/>
  <c r="U96" i="261"/>
  <c r="P96" i="261"/>
  <c r="G96" i="261"/>
  <c r="F96" i="261"/>
  <c r="C96" i="261"/>
  <c r="B96" i="261"/>
  <c r="P94" i="261"/>
  <c r="E20" i="835" s="1"/>
  <c r="U93" i="261"/>
  <c r="G8" i="832" s="1"/>
  <c r="G93" i="261"/>
  <c r="F93" i="261"/>
  <c r="C93" i="261"/>
  <c r="B8" i="832" s="1"/>
  <c r="B93" i="261"/>
  <c r="B7" i="832" s="1"/>
  <c r="U92" i="261"/>
  <c r="G8" i="830" s="1"/>
  <c r="P92" i="261"/>
  <c r="E20" i="830" s="1"/>
  <c r="I92" i="261"/>
  <c r="G92" i="261"/>
  <c r="F92" i="261"/>
  <c r="C92" i="261"/>
  <c r="B8" i="830" s="1"/>
  <c r="B92" i="261"/>
  <c r="B7" i="830" s="1"/>
  <c r="U91" i="261"/>
  <c r="G8" i="825" s="1"/>
  <c r="P91" i="261"/>
  <c r="E20" i="825" s="1"/>
  <c r="G91" i="261"/>
  <c r="F91" i="261"/>
  <c r="C91" i="261"/>
  <c r="B8" i="825" s="1"/>
  <c r="B91" i="261"/>
  <c r="B7" i="825" s="1"/>
  <c r="U90" i="261"/>
  <c r="G8" i="856" s="1"/>
  <c r="P90" i="261"/>
  <c r="E20" i="856" s="1"/>
  <c r="I90" i="261"/>
  <c r="G90" i="261"/>
  <c r="F90" i="261"/>
  <c r="C90" i="261"/>
  <c r="B8" i="856" s="1"/>
  <c r="B90" i="261"/>
  <c r="B7" i="856" s="1"/>
  <c r="U88" i="261"/>
  <c r="G8" i="772" s="1"/>
  <c r="P88" i="261"/>
  <c r="E20" i="772" s="1"/>
  <c r="I88" i="261"/>
  <c r="G88" i="261"/>
  <c r="F88" i="261"/>
  <c r="C88" i="261"/>
  <c r="B8" i="772" s="1"/>
  <c r="B88" i="261"/>
  <c r="B7" i="772" s="1"/>
  <c r="U87" i="261"/>
  <c r="G8" i="771" s="1"/>
  <c r="P87" i="261"/>
  <c r="E20" i="771" s="1"/>
  <c r="I87" i="261"/>
  <c r="G87" i="261"/>
  <c r="F87" i="261"/>
  <c r="C87" i="261"/>
  <c r="B8" i="771" s="1"/>
  <c r="B87" i="261"/>
  <c r="B7" i="771" s="1"/>
  <c r="U86" i="261"/>
  <c r="G8" i="769" s="1"/>
  <c r="P86" i="261"/>
  <c r="E20" i="769" s="1"/>
  <c r="I86" i="261"/>
  <c r="G86" i="261"/>
  <c r="F86" i="261"/>
  <c r="C86" i="261"/>
  <c r="B8" i="769" s="1"/>
  <c r="B86" i="261"/>
  <c r="B7" i="769" s="1"/>
  <c r="P85" i="261"/>
  <c r="E20" i="767" s="1"/>
  <c r="U82" i="261"/>
  <c r="G8" i="764" s="1"/>
  <c r="P82" i="261"/>
  <c r="E20" i="764" s="1"/>
  <c r="I82" i="261"/>
  <c r="G82" i="261"/>
  <c r="F82" i="261"/>
  <c r="C82" i="261"/>
  <c r="B8" i="764" s="1"/>
  <c r="B82" i="261"/>
  <c r="B7" i="764" s="1"/>
  <c r="U81" i="261"/>
  <c r="G8" i="761" s="1"/>
  <c r="P81" i="261"/>
  <c r="E20" i="761" s="1"/>
  <c r="I81" i="261"/>
  <c r="G81" i="261"/>
  <c r="F81" i="261"/>
  <c r="C81" i="261"/>
  <c r="B8" i="761" s="1"/>
  <c r="B81" i="261"/>
  <c r="B7" i="761" s="1"/>
  <c r="U80" i="261"/>
  <c r="G8" i="759" s="1"/>
  <c r="P80" i="261"/>
  <c r="E20" i="759" s="1"/>
  <c r="I80" i="261"/>
  <c r="G80" i="261"/>
  <c r="F80" i="261"/>
  <c r="C80" i="261"/>
  <c r="B8" i="759" s="1"/>
  <c r="B80" i="261"/>
  <c r="B7" i="759" s="1"/>
  <c r="U79" i="261"/>
  <c r="G8" i="758" s="1"/>
  <c r="P79" i="261"/>
  <c r="E20" i="758" s="1"/>
  <c r="I79" i="261"/>
  <c r="G79" i="261"/>
  <c r="F79" i="261"/>
  <c r="C79" i="261"/>
  <c r="B8" i="758" s="1"/>
  <c r="B79" i="261"/>
  <c r="B7" i="758" s="1"/>
  <c r="P78" i="261"/>
  <c r="E20" i="757" s="1"/>
  <c r="U77" i="261"/>
  <c r="G8" i="756" s="1"/>
  <c r="P77" i="261"/>
  <c r="E20" i="756" s="1"/>
  <c r="I77" i="261"/>
  <c r="G77" i="261"/>
  <c r="F77" i="261"/>
  <c r="C77" i="261"/>
  <c r="B8" i="756" s="1"/>
  <c r="B77" i="261"/>
  <c r="B7" i="756" s="1"/>
  <c r="U76" i="261"/>
  <c r="G8" i="755" s="1"/>
  <c r="P76" i="261"/>
  <c r="E20" i="755" s="1"/>
  <c r="I76" i="261"/>
  <c r="G76" i="261"/>
  <c r="F76" i="261"/>
  <c r="C76" i="261"/>
  <c r="B8" i="755" s="1"/>
  <c r="B76" i="261"/>
  <c r="B7" i="755" s="1"/>
  <c r="P75" i="261"/>
  <c r="E20" i="754" s="1"/>
  <c r="U74" i="261"/>
  <c r="G8" i="753" s="1"/>
  <c r="P74" i="261"/>
  <c r="E20" i="753" s="1"/>
  <c r="I74" i="261"/>
  <c r="G74" i="261"/>
  <c r="F74" i="261"/>
  <c r="C74" i="261"/>
  <c r="B8" i="753" s="1"/>
  <c r="B74" i="261"/>
  <c r="B7" i="753" s="1"/>
  <c r="U73" i="261"/>
  <c r="G8" i="752" s="1"/>
  <c r="P73" i="261"/>
  <c r="E20" i="752" s="1"/>
  <c r="I73" i="261"/>
  <c r="G73" i="261"/>
  <c r="F73" i="261"/>
  <c r="C73" i="261"/>
  <c r="B8" i="752" s="1"/>
  <c r="B73" i="261"/>
  <c r="B7" i="752" s="1"/>
  <c r="U72" i="261"/>
  <c r="G8" i="751" s="1"/>
  <c r="P72" i="261"/>
  <c r="E20" i="751" s="1"/>
  <c r="I72" i="261"/>
  <c r="G72" i="261"/>
  <c r="F72" i="261"/>
  <c r="C72" i="261"/>
  <c r="B8" i="751" s="1"/>
  <c r="B72" i="261"/>
  <c r="B7" i="751" s="1"/>
  <c r="U71" i="261"/>
  <c r="G8" i="749" s="1"/>
  <c r="P71" i="261"/>
  <c r="E20" i="749" s="1"/>
  <c r="I71" i="261"/>
  <c r="G71" i="261"/>
  <c r="F71" i="261"/>
  <c r="C71" i="261"/>
  <c r="B8" i="749" s="1"/>
  <c r="B71" i="261"/>
  <c r="B7" i="749" s="1"/>
  <c r="U70" i="261"/>
  <c r="G8" i="747" s="1"/>
  <c r="P70" i="261"/>
  <c r="E20" i="747" s="1"/>
  <c r="I70" i="261"/>
  <c r="G70" i="261"/>
  <c r="F70" i="261"/>
  <c r="C70" i="261"/>
  <c r="B8" i="747" s="1"/>
  <c r="B70" i="261"/>
  <c r="B7" i="747" s="1"/>
  <c r="U69" i="261"/>
  <c r="G8" i="746" s="1"/>
  <c r="P69" i="261"/>
  <c r="E20" i="746" s="1"/>
  <c r="I69" i="261"/>
  <c r="G69" i="261"/>
  <c r="A12" i="746" s="1"/>
  <c r="F69" i="261"/>
  <c r="C69" i="261"/>
  <c r="B8" i="746" s="1"/>
  <c r="B69" i="261"/>
  <c r="B7" i="746" s="1"/>
  <c r="U68" i="261"/>
  <c r="P68" i="261"/>
  <c r="E20" i="740" s="1"/>
  <c r="I68" i="261"/>
  <c r="G68" i="261"/>
  <c r="F68" i="261"/>
  <c r="C68" i="261"/>
  <c r="B8" i="744" s="1"/>
  <c r="B68" i="261"/>
  <c r="U65" i="261"/>
  <c r="G8" i="736" s="1"/>
  <c r="P65" i="261"/>
  <c r="E20" i="736" s="1"/>
  <c r="G65" i="261"/>
  <c r="F65" i="261"/>
  <c r="C65" i="261"/>
  <c r="B8" i="736" s="1"/>
  <c r="B65" i="261"/>
  <c r="B7" i="736" s="1"/>
  <c r="P63" i="261"/>
  <c r="E20" i="734" s="1"/>
  <c r="P62" i="261"/>
  <c r="E20" i="733" s="1"/>
  <c r="P60" i="261"/>
  <c r="E20" i="731" s="1"/>
  <c r="U59" i="261"/>
  <c r="G8" i="729" s="1"/>
  <c r="P59" i="261"/>
  <c r="E20" i="729" s="1"/>
  <c r="I59" i="261"/>
  <c r="G59" i="261"/>
  <c r="F59" i="261"/>
  <c r="C59" i="261"/>
  <c r="B8" i="729" s="1"/>
  <c r="B59" i="261"/>
  <c r="B7" i="729" s="1"/>
  <c r="U55" i="261"/>
  <c r="G8" i="716" s="1"/>
  <c r="P55" i="261"/>
  <c r="E20" i="716" s="1"/>
  <c r="I55" i="261"/>
  <c r="G55" i="261"/>
  <c r="F55" i="261"/>
  <c r="C55" i="261"/>
  <c r="B8" i="716" s="1"/>
  <c r="B55" i="261"/>
  <c r="B7" i="716" s="1"/>
  <c r="U54" i="261"/>
  <c r="G8" i="714" s="1"/>
  <c r="P54" i="261"/>
  <c r="E20" i="714" s="1"/>
  <c r="I54" i="261"/>
  <c r="G54" i="261"/>
  <c r="F54" i="261"/>
  <c r="C54" i="261"/>
  <c r="B8" i="714" s="1"/>
  <c r="B54" i="261"/>
  <c r="B7" i="714" s="1"/>
  <c r="U52" i="261"/>
  <c r="G8" i="711" s="1"/>
  <c r="P52" i="261"/>
  <c r="E20" i="711" s="1"/>
  <c r="I52" i="261"/>
  <c r="G52" i="261"/>
  <c r="A12" i="711" s="1"/>
  <c r="F52" i="261"/>
  <c r="C52" i="261"/>
  <c r="B8" i="711" s="1"/>
  <c r="B52" i="261"/>
  <c r="B7" i="711" s="1"/>
  <c r="U51" i="261"/>
  <c r="G8" i="710" s="1"/>
  <c r="G51" i="261"/>
  <c r="B5" i="710" s="1"/>
  <c r="F51" i="261"/>
  <c r="C51" i="261"/>
  <c r="B8" i="710" s="1"/>
  <c r="B51" i="261"/>
  <c r="B7" i="710" s="1"/>
  <c r="U49" i="261"/>
  <c r="G8" i="698" s="1"/>
  <c r="G49" i="261"/>
  <c r="F49" i="261"/>
  <c r="C49" i="261"/>
  <c r="B8" i="698" s="1"/>
  <c r="B49" i="261"/>
  <c r="B7" i="698" s="1"/>
  <c r="U48" i="261"/>
  <c r="G8" i="695" s="1"/>
  <c r="P48" i="261"/>
  <c r="E20" i="695" s="1"/>
  <c r="I48" i="261"/>
  <c r="G48" i="261"/>
  <c r="B5" i="695" s="1"/>
  <c r="F48" i="261"/>
  <c r="C48" i="261"/>
  <c r="B8" i="695" s="1"/>
  <c r="B48" i="261"/>
  <c r="B7" i="695" s="1"/>
  <c r="U47" i="261"/>
  <c r="G8" i="694" s="1"/>
  <c r="P47" i="261"/>
  <c r="E20" i="694" s="1"/>
  <c r="I47" i="261"/>
  <c r="G47" i="261"/>
  <c r="F47" i="261"/>
  <c r="C47" i="261"/>
  <c r="B8" i="694" s="1"/>
  <c r="B47" i="261"/>
  <c r="B7" i="694" s="1"/>
  <c r="B50" i="261"/>
  <c r="B7" i="703" s="1"/>
  <c r="C50" i="261"/>
  <c r="B8" i="703" s="1"/>
  <c r="F50" i="261"/>
  <c r="G50" i="261"/>
  <c r="U50" i="261"/>
  <c r="G8" i="703" s="1"/>
  <c r="U46" i="261"/>
  <c r="G8" i="693" s="1"/>
  <c r="P46" i="261"/>
  <c r="E20" i="693" s="1"/>
  <c r="I46" i="261"/>
  <c r="G46" i="261"/>
  <c r="A12" i="693" s="1"/>
  <c r="F46" i="261"/>
  <c r="C46" i="261"/>
  <c r="B8" i="693" s="1"/>
  <c r="B46" i="261"/>
  <c r="B7" i="693" s="1"/>
  <c r="P45" i="261"/>
  <c r="E20" i="690" s="1"/>
  <c r="U44" i="261"/>
  <c r="G8" i="689" s="1"/>
  <c r="P44" i="261"/>
  <c r="E20" i="689" s="1"/>
  <c r="I44" i="261"/>
  <c r="G44" i="261"/>
  <c r="F44" i="261"/>
  <c r="C44" i="261"/>
  <c r="B8" i="689" s="1"/>
  <c r="B44" i="261"/>
  <c r="B7" i="689" s="1"/>
  <c r="U43" i="261"/>
  <c r="G8" i="687" s="1"/>
  <c r="G43" i="261"/>
  <c r="A12" i="687" s="1"/>
  <c r="F43" i="261"/>
  <c r="C43" i="261"/>
  <c r="B8" i="687" s="1"/>
  <c r="B43" i="261"/>
  <c r="B7" i="687" s="1"/>
  <c r="U42" i="261"/>
  <c r="G8" i="681" s="1"/>
  <c r="P42" i="261"/>
  <c r="E20" i="681" s="1"/>
  <c r="I42" i="261"/>
  <c r="G42" i="261"/>
  <c r="F42" i="261"/>
  <c r="C42" i="261"/>
  <c r="B8" i="681" s="1"/>
  <c r="B42" i="261"/>
  <c r="B7" i="681" s="1"/>
  <c r="U41" i="261"/>
  <c r="G8" i="675" s="1"/>
  <c r="P41" i="261"/>
  <c r="E20" i="675" s="1"/>
  <c r="I41" i="261"/>
  <c r="G41" i="261"/>
  <c r="B5" i="675" s="1"/>
  <c r="F41" i="261"/>
  <c r="C41" i="261"/>
  <c r="B8" i="675" s="1"/>
  <c r="B41" i="261"/>
  <c r="B7" i="675" s="1"/>
  <c r="P40" i="261"/>
  <c r="E20" i="674" s="1"/>
  <c r="U39" i="261"/>
  <c r="G8" i="859" s="1"/>
  <c r="P39" i="261"/>
  <c r="E20" i="859" s="1"/>
  <c r="I39" i="261"/>
  <c r="G39" i="261"/>
  <c r="F39" i="261"/>
  <c r="C39" i="261"/>
  <c r="B8" i="859" s="1"/>
  <c r="B39" i="261"/>
  <c r="B7" i="859" s="1"/>
  <c r="U38" i="261"/>
  <c r="G8" i="670" s="1"/>
  <c r="G38" i="261"/>
  <c r="F38" i="261"/>
  <c r="C38" i="261"/>
  <c r="B8" i="670" s="1"/>
  <c r="B38" i="261"/>
  <c r="B7" i="670" s="1"/>
  <c r="U37" i="261"/>
  <c r="G8" i="669" s="1"/>
  <c r="P37" i="261"/>
  <c r="E20" i="669" s="1"/>
  <c r="I37" i="261"/>
  <c r="G37" i="261"/>
  <c r="A12" i="669" s="1"/>
  <c r="F37" i="261"/>
  <c r="C37" i="261"/>
  <c r="B8" i="669" s="1"/>
  <c r="B37" i="261"/>
  <c r="B7" i="669" s="1"/>
  <c r="U36" i="261"/>
  <c r="G8" i="668" s="1"/>
  <c r="P36" i="261"/>
  <c r="E20" i="668" s="1"/>
  <c r="I36" i="261"/>
  <c r="G36" i="261"/>
  <c r="F36" i="261"/>
  <c r="C36" i="261"/>
  <c r="B8" i="668" s="1"/>
  <c r="B36" i="261"/>
  <c r="B7" i="668" s="1"/>
  <c r="U35" i="261"/>
  <c r="G8" i="667" s="1"/>
  <c r="P35" i="261"/>
  <c r="E20" i="667" s="1"/>
  <c r="I35" i="261"/>
  <c r="G35" i="261"/>
  <c r="F35" i="261"/>
  <c r="C35" i="261"/>
  <c r="B8" i="667" s="1"/>
  <c r="B35" i="261"/>
  <c r="B7" i="667" s="1"/>
  <c r="U34" i="261"/>
  <c r="G8" i="664" s="1"/>
  <c r="P34" i="261"/>
  <c r="E20" i="664" s="1"/>
  <c r="I34" i="261"/>
  <c r="G34" i="261"/>
  <c r="F34" i="261"/>
  <c r="C34" i="261"/>
  <c r="B8" i="664" s="1"/>
  <c r="B34" i="261"/>
  <c r="B7" i="664" s="1"/>
  <c r="U33" i="261"/>
  <c r="G8" i="663" s="1"/>
  <c r="P33" i="261"/>
  <c r="E20" i="663" s="1"/>
  <c r="I33" i="261"/>
  <c r="G33" i="261"/>
  <c r="B5" i="663" s="1"/>
  <c r="F33" i="261"/>
  <c r="C33" i="261"/>
  <c r="B8" i="663" s="1"/>
  <c r="B33" i="261"/>
  <c r="B7" i="663" s="1"/>
  <c r="U32" i="261"/>
  <c r="G8" i="662" s="1"/>
  <c r="P32" i="261"/>
  <c r="E20" i="662" s="1"/>
  <c r="I32" i="261"/>
  <c r="G32" i="261"/>
  <c r="F32" i="261"/>
  <c r="C32" i="261"/>
  <c r="B8" i="662" s="1"/>
  <c r="B32" i="261"/>
  <c r="B7" i="662" s="1"/>
  <c r="B40" i="261"/>
  <c r="B7" i="674" s="1"/>
  <c r="C40" i="261"/>
  <c r="B8" i="674" s="1"/>
  <c r="F40" i="261"/>
  <c r="G40" i="261"/>
  <c r="U40" i="261"/>
  <c r="G8" i="674" s="1"/>
  <c r="P31" i="261"/>
  <c r="E20" i="661" s="1"/>
  <c r="U30" i="261"/>
  <c r="G8" i="660" s="1"/>
  <c r="P30" i="261"/>
  <c r="E20" i="660" s="1"/>
  <c r="I30" i="261"/>
  <c r="G30" i="261"/>
  <c r="F30" i="261"/>
  <c r="C30" i="261"/>
  <c r="B8" i="660" s="1"/>
  <c r="B30" i="261"/>
  <c r="B7" i="660" s="1"/>
  <c r="U29" i="261"/>
  <c r="G8" i="659" s="1"/>
  <c r="G29" i="261"/>
  <c r="F29" i="261"/>
  <c r="C29" i="261"/>
  <c r="B8" i="659" s="1"/>
  <c r="B29" i="261"/>
  <c r="B7" i="659" s="1"/>
  <c r="U26" i="261"/>
  <c r="G8" i="653" s="1"/>
  <c r="P26" i="261"/>
  <c r="E20" i="653" s="1"/>
  <c r="I26" i="261"/>
  <c r="G26" i="261"/>
  <c r="B5" i="653" s="1"/>
  <c r="F26" i="261"/>
  <c r="C26" i="261"/>
  <c r="B8" i="653" s="1"/>
  <c r="U25" i="261"/>
  <c r="G8" i="652" s="1"/>
  <c r="P25" i="261"/>
  <c r="E20" i="652" s="1"/>
  <c r="I25" i="261"/>
  <c r="G25" i="261"/>
  <c r="B5" i="652" s="1"/>
  <c r="F25" i="261"/>
  <c r="C25" i="261"/>
  <c r="B8" i="652" s="1"/>
  <c r="P24" i="261"/>
  <c r="E20" i="651" s="1"/>
  <c r="C24" i="261"/>
  <c r="B8" i="651" s="1"/>
  <c r="F24" i="261"/>
  <c r="G24" i="261"/>
  <c r="I24" i="261"/>
  <c r="U24" i="261"/>
  <c r="G8" i="651" s="1"/>
  <c r="U17" i="261"/>
  <c r="G8" i="641" s="1"/>
  <c r="P17" i="261"/>
  <c r="E20" i="641" s="1"/>
  <c r="U19" i="261"/>
  <c r="G8" i="644" s="1"/>
  <c r="P19" i="261"/>
  <c r="E20" i="644" s="1"/>
  <c r="I19" i="261"/>
  <c r="G19" i="261"/>
  <c r="A12" i="644" s="1"/>
  <c r="F19" i="261"/>
  <c r="C19" i="261"/>
  <c r="B8" i="644" s="1"/>
  <c r="B19" i="261"/>
  <c r="B7" i="644" s="1"/>
  <c r="U18" i="261"/>
  <c r="G8" i="642" s="1"/>
  <c r="P18" i="261"/>
  <c r="E20" i="642" s="1"/>
  <c r="I18" i="261"/>
  <c r="G18" i="261"/>
  <c r="A12" i="642" s="1"/>
  <c r="F18" i="261"/>
  <c r="C18" i="261"/>
  <c r="B8" i="642" s="1"/>
  <c r="B18" i="261"/>
  <c r="B7" i="642" s="1"/>
  <c r="I17" i="261"/>
  <c r="G17" i="261"/>
  <c r="F17" i="261"/>
  <c r="C17" i="261"/>
  <c r="B8" i="641" s="1"/>
  <c r="B17" i="261"/>
  <c r="B7" i="641" s="1"/>
  <c r="U16" i="261"/>
  <c r="G8" i="639" s="1"/>
  <c r="P16" i="261"/>
  <c r="E20" i="639" s="1"/>
  <c r="I16" i="261"/>
  <c r="G16" i="261"/>
  <c r="B5" i="639" s="1"/>
  <c r="F16" i="261"/>
  <c r="C16" i="261"/>
  <c r="B8" i="639" s="1"/>
  <c r="B16" i="261"/>
  <c r="B7" i="639" s="1"/>
  <c r="U15" i="261"/>
  <c r="G8" i="638" s="1"/>
  <c r="P15" i="261"/>
  <c r="E20" i="638" s="1"/>
  <c r="I15" i="261"/>
  <c r="G15" i="261"/>
  <c r="A12" i="638" s="1"/>
  <c r="F15" i="261"/>
  <c r="C15" i="261"/>
  <c r="B8" i="638" s="1"/>
  <c r="B15" i="261"/>
  <c r="B7" i="638" s="1"/>
  <c r="U14" i="261"/>
  <c r="G8" i="637" s="1"/>
  <c r="P14" i="261"/>
  <c r="E20" i="637" s="1"/>
  <c r="I14" i="261"/>
  <c r="G14" i="261"/>
  <c r="A12" i="637" s="1"/>
  <c r="F14" i="261"/>
  <c r="C14" i="261"/>
  <c r="B8" i="637" s="1"/>
  <c r="B14" i="261"/>
  <c r="B7" i="637" s="1"/>
  <c r="U13" i="261"/>
  <c r="G8" i="636" s="1"/>
  <c r="P13" i="261"/>
  <c r="E20" i="636" s="1"/>
  <c r="I13" i="261"/>
  <c r="G13" i="261"/>
  <c r="A12" i="636" s="1"/>
  <c r="F13" i="261"/>
  <c r="C13" i="261"/>
  <c r="B13" i="261"/>
  <c r="B7" i="636" s="1"/>
  <c r="U12" i="261"/>
  <c r="G8" i="635" s="1"/>
  <c r="P12" i="261"/>
  <c r="E20" i="635" s="1"/>
  <c r="I12" i="261"/>
  <c r="G12" i="261"/>
  <c r="A12" i="635" s="1"/>
  <c r="F12" i="261"/>
  <c r="C12" i="261"/>
  <c r="B8" i="635" s="1"/>
  <c r="B12" i="261"/>
  <c r="B7" i="635" s="1"/>
  <c r="U11" i="261"/>
  <c r="G8" i="634" s="1"/>
  <c r="P11" i="261"/>
  <c r="E20" i="634" s="1"/>
  <c r="I11" i="261"/>
  <c r="G11" i="261"/>
  <c r="A12" i="634" s="1"/>
  <c r="F11" i="261"/>
  <c r="C11" i="261"/>
  <c r="B8" i="634" s="1"/>
  <c r="B11" i="261"/>
  <c r="B7" i="634" s="1"/>
  <c r="U9" i="261"/>
  <c r="G8" i="317" s="1"/>
  <c r="P9" i="261"/>
  <c r="L30" i="1091"/>
  <c r="J30" i="1091"/>
  <c r="L29" i="1091"/>
  <c r="J29" i="1091"/>
  <c r="L23" i="1091"/>
  <c r="J23" i="1091"/>
  <c r="M23" i="1091" s="1"/>
  <c r="L22" i="1091"/>
  <c r="J22" i="1091"/>
  <c r="M22" i="1091" s="1"/>
  <c r="L27" i="1091"/>
  <c r="J27" i="1091"/>
  <c r="M27" i="1091" s="1"/>
  <c r="L26" i="1091"/>
  <c r="J26" i="1091"/>
  <c r="M26" i="1091" s="1"/>
  <c r="L25" i="1091"/>
  <c r="J25" i="1091"/>
  <c r="L20" i="1091"/>
  <c r="J20" i="1091"/>
  <c r="L19" i="1091"/>
  <c r="J19" i="1091"/>
  <c r="M19" i="1091" s="1"/>
  <c r="L18" i="1091"/>
  <c r="J18" i="1091"/>
  <c r="M18" i="1091" s="1"/>
  <c r="L16" i="1091"/>
  <c r="J16" i="1091"/>
  <c r="M16" i="1091" s="1"/>
  <c r="L15" i="1091"/>
  <c r="J15" i="1091"/>
  <c r="M15" i="1091" s="1"/>
  <c r="L14" i="1091"/>
  <c r="J14" i="1091"/>
  <c r="G30" i="1091"/>
  <c r="G29" i="1091"/>
  <c r="G27" i="1091"/>
  <c r="G26" i="1091"/>
  <c r="G25" i="1091"/>
  <c r="G23" i="1091"/>
  <c r="G22" i="1091"/>
  <c r="G20" i="1091"/>
  <c r="G19" i="1091"/>
  <c r="G18" i="1091"/>
  <c r="G16" i="1091"/>
  <c r="G15" i="1091"/>
  <c r="G14" i="1091"/>
  <c r="E34" i="917" l="1"/>
  <c r="B5" i="1103"/>
  <c r="B5" i="1102"/>
  <c r="B5" i="1101"/>
  <c r="N16" i="1091"/>
  <c r="G21" i="1091"/>
  <c r="G31" i="1091"/>
  <c r="J28" i="1091"/>
  <c r="J31" i="1091" s="1"/>
  <c r="A12" i="752"/>
  <c r="B5" i="752"/>
  <c r="N23" i="1091"/>
  <c r="K16" i="1091"/>
  <c r="G24" i="1091"/>
  <c r="J17" i="1091"/>
  <c r="M29" i="1091"/>
  <c r="G28" i="1091"/>
  <c r="K30" i="1091"/>
  <c r="G17" i="1091"/>
  <c r="K17" i="1091" s="1"/>
  <c r="N27" i="1091"/>
  <c r="A12" i="753"/>
  <c r="B5" i="753"/>
  <c r="A12" i="755"/>
  <c r="B5" i="755"/>
  <c r="A12" i="769"/>
  <c r="B5" i="769"/>
  <c r="A12" i="756"/>
  <c r="B5" i="756"/>
  <c r="A12" i="758"/>
  <c r="B5" i="758"/>
  <c r="A12" i="761"/>
  <c r="B5" i="761"/>
  <c r="K20" i="1091"/>
  <c r="A12" i="759"/>
  <c r="B5" i="759"/>
  <c r="A12" i="747"/>
  <c r="B5" i="747"/>
  <c r="A12" i="749"/>
  <c r="B5" i="749"/>
  <c r="A12" i="751"/>
  <c r="B5" i="751"/>
  <c r="A12" i="825"/>
  <c r="B5" i="825"/>
  <c r="B8" i="842"/>
  <c r="B8" i="837"/>
  <c r="A12" i="830"/>
  <c r="B5" i="830"/>
  <c r="A12" i="849"/>
  <c r="B5" i="849"/>
  <c r="A12" i="832"/>
  <c r="B5" i="832"/>
  <c r="A12" i="842"/>
  <c r="B5" i="842"/>
  <c r="A12" i="837"/>
  <c r="B5" i="837"/>
  <c r="E20" i="842"/>
  <c r="E20" i="837"/>
  <c r="A12" i="850"/>
  <c r="B5" i="850"/>
  <c r="A12" i="851"/>
  <c r="B5" i="851"/>
  <c r="A12" i="771"/>
  <c r="B5" i="771"/>
  <c r="B5" i="764"/>
  <c r="A12" i="764"/>
  <c r="A12" i="772"/>
  <c r="B5" i="772"/>
  <c r="B5" i="856"/>
  <c r="A12" i="856"/>
  <c r="B7" i="837"/>
  <c r="B7" i="842"/>
  <c r="G8" i="842"/>
  <c r="G8" i="837"/>
  <c r="B5" i="644"/>
  <c r="B5" i="693"/>
  <c r="B5" i="669"/>
  <c r="B8" i="740"/>
  <c r="A12" i="653"/>
  <c r="B5" i="711"/>
  <c r="A12" i="694"/>
  <c r="B5" i="694"/>
  <c r="E20" i="317"/>
  <c r="B5" i="638"/>
  <c r="B5" i="642"/>
  <c r="A12" i="695"/>
  <c r="E20" i="744"/>
  <c r="A12" i="660"/>
  <c r="B5" i="660"/>
  <c r="A12" i="670"/>
  <c r="B5" i="670"/>
  <c r="A12" i="703"/>
  <c r="B5" i="703"/>
  <c r="A12" i="663"/>
  <c r="B5" i="687"/>
  <c r="A12" i="651"/>
  <c r="B5" i="651"/>
  <c r="B5" i="859"/>
  <c r="A12" i="859"/>
  <c r="A12" i="698"/>
  <c r="B5" i="698"/>
  <c r="A12" i="714"/>
  <c r="B5" i="714"/>
  <c r="B5" i="636"/>
  <c r="A12" i="639"/>
  <c r="A12" i="710"/>
  <c r="B5" i="746"/>
  <c r="A12" i="641"/>
  <c r="B5" i="641"/>
  <c r="A12" i="662"/>
  <c r="B5" i="662"/>
  <c r="A12" i="681"/>
  <c r="B5" i="681"/>
  <c r="A12" i="716"/>
  <c r="B5" i="716"/>
  <c r="A12" i="729"/>
  <c r="B5" i="729"/>
  <c r="B7" i="744"/>
  <c r="B7" i="740"/>
  <c r="G8" i="744"/>
  <c r="G8" i="740"/>
  <c r="A12" i="652"/>
  <c r="A12" i="675"/>
  <c r="A12" i="674"/>
  <c r="B5" i="674"/>
  <c r="A12" i="659"/>
  <c r="B5" i="659"/>
  <c r="A12" i="664"/>
  <c r="B5" i="664"/>
  <c r="A12" i="689"/>
  <c r="B5" i="689"/>
  <c r="B5" i="634"/>
  <c r="B8" i="636"/>
  <c r="A12" i="668"/>
  <c r="B5" i="668"/>
  <c r="A12" i="736"/>
  <c r="B5" i="736"/>
  <c r="A12" i="667"/>
  <c r="B5" i="667"/>
  <c r="A12" i="744"/>
  <c r="B5" i="744"/>
  <c r="A12" i="740"/>
  <c r="B5" i="740"/>
  <c r="B5" i="635"/>
  <c r="B5" i="637"/>
  <c r="M30" i="1091"/>
  <c r="N30" i="1091" s="1"/>
  <c r="K23" i="1091"/>
  <c r="M28" i="1091"/>
  <c r="N28" i="1091" s="1"/>
  <c r="K27" i="1091"/>
  <c r="M25" i="1091"/>
  <c r="M20" i="1091"/>
  <c r="N20" i="1091" s="1"/>
  <c r="J21" i="1091"/>
  <c r="J24" i="1091" s="1"/>
  <c r="M17" i="1091"/>
  <c r="N17" i="1091" s="1"/>
  <c r="M14" i="1091"/>
  <c r="K28" i="1091" l="1"/>
  <c r="K31" i="1091"/>
  <c r="M31" i="1091"/>
  <c r="N31" i="1091" s="1"/>
  <c r="G32" i="1091"/>
  <c r="G34" i="1091" s="1"/>
  <c r="G35" i="1091" s="1"/>
  <c r="J32" i="1091"/>
  <c r="M24" i="1091"/>
  <c r="N24" i="1091" s="1"/>
  <c r="K24" i="1091"/>
  <c r="M21" i="1091"/>
  <c r="N21" i="1091" s="1"/>
  <c r="K21" i="1091"/>
  <c r="H211" i="261" l="1"/>
  <c r="M32" i="1091"/>
  <c r="M34" i="1091" s="1"/>
  <c r="M35" i="1091" s="1"/>
  <c r="M36" i="1091" s="1"/>
  <c r="N36" i="1091" s="1"/>
  <c r="J34" i="1091"/>
  <c r="N211" i="261"/>
  <c r="G36" i="1091"/>
  <c r="J211" i="261"/>
  <c r="L15" i="1094"/>
  <c r="J15" i="1094"/>
  <c r="M15" i="1094" s="1"/>
  <c r="L14" i="1094"/>
  <c r="J14" i="1094"/>
  <c r="G15" i="1094"/>
  <c r="G14" i="1094"/>
  <c r="G16" i="1094" l="1"/>
  <c r="G17" i="1094" s="1"/>
  <c r="M37" i="1091"/>
  <c r="M38" i="1091" s="1"/>
  <c r="K211" i="261"/>
  <c r="G37" i="1091"/>
  <c r="N15" i="1094"/>
  <c r="J35" i="1091"/>
  <c r="Q211" i="261" s="1"/>
  <c r="J16" i="1094"/>
  <c r="J17" i="1094" s="1"/>
  <c r="M14" i="1094"/>
  <c r="K15" i="1094"/>
  <c r="G38" i="1091" l="1"/>
  <c r="M211" i="261" s="1"/>
  <c r="L211" i="261"/>
  <c r="M16" i="1094"/>
  <c r="N16" i="1094" s="1"/>
  <c r="K16" i="1094"/>
  <c r="J19" i="1094"/>
  <c r="J20" i="1094" s="1"/>
  <c r="N210" i="261"/>
  <c r="G19" i="1094"/>
  <c r="G20" i="1094" s="1"/>
  <c r="H210" i="261"/>
  <c r="J36" i="1091"/>
  <c r="G21" i="1094" l="1"/>
  <c r="J210" i="261"/>
  <c r="J21" i="1094"/>
  <c r="Q210" i="261"/>
  <c r="M17" i="1094"/>
  <c r="M19" i="1094" s="1"/>
  <c r="M20" i="1094" s="1"/>
  <c r="M21" i="1094" s="1"/>
  <c r="N21" i="1094" s="1"/>
  <c r="R211" i="261"/>
  <c r="K36" i="1091"/>
  <c r="J41" i="1091"/>
  <c r="J37" i="1091"/>
  <c r="S211" i="261" s="1"/>
  <c r="J38" i="1091" l="1"/>
  <c r="T211" i="261" s="1"/>
  <c r="R210" i="261"/>
  <c r="K21" i="1094"/>
  <c r="J22" i="1094"/>
  <c r="J26" i="1094"/>
  <c r="J27" i="1094" s="1"/>
  <c r="K41" i="1091"/>
  <c r="K42" i="1091" s="1"/>
  <c r="O211" i="261"/>
  <c r="M22" i="1094"/>
  <c r="M23" i="1094" s="1"/>
  <c r="J42" i="1091"/>
  <c r="K210" i="261"/>
  <c r="G22" i="1094"/>
  <c r="L21" i="1096"/>
  <c r="J21" i="1096"/>
  <c r="M21" i="1096" s="1"/>
  <c r="L20" i="1096"/>
  <c r="J20" i="1096"/>
  <c r="L18" i="1096"/>
  <c r="J18" i="1096"/>
  <c r="L17" i="1096"/>
  <c r="J17" i="1096"/>
  <c r="M17" i="1096" s="1"/>
  <c r="L15" i="1096"/>
  <c r="J15" i="1096"/>
  <c r="M15" i="1096" s="1"/>
  <c r="L14" i="1096"/>
  <c r="J14" i="1096"/>
  <c r="M14" i="1096" s="1"/>
  <c r="G21" i="1096"/>
  <c r="G20" i="1096"/>
  <c r="G18" i="1096"/>
  <c r="G17" i="1096"/>
  <c r="G15" i="1096"/>
  <c r="G14" i="1096"/>
  <c r="G16" i="1096" l="1"/>
  <c r="N15" i="1096"/>
  <c r="J19" i="1096"/>
  <c r="N17" i="1096"/>
  <c r="G23" i="1094"/>
  <c r="M210" i="261" s="1"/>
  <c r="L210" i="261"/>
  <c r="G22" i="1096"/>
  <c r="J23" i="1094"/>
  <c r="T210" i="261" s="1"/>
  <c r="S210" i="261"/>
  <c r="K26" i="1094"/>
  <c r="K27" i="1094" s="1"/>
  <c r="O210" i="261"/>
  <c r="G19" i="1096"/>
  <c r="K17" i="1096"/>
  <c r="J22" i="1096"/>
  <c r="K20" i="1096"/>
  <c r="M20" i="1096"/>
  <c r="M18" i="1096"/>
  <c r="K15" i="1096"/>
  <c r="J16" i="1096"/>
  <c r="G23" i="1096" l="1"/>
  <c r="G25" i="1096" s="1"/>
  <c r="G26" i="1096" s="1"/>
  <c r="J23" i="1096"/>
  <c r="K22" i="1096"/>
  <c r="M22" i="1096"/>
  <c r="N22" i="1096" s="1"/>
  <c r="N20" i="1096"/>
  <c r="M19" i="1096"/>
  <c r="N19" i="1096" s="1"/>
  <c r="K19" i="1096"/>
  <c r="M16" i="1096"/>
  <c r="N16" i="1096" s="1"/>
  <c r="K16" i="1096"/>
  <c r="H209" i="261" l="1"/>
  <c r="J25" i="1096"/>
  <c r="J26" i="1096" s="1"/>
  <c r="N209" i="261"/>
  <c r="G27" i="1096"/>
  <c r="J209" i="261"/>
  <c r="M23" i="1096"/>
  <c r="M25" i="1096" s="1"/>
  <c r="M26" i="1096" s="1"/>
  <c r="M27" i="1096" s="1"/>
  <c r="M28" i="1096" s="1"/>
  <c r="M29" i="1096" s="1"/>
  <c r="J27" i="1096" l="1"/>
  <c r="Q209" i="261"/>
  <c r="K209" i="261"/>
  <c r="G28" i="1096"/>
  <c r="N27" i="1096"/>
  <c r="K27" i="1096" l="1"/>
  <c r="R209" i="261"/>
  <c r="J28" i="1096"/>
  <c r="J32" i="1096"/>
  <c r="J33" i="1096" s="1"/>
  <c r="G29" i="1096"/>
  <c r="M209" i="261" s="1"/>
  <c r="L209" i="261"/>
  <c r="L18" i="1098"/>
  <c r="J18" i="1098"/>
  <c r="M18" i="1098" s="1"/>
  <c r="L17" i="1098"/>
  <c r="J17" i="1098"/>
  <c r="L15" i="1098"/>
  <c r="J15" i="1098"/>
  <c r="L14" i="1098"/>
  <c r="J14" i="1098"/>
  <c r="G18" i="1098"/>
  <c r="G17" i="1098"/>
  <c r="G15" i="1098"/>
  <c r="G14" i="1098"/>
  <c r="G16" i="1098" l="1"/>
  <c r="K15" i="1098"/>
  <c r="J29" i="1096"/>
  <c r="T209" i="261" s="1"/>
  <c r="S209" i="261"/>
  <c r="N18" i="1098"/>
  <c r="J19" i="1098"/>
  <c r="M19" i="1098" s="1"/>
  <c r="G19" i="1098"/>
  <c r="O209" i="261"/>
  <c r="K32" i="1096"/>
  <c r="K33" i="1096" s="1"/>
  <c r="M17" i="1098"/>
  <c r="J16" i="1098"/>
  <c r="K18" i="1098"/>
  <c r="M14" i="1098"/>
  <c r="M15" i="1098"/>
  <c r="G20" i="1098" l="1"/>
  <c r="H208" i="261" s="1"/>
  <c r="J20" i="1098"/>
  <c r="J22" i="1098" s="1"/>
  <c r="J23" i="1098" s="1"/>
  <c r="N19" i="1098"/>
  <c r="K19" i="1098"/>
  <c r="N15" i="1098"/>
  <c r="M16" i="1098"/>
  <c r="N16" i="1098" s="1"/>
  <c r="K16" i="1098"/>
  <c r="G22" i="1098" l="1"/>
  <c r="G23" i="1098" s="1"/>
  <c r="J208" i="261" s="1"/>
  <c r="N208" i="261"/>
  <c r="J24" i="1098"/>
  <c r="Q208" i="261"/>
  <c r="M20" i="1098"/>
  <c r="M22" i="1098" s="1"/>
  <c r="M23" i="1098" s="1"/>
  <c r="M24" i="1098" s="1"/>
  <c r="G24" i="1098" l="1"/>
  <c r="G25" i="1098" s="1"/>
  <c r="K208" i="261"/>
  <c r="K24" i="1098"/>
  <c r="R208" i="261"/>
  <c r="J29" i="1098"/>
  <c r="J30" i="1098" s="1"/>
  <c r="J25" i="1098"/>
  <c r="M25" i="1098"/>
  <c r="M26" i="1098" s="1"/>
  <c r="N24" i="1098"/>
  <c r="J26" i="1098" l="1"/>
  <c r="T208" i="261" s="1"/>
  <c r="S208" i="261"/>
  <c r="G26" i="1098"/>
  <c r="M208" i="261" s="1"/>
  <c r="L208" i="261"/>
  <c r="O208" i="261"/>
  <c r="K29" i="1098"/>
  <c r="K30" i="1098" s="1"/>
  <c r="L14" i="1100"/>
  <c r="J14" i="1100"/>
  <c r="G14" i="1100"/>
  <c r="G15" i="1100" s="1"/>
  <c r="G16" i="1100" l="1"/>
  <c r="M14" i="1100"/>
  <c r="J15" i="1100"/>
  <c r="K14" i="1100"/>
  <c r="G18" i="1100" l="1"/>
  <c r="G19" i="1100" s="1"/>
  <c r="H207" i="261"/>
  <c r="M15" i="1100"/>
  <c r="N15" i="1100" s="1"/>
  <c r="K15" i="1100"/>
  <c r="N14" i="1100"/>
  <c r="J16" i="1100"/>
  <c r="M16" i="1100" l="1"/>
  <c r="M18" i="1100" s="1"/>
  <c r="M19" i="1100" s="1"/>
  <c r="M20" i="1100" s="1"/>
  <c r="N20" i="1100" s="1"/>
  <c r="G20" i="1100"/>
  <c r="J207" i="261"/>
  <c r="J18" i="1100"/>
  <c r="J19" i="1100" s="1"/>
  <c r="N207" i="261"/>
  <c r="K207" i="261" l="1"/>
  <c r="G21" i="1100"/>
  <c r="J20" i="1100"/>
  <c r="J25" i="1100" s="1"/>
  <c r="J26" i="1100" s="1"/>
  <c r="Q207" i="261"/>
  <c r="M21" i="1100"/>
  <c r="M22" i="1100" s="1"/>
  <c r="J14" i="1058"/>
  <c r="M14" i="1058" s="1"/>
  <c r="M17" i="1058" s="1"/>
  <c r="L14" i="1058"/>
  <c r="E14" i="1058"/>
  <c r="G14" i="1058" s="1"/>
  <c r="G15" i="1058" s="1"/>
  <c r="G17" i="1058" s="1"/>
  <c r="I206" i="261" s="1"/>
  <c r="J21" i="1100" l="1"/>
  <c r="S207" i="261" s="1"/>
  <c r="G16" i="1058"/>
  <c r="H206" i="261" s="1"/>
  <c r="K14" i="1058"/>
  <c r="J17" i="1058"/>
  <c r="P206" i="261" s="1"/>
  <c r="G22" i="1100"/>
  <c r="M207" i="261" s="1"/>
  <c r="L207" i="261"/>
  <c r="N14" i="1058"/>
  <c r="R207" i="261"/>
  <c r="K20" i="1100"/>
  <c r="J15" i="1058"/>
  <c r="J16" i="1058" s="1"/>
  <c r="N206" i="261" s="1"/>
  <c r="J22" i="1100" l="1"/>
  <c r="T207" i="261" s="1"/>
  <c r="G18" i="1058"/>
  <c r="G19" i="1058" s="1"/>
  <c r="G20" i="1058" s="1"/>
  <c r="O207" i="261"/>
  <c r="K25" i="1100"/>
  <c r="K26" i="1100" s="1"/>
  <c r="M15" i="1058"/>
  <c r="M16" i="1058" s="1"/>
  <c r="K15" i="1058"/>
  <c r="K206" i="261" l="1"/>
  <c r="G21" i="1058"/>
  <c r="J206" i="261"/>
  <c r="G22" i="1058"/>
  <c r="M206" i="261" s="1"/>
  <c r="L206" i="261"/>
  <c r="J18" i="1058"/>
  <c r="N15" i="1058"/>
  <c r="M18" i="1058" l="1"/>
  <c r="M19" i="1058" s="1"/>
  <c r="M20" i="1058" s="1"/>
  <c r="N20" i="1058" s="1"/>
  <c r="J19" i="1058"/>
  <c r="J20" i="1058" l="1"/>
  <c r="J21" i="1058" s="1"/>
  <c r="Q206" i="261"/>
  <c r="M21" i="1058"/>
  <c r="M22" i="1058" s="1"/>
  <c r="L14" i="1059"/>
  <c r="J14" i="1059"/>
  <c r="G14" i="1059"/>
  <c r="G15" i="1059" s="1"/>
  <c r="J25" i="1058" l="1"/>
  <c r="J26" i="1058" s="1"/>
  <c r="J22" i="1058"/>
  <c r="T206" i="261" s="1"/>
  <c r="S206" i="261"/>
  <c r="G16" i="1059"/>
  <c r="R206" i="261"/>
  <c r="K20" i="1058"/>
  <c r="J15" i="1059"/>
  <c r="M14" i="1059"/>
  <c r="K14" i="1059"/>
  <c r="O206" i="261" l="1"/>
  <c r="K25" i="1058"/>
  <c r="K26" i="1058" s="1"/>
  <c r="G18" i="1059"/>
  <c r="G19" i="1059" s="1"/>
  <c r="H205" i="261"/>
  <c r="M15" i="1059"/>
  <c r="N15" i="1059" s="1"/>
  <c r="K15" i="1059"/>
  <c r="M16" i="1059"/>
  <c r="M18" i="1059" s="1"/>
  <c r="N14" i="1059"/>
  <c r="J16" i="1059"/>
  <c r="G20" i="1059" l="1"/>
  <c r="J205" i="261"/>
  <c r="J18" i="1059"/>
  <c r="J19" i="1059" s="1"/>
  <c r="N205" i="261"/>
  <c r="M19" i="1059"/>
  <c r="M20" i="1059" s="1"/>
  <c r="J20" i="1059" l="1"/>
  <c r="R205" i="261" s="1"/>
  <c r="Q205" i="261"/>
  <c r="K205" i="261"/>
  <c r="G21" i="1059"/>
  <c r="L205" i="261" s="1"/>
  <c r="N20" i="1059"/>
  <c r="M21" i="1059"/>
  <c r="M22" i="1059" s="1"/>
  <c r="J21" i="1059" l="1"/>
  <c r="J25" i="1059"/>
  <c r="J26" i="1059" s="1"/>
  <c r="K20" i="1059"/>
  <c r="G22" i="1059"/>
  <c r="M205" i="261" s="1"/>
  <c r="L16" i="1062"/>
  <c r="J16" i="1062"/>
  <c r="M16" i="1062" s="1"/>
  <c r="L15" i="1062"/>
  <c r="J15" i="1062"/>
  <c r="M15" i="1062" s="1"/>
  <c r="L14" i="1062"/>
  <c r="J14" i="1062"/>
  <c r="M14" i="1062" s="1"/>
  <c r="G16" i="1062"/>
  <c r="G15" i="1062"/>
  <c r="G14" i="1062"/>
  <c r="K14" i="1062" s="1"/>
  <c r="N15" i="1062" l="1"/>
  <c r="N14" i="1062"/>
  <c r="K15" i="1062"/>
  <c r="G17" i="1062"/>
  <c r="G19" i="1062" s="1"/>
  <c r="K25" i="1059"/>
  <c r="K26" i="1059" s="1"/>
  <c r="O205" i="261"/>
  <c r="N16" i="1062"/>
  <c r="I204" i="261"/>
  <c r="J22" i="1059"/>
  <c r="T205" i="261" s="1"/>
  <c r="S205" i="261"/>
  <c r="K16" i="1062"/>
  <c r="J17" i="1062"/>
  <c r="J19" i="1062" s="1"/>
  <c r="P204" i="261" s="1"/>
  <c r="G18" i="1062" l="1"/>
  <c r="H204" i="261" s="1"/>
  <c r="J18" i="1062"/>
  <c r="N204" i="261" s="1"/>
  <c r="M17" i="1062"/>
  <c r="M19" i="1062" s="1"/>
  <c r="K17" i="1062"/>
  <c r="G20" i="1062" l="1"/>
  <c r="G21" i="1062" s="1"/>
  <c r="J204" i="261" s="1"/>
  <c r="J20" i="1062"/>
  <c r="J21" i="1062" s="1"/>
  <c r="N17" i="1062"/>
  <c r="M18" i="1062"/>
  <c r="M20" i="1062" s="1"/>
  <c r="G22" i="1062" l="1"/>
  <c r="G23" i="1062" s="1"/>
  <c r="J22" i="1062"/>
  <c r="R204" i="261" s="1"/>
  <c r="Q204" i="261"/>
  <c r="M21" i="1062"/>
  <c r="M22" i="1062" s="1"/>
  <c r="L14" i="1064"/>
  <c r="J14" i="1064"/>
  <c r="J15" i="1064" s="1"/>
  <c r="G14" i="1064"/>
  <c r="G15" i="1064" s="1"/>
  <c r="J23" i="1062" l="1"/>
  <c r="J24" i="1062" s="1"/>
  <c r="T204" i="261" s="1"/>
  <c r="J27" i="1062"/>
  <c r="J28" i="1062" s="1"/>
  <c r="K22" i="1062"/>
  <c r="K204" i="261"/>
  <c r="M14" i="1064"/>
  <c r="K27" i="1062"/>
  <c r="K28" i="1062" s="1"/>
  <c r="O204" i="261"/>
  <c r="J16" i="1064"/>
  <c r="N203" i="261" s="1"/>
  <c r="G24" i="1062"/>
  <c r="M204" i="261" s="1"/>
  <c r="L204" i="261"/>
  <c r="K14" i="1064"/>
  <c r="G16" i="1064"/>
  <c r="M23" i="1062"/>
  <c r="M24" i="1062" s="1"/>
  <c r="N22" i="1062"/>
  <c r="M15" i="1064"/>
  <c r="K15" i="1064"/>
  <c r="S204" i="261" l="1"/>
  <c r="J18" i="1064"/>
  <c r="J19" i="1064" s="1"/>
  <c r="Q203" i="261" s="1"/>
  <c r="M16" i="1064"/>
  <c r="M18" i="1064" s="1"/>
  <c r="N14" i="1064"/>
  <c r="G18" i="1064"/>
  <c r="G19" i="1064" s="1"/>
  <c r="H203" i="261"/>
  <c r="N15" i="1064"/>
  <c r="J20" i="1064" l="1"/>
  <c r="J21" i="1064"/>
  <c r="S203" i="261" s="1"/>
  <c r="G20" i="1064"/>
  <c r="J203" i="261"/>
  <c r="M19" i="1064"/>
  <c r="M20" i="1064" s="1"/>
  <c r="J25" i="1064" l="1"/>
  <c r="J26" i="1064" s="1"/>
  <c r="K20" i="1064"/>
  <c r="J22" i="1064"/>
  <c r="T203" i="261" s="1"/>
  <c r="R203" i="261"/>
  <c r="K203" i="261"/>
  <c r="G21" i="1064"/>
  <c r="N20" i="1064"/>
  <c r="M21" i="1064"/>
  <c r="M22" i="1064" s="1"/>
  <c r="L16" i="1067"/>
  <c r="J16" i="1067"/>
  <c r="M16" i="1067" s="1"/>
  <c r="L15" i="1067"/>
  <c r="J15" i="1067"/>
  <c r="L14" i="1067"/>
  <c r="J14" i="1067"/>
  <c r="G16" i="1067"/>
  <c r="G15" i="1067"/>
  <c r="G14" i="1067"/>
  <c r="K25" i="1064" l="1"/>
  <c r="K26" i="1064" s="1"/>
  <c r="O203" i="261"/>
  <c r="K16" i="1067"/>
  <c r="N16" i="1067"/>
  <c r="G22" i="1064"/>
  <c r="M203" i="261" s="1"/>
  <c r="L203" i="261"/>
  <c r="K15" i="1067"/>
  <c r="G17" i="1067"/>
  <c r="G18" i="1067" s="1"/>
  <c r="M14" i="1067"/>
  <c r="J17" i="1067"/>
  <c r="M15" i="1067"/>
  <c r="N15" i="1067" s="1"/>
  <c r="G20" i="1067" l="1"/>
  <c r="G21" i="1067" s="1"/>
  <c r="H202" i="261"/>
  <c r="K17" i="1067"/>
  <c r="M17" i="1067"/>
  <c r="N17" i="1067" s="1"/>
  <c r="J18" i="1067"/>
  <c r="M18" i="1067" l="1"/>
  <c r="M20" i="1067" s="1"/>
  <c r="J20" i="1067"/>
  <c r="J21" i="1067" s="1"/>
  <c r="Q202" i="261" s="1"/>
  <c r="N202" i="261"/>
  <c r="G22" i="1067"/>
  <c r="J202" i="261"/>
  <c r="M21" i="1067"/>
  <c r="M22" i="1067" s="1"/>
  <c r="J22" i="1067" l="1"/>
  <c r="R202" i="261" s="1"/>
  <c r="K202" i="261"/>
  <c r="G23" i="1067"/>
  <c r="M23" i="1067"/>
  <c r="M24" i="1067" s="1"/>
  <c r="N22" i="1067"/>
  <c r="J23" i="1067" l="1"/>
  <c r="J24" i="1067" s="1"/>
  <c r="T202" i="261" s="1"/>
  <c r="J27" i="1067"/>
  <c r="J28" i="1067" s="1"/>
  <c r="K22" i="1067"/>
  <c r="K27" i="1067"/>
  <c r="K28" i="1067" s="1"/>
  <c r="O202" i="261"/>
  <c r="G24" i="1067"/>
  <c r="M202" i="261" s="1"/>
  <c r="L202" i="261"/>
  <c r="L16" i="1069"/>
  <c r="J16" i="1069"/>
  <c r="M16" i="1069" s="1"/>
  <c r="L15" i="1069"/>
  <c r="J15" i="1069"/>
  <c r="M15" i="1069" s="1"/>
  <c r="L14" i="1069"/>
  <c r="J14" i="1069"/>
  <c r="G16" i="1069"/>
  <c r="G15" i="1069"/>
  <c r="G14" i="1069"/>
  <c r="S202" i="261" l="1"/>
  <c r="J17" i="1069"/>
  <c r="N15" i="1069"/>
  <c r="G17" i="1069"/>
  <c r="G18" i="1069" s="1"/>
  <c r="M17" i="1069"/>
  <c r="N17" i="1069" s="1"/>
  <c r="K17" i="1069"/>
  <c r="J18" i="1069"/>
  <c r="M14" i="1069"/>
  <c r="M18" i="1069" s="1"/>
  <c r="M20" i="1069" s="1"/>
  <c r="K15" i="1069"/>
  <c r="G20" i="1069" l="1"/>
  <c r="G21" i="1069" s="1"/>
  <c r="H201" i="261"/>
  <c r="J20" i="1069"/>
  <c r="N201" i="261"/>
  <c r="M21" i="1069"/>
  <c r="M22" i="1069" s="1"/>
  <c r="J21" i="1069"/>
  <c r="J22" i="1069" l="1"/>
  <c r="R201" i="261" s="1"/>
  <c r="Q201" i="261"/>
  <c r="G22" i="1069"/>
  <c r="J201" i="261"/>
  <c r="N22" i="1069"/>
  <c r="M23" i="1069"/>
  <c r="M24" i="1069" s="1"/>
  <c r="J23" i="1069" l="1"/>
  <c r="S201" i="261" s="1"/>
  <c r="J27" i="1069"/>
  <c r="J28" i="1069" s="1"/>
  <c r="K22" i="1069"/>
  <c r="K27" i="1069" s="1"/>
  <c r="K28" i="1069" s="1"/>
  <c r="K201" i="261"/>
  <c r="G23" i="1069"/>
  <c r="L16" i="1071"/>
  <c r="J16" i="1071"/>
  <c r="M16" i="1071" s="1"/>
  <c r="L15" i="1071"/>
  <c r="J15" i="1071"/>
  <c r="M15" i="1071" s="1"/>
  <c r="L14" i="1071"/>
  <c r="J14" i="1071"/>
  <c r="M14" i="1071" s="1"/>
  <c r="G16" i="1071"/>
  <c r="G15" i="1071"/>
  <c r="G14" i="1071"/>
  <c r="J24" i="1069" l="1"/>
  <c r="T201" i="261" s="1"/>
  <c r="N15" i="1071"/>
  <c r="G17" i="1071"/>
  <c r="G18" i="1071" s="1"/>
  <c r="G24" i="1069"/>
  <c r="M201" i="261" s="1"/>
  <c r="L201" i="261"/>
  <c r="J17" i="1071"/>
  <c r="K15" i="1071"/>
  <c r="G20" i="1071" l="1"/>
  <c r="G21" i="1071" s="1"/>
  <c r="H200" i="261"/>
  <c r="K17" i="1071"/>
  <c r="M17" i="1071"/>
  <c r="J18" i="1071"/>
  <c r="J20" i="1071" l="1"/>
  <c r="J21" i="1071" s="1"/>
  <c r="N200" i="261"/>
  <c r="G22" i="1071"/>
  <c r="J200" i="261"/>
  <c r="N17" i="1071"/>
  <c r="M18" i="1071"/>
  <c r="M20" i="1071" s="1"/>
  <c r="M21" i="1071" s="1"/>
  <c r="M22" i="1071" s="1"/>
  <c r="K200" i="261" l="1"/>
  <c r="G23" i="1071"/>
  <c r="J22" i="1071"/>
  <c r="Q200" i="261"/>
  <c r="N22" i="1071"/>
  <c r="M23" i="1071"/>
  <c r="M24" i="1071" s="1"/>
  <c r="J23" i="1071" l="1"/>
  <c r="R200" i="261"/>
  <c r="J27" i="1071"/>
  <c r="J28" i="1071" s="1"/>
  <c r="K22" i="1071"/>
  <c r="G24" i="1071"/>
  <c r="M200" i="261" s="1"/>
  <c r="L200" i="261"/>
  <c r="L15" i="1073"/>
  <c r="J15" i="1073"/>
  <c r="M15" i="1073" s="1"/>
  <c r="N15" i="1073" s="1"/>
  <c r="L14" i="1073"/>
  <c r="J14" i="1073"/>
  <c r="M14" i="1073" s="1"/>
  <c r="G15" i="1073"/>
  <c r="G14" i="1073"/>
  <c r="K15" i="1073" l="1"/>
  <c r="K27" i="1071"/>
  <c r="K28" i="1071" s="1"/>
  <c r="O200" i="261"/>
  <c r="G16" i="1073"/>
  <c r="G17" i="1073" s="1"/>
  <c r="J24" i="1071"/>
  <c r="T200" i="261" s="1"/>
  <c r="S200" i="261"/>
  <c r="J16" i="1073"/>
  <c r="J17" i="1073" s="1"/>
  <c r="G19" i="1073" l="1"/>
  <c r="G20" i="1073" s="1"/>
  <c r="H199" i="261"/>
  <c r="J19" i="1073"/>
  <c r="J20" i="1073" s="1"/>
  <c r="N199" i="261"/>
  <c r="M16" i="1073"/>
  <c r="K16" i="1073"/>
  <c r="N16" i="1073" l="1"/>
  <c r="M17" i="1073"/>
  <c r="M19" i="1073" s="1"/>
  <c r="M20" i="1073" s="1"/>
  <c r="M21" i="1073" s="1"/>
  <c r="J21" i="1073"/>
  <c r="Q199" i="261"/>
  <c r="G21" i="1073"/>
  <c r="J199" i="261"/>
  <c r="L43" i="1077"/>
  <c r="J43" i="1077"/>
  <c r="M43" i="1077" s="1"/>
  <c r="L42" i="1077"/>
  <c r="J42" i="1077"/>
  <c r="M42" i="1077" s="1"/>
  <c r="L41" i="1077"/>
  <c r="J41" i="1077"/>
  <c r="L39" i="1077"/>
  <c r="J39" i="1077"/>
  <c r="M39" i="1077" s="1"/>
  <c r="L38" i="1077"/>
  <c r="J38" i="1077"/>
  <c r="M38" i="1077" s="1"/>
  <c r="L37" i="1077"/>
  <c r="J37" i="1077"/>
  <c r="L35" i="1077"/>
  <c r="J35" i="1077"/>
  <c r="M35" i="1077" s="1"/>
  <c r="L34" i="1077"/>
  <c r="J34" i="1077"/>
  <c r="M34" i="1077" s="1"/>
  <c r="L33" i="1077"/>
  <c r="J33" i="1077"/>
  <c r="M33" i="1077" s="1"/>
  <c r="L31" i="1077"/>
  <c r="J31" i="1077"/>
  <c r="M31" i="1077" s="1"/>
  <c r="L30" i="1077"/>
  <c r="J30" i="1077"/>
  <c r="M30" i="1077" s="1"/>
  <c r="L29" i="1077"/>
  <c r="J29" i="1077"/>
  <c r="M29" i="1077" s="1"/>
  <c r="L27" i="1077"/>
  <c r="J27" i="1077"/>
  <c r="M27" i="1077" s="1"/>
  <c r="L26" i="1077"/>
  <c r="J26" i="1077"/>
  <c r="M26" i="1077" s="1"/>
  <c r="L25" i="1077"/>
  <c r="J25" i="1077"/>
  <c r="M25" i="1077" s="1"/>
  <c r="L23" i="1077"/>
  <c r="J23" i="1077"/>
  <c r="M23" i="1077" s="1"/>
  <c r="L22" i="1077"/>
  <c r="J22" i="1077"/>
  <c r="M22" i="1077" s="1"/>
  <c r="L21" i="1077"/>
  <c r="J21" i="1077"/>
  <c r="M21" i="1077" s="1"/>
  <c r="L19" i="1077"/>
  <c r="J19" i="1077"/>
  <c r="M19" i="1077" s="1"/>
  <c r="L18" i="1077"/>
  <c r="J18" i="1077"/>
  <c r="M18" i="1077" s="1"/>
  <c r="L17" i="1077"/>
  <c r="J17" i="1077"/>
  <c r="M17" i="1077" s="1"/>
  <c r="L49" i="1077"/>
  <c r="J49" i="1077"/>
  <c r="M49" i="1077" s="1"/>
  <c r="L48" i="1077"/>
  <c r="J48" i="1077"/>
  <c r="M48" i="1077" s="1"/>
  <c r="L46" i="1077"/>
  <c r="J46" i="1077"/>
  <c r="M46" i="1077" s="1"/>
  <c r="L45" i="1077"/>
  <c r="J45" i="1077"/>
  <c r="M45" i="1077" s="1"/>
  <c r="L61" i="1077"/>
  <c r="J61" i="1077"/>
  <c r="L59" i="1077"/>
  <c r="J59" i="1077"/>
  <c r="M59" i="1077" s="1"/>
  <c r="L57" i="1077"/>
  <c r="J57" i="1077"/>
  <c r="L55" i="1077"/>
  <c r="J55" i="1077"/>
  <c r="L53" i="1077"/>
  <c r="J53" i="1077"/>
  <c r="M53" i="1077" s="1"/>
  <c r="L51" i="1077"/>
  <c r="J51" i="1077"/>
  <c r="M51" i="1077" s="1"/>
  <c r="L15" i="1077"/>
  <c r="J15" i="1077"/>
  <c r="M15" i="1077" s="1"/>
  <c r="L14" i="1077"/>
  <c r="J14" i="1077"/>
  <c r="M14" i="1077" s="1"/>
  <c r="G61" i="1077"/>
  <c r="G62" i="1077" s="1"/>
  <c r="G59" i="1077"/>
  <c r="G60" i="1077" s="1"/>
  <c r="G57" i="1077"/>
  <c r="G58" i="1077" s="1"/>
  <c r="G55" i="1077"/>
  <c r="G56" i="1077" s="1"/>
  <c r="G53" i="1077"/>
  <c r="G54" i="1077" s="1"/>
  <c r="G51" i="1077"/>
  <c r="G52" i="1077" s="1"/>
  <c r="G49" i="1077"/>
  <c r="G48" i="1077"/>
  <c r="G50" i="1077" s="1"/>
  <c r="G46" i="1077"/>
  <c r="G45" i="1077"/>
  <c r="G47" i="1077" s="1"/>
  <c r="G43" i="1077"/>
  <c r="G42" i="1077"/>
  <c r="G41" i="1077"/>
  <c r="G39" i="1077"/>
  <c r="G38" i="1077"/>
  <c r="G37" i="1077"/>
  <c r="G40" i="1077" s="1"/>
  <c r="G35" i="1077"/>
  <c r="G34" i="1077"/>
  <c r="G33" i="1077"/>
  <c r="G31" i="1077"/>
  <c r="G30" i="1077"/>
  <c r="G29" i="1077"/>
  <c r="G27" i="1077"/>
  <c r="G26" i="1077"/>
  <c r="G25" i="1077"/>
  <c r="G23" i="1077"/>
  <c r="G22" i="1077"/>
  <c r="G21" i="1077"/>
  <c r="G19" i="1077"/>
  <c r="G18" i="1077"/>
  <c r="G17" i="1077"/>
  <c r="G15" i="1077"/>
  <c r="G14" i="1077"/>
  <c r="N51" i="1077" l="1"/>
  <c r="G36" i="1077"/>
  <c r="G28" i="1077"/>
  <c r="N59" i="1077"/>
  <c r="N25" i="1077"/>
  <c r="K61" i="1077"/>
  <c r="J20" i="1077"/>
  <c r="M20" i="1077" s="1"/>
  <c r="G20" i="1077"/>
  <c r="G32" i="1077"/>
  <c r="K55" i="1077"/>
  <c r="G24" i="1077"/>
  <c r="N17" i="1077"/>
  <c r="G44" i="1077"/>
  <c r="K44" i="1077" s="1"/>
  <c r="M55" i="1077"/>
  <c r="N55" i="1077" s="1"/>
  <c r="N29" i="1077"/>
  <c r="N45" i="1077"/>
  <c r="K17" i="1077"/>
  <c r="J24" i="1077"/>
  <c r="J44" i="1077"/>
  <c r="M44" i="1077" s="1"/>
  <c r="K199" i="261"/>
  <c r="G22" i="1073"/>
  <c r="L199" i="261" s="1"/>
  <c r="N53" i="1077"/>
  <c r="N21" i="1077"/>
  <c r="J36" i="1077"/>
  <c r="M36" i="1077" s="1"/>
  <c r="K41" i="1077"/>
  <c r="G16" i="1077"/>
  <c r="K59" i="1077"/>
  <c r="K21" i="1077"/>
  <c r="K25" i="1077"/>
  <c r="J28" i="1077"/>
  <c r="M28" i="1077" s="1"/>
  <c r="N33" i="1077"/>
  <c r="K37" i="1077"/>
  <c r="R199" i="261"/>
  <c r="J22" i="1073"/>
  <c r="K21" i="1073"/>
  <c r="J26" i="1073"/>
  <c r="J27" i="1073" s="1"/>
  <c r="N14" i="1077"/>
  <c r="N48" i="1077"/>
  <c r="K29" i="1077"/>
  <c r="K33" i="1077"/>
  <c r="N21" i="1073"/>
  <c r="M22" i="1073"/>
  <c r="M23" i="1073" s="1"/>
  <c r="M41" i="1077"/>
  <c r="N41" i="1077" s="1"/>
  <c r="M37" i="1077"/>
  <c r="N37" i="1077" s="1"/>
  <c r="J40" i="1077"/>
  <c r="J32" i="1077"/>
  <c r="K48" i="1077"/>
  <c r="J50" i="1077"/>
  <c r="J52" i="1077" s="1"/>
  <c r="J54" i="1077" s="1"/>
  <c r="J56" i="1077" s="1"/>
  <c r="K45" i="1077"/>
  <c r="J47" i="1077"/>
  <c r="M61" i="1077"/>
  <c r="K57" i="1077"/>
  <c r="M57" i="1077"/>
  <c r="N57" i="1077" s="1"/>
  <c r="K53" i="1077"/>
  <c r="K51" i="1077"/>
  <c r="J16" i="1077"/>
  <c r="K14" i="1077"/>
  <c r="N20" i="1077" l="1"/>
  <c r="N28" i="1077"/>
  <c r="K24" i="1077"/>
  <c r="G63" i="1077"/>
  <c r="G65" i="1077" s="1"/>
  <c r="G66" i="1077" s="1"/>
  <c r="K28" i="1077"/>
  <c r="N36" i="1077"/>
  <c r="M24" i="1077"/>
  <c r="N24" i="1077" s="1"/>
  <c r="K36" i="1077"/>
  <c r="K20" i="1077"/>
  <c r="N44" i="1077"/>
  <c r="J23" i="1073"/>
  <c r="T199" i="261" s="1"/>
  <c r="S199" i="261"/>
  <c r="K26" i="1073"/>
  <c r="K27" i="1073" s="1"/>
  <c r="O199" i="261"/>
  <c r="G23" i="1073"/>
  <c r="M199" i="261" s="1"/>
  <c r="N61" i="1077"/>
  <c r="M40" i="1077"/>
  <c r="N40" i="1077" s="1"/>
  <c r="K40" i="1077"/>
  <c r="M32" i="1077"/>
  <c r="N32" i="1077" s="1"/>
  <c r="K32" i="1077"/>
  <c r="K56" i="1077"/>
  <c r="J58" i="1077"/>
  <c r="M56" i="1077"/>
  <c r="N56" i="1077" s="1"/>
  <c r="K50" i="1077"/>
  <c r="M50" i="1077"/>
  <c r="N50" i="1077" s="1"/>
  <c r="K47" i="1077"/>
  <c r="M47" i="1077"/>
  <c r="N47" i="1077" s="1"/>
  <c r="M54" i="1077"/>
  <c r="N54" i="1077" s="1"/>
  <c r="K54" i="1077"/>
  <c r="K52" i="1077"/>
  <c r="M52" i="1077"/>
  <c r="N52" i="1077" s="1"/>
  <c r="M16" i="1077"/>
  <c r="N16" i="1077" s="1"/>
  <c r="K16" i="1077"/>
  <c r="H198" i="261" l="1"/>
  <c r="G67" i="1077"/>
  <c r="J198" i="261"/>
  <c r="J60" i="1077"/>
  <c r="K58" i="1077"/>
  <c r="M58" i="1077"/>
  <c r="N58" i="1077" s="1"/>
  <c r="K198" i="261" l="1"/>
  <c r="G68" i="1077"/>
  <c r="M60" i="1077"/>
  <c r="N60" i="1077" s="1"/>
  <c r="K60" i="1077"/>
  <c r="J62" i="1077"/>
  <c r="J63" i="1077" s="1"/>
  <c r="J65" i="1077" l="1"/>
  <c r="J66" i="1077" s="1"/>
  <c r="N198" i="261"/>
  <c r="G69" i="1077"/>
  <c r="M198" i="261" s="1"/>
  <c r="L198" i="261"/>
  <c r="K62" i="1077"/>
  <c r="M62" i="1077"/>
  <c r="J67" i="1077" l="1"/>
  <c r="Q198" i="261"/>
  <c r="N62" i="1077"/>
  <c r="M63" i="1077"/>
  <c r="M65" i="1077" s="1"/>
  <c r="M66" i="1077" s="1"/>
  <c r="M67" i="1077" s="1"/>
  <c r="R198" i="261" l="1"/>
  <c r="K67" i="1077"/>
  <c r="J68" i="1077"/>
  <c r="J72" i="1077"/>
  <c r="J73" i="1077" s="1"/>
  <c r="N67" i="1077"/>
  <c r="M68" i="1077"/>
  <c r="M69" i="1077" s="1"/>
  <c r="J69" i="1077" l="1"/>
  <c r="T198" i="261" s="1"/>
  <c r="S198" i="261"/>
  <c r="K72" i="1077"/>
  <c r="K73" i="1077" s="1"/>
  <c r="O198" i="261"/>
  <c r="L14" i="1079"/>
  <c r="J14" i="1079"/>
  <c r="J15" i="1079" s="1"/>
  <c r="G14" i="1079"/>
  <c r="G15" i="1079" s="1"/>
  <c r="G16" i="1079" l="1"/>
  <c r="G18" i="1079"/>
  <c r="G19" i="1079" s="1"/>
  <c r="H197" i="261"/>
  <c r="J16" i="1079"/>
  <c r="N197" i="261" s="1"/>
  <c r="K15" i="1079"/>
  <c r="M15" i="1079"/>
  <c r="N15" i="1079" s="1"/>
  <c r="K14" i="1079"/>
  <c r="J18" i="1079"/>
  <c r="J19" i="1079" s="1"/>
  <c r="M14" i="1079"/>
  <c r="J20" i="1079" l="1"/>
  <c r="R197" i="261" s="1"/>
  <c r="Q197" i="261"/>
  <c r="G20" i="1079"/>
  <c r="K197" i="261" s="1"/>
  <c r="J197" i="261"/>
  <c r="N14" i="1079"/>
  <c r="M16" i="1079"/>
  <c r="M18" i="1079" s="1"/>
  <c r="M19" i="1079" s="1"/>
  <c r="M20" i="1079" s="1"/>
  <c r="N20" i="1079" s="1"/>
  <c r="G21" i="1079"/>
  <c r="L197" i="261" s="1"/>
  <c r="J25" i="1079" l="1"/>
  <c r="J26" i="1079" s="1"/>
  <c r="K20" i="1079"/>
  <c r="J21" i="1079"/>
  <c r="J22" i="1079"/>
  <c r="T197" i="261" s="1"/>
  <c r="S197" i="261"/>
  <c r="K25" i="1079"/>
  <c r="K26" i="1079" s="1"/>
  <c r="O197" i="261"/>
  <c r="G22" i="1079"/>
  <c r="M197" i="261" s="1"/>
  <c r="M21" i="1079"/>
  <c r="M22" i="1079" s="1"/>
  <c r="L35" i="1081"/>
  <c r="J35" i="1081"/>
  <c r="M35" i="1081" s="1"/>
  <c r="L34" i="1081"/>
  <c r="J34" i="1081"/>
  <c r="M34" i="1081" s="1"/>
  <c r="L33" i="1081"/>
  <c r="J33" i="1081"/>
  <c r="L22" i="1081"/>
  <c r="J22" i="1081"/>
  <c r="M22" i="1081" s="1"/>
  <c r="L21" i="1081"/>
  <c r="J21" i="1081"/>
  <c r="L20" i="1081"/>
  <c r="J20" i="1081"/>
  <c r="M20" i="1081" s="1"/>
  <c r="L49" i="1081"/>
  <c r="J49" i="1081"/>
  <c r="M49" i="1081" s="1"/>
  <c r="L47" i="1081"/>
  <c r="J47" i="1081"/>
  <c r="M47" i="1081" s="1"/>
  <c r="L46" i="1081"/>
  <c r="J46" i="1081"/>
  <c r="M46" i="1081" s="1"/>
  <c r="L44" i="1081"/>
  <c r="J44" i="1081"/>
  <c r="L43" i="1081"/>
  <c r="J43" i="1081"/>
  <c r="M43" i="1081" s="1"/>
  <c r="L41" i="1081"/>
  <c r="J41" i="1081"/>
  <c r="M41" i="1081" s="1"/>
  <c r="L40" i="1081"/>
  <c r="J40" i="1081"/>
  <c r="M40" i="1081" s="1"/>
  <c r="L38" i="1081"/>
  <c r="J38" i="1081"/>
  <c r="M38" i="1081" s="1"/>
  <c r="L37" i="1081"/>
  <c r="J37" i="1081"/>
  <c r="M37" i="1081" s="1"/>
  <c r="L31" i="1081"/>
  <c r="J31" i="1081"/>
  <c r="L30" i="1081"/>
  <c r="J30" i="1081"/>
  <c r="M30" i="1081" s="1"/>
  <c r="L28" i="1081"/>
  <c r="J28" i="1081"/>
  <c r="M28" i="1081" s="1"/>
  <c r="L27" i="1081"/>
  <c r="J27" i="1081"/>
  <c r="M27" i="1081" s="1"/>
  <c r="L25" i="1081"/>
  <c r="J25" i="1081"/>
  <c r="M25" i="1081" s="1"/>
  <c r="L24" i="1081"/>
  <c r="J24" i="1081"/>
  <c r="M24" i="1081" s="1"/>
  <c r="L18" i="1081"/>
  <c r="J18" i="1081"/>
  <c r="M18" i="1081" s="1"/>
  <c r="L17" i="1081"/>
  <c r="J17" i="1081"/>
  <c r="M17" i="1081" s="1"/>
  <c r="L15" i="1081"/>
  <c r="J15" i="1081"/>
  <c r="M15" i="1081" s="1"/>
  <c r="L14" i="1081"/>
  <c r="J14" i="1081"/>
  <c r="G49" i="1081"/>
  <c r="G50" i="1081" s="1"/>
  <c r="G47" i="1081"/>
  <c r="G46" i="1081"/>
  <c r="G44" i="1081"/>
  <c r="G43" i="1081"/>
  <c r="G41" i="1081"/>
  <c r="G40" i="1081"/>
  <c r="G38" i="1081"/>
  <c r="G37" i="1081"/>
  <c r="G35" i="1081"/>
  <c r="G34" i="1081"/>
  <c r="G33" i="1081"/>
  <c r="G31" i="1081"/>
  <c r="G30" i="1081"/>
  <c r="G28" i="1081"/>
  <c r="G27" i="1081"/>
  <c r="G25" i="1081"/>
  <c r="G24" i="1081"/>
  <c r="G22" i="1081"/>
  <c r="G21" i="1081"/>
  <c r="G20" i="1081"/>
  <c r="G18" i="1081"/>
  <c r="G17" i="1081"/>
  <c r="G15" i="1081"/>
  <c r="G14" i="1081"/>
  <c r="N22" i="1081" l="1"/>
  <c r="G23" i="1081"/>
  <c r="N17" i="1081"/>
  <c r="G39" i="1081"/>
  <c r="K31" i="1081"/>
  <c r="K21" i="1081"/>
  <c r="N27" i="1081"/>
  <c r="M31" i="1081"/>
  <c r="N31" i="1081" s="1"/>
  <c r="N37" i="1081"/>
  <c r="J36" i="1081"/>
  <c r="M36" i="1081" s="1"/>
  <c r="N38" i="1081"/>
  <c r="K44" i="1081"/>
  <c r="J16" i="1081"/>
  <c r="M16" i="1081" s="1"/>
  <c r="G32" i="1081"/>
  <c r="M44" i="1081"/>
  <c r="N44" i="1081" s="1"/>
  <c r="N40" i="1081"/>
  <c r="J23" i="1081"/>
  <c r="G42" i="1081"/>
  <c r="N18" i="1081"/>
  <c r="N28" i="1081"/>
  <c r="N41" i="1081"/>
  <c r="G36" i="1081"/>
  <c r="G45" i="1081"/>
  <c r="N15" i="1081"/>
  <c r="N24" i="1081"/>
  <c r="N30" i="1081"/>
  <c r="N43" i="1081"/>
  <c r="N47" i="1081"/>
  <c r="N34" i="1081"/>
  <c r="G16" i="1081"/>
  <c r="K16" i="1081" s="1"/>
  <c r="G26" i="1081"/>
  <c r="G48" i="1081"/>
  <c r="K38" i="1081"/>
  <c r="K14" i="1081"/>
  <c r="N25" i="1081"/>
  <c r="N49" i="1081"/>
  <c r="K22" i="1081"/>
  <c r="N35" i="1081"/>
  <c r="G19" i="1081"/>
  <c r="G29" i="1081"/>
  <c r="K49" i="1081"/>
  <c r="J50" i="1081"/>
  <c r="M33" i="1081"/>
  <c r="K35" i="1081"/>
  <c r="K34" i="1081"/>
  <c r="M21" i="1081"/>
  <c r="N21" i="1081" s="1"/>
  <c r="K47" i="1081"/>
  <c r="J48" i="1081"/>
  <c r="K43" i="1081"/>
  <c r="J45" i="1081"/>
  <c r="K41" i="1081"/>
  <c r="J42" i="1081"/>
  <c r="K40" i="1081"/>
  <c r="K37" i="1081"/>
  <c r="J39" i="1081"/>
  <c r="K30" i="1081"/>
  <c r="J32" i="1081"/>
  <c r="K28" i="1081"/>
  <c r="J29" i="1081"/>
  <c r="K27" i="1081"/>
  <c r="K25" i="1081"/>
  <c r="K24" i="1081"/>
  <c r="J26" i="1081"/>
  <c r="K18" i="1081"/>
  <c r="K17" i="1081"/>
  <c r="J19" i="1081"/>
  <c r="K15" i="1081"/>
  <c r="M14" i="1081"/>
  <c r="N14" i="1081" s="1"/>
  <c r="K23" i="1081" l="1"/>
  <c r="N36" i="1081"/>
  <c r="N16" i="1081"/>
  <c r="M23" i="1081"/>
  <c r="N23" i="1081" s="1"/>
  <c r="K36" i="1081"/>
  <c r="G52" i="1081"/>
  <c r="I196" i="261" s="1"/>
  <c r="G51" i="1081"/>
  <c r="M50" i="1081"/>
  <c r="J52" i="1081"/>
  <c r="P196" i="261" s="1"/>
  <c r="K50" i="1081"/>
  <c r="J51" i="1081"/>
  <c r="N196" i="261" s="1"/>
  <c r="M48" i="1081"/>
  <c r="N48" i="1081" s="1"/>
  <c r="K48" i="1081"/>
  <c r="M45" i="1081"/>
  <c r="N45" i="1081" s="1"/>
  <c r="K45" i="1081"/>
  <c r="K42" i="1081"/>
  <c r="M42" i="1081"/>
  <c r="N42" i="1081" s="1"/>
  <c r="M39" i="1081"/>
  <c r="N39" i="1081" s="1"/>
  <c r="K39" i="1081"/>
  <c r="M32" i="1081"/>
  <c r="N32" i="1081" s="1"/>
  <c r="K32" i="1081"/>
  <c r="K29" i="1081"/>
  <c r="M29" i="1081"/>
  <c r="N29" i="1081" s="1"/>
  <c r="M26" i="1081"/>
  <c r="N26" i="1081" s="1"/>
  <c r="K26" i="1081"/>
  <c r="M19" i="1081"/>
  <c r="N19" i="1081" s="1"/>
  <c r="K19" i="1081"/>
  <c r="H196" i="261" l="1"/>
  <c r="G53" i="1081"/>
  <c r="G54" i="1081" s="1"/>
  <c r="N50" i="1081"/>
  <c r="M52" i="1081"/>
  <c r="J53" i="1081"/>
  <c r="J54" i="1081" s="1"/>
  <c r="M51" i="1081"/>
  <c r="M53" i="1081" s="1"/>
  <c r="M54" i="1081" s="1"/>
  <c r="M55" i="1081" s="1"/>
  <c r="M56" i="1081" s="1"/>
  <c r="M57" i="1081" s="1"/>
  <c r="J55" i="1081" l="1"/>
  <c r="J56" i="1081" s="1"/>
  <c r="Q196" i="261"/>
  <c r="G55" i="1081"/>
  <c r="J196" i="261"/>
  <c r="N55" i="1081"/>
  <c r="J57" i="1081" l="1"/>
  <c r="T196" i="261" s="1"/>
  <c r="S196" i="261"/>
  <c r="K196" i="261"/>
  <c r="G56" i="1081"/>
  <c r="K55" i="1081"/>
  <c r="R196" i="261"/>
  <c r="J60" i="1081"/>
  <c r="J61" i="1081" s="1"/>
  <c r="L14" i="1083"/>
  <c r="J14" i="1083"/>
  <c r="M14" i="1083" s="1"/>
  <c r="E14" i="1083"/>
  <c r="G14" i="1083" s="1"/>
  <c r="G15" i="1083" l="1"/>
  <c r="G16" i="1083" s="1"/>
  <c r="G57" i="1081"/>
  <c r="M196" i="261" s="1"/>
  <c r="L196" i="261"/>
  <c r="K60" i="1081"/>
  <c r="K61" i="1081" s="1"/>
  <c r="O196" i="261"/>
  <c r="N14" i="1083"/>
  <c r="J15" i="1083"/>
  <c r="K14" i="1083"/>
  <c r="G18" i="1083" l="1"/>
  <c r="G19" i="1083" s="1"/>
  <c r="H195" i="261"/>
  <c r="M15" i="1083"/>
  <c r="K15" i="1083"/>
  <c r="J16" i="1083"/>
  <c r="J18" i="1083" l="1"/>
  <c r="J19" i="1083" s="1"/>
  <c r="N195" i="261"/>
  <c r="G20" i="1083"/>
  <c r="J195" i="261"/>
  <c r="N15" i="1083"/>
  <c r="M16" i="1083"/>
  <c r="M18" i="1083" s="1"/>
  <c r="J20" i="1083" l="1"/>
  <c r="R195" i="261" s="1"/>
  <c r="Q195" i="261"/>
  <c r="K195" i="261"/>
  <c r="G21" i="1083"/>
  <c r="M19" i="1083"/>
  <c r="M20" i="1083" s="1"/>
  <c r="J21" i="1083" l="1"/>
  <c r="J22" i="1083" s="1"/>
  <c r="T195" i="261" s="1"/>
  <c r="J25" i="1083"/>
  <c r="J26" i="1083" s="1"/>
  <c r="K20" i="1083"/>
  <c r="K25" i="1083"/>
  <c r="K26" i="1083" s="1"/>
  <c r="O195" i="261"/>
  <c r="G22" i="1083"/>
  <c r="M195" i="261" s="1"/>
  <c r="L195" i="261"/>
  <c r="N20" i="1083"/>
  <c r="M21" i="1083"/>
  <c r="M22" i="1083" s="1"/>
  <c r="S195" i="261" l="1"/>
  <c r="L16" i="1085"/>
  <c r="J16" i="1085"/>
  <c r="M16" i="1085" s="1"/>
  <c r="L14" i="1085"/>
  <c r="J14" i="1085"/>
  <c r="J15" i="1085" s="1"/>
  <c r="G16" i="1085"/>
  <c r="G17" i="1085" s="1"/>
  <c r="G19" i="1085" s="1"/>
  <c r="I194" i="261" s="1"/>
  <c r="G14" i="1085"/>
  <c r="G15" i="1085" s="1"/>
  <c r="G18" i="1085" l="1"/>
  <c r="N16" i="1085"/>
  <c r="K16" i="1085"/>
  <c r="J17" i="1085"/>
  <c r="J19" i="1085" s="1"/>
  <c r="P194" i="261" s="1"/>
  <c r="M15" i="1085"/>
  <c r="N15" i="1085" s="1"/>
  <c r="K15" i="1085"/>
  <c r="K14" i="1085"/>
  <c r="M14" i="1085"/>
  <c r="N14" i="1085" s="1"/>
  <c r="H194" i="261" l="1"/>
  <c r="G20" i="1085"/>
  <c r="G21" i="1085" s="1"/>
  <c r="J18" i="1085"/>
  <c r="M17" i="1085"/>
  <c r="K17" i="1085"/>
  <c r="J20" i="1085" l="1"/>
  <c r="J21" i="1085" s="1"/>
  <c r="N194" i="261"/>
  <c r="G22" i="1085"/>
  <c r="J194" i="261"/>
  <c r="N17" i="1085"/>
  <c r="M19" i="1085"/>
  <c r="M18" i="1085"/>
  <c r="L14" i="1087"/>
  <c r="J14" i="1087"/>
  <c r="M14" i="1087" s="1"/>
  <c r="G14" i="1087"/>
  <c r="G15" i="1087" s="1"/>
  <c r="G16" i="1087" l="1"/>
  <c r="N14" i="1087"/>
  <c r="K194" i="261"/>
  <c r="G23" i="1085"/>
  <c r="J22" i="1085"/>
  <c r="Q194" i="261"/>
  <c r="M20" i="1085"/>
  <c r="M21" i="1085" s="1"/>
  <c r="M22" i="1085" s="1"/>
  <c r="M23" i="1085" s="1"/>
  <c r="M24" i="1085" s="1"/>
  <c r="K14" i="1087"/>
  <c r="J15" i="1087"/>
  <c r="J16" i="1087" s="1"/>
  <c r="K15" i="1087" l="1"/>
  <c r="M15" i="1087"/>
  <c r="M16" i="1087" s="1"/>
  <c r="K22" i="1085"/>
  <c r="R194" i="261"/>
  <c r="J27" i="1085"/>
  <c r="J28" i="1085" s="1"/>
  <c r="J23" i="1085"/>
  <c r="G24" i="1085"/>
  <c r="M194" i="261" s="1"/>
  <c r="L194" i="261"/>
  <c r="J18" i="1087"/>
  <c r="J19" i="1087" s="1"/>
  <c r="N193" i="261"/>
  <c r="H193" i="261"/>
  <c r="G18" i="1087"/>
  <c r="G19" i="1087" s="1"/>
  <c r="N22" i="1085"/>
  <c r="M18" i="1087"/>
  <c r="N15" i="1087"/>
  <c r="G20" i="1087" l="1"/>
  <c r="J193" i="261"/>
  <c r="J20" i="1087"/>
  <c r="Q193" i="261"/>
  <c r="J24" i="1085"/>
  <c r="T194" i="261" s="1"/>
  <c r="S194" i="261"/>
  <c r="K27" i="1085"/>
  <c r="K28" i="1085" s="1"/>
  <c r="O194" i="261"/>
  <c r="M19" i="1087"/>
  <c r="M20" i="1087" s="1"/>
  <c r="R193" i="261" l="1"/>
  <c r="K20" i="1087"/>
  <c r="J25" i="1087"/>
  <c r="J26" i="1087" s="1"/>
  <c r="J21" i="1087"/>
  <c r="K193" i="261"/>
  <c r="G21" i="1087"/>
  <c r="N20" i="1087"/>
  <c r="M21" i="1087"/>
  <c r="M22" i="1087" s="1"/>
  <c r="L18" i="1089"/>
  <c r="J18" i="1089"/>
  <c r="M18" i="1089" s="1"/>
  <c r="L17" i="1089"/>
  <c r="J17" i="1089"/>
  <c r="M17" i="1089" s="1"/>
  <c r="L15" i="1089"/>
  <c r="J15" i="1089"/>
  <c r="M15" i="1089" s="1"/>
  <c r="L14" i="1089"/>
  <c r="J14" i="1089"/>
  <c r="G18" i="1089"/>
  <c r="G17" i="1089"/>
  <c r="G15" i="1089"/>
  <c r="G14" i="1089"/>
  <c r="G19" i="1089" l="1"/>
  <c r="N15" i="1089"/>
  <c r="G22" i="1087"/>
  <c r="M193" i="261" s="1"/>
  <c r="L193" i="261"/>
  <c r="G16" i="1089"/>
  <c r="G20" i="1089" s="1"/>
  <c r="N18" i="1089"/>
  <c r="K25" i="1087"/>
  <c r="K26" i="1087" s="1"/>
  <c r="O193" i="261"/>
  <c r="J22" i="1087"/>
  <c r="T193" i="261" s="1"/>
  <c r="S193" i="261"/>
  <c r="K15" i="1089"/>
  <c r="J19" i="1089"/>
  <c r="M19" i="1089" s="1"/>
  <c r="N19" i="1089" s="1"/>
  <c r="K18" i="1089"/>
  <c r="K19" i="1089"/>
  <c r="M14" i="1089"/>
  <c r="J16" i="1089"/>
  <c r="G22" i="1089" l="1"/>
  <c r="G23" i="1089" s="1"/>
  <c r="H192" i="261"/>
  <c r="K16" i="1089"/>
  <c r="M16" i="1089"/>
  <c r="N16" i="1089" s="1"/>
  <c r="J20" i="1089"/>
  <c r="J22" i="1089" l="1"/>
  <c r="N192" i="261"/>
  <c r="G24" i="1089"/>
  <c r="J192" i="261"/>
  <c r="J23" i="1089"/>
  <c r="M20" i="1089"/>
  <c r="M22" i="1089" s="1"/>
  <c r="J24" i="1089" l="1"/>
  <c r="R192" i="261" s="1"/>
  <c r="Q192" i="261"/>
  <c r="K192" i="261"/>
  <c r="G25" i="1089"/>
  <c r="M23" i="1089"/>
  <c r="M24" i="1089" s="1"/>
  <c r="J25" i="1089" l="1"/>
  <c r="J26" i="1089" s="1"/>
  <c r="T192" i="261" s="1"/>
  <c r="K24" i="1089"/>
  <c r="J29" i="1089"/>
  <c r="J30" i="1089" s="1"/>
  <c r="K29" i="1089"/>
  <c r="K30" i="1089" s="1"/>
  <c r="O192" i="261"/>
  <c r="G26" i="1089"/>
  <c r="M192" i="261" s="1"/>
  <c r="L192" i="261"/>
  <c r="N24" i="1089"/>
  <c r="M25" i="1089"/>
  <c r="M26" i="1089" s="1"/>
  <c r="S192" i="261" l="1"/>
  <c r="L15" i="1066"/>
  <c r="J15" i="1066"/>
  <c r="L14" i="1066"/>
  <c r="J14" i="1066"/>
  <c r="J16" i="1066" s="1"/>
  <c r="G15" i="1066"/>
  <c r="G14" i="1066"/>
  <c r="G16" i="1066" l="1"/>
  <c r="G17" i="1066" s="1"/>
  <c r="K15" i="1066"/>
  <c r="J17" i="1066"/>
  <c r="M16" i="1066"/>
  <c r="M14" i="1066"/>
  <c r="M15" i="1066"/>
  <c r="N15" i="1066" s="1"/>
  <c r="N16" i="1066" l="1"/>
  <c r="K16" i="1066"/>
  <c r="M17" i="1066"/>
  <c r="M19" i="1066" s="1"/>
  <c r="M20" i="1066" s="1"/>
  <c r="M21" i="1066" s="1"/>
  <c r="M22" i="1066" s="1"/>
  <c r="M23" i="1066" s="1"/>
  <c r="J19" i="1066"/>
  <c r="J20" i="1066" s="1"/>
  <c r="N191" i="261"/>
  <c r="G19" i="1066"/>
  <c r="G20" i="1066" s="1"/>
  <c r="H191" i="261"/>
  <c r="N21" i="1066"/>
  <c r="J21" i="1066" l="1"/>
  <c r="Q191" i="261"/>
  <c r="G21" i="1066"/>
  <c r="J191" i="261"/>
  <c r="L18" i="999"/>
  <c r="J18" i="999"/>
  <c r="M18" i="999" s="1"/>
  <c r="N18" i="999" s="1"/>
  <c r="L17" i="999"/>
  <c r="J17" i="999"/>
  <c r="M17" i="999" s="1"/>
  <c r="L15" i="999"/>
  <c r="J15" i="999"/>
  <c r="M15" i="999" s="1"/>
  <c r="L14" i="999"/>
  <c r="J14" i="999"/>
  <c r="M14" i="999" s="1"/>
  <c r="G18" i="999"/>
  <c r="G17" i="999"/>
  <c r="G15" i="999"/>
  <c r="G14" i="999"/>
  <c r="G16" i="999" l="1"/>
  <c r="N15" i="999"/>
  <c r="K18" i="999"/>
  <c r="J16" i="999"/>
  <c r="K191" i="261"/>
  <c r="G22" i="1066"/>
  <c r="G19" i="999"/>
  <c r="G20" i="999" s="1"/>
  <c r="R191" i="261"/>
  <c r="K21" i="1066"/>
  <c r="J22" i="1066"/>
  <c r="J26" i="1066"/>
  <c r="J27" i="1066" s="1"/>
  <c r="K15" i="999"/>
  <c r="M16" i="999"/>
  <c r="J19" i="999"/>
  <c r="N16" i="999" l="1"/>
  <c r="K16" i="999"/>
  <c r="G22" i="999"/>
  <c r="G23" i="999" s="1"/>
  <c r="H190" i="261"/>
  <c r="K26" i="1066"/>
  <c r="K27" i="1066" s="1"/>
  <c r="O191" i="261"/>
  <c r="G23" i="1066"/>
  <c r="M191" i="261" s="1"/>
  <c r="L191" i="261"/>
  <c r="J23" i="1066"/>
  <c r="T191" i="261" s="1"/>
  <c r="S191" i="261"/>
  <c r="M19" i="999"/>
  <c r="K19" i="999"/>
  <c r="J20" i="999"/>
  <c r="J22" i="999" l="1"/>
  <c r="J23" i="999" s="1"/>
  <c r="N190" i="261"/>
  <c r="G24" i="999"/>
  <c r="J190" i="261"/>
  <c r="N19" i="999"/>
  <c r="M20" i="999"/>
  <c r="M22" i="999" s="1"/>
  <c r="J24" i="999" l="1"/>
  <c r="R190" i="261" s="1"/>
  <c r="Q190" i="261"/>
  <c r="K190" i="261"/>
  <c r="G25" i="999"/>
  <c r="M23" i="999"/>
  <c r="M24" i="999" s="1"/>
  <c r="J25" i="999" l="1"/>
  <c r="J29" i="999"/>
  <c r="J30" i="999" s="1"/>
  <c r="K24" i="999"/>
  <c r="J26" i="999"/>
  <c r="T190" i="261" s="1"/>
  <c r="S190" i="261"/>
  <c r="K29" i="999"/>
  <c r="K30" i="999" s="1"/>
  <c r="O190" i="261"/>
  <c r="G26" i="999"/>
  <c r="M190" i="261" s="1"/>
  <c r="L190" i="261"/>
  <c r="N24" i="999"/>
  <c r="M25" i="999"/>
  <c r="M26" i="999" s="1"/>
  <c r="L18" i="1043"/>
  <c r="J18" i="1043"/>
  <c r="M18" i="1043" s="1"/>
  <c r="L17" i="1043"/>
  <c r="J17" i="1043"/>
  <c r="M17" i="1043" s="1"/>
  <c r="N17" i="1043" s="1"/>
  <c r="L15" i="1043"/>
  <c r="J15" i="1043"/>
  <c r="M15" i="1043" s="1"/>
  <c r="L14" i="1043"/>
  <c r="J14" i="1043"/>
  <c r="G18" i="1043"/>
  <c r="G17" i="1043"/>
  <c r="G19" i="1043" s="1"/>
  <c r="G15" i="1043"/>
  <c r="G14" i="1043"/>
  <c r="G16" i="1043" s="1"/>
  <c r="N18" i="1043" l="1"/>
  <c r="J16" i="1043"/>
  <c r="K16" i="1043" s="1"/>
  <c r="K18" i="1043"/>
  <c r="N15" i="1043"/>
  <c r="G20" i="1043"/>
  <c r="J19" i="1043"/>
  <c r="J20" i="1043" s="1"/>
  <c r="K17" i="1043"/>
  <c r="M16" i="1043"/>
  <c r="N16" i="1043" s="1"/>
  <c r="K15" i="1043"/>
  <c r="K14" i="1043"/>
  <c r="M14" i="1043"/>
  <c r="N14" i="1043" s="1"/>
  <c r="J22" i="1043" l="1"/>
  <c r="J23" i="1043" s="1"/>
  <c r="N189" i="261"/>
  <c r="G22" i="1043"/>
  <c r="G23" i="1043" s="1"/>
  <c r="H189" i="261"/>
  <c r="K19" i="1043"/>
  <c r="M19" i="1043"/>
  <c r="G24" i="1043" l="1"/>
  <c r="J189" i="261"/>
  <c r="J24" i="1043"/>
  <c r="Q189" i="261"/>
  <c r="N19" i="1043"/>
  <c r="M20" i="1043"/>
  <c r="M22" i="1043" s="1"/>
  <c r="M23" i="1043" s="1"/>
  <c r="M24" i="1043" s="1"/>
  <c r="L22" i="1045"/>
  <c r="J22" i="1045"/>
  <c r="M22" i="1045" s="1"/>
  <c r="L21" i="1045"/>
  <c r="J21" i="1045"/>
  <c r="M21" i="1045" s="1"/>
  <c r="L19" i="1045"/>
  <c r="J19" i="1045"/>
  <c r="M19" i="1045" s="1"/>
  <c r="L18" i="1045"/>
  <c r="J18" i="1045"/>
  <c r="M18" i="1045" s="1"/>
  <c r="L17" i="1045"/>
  <c r="J17" i="1045"/>
  <c r="M17" i="1045" s="1"/>
  <c r="L15" i="1045"/>
  <c r="J15" i="1045"/>
  <c r="M15" i="1045" s="1"/>
  <c r="L14" i="1045"/>
  <c r="J14" i="1045"/>
  <c r="M14" i="1045" s="1"/>
  <c r="G22" i="1045"/>
  <c r="G21" i="1045"/>
  <c r="G19" i="1045"/>
  <c r="G18" i="1045"/>
  <c r="G17" i="1045"/>
  <c r="G15" i="1045"/>
  <c r="G14" i="1045"/>
  <c r="G16" i="1045" s="1"/>
  <c r="N14" i="1045" l="1"/>
  <c r="G23" i="1045"/>
  <c r="N15" i="1045"/>
  <c r="R189" i="261"/>
  <c r="J25" i="1043"/>
  <c r="K24" i="1043"/>
  <c r="J29" i="1043"/>
  <c r="J30" i="1043" s="1"/>
  <c r="G20" i="1045"/>
  <c r="G24" i="1045" s="1"/>
  <c r="N22" i="1045"/>
  <c r="K189" i="261"/>
  <c r="G25" i="1043"/>
  <c r="M25" i="1043"/>
  <c r="M26" i="1043" s="1"/>
  <c r="N24" i="1043"/>
  <c r="K22" i="1045"/>
  <c r="J23" i="1045"/>
  <c r="J20" i="1045"/>
  <c r="K15" i="1045"/>
  <c r="K14" i="1045"/>
  <c r="J16" i="1045"/>
  <c r="J24" i="1045" l="1"/>
  <c r="J26" i="1045" s="1"/>
  <c r="J27" i="1045" s="1"/>
  <c r="Q188" i="261" s="1"/>
  <c r="J26" i="1043"/>
  <c r="T189" i="261" s="1"/>
  <c r="S189" i="261"/>
  <c r="G26" i="1045"/>
  <c r="G27" i="1045" s="1"/>
  <c r="H188" i="261"/>
  <c r="K29" i="1043"/>
  <c r="K30" i="1043" s="1"/>
  <c r="O189" i="261"/>
  <c r="G26" i="1043"/>
  <c r="M189" i="261" s="1"/>
  <c r="L189" i="261"/>
  <c r="K23" i="1045"/>
  <c r="M23" i="1045"/>
  <c r="N23" i="1045" s="1"/>
  <c r="K20" i="1045"/>
  <c r="M20" i="1045"/>
  <c r="K16" i="1045"/>
  <c r="M16" i="1045"/>
  <c r="N16" i="1045" s="1"/>
  <c r="N188" i="261" l="1"/>
  <c r="G28" i="1045"/>
  <c r="J188" i="261"/>
  <c r="J28" i="1045"/>
  <c r="J29" i="1045" s="1"/>
  <c r="N20" i="1045"/>
  <c r="M24" i="1045"/>
  <c r="M26" i="1045" s="1"/>
  <c r="M27" i="1045" s="1"/>
  <c r="M28" i="1045" s="1"/>
  <c r="K28" i="1045"/>
  <c r="K33" i="1045" l="1"/>
  <c r="K34" i="1045" s="1"/>
  <c r="O188" i="261"/>
  <c r="J30" i="1045"/>
  <c r="T188" i="261" s="1"/>
  <c r="S188" i="261"/>
  <c r="J33" i="1045"/>
  <c r="J34" i="1045" s="1"/>
  <c r="R188" i="261"/>
  <c r="K188" i="261"/>
  <c r="G29" i="1045"/>
  <c r="N28" i="1045"/>
  <c r="M29" i="1045"/>
  <c r="M30" i="1045" s="1"/>
  <c r="G30" i="1045" l="1"/>
  <c r="M188" i="261" s="1"/>
  <c r="L188" i="261"/>
  <c r="L14" i="1049"/>
  <c r="J14" i="1049"/>
  <c r="G14" i="1049"/>
  <c r="G15" i="1049" s="1"/>
  <c r="G16" i="1049" l="1"/>
  <c r="J15" i="1049"/>
  <c r="M14" i="1049"/>
  <c r="K14" i="1049"/>
  <c r="L15" i="1051"/>
  <c r="J15" i="1051"/>
  <c r="M15" i="1051" s="1"/>
  <c r="L14" i="1051"/>
  <c r="J14" i="1051"/>
  <c r="M14" i="1051" s="1"/>
  <c r="G15" i="1051"/>
  <c r="G14" i="1051"/>
  <c r="G16" i="1051" l="1"/>
  <c r="N14" i="1051"/>
  <c r="K14" i="1051"/>
  <c r="G17" i="1051"/>
  <c r="N15" i="1051"/>
  <c r="G18" i="1049"/>
  <c r="G19" i="1049" s="1"/>
  <c r="H187" i="261"/>
  <c r="M16" i="1049"/>
  <c r="M18" i="1049" s="1"/>
  <c r="N14" i="1049"/>
  <c r="M15" i="1049"/>
  <c r="N15" i="1049" s="1"/>
  <c r="K15" i="1049"/>
  <c r="J16" i="1049"/>
  <c r="K15" i="1051"/>
  <c r="J16" i="1051"/>
  <c r="K16" i="1051" s="1"/>
  <c r="M16" i="1051"/>
  <c r="N16" i="1051" s="1"/>
  <c r="G20" i="1049" l="1"/>
  <c r="J187" i="261"/>
  <c r="J18" i="1049"/>
  <c r="N187" i="261"/>
  <c r="H186" i="261"/>
  <c r="G19" i="1051"/>
  <c r="G20" i="1051" s="1"/>
  <c r="J19" i="1049"/>
  <c r="M19" i="1049"/>
  <c r="M20" i="1049" s="1"/>
  <c r="J17" i="1051"/>
  <c r="M17" i="1051"/>
  <c r="M19" i="1051" s="1"/>
  <c r="M20" i="1051" s="1"/>
  <c r="M21" i="1051" s="1"/>
  <c r="N21" i="1051" s="1"/>
  <c r="J20" i="1049" l="1"/>
  <c r="R187" i="261" s="1"/>
  <c r="Q187" i="261"/>
  <c r="G21" i="1051"/>
  <c r="J186" i="261"/>
  <c r="J19" i="1051"/>
  <c r="J20" i="1051" s="1"/>
  <c r="N186" i="261"/>
  <c r="K187" i="261"/>
  <c r="G21" i="1049"/>
  <c r="J21" i="1049"/>
  <c r="N20" i="1049"/>
  <c r="M21" i="1049"/>
  <c r="M22" i="1049" s="1"/>
  <c r="M22" i="1051"/>
  <c r="M23" i="1051" s="1"/>
  <c r="J25" i="1049" l="1"/>
  <c r="J26" i="1049" s="1"/>
  <c r="K20" i="1049"/>
  <c r="K25" i="1049" s="1"/>
  <c r="K26" i="1049" s="1"/>
  <c r="G22" i="1049"/>
  <c r="M187" i="261" s="1"/>
  <c r="L187" i="261"/>
  <c r="J21" i="1051"/>
  <c r="Q186" i="261"/>
  <c r="K186" i="261"/>
  <c r="G22" i="1051"/>
  <c r="O187" i="261"/>
  <c r="J22" i="1049"/>
  <c r="T187" i="261" s="1"/>
  <c r="S187" i="261"/>
  <c r="L20" i="1053"/>
  <c r="J20" i="1053"/>
  <c r="L19" i="1053"/>
  <c r="J19" i="1053"/>
  <c r="M19" i="1053" s="1"/>
  <c r="L18" i="1053"/>
  <c r="J18" i="1053"/>
  <c r="L16" i="1053"/>
  <c r="J16" i="1053"/>
  <c r="M16" i="1053" s="1"/>
  <c r="L15" i="1053"/>
  <c r="J15" i="1053"/>
  <c r="M15" i="1053" s="1"/>
  <c r="L14" i="1053"/>
  <c r="J14" i="1053"/>
  <c r="M14" i="1053" s="1"/>
  <c r="G20" i="1053"/>
  <c r="G19" i="1053"/>
  <c r="G18" i="1053"/>
  <c r="G16" i="1053"/>
  <c r="G15" i="1053"/>
  <c r="G14" i="1053"/>
  <c r="G17" i="1053" s="1"/>
  <c r="G21" i="1053" l="1"/>
  <c r="G22" i="1053" s="1"/>
  <c r="J17" i="1053"/>
  <c r="K21" i="1051"/>
  <c r="R186" i="261"/>
  <c r="J22" i="1051"/>
  <c r="J26" i="1051"/>
  <c r="J27" i="1051" s="1"/>
  <c r="G23" i="1051"/>
  <c r="M186" i="261" s="1"/>
  <c r="L186" i="261"/>
  <c r="J21" i="1053"/>
  <c r="M20" i="1053"/>
  <c r="M18" i="1053"/>
  <c r="H185" i="261" l="1"/>
  <c r="G24" i="1053"/>
  <c r="G25" i="1053" s="1"/>
  <c r="G26" i="1053" s="1"/>
  <c r="J23" i="1051"/>
  <c r="T186" i="261" s="1"/>
  <c r="S186" i="261"/>
  <c r="J22" i="1053"/>
  <c r="K26" i="1051"/>
  <c r="K27" i="1051" s="1"/>
  <c r="O186" i="261"/>
  <c r="M21" i="1053"/>
  <c r="N21" i="1053" s="1"/>
  <c r="K21" i="1053"/>
  <c r="M17" i="1053"/>
  <c r="N17" i="1053" s="1"/>
  <c r="K17" i="1053"/>
  <c r="J185" i="261" l="1"/>
  <c r="K185" i="261"/>
  <c r="G27" i="1053"/>
  <c r="G28" i="1053" s="1"/>
  <c r="M185" i="261" s="1"/>
  <c r="J24" i="1053"/>
  <c r="J25" i="1053" s="1"/>
  <c r="N185" i="261"/>
  <c r="L185" i="261"/>
  <c r="M22" i="1053"/>
  <c r="M24" i="1053" s="1"/>
  <c r="M25" i="1053" s="1"/>
  <c r="M26" i="1053" s="1"/>
  <c r="L14" i="1055"/>
  <c r="J14" i="1055"/>
  <c r="M14" i="1055" s="1"/>
  <c r="G14" i="1055"/>
  <c r="G15" i="1055" s="1"/>
  <c r="G16" i="1055" l="1"/>
  <c r="G18" i="1055" s="1"/>
  <c r="G19" i="1055" s="1"/>
  <c r="N14" i="1055"/>
  <c r="M27" i="1053"/>
  <c r="M28" i="1053" s="1"/>
  <c r="N26" i="1053"/>
  <c r="J26" i="1053"/>
  <c r="Q185" i="261"/>
  <c r="J15" i="1055"/>
  <c r="M15" i="1055" s="1"/>
  <c r="N15" i="1055" s="1"/>
  <c r="K14" i="1055"/>
  <c r="H184" i="261" l="1"/>
  <c r="J16" i="1055"/>
  <c r="G20" i="1055"/>
  <c r="K184" i="261" s="1"/>
  <c r="J184" i="261"/>
  <c r="J18" i="1055"/>
  <c r="J19" i="1055" s="1"/>
  <c r="N184" i="261"/>
  <c r="R185" i="261"/>
  <c r="J31" i="1053"/>
  <c r="J32" i="1053" s="1"/>
  <c r="J27" i="1053"/>
  <c r="K26" i="1053"/>
  <c r="K15" i="1055"/>
  <c r="M16" i="1055"/>
  <c r="M18" i="1055" s="1"/>
  <c r="M19" i="1055" s="1"/>
  <c r="M20" i="1055" s="1"/>
  <c r="G21" i="1055"/>
  <c r="L184" i="261" s="1"/>
  <c r="G22" i="1055"/>
  <c r="M184" i="261" s="1"/>
  <c r="K31" i="1053" l="1"/>
  <c r="K32" i="1053" s="1"/>
  <c r="O185" i="261"/>
  <c r="J20" i="1055"/>
  <c r="Q184" i="261"/>
  <c r="J28" i="1053"/>
  <c r="T185" i="261" s="1"/>
  <c r="S185" i="261"/>
  <c r="N20" i="1055"/>
  <c r="M21" i="1055"/>
  <c r="M22" i="1055" s="1"/>
  <c r="R184" i="261" l="1"/>
  <c r="J25" i="1055"/>
  <c r="J26" i="1055" s="1"/>
  <c r="J21" i="1055"/>
  <c r="K20" i="1055"/>
  <c r="L14" i="1047"/>
  <c r="J14" i="1047"/>
  <c r="G14" i="1047"/>
  <c r="G15" i="1047" s="1"/>
  <c r="G16" i="1047" l="1"/>
  <c r="K25" i="1055"/>
  <c r="K26" i="1055" s="1"/>
  <c r="O184" i="261"/>
  <c r="J22" i="1055"/>
  <c r="T184" i="261" s="1"/>
  <c r="S184" i="261"/>
  <c r="J15" i="1047"/>
  <c r="M15" i="1047" s="1"/>
  <c r="N15" i="1047" s="1"/>
  <c r="K14" i="1047"/>
  <c r="M14" i="1047"/>
  <c r="J16" i="1047" l="1"/>
  <c r="K15" i="1047"/>
  <c r="G18" i="1047"/>
  <c r="G19" i="1047" s="1"/>
  <c r="H183" i="261"/>
  <c r="N14" i="1047"/>
  <c r="M16" i="1047"/>
  <c r="M18" i="1047" s="1"/>
  <c r="M19" i="1047" s="1"/>
  <c r="M20" i="1047" s="1"/>
  <c r="M21" i="1047" s="1"/>
  <c r="M22" i="1047" s="1"/>
  <c r="G20" i="1047" l="1"/>
  <c r="J183" i="261"/>
  <c r="J18" i="1047"/>
  <c r="J19" i="1047" s="1"/>
  <c r="N183" i="261"/>
  <c r="N20" i="1047"/>
  <c r="J20" i="1047" l="1"/>
  <c r="Q183" i="261"/>
  <c r="K183" i="261"/>
  <c r="G21" i="1047"/>
  <c r="L30" i="1031"/>
  <c r="J30" i="1031"/>
  <c r="M30" i="1031" s="1"/>
  <c r="L29" i="1031"/>
  <c r="J29" i="1031"/>
  <c r="M29" i="1031" s="1"/>
  <c r="L27" i="1031"/>
  <c r="J27" i="1031"/>
  <c r="M27" i="1031" s="1"/>
  <c r="L26" i="1031"/>
  <c r="J26" i="1031"/>
  <c r="M26" i="1031" s="1"/>
  <c r="L24" i="1031"/>
  <c r="J24" i="1031"/>
  <c r="M24" i="1031" s="1"/>
  <c r="L23" i="1031"/>
  <c r="J23" i="1031"/>
  <c r="K23" i="1031" s="1"/>
  <c r="L21" i="1031"/>
  <c r="J21" i="1031"/>
  <c r="M21" i="1031" s="1"/>
  <c r="L20" i="1031"/>
  <c r="J20" i="1031"/>
  <c r="M20" i="1031" s="1"/>
  <c r="L18" i="1031"/>
  <c r="J18" i="1031"/>
  <c r="M18" i="1031" s="1"/>
  <c r="L17" i="1031"/>
  <c r="J17" i="1031"/>
  <c r="J19" i="1031" s="1"/>
  <c r="L15" i="1031"/>
  <c r="J15" i="1031"/>
  <c r="M15" i="1031" s="1"/>
  <c r="L14" i="1031"/>
  <c r="J14" i="1031"/>
  <c r="M14" i="1031" s="1"/>
  <c r="G30" i="1031"/>
  <c r="G29" i="1031"/>
  <c r="G27" i="1031"/>
  <c r="G26" i="1031"/>
  <c r="G24" i="1031"/>
  <c r="G23" i="1031"/>
  <c r="G21" i="1031"/>
  <c r="G20" i="1031"/>
  <c r="G18" i="1031"/>
  <c r="G17" i="1031"/>
  <c r="G15" i="1031"/>
  <c r="G14" i="1031"/>
  <c r="N24" i="1031" l="1"/>
  <c r="N14" i="1031"/>
  <c r="N27" i="1031"/>
  <c r="J25" i="1031"/>
  <c r="M17" i="1031"/>
  <c r="N17" i="1031" s="1"/>
  <c r="K27" i="1031"/>
  <c r="N18" i="1031"/>
  <c r="N15" i="1031"/>
  <c r="K24" i="1031"/>
  <c r="N29" i="1031"/>
  <c r="G22" i="1047"/>
  <c r="M183" i="261" s="1"/>
  <c r="L183" i="261"/>
  <c r="K15" i="1031"/>
  <c r="N20" i="1031"/>
  <c r="N30" i="1031"/>
  <c r="K14" i="1031"/>
  <c r="N21" i="1031"/>
  <c r="N26" i="1031"/>
  <c r="R183" i="261"/>
  <c r="J25" i="1047"/>
  <c r="J26" i="1047" s="1"/>
  <c r="J21" i="1047"/>
  <c r="K20" i="1047"/>
  <c r="K30" i="1031"/>
  <c r="K29" i="1031"/>
  <c r="J31" i="1031"/>
  <c r="K26" i="1031"/>
  <c r="J28" i="1031"/>
  <c r="M23" i="1031"/>
  <c r="N23" i="1031" s="1"/>
  <c r="K21" i="1031"/>
  <c r="K20" i="1031"/>
  <c r="J22" i="1031"/>
  <c r="M19" i="1031"/>
  <c r="K18" i="1031"/>
  <c r="K17" i="1031"/>
  <c r="J16" i="1031"/>
  <c r="G28" i="1031"/>
  <c r="G31" i="1031"/>
  <c r="G22" i="1031"/>
  <c r="G25" i="1031"/>
  <c r="G16" i="1031"/>
  <c r="G19" i="1031"/>
  <c r="K19" i="1031" s="1"/>
  <c r="N19" i="1031" l="1"/>
  <c r="J32" i="1031"/>
  <c r="N182" i="261"/>
  <c r="J34" i="1031"/>
  <c r="J35" i="1031" s="1"/>
  <c r="J22" i="1047"/>
  <c r="T183" i="261" s="1"/>
  <c r="S183" i="261"/>
  <c r="K25" i="1047"/>
  <c r="K26" i="1047" s="1"/>
  <c r="O183" i="261"/>
  <c r="G32" i="1031"/>
  <c r="K31" i="1031"/>
  <c r="M31" i="1031"/>
  <c r="M28" i="1031"/>
  <c r="N28" i="1031" s="1"/>
  <c r="K28" i="1031"/>
  <c r="M25" i="1031"/>
  <c r="N25" i="1031" s="1"/>
  <c r="K25" i="1031"/>
  <c r="K22" i="1031"/>
  <c r="M22" i="1031"/>
  <c r="N22" i="1031" s="1"/>
  <c r="M16" i="1031"/>
  <c r="K16" i="1031"/>
  <c r="G34" i="1031" l="1"/>
  <c r="G35" i="1031" s="1"/>
  <c r="H182" i="261"/>
  <c r="N16" i="1031"/>
  <c r="M32" i="1031"/>
  <c r="J36" i="1031"/>
  <c r="Q182" i="261"/>
  <c r="N31" i="1031"/>
  <c r="M34" i="1031"/>
  <c r="M35" i="1031" s="1"/>
  <c r="M36" i="1031" s="1"/>
  <c r="R182" i="261" l="1"/>
  <c r="J37" i="1031"/>
  <c r="K36" i="1031"/>
  <c r="J41" i="1031"/>
  <c r="J42" i="1031" s="1"/>
  <c r="G36" i="1031"/>
  <c r="J182" i="261"/>
  <c r="M37" i="1031"/>
  <c r="M38" i="1031" s="1"/>
  <c r="N36" i="1031"/>
  <c r="K182" i="261" l="1"/>
  <c r="G37" i="1031"/>
  <c r="K41" i="1031"/>
  <c r="K42" i="1031" s="1"/>
  <c r="O182" i="261"/>
  <c r="J38" i="1031"/>
  <c r="T182" i="261" s="1"/>
  <c r="S182" i="261"/>
  <c r="L30" i="1033"/>
  <c r="J30" i="1033"/>
  <c r="M30" i="1033" s="1"/>
  <c r="L29" i="1033"/>
  <c r="J29" i="1033"/>
  <c r="L27" i="1033"/>
  <c r="J27" i="1033"/>
  <c r="M27" i="1033" s="1"/>
  <c r="L26" i="1033"/>
  <c r="J26" i="1033"/>
  <c r="M26" i="1033" s="1"/>
  <c r="L24" i="1033"/>
  <c r="J24" i="1033"/>
  <c r="M24" i="1033" s="1"/>
  <c r="L23" i="1033"/>
  <c r="J23" i="1033"/>
  <c r="M23" i="1033" s="1"/>
  <c r="L21" i="1033"/>
  <c r="J21" i="1033"/>
  <c r="M21" i="1033" s="1"/>
  <c r="L20" i="1033"/>
  <c r="J20" i="1033"/>
  <c r="M20" i="1033" s="1"/>
  <c r="L18" i="1033"/>
  <c r="J18" i="1033"/>
  <c r="M18" i="1033" s="1"/>
  <c r="L17" i="1033"/>
  <c r="J17" i="1033"/>
  <c r="M17" i="1033" s="1"/>
  <c r="L15" i="1033"/>
  <c r="J15" i="1033"/>
  <c r="M15" i="1033" s="1"/>
  <c r="L14" i="1033"/>
  <c r="J14" i="1033"/>
  <c r="G30" i="1033"/>
  <c r="G29" i="1033"/>
  <c r="G27" i="1033"/>
  <c r="G26" i="1033"/>
  <c r="G24" i="1033"/>
  <c r="G23" i="1033"/>
  <c r="G21" i="1033"/>
  <c r="K21" i="1033" s="1"/>
  <c r="G20" i="1033"/>
  <c r="G18" i="1033"/>
  <c r="G17" i="1033"/>
  <c r="G15" i="1033"/>
  <c r="G14" i="1033"/>
  <c r="N18" i="1033" l="1"/>
  <c r="N27" i="1033"/>
  <c r="F16" i="1033"/>
  <c r="N23" i="1033"/>
  <c r="K18" i="1033"/>
  <c r="K27" i="1033"/>
  <c r="N20" i="1033"/>
  <c r="N24" i="1033"/>
  <c r="K20" i="1033"/>
  <c r="N17" i="1033"/>
  <c r="N26" i="1033"/>
  <c r="N30" i="1033"/>
  <c r="G38" i="1031"/>
  <c r="M182" i="261" s="1"/>
  <c r="L182" i="261"/>
  <c r="M14" i="1033"/>
  <c r="N14" i="1033" s="1"/>
  <c r="N21" i="1033"/>
  <c r="J31" i="1033"/>
  <c r="K30" i="1033"/>
  <c r="M29" i="1033"/>
  <c r="K29" i="1033"/>
  <c r="K26" i="1033"/>
  <c r="J28" i="1033"/>
  <c r="K24" i="1033"/>
  <c r="K23" i="1033"/>
  <c r="J25" i="1033"/>
  <c r="J22" i="1033"/>
  <c r="K17" i="1033"/>
  <c r="J19" i="1033"/>
  <c r="N15" i="1033"/>
  <c r="K15" i="1033"/>
  <c r="J16" i="1033"/>
  <c r="K16" i="1033" s="1"/>
  <c r="K14" i="1033"/>
  <c r="F25" i="1033"/>
  <c r="F19" i="1033"/>
  <c r="F31" i="1033"/>
  <c r="F22" i="1033"/>
  <c r="F28" i="1033"/>
  <c r="G32" i="1033" l="1"/>
  <c r="G34" i="1033" s="1"/>
  <c r="G35" i="1033" s="1"/>
  <c r="J32" i="1033"/>
  <c r="N181" i="261" s="1"/>
  <c r="M31" i="1033"/>
  <c r="N31" i="1033" s="1"/>
  <c r="K31" i="1033"/>
  <c r="N29" i="1033"/>
  <c r="K28" i="1033"/>
  <c r="M28" i="1033"/>
  <c r="N28" i="1033" s="1"/>
  <c r="M25" i="1033"/>
  <c r="N25" i="1033" s="1"/>
  <c r="K25" i="1033"/>
  <c r="M22" i="1033"/>
  <c r="N22" i="1033" s="1"/>
  <c r="K22" i="1033"/>
  <c r="M19" i="1033"/>
  <c r="N19" i="1033" s="1"/>
  <c r="K19" i="1033"/>
  <c r="M16" i="1033"/>
  <c r="N16" i="1033" s="1"/>
  <c r="H181" i="261" l="1"/>
  <c r="J34" i="1033"/>
  <c r="G36" i="1033"/>
  <c r="J181" i="261"/>
  <c r="M32" i="1033"/>
  <c r="M34" i="1033" s="1"/>
  <c r="M35" i="1033" s="1"/>
  <c r="M36" i="1033" s="1"/>
  <c r="N36" i="1033" s="1"/>
  <c r="J35" i="1033" l="1"/>
  <c r="Q181" i="261" s="1"/>
  <c r="J36" i="1033"/>
  <c r="K181" i="261"/>
  <c r="G37" i="1033"/>
  <c r="M37" i="1033"/>
  <c r="M38" i="1033" s="1"/>
  <c r="J41" i="1033" l="1"/>
  <c r="J42" i="1033" s="1"/>
  <c r="K36" i="1033"/>
  <c r="R181" i="261"/>
  <c r="J37" i="1033"/>
  <c r="G38" i="1033"/>
  <c r="M181" i="261" s="1"/>
  <c r="L181" i="261"/>
  <c r="L21" i="1035"/>
  <c r="J21" i="1035"/>
  <c r="K21" i="1035" s="1"/>
  <c r="L20" i="1035"/>
  <c r="J20" i="1035"/>
  <c r="M20" i="1035" s="1"/>
  <c r="L18" i="1035"/>
  <c r="J18" i="1035"/>
  <c r="L17" i="1035"/>
  <c r="J17" i="1035"/>
  <c r="M17" i="1035" s="1"/>
  <c r="L15" i="1035"/>
  <c r="J15" i="1035"/>
  <c r="L14" i="1035"/>
  <c r="J14" i="1035"/>
  <c r="M14" i="1035" s="1"/>
  <c r="G21" i="1035"/>
  <c r="G20" i="1035"/>
  <c r="G18" i="1035"/>
  <c r="G17" i="1035"/>
  <c r="G15" i="1035"/>
  <c r="G14" i="1035"/>
  <c r="G16" i="1035" s="1"/>
  <c r="G19" i="1035" l="1"/>
  <c r="S181" i="261"/>
  <c r="J38" i="1033"/>
  <c r="T181" i="261" s="1"/>
  <c r="K18" i="1035"/>
  <c r="N20" i="1035"/>
  <c r="K41" i="1033"/>
  <c r="K42" i="1033" s="1"/>
  <c r="O181" i="261"/>
  <c r="G22" i="1035"/>
  <c r="G23" i="1035" s="1"/>
  <c r="M21" i="1035"/>
  <c r="N21" i="1035" s="1"/>
  <c r="K15" i="1035"/>
  <c r="M18" i="1035"/>
  <c r="N18" i="1035" s="1"/>
  <c r="J19" i="1035"/>
  <c r="M19" i="1035" s="1"/>
  <c r="N19" i="1035" s="1"/>
  <c r="M15" i="1035"/>
  <c r="N15" i="1035" s="1"/>
  <c r="N17" i="1035"/>
  <c r="N14" i="1035"/>
  <c r="K20" i="1035"/>
  <c r="J22" i="1035"/>
  <c r="K17" i="1035"/>
  <c r="K14" i="1035"/>
  <c r="J16" i="1035"/>
  <c r="K19" i="1035" l="1"/>
  <c r="G25" i="1035"/>
  <c r="G26" i="1035" s="1"/>
  <c r="H180" i="261"/>
  <c r="K16" i="1035"/>
  <c r="M16" i="1035"/>
  <c r="M22" i="1035"/>
  <c r="N22" i="1035" s="1"/>
  <c r="K22" i="1035"/>
  <c r="J23" i="1035"/>
  <c r="J25" i="1035" l="1"/>
  <c r="N180" i="261"/>
  <c r="G27" i="1035"/>
  <c r="J180" i="261"/>
  <c r="N16" i="1035"/>
  <c r="M23" i="1035"/>
  <c r="M25" i="1035" s="1"/>
  <c r="J26" i="1035"/>
  <c r="J27" i="1035" l="1"/>
  <c r="R180" i="261" s="1"/>
  <c r="Q180" i="261"/>
  <c r="K180" i="261"/>
  <c r="G28" i="1035"/>
  <c r="K27" i="1035"/>
  <c r="J32" i="1035"/>
  <c r="J33" i="1035" s="1"/>
  <c r="J28" i="1035"/>
  <c r="M26" i="1035"/>
  <c r="M27" i="1035" s="1"/>
  <c r="L21" i="1037"/>
  <c r="J21" i="1037"/>
  <c r="L20" i="1037"/>
  <c r="J20" i="1037"/>
  <c r="M20" i="1037" s="1"/>
  <c r="L18" i="1037"/>
  <c r="J18" i="1037"/>
  <c r="M18" i="1037" s="1"/>
  <c r="L17" i="1037"/>
  <c r="J17" i="1037"/>
  <c r="M17" i="1037" s="1"/>
  <c r="L15" i="1037"/>
  <c r="J15" i="1037"/>
  <c r="M15" i="1037" s="1"/>
  <c r="L14" i="1037"/>
  <c r="J14" i="1037"/>
  <c r="M14" i="1037" s="1"/>
  <c r="G21" i="1037"/>
  <c r="G20" i="1037"/>
  <c r="G18" i="1037"/>
  <c r="G17" i="1037"/>
  <c r="G15" i="1037"/>
  <c r="G14" i="1037"/>
  <c r="G16" i="1037" s="1"/>
  <c r="N18" i="1037" l="1"/>
  <c r="G22" i="1037"/>
  <c r="N20" i="1037"/>
  <c r="K18" i="1037"/>
  <c r="N15" i="1037"/>
  <c r="K21" i="1037"/>
  <c r="G19" i="1037"/>
  <c r="N17" i="1037"/>
  <c r="K32" i="1035"/>
  <c r="K33" i="1035" s="1"/>
  <c r="O180" i="261"/>
  <c r="G29" i="1035"/>
  <c r="M180" i="261" s="1"/>
  <c r="L180" i="261"/>
  <c r="J29" i="1035"/>
  <c r="T180" i="261" s="1"/>
  <c r="S180" i="261"/>
  <c r="M21" i="1037"/>
  <c r="N21" i="1037" s="1"/>
  <c r="G23" i="1037"/>
  <c r="N27" i="1035"/>
  <c r="M28" i="1035"/>
  <c r="M29" i="1035" s="1"/>
  <c r="N14" i="1037"/>
  <c r="K20" i="1037"/>
  <c r="J22" i="1037"/>
  <c r="K17" i="1037"/>
  <c r="K15" i="1037"/>
  <c r="J19" i="1037"/>
  <c r="K14" i="1037"/>
  <c r="J16" i="1037"/>
  <c r="L21" i="1039"/>
  <c r="J21" i="1039"/>
  <c r="M21" i="1039" s="1"/>
  <c r="L20" i="1039"/>
  <c r="J20" i="1039"/>
  <c r="L18" i="1039"/>
  <c r="J18" i="1039"/>
  <c r="L17" i="1039"/>
  <c r="J17" i="1039"/>
  <c r="M17" i="1039" s="1"/>
  <c r="L15" i="1039"/>
  <c r="J15" i="1039"/>
  <c r="M15" i="1039" s="1"/>
  <c r="L14" i="1039"/>
  <c r="J14" i="1039"/>
  <c r="M14" i="1039" s="1"/>
  <c r="G21" i="1039"/>
  <c r="G20" i="1039"/>
  <c r="G18" i="1039"/>
  <c r="G17" i="1039"/>
  <c r="G15" i="1039"/>
  <c r="G14" i="1039"/>
  <c r="G22" i="1039" l="1"/>
  <c r="G23" i="1039" s="1"/>
  <c r="G16" i="1039"/>
  <c r="K20" i="1039"/>
  <c r="N21" i="1039"/>
  <c r="G19" i="1039"/>
  <c r="G25" i="1037"/>
  <c r="G26" i="1037" s="1"/>
  <c r="H179" i="261"/>
  <c r="N15" i="1039"/>
  <c r="J23" i="1037"/>
  <c r="K18" i="1039"/>
  <c r="N14" i="1039"/>
  <c r="N17" i="1039"/>
  <c r="J16" i="1039"/>
  <c r="K16" i="1039" s="1"/>
  <c r="M19" i="1037"/>
  <c r="N19" i="1037" s="1"/>
  <c r="K19" i="1037"/>
  <c r="M22" i="1037"/>
  <c r="N22" i="1037" s="1"/>
  <c r="K22" i="1037"/>
  <c r="K16" i="1037"/>
  <c r="M16" i="1037"/>
  <c r="M20" i="1039"/>
  <c r="J22" i="1039"/>
  <c r="M22" i="1039" s="1"/>
  <c r="K21" i="1039"/>
  <c r="M16" i="1039"/>
  <c r="N16" i="1039" s="1"/>
  <c r="M18" i="1039"/>
  <c r="N18" i="1039" s="1"/>
  <c r="K15" i="1039"/>
  <c r="K17" i="1039"/>
  <c r="J19" i="1039"/>
  <c r="K14" i="1039"/>
  <c r="N22" i="1039" l="1"/>
  <c r="J25" i="1037"/>
  <c r="J26" i="1037" s="1"/>
  <c r="N179" i="261"/>
  <c r="G25" i="1039"/>
  <c r="G26" i="1039" s="1"/>
  <c r="H178" i="261"/>
  <c r="G27" i="1037"/>
  <c r="J179" i="261"/>
  <c r="N16" i="1037"/>
  <c r="M23" i="1037"/>
  <c r="M25" i="1037" s="1"/>
  <c r="N20" i="1039"/>
  <c r="K22" i="1039"/>
  <c r="J23" i="1039"/>
  <c r="M19" i="1039"/>
  <c r="N19" i="1039" s="1"/>
  <c r="K19" i="1039"/>
  <c r="M23" i="1039" l="1"/>
  <c r="M25" i="1039" s="1"/>
  <c r="M26" i="1039" s="1"/>
  <c r="M27" i="1039" s="1"/>
  <c r="N27" i="1039" s="1"/>
  <c r="K179" i="261"/>
  <c r="G28" i="1037"/>
  <c r="L179" i="261" s="1"/>
  <c r="J25" i="1039"/>
  <c r="J26" i="1039" s="1"/>
  <c r="N178" i="261"/>
  <c r="G27" i="1039"/>
  <c r="J178" i="261"/>
  <c r="J27" i="1037"/>
  <c r="Q179" i="261"/>
  <c r="M26" i="1037"/>
  <c r="M27" i="1037" s="1"/>
  <c r="M28" i="1039" l="1"/>
  <c r="M29" i="1039" s="1"/>
  <c r="G29" i="1037"/>
  <c r="M179" i="261" s="1"/>
  <c r="R179" i="261"/>
  <c r="J28" i="1037"/>
  <c r="K27" i="1037"/>
  <c r="J32" i="1037"/>
  <c r="J33" i="1037" s="1"/>
  <c r="K178" i="261"/>
  <c r="G28" i="1039"/>
  <c r="L178" i="261" s="1"/>
  <c r="J27" i="1039"/>
  <c r="R178" i="261" s="1"/>
  <c r="Q178" i="261"/>
  <c r="N27" i="1037"/>
  <c r="M28" i="1037"/>
  <c r="M29" i="1037" s="1"/>
  <c r="L21" i="1041"/>
  <c r="J21" i="1041"/>
  <c r="M21" i="1041" s="1"/>
  <c r="L20" i="1041"/>
  <c r="J20" i="1041"/>
  <c r="M20" i="1041" s="1"/>
  <c r="L18" i="1041"/>
  <c r="J18" i="1041"/>
  <c r="M18" i="1041" s="1"/>
  <c r="L17" i="1041"/>
  <c r="J17" i="1041"/>
  <c r="M17" i="1041" s="1"/>
  <c r="L15" i="1041"/>
  <c r="J15" i="1041"/>
  <c r="L14" i="1041"/>
  <c r="J14" i="1041"/>
  <c r="G21" i="1041"/>
  <c r="E20" i="1041"/>
  <c r="G20" i="1041" s="1"/>
  <c r="G18" i="1041"/>
  <c r="G17" i="1041"/>
  <c r="G15" i="1041"/>
  <c r="G14" i="1041"/>
  <c r="G19" i="1041" l="1"/>
  <c r="G16" i="1041"/>
  <c r="K15" i="1041"/>
  <c r="G22" i="1041"/>
  <c r="G23" i="1041" s="1"/>
  <c r="K27" i="1039"/>
  <c r="K32" i="1039" s="1"/>
  <c r="K33" i="1039" s="1"/>
  <c r="N18" i="1041"/>
  <c r="J32" i="1039"/>
  <c r="J33" i="1039" s="1"/>
  <c r="J28" i="1039"/>
  <c r="J29" i="1039" s="1"/>
  <c r="T178" i="261" s="1"/>
  <c r="G29" i="1039"/>
  <c r="M178" i="261" s="1"/>
  <c r="N20" i="1041"/>
  <c r="N21" i="1041"/>
  <c r="J29" i="1037"/>
  <c r="T179" i="261" s="1"/>
  <c r="S179" i="261"/>
  <c r="M15" i="1041"/>
  <c r="N15" i="1041" s="1"/>
  <c r="K32" i="1037"/>
  <c r="K33" i="1037" s="1"/>
  <c r="O179" i="261"/>
  <c r="N17" i="1041"/>
  <c r="J16" i="1041"/>
  <c r="M16" i="1041" s="1"/>
  <c r="N16" i="1041" s="1"/>
  <c r="K21" i="1041"/>
  <c r="K20" i="1041"/>
  <c r="J22" i="1041"/>
  <c r="K18" i="1041"/>
  <c r="K17" i="1041"/>
  <c r="J19" i="1041"/>
  <c r="K14" i="1041"/>
  <c r="M14" i="1041"/>
  <c r="N14" i="1041" s="1"/>
  <c r="S178" i="261" l="1"/>
  <c r="O178" i="261"/>
  <c r="K16" i="1041"/>
  <c r="G25" i="1041"/>
  <c r="G26" i="1041" s="1"/>
  <c r="H177" i="261"/>
  <c r="J23" i="1041"/>
  <c r="M22" i="1041"/>
  <c r="K22" i="1041"/>
  <c r="M19" i="1041"/>
  <c r="N19" i="1041" s="1"/>
  <c r="K19" i="1041"/>
  <c r="J25" i="1041" l="1"/>
  <c r="J26" i="1041" s="1"/>
  <c r="N177" i="261"/>
  <c r="G27" i="1041"/>
  <c r="J177" i="261"/>
  <c r="N22" i="1041"/>
  <c r="M23" i="1041"/>
  <c r="M25" i="1041" s="1"/>
  <c r="K177" i="261" l="1"/>
  <c r="G28" i="1041"/>
  <c r="J27" i="1041"/>
  <c r="Q177" i="261"/>
  <c r="M26" i="1041"/>
  <c r="M27" i="1041" s="1"/>
  <c r="R177" i="261" l="1"/>
  <c r="J32" i="1041"/>
  <c r="J33" i="1041" s="1"/>
  <c r="J28" i="1041"/>
  <c r="K27" i="1041"/>
  <c r="G29" i="1041"/>
  <c r="M177" i="261" s="1"/>
  <c r="L177" i="261"/>
  <c r="M28" i="1041"/>
  <c r="M29" i="1041" s="1"/>
  <c r="N27" i="1041"/>
  <c r="J29" i="1041" l="1"/>
  <c r="T177" i="261" s="1"/>
  <c r="S177" i="261"/>
  <c r="K32" i="1041"/>
  <c r="K33" i="1041" s="1"/>
  <c r="O177" i="261"/>
  <c r="L21" i="1015"/>
  <c r="J21" i="1015"/>
  <c r="M21" i="1015" s="1"/>
  <c r="L20" i="1015"/>
  <c r="J20" i="1015"/>
  <c r="L18" i="1015"/>
  <c r="J18" i="1015"/>
  <c r="L17" i="1015"/>
  <c r="J17" i="1015"/>
  <c r="M17" i="1015" s="1"/>
  <c r="L15" i="1015"/>
  <c r="J15" i="1015"/>
  <c r="M15" i="1015" s="1"/>
  <c r="L14" i="1015"/>
  <c r="J14" i="1015"/>
  <c r="M14" i="1015" s="1"/>
  <c r="G21" i="1015"/>
  <c r="G20" i="1015"/>
  <c r="G18" i="1015"/>
  <c r="G17" i="1015"/>
  <c r="G19" i="1015" s="1"/>
  <c r="G15" i="1015"/>
  <c r="G14" i="1015"/>
  <c r="N21" i="1015" l="1"/>
  <c r="G16" i="1015"/>
  <c r="N17" i="1015"/>
  <c r="N15" i="1015"/>
  <c r="G22" i="1015"/>
  <c r="K18" i="1015"/>
  <c r="N14" i="1015"/>
  <c r="J22" i="1015"/>
  <c r="M22" i="1015" s="1"/>
  <c r="N22" i="1015" s="1"/>
  <c r="M20" i="1015"/>
  <c r="N20" i="1015" s="1"/>
  <c r="K21" i="1015"/>
  <c r="K20" i="1015"/>
  <c r="M18" i="1015"/>
  <c r="N18" i="1015" s="1"/>
  <c r="K17" i="1015"/>
  <c r="J19" i="1015"/>
  <c r="K15" i="1015"/>
  <c r="K14" i="1015"/>
  <c r="J16" i="1015"/>
  <c r="G23" i="1015" l="1"/>
  <c r="G25" i="1015" s="1"/>
  <c r="G26" i="1015" s="1"/>
  <c r="J23" i="1015"/>
  <c r="K22" i="1015"/>
  <c r="M19" i="1015"/>
  <c r="N19" i="1015" s="1"/>
  <c r="K19" i="1015"/>
  <c r="K16" i="1015"/>
  <c r="M16" i="1015"/>
  <c r="H176" i="261" l="1"/>
  <c r="J25" i="1015"/>
  <c r="N176" i="261"/>
  <c r="G27" i="1015"/>
  <c r="J176" i="261"/>
  <c r="N16" i="1015"/>
  <c r="M23" i="1015"/>
  <c r="M25" i="1015" s="1"/>
  <c r="M26" i="1015" s="1"/>
  <c r="M27" i="1015" s="1"/>
  <c r="L24" i="1017"/>
  <c r="J24" i="1017"/>
  <c r="M24" i="1017" s="1"/>
  <c r="L23" i="1017"/>
  <c r="J23" i="1017"/>
  <c r="L21" i="1017"/>
  <c r="J21" i="1017"/>
  <c r="M21" i="1017" s="1"/>
  <c r="L20" i="1017"/>
  <c r="J20" i="1017"/>
  <c r="M20" i="1017" s="1"/>
  <c r="N20" i="1017" s="1"/>
  <c r="L18" i="1017"/>
  <c r="J18" i="1017"/>
  <c r="M18" i="1017" s="1"/>
  <c r="L17" i="1017"/>
  <c r="J17" i="1017"/>
  <c r="M17" i="1017" s="1"/>
  <c r="L15" i="1017"/>
  <c r="J15" i="1017"/>
  <c r="M15" i="1017" s="1"/>
  <c r="L14" i="1017"/>
  <c r="J14" i="1017"/>
  <c r="G24" i="1017"/>
  <c r="G23" i="1017"/>
  <c r="G21" i="1017"/>
  <c r="G20" i="1017"/>
  <c r="G18" i="1017"/>
  <c r="G17" i="1017"/>
  <c r="G19" i="1017" s="1"/>
  <c r="G15" i="1017"/>
  <c r="G14" i="1017"/>
  <c r="K24" i="1017" l="1"/>
  <c r="N21" i="1017"/>
  <c r="G16" i="1017"/>
  <c r="K18" i="1017"/>
  <c r="N24" i="1017"/>
  <c r="N15" i="1017"/>
  <c r="N17" i="1017"/>
  <c r="G25" i="1017"/>
  <c r="N18" i="1017"/>
  <c r="K15" i="1017"/>
  <c r="K23" i="1017"/>
  <c r="K21" i="1017"/>
  <c r="K14" i="1017"/>
  <c r="K176" i="261"/>
  <c r="G28" i="1015"/>
  <c r="G22" i="1017"/>
  <c r="G26" i="1017" s="1"/>
  <c r="M14" i="1017"/>
  <c r="N14" i="1017" s="1"/>
  <c r="K20" i="1017"/>
  <c r="J26" i="1015"/>
  <c r="Q176" i="261" s="1"/>
  <c r="M28" i="1015"/>
  <c r="M29" i="1015" s="1"/>
  <c r="N27" i="1015"/>
  <c r="M23" i="1017"/>
  <c r="J25" i="1017"/>
  <c r="J22" i="1017"/>
  <c r="K17" i="1017"/>
  <c r="J19" i="1017"/>
  <c r="J16" i="1017"/>
  <c r="J27" i="1015" l="1"/>
  <c r="R176" i="261" s="1"/>
  <c r="J26" i="1017"/>
  <c r="J28" i="1017" s="1"/>
  <c r="J29" i="1017" s="1"/>
  <c r="H175" i="261"/>
  <c r="G28" i="1017"/>
  <c r="G29" i="1017" s="1"/>
  <c r="G29" i="1015"/>
  <c r="M176" i="261" s="1"/>
  <c r="L176" i="261"/>
  <c r="K27" i="1015"/>
  <c r="N23" i="1017"/>
  <c r="M25" i="1017"/>
  <c r="N25" i="1017" s="1"/>
  <c r="K25" i="1017"/>
  <c r="K22" i="1017"/>
  <c r="M22" i="1017"/>
  <c r="N22" i="1017" s="1"/>
  <c r="M19" i="1017"/>
  <c r="N19" i="1017" s="1"/>
  <c r="K19" i="1017"/>
  <c r="K16" i="1017"/>
  <c r="M16" i="1017"/>
  <c r="N16" i="1017" s="1"/>
  <c r="N175" i="261" l="1"/>
  <c r="J28" i="1015"/>
  <c r="S176" i="261" s="1"/>
  <c r="J32" i="1015"/>
  <c r="J33" i="1015" s="1"/>
  <c r="J30" i="1017"/>
  <c r="Q175" i="261"/>
  <c r="K32" i="1015"/>
  <c r="K33" i="1015" s="1"/>
  <c r="O176" i="261"/>
  <c r="G30" i="1017"/>
  <c r="J175" i="261"/>
  <c r="J29" i="1015"/>
  <c r="T176" i="261" s="1"/>
  <c r="M26" i="1017"/>
  <c r="M28" i="1017" s="1"/>
  <c r="M29" i="1017" s="1"/>
  <c r="M30" i="1017" s="1"/>
  <c r="L27" i="1027"/>
  <c r="J27" i="1027"/>
  <c r="M27" i="1027" s="1"/>
  <c r="L26" i="1027"/>
  <c r="J26" i="1027"/>
  <c r="M26" i="1027" s="1"/>
  <c r="L24" i="1027"/>
  <c r="J24" i="1027"/>
  <c r="M24" i="1027" s="1"/>
  <c r="L23" i="1027"/>
  <c r="J23" i="1027"/>
  <c r="M23" i="1027" s="1"/>
  <c r="L22" i="1027"/>
  <c r="J22" i="1027"/>
  <c r="L20" i="1027"/>
  <c r="J20" i="1027"/>
  <c r="M20" i="1027" s="1"/>
  <c r="L19" i="1027"/>
  <c r="J19" i="1027"/>
  <c r="M19" i="1027" s="1"/>
  <c r="L18" i="1027"/>
  <c r="J18" i="1027"/>
  <c r="L16" i="1027"/>
  <c r="J16" i="1027"/>
  <c r="L15" i="1027"/>
  <c r="J15" i="1027"/>
  <c r="M15" i="1027" s="1"/>
  <c r="L14" i="1027"/>
  <c r="J14" i="1027"/>
  <c r="G27" i="1027"/>
  <c r="G26" i="1027"/>
  <c r="G24" i="1027"/>
  <c r="G23" i="1027"/>
  <c r="G22" i="1027"/>
  <c r="G20" i="1027"/>
  <c r="G19" i="1027"/>
  <c r="G18" i="1027"/>
  <c r="G16" i="1027"/>
  <c r="G15" i="1027"/>
  <c r="G14" i="1027"/>
  <c r="G25" i="1027" l="1"/>
  <c r="G28" i="1027"/>
  <c r="J17" i="1027"/>
  <c r="N24" i="1027"/>
  <c r="G17" i="1027"/>
  <c r="G21" i="1027"/>
  <c r="N20" i="1027"/>
  <c r="K175" i="261"/>
  <c r="G31" i="1017"/>
  <c r="L175" i="261" s="1"/>
  <c r="K16" i="1027"/>
  <c r="J25" i="1027"/>
  <c r="N27" i="1027"/>
  <c r="J21" i="1027"/>
  <c r="R175" i="261"/>
  <c r="K30" i="1017"/>
  <c r="J35" i="1017"/>
  <c r="J36" i="1017" s="1"/>
  <c r="J31" i="1017"/>
  <c r="N30" i="1017"/>
  <c r="M31" i="1017"/>
  <c r="M32" i="1017" s="1"/>
  <c r="K27" i="1027"/>
  <c r="J28" i="1027"/>
  <c r="K24" i="1027"/>
  <c r="M22" i="1027"/>
  <c r="K21" i="1027"/>
  <c r="M21" i="1027"/>
  <c r="N21" i="1027" s="1"/>
  <c r="K20" i="1027"/>
  <c r="M18" i="1027"/>
  <c r="M17" i="1027"/>
  <c r="K17" i="1027"/>
  <c r="M16" i="1027"/>
  <c r="N16" i="1027" s="1"/>
  <c r="M14" i="1027"/>
  <c r="G29" i="1027" l="1"/>
  <c r="K28" i="1027"/>
  <c r="N17" i="1027"/>
  <c r="K25" i="1027"/>
  <c r="G32" i="1017"/>
  <c r="M175" i="261" s="1"/>
  <c r="J32" i="1017"/>
  <c r="T175" i="261" s="1"/>
  <c r="S175" i="261"/>
  <c r="K35" i="1017"/>
  <c r="K36" i="1017" s="1"/>
  <c r="O175" i="261"/>
  <c r="M25" i="1027"/>
  <c r="N25" i="1027" s="1"/>
  <c r="G31" i="1027"/>
  <c r="G32" i="1027" s="1"/>
  <c r="H174" i="261"/>
  <c r="J29" i="1027"/>
  <c r="M28" i="1027"/>
  <c r="J31" i="1027" l="1"/>
  <c r="J32" i="1027" s="1"/>
  <c r="N174" i="261"/>
  <c r="G33" i="1027"/>
  <c r="J174" i="261"/>
  <c r="N28" i="1027"/>
  <c r="M29" i="1027"/>
  <c r="M31" i="1027" s="1"/>
  <c r="K174" i="261" l="1"/>
  <c r="G34" i="1027"/>
  <c r="J33" i="1027"/>
  <c r="Q174" i="261"/>
  <c r="M32" i="1027"/>
  <c r="M33" i="1027" s="1"/>
  <c r="K33" i="1027" l="1"/>
  <c r="R174" i="261"/>
  <c r="J38" i="1027"/>
  <c r="J39" i="1027" s="1"/>
  <c r="J34" i="1027"/>
  <c r="G35" i="1027"/>
  <c r="M174" i="261" s="1"/>
  <c r="L174" i="261"/>
  <c r="N33" i="1027"/>
  <c r="M34" i="1027"/>
  <c r="M35" i="1027" s="1"/>
  <c r="J35" i="1027" l="1"/>
  <c r="T174" i="261" s="1"/>
  <c r="S174" i="261"/>
  <c r="K38" i="1027"/>
  <c r="K39" i="1027" s="1"/>
  <c r="O174" i="261"/>
  <c r="L16" i="1029"/>
  <c r="J16" i="1029"/>
  <c r="M16" i="1029" s="1"/>
  <c r="L14" i="1029"/>
  <c r="J14" i="1029"/>
  <c r="J15" i="1029" s="1"/>
  <c r="G16" i="1029"/>
  <c r="G17" i="1029" s="1"/>
  <c r="G14" i="1029"/>
  <c r="G15" i="1029" s="1"/>
  <c r="G18" i="1029" l="1"/>
  <c r="N16" i="1029"/>
  <c r="J17" i="1029"/>
  <c r="M17" i="1029" s="1"/>
  <c r="N17" i="1029" s="1"/>
  <c r="K16" i="1029"/>
  <c r="J18" i="1029"/>
  <c r="M15" i="1029"/>
  <c r="N15" i="1029" s="1"/>
  <c r="K15" i="1029"/>
  <c r="K14" i="1029"/>
  <c r="M14" i="1029"/>
  <c r="N14" i="1029" s="1"/>
  <c r="J20" i="1029" l="1"/>
  <c r="J21" i="1029" s="1"/>
  <c r="N173" i="261"/>
  <c r="G20" i="1029"/>
  <c r="G21" i="1029" s="1"/>
  <c r="H173" i="261"/>
  <c r="M18" i="1029"/>
  <c r="M20" i="1029" s="1"/>
  <c r="M21" i="1029" s="1"/>
  <c r="M22" i="1029" s="1"/>
  <c r="M23" i="1029" s="1"/>
  <c r="M24" i="1029" s="1"/>
  <c r="K17" i="1029"/>
  <c r="G22" i="1029" l="1"/>
  <c r="J173" i="261"/>
  <c r="J22" i="1029"/>
  <c r="Q173" i="261"/>
  <c r="N22" i="1029"/>
  <c r="R173" i="261" l="1"/>
  <c r="J23" i="1029"/>
  <c r="J27" i="1029"/>
  <c r="J28" i="1029" s="1"/>
  <c r="K22" i="1029"/>
  <c r="K173" i="261"/>
  <c r="G23" i="1029"/>
  <c r="L173" i="261" s="1"/>
  <c r="L14" i="1019"/>
  <c r="J14" i="1019"/>
  <c r="G14" i="1019"/>
  <c r="G15" i="1019" s="1"/>
  <c r="G16" i="1019" l="1"/>
  <c r="J24" i="1029"/>
  <c r="T173" i="261" s="1"/>
  <c r="S173" i="261"/>
  <c r="G24" i="1029"/>
  <c r="M173" i="261" s="1"/>
  <c r="K27" i="1029"/>
  <c r="K28" i="1029" s="1"/>
  <c r="O173" i="261"/>
  <c r="K14" i="1019"/>
  <c r="J15" i="1019"/>
  <c r="J16" i="1019" s="1"/>
  <c r="M14" i="1019"/>
  <c r="J18" i="1019" l="1"/>
  <c r="J19" i="1019" s="1"/>
  <c r="N171" i="261"/>
  <c r="K15" i="1019"/>
  <c r="M15" i="1019"/>
  <c r="N15" i="1019" s="1"/>
  <c r="G18" i="1019"/>
  <c r="G19" i="1019" s="1"/>
  <c r="H171" i="261"/>
  <c r="N14" i="1019"/>
  <c r="M16" i="1019"/>
  <c r="M18" i="1019" s="1"/>
  <c r="M19" i="1019" s="1"/>
  <c r="M20" i="1019" s="1"/>
  <c r="M21" i="1019" s="1"/>
  <c r="M22" i="1019" s="1"/>
  <c r="G20" i="1019" l="1"/>
  <c r="J171" i="261"/>
  <c r="J20" i="1019"/>
  <c r="Q171" i="261"/>
  <c r="N20" i="1019"/>
  <c r="R171" i="261" l="1"/>
  <c r="K20" i="1019"/>
  <c r="J21" i="1019"/>
  <c r="J25" i="1019"/>
  <c r="J26" i="1019" s="1"/>
  <c r="K171" i="261"/>
  <c r="G21" i="1019"/>
  <c r="L43" i="1021"/>
  <c r="J43" i="1021"/>
  <c r="J44" i="1021" s="1"/>
  <c r="L35" i="1021"/>
  <c r="J35" i="1021"/>
  <c r="J36" i="1021" s="1"/>
  <c r="L41" i="1021"/>
  <c r="J41" i="1021"/>
  <c r="M41" i="1021" s="1"/>
  <c r="L40" i="1021"/>
  <c r="J40" i="1021"/>
  <c r="L38" i="1021"/>
  <c r="J38" i="1021"/>
  <c r="M38" i="1021" s="1"/>
  <c r="L37" i="1021"/>
  <c r="J37" i="1021"/>
  <c r="M37" i="1021" s="1"/>
  <c r="L33" i="1021"/>
  <c r="J33" i="1021"/>
  <c r="M33" i="1021" s="1"/>
  <c r="L32" i="1021"/>
  <c r="J32" i="1021"/>
  <c r="L26" i="1021"/>
  <c r="J26" i="1021"/>
  <c r="M26" i="1021" s="1"/>
  <c r="L25" i="1021"/>
  <c r="J25" i="1021"/>
  <c r="L19" i="1021"/>
  <c r="J19" i="1021"/>
  <c r="M19" i="1021" s="1"/>
  <c r="L18" i="1021"/>
  <c r="J18" i="1021"/>
  <c r="M18" i="1021" s="1"/>
  <c r="L30" i="1021"/>
  <c r="J30" i="1021"/>
  <c r="M30" i="1021" s="1"/>
  <c r="L29" i="1021"/>
  <c r="J29" i="1021"/>
  <c r="M29" i="1021" s="1"/>
  <c r="L28" i="1021"/>
  <c r="J28" i="1021"/>
  <c r="L23" i="1021"/>
  <c r="J23" i="1021"/>
  <c r="M23" i="1021" s="1"/>
  <c r="L22" i="1021"/>
  <c r="J22" i="1021"/>
  <c r="M22" i="1021" s="1"/>
  <c r="L21" i="1021"/>
  <c r="J21" i="1021"/>
  <c r="L16" i="1021"/>
  <c r="J16" i="1021"/>
  <c r="M16" i="1021" s="1"/>
  <c r="L15" i="1021"/>
  <c r="J15" i="1021"/>
  <c r="M15" i="1021" s="1"/>
  <c r="L14" i="1021"/>
  <c r="J14" i="1021"/>
  <c r="G43" i="1021"/>
  <c r="G44" i="1021" s="1"/>
  <c r="G41" i="1021"/>
  <c r="G40" i="1021"/>
  <c r="G38" i="1021"/>
  <c r="G37" i="1021"/>
  <c r="G35" i="1021"/>
  <c r="G36" i="1021" s="1"/>
  <c r="G33" i="1021"/>
  <c r="G32" i="1021"/>
  <c r="G30" i="1021"/>
  <c r="G29" i="1021"/>
  <c r="G28" i="1021"/>
  <c r="G26" i="1021"/>
  <c r="G25" i="1021"/>
  <c r="G23" i="1021"/>
  <c r="G22" i="1021"/>
  <c r="G21" i="1021"/>
  <c r="G19" i="1021"/>
  <c r="G18" i="1021"/>
  <c r="G16" i="1021"/>
  <c r="G15" i="1021"/>
  <c r="G14" i="1021"/>
  <c r="J27" i="1021" l="1"/>
  <c r="M27" i="1021" s="1"/>
  <c r="G27" i="1021"/>
  <c r="K23" i="1021"/>
  <c r="G39" i="1021"/>
  <c r="G17" i="1021"/>
  <c r="K17" i="1021" s="1"/>
  <c r="G31" i="1021"/>
  <c r="G42" i="1021"/>
  <c r="J24" i="1021"/>
  <c r="K24" i="1021" s="1"/>
  <c r="G24" i="1021"/>
  <c r="G34" i="1021"/>
  <c r="J17" i="1021"/>
  <c r="M17" i="1021" s="1"/>
  <c r="K25" i="1021"/>
  <c r="M14" i="1021"/>
  <c r="G22" i="1019"/>
  <c r="M171" i="261" s="1"/>
  <c r="L171" i="261"/>
  <c r="N30" i="1021"/>
  <c r="M35" i="1021"/>
  <c r="N35" i="1021" s="1"/>
  <c r="N23" i="1021"/>
  <c r="N18" i="1021"/>
  <c r="K32" i="1021"/>
  <c r="J22" i="1019"/>
  <c r="T171" i="261" s="1"/>
  <c r="S171" i="261"/>
  <c r="N16" i="1021"/>
  <c r="J31" i="1021"/>
  <c r="K31" i="1021" s="1"/>
  <c r="K16" i="1021"/>
  <c r="K25" i="1019"/>
  <c r="K26" i="1019" s="1"/>
  <c r="O171" i="261"/>
  <c r="G20" i="1021"/>
  <c r="K18" i="1021"/>
  <c r="J42" i="1021"/>
  <c r="M40" i="1021"/>
  <c r="K44" i="1021"/>
  <c r="M44" i="1021"/>
  <c r="N44" i="1021" s="1"/>
  <c r="K43" i="1021"/>
  <c r="M43" i="1021"/>
  <c r="N43" i="1021" s="1"/>
  <c r="M36" i="1021"/>
  <c r="N36" i="1021" s="1"/>
  <c r="K36" i="1021"/>
  <c r="K35" i="1021"/>
  <c r="J39" i="1021"/>
  <c r="M32" i="1021"/>
  <c r="N32" i="1021" s="1"/>
  <c r="J34" i="1021"/>
  <c r="M25" i="1021"/>
  <c r="N25" i="1021" s="1"/>
  <c r="J20" i="1021"/>
  <c r="K30" i="1021"/>
  <c r="M28" i="1021"/>
  <c r="M21" i="1021"/>
  <c r="N27" i="1021" l="1"/>
  <c r="K27" i="1021"/>
  <c r="M24" i="1021"/>
  <c r="N24" i="1021" s="1"/>
  <c r="G45" i="1021"/>
  <c r="G47" i="1021" s="1"/>
  <c r="G48" i="1021" s="1"/>
  <c r="N17" i="1021"/>
  <c r="H170" i="261"/>
  <c r="J45" i="1021"/>
  <c r="M31" i="1021"/>
  <c r="N31" i="1021" s="1"/>
  <c r="K42" i="1021"/>
  <c r="M42" i="1021"/>
  <c r="N42" i="1021" s="1"/>
  <c r="M39" i="1021"/>
  <c r="N39" i="1021" s="1"/>
  <c r="K39" i="1021"/>
  <c r="K34" i="1021"/>
  <c r="M34" i="1021"/>
  <c r="N34" i="1021" s="1"/>
  <c r="M20" i="1021"/>
  <c r="N20" i="1021" s="1"/>
  <c r="K20" i="1021"/>
  <c r="J47" i="1021" l="1"/>
  <c r="J48" i="1021" s="1"/>
  <c r="N170" i="261"/>
  <c r="G49" i="1021"/>
  <c r="J170" i="261"/>
  <c r="M45" i="1021"/>
  <c r="M47" i="1021" s="1"/>
  <c r="M48" i="1021" s="1"/>
  <c r="M49" i="1021" s="1"/>
  <c r="M50" i="1021" s="1"/>
  <c r="M51" i="1021" s="1"/>
  <c r="N49" i="1021" l="1"/>
  <c r="K170" i="261"/>
  <c r="G50" i="1021"/>
  <c r="J49" i="1021"/>
  <c r="Q170" i="261"/>
  <c r="J23" i="1023"/>
  <c r="M23" i="1023" s="1"/>
  <c r="K21" i="1023"/>
  <c r="L21" i="1023"/>
  <c r="J21" i="1023"/>
  <c r="M21" i="1023" s="1"/>
  <c r="L20" i="1023"/>
  <c r="J20" i="1023"/>
  <c r="M20" i="1023" s="1"/>
  <c r="L19" i="1023"/>
  <c r="J19" i="1023"/>
  <c r="J22" i="1023" s="1"/>
  <c r="L24" i="1023"/>
  <c r="J24" i="1023"/>
  <c r="L23" i="1023"/>
  <c r="L17" i="1023"/>
  <c r="J17" i="1023"/>
  <c r="L16" i="1023"/>
  <c r="J16" i="1023"/>
  <c r="M16" i="1023" s="1"/>
  <c r="L14" i="1023"/>
  <c r="J14" i="1023"/>
  <c r="J15" i="1023" s="1"/>
  <c r="G24" i="1023"/>
  <c r="G23" i="1023"/>
  <c r="G21" i="1023"/>
  <c r="N21" i="1023" s="1"/>
  <c r="G20" i="1023"/>
  <c r="G19" i="1023"/>
  <c r="G17" i="1023"/>
  <c r="G16" i="1023"/>
  <c r="G18" i="1023" s="1"/>
  <c r="G14" i="1023"/>
  <c r="G15" i="1023" s="1"/>
  <c r="K15" i="1023" l="1"/>
  <c r="N16" i="1023"/>
  <c r="K17" i="1023"/>
  <c r="K16" i="1023"/>
  <c r="G25" i="1023"/>
  <c r="R170" i="261"/>
  <c r="J50" i="1021"/>
  <c r="J54" i="1021"/>
  <c r="J55" i="1021" s="1"/>
  <c r="K49" i="1021"/>
  <c r="G51" i="1021"/>
  <c r="M170" i="261" s="1"/>
  <c r="L170" i="261"/>
  <c r="J18" i="1023"/>
  <c r="K18" i="1023" s="1"/>
  <c r="G22" i="1023"/>
  <c r="K22" i="1023" s="1"/>
  <c r="K14" i="1023"/>
  <c r="K23" i="1023"/>
  <c r="N23" i="1023"/>
  <c r="M22" i="1023"/>
  <c r="M19" i="1023"/>
  <c r="M24" i="1023"/>
  <c r="J25" i="1023"/>
  <c r="M17" i="1023"/>
  <c r="N17" i="1023" s="1"/>
  <c r="M15" i="1023"/>
  <c r="N15" i="1023" s="1"/>
  <c r="M14" i="1023"/>
  <c r="N14" i="1023" s="1"/>
  <c r="K25" i="1023" l="1"/>
  <c r="G26" i="1023"/>
  <c r="N22" i="1023"/>
  <c r="G28" i="1023"/>
  <c r="G29" i="1023" s="1"/>
  <c r="H169" i="261"/>
  <c r="K54" i="1021"/>
  <c r="K55" i="1021" s="1"/>
  <c r="O170" i="261"/>
  <c r="J51" i="1021"/>
  <c r="T170" i="261" s="1"/>
  <c r="S170" i="261"/>
  <c r="J26" i="1023"/>
  <c r="M25" i="1023"/>
  <c r="M18" i="1023"/>
  <c r="N18" i="1023" s="1"/>
  <c r="J28" i="1023" l="1"/>
  <c r="N169" i="261"/>
  <c r="G30" i="1023"/>
  <c r="J169" i="261"/>
  <c r="N25" i="1023"/>
  <c r="M26" i="1023"/>
  <c r="M28" i="1023" s="1"/>
  <c r="M29" i="1023" s="1"/>
  <c r="M30" i="1023" s="1"/>
  <c r="J29" i="1023"/>
  <c r="J30" i="1023" l="1"/>
  <c r="R169" i="261" s="1"/>
  <c r="Q169" i="261"/>
  <c r="K169" i="261"/>
  <c r="G31" i="1023"/>
  <c r="L169" i="261" s="1"/>
  <c r="M31" i="1023"/>
  <c r="M32" i="1023" s="1"/>
  <c r="N30" i="1023"/>
  <c r="J35" i="1023" l="1"/>
  <c r="J36" i="1023" s="1"/>
  <c r="J31" i="1023"/>
  <c r="K30" i="1023"/>
  <c r="G32" i="1023"/>
  <c r="M169" i="261" s="1"/>
  <c r="J32" i="1023"/>
  <c r="T169" i="261" s="1"/>
  <c r="S169" i="261"/>
  <c r="K35" i="1023"/>
  <c r="K36" i="1023" s="1"/>
  <c r="O169" i="261"/>
  <c r="J33" i="1018"/>
  <c r="J23" i="1018"/>
  <c r="M23" i="1018" s="1"/>
  <c r="J21" i="1018"/>
  <c r="J19" i="1018"/>
  <c r="M19" i="1018" s="1"/>
  <c r="J18" i="1018"/>
  <c r="M18" i="1018" s="1"/>
  <c r="J14" i="1018"/>
  <c r="L33" i="1018"/>
  <c r="L32" i="1018"/>
  <c r="J32" i="1018"/>
  <c r="M32" i="1018" s="1"/>
  <c r="L26" i="1018"/>
  <c r="J26" i="1018"/>
  <c r="M26" i="1018" s="1"/>
  <c r="L25" i="1018"/>
  <c r="J25" i="1018"/>
  <c r="M25" i="1018" s="1"/>
  <c r="L19" i="1018"/>
  <c r="L18" i="1018"/>
  <c r="L30" i="1018"/>
  <c r="J30" i="1018"/>
  <c r="M30" i="1018" s="1"/>
  <c r="L29" i="1018"/>
  <c r="J29" i="1018"/>
  <c r="M29" i="1018" s="1"/>
  <c r="L28" i="1018"/>
  <c r="J28" i="1018"/>
  <c r="M28" i="1018" s="1"/>
  <c r="L23" i="1018"/>
  <c r="L22" i="1018"/>
  <c r="J22" i="1018"/>
  <c r="M22" i="1018" s="1"/>
  <c r="L21" i="1018"/>
  <c r="L16" i="1018"/>
  <c r="J16" i="1018"/>
  <c r="M16" i="1018" s="1"/>
  <c r="L15" i="1018"/>
  <c r="J15" i="1018"/>
  <c r="M15" i="1018" s="1"/>
  <c r="L14" i="1018"/>
  <c r="G33" i="1018"/>
  <c r="G32" i="1018"/>
  <c r="G30" i="1018"/>
  <c r="G29" i="1018"/>
  <c r="G28" i="1018"/>
  <c r="G26" i="1018"/>
  <c r="G25" i="1018"/>
  <c r="G23" i="1018"/>
  <c r="G22" i="1018"/>
  <c r="G21" i="1018"/>
  <c r="G19" i="1018"/>
  <c r="G18" i="1018"/>
  <c r="G16" i="1018"/>
  <c r="G15" i="1018"/>
  <c r="G14" i="1018"/>
  <c r="J20" i="1018" l="1"/>
  <c r="G20" i="1018"/>
  <c r="G17" i="1018"/>
  <c r="G27" i="1018"/>
  <c r="J24" i="1018"/>
  <c r="M24" i="1018" s="1"/>
  <c r="N19" i="1018"/>
  <c r="J17" i="1018"/>
  <c r="K17" i="1018" s="1"/>
  <c r="K19" i="1018"/>
  <c r="J31" i="1018"/>
  <c r="J27" i="1018"/>
  <c r="G31" i="1018"/>
  <c r="N30" i="1018"/>
  <c r="K33" i="1018"/>
  <c r="N23" i="1018"/>
  <c r="N26" i="1018"/>
  <c r="N16" i="1018"/>
  <c r="G24" i="1018"/>
  <c r="G34" i="1018"/>
  <c r="J34" i="1018"/>
  <c r="M33" i="1018"/>
  <c r="N33" i="1018" s="1"/>
  <c r="K26" i="1018"/>
  <c r="K30" i="1018"/>
  <c r="K23" i="1018"/>
  <c r="M21" i="1018"/>
  <c r="K16" i="1018"/>
  <c r="M14" i="1018"/>
  <c r="M17" i="1018" l="1"/>
  <c r="N17" i="1018" s="1"/>
  <c r="J35" i="1018"/>
  <c r="G35" i="1018"/>
  <c r="G37" i="1018" s="1"/>
  <c r="G38" i="1018" s="1"/>
  <c r="K24" i="1018"/>
  <c r="J37" i="1018"/>
  <c r="J38" i="1018" s="1"/>
  <c r="N168" i="261"/>
  <c r="N24" i="1018"/>
  <c r="M34" i="1018"/>
  <c r="K34" i="1018"/>
  <c r="M27" i="1018"/>
  <c r="N27" i="1018" s="1"/>
  <c r="K27" i="1018"/>
  <c r="M20" i="1018"/>
  <c r="N20" i="1018" s="1"/>
  <c r="K20" i="1018"/>
  <c r="K31" i="1018"/>
  <c r="M31" i="1018"/>
  <c r="N31" i="1018" s="1"/>
  <c r="H168" i="261" l="1"/>
  <c r="G39" i="1018"/>
  <c r="J168" i="261"/>
  <c r="J39" i="1018"/>
  <c r="Q168" i="261"/>
  <c r="N34" i="1018"/>
  <c r="M35" i="1018"/>
  <c r="M37" i="1018" s="1"/>
  <c r="M38" i="1018" s="1"/>
  <c r="M39" i="1018" s="1"/>
  <c r="R168" i="261" l="1"/>
  <c r="J44" i="1018"/>
  <c r="J45" i="1018" s="1"/>
  <c r="K39" i="1018"/>
  <c r="J40" i="1018"/>
  <c r="S168" i="261" s="1"/>
  <c r="K168" i="261"/>
  <c r="G40" i="1018"/>
  <c r="N39" i="1018"/>
  <c r="M40" i="1018"/>
  <c r="M41" i="1018" s="1"/>
  <c r="G41" i="1018" l="1"/>
  <c r="M168" i="261" s="1"/>
  <c r="L168" i="261"/>
  <c r="K44" i="1018"/>
  <c r="K45" i="1018" s="1"/>
  <c r="O168" i="261"/>
  <c r="J41" i="1018"/>
  <c r="T168" i="261" s="1"/>
  <c r="L18" i="1007"/>
  <c r="J18" i="1007"/>
  <c r="M18" i="1007" s="1"/>
  <c r="L16" i="1007"/>
  <c r="J16" i="1007"/>
  <c r="M16" i="1007" s="1"/>
  <c r="L15" i="1007"/>
  <c r="J15" i="1007"/>
  <c r="M15" i="1007" s="1"/>
  <c r="L14" i="1007"/>
  <c r="J14" i="1007"/>
  <c r="M14" i="1007" s="1"/>
  <c r="G18" i="1007"/>
  <c r="G19" i="1007" s="1"/>
  <c r="G16" i="1007"/>
  <c r="G15" i="1007"/>
  <c r="G14" i="1007"/>
  <c r="G17" i="1007" l="1"/>
  <c r="J17" i="1007"/>
  <c r="M17" i="1007" s="1"/>
  <c r="N16" i="1007"/>
  <c r="K16" i="1007"/>
  <c r="J19" i="1007"/>
  <c r="K19" i="1007" s="1"/>
  <c r="N17" i="1007" l="1"/>
  <c r="K17" i="1007"/>
  <c r="G20" i="1007"/>
  <c r="H167" i="261"/>
  <c r="G22" i="1007"/>
  <c r="G23" i="1007" s="1"/>
  <c r="M19" i="1007"/>
  <c r="M20" i="1007" s="1"/>
  <c r="M22" i="1007" s="1"/>
  <c r="M23" i="1007" s="1"/>
  <c r="M24" i="1007" s="1"/>
  <c r="J20" i="1007"/>
  <c r="J22" i="1007" l="1"/>
  <c r="J23" i="1007" s="1"/>
  <c r="N167" i="261"/>
  <c r="G24" i="1007"/>
  <c r="J167" i="261"/>
  <c r="N19" i="1007"/>
  <c r="N24" i="1007"/>
  <c r="M25" i="1007"/>
  <c r="M26" i="1007" s="1"/>
  <c r="K167" i="261" l="1"/>
  <c r="G25" i="1007"/>
  <c r="J24" i="1007"/>
  <c r="Q167" i="261"/>
  <c r="J14" i="1009"/>
  <c r="L20" i="1009"/>
  <c r="J20" i="1009"/>
  <c r="M20" i="1009" s="1"/>
  <c r="L19" i="1009"/>
  <c r="J19" i="1009"/>
  <c r="M19" i="1009" s="1"/>
  <c r="L18" i="1009"/>
  <c r="J18" i="1009"/>
  <c r="L16" i="1009"/>
  <c r="J16" i="1009"/>
  <c r="M16" i="1009" s="1"/>
  <c r="L15" i="1009"/>
  <c r="J15" i="1009"/>
  <c r="M15" i="1009" s="1"/>
  <c r="L14" i="1009"/>
  <c r="G20" i="1009"/>
  <c r="G19" i="1009"/>
  <c r="G18" i="1009"/>
  <c r="G16" i="1009"/>
  <c r="G15" i="1009"/>
  <c r="G14" i="1009"/>
  <c r="N20" i="1009" l="1"/>
  <c r="G21" i="1009"/>
  <c r="J17" i="1009"/>
  <c r="M17" i="1009" s="1"/>
  <c r="K15" i="1009"/>
  <c r="N16" i="1009"/>
  <c r="N15" i="1009"/>
  <c r="K20" i="1009"/>
  <c r="J29" i="1007"/>
  <c r="J30" i="1007" s="1"/>
  <c r="R167" i="261"/>
  <c r="J25" i="1007"/>
  <c r="K24" i="1007"/>
  <c r="G26" i="1007"/>
  <c r="M167" i="261" s="1"/>
  <c r="L167" i="261"/>
  <c r="G17" i="1009"/>
  <c r="K17" i="1009" s="1"/>
  <c r="K16" i="1009"/>
  <c r="J21" i="1009"/>
  <c r="M18" i="1009"/>
  <c r="M14" i="1009"/>
  <c r="G22" i="1009" l="1"/>
  <c r="K21" i="1009"/>
  <c r="N17" i="1009"/>
  <c r="K29" i="1007"/>
  <c r="K30" i="1007" s="1"/>
  <c r="O167" i="261"/>
  <c r="G24" i="1009"/>
  <c r="G25" i="1009" s="1"/>
  <c r="H166" i="261"/>
  <c r="J26" i="1007"/>
  <c r="T167" i="261" s="1"/>
  <c r="S167" i="261"/>
  <c r="J22" i="1009"/>
  <c r="M21" i="1009"/>
  <c r="N21" i="1009" s="1"/>
  <c r="J24" i="1009" l="1"/>
  <c r="J25" i="1009" s="1"/>
  <c r="N166" i="261"/>
  <c r="G26" i="1009"/>
  <c r="J166" i="261"/>
  <c r="M22" i="1009"/>
  <c r="M24" i="1009" s="1"/>
  <c r="M25" i="1009" s="1"/>
  <c r="M26" i="1009" s="1"/>
  <c r="M27" i="1009" s="1"/>
  <c r="M28" i="1009" s="1"/>
  <c r="K166" i="261" l="1"/>
  <c r="G27" i="1009"/>
  <c r="J26" i="1009"/>
  <c r="Q166" i="261"/>
  <c r="N26" i="1009"/>
  <c r="K26" i="1009" l="1"/>
  <c r="R166" i="261"/>
  <c r="J27" i="1009"/>
  <c r="J31" i="1009"/>
  <c r="J32" i="1009" s="1"/>
  <c r="G28" i="1009"/>
  <c r="M166" i="261" s="1"/>
  <c r="L166" i="261"/>
  <c r="J14" i="1011"/>
  <c r="L14" i="1011"/>
  <c r="G14" i="1011"/>
  <c r="G15" i="1011" s="1"/>
  <c r="G16" i="1011" l="1"/>
  <c r="K14" i="1011"/>
  <c r="J28" i="1009"/>
  <c r="T166" i="261" s="1"/>
  <c r="S166" i="261"/>
  <c r="K31" i="1009"/>
  <c r="K32" i="1009" s="1"/>
  <c r="O166" i="261"/>
  <c r="J16" i="1011"/>
  <c r="M14" i="1011"/>
  <c r="J15" i="1011"/>
  <c r="K15" i="1011" s="1"/>
  <c r="J18" i="1011" l="1"/>
  <c r="J19" i="1011" s="1"/>
  <c r="N165" i="261"/>
  <c r="H165" i="261"/>
  <c r="G18" i="1011"/>
  <c r="N14" i="1011"/>
  <c r="M15" i="1011"/>
  <c r="N15" i="1011" s="1"/>
  <c r="M16" i="1011" l="1"/>
  <c r="M18" i="1011" s="1"/>
  <c r="M19" i="1011" s="1"/>
  <c r="M20" i="1011" s="1"/>
  <c r="N20" i="1011" s="1"/>
  <c r="G19" i="1011"/>
  <c r="J165" i="261" s="1"/>
  <c r="J20" i="1011"/>
  <c r="Q165" i="261"/>
  <c r="M21" i="1011" l="1"/>
  <c r="M22" i="1011" s="1"/>
  <c r="R165" i="261"/>
  <c r="K20" i="1011"/>
  <c r="J25" i="1011"/>
  <c r="J26" i="1011" s="1"/>
  <c r="J21" i="1011"/>
  <c r="S165" i="261" s="1"/>
  <c r="G20" i="1011"/>
  <c r="L15" i="1013"/>
  <c r="L16" i="1013"/>
  <c r="L18" i="1013"/>
  <c r="L19" i="1013"/>
  <c r="L21" i="1013"/>
  <c r="L22" i="1013"/>
  <c r="L24" i="1013"/>
  <c r="L25" i="1013"/>
  <c r="L27" i="1013"/>
  <c r="L28" i="1013"/>
  <c r="L29" i="1013"/>
  <c r="L30" i="1013"/>
  <c r="L31" i="1013"/>
  <c r="L33" i="1013"/>
  <c r="L34" i="1013"/>
  <c r="L36" i="1013"/>
  <c r="L38" i="1013"/>
  <c r="L40" i="1013"/>
  <c r="L41" i="1013"/>
  <c r="L42" i="1013"/>
  <c r="L44" i="1013"/>
  <c r="L45" i="1013"/>
  <c r="L47" i="1013"/>
  <c r="L48" i="1013"/>
  <c r="L49" i="1013"/>
  <c r="L51" i="1013"/>
  <c r="L52" i="1013"/>
  <c r="J15" i="1013"/>
  <c r="M15" i="1013" s="1"/>
  <c r="J16" i="1013"/>
  <c r="M16" i="1013" s="1"/>
  <c r="J18" i="1013"/>
  <c r="M18" i="1013" s="1"/>
  <c r="J19" i="1013"/>
  <c r="M19" i="1013" s="1"/>
  <c r="J21" i="1013"/>
  <c r="J22" i="1013"/>
  <c r="J24" i="1013"/>
  <c r="J25" i="1013"/>
  <c r="M25" i="1013" s="1"/>
  <c r="J27" i="1013"/>
  <c r="M27" i="1013" s="1"/>
  <c r="J28" i="1013"/>
  <c r="M28" i="1013" s="1"/>
  <c r="J29" i="1013"/>
  <c r="M29" i="1013" s="1"/>
  <c r="J30" i="1013"/>
  <c r="J31" i="1013"/>
  <c r="J33" i="1013"/>
  <c r="J34" i="1013"/>
  <c r="J36" i="1013"/>
  <c r="J37" i="1013" s="1"/>
  <c r="M37" i="1013" s="1"/>
  <c r="J38" i="1013"/>
  <c r="J39" i="1013" s="1"/>
  <c r="M39" i="1013" s="1"/>
  <c r="J40" i="1013"/>
  <c r="M40" i="1013" s="1"/>
  <c r="J41" i="1013"/>
  <c r="J42" i="1013"/>
  <c r="M42" i="1013" s="1"/>
  <c r="J44" i="1013"/>
  <c r="J45" i="1013"/>
  <c r="M45" i="1013" s="1"/>
  <c r="J47" i="1013"/>
  <c r="J48" i="1013"/>
  <c r="M48" i="1013" s="1"/>
  <c r="J49" i="1013"/>
  <c r="M49" i="1013" s="1"/>
  <c r="J51" i="1013"/>
  <c r="J52" i="1013"/>
  <c r="J14" i="1013"/>
  <c r="L14" i="1013"/>
  <c r="G52" i="1013"/>
  <c r="G51" i="1013"/>
  <c r="G49" i="1013"/>
  <c r="G48" i="1013"/>
  <c r="G47" i="1013"/>
  <c r="G45" i="1013"/>
  <c r="G44" i="1013"/>
  <c r="G42" i="1013"/>
  <c r="G41" i="1013"/>
  <c r="G40" i="1013"/>
  <c r="G38" i="1013"/>
  <c r="G39" i="1013" s="1"/>
  <c r="G36" i="1013"/>
  <c r="G37" i="1013" s="1"/>
  <c r="G34" i="1013"/>
  <c r="G33" i="1013"/>
  <c r="G31" i="1013"/>
  <c r="G30" i="1013"/>
  <c r="G28" i="1013"/>
  <c r="G27" i="1013"/>
  <c r="G25" i="1013"/>
  <c r="K25" i="1013" s="1"/>
  <c r="G24" i="1013"/>
  <c r="G22" i="1013"/>
  <c r="G21" i="1013"/>
  <c r="G19" i="1013"/>
  <c r="G18" i="1013"/>
  <c r="G16" i="1013"/>
  <c r="K16" i="1013" s="1"/>
  <c r="G15" i="1013"/>
  <c r="G14" i="1013"/>
  <c r="G23" i="1013" l="1"/>
  <c r="G35" i="1013"/>
  <c r="G29" i="1013"/>
  <c r="K29" i="1013" s="1"/>
  <c r="G53" i="1013"/>
  <c r="G26" i="1013"/>
  <c r="K37" i="1013"/>
  <c r="K48" i="1013"/>
  <c r="G17" i="1013"/>
  <c r="K39" i="1013"/>
  <c r="N48" i="1013"/>
  <c r="N25" i="1013"/>
  <c r="K15" i="1013"/>
  <c r="N49" i="1013"/>
  <c r="N39" i="1013"/>
  <c r="N15" i="1013"/>
  <c r="N42" i="1013"/>
  <c r="N37" i="1013"/>
  <c r="K49" i="1013"/>
  <c r="J50" i="1013"/>
  <c r="M50" i="1013" s="1"/>
  <c r="K34" i="1013"/>
  <c r="J26" i="1013"/>
  <c r="K26" i="1013" s="1"/>
  <c r="N45" i="1013"/>
  <c r="K22" i="1013"/>
  <c r="G20" i="1013"/>
  <c r="J46" i="1013"/>
  <c r="M46" i="1013" s="1"/>
  <c r="K31" i="1013"/>
  <c r="J23" i="1013"/>
  <c r="J17" i="1013"/>
  <c r="K42" i="1013"/>
  <c r="N19" i="1013"/>
  <c r="K41" i="1013"/>
  <c r="N29" i="1013"/>
  <c r="N28" i="1013"/>
  <c r="N16" i="1013"/>
  <c r="G32" i="1013"/>
  <c r="J35" i="1013"/>
  <c r="K38" i="1013"/>
  <c r="K28" i="1013"/>
  <c r="M41" i="1013"/>
  <c r="N41" i="1013" s="1"/>
  <c r="M33" i="1013"/>
  <c r="G46" i="1013"/>
  <c r="M24" i="1013"/>
  <c r="K165" i="261"/>
  <c r="G21" i="1011"/>
  <c r="M34" i="1013"/>
  <c r="N34" i="1013" s="1"/>
  <c r="J32" i="1013"/>
  <c r="K36" i="1013"/>
  <c r="M47" i="1013"/>
  <c r="M31" i="1013"/>
  <c r="N31" i="1013" s="1"/>
  <c r="G50" i="1013"/>
  <c r="K52" i="1013"/>
  <c r="J20" i="1013"/>
  <c r="K45" i="1013"/>
  <c r="M38" i="1013"/>
  <c r="N38" i="1013" s="1"/>
  <c r="M30" i="1013"/>
  <c r="M22" i="1013"/>
  <c r="N22" i="1013" s="1"/>
  <c r="J22" i="1011"/>
  <c r="T165" i="261" s="1"/>
  <c r="M51" i="1013"/>
  <c r="J53" i="1013"/>
  <c r="J43" i="1013"/>
  <c r="M21" i="1013"/>
  <c r="M14" i="1013"/>
  <c r="M44" i="1013"/>
  <c r="M36" i="1013"/>
  <c r="N36" i="1013" s="1"/>
  <c r="K25" i="1011"/>
  <c r="K26" i="1011" s="1"/>
  <c r="O165" i="261"/>
  <c r="G43" i="1013"/>
  <c r="K19" i="1013"/>
  <c r="M52" i="1013"/>
  <c r="N52" i="1013" s="1"/>
  <c r="K23" i="1013" l="1"/>
  <c r="M23" i="1013"/>
  <c r="N23" i="1013" s="1"/>
  <c r="N46" i="1013"/>
  <c r="M26" i="1013"/>
  <c r="N26" i="1013" s="1"/>
  <c r="M17" i="1013"/>
  <c r="N17" i="1013" s="1"/>
  <c r="K17" i="1013"/>
  <c r="N50" i="1013"/>
  <c r="G22" i="1011"/>
  <c r="M165" i="261" s="1"/>
  <c r="L165" i="261"/>
  <c r="G54" i="1013"/>
  <c r="M35" i="1013"/>
  <c r="N35" i="1013" s="1"/>
  <c r="K35" i="1013"/>
  <c r="J54" i="1013"/>
  <c r="K46" i="1013"/>
  <c r="K50" i="1013"/>
  <c r="M43" i="1013"/>
  <c r="N43" i="1013" s="1"/>
  <c r="K43" i="1013"/>
  <c r="M20" i="1013"/>
  <c r="N20" i="1013" s="1"/>
  <c r="K20" i="1013"/>
  <c r="K32" i="1013"/>
  <c r="M32" i="1013"/>
  <c r="N32" i="1013" s="1"/>
  <c r="M53" i="1013"/>
  <c r="N53" i="1013" s="1"/>
  <c r="K53" i="1013"/>
  <c r="M54" i="1013" l="1"/>
  <c r="M56" i="1013" s="1"/>
  <c r="M57" i="1013" s="1"/>
  <c r="M58" i="1013" s="1"/>
  <c r="M59" i="1013" s="1"/>
  <c r="M60" i="1013" s="1"/>
  <c r="G56" i="1013"/>
  <c r="G57" i="1013" s="1"/>
  <c r="H164" i="261"/>
  <c r="J56" i="1013"/>
  <c r="J57" i="1013" s="1"/>
  <c r="N164" i="261"/>
  <c r="N58" i="1013"/>
  <c r="G15" i="1000"/>
  <c r="G14" i="1000"/>
  <c r="L15" i="1000"/>
  <c r="J15" i="1000"/>
  <c r="L14" i="1000"/>
  <c r="J14" i="1000"/>
  <c r="M14" i="1000" s="1"/>
  <c r="G16" i="1000" l="1"/>
  <c r="N14" i="1000"/>
  <c r="J58" i="1013"/>
  <c r="Q164" i="261"/>
  <c r="K15" i="1000"/>
  <c r="G58" i="1013"/>
  <c r="J164" i="261"/>
  <c r="J18" i="1000"/>
  <c r="P163" i="261" s="1"/>
  <c r="M15" i="1000"/>
  <c r="N15" i="1000" s="1"/>
  <c r="J16" i="1000"/>
  <c r="J17" i="1000" s="1"/>
  <c r="M18" i="1000"/>
  <c r="K16" i="1000"/>
  <c r="G17" i="1000"/>
  <c r="H163" i="261" s="1"/>
  <c r="G18" i="1000"/>
  <c r="I163" i="261" s="1"/>
  <c r="K14" i="1000"/>
  <c r="K164" i="261" l="1"/>
  <c r="G59" i="1013"/>
  <c r="R164" i="261"/>
  <c r="K58" i="1013"/>
  <c r="J63" i="1013"/>
  <c r="J64" i="1013" s="1"/>
  <c r="J59" i="1013"/>
  <c r="M16" i="1000"/>
  <c r="M17" i="1000" s="1"/>
  <c r="M19" i="1000" s="1"/>
  <c r="J19" i="1000"/>
  <c r="J20" i="1000" s="1"/>
  <c r="N163" i="261"/>
  <c r="G19" i="1000"/>
  <c r="J21" i="1000" l="1"/>
  <c r="R163" i="261" s="1"/>
  <c r="Q163" i="261"/>
  <c r="J60" i="1013"/>
  <c r="T164" i="261" s="1"/>
  <c r="S164" i="261"/>
  <c r="N16" i="1000"/>
  <c r="G60" i="1013"/>
  <c r="M164" i="261" s="1"/>
  <c r="L164" i="261"/>
  <c r="K63" i="1013"/>
  <c r="K64" i="1013" s="1"/>
  <c r="O164" i="261"/>
  <c r="J22" i="1000"/>
  <c r="M20" i="1000"/>
  <c r="M21" i="1000" s="1"/>
  <c r="G20" i="1000"/>
  <c r="L15" i="1002"/>
  <c r="L14" i="1002"/>
  <c r="G15" i="1002"/>
  <c r="G14" i="1002"/>
  <c r="J15" i="1002"/>
  <c r="M15" i="1002" s="1"/>
  <c r="J14" i="1002"/>
  <c r="K14" i="1002" s="1"/>
  <c r="K21" i="1000" l="1"/>
  <c r="G16" i="1002"/>
  <c r="G17" i="1002" s="1"/>
  <c r="H162" i="261" s="1"/>
  <c r="J26" i="1000"/>
  <c r="J27" i="1000" s="1"/>
  <c r="J18" i="1002"/>
  <c r="P162" i="261" s="1"/>
  <c r="G21" i="1000"/>
  <c r="K163" i="261" s="1"/>
  <c r="J163" i="261"/>
  <c r="J23" i="1000"/>
  <c r="T163" i="261" s="1"/>
  <c r="S163" i="261"/>
  <c r="K26" i="1000"/>
  <c r="K27" i="1000" s="1"/>
  <c r="O163" i="261"/>
  <c r="N21" i="1000"/>
  <c r="M22" i="1000"/>
  <c r="M23" i="1000" s="1"/>
  <c r="N15" i="1002"/>
  <c r="K15" i="1002"/>
  <c r="G18" i="1002"/>
  <c r="J16" i="1002"/>
  <c r="M14" i="1002"/>
  <c r="M16" i="1002" s="1"/>
  <c r="M17" i="1002" s="1"/>
  <c r="N16" i="1002" l="1"/>
  <c r="G19" i="1002"/>
  <c r="G20" i="1002" s="1"/>
  <c r="I162" i="261"/>
  <c r="N14" i="1002"/>
  <c r="M18" i="1002"/>
  <c r="M19" i="1002" s="1"/>
  <c r="G22" i="1000"/>
  <c r="J17" i="1002"/>
  <c r="K16" i="1002"/>
  <c r="G21" i="1002" l="1"/>
  <c r="K162" i="261" s="1"/>
  <c r="J162" i="261"/>
  <c r="J19" i="1002"/>
  <c r="N162" i="261"/>
  <c r="G23" i="1000"/>
  <c r="M163" i="261" s="1"/>
  <c r="L163" i="261"/>
  <c r="J20" i="1002"/>
  <c r="M20" i="1002"/>
  <c r="M21" i="1002" s="1"/>
  <c r="G22" i="1002" l="1"/>
  <c r="J21" i="1002"/>
  <c r="R162" i="261" s="1"/>
  <c r="Q162" i="261"/>
  <c r="J22" i="1002"/>
  <c r="J26" i="1002"/>
  <c r="J27" i="1002" s="1"/>
  <c r="K21" i="1002"/>
  <c r="N21" i="1002"/>
  <c r="M22" i="1002"/>
  <c r="M23" i="1002" s="1"/>
  <c r="K26" i="1002" l="1"/>
  <c r="K27" i="1002" s="1"/>
  <c r="O162" i="261"/>
  <c r="J23" i="1002"/>
  <c r="T162" i="261" s="1"/>
  <c r="S162" i="261"/>
  <c r="G23" i="1002"/>
  <c r="M162" i="261" s="1"/>
  <c r="L162" i="261"/>
  <c r="M16" i="1004"/>
  <c r="L15" i="1004"/>
  <c r="L16" i="1004"/>
  <c r="L18" i="1004"/>
  <c r="L19" i="1004"/>
  <c r="L21" i="1004"/>
  <c r="L22" i="1004"/>
  <c r="L23" i="1004"/>
  <c r="L25" i="1004"/>
  <c r="L26" i="1004"/>
  <c r="L27" i="1004"/>
  <c r="L29" i="1004"/>
  <c r="L30" i="1004"/>
  <c r="L31" i="1004"/>
  <c r="L33" i="1004"/>
  <c r="L34" i="1004"/>
  <c r="L14" i="1004"/>
  <c r="J15" i="1004"/>
  <c r="M15" i="1004" s="1"/>
  <c r="J16" i="1004"/>
  <c r="J18" i="1004"/>
  <c r="M18" i="1004" s="1"/>
  <c r="J19" i="1004"/>
  <c r="M19" i="1004" s="1"/>
  <c r="J21" i="1004"/>
  <c r="M21" i="1004" s="1"/>
  <c r="J22" i="1004"/>
  <c r="M22" i="1004" s="1"/>
  <c r="J23" i="1004"/>
  <c r="M23" i="1004" s="1"/>
  <c r="J25" i="1004"/>
  <c r="M25" i="1004" s="1"/>
  <c r="J26" i="1004"/>
  <c r="M26" i="1004" s="1"/>
  <c r="J27" i="1004"/>
  <c r="M27" i="1004" s="1"/>
  <c r="J29" i="1004"/>
  <c r="M29" i="1004" s="1"/>
  <c r="J30" i="1004"/>
  <c r="M30" i="1004" s="1"/>
  <c r="J31" i="1004"/>
  <c r="J33" i="1004"/>
  <c r="M33" i="1004" s="1"/>
  <c r="J34" i="1004"/>
  <c r="M34" i="1004" s="1"/>
  <c r="J14" i="1004"/>
  <c r="J17" i="1004" l="1"/>
  <c r="M17" i="1004" s="1"/>
  <c r="M14" i="1004"/>
  <c r="J28" i="1004"/>
  <c r="M28" i="1004" s="1"/>
  <c r="J24" i="1004"/>
  <c r="J20" i="1004"/>
  <c r="M20" i="1004" s="1"/>
  <c r="J35" i="1004"/>
  <c r="J32" i="1004"/>
  <c r="M31" i="1004"/>
  <c r="M24" i="1004" l="1"/>
  <c r="M35" i="1004"/>
  <c r="M32" i="1004"/>
  <c r="J36" i="1004"/>
  <c r="J38" i="1004" l="1"/>
  <c r="N161" i="261"/>
  <c r="J39" i="1004"/>
  <c r="M36" i="1004"/>
  <c r="M38" i="1004" s="1"/>
  <c r="M39" i="1004" s="1"/>
  <c r="M40" i="1004" s="1"/>
  <c r="M41" i="1004" s="1"/>
  <c r="J40" i="1004" l="1"/>
  <c r="R161" i="261" s="1"/>
  <c r="Q161" i="261"/>
  <c r="M42" i="1004"/>
  <c r="J41" i="1004" l="1"/>
  <c r="J45" i="1004"/>
  <c r="J46" i="1004" s="1"/>
  <c r="G34" i="1004"/>
  <c r="G33" i="1004"/>
  <c r="G31" i="1004"/>
  <c r="G30" i="1004"/>
  <c r="G29" i="1004"/>
  <c r="G27" i="1004"/>
  <c r="G26" i="1004"/>
  <c r="G25" i="1004"/>
  <c r="G23" i="1004"/>
  <c r="G22" i="1004"/>
  <c r="G21" i="1004"/>
  <c r="G18" i="1004"/>
  <c r="G16" i="1004"/>
  <c r="G15" i="1004"/>
  <c r="G14" i="1004"/>
  <c r="K31" i="1004" l="1"/>
  <c r="N31" i="1004"/>
  <c r="N33" i="1004"/>
  <c r="K33" i="1004"/>
  <c r="K23" i="1004"/>
  <c r="N23" i="1004"/>
  <c r="K34" i="1004"/>
  <c r="N34" i="1004"/>
  <c r="K27" i="1004"/>
  <c r="N27" i="1004"/>
  <c r="J42" i="1004"/>
  <c r="T161" i="261" s="1"/>
  <c r="S161" i="261"/>
  <c r="K16" i="1004"/>
  <c r="N16" i="1004"/>
  <c r="G20" i="1004"/>
  <c r="G35" i="1004"/>
  <c r="G32" i="1004"/>
  <c r="G24" i="1004"/>
  <c r="G28" i="1004"/>
  <c r="G17" i="1004"/>
  <c r="K35" i="1004" l="1"/>
  <c r="N35" i="1004"/>
  <c r="K17" i="1004"/>
  <c r="N17" i="1004"/>
  <c r="K28" i="1004"/>
  <c r="N28" i="1004"/>
  <c r="K24" i="1004"/>
  <c r="N24" i="1004"/>
  <c r="K32" i="1004"/>
  <c r="N32" i="1004"/>
  <c r="G36" i="1004"/>
  <c r="H161" i="261" l="1"/>
  <c r="N40" i="1004"/>
  <c r="K40" i="1004"/>
  <c r="G38" i="1004"/>
  <c r="G39" i="1004" s="1"/>
  <c r="J161" i="261" s="1"/>
  <c r="K45" i="1004" l="1"/>
  <c r="K46" i="1004" s="1"/>
  <c r="O161" i="261"/>
  <c r="G40" i="1004"/>
  <c r="K161" i="261" s="1"/>
  <c r="G41" i="1004" l="1"/>
  <c r="G42" i="1004" l="1"/>
  <c r="M161" i="261" s="1"/>
  <c r="L161" i="261"/>
  <c r="L16" i="997"/>
  <c r="J16" i="997"/>
  <c r="M16" i="997" s="1"/>
  <c r="G16" i="997"/>
  <c r="L15" i="997"/>
  <c r="J15" i="997"/>
  <c r="G15" i="997"/>
  <c r="L14" i="997"/>
  <c r="J14" i="997"/>
  <c r="M14" i="997" s="1"/>
  <c r="G14" i="997"/>
  <c r="N16" i="997" l="1"/>
  <c r="K15" i="997"/>
  <c r="G17" i="997"/>
  <c r="G18" i="997" s="1"/>
  <c r="K16" i="997"/>
  <c r="M15" i="997"/>
  <c r="N15" i="997" s="1"/>
  <c r="J17" i="997"/>
  <c r="G20" i="997" l="1"/>
  <c r="H160" i="261"/>
  <c r="K17" i="997"/>
  <c r="J18" i="997"/>
  <c r="M17" i="997"/>
  <c r="J20" i="997" l="1"/>
  <c r="J21" i="997" s="1"/>
  <c r="N160" i="261"/>
  <c r="G21" i="997"/>
  <c r="K160" i="261"/>
  <c r="N17" i="997"/>
  <c r="M18" i="997"/>
  <c r="M20" i="997" s="1"/>
  <c r="J22" i="997" l="1"/>
  <c r="R160" i="261" s="1"/>
  <c r="Q160" i="261"/>
  <c r="G22" i="997"/>
  <c r="J160" i="261"/>
  <c r="M21" i="997"/>
  <c r="M22" i="997" s="1"/>
  <c r="J23" i="997" l="1"/>
  <c r="K22" i="997"/>
  <c r="O160" i="261" s="1"/>
  <c r="J27" i="997"/>
  <c r="J28" i="997" s="1"/>
  <c r="J24" i="997"/>
  <c r="T160" i="261" s="1"/>
  <c r="S160" i="261"/>
  <c r="G23" i="997"/>
  <c r="L160" i="261" s="1"/>
  <c r="G24" i="997"/>
  <c r="M160" i="261" s="1"/>
  <c r="K27" i="997"/>
  <c r="K28" i="997" s="1"/>
  <c r="N22" i="997"/>
  <c r="M23" i="997"/>
  <c r="M24" i="997" s="1"/>
  <c r="O18" i="953"/>
  <c r="O20" i="953"/>
  <c r="M20" i="953"/>
  <c r="M18" i="953"/>
  <c r="M16" i="953"/>
  <c r="M14" i="953"/>
  <c r="O15" i="943"/>
  <c r="O16" i="943"/>
  <c r="O17" i="943"/>
  <c r="O18" i="943"/>
  <c r="O19" i="943"/>
  <c r="O20" i="943"/>
  <c r="O21" i="943"/>
  <c r="O22" i="943"/>
  <c r="O23" i="943"/>
  <c r="O24" i="943"/>
  <c r="O25" i="943"/>
  <c r="O14" i="943"/>
  <c r="M26" i="943"/>
  <c r="M24" i="943"/>
  <c r="M25" i="943" s="1"/>
  <c r="M22" i="943"/>
  <c r="M21" i="943"/>
  <c r="M19" i="943"/>
  <c r="M18" i="943"/>
  <c r="M16" i="943"/>
  <c r="M17" i="943" s="1"/>
  <c r="M14" i="943"/>
  <c r="O15" i="987"/>
  <c r="O14" i="987"/>
  <c r="M15" i="987"/>
  <c r="M14" i="987"/>
  <c r="O15" i="936"/>
  <c r="O17" i="936"/>
  <c r="O18" i="936"/>
  <c r="O20" i="936"/>
  <c r="O21" i="936"/>
  <c r="O22" i="936"/>
  <c r="O24" i="936"/>
  <c r="O25" i="936"/>
  <c r="O27" i="936"/>
  <c r="O28" i="936"/>
  <c r="O29" i="936"/>
  <c r="O14" i="936"/>
  <c r="M28" i="936"/>
  <c r="M29" i="936"/>
  <c r="M27" i="936"/>
  <c r="M25" i="936"/>
  <c r="M24" i="936"/>
  <c r="M21" i="936"/>
  <c r="M22" i="936"/>
  <c r="M20" i="936"/>
  <c r="M18" i="936"/>
  <c r="M17" i="936"/>
  <c r="M15" i="936"/>
  <c r="M14" i="936"/>
  <c r="O16" i="916"/>
  <c r="O17" i="916"/>
  <c r="O18" i="916"/>
  <c r="O14" i="916"/>
  <c r="M17" i="916"/>
  <c r="M18" i="916"/>
  <c r="M16" i="916"/>
  <c r="M14" i="916"/>
  <c r="Q16" i="915"/>
  <c r="Q18" i="915"/>
  <c r="Q14" i="915"/>
  <c r="T14" i="914"/>
  <c r="Q16" i="902"/>
  <c r="Q18" i="902"/>
  <c r="Q22" i="902"/>
  <c r="Q24" i="902"/>
  <c r="Q14" i="902"/>
  <c r="Q15" i="896"/>
  <c r="Q18" i="896"/>
  <c r="Q19" i="896"/>
  <c r="Q22" i="896"/>
  <c r="Q23" i="896"/>
  <c r="Q24" i="896"/>
  <c r="Q14" i="896"/>
  <c r="Q15" i="895"/>
  <c r="Q16" i="895"/>
  <c r="Q19" i="895"/>
  <c r="Q20" i="895"/>
  <c r="Q15" i="890"/>
  <c r="Q17" i="890"/>
  <c r="Q18" i="890"/>
  <c r="Q14" i="890"/>
  <c r="Q14" i="887"/>
  <c r="Q15" i="887"/>
  <c r="Q17" i="887"/>
  <c r="Q19" i="887"/>
  <c r="Q20" i="887"/>
  <c r="Q11" i="887"/>
  <c r="T12" i="886"/>
  <c r="T13" i="886"/>
  <c r="T14" i="886"/>
  <c r="T15" i="886"/>
  <c r="T16" i="886"/>
  <c r="T17" i="886"/>
  <c r="T18" i="886"/>
  <c r="T19" i="886"/>
  <c r="T20" i="886"/>
  <c r="T11" i="886"/>
  <c r="T12" i="885"/>
  <c r="T14" i="885"/>
  <c r="T19" i="885"/>
  <c r="T11" i="885"/>
  <c r="Q14" i="884"/>
  <c r="Q15" i="884"/>
  <c r="Q17" i="884"/>
  <c r="Q11" i="884"/>
  <c r="Q13" i="883"/>
  <c r="Q16" i="883"/>
  <c r="Q18" i="883"/>
  <c r="Q21" i="883"/>
  <c r="Q24" i="883"/>
  <c r="Q26" i="883"/>
  <c r="Q28" i="883"/>
  <c r="Q11" i="883"/>
  <c r="Q17" i="882"/>
  <c r="Q15" i="882"/>
  <c r="Q14" i="882"/>
  <c r="Q11" i="882"/>
  <c r="Q12" i="881"/>
  <c r="Q13" i="881"/>
  <c r="Q15" i="881"/>
  <c r="Q17" i="881"/>
  <c r="Q18" i="881"/>
  <c r="Q20" i="881"/>
  <c r="Q21" i="881"/>
  <c r="Q23" i="881"/>
  <c r="Q24" i="881"/>
  <c r="Q25" i="881"/>
  <c r="Q27" i="881"/>
  <c r="Q28" i="881"/>
  <c r="Q11" i="881"/>
  <c r="Q15" i="878"/>
  <c r="Q16" i="878"/>
  <c r="Q17" i="878"/>
  <c r="Q18" i="878"/>
  <c r="Q19" i="878"/>
  <c r="Q20" i="878"/>
  <c r="Q22" i="878"/>
  <c r="Q24" i="878"/>
  <c r="Q25" i="878"/>
  <c r="Q27" i="878"/>
  <c r="Q29" i="878"/>
  <c r="Q30" i="878"/>
  <c r="Q31" i="878"/>
  <c r="Q32" i="878"/>
  <c r="Q33" i="878"/>
  <c r="Q15" i="877"/>
  <c r="Q17" i="877"/>
  <c r="Q18" i="877"/>
  <c r="Q19" i="877"/>
  <c r="Q20" i="877"/>
  <c r="Q21" i="877"/>
  <c r="Q22" i="877"/>
  <c r="Q24" i="877"/>
  <c r="Q25" i="877"/>
  <c r="Q27" i="877"/>
  <c r="Q28" i="877"/>
  <c r="Q29" i="877"/>
  <c r="Q30" i="877"/>
  <c r="Q31" i="877"/>
  <c r="Q32" i="877"/>
  <c r="Q33" i="877"/>
  <c r="Q14" i="877"/>
  <c r="Q12" i="880"/>
  <c r="Q13" i="880"/>
  <c r="Q15" i="880"/>
  <c r="Q16" i="880"/>
  <c r="Q19" i="880"/>
  <c r="Q20" i="880"/>
  <c r="Q22" i="880"/>
  <c r="Q23" i="880"/>
  <c r="Q15" i="876"/>
  <c r="Q16" i="876"/>
  <c r="Q18" i="876"/>
  <c r="Q19" i="876"/>
  <c r="Q14" i="876"/>
  <c r="Q12" i="875"/>
  <c r="Q13" i="875"/>
  <c r="Q14" i="875"/>
  <c r="Q15" i="875"/>
  <c r="Q16" i="875"/>
  <c r="Q17" i="875"/>
  <c r="Q18" i="875"/>
  <c r="Q19" i="875"/>
  <c r="Q20" i="875"/>
  <c r="Q21" i="875"/>
  <c r="Q22" i="875"/>
  <c r="Q23" i="875"/>
  <c r="Q24" i="875"/>
  <c r="Q11" i="875"/>
  <c r="Q15" i="873"/>
  <c r="Q17" i="873"/>
  <c r="Q19" i="873"/>
  <c r="Q20" i="873"/>
  <c r="Q22" i="873"/>
  <c r="Q23" i="873"/>
  <c r="Q14" i="873"/>
  <c r="Q15" i="871"/>
  <c r="Q16" i="871"/>
  <c r="Q18" i="871"/>
  <c r="Q19" i="871"/>
  <c r="Q20" i="871"/>
  <c r="Q22" i="871"/>
  <c r="Q14" i="871"/>
  <c r="T15" i="869"/>
  <c r="T16" i="869"/>
  <c r="T18" i="869"/>
  <c r="T14" i="869"/>
  <c r="Q15" i="867"/>
  <c r="Q16" i="867"/>
  <c r="Q18" i="867"/>
  <c r="Q19" i="867"/>
  <c r="Q14" i="867"/>
  <c r="Q16" i="813"/>
  <c r="Q18" i="813"/>
  <c r="Q20" i="813"/>
  <c r="Q23" i="813"/>
  <c r="Q25" i="813"/>
  <c r="Q27" i="813"/>
  <c r="Q31" i="813"/>
  <c r="Q37" i="813"/>
  <c r="Q39" i="813"/>
  <c r="Q41" i="813"/>
  <c r="Q14" i="813"/>
  <c r="T15" i="812"/>
  <c r="T16" i="812"/>
  <c r="T18" i="812"/>
  <c r="T19" i="812"/>
  <c r="T21" i="812"/>
  <c r="T22" i="812"/>
  <c r="T25" i="812"/>
  <c r="T31" i="812"/>
  <c r="T32" i="812"/>
  <c r="T33" i="812"/>
  <c r="T35" i="812"/>
  <c r="T36" i="812"/>
  <c r="T14" i="812"/>
  <c r="R15" i="812"/>
  <c r="R16" i="812"/>
  <c r="R14" i="812"/>
  <c r="T15" i="809"/>
  <c r="T16" i="809"/>
  <c r="T18" i="809"/>
  <c r="T19" i="809"/>
  <c r="T21" i="809"/>
  <c r="T22" i="809"/>
  <c r="T25" i="809"/>
  <c r="T32" i="809"/>
  <c r="T33" i="809"/>
  <c r="T35" i="809"/>
  <c r="T36" i="809"/>
  <c r="T14" i="809"/>
  <c r="Q15" i="796"/>
  <c r="Q16" i="796"/>
  <c r="Q17" i="796"/>
  <c r="Q18" i="796"/>
  <c r="Q19" i="796"/>
  <c r="Q20" i="796"/>
  <c r="Q21" i="796"/>
  <c r="Q23" i="796"/>
  <c r="Q24" i="796"/>
  <c r="Q25" i="796"/>
  <c r="Q26" i="796"/>
  <c r="Q14" i="796"/>
  <c r="O15" i="625"/>
  <c r="O16" i="625"/>
  <c r="O17" i="625"/>
  <c r="O18" i="625"/>
  <c r="O19" i="625"/>
  <c r="O20" i="625"/>
  <c r="O21" i="625"/>
  <c r="O22" i="625"/>
  <c r="O23" i="625"/>
  <c r="O24" i="625"/>
  <c r="O25" i="625"/>
  <c r="O26" i="625"/>
  <c r="O27" i="625"/>
  <c r="O28" i="625"/>
  <c r="O29" i="625"/>
  <c r="O30" i="625"/>
  <c r="O31" i="625"/>
  <c r="O32" i="625"/>
  <c r="O33" i="625"/>
  <c r="O34" i="625"/>
  <c r="O35" i="625"/>
  <c r="O36" i="625"/>
  <c r="O37" i="625"/>
  <c r="O14" i="625"/>
  <c r="M37" i="625"/>
  <c r="M36" i="625"/>
  <c r="M34" i="625"/>
  <c r="M33" i="625"/>
  <c r="M32" i="625"/>
  <c r="M30" i="625"/>
  <c r="M29" i="625"/>
  <c r="M27" i="625"/>
  <c r="M26" i="625"/>
  <c r="M25" i="625"/>
  <c r="M23" i="625"/>
  <c r="M22" i="625"/>
  <c r="M24" i="625" s="1"/>
  <c r="M20" i="625"/>
  <c r="M19" i="625"/>
  <c r="M18" i="625"/>
  <c r="M16" i="625"/>
  <c r="M15" i="625"/>
  <c r="M14" i="625"/>
  <c r="O15" i="624"/>
  <c r="O16" i="624"/>
  <c r="O17" i="624"/>
  <c r="O18" i="624"/>
  <c r="O19" i="624"/>
  <c r="O20" i="624"/>
  <c r="O21" i="624"/>
  <c r="O22" i="624"/>
  <c r="O23" i="624"/>
  <c r="O24" i="624"/>
  <c r="O25" i="624"/>
  <c r="O26" i="624"/>
  <c r="O27" i="624"/>
  <c r="O28" i="624"/>
  <c r="O29" i="624"/>
  <c r="O30" i="624"/>
  <c r="O14" i="624"/>
  <c r="M30" i="624"/>
  <c r="M27" i="624"/>
  <c r="M23" i="624"/>
  <c r="M20" i="624"/>
  <c r="M16" i="624"/>
  <c r="M15" i="624"/>
  <c r="M29" i="624"/>
  <c r="M26" i="624"/>
  <c r="M25" i="624"/>
  <c r="M22" i="624"/>
  <c r="M19" i="624"/>
  <c r="M18" i="624"/>
  <c r="M14" i="624"/>
  <c r="T15" i="621"/>
  <c r="T14" i="621"/>
  <c r="Z15" i="630"/>
  <c r="Z16" i="630"/>
  <c r="Z17" i="630"/>
  <c r="Z18" i="630"/>
  <c r="Z19" i="630"/>
  <c r="Z20" i="630"/>
  <c r="Z21" i="630"/>
  <c r="Z22" i="630"/>
  <c r="Z23" i="630"/>
  <c r="Z24" i="630"/>
  <c r="Z25" i="630"/>
  <c r="Z26" i="630"/>
  <c r="Z27" i="630"/>
  <c r="Z28" i="630"/>
  <c r="Z29" i="630"/>
  <c r="Z30" i="630"/>
  <c r="Z31" i="630"/>
  <c r="Z32" i="630"/>
  <c r="Z33" i="630"/>
  <c r="Z34" i="630"/>
  <c r="Z35" i="630"/>
  <c r="Z36" i="630"/>
  <c r="Z37" i="630"/>
  <c r="Z38" i="630"/>
  <c r="Z39" i="630"/>
  <c r="Z40" i="630"/>
  <c r="Z41" i="630"/>
  <c r="Z42" i="630"/>
  <c r="Z43" i="630"/>
  <c r="Z44" i="630"/>
  <c r="Z45" i="630"/>
  <c r="Z46" i="630"/>
  <c r="Z47" i="630"/>
  <c r="Z48" i="630"/>
  <c r="Z49" i="630"/>
  <c r="Z50" i="630"/>
  <c r="Z51" i="630"/>
  <c r="Z52" i="630"/>
  <c r="Z53" i="630"/>
  <c r="Z54" i="630"/>
  <c r="Z55" i="630"/>
  <c r="Z14" i="630"/>
  <c r="X17" i="630"/>
  <c r="X21" i="630"/>
  <c r="X24" i="630"/>
  <c r="X28" i="630"/>
  <c r="X31" i="630"/>
  <c r="X35" i="630"/>
  <c r="X38" i="630"/>
  <c r="X42" i="630"/>
  <c r="X45" i="630"/>
  <c r="X48" i="630"/>
  <c r="X51" i="630"/>
  <c r="X53" i="630"/>
  <c r="X56" i="630"/>
  <c r="Q15" i="610"/>
  <c r="Q16" i="610"/>
  <c r="Q17" i="610"/>
  <c r="Q15" i="607"/>
  <c r="Q17" i="607"/>
  <c r="Q15" i="601"/>
  <c r="T14" i="573"/>
  <c r="W15" i="568"/>
  <c r="W18" i="568"/>
  <c r="W15" i="565"/>
  <c r="W17" i="565"/>
  <c r="W18" i="565"/>
  <c r="W14" i="565"/>
  <c r="Z24" i="562"/>
  <c r="Z15" i="562"/>
  <c r="Z16" i="562"/>
  <c r="Z17" i="562"/>
  <c r="Z18" i="562"/>
  <c r="Z19" i="562"/>
  <c r="Z20" i="562"/>
  <c r="Z21" i="562"/>
  <c r="Z22" i="562"/>
  <c r="Z23" i="562"/>
  <c r="Z25" i="562"/>
  <c r="Z27" i="562"/>
  <c r="Z28" i="562"/>
  <c r="Z14" i="562"/>
  <c r="U15" i="551"/>
  <c r="U16" i="551"/>
  <c r="U17" i="551"/>
  <c r="U18" i="551"/>
  <c r="U19" i="551"/>
  <c r="U20" i="551"/>
  <c r="U21" i="551"/>
  <c r="U22" i="551"/>
  <c r="U23" i="551"/>
  <c r="U24" i="551"/>
  <c r="U25" i="551"/>
  <c r="U26" i="551"/>
  <c r="U27" i="551"/>
  <c r="U28" i="551"/>
  <c r="U14" i="551"/>
  <c r="S28" i="551"/>
  <c r="S26" i="551"/>
  <c r="S24" i="551"/>
  <c r="S22" i="551"/>
  <c r="S20" i="551"/>
  <c r="S21" i="551" s="1"/>
  <c r="S18" i="551"/>
  <c r="S17" i="551"/>
  <c r="S15" i="551"/>
  <c r="S14" i="551"/>
  <c r="Z16" i="596"/>
  <c r="Z24" i="596"/>
  <c r="Z14" i="596"/>
  <c r="O14" i="548"/>
  <c r="T28" i="548"/>
  <c r="AC15" i="455"/>
  <c r="AC17" i="455"/>
  <c r="AC18" i="455"/>
  <c r="AC20" i="455"/>
  <c r="AC21" i="455"/>
  <c r="AC23" i="455"/>
  <c r="AC24" i="455"/>
  <c r="AC14" i="455"/>
  <c r="W20" i="399"/>
  <c r="W21" i="399"/>
  <c r="W22" i="399"/>
  <c r="W14" i="399"/>
  <c r="Z21" i="259"/>
  <c r="Z15" i="259"/>
  <c r="Z16" i="259"/>
  <c r="Z18" i="259"/>
  <c r="Z19" i="259"/>
  <c r="Z23" i="259"/>
  <c r="Z25" i="259"/>
  <c r="Z26" i="259"/>
  <c r="Z27" i="259"/>
  <c r="Z29" i="259"/>
  <c r="Z30" i="259"/>
  <c r="Z32" i="259"/>
  <c r="Z33" i="259"/>
  <c r="Z14" i="259"/>
  <c r="Z15" i="432"/>
  <c r="Z17" i="432"/>
  <c r="Z18" i="432"/>
  <c r="Z20" i="432"/>
  <c r="Z21" i="432"/>
  <c r="Z23" i="432"/>
  <c r="Z24" i="432"/>
  <c r="Z26" i="432"/>
  <c r="Z27" i="432"/>
  <c r="Z14" i="432"/>
  <c r="R15" i="860"/>
  <c r="R17" i="860"/>
  <c r="R18" i="860"/>
  <c r="R20" i="860"/>
  <c r="R22" i="860"/>
  <c r="R23" i="860"/>
  <c r="R24" i="860"/>
  <c r="R26" i="860"/>
  <c r="R27" i="860"/>
  <c r="R28" i="860"/>
  <c r="R30" i="860"/>
  <c r="R31" i="860"/>
  <c r="R32" i="860"/>
  <c r="R34" i="860"/>
  <c r="R35" i="860"/>
  <c r="R37" i="860"/>
  <c r="R38" i="860"/>
  <c r="R14" i="860"/>
  <c r="P38" i="860"/>
  <c r="P37" i="860"/>
  <c r="P35" i="860"/>
  <c r="P34" i="860"/>
  <c r="P31" i="860"/>
  <c r="P32" i="860"/>
  <c r="P30" i="860"/>
  <c r="P27" i="860"/>
  <c r="P28" i="860"/>
  <c r="P26" i="860"/>
  <c r="P23" i="860"/>
  <c r="P24" i="860"/>
  <c r="P22" i="860"/>
  <c r="P20" i="860"/>
  <c r="P21" i="860" s="1"/>
  <c r="P18" i="860"/>
  <c r="P17" i="860"/>
  <c r="P15" i="860"/>
  <c r="P14" i="860"/>
  <c r="P16" i="860" s="1"/>
  <c r="AD16" i="303"/>
  <c r="AD20" i="303"/>
  <c r="AD22" i="303"/>
  <c r="AD24" i="303"/>
  <c r="AD14" i="303"/>
  <c r="AB24" i="303"/>
  <c r="AB25" i="303" s="1"/>
  <c r="AB22" i="303"/>
  <c r="AB23" i="303" s="1"/>
  <c r="AB20" i="303"/>
  <c r="AB21" i="303" s="1"/>
  <c r="AB18" i="303"/>
  <c r="AB19" i="303" s="1"/>
  <c r="AB16" i="303"/>
  <c r="AB14" i="303"/>
  <c r="AB15" i="303" s="1"/>
  <c r="Z16" i="593"/>
  <c r="Z17" i="593"/>
  <c r="Z19" i="593"/>
  <c r="Z20" i="593"/>
  <c r="Z21" i="593"/>
  <c r="Z23" i="593"/>
  <c r="Z24" i="593"/>
  <c r="Z25" i="593"/>
  <c r="Z27" i="593"/>
  <c r="Z28" i="593"/>
  <c r="Z29" i="593"/>
  <c r="Z31" i="593"/>
  <c r="Z32" i="593"/>
  <c r="Z33" i="593"/>
  <c r="Z34" i="593"/>
  <c r="Z35" i="593"/>
  <c r="Z36" i="593"/>
  <c r="Z37" i="593"/>
  <c r="Z38" i="593"/>
  <c r="Z39" i="593"/>
  <c r="Z40" i="593"/>
  <c r="Z41" i="593"/>
  <c r="Z42" i="593"/>
  <c r="Z43" i="593"/>
  <c r="Z44" i="593"/>
  <c r="Z45" i="593"/>
  <c r="Z46" i="593"/>
  <c r="Z47" i="593"/>
  <c r="Z48" i="593"/>
  <c r="Z49" i="593"/>
  <c r="Z51" i="593"/>
  <c r="Z53" i="593"/>
  <c r="Z54" i="593"/>
  <c r="Z56" i="593"/>
  <c r="Z57" i="593"/>
  <c r="Z59" i="593"/>
  <c r="Z61" i="593"/>
  <c r="Z62" i="593"/>
  <c r="Z63" i="593"/>
  <c r="Z64" i="593"/>
  <c r="Z65" i="593"/>
  <c r="Z66" i="593"/>
  <c r="Z67" i="593"/>
  <c r="Z68" i="593"/>
  <c r="Z69" i="593"/>
  <c r="Z70" i="593"/>
  <c r="Z14" i="593"/>
  <c r="W15" i="509"/>
  <c r="W17" i="509"/>
  <c r="W18" i="509"/>
  <c r="W20" i="509"/>
  <c r="W21" i="509"/>
  <c r="W14" i="509"/>
  <c r="AC16" i="504"/>
  <c r="AC17" i="504"/>
  <c r="AC19" i="504"/>
  <c r="AC20" i="504"/>
  <c r="AC22" i="504"/>
  <c r="AC24" i="504"/>
  <c r="AC14" i="504"/>
  <c r="Z19" i="282"/>
  <c r="Z20" i="282"/>
  <c r="Z21" i="282"/>
  <c r="Z23" i="282"/>
  <c r="Z24" i="282"/>
  <c r="Z25" i="282"/>
  <c r="Z27" i="282"/>
  <c r="Z28" i="282"/>
  <c r="Z29" i="282"/>
  <c r="Z31" i="282"/>
  <c r="Z32" i="282"/>
  <c r="Z33" i="282"/>
  <c r="Z35" i="282"/>
  <c r="Z36" i="282"/>
  <c r="Z37" i="282"/>
  <c r="Z39" i="282"/>
  <c r="Z40" i="282"/>
  <c r="Z41" i="282"/>
  <c r="Z43" i="282"/>
  <c r="Z44" i="282"/>
  <c r="Z45" i="282"/>
  <c r="Z47" i="282"/>
  <c r="Z48" i="282"/>
  <c r="Z49" i="282"/>
  <c r="Z53" i="282"/>
  <c r="Z54" i="282"/>
  <c r="Z55" i="282"/>
  <c r="Z57" i="282"/>
  <c r="Z58" i="282"/>
  <c r="Z59" i="282"/>
  <c r="Z61" i="282"/>
  <c r="Z62" i="282"/>
  <c r="Z63" i="282"/>
  <c r="Z65" i="282"/>
  <c r="Z66" i="282"/>
  <c r="Z67" i="282"/>
  <c r="Z69" i="282"/>
  <c r="Z70" i="282"/>
  <c r="Z71" i="282"/>
  <c r="Z17" i="282"/>
  <c r="Z16" i="282"/>
  <c r="Z14" i="282"/>
  <c r="AF36" i="495"/>
  <c r="AF34" i="495"/>
  <c r="AF31" i="495"/>
  <c r="AF32" i="495"/>
  <c r="AF30" i="495"/>
  <c r="AF27" i="495"/>
  <c r="AF28" i="495"/>
  <c r="AF26" i="495"/>
  <c r="AF23" i="495"/>
  <c r="AF24" i="495"/>
  <c r="AF22" i="495"/>
  <c r="AF20" i="495"/>
  <c r="AF18" i="495"/>
  <c r="AF16" i="495"/>
  <c r="AF14" i="495"/>
  <c r="W14" i="486"/>
  <c r="W19" i="486"/>
  <c r="W18" i="486"/>
  <c r="W16" i="486"/>
  <c r="W15" i="486"/>
  <c r="AF18" i="263"/>
  <c r="AF16" i="263"/>
  <c r="P36" i="860" l="1"/>
  <c r="M31" i="625"/>
  <c r="S16" i="551"/>
  <c r="M15" i="953"/>
  <c r="M23" i="943"/>
  <c r="M15" i="943"/>
  <c r="M20" i="943"/>
  <c r="M27" i="943"/>
  <c r="M16" i="987"/>
  <c r="M19" i="936"/>
  <c r="M23" i="936"/>
  <c r="M16" i="936"/>
  <c r="M26" i="936"/>
  <c r="M30" i="936"/>
  <c r="M19" i="916"/>
  <c r="M15" i="916"/>
  <c r="R17" i="812"/>
  <c r="M38" i="625"/>
  <c r="M28" i="625"/>
  <c r="M35" i="625"/>
  <c r="M21" i="625"/>
  <c r="M17" i="625"/>
  <c r="M24" i="624"/>
  <c r="M28" i="624"/>
  <c r="M31" i="624"/>
  <c r="M21" i="624"/>
  <c r="M17" i="624"/>
  <c r="S25" i="551"/>
  <c r="S29" i="551"/>
  <c r="S19" i="551"/>
  <c r="S23" i="551"/>
  <c r="S27" i="551"/>
  <c r="P39" i="860"/>
  <c r="P33" i="860"/>
  <c r="P25" i="860"/>
  <c r="P19" i="860"/>
  <c r="P29" i="860"/>
  <c r="AB17" i="303"/>
  <c r="AB26" i="303"/>
  <c r="AB28" i="303" l="1"/>
  <c r="AB29" i="303" s="1"/>
  <c r="N35" i="261"/>
  <c r="E19" i="667" s="1"/>
  <c r="M20" i="916"/>
  <c r="M17" i="953"/>
  <c r="M28" i="943"/>
  <c r="M17" i="987"/>
  <c r="M31" i="936"/>
  <c r="M39" i="625"/>
  <c r="M32" i="624"/>
  <c r="S30" i="551"/>
  <c r="P40" i="860"/>
  <c r="AB30" i="303" l="1"/>
  <c r="Q35" i="261"/>
  <c r="E21" i="667" s="1"/>
  <c r="M33" i="936"/>
  <c r="M34" i="936" s="1"/>
  <c r="N139" i="261"/>
  <c r="P42" i="860"/>
  <c r="P43" i="860" s="1"/>
  <c r="N39" i="261"/>
  <c r="E19" i="859" s="1"/>
  <c r="M19" i="987"/>
  <c r="M20" i="987" s="1"/>
  <c r="Q146" i="261" s="1"/>
  <c r="N146" i="261"/>
  <c r="M34" i="624"/>
  <c r="M35" i="624" s="1"/>
  <c r="N87" i="261"/>
  <c r="E19" i="771" s="1"/>
  <c r="M22" i="916"/>
  <c r="M23" i="916" s="1"/>
  <c r="N138" i="261"/>
  <c r="M30" i="943"/>
  <c r="M31" i="943" s="1"/>
  <c r="N148" i="261"/>
  <c r="M41" i="625"/>
  <c r="M42" i="625" s="1"/>
  <c r="N88" i="261"/>
  <c r="E19" i="772" s="1"/>
  <c r="S32" i="551"/>
  <c r="S33" i="551" s="1"/>
  <c r="N55" i="261"/>
  <c r="E19" i="716" s="1"/>
  <c r="M19" i="953"/>
  <c r="AB31" i="303"/>
  <c r="P44" i="860" l="1"/>
  <c r="Q39" i="261"/>
  <c r="E21" i="859" s="1"/>
  <c r="M43" i="625"/>
  <c r="Q88" i="261"/>
  <c r="E21" i="772" s="1"/>
  <c r="M36" i="624"/>
  <c r="Q87" i="261"/>
  <c r="E21" i="771" s="1"/>
  <c r="M21" i="987"/>
  <c r="M32" i="943"/>
  <c r="Q148" i="261"/>
  <c r="M24" i="916"/>
  <c r="Q138" i="261"/>
  <c r="M35" i="936"/>
  <c r="Q139" i="261"/>
  <c r="AB32" i="303"/>
  <c r="T35" i="261" s="1"/>
  <c r="E24" i="667" s="1"/>
  <c r="S35" i="261"/>
  <c r="E23" i="667" s="1"/>
  <c r="S34" i="551"/>
  <c r="Q55" i="261"/>
  <c r="E21" i="716" s="1"/>
  <c r="AB43" i="303"/>
  <c r="R35" i="261"/>
  <c r="M21" i="953"/>
  <c r="M37" i="624"/>
  <c r="P45" i="860"/>
  <c r="M38" i="943" l="1"/>
  <c r="R148" i="261"/>
  <c r="M43" i="624"/>
  <c r="R87" i="261"/>
  <c r="S42" i="551"/>
  <c r="R55" i="261"/>
  <c r="S35" i="551"/>
  <c r="M22" i="987"/>
  <c r="R146" i="261"/>
  <c r="M27" i="987"/>
  <c r="P46" i="860"/>
  <c r="T39" i="261" s="1"/>
  <c r="E24" i="859" s="1"/>
  <c r="S39" i="261"/>
  <c r="E23" i="859" s="1"/>
  <c r="G10" i="667"/>
  <c r="E22" i="667"/>
  <c r="M50" i="625"/>
  <c r="R88" i="261"/>
  <c r="M44" i="625"/>
  <c r="M30" i="916"/>
  <c r="R138" i="261"/>
  <c r="M25" i="916"/>
  <c r="M38" i="624"/>
  <c r="T87" i="261" s="1"/>
  <c r="E24" i="771" s="1"/>
  <c r="S87" i="261"/>
  <c r="E23" i="771" s="1"/>
  <c r="M33" i="943"/>
  <c r="M41" i="936"/>
  <c r="R139" i="261"/>
  <c r="M36" i="936"/>
  <c r="C34" i="667"/>
  <c r="R39" i="261"/>
  <c r="P51" i="860"/>
  <c r="C30" i="859" s="1"/>
  <c r="M22" i="953"/>
  <c r="M23" i="987" l="1"/>
  <c r="T146" i="261" s="1"/>
  <c r="S146" i="261"/>
  <c r="G10" i="716"/>
  <c r="E22" i="716"/>
  <c r="M34" i="943"/>
  <c r="T148" i="261" s="1"/>
  <c r="S148" i="261"/>
  <c r="C31" i="716"/>
  <c r="C29" i="772"/>
  <c r="E22" i="771"/>
  <c r="G10" i="771"/>
  <c r="C29" i="771"/>
  <c r="M24" i="953"/>
  <c r="M25" i="953" s="1"/>
  <c r="N158" i="261"/>
  <c r="G10" i="772"/>
  <c r="E22" i="772"/>
  <c r="S36" i="551"/>
  <c r="T55" i="261" s="1"/>
  <c r="E24" i="716" s="1"/>
  <c r="S55" i="261"/>
  <c r="E23" i="716" s="1"/>
  <c r="E22" i="859"/>
  <c r="G10" i="859"/>
  <c r="M26" i="916"/>
  <c r="T138" i="261" s="1"/>
  <c r="S138" i="261"/>
  <c r="M37" i="936"/>
  <c r="T139" i="261" s="1"/>
  <c r="S139" i="261"/>
  <c r="M45" i="625"/>
  <c r="T88" i="261" s="1"/>
  <c r="E24" i="772" s="1"/>
  <c r="S88" i="261"/>
  <c r="E23" i="772" s="1"/>
  <c r="M26" i="953" l="1"/>
  <c r="M27" i="953" s="1"/>
  <c r="Q158" i="261"/>
  <c r="M28" i="953" l="1"/>
  <c r="T158" i="261" s="1"/>
  <c r="S158" i="261"/>
  <c r="M32" i="953"/>
  <c r="R158" i="261"/>
  <c r="I9" i="261"/>
  <c r="B33" i="317" l="1"/>
  <c r="G9" i="261"/>
  <c r="C9" i="261"/>
  <c r="B9" i="261"/>
  <c r="B7" i="317" s="1"/>
  <c r="L15" i="995"/>
  <c r="J14" i="995"/>
  <c r="M14" i="995" s="1"/>
  <c r="L16" i="995"/>
  <c r="G16" i="995"/>
  <c r="G15" i="995"/>
  <c r="G14" i="995"/>
  <c r="G17" i="995" s="1"/>
  <c r="G18" i="995" s="1"/>
  <c r="G20" i="995" l="1"/>
  <c r="K159" i="261" s="1"/>
  <c r="H159" i="261"/>
  <c r="A12" i="317"/>
  <c r="B5" i="317"/>
  <c r="B8" i="317"/>
  <c r="J15" i="995"/>
  <c r="K15" i="995" s="1"/>
  <c r="N14" i="995"/>
  <c r="K14" i="995"/>
  <c r="L14" i="995"/>
  <c r="J16" i="995"/>
  <c r="G21" i="995" l="1"/>
  <c r="G22" i="995" s="1"/>
  <c r="J159" i="261" s="1"/>
  <c r="J17" i="995"/>
  <c r="J18" i="995" s="1"/>
  <c r="J20" i="995" s="1"/>
  <c r="J21" i="995" s="1"/>
  <c r="M15" i="995"/>
  <c r="M16" i="995"/>
  <c r="K17" i="995"/>
  <c r="K16" i="995"/>
  <c r="N159" i="261" l="1"/>
  <c r="G23" i="995"/>
  <c r="G24" i="995" s="1"/>
  <c r="M159" i="261" s="1"/>
  <c r="L159" i="261"/>
  <c r="J22" i="995"/>
  <c r="R159" i="261" s="1"/>
  <c r="Q159" i="261"/>
  <c r="J27" i="995"/>
  <c r="J28" i="995" s="1"/>
  <c r="J23" i="995"/>
  <c r="N15" i="995"/>
  <c r="M17" i="995"/>
  <c r="M18" i="995" s="1"/>
  <c r="M20" i="995" s="1"/>
  <c r="N16" i="995"/>
  <c r="K22" i="995" l="1"/>
  <c r="K27" i="995"/>
  <c r="K28" i="995" s="1"/>
  <c r="O159" i="261"/>
  <c r="J24" i="995"/>
  <c r="T159" i="261" s="1"/>
  <c r="S159" i="261"/>
  <c r="N17" i="995"/>
  <c r="M21" i="995"/>
  <c r="M22" i="995" s="1"/>
  <c r="N22" i="995" l="1"/>
  <c r="M23" i="995"/>
  <c r="M24" i="995" s="1"/>
  <c r="AF22" i="263"/>
  <c r="AF20" i="263"/>
  <c r="AF14" i="263"/>
  <c r="AC14" i="187"/>
  <c r="H20" i="887" l="1"/>
  <c r="H21" i="887" s="1"/>
  <c r="H19" i="887"/>
  <c r="G20" i="887"/>
  <c r="G19" i="887"/>
  <c r="O19" i="887" s="1"/>
  <c r="L20" i="887" l="1"/>
  <c r="O20" i="887"/>
  <c r="L21" i="887"/>
  <c r="I20" i="887"/>
  <c r="I21" i="887" s="1"/>
  <c r="G21" i="887"/>
  <c r="L19" i="887"/>
  <c r="R19" i="887" s="1"/>
  <c r="I19" i="887"/>
  <c r="P19" i="887" s="1"/>
  <c r="S19" i="887" l="1"/>
  <c r="M21" i="887"/>
  <c r="O21" i="887"/>
  <c r="P21" i="887" s="1"/>
  <c r="P20" i="887"/>
  <c r="R20" i="887"/>
  <c r="S20" i="887" s="1"/>
  <c r="M20" i="887"/>
  <c r="M19" i="887"/>
  <c r="H17" i="886"/>
  <c r="H15" i="886"/>
  <c r="R21" i="887" l="1"/>
  <c r="S21" i="887" s="1"/>
  <c r="F113" i="994"/>
  <c r="F115" i="994" s="1"/>
  <c r="F116" i="994" s="1"/>
  <c r="F117" i="994" s="1"/>
  <c r="F87" i="993"/>
  <c r="F89" i="993" s="1"/>
  <c r="F90" i="993" s="1"/>
  <c r="F91" i="993" s="1"/>
  <c r="F118" i="994" l="1"/>
  <c r="F119" i="994" s="1"/>
  <c r="F92" i="993"/>
  <c r="F93" i="993" s="1"/>
  <c r="A39" i="984"/>
  <c r="B10" i="984"/>
  <c r="G7" i="984"/>
  <c r="A39" i="956"/>
  <c r="G7" i="956"/>
  <c r="B10" i="956"/>
  <c r="A39" i="954"/>
  <c r="G7" i="954"/>
  <c r="B10" i="954"/>
  <c r="I16" i="953" l="1"/>
  <c r="O16" i="953" s="1"/>
  <c r="I14" i="953"/>
  <c r="O14" i="953" s="1"/>
  <c r="K16" i="899"/>
  <c r="Q16" i="899" s="1"/>
  <c r="K14" i="899"/>
  <c r="Q14" i="899" s="1"/>
  <c r="T22" i="596"/>
  <c r="Z22" i="596" s="1"/>
  <c r="T20" i="596"/>
  <c r="Z20" i="596" s="1"/>
  <c r="T18" i="596"/>
  <c r="Z18" i="596" s="1"/>
  <c r="A39" i="983"/>
  <c r="G7" i="983"/>
  <c r="B10" i="983"/>
  <c r="A39" i="985"/>
  <c r="G7" i="985"/>
  <c r="B10" i="985"/>
  <c r="A39" i="645"/>
  <c r="G7" i="645"/>
  <c r="B10" i="645"/>
  <c r="C58" i="261"/>
  <c r="B8" i="728" s="1"/>
  <c r="B58" i="261"/>
  <c r="B7" i="728" s="1"/>
  <c r="I26" i="943" l="1"/>
  <c r="O26" i="943" s="1"/>
  <c r="K12" i="887"/>
  <c r="Q12" i="887" s="1"/>
  <c r="N20" i="885"/>
  <c r="T20" i="885" s="1"/>
  <c r="N17" i="885"/>
  <c r="T17" i="885" s="1"/>
  <c r="N15" i="885"/>
  <c r="T15" i="885" s="1"/>
  <c r="K12" i="884"/>
  <c r="Q12" i="884" s="1"/>
  <c r="K22" i="883"/>
  <c r="Q22" i="883" s="1"/>
  <c r="K19" i="883"/>
  <c r="Q19" i="883" s="1"/>
  <c r="K14" i="883"/>
  <c r="Q14" i="883" s="1"/>
  <c r="K12" i="882"/>
  <c r="Q12" i="882" s="1"/>
  <c r="K26" i="881"/>
  <c r="Q26" i="881" s="1"/>
  <c r="K16" i="881"/>
  <c r="Q16" i="881" s="1"/>
  <c r="K22" i="881"/>
  <c r="Q22" i="881" s="1"/>
  <c r="K19" i="881"/>
  <c r="Q19" i="881" s="1"/>
  <c r="K14" i="881"/>
  <c r="Q14" i="881" s="1"/>
  <c r="K18" i="895"/>
  <c r="Q18" i="895" s="1"/>
  <c r="K14" i="895"/>
  <c r="Q14" i="895" s="1"/>
  <c r="T26" i="562"/>
  <c r="Z26" i="562" s="1"/>
  <c r="B29" i="992" l="1"/>
  <c r="B28" i="992"/>
  <c r="G7" i="992"/>
  <c r="B10" i="992"/>
  <c r="C83" i="261"/>
  <c r="B8" i="765" s="1"/>
  <c r="B83" i="261"/>
  <c r="B7" i="765" s="1"/>
  <c r="C45" i="261"/>
  <c r="B8" i="690" s="1"/>
  <c r="B45" i="261"/>
  <c r="B7" i="690" s="1"/>
  <c r="C114" i="261"/>
  <c r="B8" i="963" s="1"/>
  <c r="B114" i="261"/>
  <c r="B7" i="963" s="1"/>
  <c r="K14" i="610" l="1"/>
  <c r="Q14" i="610" s="1"/>
  <c r="K14" i="607"/>
  <c r="Q14" i="607" s="1"/>
  <c r="K17" i="601" l="1"/>
  <c r="Q17" i="601" s="1"/>
  <c r="K14" i="601"/>
  <c r="Q14" i="601" s="1"/>
  <c r="G18" i="915"/>
  <c r="G16" i="915"/>
  <c r="G14" i="915"/>
  <c r="K20" i="902"/>
  <c r="Q20" i="902" s="1"/>
  <c r="K22" i="796"/>
  <c r="Q22" i="796" s="1"/>
  <c r="N16" i="573"/>
  <c r="T16" i="573" s="1"/>
  <c r="I14" i="915" l="1"/>
  <c r="I15" i="915" s="1"/>
  <c r="O14" i="915"/>
  <c r="I16" i="915"/>
  <c r="I17" i="915" s="1"/>
  <c r="I21" i="915" s="1"/>
  <c r="O16" i="915"/>
  <c r="L18" i="915"/>
  <c r="O18" i="915"/>
  <c r="I18" i="915"/>
  <c r="I19" i="915" s="1"/>
  <c r="I20" i="915" s="1"/>
  <c r="I25" i="915" s="1"/>
  <c r="I26" i="915" s="1"/>
  <c r="L14" i="915"/>
  <c r="R14" i="915" s="1"/>
  <c r="S14" i="915" s="1"/>
  <c r="L16" i="915"/>
  <c r="R16" i="915" l="1"/>
  <c r="S16" i="915" s="1"/>
  <c r="O19" i="915"/>
  <c r="P19" i="915" s="1"/>
  <c r="P18" i="915"/>
  <c r="R18" i="915"/>
  <c r="S18" i="915" s="1"/>
  <c r="P16" i="915"/>
  <c r="O17" i="915"/>
  <c r="P14" i="915"/>
  <c r="O15" i="915"/>
  <c r="P15" i="915" s="1"/>
  <c r="I22" i="915"/>
  <c r="O20" i="915" l="1"/>
  <c r="N137" i="261" s="1"/>
  <c r="P17" i="915"/>
  <c r="O21" i="915"/>
  <c r="P137" i="261" s="1"/>
  <c r="P64" i="261"/>
  <c r="E20" i="735" s="1"/>
  <c r="P66" i="261"/>
  <c r="E20" i="737" s="1"/>
  <c r="B103" i="261"/>
  <c r="B7" i="852" s="1"/>
  <c r="K20" i="896"/>
  <c r="Q20" i="896" s="1"/>
  <c r="K16" i="896"/>
  <c r="Q16" i="896" s="1"/>
  <c r="K19" i="890"/>
  <c r="Q19" i="890" s="1"/>
  <c r="K16" i="890"/>
  <c r="Q16" i="890" s="1"/>
  <c r="K23" i="878"/>
  <c r="Q23" i="878" s="1"/>
  <c r="K26" i="878"/>
  <c r="Q26" i="878" s="1"/>
  <c r="K28" i="878"/>
  <c r="Q28" i="878" s="1"/>
  <c r="K21" i="878"/>
  <c r="Q21" i="878" s="1"/>
  <c r="K14" i="878"/>
  <c r="Q14" i="878" s="1"/>
  <c r="K26" i="877"/>
  <c r="Q26" i="877" s="1"/>
  <c r="K23" i="877"/>
  <c r="Q23" i="877" s="1"/>
  <c r="K16" i="877"/>
  <c r="Q16" i="877" s="1"/>
  <c r="K18" i="880"/>
  <c r="Q18" i="880" s="1"/>
  <c r="K11" i="880"/>
  <c r="Q11" i="880" s="1"/>
  <c r="O22" i="915" l="1"/>
  <c r="O23" i="915" s="1"/>
  <c r="K29" i="813"/>
  <c r="Q29" i="813" s="1"/>
  <c r="K26" i="813"/>
  <c r="Q26" i="813" s="1"/>
  <c r="K22" i="813"/>
  <c r="Q22" i="813" s="1"/>
  <c r="K19" i="813"/>
  <c r="Q19" i="813" s="1"/>
  <c r="K15" i="813"/>
  <c r="Q15" i="813" s="1"/>
  <c r="K35" i="813"/>
  <c r="Q35" i="813" s="1"/>
  <c r="K33" i="813"/>
  <c r="Q33" i="813" s="1"/>
  <c r="T17" i="569"/>
  <c r="Z17" i="569" s="1"/>
  <c r="T14" i="569"/>
  <c r="Z14" i="569" s="1"/>
  <c r="Q17" i="568"/>
  <c r="W17" i="568" s="1"/>
  <c r="Q14" i="568"/>
  <c r="W14" i="568" s="1"/>
  <c r="Q23" i="567"/>
  <c r="Q20" i="567"/>
  <c r="Q17" i="567"/>
  <c r="Q15" i="567"/>
  <c r="Q14" i="567"/>
  <c r="Q24" i="567"/>
  <c r="W24" i="567" s="1"/>
  <c r="Q21" i="567"/>
  <c r="W21" i="567" s="1"/>
  <c r="Q18" i="567"/>
  <c r="W18" i="567" s="1"/>
  <c r="P61" i="261"/>
  <c r="E20" i="732" s="1"/>
  <c r="Q17" i="566"/>
  <c r="Q14" i="566"/>
  <c r="O24" i="915" l="1"/>
  <c r="Q137" i="261"/>
  <c r="O25" i="915"/>
  <c r="O26" i="915" l="1"/>
  <c r="T137" i="261" s="1"/>
  <c r="S137" i="261"/>
  <c r="O30" i="915"/>
  <c r="R137" i="261"/>
  <c r="T51" i="282"/>
  <c r="Q14" i="991" l="1"/>
  <c r="G14" i="991"/>
  <c r="O14" i="991" s="1"/>
  <c r="A40" i="992"/>
  <c r="L14" i="991"/>
  <c r="L15" i="991" s="1"/>
  <c r="H14" i="991"/>
  <c r="O15" i="991" l="1"/>
  <c r="P14" i="991"/>
  <c r="R14" i="991"/>
  <c r="R15" i="991" s="1"/>
  <c r="I14" i="991"/>
  <c r="L16" i="991"/>
  <c r="L20" i="991" s="1"/>
  <c r="O26" i="991" s="1"/>
  <c r="M14" i="991"/>
  <c r="H15" i="991"/>
  <c r="H16" i="991" s="1"/>
  <c r="H20" i="991" s="1"/>
  <c r="R16" i="991" l="1"/>
  <c r="R18" i="991" s="1"/>
  <c r="M15" i="991"/>
  <c r="P15" i="991"/>
  <c r="I15" i="991"/>
  <c r="I16" i="991" s="1"/>
  <c r="I20" i="991" s="1"/>
  <c r="C28" i="992"/>
  <c r="O16" i="991"/>
  <c r="O18" i="991" s="1"/>
  <c r="O19" i="991" s="1"/>
  <c r="R19" i="991" s="1"/>
  <c r="R20" i="991" s="1"/>
  <c r="R21" i="991" s="1"/>
  <c r="R22" i="991" s="1"/>
  <c r="S15" i="991"/>
  <c r="S14" i="991"/>
  <c r="H21" i="991"/>
  <c r="H22" i="991" s="1"/>
  <c r="M20" i="991"/>
  <c r="L21" i="991"/>
  <c r="L22" i="991" s="1"/>
  <c r="L26" i="991"/>
  <c r="L28" i="991" s="1"/>
  <c r="I21" i="991" l="1"/>
  <c r="I22" i="991" s="1"/>
  <c r="M26" i="991"/>
  <c r="M28" i="991" s="1"/>
  <c r="P26" i="991"/>
  <c r="O20" i="991"/>
  <c r="S20" i="991"/>
  <c r="E28" i="992" l="1"/>
  <c r="P20" i="991"/>
  <c r="P27" i="991" s="1"/>
  <c r="E29" i="992" s="1"/>
  <c r="O27" i="991"/>
  <c r="O21" i="991"/>
  <c r="O22" i="991" s="1"/>
  <c r="U147" i="261"/>
  <c r="P147" i="261"/>
  <c r="I147" i="261"/>
  <c r="G147" i="261"/>
  <c r="F147" i="261"/>
  <c r="C147" i="261"/>
  <c r="B147" i="261"/>
  <c r="E34" i="992" l="1"/>
  <c r="C29" i="992"/>
  <c r="C34" i="992" s="1"/>
  <c r="O28" i="991"/>
  <c r="P28" i="991"/>
  <c r="L16" i="989"/>
  <c r="J16" i="989"/>
  <c r="M16" i="989" s="1"/>
  <c r="L14" i="989"/>
  <c r="J14" i="989"/>
  <c r="J15" i="989" s="1"/>
  <c r="G16" i="989"/>
  <c r="G17" i="989" s="1"/>
  <c r="G14" i="989"/>
  <c r="G15" i="989" s="1"/>
  <c r="J17" i="989" l="1"/>
  <c r="K17" i="989" s="1"/>
  <c r="K14" i="989"/>
  <c r="G18" i="989"/>
  <c r="M14" i="989"/>
  <c r="N16" i="989"/>
  <c r="M17" i="989"/>
  <c r="K15" i="989"/>
  <c r="K16" i="989"/>
  <c r="J18" i="989" l="1"/>
  <c r="N147" i="261" s="1"/>
  <c r="G20" i="989"/>
  <c r="G21" i="989" s="1"/>
  <c r="H147" i="261"/>
  <c r="N14" i="989"/>
  <c r="M15" i="989"/>
  <c r="N15" i="989" s="1"/>
  <c r="N17" i="989"/>
  <c r="J20" i="989" l="1"/>
  <c r="J21" i="989" s="1"/>
  <c r="Q147" i="261" s="1"/>
  <c r="G22" i="989"/>
  <c r="J147" i="261"/>
  <c r="M18" i="989"/>
  <c r="M20" i="989" s="1"/>
  <c r="M21" i="989" s="1"/>
  <c r="M22" i="989" s="1"/>
  <c r="N22" i="989" s="1"/>
  <c r="J22" i="989" l="1"/>
  <c r="K147" i="261"/>
  <c r="G23" i="989"/>
  <c r="M23" i="989"/>
  <c r="M24" i="989" s="1"/>
  <c r="K22" i="989"/>
  <c r="O147" i="261" s="1"/>
  <c r="J27" i="989"/>
  <c r="U146" i="261"/>
  <c r="I146" i="261"/>
  <c r="G146" i="261"/>
  <c r="F146" i="261"/>
  <c r="C146" i="261"/>
  <c r="B146" i="261"/>
  <c r="J15" i="987"/>
  <c r="P15" i="987" s="1"/>
  <c r="J14" i="987"/>
  <c r="P14" i="987" s="1"/>
  <c r="G15" i="987"/>
  <c r="N15" i="987" s="1"/>
  <c r="G14" i="987"/>
  <c r="R147" i="261" l="1"/>
  <c r="J23" i="989"/>
  <c r="G16" i="987"/>
  <c r="G17" i="987"/>
  <c r="G19" i="987" s="1"/>
  <c r="K146" i="261" s="1"/>
  <c r="N16" i="987"/>
  <c r="P16" i="987"/>
  <c r="P17" i="987" s="1"/>
  <c r="J28" i="989"/>
  <c r="G24" i="989"/>
  <c r="M147" i="261" s="1"/>
  <c r="L147" i="261"/>
  <c r="K27" i="989"/>
  <c r="Q14" i="987"/>
  <c r="Q15" i="987"/>
  <c r="K15" i="987"/>
  <c r="J16" i="987"/>
  <c r="J17" i="987" s="1"/>
  <c r="S147" i="261" l="1"/>
  <c r="J24" i="989"/>
  <c r="T147" i="261" s="1"/>
  <c r="H146" i="261"/>
  <c r="G22" i="987"/>
  <c r="N21" i="987"/>
  <c r="K28" i="989"/>
  <c r="Q16" i="987"/>
  <c r="P19" i="987"/>
  <c r="J19" i="987"/>
  <c r="K16" i="987"/>
  <c r="N27" i="987" l="1"/>
  <c r="O146" i="261"/>
  <c r="L146" i="261"/>
  <c r="G23" i="987"/>
  <c r="M146" i="261" s="1"/>
  <c r="J20" i="987"/>
  <c r="P20" i="987" s="1"/>
  <c r="J21" i="987" l="1"/>
  <c r="P21" i="987"/>
  <c r="Q21" i="987" s="1"/>
  <c r="K21" i="987" l="1"/>
  <c r="N26" i="987" s="1"/>
  <c r="N28" i="987" s="1"/>
  <c r="M26" i="987"/>
  <c r="M28" i="987" s="1"/>
  <c r="J22" i="987"/>
  <c r="J23" i="987" s="1"/>
  <c r="P22" i="987"/>
  <c r="P23" i="987" s="1"/>
  <c r="J26" i="987"/>
  <c r="K26" i="987" l="1"/>
  <c r="J27" i="987"/>
  <c r="K27" i="987"/>
  <c r="N29" i="809" l="1"/>
  <c r="U158" i="261"/>
  <c r="I158" i="261"/>
  <c r="G158" i="261"/>
  <c r="C158" i="261"/>
  <c r="B158" i="261"/>
  <c r="B28" i="985"/>
  <c r="U156" i="261"/>
  <c r="P156" i="261"/>
  <c r="I156" i="261"/>
  <c r="G156" i="261"/>
  <c r="C156" i="261"/>
  <c r="B156" i="261"/>
  <c r="B28" i="984"/>
  <c r="U155" i="261"/>
  <c r="G8" i="984" s="1"/>
  <c r="P155" i="261"/>
  <c r="E20" i="984" s="1"/>
  <c r="I155" i="261"/>
  <c r="G155" i="261"/>
  <c r="C155" i="261"/>
  <c r="B8" i="984" s="1"/>
  <c r="B155" i="261"/>
  <c r="B7" i="984" s="1"/>
  <c r="B28" i="983"/>
  <c r="U154" i="261"/>
  <c r="P154" i="261"/>
  <c r="I154" i="261"/>
  <c r="G154" i="261"/>
  <c r="C154" i="261"/>
  <c r="B154" i="261"/>
  <c r="U153" i="261"/>
  <c r="P153" i="261"/>
  <c r="I153" i="261"/>
  <c r="G153" i="261"/>
  <c r="C153" i="261"/>
  <c r="B153" i="261"/>
  <c r="U148" i="261"/>
  <c r="I148" i="261"/>
  <c r="G148" i="261"/>
  <c r="C148" i="261"/>
  <c r="B148" i="261"/>
  <c r="U142" i="261"/>
  <c r="P142" i="261"/>
  <c r="I142" i="261"/>
  <c r="G142" i="261"/>
  <c r="C142" i="261"/>
  <c r="B142" i="261"/>
  <c r="U139" i="261"/>
  <c r="I139" i="261"/>
  <c r="G139" i="261"/>
  <c r="C139" i="261"/>
  <c r="B139" i="261"/>
  <c r="P172" i="261"/>
  <c r="P131" i="261"/>
  <c r="P126" i="261"/>
  <c r="E20" i="925" s="1"/>
  <c r="P125" i="261"/>
  <c r="E20" i="927" s="1"/>
  <c r="C107" i="261"/>
  <c r="B8" i="931" s="1"/>
  <c r="B107" i="261"/>
  <c r="B7" i="931" s="1"/>
  <c r="P107" i="261"/>
  <c r="E20" i="931" s="1"/>
  <c r="C106" i="261"/>
  <c r="B8" i="932" s="1"/>
  <c r="B106" i="261"/>
  <c r="B7" i="932" s="1"/>
  <c r="C104" i="261"/>
  <c r="B104" i="261"/>
  <c r="C103" i="261"/>
  <c r="B8" i="852" s="1"/>
  <c r="C99" i="261"/>
  <c r="B8" i="848" s="1"/>
  <c r="B99" i="261"/>
  <c r="B7" i="848" s="1"/>
  <c r="U99" i="261"/>
  <c r="G8" i="848" s="1"/>
  <c r="P99" i="261"/>
  <c r="E20" i="848" s="1"/>
  <c r="I98" i="261"/>
  <c r="I97" i="261"/>
  <c r="U98" i="261"/>
  <c r="G8" i="844" s="1"/>
  <c r="P98" i="261"/>
  <c r="E20" i="844" s="1"/>
  <c r="C98" i="261"/>
  <c r="B8" i="844" s="1"/>
  <c r="B98" i="261"/>
  <c r="B7" i="844" s="1"/>
  <c r="U97" i="261"/>
  <c r="G8" i="843" s="1"/>
  <c r="P97" i="261"/>
  <c r="E20" i="843" s="1"/>
  <c r="B7" i="985" l="1"/>
  <c r="B7" i="983"/>
  <c r="E20" i="985"/>
  <c r="E20" i="983"/>
  <c r="B8" i="983"/>
  <c r="B8" i="985"/>
  <c r="A12" i="983"/>
  <c r="A12" i="985"/>
  <c r="B5" i="985"/>
  <c r="B5" i="983"/>
  <c r="G8" i="985"/>
  <c r="G8" i="983"/>
  <c r="A12" i="984"/>
  <c r="B5" i="984"/>
  <c r="P89" i="261"/>
  <c r="E20" i="773" s="1"/>
  <c r="Q23" i="626"/>
  <c r="Q22" i="626"/>
  <c r="Q21" i="626"/>
  <c r="Q19" i="626"/>
  <c r="Q18" i="626"/>
  <c r="Q16" i="626"/>
  <c r="Q15" i="626"/>
  <c r="Q14" i="626"/>
  <c r="G23" i="626"/>
  <c r="O23" i="626" s="1"/>
  <c r="G22" i="626"/>
  <c r="I22" i="626" s="1"/>
  <c r="G21" i="626"/>
  <c r="O21" i="626" s="1"/>
  <c r="G19" i="626"/>
  <c r="O19" i="626" s="1"/>
  <c r="G18" i="626"/>
  <c r="O18" i="626" s="1"/>
  <c r="G16" i="626"/>
  <c r="I16" i="626" s="1"/>
  <c r="G15" i="626"/>
  <c r="I15" i="626" s="1"/>
  <c r="G14" i="626"/>
  <c r="I14" i="626" s="1"/>
  <c r="P84" i="261"/>
  <c r="E20" i="766" s="1"/>
  <c r="P83" i="261"/>
  <c r="E20" i="765" s="1"/>
  <c r="O15" i="626" l="1"/>
  <c r="O22" i="626"/>
  <c r="O20" i="626"/>
  <c r="O14" i="626"/>
  <c r="O24" i="626"/>
  <c r="I17" i="626"/>
  <c r="I23" i="626"/>
  <c r="P23" i="626" s="1"/>
  <c r="I19" i="626"/>
  <c r="P19" i="626" s="1"/>
  <c r="I21" i="626"/>
  <c r="O16" i="626"/>
  <c r="P16" i="626" s="1"/>
  <c r="I18" i="626"/>
  <c r="P53" i="261"/>
  <c r="E20" i="712" s="1"/>
  <c r="I24" i="626" l="1"/>
  <c r="I20" i="626"/>
  <c r="O17" i="626"/>
  <c r="I25" i="626" l="1"/>
  <c r="I27" i="626" s="1"/>
  <c r="I30" i="626" s="1"/>
  <c r="I31" i="626" s="1"/>
  <c r="O25" i="626"/>
  <c r="O27" i="626" l="1"/>
  <c r="N89" i="261"/>
  <c r="E19" i="773" s="1"/>
  <c r="O28" i="626" l="1"/>
  <c r="Q89" i="261" s="1"/>
  <c r="E21" i="773" s="1"/>
  <c r="U28" i="261"/>
  <c r="G8" i="956" s="1"/>
  <c r="G28" i="261"/>
  <c r="F28" i="261"/>
  <c r="C28" i="261"/>
  <c r="B8" i="956" s="1"/>
  <c r="B28" i="261"/>
  <c r="B7" i="956" s="1"/>
  <c r="B31" i="956"/>
  <c r="W14" i="957"/>
  <c r="G15" i="957"/>
  <c r="U15" i="957" s="1"/>
  <c r="G14" i="957"/>
  <c r="U14" i="957" s="1"/>
  <c r="R15" i="957"/>
  <c r="N15" i="957"/>
  <c r="W15" i="957" s="1"/>
  <c r="L15" i="957"/>
  <c r="H15" i="957"/>
  <c r="R14" i="957"/>
  <c r="O14" i="957"/>
  <c r="L14" i="957"/>
  <c r="H14" i="957"/>
  <c r="B30" i="956"/>
  <c r="B29" i="956"/>
  <c r="B28" i="956"/>
  <c r="V14" i="957" l="1"/>
  <c r="H16" i="957"/>
  <c r="H17" i="957" s="1"/>
  <c r="H28" i="261" s="1"/>
  <c r="P14" i="957"/>
  <c r="O15" i="957"/>
  <c r="M14" i="957"/>
  <c r="V15" i="957"/>
  <c r="L16" i="957"/>
  <c r="L17" i="957" s="1"/>
  <c r="L18" i="957" s="1"/>
  <c r="L21" i="957" s="1"/>
  <c r="U27" i="957" s="1"/>
  <c r="R16" i="957"/>
  <c r="S16" i="957" s="1"/>
  <c r="I14" i="957"/>
  <c r="I15" i="957"/>
  <c r="A12" i="956"/>
  <c r="B5" i="956"/>
  <c r="X15" i="957"/>
  <c r="Y15" i="957" s="1"/>
  <c r="M15" i="957"/>
  <c r="S15" i="957"/>
  <c r="X14" i="957"/>
  <c r="Y14" i="957" s="1"/>
  <c r="S14" i="957"/>
  <c r="O29" i="626"/>
  <c r="U16" i="957"/>
  <c r="V16" i="957" s="1"/>
  <c r="H18" i="957"/>
  <c r="H21" i="957" s="1"/>
  <c r="O16" i="957"/>
  <c r="P16" i="957" s="1"/>
  <c r="P15" i="957"/>
  <c r="M16" i="957" l="1"/>
  <c r="R17" i="957"/>
  <c r="U29" i="957" s="1"/>
  <c r="I16" i="957"/>
  <c r="I17" i="957" s="1"/>
  <c r="I18" i="957" s="1"/>
  <c r="I28" i="261" s="1"/>
  <c r="X16" i="957"/>
  <c r="Y16" i="957" s="1"/>
  <c r="U17" i="957"/>
  <c r="O17" i="957"/>
  <c r="O18" i="957" s="1"/>
  <c r="R89" i="261"/>
  <c r="O37" i="626"/>
  <c r="C29" i="773" s="1"/>
  <c r="O30" i="626"/>
  <c r="R27" i="957"/>
  <c r="L27" i="957"/>
  <c r="L31" i="957" s="1"/>
  <c r="L22" i="957"/>
  <c r="L23" i="957" s="1"/>
  <c r="M21" i="957"/>
  <c r="V27" i="957" s="1"/>
  <c r="O27" i="957"/>
  <c r="H22" i="957"/>
  <c r="R21" i="957" l="1"/>
  <c r="R29" i="957"/>
  <c r="C30" i="956" s="1"/>
  <c r="G10" i="773"/>
  <c r="E22" i="773"/>
  <c r="I21" i="957"/>
  <c r="K28" i="261" s="1"/>
  <c r="G9" i="956" s="1"/>
  <c r="U18" i="957"/>
  <c r="X18" i="957" s="1"/>
  <c r="X17" i="957"/>
  <c r="O21" i="957"/>
  <c r="U28" i="957" s="1"/>
  <c r="N28" i="261"/>
  <c r="E19" i="956" s="1"/>
  <c r="O31" i="626"/>
  <c r="T89" i="261" s="1"/>
  <c r="E24" i="773" s="1"/>
  <c r="S89" i="261"/>
  <c r="E23" i="773" s="1"/>
  <c r="H23" i="957"/>
  <c r="M28" i="261" s="1"/>
  <c r="L28" i="261"/>
  <c r="R22" i="957"/>
  <c r="R23" i="957" s="1"/>
  <c r="S21" i="957"/>
  <c r="S27" i="957"/>
  <c r="M27" i="957"/>
  <c r="M31" i="957" s="1"/>
  <c r="P27" i="957"/>
  <c r="C28" i="956"/>
  <c r="O28" i="957" l="1"/>
  <c r="O31" i="957" s="1"/>
  <c r="R28" i="957"/>
  <c r="C29" i="956" s="1"/>
  <c r="X19" i="957"/>
  <c r="I22" i="957"/>
  <c r="I23" i="957" s="1"/>
  <c r="O22" i="957"/>
  <c r="O23" i="957" s="1"/>
  <c r="P21" i="957"/>
  <c r="V28" i="957" s="1"/>
  <c r="U19" i="957"/>
  <c r="U20" i="957" s="1"/>
  <c r="X20" i="957" s="1"/>
  <c r="P28" i="261"/>
  <c r="E20" i="956" s="1"/>
  <c r="S29" i="957"/>
  <c r="E30" i="956" s="1"/>
  <c r="V29" i="957"/>
  <c r="R31" i="957"/>
  <c r="E28" i="956"/>
  <c r="P28" i="957" l="1"/>
  <c r="P31" i="957" s="1"/>
  <c r="S28" i="957"/>
  <c r="E29" i="956" s="1"/>
  <c r="U21" i="957"/>
  <c r="U30" i="957" s="1"/>
  <c r="U31" i="957" s="1"/>
  <c r="X21" i="957"/>
  <c r="Y21" i="957" s="1"/>
  <c r="Q28" i="261"/>
  <c r="E21" i="956" s="1"/>
  <c r="S31" i="957" l="1"/>
  <c r="X22" i="957"/>
  <c r="X23" i="957" s="1"/>
  <c r="R28" i="261"/>
  <c r="U22" i="957"/>
  <c r="V21" i="957"/>
  <c r="U27" i="261"/>
  <c r="G8" i="954" s="1"/>
  <c r="G27" i="261"/>
  <c r="F27" i="261"/>
  <c r="C27" i="261"/>
  <c r="B8" i="954" s="1"/>
  <c r="B7" i="954"/>
  <c r="B31" i="954"/>
  <c r="A12" i="954" l="1"/>
  <c r="B5" i="954"/>
  <c r="E22" i="956"/>
  <c r="G10" i="956"/>
  <c r="C31" i="956"/>
  <c r="C33" i="956" s="1"/>
  <c r="O28" i="261"/>
  <c r="V30" i="957"/>
  <c r="U23" i="957"/>
  <c r="T28" i="261" s="1"/>
  <c r="E24" i="956" s="1"/>
  <c r="S28" i="261"/>
  <c r="E23" i="956" s="1"/>
  <c r="E31" i="956" l="1"/>
  <c r="E33" i="956" s="1"/>
  <c r="V31" i="957"/>
  <c r="Z14" i="955" l="1"/>
  <c r="G15" i="955"/>
  <c r="I15" i="955" s="1"/>
  <c r="G14" i="955"/>
  <c r="X14" i="955" s="1"/>
  <c r="U15" i="955"/>
  <c r="R15" i="955"/>
  <c r="N15" i="955"/>
  <c r="L15" i="955"/>
  <c r="H15" i="955"/>
  <c r="U14" i="955"/>
  <c r="R14" i="955"/>
  <c r="O14" i="955"/>
  <c r="L14" i="955"/>
  <c r="H14" i="955"/>
  <c r="B30" i="954"/>
  <c r="B29" i="954"/>
  <c r="B28" i="954"/>
  <c r="B27" i="954"/>
  <c r="P20" i="261"/>
  <c r="E20" i="645" s="1"/>
  <c r="G14" i="914"/>
  <c r="G14" i="913"/>
  <c r="G51" i="903"/>
  <c r="L51" i="903" s="1"/>
  <c r="G50" i="903"/>
  <c r="L50" i="903" s="1"/>
  <c r="G48" i="903"/>
  <c r="I48" i="903" s="1"/>
  <c r="G47" i="903"/>
  <c r="I47" i="903" s="1"/>
  <c r="G46" i="903"/>
  <c r="I46" i="903" s="1"/>
  <c r="G43" i="903"/>
  <c r="I43" i="903" s="1"/>
  <c r="G44" i="903"/>
  <c r="L44" i="903" s="1"/>
  <c r="G41" i="903"/>
  <c r="L41" i="903" s="1"/>
  <c r="G40" i="903"/>
  <c r="L40" i="903" s="1"/>
  <c r="G39" i="903"/>
  <c r="L39" i="903" s="1"/>
  <c r="G37" i="903"/>
  <c r="I37" i="903" s="1"/>
  <c r="G36" i="903"/>
  <c r="L36" i="903" s="1"/>
  <c r="G34" i="903"/>
  <c r="L34" i="903" s="1"/>
  <c r="G33" i="903"/>
  <c r="L33" i="903" s="1"/>
  <c r="G32" i="903"/>
  <c r="L32" i="903" s="1"/>
  <c r="G30" i="903"/>
  <c r="I30" i="903" s="1"/>
  <c r="G29" i="903"/>
  <c r="L29" i="903" s="1"/>
  <c r="G27" i="903"/>
  <c r="L27" i="903" s="1"/>
  <c r="G26" i="903"/>
  <c r="I26" i="903" s="1"/>
  <c r="G25" i="903"/>
  <c r="L25" i="903" s="1"/>
  <c r="G23" i="903"/>
  <c r="L23" i="903" s="1"/>
  <c r="G22" i="903"/>
  <c r="L22" i="903" s="1"/>
  <c r="G20" i="903"/>
  <c r="L20" i="903" s="1"/>
  <c r="G19" i="903"/>
  <c r="L19" i="903" s="1"/>
  <c r="G18" i="903"/>
  <c r="L18" i="903" s="1"/>
  <c r="G16" i="903"/>
  <c r="L16" i="903" s="1"/>
  <c r="G15" i="903"/>
  <c r="I15" i="903" s="1"/>
  <c r="G14" i="903"/>
  <c r="I14" i="903" s="1"/>
  <c r="G24" i="902"/>
  <c r="O24" i="902" s="1"/>
  <c r="G22" i="902"/>
  <c r="G18" i="902"/>
  <c r="G20" i="902"/>
  <c r="G16" i="902"/>
  <c r="G14" i="902"/>
  <c r="G16" i="899"/>
  <c r="G14" i="899"/>
  <c r="Q18" i="897"/>
  <c r="Q16" i="897"/>
  <c r="Q15" i="897"/>
  <c r="Q14" i="897"/>
  <c r="G18" i="897"/>
  <c r="O18" i="897" s="1"/>
  <c r="G16" i="897"/>
  <c r="I16" i="897" s="1"/>
  <c r="G15" i="897"/>
  <c r="O15" i="897" s="1"/>
  <c r="G14" i="897"/>
  <c r="O14" i="897" s="1"/>
  <c r="G24" i="896"/>
  <c r="G23" i="896"/>
  <c r="G22" i="896"/>
  <c r="G20" i="896"/>
  <c r="G19" i="896"/>
  <c r="G18" i="896"/>
  <c r="G16" i="896"/>
  <c r="G15" i="896"/>
  <c r="G14" i="896"/>
  <c r="G20" i="895"/>
  <c r="G19" i="895"/>
  <c r="G18" i="895"/>
  <c r="G16" i="895"/>
  <c r="G15" i="895"/>
  <c r="G14" i="895"/>
  <c r="O14" i="895" s="1"/>
  <c r="G16" i="893"/>
  <c r="L16" i="893" s="1"/>
  <c r="G15" i="893"/>
  <c r="L15" i="893" s="1"/>
  <c r="G14" i="893"/>
  <c r="I14" i="893" s="1"/>
  <c r="G19" i="890"/>
  <c r="G18" i="890"/>
  <c r="G15" i="890"/>
  <c r="G16" i="890"/>
  <c r="G14" i="890"/>
  <c r="Q17" i="889"/>
  <c r="Q15" i="889"/>
  <c r="Q14" i="889"/>
  <c r="Q12" i="889"/>
  <c r="Q11" i="889"/>
  <c r="G17" i="889"/>
  <c r="O17" i="889" s="1"/>
  <c r="G14" i="889"/>
  <c r="I14" i="889" s="1"/>
  <c r="G15" i="889"/>
  <c r="I15" i="889" s="1"/>
  <c r="G12" i="889"/>
  <c r="O12" i="889" s="1"/>
  <c r="G11" i="889"/>
  <c r="O11" i="889" s="1"/>
  <c r="Q17" i="888"/>
  <c r="Q15" i="888"/>
  <c r="Q14" i="888"/>
  <c r="Q12" i="888"/>
  <c r="Q11" i="888"/>
  <c r="G17" i="888"/>
  <c r="O17" i="888" s="1"/>
  <c r="G15" i="888"/>
  <c r="O15" i="888" s="1"/>
  <c r="G14" i="888"/>
  <c r="I14" i="888" s="1"/>
  <c r="G12" i="888"/>
  <c r="O12" i="888" s="1"/>
  <c r="G11" i="888"/>
  <c r="O11" i="888" s="1"/>
  <c r="G17" i="887"/>
  <c r="G15" i="887"/>
  <c r="G14" i="887"/>
  <c r="G12" i="887"/>
  <c r="G11" i="887"/>
  <c r="G20" i="886"/>
  <c r="G19" i="886"/>
  <c r="G17" i="886"/>
  <c r="R17" i="886" s="1"/>
  <c r="G15" i="886"/>
  <c r="R15" i="886" s="1"/>
  <c r="G14" i="886"/>
  <c r="G12" i="886"/>
  <c r="G11" i="886"/>
  <c r="L11" i="885"/>
  <c r="L12" i="885"/>
  <c r="G20" i="885"/>
  <c r="R20" i="885" s="1"/>
  <c r="G19" i="885"/>
  <c r="G17" i="885"/>
  <c r="R17" i="885" s="1"/>
  <c r="G15" i="885"/>
  <c r="R15" i="885" s="1"/>
  <c r="G14" i="885"/>
  <c r="G12" i="885"/>
  <c r="G11" i="885"/>
  <c r="G17" i="884"/>
  <c r="G15" i="884"/>
  <c r="G14" i="884"/>
  <c r="G12" i="884"/>
  <c r="G11" i="884"/>
  <c r="G28" i="883"/>
  <c r="G26" i="883"/>
  <c r="G24" i="883"/>
  <c r="G22" i="883"/>
  <c r="G21" i="883"/>
  <c r="G19" i="883"/>
  <c r="G18" i="883"/>
  <c r="G16" i="883"/>
  <c r="G14" i="883"/>
  <c r="G13" i="883"/>
  <c r="G11" i="883"/>
  <c r="G17" i="882"/>
  <c r="G15" i="882"/>
  <c r="G14" i="882"/>
  <c r="G12" i="882"/>
  <c r="G11" i="882"/>
  <c r="G28" i="881"/>
  <c r="G26" i="881"/>
  <c r="G24" i="881"/>
  <c r="G22" i="881"/>
  <c r="G21" i="881"/>
  <c r="G19" i="881"/>
  <c r="G18" i="881"/>
  <c r="G16" i="881"/>
  <c r="G14" i="881"/>
  <c r="G13" i="881"/>
  <c r="G11" i="881"/>
  <c r="G19" i="879"/>
  <c r="L19" i="879" s="1"/>
  <c r="G18" i="879"/>
  <c r="L18" i="879" s="1"/>
  <c r="G16" i="879"/>
  <c r="L16" i="879" s="1"/>
  <c r="G15" i="879"/>
  <c r="I15" i="879" s="1"/>
  <c r="G14" i="879"/>
  <c r="L14" i="879" s="1"/>
  <c r="G33" i="878"/>
  <c r="G32" i="878"/>
  <c r="G30" i="878"/>
  <c r="G29" i="878"/>
  <c r="G28" i="878"/>
  <c r="G26" i="878"/>
  <c r="G25" i="878"/>
  <c r="G23" i="878"/>
  <c r="G22" i="878"/>
  <c r="G21" i="878"/>
  <c r="G19" i="878"/>
  <c r="G18" i="878"/>
  <c r="G16" i="878"/>
  <c r="G15" i="878"/>
  <c r="G14" i="878"/>
  <c r="G33" i="877"/>
  <c r="G32" i="877"/>
  <c r="G30" i="877"/>
  <c r="G29" i="877"/>
  <c r="G28" i="877"/>
  <c r="G26" i="877"/>
  <c r="G25" i="877"/>
  <c r="G23" i="877"/>
  <c r="G22" i="877"/>
  <c r="G21" i="877"/>
  <c r="G19" i="877"/>
  <c r="G18" i="877"/>
  <c r="G16" i="877"/>
  <c r="G15" i="877"/>
  <c r="G14" i="877"/>
  <c r="G23" i="880"/>
  <c r="G22" i="880"/>
  <c r="G20" i="880"/>
  <c r="G19" i="880"/>
  <c r="G18" i="880"/>
  <c r="G16" i="880"/>
  <c r="G15" i="880"/>
  <c r="G13" i="880"/>
  <c r="G12" i="880"/>
  <c r="G11" i="880"/>
  <c r="G19" i="876"/>
  <c r="G18" i="876"/>
  <c r="G16" i="876"/>
  <c r="G15" i="876"/>
  <c r="G14" i="876"/>
  <c r="G24" i="875"/>
  <c r="G23" i="875"/>
  <c r="G21" i="875"/>
  <c r="G20" i="875"/>
  <c r="G18" i="875"/>
  <c r="G16" i="875"/>
  <c r="G15" i="875"/>
  <c r="G13" i="875"/>
  <c r="G11" i="875"/>
  <c r="G21" i="874"/>
  <c r="L21" i="874" s="1"/>
  <c r="G20" i="874"/>
  <c r="I20" i="874" s="1"/>
  <c r="G18" i="874"/>
  <c r="L18" i="874" s="1"/>
  <c r="G17" i="874"/>
  <c r="L17" i="874" s="1"/>
  <c r="G15" i="874"/>
  <c r="L15" i="874" s="1"/>
  <c r="G14" i="874"/>
  <c r="I14" i="874" s="1"/>
  <c r="G23" i="873"/>
  <c r="G22" i="873"/>
  <c r="G20" i="873"/>
  <c r="G19" i="873"/>
  <c r="G17" i="873"/>
  <c r="G15" i="873"/>
  <c r="G14" i="873"/>
  <c r="G20" i="872"/>
  <c r="I20" i="872" s="1"/>
  <c r="I21" i="872" s="1"/>
  <c r="G18" i="872"/>
  <c r="I18" i="872" s="1"/>
  <c r="G17" i="872"/>
  <c r="L17" i="872" s="1"/>
  <c r="G15" i="872"/>
  <c r="I15" i="872" s="1"/>
  <c r="G14" i="872"/>
  <c r="L14" i="872" s="1"/>
  <c r="G22" i="871"/>
  <c r="G20" i="871"/>
  <c r="G19" i="871"/>
  <c r="G18" i="871"/>
  <c r="G16" i="871"/>
  <c r="G15" i="871"/>
  <c r="G14" i="871"/>
  <c r="Q15" i="868"/>
  <c r="Q14" i="868"/>
  <c r="G14" i="868"/>
  <c r="I14" i="868" s="1"/>
  <c r="G15" i="868"/>
  <c r="I15" i="868" s="1"/>
  <c r="G18" i="869"/>
  <c r="G16" i="869"/>
  <c r="G15" i="869"/>
  <c r="G14" i="869"/>
  <c r="G19" i="867"/>
  <c r="G18" i="867"/>
  <c r="G15" i="867"/>
  <c r="G16" i="867"/>
  <c r="G14" i="867"/>
  <c r="G15" i="865"/>
  <c r="L15" i="865" s="1"/>
  <c r="G16" i="865"/>
  <c r="I16" i="865" s="1"/>
  <c r="G14" i="865"/>
  <c r="L14" i="865" s="1"/>
  <c r="O14" i="914" l="1"/>
  <c r="O15" i="914" s="1"/>
  <c r="R14" i="914"/>
  <c r="I14" i="913"/>
  <c r="I15" i="913" s="1"/>
  <c r="I16" i="913" s="1"/>
  <c r="R14" i="913"/>
  <c r="L22" i="902"/>
  <c r="O22" i="902"/>
  <c r="O25" i="902"/>
  <c r="L18" i="902"/>
  <c r="O18" i="902"/>
  <c r="L14" i="902"/>
  <c r="O14" i="902"/>
  <c r="I16" i="902"/>
  <c r="I17" i="902" s="1"/>
  <c r="O16" i="902"/>
  <c r="I20" i="902"/>
  <c r="I21" i="902" s="1"/>
  <c r="O20" i="902"/>
  <c r="L14" i="899"/>
  <c r="O14" i="899"/>
  <c r="I16" i="899"/>
  <c r="I17" i="899" s="1"/>
  <c r="O16" i="899"/>
  <c r="I23" i="896"/>
  <c r="O23" i="896"/>
  <c r="I14" i="896"/>
  <c r="O14" i="896"/>
  <c r="I24" i="896"/>
  <c r="O24" i="896"/>
  <c r="L15" i="896"/>
  <c r="O15" i="896"/>
  <c r="I16" i="896"/>
  <c r="O16" i="896"/>
  <c r="I22" i="896"/>
  <c r="O22" i="896"/>
  <c r="I18" i="896"/>
  <c r="O18" i="896"/>
  <c r="I19" i="896"/>
  <c r="O19" i="896"/>
  <c r="L20" i="896"/>
  <c r="O20" i="896"/>
  <c r="I19" i="895"/>
  <c r="O19" i="895"/>
  <c r="L20" i="895"/>
  <c r="O20" i="895"/>
  <c r="L15" i="895"/>
  <c r="O15" i="895"/>
  <c r="I16" i="895"/>
  <c r="O16" i="895"/>
  <c r="I18" i="895"/>
  <c r="O18" i="895"/>
  <c r="I19" i="890"/>
  <c r="O19" i="890"/>
  <c r="L14" i="890"/>
  <c r="O14" i="890"/>
  <c r="L16" i="890"/>
  <c r="O16" i="890"/>
  <c r="I15" i="890"/>
  <c r="O15" i="890"/>
  <c r="L18" i="890"/>
  <c r="O18" i="890"/>
  <c r="O20" i="890" s="1"/>
  <c r="L11" i="887"/>
  <c r="O11" i="887"/>
  <c r="L12" i="887"/>
  <c r="O12" i="887"/>
  <c r="I14" i="887"/>
  <c r="O14" i="887"/>
  <c r="I15" i="887"/>
  <c r="O15" i="887"/>
  <c r="L17" i="887"/>
  <c r="O17" i="887"/>
  <c r="I19" i="886"/>
  <c r="R19" i="886"/>
  <c r="O20" i="886"/>
  <c r="R20" i="886"/>
  <c r="I11" i="886"/>
  <c r="I13" i="886" s="1"/>
  <c r="R11" i="886"/>
  <c r="I12" i="886"/>
  <c r="R12" i="886"/>
  <c r="O14" i="886"/>
  <c r="R14" i="886"/>
  <c r="R16" i="886" s="1"/>
  <c r="R18" i="886"/>
  <c r="I19" i="885"/>
  <c r="O19" i="885" s="1"/>
  <c r="R19" i="885"/>
  <c r="R21" i="885" s="1"/>
  <c r="I11" i="885"/>
  <c r="R11" i="885"/>
  <c r="I12" i="885"/>
  <c r="O12" i="885" s="1"/>
  <c r="P12" i="885" s="1"/>
  <c r="R12" i="885"/>
  <c r="I14" i="885"/>
  <c r="R14" i="885"/>
  <c r="R16" i="885" s="1"/>
  <c r="R18" i="885"/>
  <c r="L14" i="884"/>
  <c r="O14" i="884"/>
  <c r="I15" i="884"/>
  <c r="O15" i="884"/>
  <c r="L12" i="884"/>
  <c r="O12" i="884"/>
  <c r="L17" i="884"/>
  <c r="O17" i="884"/>
  <c r="L11" i="884"/>
  <c r="O11" i="884"/>
  <c r="I18" i="883"/>
  <c r="O18" i="883"/>
  <c r="I19" i="883"/>
  <c r="O19" i="883"/>
  <c r="I21" i="883"/>
  <c r="O21" i="883"/>
  <c r="L22" i="883"/>
  <c r="O22" i="883"/>
  <c r="I11" i="883"/>
  <c r="I12" i="883" s="1"/>
  <c r="O11" i="883"/>
  <c r="I24" i="883"/>
  <c r="I25" i="883" s="1"/>
  <c r="O24" i="883"/>
  <c r="I13" i="883"/>
  <c r="O13" i="883"/>
  <c r="I26" i="883"/>
  <c r="I27" i="883" s="1"/>
  <c r="O26" i="883"/>
  <c r="L14" i="883"/>
  <c r="R14" i="883" s="1"/>
  <c r="O14" i="883"/>
  <c r="I28" i="883"/>
  <c r="I29" i="883" s="1"/>
  <c r="O28" i="883"/>
  <c r="L16" i="883"/>
  <c r="O16" i="883"/>
  <c r="I12" i="882"/>
  <c r="O12" i="882"/>
  <c r="I14" i="882"/>
  <c r="O14" i="882"/>
  <c r="L15" i="882"/>
  <c r="O15" i="882"/>
  <c r="I17" i="882"/>
  <c r="I18" i="882" s="1"/>
  <c r="O17" i="882"/>
  <c r="L11" i="882"/>
  <c r="R11" i="882" s="1"/>
  <c r="O11" i="882"/>
  <c r="I18" i="881"/>
  <c r="O18" i="881"/>
  <c r="I19" i="881"/>
  <c r="O19" i="881"/>
  <c r="L21" i="881"/>
  <c r="O21" i="881"/>
  <c r="I22" i="881"/>
  <c r="O22" i="881"/>
  <c r="I11" i="881"/>
  <c r="I12" i="881" s="1"/>
  <c r="O11" i="881"/>
  <c r="L24" i="881"/>
  <c r="O24" i="881"/>
  <c r="L13" i="881"/>
  <c r="O13" i="881"/>
  <c r="L26" i="881"/>
  <c r="O26" i="881"/>
  <c r="L14" i="881"/>
  <c r="O14" i="881"/>
  <c r="L28" i="881"/>
  <c r="O28" i="881"/>
  <c r="L16" i="881"/>
  <c r="O16" i="881"/>
  <c r="L15" i="878"/>
  <c r="O15" i="878"/>
  <c r="L26" i="878"/>
  <c r="O26" i="878"/>
  <c r="L16" i="878"/>
  <c r="O16" i="878"/>
  <c r="L28" i="878"/>
  <c r="O28" i="878"/>
  <c r="L18" i="878"/>
  <c r="O18" i="878"/>
  <c r="L29" i="878"/>
  <c r="O29" i="878"/>
  <c r="L25" i="878"/>
  <c r="O25" i="878"/>
  <c r="L19" i="878"/>
  <c r="O19" i="878"/>
  <c r="L30" i="878"/>
  <c r="O30" i="878"/>
  <c r="L21" i="878"/>
  <c r="O21" i="878"/>
  <c r="L32" i="878"/>
  <c r="O32" i="878"/>
  <c r="L14" i="878"/>
  <c r="O14" i="878"/>
  <c r="L22" i="878"/>
  <c r="O22" i="878"/>
  <c r="L33" i="878"/>
  <c r="O33" i="878"/>
  <c r="L23" i="878"/>
  <c r="O23" i="878"/>
  <c r="I23" i="877"/>
  <c r="O23" i="877"/>
  <c r="I14" i="877"/>
  <c r="O14" i="877"/>
  <c r="I25" i="877"/>
  <c r="O25" i="877"/>
  <c r="L15" i="877"/>
  <c r="O15" i="877"/>
  <c r="L26" i="877"/>
  <c r="O26" i="877"/>
  <c r="L16" i="877"/>
  <c r="O16" i="877"/>
  <c r="I28" i="877"/>
  <c r="O28" i="877"/>
  <c r="L18" i="877"/>
  <c r="O18" i="877"/>
  <c r="I29" i="877"/>
  <c r="O29" i="877"/>
  <c r="I19" i="877"/>
  <c r="O19" i="877"/>
  <c r="I30" i="877"/>
  <c r="O30" i="877"/>
  <c r="L21" i="877"/>
  <c r="R21" i="877" s="1"/>
  <c r="O21" i="877"/>
  <c r="L32" i="877"/>
  <c r="O32" i="877"/>
  <c r="I22" i="877"/>
  <c r="O22" i="877"/>
  <c r="L33" i="877"/>
  <c r="O33" i="877"/>
  <c r="L15" i="880"/>
  <c r="O15" i="880"/>
  <c r="L16" i="880"/>
  <c r="O16" i="880"/>
  <c r="L18" i="880"/>
  <c r="R18" i="880" s="1"/>
  <c r="O18" i="880"/>
  <c r="I13" i="880"/>
  <c r="O13" i="880"/>
  <c r="I19" i="880"/>
  <c r="O19" i="880"/>
  <c r="I20" i="880"/>
  <c r="O20" i="880"/>
  <c r="L11" i="880"/>
  <c r="R11" i="880" s="1"/>
  <c r="O11" i="880"/>
  <c r="L22" i="880"/>
  <c r="O22" i="880"/>
  <c r="I12" i="880"/>
  <c r="O12" i="880"/>
  <c r="L23" i="880"/>
  <c r="O23" i="880"/>
  <c r="L14" i="876"/>
  <c r="R14" i="876" s="1"/>
  <c r="O14" i="876"/>
  <c r="I15" i="876"/>
  <c r="O15" i="876"/>
  <c r="I18" i="876"/>
  <c r="O18" i="876"/>
  <c r="I19" i="876"/>
  <c r="O19" i="876"/>
  <c r="L16" i="876"/>
  <c r="O16" i="876"/>
  <c r="I13" i="875"/>
  <c r="I14" i="875" s="1"/>
  <c r="O13" i="875"/>
  <c r="I15" i="875"/>
  <c r="O15" i="875"/>
  <c r="L16" i="875"/>
  <c r="O16" i="875"/>
  <c r="L18" i="875"/>
  <c r="R18" i="875" s="1"/>
  <c r="O18" i="875"/>
  <c r="I20" i="875"/>
  <c r="O20" i="875"/>
  <c r="L24" i="875"/>
  <c r="O24" i="875"/>
  <c r="I21" i="875"/>
  <c r="O21" i="875"/>
  <c r="I11" i="875"/>
  <c r="I12" i="875" s="1"/>
  <c r="O11" i="875"/>
  <c r="L23" i="875"/>
  <c r="O23" i="875"/>
  <c r="I23" i="873"/>
  <c r="O23" i="873"/>
  <c r="I14" i="873"/>
  <c r="O14" i="873"/>
  <c r="L15" i="873"/>
  <c r="R15" i="873" s="1"/>
  <c r="O15" i="873"/>
  <c r="I17" i="873"/>
  <c r="I18" i="873" s="1"/>
  <c r="O17" i="873"/>
  <c r="O18" i="873" s="1"/>
  <c r="L19" i="873"/>
  <c r="O19" i="873"/>
  <c r="L20" i="873"/>
  <c r="O20" i="873"/>
  <c r="L22" i="873"/>
  <c r="O22" i="873"/>
  <c r="I18" i="871"/>
  <c r="O18" i="871"/>
  <c r="L19" i="871"/>
  <c r="O19" i="871"/>
  <c r="I20" i="871"/>
  <c r="O20" i="871"/>
  <c r="L22" i="871"/>
  <c r="O22" i="871"/>
  <c r="I14" i="871"/>
  <c r="O14" i="871"/>
  <c r="I15" i="871"/>
  <c r="O15" i="871"/>
  <c r="L16" i="871"/>
  <c r="O16" i="871"/>
  <c r="O18" i="869"/>
  <c r="O19" i="869" s="1"/>
  <c r="R18" i="869"/>
  <c r="O15" i="869"/>
  <c r="R15" i="869"/>
  <c r="I14" i="869"/>
  <c r="R14" i="869"/>
  <c r="I16" i="869"/>
  <c r="R16" i="869"/>
  <c r="L14" i="867"/>
  <c r="R14" i="867" s="1"/>
  <c r="O14" i="867"/>
  <c r="I16" i="867"/>
  <c r="O16" i="867"/>
  <c r="L18" i="867"/>
  <c r="O18" i="867"/>
  <c r="L19" i="867"/>
  <c r="O19" i="867"/>
  <c r="I15" i="867"/>
  <c r="O15" i="867"/>
  <c r="I19" i="867"/>
  <c r="I18" i="869"/>
  <c r="I19" i="869" s="1"/>
  <c r="I16" i="868"/>
  <c r="I17" i="868" s="1"/>
  <c r="I22" i="868" s="1"/>
  <c r="I23" i="868" s="1"/>
  <c r="I19" i="871"/>
  <c r="I17" i="872"/>
  <c r="I19" i="872" s="1"/>
  <c r="I22" i="873"/>
  <c r="M18" i="874"/>
  <c r="I18" i="874"/>
  <c r="L13" i="875"/>
  <c r="R13" i="875" s="1"/>
  <c r="S13" i="875" s="1"/>
  <c r="L20" i="880"/>
  <c r="I32" i="877"/>
  <c r="I18" i="878"/>
  <c r="I17" i="885"/>
  <c r="S17" i="885" s="1"/>
  <c r="O17" i="885"/>
  <c r="I14" i="895"/>
  <c r="P14" i="895" s="1"/>
  <c r="L14" i="895"/>
  <c r="R14" i="895" s="1"/>
  <c r="L15" i="867"/>
  <c r="R15" i="867" s="1"/>
  <c r="O16" i="869"/>
  <c r="O15" i="868"/>
  <c r="L14" i="871"/>
  <c r="L14" i="873"/>
  <c r="L20" i="875"/>
  <c r="R20" i="875" s="1"/>
  <c r="L15" i="876"/>
  <c r="R15" i="876" s="1"/>
  <c r="S15" i="876" s="1"/>
  <c r="I16" i="880"/>
  <c r="L14" i="877"/>
  <c r="R14" i="877" s="1"/>
  <c r="I23" i="878"/>
  <c r="Y14" i="955"/>
  <c r="I15" i="865"/>
  <c r="L16" i="867"/>
  <c r="R16" i="867" s="1"/>
  <c r="L18" i="872"/>
  <c r="M18" i="872" s="1"/>
  <c r="I15" i="873"/>
  <c r="M15" i="873" s="1"/>
  <c r="L21" i="875"/>
  <c r="L19" i="876"/>
  <c r="I22" i="880"/>
  <c r="L25" i="877"/>
  <c r="R25" i="877" s="1"/>
  <c r="S25" i="877" s="1"/>
  <c r="I29" i="878"/>
  <c r="I20" i="885"/>
  <c r="S20" i="885" s="1"/>
  <c r="O20" i="885"/>
  <c r="O13" i="889"/>
  <c r="I49" i="903"/>
  <c r="W15" i="955"/>
  <c r="X15" i="955" s="1"/>
  <c r="Y15" i="955" s="1"/>
  <c r="I20" i="873"/>
  <c r="I17" i="874"/>
  <c r="L30" i="877"/>
  <c r="I15" i="885"/>
  <c r="I16" i="885" s="1"/>
  <c r="O15" i="885"/>
  <c r="O17" i="886"/>
  <c r="O18" i="886" s="1"/>
  <c r="I17" i="886"/>
  <c r="S17" i="886" s="1"/>
  <c r="I15" i="886"/>
  <c r="O15" i="886"/>
  <c r="O16" i="886" s="1"/>
  <c r="L16" i="865"/>
  <c r="I14" i="865"/>
  <c r="I17" i="865" s="1"/>
  <c r="I18" i="867"/>
  <c r="I20" i="867" s="1"/>
  <c r="O14" i="869"/>
  <c r="I14" i="867"/>
  <c r="O14" i="868"/>
  <c r="I16" i="871"/>
  <c r="I22" i="871"/>
  <c r="I23" i="871" s="1"/>
  <c r="L15" i="871"/>
  <c r="L18" i="871"/>
  <c r="L20" i="871"/>
  <c r="L15" i="872"/>
  <c r="M15" i="872" s="1"/>
  <c r="L20" i="872"/>
  <c r="M20" i="872" s="1"/>
  <c r="I19" i="873"/>
  <c r="L17" i="873"/>
  <c r="L23" i="873"/>
  <c r="I15" i="874"/>
  <c r="M15" i="874" s="1"/>
  <c r="I21" i="874"/>
  <c r="M21" i="874" s="1"/>
  <c r="I16" i="875"/>
  <c r="I17" i="875" s="1"/>
  <c r="I23" i="875"/>
  <c r="M23" i="875" s="1"/>
  <c r="L11" i="875"/>
  <c r="R11" i="875" s="1"/>
  <c r="L15" i="875"/>
  <c r="R15" i="875" s="1"/>
  <c r="I15" i="880"/>
  <c r="I23" i="880"/>
  <c r="L12" i="880"/>
  <c r="R12" i="880" s="1"/>
  <c r="S12" i="880" s="1"/>
  <c r="L19" i="880"/>
  <c r="R19" i="880" s="1"/>
  <c r="S19" i="880" s="1"/>
  <c r="I15" i="877"/>
  <c r="I21" i="877"/>
  <c r="I26" i="877"/>
  <c r="I27" i="877" s="1"/>
  <c r="I33" i="877"/>
  <c r="L22" i="877"/>
  <c r="R22" i="877" s="1"/>
  <c r="L28" i="877"/>
  <c r="R28" i="877" s="1"/>
  <c r="I15" i="878"/>
  <c r="I21" i="878"/>
  <c r="I26" i="878"/>
  <c r="I32" i="878"/>
  <c r="I20" i="881"/>
  <c r="I20" i="883"/>
  <c r="I13" i="885"/>
  <c r="O11" i="885"/>
  <c r="U11" i="885" s="1"/>
  <c r="O18" i="888"/>
  <c r="L14" i="874"/>
  <c r="I18" i="875"/>
  <c r="I19" i="875" s="1"/>
  <c r="I24" i="875"/>
  <c r="I16" i="876"/>
  <c r="L18" i="876"/>
  <c r="I16" i="877"/>
  <c r="L19" i="877"/>
  <c r="R19" i="877" s="1"/>
  <c r="L23" i="877"/>
  <c r="L29" i="877"/>
  <c r="I16" i="878"/>
  <c r="I22" i="878"/>
  <c r="I28" i="878"/>
  <c r="I33" i="878"/>
  <c r="I14" i="872"/>
  <c r="I16" i="872" s="1"/>
  <c r="L20" i="874"/>
  <c r="I18" i="880"/>
  <c r="L13" i="880"/>
  <c r="I11" i="880"/>
  <c r="I14" i="880" s="1"/>
  <c r="I18" i="877"/>
  <c r="O14" i="885"/>
  <c r="I15" i="869"/>
  <c r="I14" i="876"/>
  <c r="I14" i="878"/>
  <c r="I19" i="878"/>
  <c r="I20" i="878" s="1"/>
  <c r="I25" i="878"/>
  <c r="I30" i="878"/>
  <c r="I16" i="879"/>
  <c r="M16" i="879" s="1"/>
  <c r="I14" i="881"/>
  <c r="I21" i="881"/>
  <c r="I28" i="881"/>
  <c r="I29" i="881" s="1"/>
  <c r="L18" i="881"/>
  <c r="L22" i="881"/>
  <c r="R22" i="881" s="1"/>
  <c r="I15" i="882"/>
  <c r="I16" i="882" s="1"/>
  <c r="L12" i="882"/>
  <c r="L17" i="882"/>
  <c r="I14" i="883"/>
  <c r="I22" i="883"/>
  <c r="L18" i="883"/>
  <c r="L21" i="883"/>
  <c r="L24" i="883"/>
  <c r="I11" i="884"/>
  <c r="I17" i="884"/>
  <c r="I18" i="884" s="1"/>
  <c r="L15" i="884"/>
  <c r="I14" i="886"/>
  <c r="I20" i="886"/>
  <c r="O19" i="886"/>
  <c r="I11" i="887"/>
  <c r="I17" i="887"/>
  <c r="I18" i="887" s="1"/>
  <c r="L14" i="887"/>
  <c r="I15" i="888"/>
  <c r="P15" i="888" s="1"/>
  <c r="O14" i="888"/>
  <c r="O16" i="888" s="1"/>
  <c r="I18" i="879"/>
  <c r="L15" i="879"/>
  <c r="M15" i="879" s="1"/>
  <c r="I16" i="881"/>
  <c r="I17" i="881" s="1"/>
  <c r="L11" i="881"/>
  <c r="L19" i="881"/>
  <c r="R19" i="881" s="1"/>
  <c r="S19" i="881" s="1"/>
  <c r="I11" i="882"/>
  <c r="L14" i="882"/>
  <c r="I16" i="883"/>
  <c r="I17" i="883" s="1"/>
  <c r="L11" i="883"/>
  <c r="L26" i="883"/>
  <c r="I12" i="884"/>
  <c r="O11" i="886"/>
  <c r="I12" i="887"/>
  <c r="M12" i="887" s="1"/>
  <c r="L15" i="887"/>
  <c r="I11" i="888"/>
  <c r="I17" i="888"/>
  <c r="I18" i="888" s="1"/>
  <c r="I16" i="889"/>
  <c r="I14" i="879"/>
  <c r="I19" i="879"/>
  <c r="M19" i="879" s="1"/>
  <c r="I24" i="881"/>
  <c r="I25" i="881" s="1"/>
  <c r="L13" i="883"/>
  <c r="L19" i="883"/>
  <c r="L28" i="883"/>
  <c r="I14" i="884"/>
  <c r="I16" i="884" s="1"/>
  <c r="I18" i="886"/>
  <c r="O12" i="886"/>
  <c r="P12" i="886" s="1"/>
  <c r="I12" i="888"/>
  <c r="P12" i="888" s="1"/>
  <c r="O18" i="889"/>
  <c r="I13" i="881"/>
  <c r="I26" i="881"/>
  <c r="I27" i="881" s="1"/>
  <c r="I11" i="889"/>
  <c r="I17" i="889"/>
  <c r="I18" i="889" s="1"/>
  <c r="O14" i="889"/>
  <c r="I16" i="890"/>
  <c r="L15" i="890"/>
  <c r="L19" i="890"/>
  <c r="R19" i="890" s="1"/>
  <c r="I16" i="893"/>
  <c r="M16" i="893" s="1"/>
  <c r="I15" i="895"/>
  <c r="I20" i="895"/>
  <c r="L16" i="895"/>
  <c r="R16" i="895" s="1"/>
  <c r="I15" i="896"/>
  <c r="I20" i="896"/>
  <c r="L16" i="896"/>
  <c r="R16" i="896" s="1"/>
  <c r="S16" i="896" s="1"/>
  <c r="L22" i="896"/>
  <c r="I18" i="897"/>
  <c r="I18" i="902"/>
  <c r="I19" i="902" s="1"/>
  <c r="L16" i="902"/>
  <c r="R16" i="902" s="1"/>
  <c r="S16" i="902" s="1"/>
  <c r="L20" i="902"/>
  <c r="L24" i="902"/>
  <c r="R24" i="902" s="1"/>
  <c r="I16" i="903"/>
  <c r="I17" i="903" s="1"/>
  <c r="I22" i="903"/>
  <c r="M22" i="903" s="1"/>
  <c r="I27" i="903"/>
  <c r="M27" i="903" s="1"/>
  <c r="I34" i="903"/>
  <c r="M34" i="903" s="1"/>
  <c r="I39" i="903"/>
  <c r="I44" i="903"/>
  <c r="I45" i="903" s="1"/>
  <c r="I50" i="903"/>
  <c r="M50" i="903" s="1"/>
  <c r="L26" i="903"/>
  <c r="L37" i="903"/>
  <c r="L46" i="903"/>
  <c r="O14" i="913"/>
  <c r="X16" i="955"/>
  <c r="I12" i="889"/>
  <c r="P12" i="889" s="1"/>
  <c r="O15" i="889"/>
  <c r="P15" i="889" s="1"/>
  <c r="I14" i="890"/>
  <c r="I15" i="893"/>
  <c r="L14" i="893"/>
  <c r="L18" i="895"/>
  <c r="L14" i="896"/>
  <c r="L18" i="896"/>
  <c r="R18" i="896" s="1"/>
  <c r="L23" i="896"/>
  <c r="R23" i="896" s="1"/>
  <c r="I14" i="897"/>
  <c r="O16" i="897"/>
  <c r="P16" i="897" s="1"/>
  <c r="I14" i="899"/>
  <c r="I15" i="899" s="1"/>
  <c r="I18" i="899" s="1"/>
  <c r="L16" i="899"/>
  <c r="R16" i="899" s="1"/>
  <c r="S16" i="899" s="1"/>
  <c r="I18" i="903"/>
  <c r="I23" i="903"/>
  <c r="I29" i="903"/>
  <c r="I31" i="903" s="1"/>
  <c r="I32" i="903"/>
  <c r="I40" i="903"/>
  <c r="I51" i="903"/>
  <c r="L14" i="903"/>
  <c r="L30" i="903"/>
  <c r="L31" i="903" s="1"/>
  <c r="L43" i="903"/>
  <c r="M43" i="903" s="1"/>
  <c r="L47" i="903"/>
  <c r="O15" i="955"/>
  <c r="P15" i="955" s="1"/>
  <c r="I18" i="890"/>
  <c r="L19" i="895"/>
  <c r="L19" i="896"/>
  <c r="L24" i="896"/>
  <c r="R24" i="896" s="1"/>
  <c r="I15" i="897"/>
  <c r="I14" i="902"/>
  <c r="I15" i="902" s="1"/>
  <c r="I19" i="903"/>
  <c r="I25" i="903"/>
  <c r="I36" i="903"/>
  <c r="I38" i="903" s="1"/>
  <c r="I41" i="903"/>
  <c r="M41" i="903" s="1"/>
  <c r="L15" i="903"/>
  <c r="L48" i="903"/>
  <c r="M48" i="903" s="1"/>
  <c r="I14" i="955"/>
  <c r="I20" i="903"/>
  <c r="M20" i="903" s="1"/>
  <c r="I33" i="903"/>
  <c r="V15" i="955"/>
  <c r="L16" i="955"/>
  <c r="L17" i="955" s="1"/>
  <c r="AA14" i="955"/>
  <c r="AB14" i="955" s="1"/>
  <c r="M15" i="955"/>
  <c r="S15" i="955"/>
  <c r="P14" i="955"/>
  <c r="V14" i="955"/>
  <c r="H16" i="955"/>
  <c r="H17" i="955" s="1"/>
  <c r="H27" i="261" s="1"/>
  <c r="R16" i="955"/>
  <c r="M14" i="955"/>
  <c r="S14" i="955"/>
  <c r="U16" i="955"/>
  <c r="I14" i="914"/>
  <c r="I15" i="914" s="1"/>
  <c r="I16" i="914" s="1"/>
  <c r="I21" i="913"/>
  <c r="I22" i="913" s="1"/>
  <c r="I18" i="913"/>
  <c r="O19" i="897"/>
  <c r="O13" i="888"/>
  <c r="O16" i="868"/>
  <c r="R18" i="877" l="1"/>
  <c r="R23" i="878"/>
  <c r="R14" i="873"/>
  <c r="R19" i="895"/>
  <c r="S19" i="895" s="1"/>
  <c r="R12" i="884"/>
  <c r="I22" i="875"/>
  <c r="I20" i="877"/>
  <c r="I15" i="881"/>
  <c r="I20" i="890"/>
  <c r="I17" i="895"/>
  <c r="I13" i="882"/>
  <c r="I19" i="882" s="1"/>
  <c r="S22" i="881"/>
  <c r="S19" i="890"/>
  <c r="S19" i="877"/>
  <c r="P15" i="884"/>
  <c r="I23" i="881"/>
  <c r="S22" i="877"/>
  <c r="I25" i="896"/>
  <c r="I21" i="895"/>
  <c r="I24" i="873"/>
  <c r="P16" i="896"/>
  <c r="P19" i="896"/>
  <c r="M16" i="871"/>
  <c r="P19" i="867"/>
  <c r="S16" i="869"/>
  <c r="P20" i="871"/>
  <c r="P20" i="873"/>
  <c r="P21" i="875"/>
  <c r="P20" i="880"/>
  <c r="P29" i="877"/>
  <c r="P23" i="877"/>
  <c r="P19" i="895"/>
  <c r="M20" i="873"/>
  <c r="I16" i="887"/>
  <c r="O17" i="895"/>
  <c r="M31" i="903"/>
  <c r="O16" i="885"/>
  <c r="S14" i="895"/>
  <c r="O24" i="873"/>
  <c r="P15" i="887"/>
  <c r="P19" i="890"/>
  <c r="R16" i="883"/>
  <c r="S16" i="883" s="1"/>
  <c r="S18" i="896"/>
  <c r="R14" i="887"/>
  <c r="S14" i="887" s="1"/>
  <c r="I19" i="868"/>
  <c r="M19" i="871"/>
  <c r="P15" i="871"/>
  <c r="P12" i="880"/>
  <c r="P19" i="880"/>
  <c r="P19" i="881"/>
  <c r="P19" i="883"/>
  <c r="R14" i="896"/>
  <c r="S14" i="896" s="1"/>
  <c r="R22" i="896"/>
  <c r="I21" i="880"/>
  <c r="I20" i="876"/>
  <c r="I21" i="876" s="1"/>
  <c r="R15" i="914"/>
  <c r="S15" i="914" s="1"/>
  <c r="S14" i="914"/>
  <c r="R18" i="895"/>
  <c r="S18" i="895" s="1"/>
  <c r="R29" i="877"/>
  <c r="S29" i="877" s="1"/>
  <c r="I24" i="877"/>
  <c r="P15" i="886"/>
  <c r="R20" i="880"/>
  <c r="S20" i="880" s="1"/>
  <c r="P15" i="876"/>
  <c r="P13" i="880"/>
  <c r="P30" i="877"/>
  <c r="P25" i="877"/>
  <c r="S12" i="886"/>
  <c r="S14" i="913"/>
  <c r="M29" i="903"/>
  <c r="R16" i="881"/>
  <c r="I21" i="896"/>
  <c r="O21" i="886"/>
  <c r="I17" i="876"/>
  <c r="R23" i="877"/>
  <c r="S23" i="877" s="1"/>
  <c r="R15" i="895"/>
  <c r="S15" i="895" s="1"/>
  <c r="P15" i="896"/>
  <c r="M36" i="903"/>
  <c r="S24" i="896"/>
  <c r="I27" i="896"/>
  <c r="P20" i="886"/>
  <c r="I23" i="883"/>
  <c r="I22" i="872"/>
  <c r="I24" i="872" s="1"/>
  <c r="R20" i="902"/>
  <c r="S20" i="902" s="1"/>
  <c r="I15" i="883"/>
  <c r="I18" i="885"/>
  <c r="S18" i="885" s="1"/>
  <c r="S18" i="875"/>
  <c r="R22" i="883"/>
  <c r="R11" i="884"/>
  <c r="R15" i="913"/>
  <c r="R22" i="902"/>
  <c r="R14" i="902"/>
  <c r="S14" i="902" s="1"/>
  <c r="O19" i="902"/>
  <c r="P19" i="902" s="1"/>
  <c r="P18" i="902"/>
  <c r="R18" i="902"/>
  <c r="S18" i="902" s="1"/>
  <c r="P20" i="902"/>
  <c r="O21" i="902"/>
  <c r="P21" i="902" s="1"/>
  <c r="P16" i="902"/>
  <c r="O17" i="902"/>
  <c r="P17" i="902" s="1"/>
  <c r="O23" i="902"/>
  <c r="O15" i="902"/>
  <c r="P14" i="902"/>
  <c r="P16" i="899"/>
  <c r="O17" i="899"/>
  <c r="P17" i="899" s="1"/>
  <c r="P14" i="899"/>
  <c r="O15" i="899"/>
  <c r="P15" i="899" s="1"/>
  <c r="R14" i="899"/>
  <c r="S14" i="899" s="1"/>
  <c r="R15" i="896"/>
  <c r="S15" i="896" s="1"/>
  <c r="R19" i="896"/>
  <c r="S19" i="896" s="1"/>
  <c r="P18" i="896"/>
  <c r="O21" i="896"/>
  <c r="P24" i="896"/>
  <c r="O25" i="896"/>
  <c r="P25" i="896" s="1"/>
  <c r="P14" i="896"/>
  <c r="O27" i="896"/>
  <c r="P130" i="261" s="1"/>
  <c r="O17" i="896"/>
  <c r="P20" i="896"/>
  <c r="R20" i="896"/>
  <c r="S20" i="896" s="1"/>
  <c r="P18" i="895"/>
  <c r="O21" i="895"/>
  <c r="R20" i="895"/>
  <c r="P15" i="895"/>
  <c r="P16" i="890"/>
  <c r="R16" i="890"/>
  <c r="S16" i="890" s="1"/>
  <c r="R15" i="890"/>
  <c r="O17" i="890"/>
  <c r="R14" i="890"/>
  <c r="P20" i="890"/>
  <c r="I17" i="890"/>
  <c r="R18" i="890"/>
  <c r="O16" i="887"/>
  <c r="M15" i="887"/>
  <c r="R15" i="887"/>
  <c r="S15" i="887" s="1"/>
  <c r="P12" i="887"/>
  <c r="R12" i="887"/>
  <c r="S12" i="887" s="1"/>
  <c r="O18" i="887"/>
  <c r="P18" i="887" s="1"/>
  <c r="P17" i="887"/>
  <c r="O13" i="887"/>
  <c r="R17" i="887"/>
  <c r="S17" i="887" s="1"/>
  <c r="R11" i="887"/>
  <c r="R13" i="886"/>
  <c r="S13" i="886" s="1"/>
  <c r="S18" i="886"/>
  <c r="S20" i="886"/>
  <c r="S15" i="886"/>
  <c r="R21" i="886"/>
  <c r="O13" i="885"/>
  <c r="P13" i="885" s="1"/>
  <c r="I21" i="885"/>
  <c r="S21" i="885" s="1"/>
  <c r="R13" i="885"/>
  <c r="S13" i="885" s="1"/>
  <c r="S15" i="885"/>
  <c r="U12" i="885"/>
  <c r="S16" i="885"/>
  <c r="S12" i="885"/>
  <c r="R14" i="884"/>
  <c r="S14" i="884" s="1"/>
  <c r="P17" i="884"/>
  <c r="O18" i="884"/>
  <c r="P18" i="884" s="1"/>
  <c r="R17" i="884"/>
  <c r="S17" i="884" s="1"/>
  <c r="P12" i="884"/>
  <c r="S12" i="884"/>
  <c r="O13" i="884"/>
  <c r="O16" i="884"/>
  <c r="P16" i="884" s="1"/>
  <c r="M15" i="884"/>
  <c r="R15" i="884"/>
  <c r="S15" i="884" s="1"/>
  <c r="P26" i="883"/>
  <c r="O27" i="883"/>
  <c r="P27" i="883" s="1"/>
  <c r="P22" i="883"/>
  <c r="M28" i="883"/>
  <c r="R28" i="883"/>
  <c r="S28" i="883" s="1"/>
  <c r="S22" i="883"/>
  <c r="M19" i="883"/>
  <c r="R19" i="883"/>
  <c r="S19" i="883" s="1"/>
  <c r="P16" i="883"/>
  <c r="O17" i="883"/>
  <c r="P17" i="883" s="1"/>
  <c r="O15" i="883"/>
  <c r="P13" i="883"/>
  <c r="P21" i="883"/>
  <c r="O23" i="883"/>
  <c r="P23" i="883" s="1"/>
  <c r="M13" i="883"/>
  <c r="R13" i="883"/>
  <c r="S13" i="883" s="1"/>
  <c r="M24" i="883"/>
  <c r="R24" i="883"/>
  <c r="S24" i="883" s="1"/>
  <c r="O29" i="883"/>
  <c r="P29" i="883" s="1"/>
  <c r="P28" i="883"/>
  <c r="O25" i="883"/>
  <c r="P25" i="883" s="1"/>
  <c r="P24" i="883"/>
  <c r="M21" i="883"/>
  <c r="R21" i="883"/>
  <c r="S21" i="883" s="1"/>
  <c r="M26" i="883"/>
  <c r="R26" i="883"/>
  <c r="S26" i="883" s="1"/>
  <c r="M18" i="883"/>
  <c r="R18" i="883"/>
  <c r="S18" i="883" s="1"/>
  <c r="P14" i="883"/>
  <c r="O12" i="883"/>
  <c r="P11" i="883"/>
  <c r="O20" i="883"/>
  <c r="P20" i="883" s="1"/>
  <c r="P18" i="883"/>
  <c r="M11" i="883"/>
  <c r="R11" i="883"/>
  <c r="S14" i="883"/>
  <c r="R14" i="882"/>
  <c r="R15" i="882"/>
  <c r="S15" i="882" s="1"/>
  <c r="O16" i="882"/>
  <c r="P16" i="882" s="1"/>
  <c r="M12" i="882"/>
  <c r="R12" i="882"/>
  <c r="S12" i="882" s="1"/>
  <c r="P17" i="882"/>
  <c r="O18" i="882"/>
  <c r="P18" i="882" s="1"/>
  <c r="P15" i="882"/>
  <c r="O13" i="882"/>
  <c r="P12" i="882"/>
  <c r="M17" i="882"/>
  <c r="R17" i="882"/>
  <c r="S17" i="882" s="1"/>
  <c r="R26" i="881"/>
  <c r="S26" i="881" s="1"/>
  <c r="R28" i="881"/>
  <c r="S28" i="881" s="1"/>
  <c r="P26" i="881"/>
  <c r="O27" i="881"/>
  <c r="P27" i="881" s="1"/>
  <c r="P22" i="881"/>
  <c r="P16" i="881"/>
  <c r="O17" i="881"/>
  <c r="P17" i="881" s="1"/>
  <c r="P13" i="881"/>
  <c r="O15" i="881"/>
  <c r="O23" i="881"/>
  <c r="P21" i="881"/>
  <c r="S16" i="881"/>
  <c r="R13" i="881"/>
  <c r="S13" i="881" s="1"/>
  <c r="R21" i="881"/>
  <c r="S21" i="881" s="1"/>
  <c r="M11" i="881"/>
  <c r="R11" i="881"/>
  <c r="S11" i="881" s="1"/>
  <c r="O29" i="881"/>
  <c r="P29" i="881" s="1"/>
  <c r="P28" i="881"/>
  <c r="P24" i="881"/>
  <c r="O25" i="881"/>
  <c r="P25" i="881" s="1"/>
  <c r="M18" i="881"/>
  <c r="R18" i="881"/>
  <c r="S18" i="881" s="1"/>
  <c r="R24" i="881"/>
  <c r="S24" i="881" s="1"/>
  <c r="P14" i="881"/>
  <c r="P11" i="881"/>
  <c r="O12" i="881"/>
  <c r="P18" i="881"/>
  <c r="O20" i="881"/>
  <c r="P20" i="881" s="1"/>
  <c r="R14" i="881"/>
  <c r="S14" i="881" s="1"/>
  <c r="R14" i="878"/>
  <c r="S14" i="878" s="1"/>
  <c r="R19" i="878"/>
  <c r="S19" i="878" s="1"/>
  <c r="R28" i="878"/>
  <c r="S28" i="878" s="1"/>
  <c r="P23" i="878"/>
  <c r="P32" i="878"/>
  <c r="O34" i="878"/>
  <c r="P25" i="878"/>
  <c r="O27" i="878"/>
  <c r="P16" i="878"/>
  <c r="S23" i="878"/>
  <c r="R32" i="878"/>
  <c r="S32" i="878" s="1"/>
  <c r="R25" i="878"/>
  <c r="S25" i="878" s="1"/>
  <c r="R16" i="878"/>
  <c r="S16" i="878" s="1"/>
  <c r="P28" i="878"/>
  <c r="O31" i="878"/>
  <c r="P33" i="878"/>
  <c r="P21" i="878"/>
  <c r="O24" i="878"/>
  <c r="P29" i="878"/>
  <c r="P26" i="878"/>
  <c r="P14" i="878"/>
  <c r="O17" i="878"/>
  <c r="R33" i="878"/>
  <c r="S33" i="878" s="1"/>
  <c r="R21" i="878"/>
  <c r="S21" i="878" s="1"/>
  <c r="R29" i="878"/>
  <c r="S29" i="878" s="1"/>
  <c r="R26" i="878"/>
  <c r="S26" i="878" s="1"/>
  <c r="O20" i="878"/>
  <c r="P20" i="878" s="1"/>
  <c r="P19" i="878"/>
  <c r="P22" i="878"/>
  <c r="P30" i="878"/>
  <c r="P18" i="878"/>
  <c r="P15" i="878"/>
  <c r="R22" i="878"/>
  <c r="S22" i="878" s="1"/>
  <c r="R30" i="878"/>
  <c r="S30" i="878" s="1"/>
  <c r="R18" i="878"/>
  <c r="S18" i="878" s="1"/>
  <c r="R15" i="878"/>
  <c r="S15" i="878" s="1"/>
  <c r="R32" i="877"/>
  <c r="S32" i="877" s="1"/>
  <c r="R30" i="877"/>
  <c r="S30" i="877" s="1"/>
  <c r="P18" i="877"/>
  <c r="P15" i="877"/>
  <c r="S18" i="877"/>
  <c r="R15" i="877"/>
  <c r="S15" i="877" s="1"/>
  <c r="P33" i="877"/>
  <c r="O31" i="877"/>
  <c r="R33" i="877"/>
  <c r="S33" i="877" s="1"/>
  <c r="I31" i="877"/>
  <c r="O24" i="877"/>
  <c r="P22" i="877"/>
  <c r="O20" i="877"/>
  <c r="P20" i="877" s="1"/>
  <c r="P19" i="877"/>
  <c r="O17" i="877"/>
  <c r="P16" i="877"/>
  <c r="R16" i="877"/>
  <c r="S16" i="877" s="1"/>
  <c r="O34" i="877"/>
  <c r="P32" i="877"/>
  <c r="O27" i="877"/>
  <c r="P27" i="877" s="1"/>
  <c r="P26" i="877"/>
  <c r="R26" i="877"/>
  <c r="S26" i="877" s="1"/>
  <c r="R22" i="880"/>
  <c r="S22" i="880" s="1"/>
  <c r="P22" i="880"/>
  <c r="O24" i="880"/>
  <c r="P11" i="880"/>
  <c r="O14" i="880"/>
  <c r="P14" i="880" s="1"/>
  <c r="P18" i="880"/>
  <c r="O21" i="880"/>
  <c r="P21" i="880" s="1"/>
  <c r="S11" i="880"/>
  <c r="S18" i="880"/>
  <c r="P23" i="880"/>
  <c r="P16" i="880"/>
  <c r="R13" i="880"/>
  <c r="S13" i="880" s="1"/>
  <c r="I17" i="880"/>
  <c r="R23" i="880"/>
  <c r="S23" i="880" s="1"/>
  <c r="R16" i="880"/>
  <c r="S16" i="880" s="1"/>
  <c r="O17" i="880"/>
  <c r="P15" i="880"/>
  <c r="R15" i="880"/>
  <c r="S15" i="880" s="1"/>
  <c r="R18" i="876"/>
  <c r="S18" i="876" s="1"/>
  <c r="R16" i="876"/>
  <c r="S16" i="876" s="1"/>
  <c r="P19" i="876"/>
  <c r="P18" i="876"/>
  <c r="O20" i="876"/>
  <c r="P20" i="876" s="1"/>
  <c r="R19" i="876"/>
  <c r="S19" i="876" s="1"/>
  <c r="P16" i="876"/>
  <c r="P14" i="876"/>
  <c r="O17" i="876"/>
  <c r="P17" i="876" s="1"/>
  <c r="S14" i="876"/>
  <c r="R21" i="875"/>
  <c r="S21" i="875" s="1"/>
  <c r="P11" i="875"/>
  <c r="O12" i="875"/>
  <c r="P12" i="875" s="1"/>
  <c r="O19" i="875"/>
  <c r="P19" i="875" s="1"/>
  <c r="P18" i="875"/>
  <c r="P16" i="875"/>
  <c r="R16" i="875"/>
  <c r="S16" i="875" s="1"/>
  <c r="S11" i="875"/>
  <c r="O17" i="875"/>
  <c r="P17" i="875" s="1"/>
  <c r="R24" i="875"/>
  <c r="O25" i="875"/>
  <c r="P23" i="875"/>
  <c r="O22" i="875"/>
  <c r="P22" i="875" s="1"/>
  <c r="O14" i="875"/>
  <c r="P14" i="875" s="1"/>
  <c r="P13" i="875"/>
  <c r="R23" i="875"/>
  <c r="S23" i="875" s="1"/>
  <c r="R22" i="873"/>
  <c r="O21" i="873"/>
  <c r="P15" i="873"/>
  <c r="M23" i="873"/>
  <c r="R23" i="873"/>
  <c r="M17" i="873"/>
  <c r="R17" i="873"/>
  <c r="O16" i="873"/>
  <c r="R20" i="873"/>
  <c r="P23" i="873"/>
  <c r="R19" i="873"/>
  <c r="R22" i="871"/>
  <c r="P19" i="871"/>
  <c r="O23" i="871"/>
  <c r="P23" i="871" s="1"/>
  <c r="P22" i="871"/>
  <c r="M20" i="871"/>
  <c r="R20" i="871"/>
  <c r="P16" i="871"/>
  <c r="I21" i="871"/>
  <c r="M14" i="871"/>
  <c r="R14" i="871"/>
  <c r="R16" i="871"/>
  <c r="R19" i="871"/>
  <c r="M18" i="871"/>
  <c r="R18" i="871"/>
  <c r="O17" i="871"/>
  <c r="P14" i="871"/>
  <c r="O21" i="871"/>
  <c r="P18" i="871"/>
  <c r="M15" i="871"/>
  <c r="R15" i="871"/>
  <c r="S14" i="869"/>
  <c r="R17" i="869"/>
  <c r="S15" i="869"/>
  <c r="P14" i="869"/>
  <c r="R19" i="869"/>
  <c r="S19" i="869" s="1"/>
  <c r="S18" i="869"/>
  <c r="I17" i="869"/>
  <c r="I20" i="869" s="1"/>
  <c r="I22" i="869" s="1"/>
  <c r="P16" i="869"/>
  <c r="O17" i="869"/>
  <c r="P18" i="869"/>
  <c r="P19" i="869" s="1"/>
  <c r="R19" i="867"/>
  <c r="O20" i="867"/>
  <c r="P20" i="867" s="1"/>
  <c r="P18" i="867"/>
  <c r="I17" i="867"/>
  <c r="I21" i="867" s="1"/>
  <c r="I26" i="867" s="1"/>
  <c r="I27" i="867" s="1"/>
  <c r="R18" i="867"/>
  <c r="M19" i="867"/>
  <c r="P14" i="867"/>
  <c r="O17" i="867"/>
  <c r="O21" i="885"/>
  <c r="I24" i="880"/>
  <c r="I19" i="874"/>
  <c r="O13" i="886"/>
  <c r="P13" i="886" s="1"/>
  <c r="O16" i="955"/>
  <c r="O17" i="955" s="1"/>
  <c r="O18" i="955" s="1"/>
  <c r="O21" i="955" s="1"/>
  <c r="X27" i="955" s="1"/>
  <c r="I17" i="879"/>
  <c r="I16" i="873"/>
  <c r="I17" i="893"/>
  <c r="I18" i="893" s="1"/>
  <c r="AA15" i="955"/>
  <c r="AB15" i="955" s="1"/>
  <c r="I28" i="903"/>
  <c r="I21" i="873"/>
  <c r="I27" i="878"/>
  <c r="Z15" i="955"/>
  <c r="I17" i="877"/>
  <c r="I17" i="897"/>
  <c r="M14" i="867"/>
  <c r="I34" i="877"/>
  <c r="O19" i="888"/>
  <c r="N125" i="261" s="1"/>
  <c r="E19" i="927" s="1"/>
  <c r="Y16" i="955"/>
  <c r="P18" i="897"/>
  <c r="I19" i="897"/>
  <c r="I17" i="878"/>
  <c r="M18" i="867"/>
  <c r="I21" i="914"/>
  <c r="I22" i="914" s="1"/>
  <c r="I18" i="914"/>
  <c r="L27" i="896"/>
  <c r="P18" i="886"/>
  <c r="X17" i="955"/>
  <c r="N27" i="261" s="1"/>
  <c r="E19" i="954" s="1"/>
  <c r="I35" i="903"/>
  <c r="I24" i="903"/>
  <c r="I13" i="889"/>
  <c r="I17" i="896"/>
  <c r="I20" i="879"/>
  <c r="I21" i="879" s="1"/>
  <c r="I13" i="884"/>
  <c r="I19" i="884" s="1"/>
  <c r="I21" i="884" s="1"/>
  <c r="M16" i="883"/>
  <c r="M14" i="883"/>
  <c r="P17" i="886"/>
  <c r="I17" i="871"/>
  <c r="I22" i="874"/>
  <c r="I23" i="899"/>
  <c r="I24" i="899" s="1"/>
  <c r="I20" i="899"/>
  <c r="I42" i="903"/>
  <c r="O17" i="897"/>
  <c r="O20" i="897" s="1"/>
  <c r="M16" i="903"/>
  <c r="I13" i="888"/>
  <c r="I16" i="886"/>
  <c r="S16" i="886" s="1"/>
  <c r="I16" i="888"/>
  <c r="P16" i="888" s="1"/>
  <c r="M15" i="882"/>
  <c r="M18" i="879"/>
  <c r="I21" i="886"/>
  <c r="M24" i="881"/>
  <c r="I24" i="878"/>
  <c r="M22" i="871"/>
  <c r="I16" i="874"/>
  <c r="O16" i="889"/>
  <c r="P17" i="889"/>
  <c r="I13" i="887"/>
  <c r="M17" i="884"/>
  <c r="M17" i="887"/>
  <c r="M28" i="881"/>
  <c r="I31" i="878"/>
  <c r="P18" i="888"/>
  <c r="M11" i="875"/>
  <c r="I16" i="955"/>
  <c r="I17" i="955" s="1"/>
  <c r="I18" i="955" s="1"/>
  <c r="I21" i="903"/>
  <c r="O15" i="913"/>
  <c r="I52" i="903"/>
  <c r="P18" i="889"/>
  <c r="M22" i="883"/>
  <c r="M14" i="879"/>
  <c r="M21" i="881"/>
  <c r="M13" i="881"/>
  <c r="P17" i="888"/>
  <c r="O18" i="885"/>
  <c r="I34" i="878"/>
  <c r="I25" i="875"/>
  <c r="I26" i="875" s="1"/>
  <c r="I18" i="865"/>
  <c r="I19" i="865"/>
  <c r="S16" i="955"/>
  <c r="V16" i="955"/>
  <c r="H18" i="955"/>
  <c r="H21" i="955" s="1"/>
  <c r="K27" i="261" s="1"/>
  <c r="G9" i="954" s="1"/>
  <c r="L18" i="955"/>
  <c r="U17" i="955"/>
  <c r="U21" i="955" s="1"/>
  <c r="X29" i="955" s="1"/>
  <c r="R17" i="955"/>
  <c r="X28" i="955" s="1"/>
  <c r="O16" i="914"/>
  <c r="O17" i="868"/>
  <c r="O20" i="869"/>
  <c r="P15" i="881" l="1"/>
  <c r="I31" i="881"/>
  <c r="I22" i="895"/>
  <c r="I24" i="895" s="1"/>
  <c r="I21" i="890"/>
  <c r="I26" i="890" s="1"/>
  <c r="I27" i="890" s="1"/>
  <c r="P17" i="895"/>
  <c r="P23" i="881"/>
  <c r="P21" i="886"/>
  <c r="I30" i="881"/>
  <c r="I32" i="881" s="1"/>
  <c r="I35" i="881" s="1"/>
  <c r="I36" i="881" s="1"/>
  <c r="P13" i="882"/>
  <c r="AA16" i="955"/>
  <c r="AB16" i="955" s="1"/>
  <c r="I27" i="872"/>
  <c r="I28" i="872" s="1"/>
  <c r="P16" i="887"/>
  <c r="P16" i="955"/>
  <c r="I30" i="883"/>
  <c r="I31" i="883"/>
  <c r="P17" i="867"/>
  <c r="P24" i="877"/>
  <c r="I23" i="867"/>
  <c r="P15" i="883"/>
  <c r="I22" i="885"/>
  <c r="I27" i="885" s="1"/>
  <c r="I28" i="885" s="1"/>
  <c r="P21" i="896"/>
  <c r="O22" i="886"/>
  <c r="I19" i="893"/>
  <c r="I20" i="893" s="1"/>
  <c r="I23" i="893" s="1"/>
  <c r="I24" i="893" s="1"/>
  <c r="O25" i="873"/>
  <c r="O27" i="873" s="1"/>
  <c r="O28" i="873" s="1"/>
  <c r="O26" i="902"/>
  <c r="N133" i="261" s="1"/>
  <c r="R22" i="885"/>
  <c r="R24" i="885" s="1"/>
  <c r="R25" i="885" s="1"/>
  <c r="I25" i="880"/>
  <c r="I30" i="880" s="1"/>
  <c r="I31" i="880" s="1"/>
  <c r="I20" i="865"/>
  <c r="I23" i="865" s="1"/>
  <c r="I24" i="865" s="1"/>
  <c r="I26" i="896"/>
  <c r="I28" i="896" s="1"/>
  <c r="I31" i="896" s="1"/>
  <c r="I32" i="896" s="1"/>
  <c r="P13" i="887"/>
  <c r="I23" i="874"/>
  <c r="I24" i="871"/>
  <c r="I29" i="871" s="1"/>
  <c r="I30" i="871" s="1"/>
  <c r="P27" i="878"/>
  <c r="R16" i="913"/>
  <c r="S15" i="913"/>
  <c r="O30" i="881"/>
  <c r="N118" i="261" s="1"/>
  <c r="E19" i="966" s="1"/>
  <c r="I23" i="890"/>
  <c r="R16" i="914"/>
  <c r="P15" i="902"/>
  <c r="O27" i="902"/>
  <c r="O18" i="899"/>
  <c r="O26" i="896"/>
  <c r="P17" i="896"/>
  <c r="P21" i="895"/>
  <c r="O22" i="895"/>
  <c r="P17" i="890"/>
  <c r="O21" i="890"/>
  <c r="O22" i="887"/>
  <c r="S21" i="886"/>
  <c r="R22" i="886"/>
  <c r="O19" i="884"/>
  <c r="P13" i="884"/>
  <c r="I32" i="883"/>
  <c r="I35" i="883" s="1"/>
  <c r="I36" i="883" s="1"/>
  <c r="P12" i="883"/>
  <c r="O31" i="883"/>
  <c r="P120" i="261" s="1"/>
  <c r="E20" i="968" s="1"/>
  <c r="O30" i="883"/>
  <c r="O19" i="882"/>
  <c r="P12" i="881"/>
  <c r="O31" i="881"/>
  <c r="O35" i="878"/>
  <c r="P31" i="878"/>
  <c r="P17" i="878"/>
  <c r="P34" i="878"/>
  <c r="P24" i="878"/>
  <c r="O35" i="877"/>
  <c r="P31" i="877"/>
  <c r="P17" i="877"/>
  <c r="P34" i="877"/>
  <c r="O25" i="880"/>
  <c r="P24" i="880"/>
  <c r="P17" i="880"/>
  <c r="I23" i="876"/>
  <c r="I26" i="876"/>
  <c r="I27" i="876" s="1"/>
  <c r="O21" i="876"/>
  <c r="P25" i="875"/>
  <c r="O26" i="875"/>
  <c r="O24" i="871"/>
  <c r="P17" i="871"/>
  <c r="P21" i="871"/>
  <c r="R20" i="869"/>
  <c r="I25" i="869"/>
  <c r="I26" i="869" s="1"/>
  <c r="S17" i="869"/>
  <c r="O21" i="867"/>
  <c r="I25" i="873"/>
  <c r="I24" i="884"/>
  <c r="I25" i="884" s="1"/>
  <c r="I19" i="888"/>
  <c r="I35" i="877"/>
  <c r="I40" i="877" s="1"/>
  <c r="I41" i="877" s="1"/>
  <c r="O21" i="888"/>
  <c r="O22" i="888" s="1"/>
  <c r="Q125" i="261" s="1"/>
  <c r="E21" i="927" s="1"/>
  <c r="I35" i="878"/>
  <c r="I37" i="878" s="1"/>
  <c r="I53" i="903"/>
  <c r="I55" i="903" s="1"/>
  <c r="I20" i="897"/>
  <c r="I22" i="887"/>
  <c r="I24" i="887" s="1"/>
  <c r="O18" i="914"/>
  <c r="O19" i="914" s="1"/>
  <c r="O22" i="897"/>
  <c r="O23" i="897" s="1"/>
  <c r="Q131" i="261" s="1"/>
  <c r="N131" i="261"/>
  <c r="O24" i="886"/>
  <c r="O19" i="868"/>
  <c r="O20" i="868" s="1"/>
  <c r="N107" i="261"/>
  <c r="E19" i="931" s="1"/>
  <c r="O22" i="869"/>
  <c r="O23" i="869" s="1"/>
  <c r="I31" i="875"/>
  <c r="I32" i="875" s="1"/>
  <c r="I28" i="875"/>
  <c r="I24" i="882"/>
  <c r="I25" i="882" s="1"/>
  <c r="I21" i="882"/>
  <c r="I26" i="879"/>
  <c r="I27" i="879" s="1"/>
  <c r="I23" i="879"/>
  <c r="O16" i="913"/>
  <c r="I21" i="955"/>
  <c r="X18" i="955"/>
  <c r="AA18" i="955" s="1"/>
  <c r="I27" i="261"/>
  <c r="I19" i="889"/>
  <c r="P13" i="889"/>
  <c r="P13" i="888"/>
  <c r="O22" i="885"/>
  <c r="L21" i="955"/>
  <c r="X26" i="955" s="1"/>
  <c r="P16" i="889"/>
  <c r="O19" i="889"/>
  <c r="I22" i="886"/>
  <c r="P16" i="886"/>
  <c r="H22" i="955"/>
  <c r="H23" i="955" s="1"/>
  <c r="R28" i="955"/>
  <c r="R21" i="955"/>
  <c r="U28" i="955"/>
  <c r="C29" i="954" s="1"/>
  <c r="U29" i="955"/>
  <c r="C30" i="954" s="1"/>
  <c r="V21" i="955"/>
  <c r="U22" i="955"/>
  <c r="U23" i="955" s="1"/>
  <c r="R27" i="955"/>
  <c r="O22" i="955"/>
  <c r="O23" i="955" s="1"/>
  <c r="P21" i="955"/>
  <c r="Y27" i="955" s="1"/>
  <c r="U27" i="955"/>
  <c r="C28" i="954" s="1"/>
  <c r="O27" i="955"/>
  <c r="I26" i="871" l="1"/>
  <c r="N110" i="261"/>
  <c r="E19" i="960" s="1"/>
  <c r="I27" i="895"/>
  <c r="I28" i="895" s="1"/>
  <c r="I27" i="880"/>
  <c r="AA17" i="955"/>
  <c r="I24" i="885"/>
  <c r="N122" i="261"/>
  <c r="E19" i="929" s="1"/>
  <c r="O23" i="867"/>
  <c r="O24" i="867" s="1"/>
  <c r="N105" i="261"/>
  <c r="E19" i="959" s="1"/>
  <c r="O28" i="875"/>
  <c r="O29" i="875" s="1"/>
  <c r="Q112" i="261" s="1"/>
  <c r="E21" i="961" s="1"/>
  <c r="N112" i="261"/>
  <c r="E19" i="961" s="1"/>
  <c r="O37" i="878"/>
  <c r="O38" i="878" s="1"/>
  <c r="N116" i="261"/>
  <c r="E19" i="965" s="1"/>
  <c r="O23" i="890"/>
  <c r="O24" i="890" s="1"/>
  <c r="N127" i="261"/>
  <c r="E19" i="971" s="1"/>
  <c r="O32" i="881"/>
  <c r="O33" i="881" s="1"/>
  <c r="P118" i="261"/>
  <c r="E20" i="966" s="1"/>
  <c r="O21" i="884"/>
  <c r="O22" i="884" s="1"/>
  <c r="Q121" i="261" s="1"/>
  <c r="E21" i="969" s="1"/>
  <c r="N121" i="261"/>
  <c r="E19" i="969" s="1"/>
  <c r="O24" i="895"/>
  <c r="O25" i="895" s="1"/>
  <c r="N129" i="261"/>
  <c r="E19" i="973" s="1"/>
  <c r="R18" i="914"/>
  <c r="R19" i="914" s="1"/>
  <c r="N136" i="261"/>
  <c r="O23" i="876"/>
  <c r="O24" i="876" s="1"/>
  <c r="N113" i="261"/>
  <c r="E19" i="962" s="1"/>
  <c r="O29" i="873"/>
  <c r="Q110" i="261"/>
  <c r="E21" i="960" s="1"/>
  <c r="O27" i="880"/>
  <c r="O28" i="880" s="1"/>
  <c r="N114" i="261"/>
  <c r="E19" i="963" s="1"/>
  <c r="R22" i="869"/>
  <c r="R23" i="869" s="1"/>
  <c r="Q106" i="261" s="1"/>
  <c r="E21" i="932" s="1"/>
  <c r="N106" i="261"/>
  <c r="E19" i="932" s="1"/>
  <c r="O37" i="877"/>
  <c r="O38" i="877" s="1"/>
  <c r="N115" i="261"/>
  <c r="E19" i="964" s="1"/>
  <c r="O21" i="882"/>
  <c r="O22" i="882" s="1"/>
  <c r="N119" i="261"/>
  <c r="E19" i="967" s="1"/>
  <c r="R26" i="885"/>
  <c r="Q122" i="261"/>
  <c r="E21" i="929" s="1"/>
  <c r="O32" i="883"/>
  <c r="O33" i="883" s="1"/>
  <c r="N120" i="261"/>
  <c r="E19" i="968" s="1"/>
  <c r="R24" i="886"/>
  <c r="R25" i="886" s="1"/>
  <c r="N123" i="261"/>
  <c r="E19" i="928" s="1"/>
  <c r="O28" i="896"/>
  <c r="O29" i="896" s="1"/>
  <c r="N130" i="261"/>
  <c r="I25" i="874"/>
  <c r="I28" i="874"/>
  <c r="I29" i="874" s="1"/>
  <c r="I40" i="878"/>
  <c r="I41" i="878" s="1"/>
  <c r="O20" i="899"/>
  <c r="O21" i="899" s="1"/>
  <c r="N132" i="261"/>
  <c r="R18" i="913"/>
  <c r="R19" i="913" s="1"/>
  <c r="N135" i="261"/>
  <c r="I58" i="903"/>
  <c r="I59" i="903" s="1"/>
  <c r="O26" i="871"/>
  <c r="O27" i="871" s="1"/>
  <c r="N108" i="261"/>
  <c r="E19" i="930" s="1"/>
  <c r="O24" i="887"/>
  <c r="O25" i="887" s="1"/>
  <c r="N124" i="261"/>
  <c r="E19" i="970" s="1"/>
  <c r="O28" i="902"/>
  <c r="O29" i="902" s="1"/>
  <c r="P133" i="261"/>
  <c r="I24" i="888"/>
  <c r="I25" i="888" s="1"/>
  <c r="I21" i="888"/>
  <c r="O23" i="888"/>
  <c r="O24" i="888" s="1"/>
  <c r="S125" i="261" s="1"/>
  <c r="E23" i="927" s="1"/>
  <c r="AA19" i="955"/>
  <c r="R26" i="955"/>
  <c r="R31" i="955" s="1"/>
  <c r="I37" i="877"/>
  <c r="I30" i="873"/>
  <c r="I31" i="873" s="1"/>
  <c r="I27" i="873"/>
  <c r="M21" i="955"/>
  <c r="Y26" i="955" s="1"/>
  <c r="O26" i="955"/>
  <c r="O31" i="955" s="1"/>
  <c r="L22" i="955"/>
  <c r="L23" i="955" s="1"/>
  <c r="I27" i="887"/>
  <c r="I28" i="887" s="1"/>
  <c r="O24" i="885"/>
  <c r="O25" i="885" s="1"/>
  <c r="L26" i="955"/>
  <c r="L31" i="955" s="1"/>
  <c r="U26" i="955"/>
  <c r="U31" i="955" s="1"/>
  <c r="I22" i="897"/>
  <c r="I25" i="897"/>
  <c r="I26" i="897" s="1"/>
  <c r="O25" i="886"/>
  <c r="O26" i="886" s="1"/>
  <c r="O20" i="914"/>
  <c r="R26" i="914" s="1"/>
  <c r="O18" i="913"/>
  <c r="O19" i="913" s="1"/>
  <c r="Q172" i="261" s="1"/>
  <c r="N172" i="261"/>
  <c r="O24" i="897"/>
  <c r="O21" i="889"/>
  <c r="O22" i="889" s="1"/>
  <c r="N126" i="261"/>
  <c r="E19" i="925" s="1"/>
  <c r="O21" i="868"/>
  <c r="Q107" i="261"/>
  <c r="E21" i="931" s="1"/>
  <c r="O24" i="869"/>
  <c r="R30" i="869" s="1"/>
  <c r="C29" i="932" s="1"/>
  <c r="I24" i="889"/>
  <c r="I25" i="889" s="1"/>
  <c r="I21" i="889"/>
  <c r="V29" i="955"/>
  <c r="E30" i="954" s="1"/>
  <c r="Y29" i="955"/>
  <c r="I27" i="886"/>
  <c r="I28" i="886" s="1"/>
  <c r="I24" i="886"/>
  <c r="P27" i="261"/>
  <c r="E20" i="954" s="1"/>
  <c r="X19" i="955"/>
  <c r="X20" i="955" s="1"/>
  <c r="I22" i="955"/>
  <c r="L27" i="261" s="1"/>
  <c r="S27" i="955"/>
  <c r="V27" i="955"/>
  <c r="E28" i="954" s="1"/>
  <c r="P27" i="955"/>
  <c r="R22" i="955"/>
  <c r="R23" i="955" s="1"/>
  <c r="S21" i="955"/>
  <c r="Y28" i="955" s="1"/>
  <c r="O23" i="884" l="1"/>
  <c r="R121" i="261" s="1"/>
  <c r="E22" i="969" s="1"/>
  <c r="O30" i="875"/>
  <c r="R112" i="261" s="1"/>
  <c r="E22" i="961" s="1"/>
  <c r="O29" i="888"/>
  <c r="C29" i="927" s="1"/>
  <c r="R24" i="869"/>
  <c r="R125" i="261"/>
  <c r="G10" i="961"/>
  <c r="M26" i="955"/>
  <c r="M31" i="955" s="1"/>
  <c r="C27" i="954"/>
  <c r="P26" i="955"/>
  <c r="O26" i="887"/>
  <c r="Q124" i="261"/>
  <c r="E21" i="970" s="1"/>
  <c r="O34" i="883"/>
  <c r="Q120" i="261"/>
  <c r="E21" i="968" s="1"/>
  <c r="R20" i="914"/>
  <c r="Q136" i="261"/>
  <c r="O25" i="890"/>
  <c r="Q127" i="261"/>
  <c r="E21" i="971" s="1"/>
  <c r="O28" i="871"/>
  <c r="Q108" i="261"/>
  <c r="E21" i="930" s="1"/>
  <c r="R33" i="885"/>
  <c r="C30" i="929" s="1"/>
  <c r="R122" i="261"/>
  <c r="R27" i="885"/>
  <c r="O29" i="880"/>
  <c r="Q114" i="261"/>
  <c r="E21" i="963" s="1"/>
  <c r="O26" i="895"/>
  <c r="Q129" i="261"/>
  <c r="E21" i="973" s="1"/>
  <c r="O39" i="878"/>
  <c r="Q116" i="261"/>
  <c r="E21" i="965" s="1"/>
  <c r="S26" i="955"/>
  <c r="R31" i="869"/>
  <c r="R106" i="261"/>
  <c r="O29" i="884"/>
  <c r="C29" i="969" s="1"/>
  <c r="O22" i="899"/>
  <c r="Q132" i="261"/>
  <c r="O30" i="896"/>
  <c r="Q130" i="261"/>
  <c r="O23" i="882"/>
  <c r="Q119" i="261"/>
  <c r="E21" i="967" s="1"/>
  <c r="O35" i="873"/>
  <c r="C29" i="960" s="1"/>
  <c r="R110" i="261"/>
  <c r="O30" i="873"/>
  <c r="V26" i="955"/>
  <c r="E27" i="954" s="1"/>
  <c r="O25" i="888"/>
  <c r="T125" i="261" s="1"/>
  <c r="E24" i="927" s="1"/>
  <c r="O31" i="875"/>
  <c r="R20" i="913"/>
  <c r="Q135" i="261"/>
  <c r="O30" i="902"/>
  <c r="Q133" i="261"/>
  <c r="R26" i="886"/>
  <c r="Q123" i="261"/>
  <c r="E21" i="928" s="1"/>
  <c r="O39" i="877"/>
  <c r="Q115" i="261"/>
  <c r="E21" i="964" s="1"/>
  <c r="O25" i="876"/>
  <c r="Q113" i="261"/>
  <c r="E21" i="962" s="1"/>
  <c r="O34" i="881"/>
  <c r="Q118" i="261"/>
  <c r="E21" i="966" s="1"/>
  <c r="O25" i="867"/>
  <c r="Q105" i="261"/>
  <c r="E21" i="959" s="1"/>
  <c r="R32" i="886"/>
  <c r="C29" i="928" s="1"/>
  <c r="O36" i="875"/>
  <c r="C29" i="961" s="1"/>
  <c r="R25" i="869"/>
  <c r="O26" i="885"/>
  <c r="R32" i="885" s="1"/>
  <c r="C29" i="929" s="1"/>
  <c r="O27" i="886"/>
  <c r="O28" i="886" s="1"/>
  <c r="O30" i="897"/>
  <c r="R131" i="261"/>
  <c r="O26" i="914"/>
  <c r="O21" i="914"/>
  <c r="O20" i="913"/>
  <c r="R26" i="913" s="1"/>
  <c r="O25" i="897"/>
  <c r="O26" i="897" s="1"/>
  <c r="T131" i="261" s="1"/>
  <c r="O23" i="889"/>
  <c r="Q126" i="261"/>
  <c r="E21" i="925" s="1"/>
  <c r="O32" i="886"/>
  <c r="O27" i="868"/>
  <c r="R107" i="261"/>
  <c r="O22" i="868"/>
  <c r="O30" i="869"/>
  <c r="O25" i="869"/>
  <c r="X21" i="955"/>
  <c r="AA20" i="955"/>
  <c r="AA21" i="955" s="1"/>
  <c r="AA22" i="955" s="1"/>
  <c r="AA23" i="955" s="1"/>
  <c r="Q27" i="261"/>
  <c r="E21" i="954" s="1"/>
  <c r="I23" i="955"/>
  <c r="M27" i="261" s="1"/>
  <c r="P31" i="955"/>
  <c r="S28" i="955"/>
  <c r="S31" i="955" s="1"/>
  <c r="V28" i="955"/>
  <c r="E29" i="954" s="1"/>
  <c r="G10" i="969" l="1"/>
  <c r="O24" i="884"/>
  <c r="S131" i="261"/>
  <c r="G10" i="927"/>
  <c r="E22" i="927"/>
  <c r="E22" i="929"/>
  <c r="G10" i="929"/>
  <c r="G10" i="960"/>
  <c r="E22" i="960"/>
  <c r="E22" i="931"/>
  <c r="G10" i="931"/>
  <c r="R26" i="869"/>
  <c r="T106" i="261" s="1"/>
  <c r="E24" i="932" s="1"/>
  <c r="S106" i="261"/>
  <c r="E23" i="932" s="1"/>
  <c r="C30" i="932"/>
  <c r="R28" i="885"/>
  <c r="T122" i="261" s="1"/>
  <c r="E24" i="929" s="1"/>
  <c r="S122" i="261"/>
  <c r="E23" i="929" s="1"/>
  <c r="O31" i="890"/>
  <c r="C29" i="971" s="1"/>
  <c r="R127" i="261"/>
  <c r="O26" i="890"/>
  <c r="R118" i="261"/>
  <c r="O40" i="881"/>
  <c r="C29" i="966" s="1"/>
  <c r="O35" i="881"/>
  <c r="O31" i="876"/>
  <c r="C29" i="962" s="1"/>
  <c r="R113" i="261"/>
  <c r="O26" i="876"/>
  <c r="R27" i="913"/>
  <c r="R135" i="261"/>
  <c r="R21" i="913"/>
  <c r="O29" i="882"/>
  <c r="C29" i="967" s="1"/>
  <c r="R119" i="261"/>
  <c r="O24" i="882"/>
  <c r="O36" i="902"/>
  <c r="R133" i="261"/>
  <c r="O31" i="902"/>
  <c r="R136" i="261"/>
  <c r="R21" i="914"/>
  <c r="R27" i="914"/>
  <c r="G10" i="932"/>
  <c r="E22" i="932"/>
  <c r="O21" i="913"/>
  <c r="S172" i="261" s="1"/>
  <c r="O45" i="877"/>
  <c r="C29" i="964" s="1"/>
  <c r="R115" i="261"/>
  <c r="O40" i="877"/>
  <c r="O36" i="896"/>
  <c r="R130" i="261"/>
  <c r="O31" i="896"/>
  <c r="O45" i="878"/>
  <c r="C29" i="965" s="1"/>
  <c r="R116" i="261"/>
  <c r="O40" i="878"/>
  <c r="O34" i="871"/>
  <c r="C29" i="930" s="1"/>
  <c r="R108" i="261"/>
  <c r="O29" i="871"/>
  <c r="O40" i="883"/>
  <c r="C29" i="968" s="1"/>
  <c r="R120" i="261"/>
  <c r="O35" i="883"/>
  <c r="O31" i="867"/>
  <c r="R105" i="261"/>
  <c r="O26" i="867"/>
  <c r="R33" i="886"/>
  <c r="C30" i="928" s="1"/>
  <c r="R123" i="261"/>
  <c r="R27" i="886"/>
  <c r="O31" i="873"/>
  <c r="T110" i="261" s="1"/>
  <c r="E24" i="960" s="1"/>
  <c r="S110" i="261"/>
  <c r="E23" i="960" s="1"/>
  <c r="O28" i="899"/>
  <c r="O23" i="899"/>
  <c r="O32" i="895"/>
  <c r="R129" i="261"/>
  <c r="O27" i="895"/>
  <c r="O35" i="880"/>
  <c r="C29" i="963" s="1"/>
  <c r="R114" i="261"/>
  <c r="O30" i="880"/>
  <c r="O32" i="875"/>
  <c r="T112" i="261" s="1"/>
  <c r="E24" i="961" s="1"/>
  <c r="S112" i="261"/>
  <c r="E23" i="961" s="1"/>
  <c r="O32" i="887"/>
  <c r="C29" i="970" s="1"/>
  <c r="R124" i="261"/>
  <c r="O27" i="887"/>
  <c r="O26" i="913"/>
  <c r="R172" i="261"/>
  <c r="O27" i="885"/>
  <c r="O32" i="885"/>
  <c r="O22" i="914"/>
  <c r="O29" i="889"/>
  <c r="C29" i="925" s="1"/>
  <c r="R126" i="261"/>
  <c r="O24" i="889"/>
  <c r="O23" i="868"/>
  <c r="T107" i="261" s="1"/>
  <c r="E24" i="931" s="1"/>
  <c r="S107" i="261"/>
  <c r="E23" i="931" s="1"/>
  <c r="O26" i="869"/>
  <c r="AB21" i="955"/>
  <c r="Y21" i="955"/>
  <c r="R27" i="261"/>
  <c r="X30" i="955"/>
  <c r="X22" i="955"/>
  <c r="V31" i="955"/>
  <c r="O25" i="884" l="1"/>
  <c r="T121" i="261" s="1"/>
  <c r="E24" i="969" s="1"/>
  <c r="S121" i="261"/>
  <c r="E23" i="969" s="1"/>
  <c r="E22" i="970"/>
  <c r="G10" i="970"/>
  <c r="C29" i="973"/>
  <c r="G10" i="964"/>
  <c r="E22" i="964"/>
  <c r="E22" i="971"/>
  <c r="G10" i="971"/>
  <c r="G10" i="965"/>
  <c r="E22" i="965"/>
  <c r="G10" i="962"/>
  <c r="E22" i="962"/>
  <c r="G10" i="973"/>
  <c r="E22" i="973"/>
  <c r="G10" i="963"/>
  <c r="E22" i="963"/>
  <c r="G10" i="968"/>
  <c r="E22" i="968"/>
  <c r="G10" i="967"/>
  <c r="E22" i="967"/>
  <c r="G10" i="925"/>
  <c r="E22" i="925"/>
  <c r="E22" i="928"/>
  <c r="G10" i="928"/>
  <c r="G10" i="966"/>
  <c r="E22" i="966"/>
  <c r="O22" i="913"/>
  <c r="T172" i="261" s="1"/>
  <c r="E22" i="930"/>
  <c r="G10" i="930"/>
  <c r="R28" i="886"/>
  <c r="T123" i="261" s="1"/>
  <c r="E24" i="928" s="1"/>
  <c r="S123" i="261"/>
  <c r="E23" i="928" s="1"/>
  <c r="O28" i="895"/>
  <c r="T129" i="261" s="1"/>
  <c r="E24" i="973" s="1"/>
  <c r="S129" i="261"/>
  <c r="E23" i="973" s="1"/>
  <c r="O25" i="882"/>
  <c r="T119" i="261" s="1"/>
  <c r="E24" i="967" s="1"/>
  <c r="S119" i="261"/>
  <c r="E23" i="967" s="1"/>
  <c r="O30" i="871"/>
  <c r="T108" i="261" s="1"/>
  <c r="E24" i="930" s="1"/>
  <c r="S108" i="261"/>
  <c r="E23" i="930" s="1"/>
  <c r="O41" i="877"/>
  <c r="T115" i="261" s="1"/>
  <c r="E24" i="964" s="1"/>
  <c r="S115" i="261"/>
  <c r="E23" i="964" s="1"/>
  <c r="R22" i="914"/>
  <c r="T136" i="261" s="1"/>
  <c r="S136" i="261"/>
  <c r="O36" i="881"/>
  <c r="T118" i="261" s="1"/>
  <c r="E24" i="966" s="1"/>
  <c r="S118" i="261"/>
  <c r="E23" i="966" s="1"/>
  <c r="O28" i="887"/>
  <c r="T124" i="261" s="1"/>
  <c r="E24" i="970" s="1"/>
  <c r="S124" i="261"/>
  <c r="E23" i="970" s="1"/>
  <c r="O27" i="867"/>
  <c r="T105" i="261" s="1"/>
  <c r="E24" i="959" s="1"/>
  <c r="S105" i="261"/>
  <c r="E23" i="959" s="1"/>
  <c r="O24" i="899"/>
  <c r="T132" i="261" s="1"/>
  <c r="S132" i="261"/>
  <c r="G10" i="959"/>
  <c r="E22" i="959"/>
  <c r="R22" i="913"/>
  <c r="T135" i="261" s="1"/>
  <c r="S135" i="261"/>
  <c r="C29" i="959"/>
  <c r="O41" i="878"/>
  <c r="T116" i="261" s="1"/>
  <c r="E24" i="965" s="1"/>
  <c r="S116" i="261"/>
  <c r="E23" i="965" s="1"/>
  <c r="O32" i="896"/>
  <c r="T130" i="261" s="1"/>
  <c r="S130" i="261"/>
  <c r="O31" i="880"/>
  <c r="T114" i="261" s="1"/>
  <c r="E24" i="963" s="1"/>
  <c r="S114" i="261"/>
  <c r="E23" i="963" s="1"/>
  <c r="O32" i="902"/>
  <c r="T133" i="261" s="1"/>
  <c r="S133" i="261"/>
  <c r="O36" i="883"/>
  <c r="T120" i="261" s="1"/>
  <c r="E24" i="968" s="1"/>
  <c r="S120" i="261"/>
  <c r="E23" i="968" s="1"/>
  <c r="O27" i="876"/>
  <c r="T113" i="261" s="1"/>
  <c r="E24" i="962" s="1"/>
  <c r="S113" i="261"/>
  <c r="E23" i="962" s="1"/>
  <c r="O27" i="890"/>
  <c r="T127" i="261" s="1"/>
  <c r="E24" i="971" s="1"/>
  <c r="S127" i="261"/>
  <c r="E23" i="971" s="1"/>
  <c r="O28" i="885"/>
  <c r="E22" i="954"/>
  <c r="G10" i="954"/>
  <c r="O25" i="889"/>
  <c r="T126" i="261" s="1"/>
  <c r="E24" i="925" s="1"/>
  <c r="S126" i="261"/>
  <c r="E23" i="925" s="1"/>
  <c r="X23" i="955"/>
  <c r="T27" i="261" s="1"/>
  <c r="E24" i="954" s="1"/>
  <c r="S27" i="261"/>
  <c r="E23" i="954" s="1"/>
  <c r="C31" i="954"/>
  <c r="C33" i="954" s="1"/>
  <c r="X31" i="955"/>
  <c r="O27" i="261"/>
  <c r="Y30" i="955"/>
  <c r="G14" i="816"/>
  <c r="I14" i="816" s="1"/>
  <c r="I15" i="816" s="1"/>
  <c r="I16" i="816" s="1"/>
  <c r="I18" i="816" s="1"/>
  <c r="G41" i="813"/>
  <c r="G39" i="813"/>
  <c r="G37" i="813"/>
  <c r="O37" i="813" s="1"/>
  <c r="G35" i="813"/>
  <c r="G33" i="813"/>
  <c r="G31" i="813"/>
  <c r="G29" i="813"/>
  <c r="G27" i="813"/>
  <c r="G26" i="813"/>
  <c r="G25" i="813"/>
  <c r="G23" i="813"/>
  <c r="G22" i="813"/>
  <c r="G20" i="813"/>
  <c r="G19" i="813"/>
  <c r="G18" i="813"/>
  <c r="G16" i="813"/>
  <c r="G15" i="813"/>
  <c r="G14" i="813"/>
  <c r="G36" i="812"/>
  <c r="G35" i="812"/>
  <c r="G33" i="812"/>
  <c r="G32" i="812"/>
  <c r="G31" i="812"/>
  <c r="G29" i="812"/>
  <c r="G27" i="812"/>
  <c r="G25" i="812"/>
  <c r="G24" i="812"/>
  <c r="R24" i="812" s="1"/>
  <c r="G22" i="812"/>
  <c r="G21" i="812"/>
  <c r="G19" i="812"/>
  <c r="G18" i="812"/>
  <c r="G16" i="812"/>
  <c r="I16" i="812" s="1"/>
  <c r="S16" i="812" s="1"/>
  <c r="G15" i="812"/>
  <c r="I15" i="812" s="1"/>
  <c r="G14" i="812"/>
  <c r="O14" i="812" s="1"/>
  <c r="Q36" i="811"/>
  <c r="Q35" i="811"/>
  <c r="Q33" i="811"/>
  <c r="Q32" i="811"/>
  <c r="Q31" i="811"/>
  <c r="Q25" i="811"/>
  <c r="Q22" i="811"/>
  <c r="Q21" i="811"/>
  <c r="Q19" i="811"/>
  <c r="Q18" i="811"/>
  <c r="Q16" i="811"/>
  <c r="Q15" i="811"/>
  <c r="Q14" i="811"/>
  <c r="G36" i="811"/>
  <c r="O36" i="811" s="1"/>
  <c r="G35" i="811"/>
  <c r="O35" i="811" s="1"/>
  <c r="G33" i="811"/>
  <c r="O33" i="811" s="1"/>
  <c r="G32" i="811"/>
  <c r="O32" i="811" s="1"/>
  <c r="G31" i="811"/>
  <c r="O31" i="811" s="1"/>
  <c r="G29" i="811"/>
  <c r="O29" i="811" s="1"/>
  <c r="G27" i="811"/>
  <c r="I27" i="811" s="1"/>
  <c r="I28" i="811" s="1"/>
  <c r="G25" i="811"/>
  <c r="I25" i="811" s="1"/>
  <c r="G24" i="811"/>
  <c r="O24" i="811" s="1"/>
  <c r="G22" i="811"/>
  <c r="O22" i="811" s="1"/>
  <c r="G21" i="811"/>
  <c r="I21" i="811" s="1"/>
  <c r="G19" i="811"/>
  <c r="O19" i="811" s="1"/>
  <c r="G18" i="811"/>
  <c r="O18" i="811" s="1"/>
  <c r="G16" i="811"/>
  <c r="O16" i="811" s="1"/>
  <c r="G15" i="811"/>
  <c r="I15" i="811" s="1"/>
  <c r="G14" i="811"/>
  <c r="O14" i="811" s="1"/>
  <c r="Q36" i="810"/>
  <c r="Q35" i="810"/>
  <c r="Q33" i="810"/>
  <c r="Q32" i="810"/>
  <c r="Q31" i="810"/>
  <c r="Q25" i="810"/>
  <c r="Q22" i="810"/>
  <c r="Q21" i="810"/>
  <c r="Q18" i="810"/>
  <c r="Q17" i="810"/>
  <c r="Q15" i="810"/>
  <c r="Q14" i="810"/>
  <c r="G36" i="810"/>
  <c r="I36" i="810" s="1"/>
  <c r="G35" i="810"/>
  <c r="O35" i="810" s="1"/>
  <c r="G33" i="810"/>
  <c r="O33" i="810" s="1"/>
  <c r="G32" i="810"/>
  <c r="I32" i="810" s="1"/>
  <c r="G31" i="810"/>
  <c r="I31" i="810" s="1"/>
  <c r="G29" i="810"/>
  <c r="O29" i="810" s="1"/>
  <c r="G27" i="810"/>
  <c r="O27" i="810" s="1"/>
  <c r="G25" i="810"/>
  <c r="I25" i="810" s="1"/>
  <c r="G24" i="810"/>
  <c r="O24" i="810" s="1"/>
  <c r="G22" i="810"/>
  <c r="O22" i="810" s="1"/>
  <c r="G21" i="810"/>
  <c r="O21" i="810" s="1"/>
  <c r="G20" i="810"/>
  <c r="I20" i="810" s="1"/>
  <c r="G18" i="810"/>
  <c r="I18" i="810" s="1"/>
  <c r="G17" i="810"/>
  <c r="O17" i="810" s="1"/>
  <c r="G15" i="810"/>
  <c r="O15" i="810" s="1"/>
  <c r="G14" i="810"/>
  <c r="I14" i="810" s="1"/>
  <c r="G36" i="809"/>
  <c r="G35" i="809"/>
  <c r="G33" i="809"/>
  <c r="G32" i="809"/>
  <c r="G31" i="809"/>
  <c r="G29" i="809"/>
  <c r="G27" i="809"/>
  <c r="G25" i="809"/>
  <c r="G24" i="809"/>
  <c r="G22" i="809"/>
  <c r="G21" i="809"/>
  <c r="G19" i="809"/>
  <c r="G18" i="809"/>
  <c r="G16" i="809"/>
  <c r="G15" i="809"/>
  <c r="G14" i="809"/>
  <c r="G21" i="808"/>
  <c r="G20" i="808"/>
  <c r="O20" i="808" s="1"/>
  <c r="G18" i="808"/>
  <c r="O18" i="808" s="1"/>
  <c r="G16" i="808"/>
  <c r="I16" i="808" s="1"/>
  <c r="G14" i="808"/>
  <c r="O14" i="808" s="1"/>
  <c r="G23" i="805"/>
  <c r="I23" i="805" s="1"/>
  <c r="G22" i="805"/>
  <c r="I22" i="805" s="1"/>
  <c r="I24" i="805" s="1"/>
  <c r="G20" i="805"/>
  <c r="I20" i="805" s="1"/>
  <c r="G19" i="805"/>
  <c r="I19" i="805" s="1"/>
  <c r="G17" i="805"/>
  <c r="I17" i="805" s="1"/>
  <c r="I18" i="805" s="1"/>
  <c r="G15" i="805"/>
  <c r="I15" i="805" s="1"/>
  <c r="G14" i="805"/>
  <c r="I14" i="805" s="1"/>
  <c r="G21" i="804"/>
  <c r="L21" i="804" s="1"/>
  <c r="G20" i="804"/>
  <c r="L20" i="804" s="1"/>
  <c r="G18" i="804"/>
  <c r="L18" i="804" s="1"/>
  <c r="G17" i="804"/>
  <c r="I17" i="804" s="1"/>
  <c r="G15" i="804"/>
  <c r="I15" i="804" s="1"/>
  <c r="G14" i="804"/>
  <c r="I14" i="804" s="1"/>
  <c r="T14" i="803"/>
  <c r="G20" i="803"/>
  <c r="I20" i="803" s="1"/>
  <c r="I21" i="803" s="1"/>
  <c r="G18" i="803"/>
  <c r="R18" i="803" s="1"/>
  <c r="G17" i="803"/>
  <c r="I17" i="803" s="1"/>
  <c r="G15" i="803"/>
  <c r="R15" i="803" s="1"/>
  <c r="G14" i="803"/>
  <c r="I14" i="803" s="1"/>
  <c r="G20" i="797"/>
  <c r="O20" i="797" s="1"/>
  <c r="G19" i="797"/>
  <c r="I19" i="797" s="1"/>
  <c r="G18" i="797"/>
  <c r="I18" i="797" s="1"/>
  <c r="G16" i="797"/>
  <c r="I16" i="797" s="1"/>
  <c r="G15" i="797"/>
  <c r="O15" i="797" s="1"/>
  <c r="G14" i="797"/>
  <c r="I14" i="797" s="1"/>
  <c r="H14" i="797"/>
  <c r="H15" i="797"/>
  <c r="H16" i="797"/>
  <c r="H18" i="797"/>
  <c r="H19" i="797"/>
  <c r="H20" i="797"/>
  <c r="G26" i="796"/>
  <c r="G24" i="796"/>
  <c r="G22" i="796"/>
  <c r="G20" i="796"/>
  <c r="G18" i="796"/>
  <c r="G16" i="796"/>
  <c r="G14" i="796"/>
  <c r="I17" i="793"/>
  <c r="G14" i="793"/>
  <c r="T14" i="791"/>
  <c r="T36" i="791"/>
  <c r="T35" i="791"/>
  <c r="T33" i="791"/>
  <c r="T32" i="791"/>
  <c r="T31" i="791"/>
  <c r="T25" i="791"/>
  <c r="T22" i="791"/>
  <c r="T21" i="791"/>
  <c r="T20" i="791"/>
  <c r="T18" i="791"/>
  <c r="T17" i="791"/>
  <c r="T15" i="791"/>
  <c r="G36" i="791"/>
  <c r="R36" i="791" s="1"/>
  <c r="G35" i="791"/>
  <c r="I35" i="791" s="1"/>
  <c r="G33" i="791"/>
  <c r="R33" i="791" s="1"/>
  <c r="G32" i="791"/>
  <c r="I32" i="791" s="1"/>
  <c r="G31" i="791"/>
  <c r="R31" i="791" s="1"/>
  <c r="G29" i="791"/>
  <c r="R29" i="791" s="1"/>
  <c r="G27" i="791"/>
  <c r="R27" i="791" s="1"/>
  <c r="G25" i="791"/>
  <c r="I25" i="791" s="1"/>
  <c r="G24" i="791"/>
  <c r="R24" i="791" s="1"/>
  <c r="G22" i="791"/>
  <c r="R22" i="791" s="1"/>
  <c r="G21" i="791"/>
  <c r="R21" i="791" s="1"/>
  <c r="G20" i="791"/>
  <c r="R20" i="791" s="1"/>
  <c r="G18" i="791"/>
  <c r="I18" i="791" s="1"/>
  <c r="G17" i="791"/>
  <c r="I17" i="791" s="1"/>
  <c r="G15" i="791"/>
  <c r="R15" i="791" s="1"/>
  <c r="G14" i="791"/>
  <c r="I14" i="791" s="1"/>
  <c r="Q35" i="786"/>
  <c r="Q34" i="786"/>
  <c r="Q32" i="786"/>
  <c r="Q31" i="786"/>
  <c r="Q30" i="786"/>
  <c r="Q28" i="786"/>
  <c r="Q27" i="786"/>
  <c r="Q25" i="786"/>
  <c r="Q24" i="786"/>
  <c r="Q23" i="786"/>
  <c r="Q21" i="786"/>
  <c r="Q20" i="786"/>
  <c r="Q18" i="786"/>
  <c r="Q16" i="786"/>
  <c r="Q15" i="786"/>
  <c r="Q14" i="786"/>
  <c r="G35" i="786"/>
  <c r="O35" i="786" s="1"/>
  <c r="G34" i="786"/>
  <c r="I34" i="786" s="1"/>
  <c r="G32" i="786"/>
  <c r="I32" i="786" s="1"/>
  <c r="G31" i="786"/>
  <c r="O31" i="786" s="1"/>
  <c r="G30" i="786"/>
  <c r="I30" i="786" s="1"/>
  <c r="G28" i="786"/>
  <c r="O28" i="786" s="1"/>
  <c r="G27" i="786"/>
  <c r="O27" i="786" s="1"/>
  <c r="G25" i="786"/>
  <c r="I25" i="786" s="1"/>
  <c r="G24" i="786"/>
  <c r="O24" i="786" s="1"/>
  <c r="G23" i="786"/>
  <c r="I23" i="786" s="1"/>
  <c r="G21" i="786"/>
  <c r="O21" i="786" s="1"/>
  <c r="G20" i="786"/>
  <c r="O20" i="786" s="1"/>
  <c r="G18" i="786"/>
  <c r="I18" i="786" s="1"/>
  <c r="I19" i="786" s="1"/>
  <c r="I38" i="786" s="1"/>
  <c r="G15" i="786"/>
  <c r="I15" i="786" s="1"/>
  <c r="G16" i="786"/>
  <c r="O16" i="786" s="1"/>
  <c r="G14" i="786"/>
  <c r="O14" i="786" s="1"/>
  <c r="Q15" i="777"/>
  <c r="G15" i="777"/>
  <c r="I15" i="777" s="1"/>
  <c r="G14" i="777"/>
  <c r="O14" i="777" s="1"/>
  <c r="I35" i="786" l="1"/>
  <c r="I20" i="786"/>
  <c r="I28" i="786"/>
  <c r="I31" i="786"/>
  <c r="I24" i="786"/>
  <c r="I14" i="793"/>
  <c r="L14" i="793"/>
  <c r="M14" i="793" s="1"/>
  <c r="I21" i="805"/>
  <c r="I23" i="813"/>
  <c r="O23" i="813"/>
  <c r="O38" i="813"/>
  <c r="L15" i="813"/>
  <c r="O15" i="813"/>
  <c r="L26" i="813"/>
  <c r="O26" i="813"/>
  <c r="L41" i="813"/>
  <c r="O41" i="813"/>
  <c r="L39" i="813"/>
  <c r="O39" i="813"/>
  <c r="L16" i="813"/>
  <c r="O16" i="813"/>
  <c r="L27" i="813"/>
  <c r="O27" i="813"/>
  <c r="L25" i="813"/>
  <c r="O25" i="813"/>
  <c r="L18" i="813"/>
  <c r="O18" i="813"/>
  <c r="I29" i="813"/>
  <c r="I30" i="813" s="1"/>
  <c r="O29" i="813"/>
  <c r="L14" i="813"/>
  <c r="O14" i="813"/>
  <c r="L19" i="813"/>
  <c r="O19" i="813"/>
  <c r="L31" i="813"/>
  <c r="O31" i="813"/>
  <c r="L20" i="813"/>
  <c r="O20" i="813"/>
  <c r="I33" i="813"/>
  <c r="I34" i="813" s="1"/>
  <c r="O33" i="813"/>
  <c r="I22" i="813"/>
  <c r="O22" i="813"/>
  <c r="L35" i="813"/>
  <c r="O35" i="813"/>
  <c r="I25" i="812"/>
  <c r="R25" i="812"/>
  <c r="I27" i="812"/>
  <c r="I28" i="812" s="1"/>
  <c r="R27" i="812"/>
  <c r="O29" i="812"/>
  <c r="R29" i="812"/>
  <c r="O36" i="812"/>
  <c r="R36" i="812"/>
  <c r="O18" i="812"/>
  <c r="R18" i="812"/>
  <c r="O31" i="812"/>
  <c r="R31" i="812"/>
  <c r="R26" i="812"/>
  <c r="I19" i="812"/>
  <c r="R19" i="812"/>
  <c r="O32" i="812"/>
  <c r="R32" i="812"/>
  <c r="I21" i="812"/>
  <c r="R21" i="812"/>
  <c r="O33" i="812"/>
  <c r="R33" i="812"/>
  <c r="I22" i="812"/>
  <c r="R22" i="812"/>
  <c r="I35" i="812"/>
  <c r="R35" i="812"/>
  <c r="O21" i="809"/>
  <c r="R21" i="809"/>
  <c r="O33" i="809"/>
  <c r="R33" i="809"/>
  <c r="O22" i="809"/>
  <c r="R22" i="809"/>
  <c r="O35" i="809"/>
  <c r="R35" i="809"/>
  <c r="I24" i="809"/>
  <c r="R24" i="809"/>
  <c r="O36" i="809"/>
  <c r="R36" i="809"/>
  <c r="I14" i="809"/>
  <c r="R14" i="809"/>
  <c r="O25" i="809"/>
  <c r="R25" i="809"/>
  <c r="O15" i="809"/>
  <c r="R15" i="809"/>
  <c r="O27" i="809"/>
  <c r="R27" i="809"/>
  <c r="O16" i="809"/>
  <c r="R16" i="809"/>
  <c r="O29" i="809"/>
  <c r="R29" i="809"/>
  <c r="I18" i="809"/>
  <c r="R18" i="809"/>
  <c r="I31" i="809"/>
  <c r="R31" i="809"/>
  <c r="I19" i="809"/>
  <c r="R19" i="809"/>
  <c r="I32" i="809"/>
  <c r="R32" i="809"/>
  <c r="L24" i="796"/>
  <c r="O24" i="796"/>
  <c r="L26" i="796"/>
  <c r="O26" i="796"/>
  <c r="L14" i="796"/>
  <c r="O14" i="796"/>
  <c r="L16" i="796"/>
  <c r="O16" i="796"/>
  <c r="I18" i="796"/>
  <c r="I19" i="796" s="1"/>
  <c r="O18" i="796"/>
  <c r="L20" i="796"/>
  <c r="O20" i="796"/>
  <c r="L22" i="796"/>
  <c r="O22" i="796"/>
  <c r="I21" i="786"/>
  <c r="P21" i="786" s="1"/>
  <c r="I26" i="796"/>
  <c r="I27" i="796" s="1"/>
  <c r="R20" i="805"/>
  <c r="S20" i="805" s="1"/>
  <c r="R20" i="803"/>
  <c r="S20" i="803" s="1"/>
  <c r="I20" i="804"/>
  <c r="I20" i="808"/>
  <c r="R14" i="805"/>
  <c r="S14" i="805" s="1"/>
  <c r="O30" i="786"/>
  <c r="R14" i="791"/>
  <c r="I20" i="796"/>
  <c r="I21" i="796" s="1"/>
  <c r="H21" i="797"/>
  <c r="O18" i="797"/>
  <c r="P18" i="797" s="1"/>
  <c r="R14" i="803"/>
  <c r="S14" i="803" s="1"/>
  <c r="O16" i="808"/>
  <c r="P16" i="808" s="1"/>
  <c r="P24" i="786"/>
  <c r="P35" i="786"/>
  <c r="I24" i="791"/>
  <c r="S24" i="791" s="1"/>
  <c r="R18" i="791"/>
  <c r="S18" i="791" s="1"/>
  <c r="O19" i="797"/>
  <c r="P31" i="786"/>
  <c r="I31" i="791"/>
  <c r="R32" i="791"/>
  <c r="R34" i="791" s="1"/>
  <c r="L18" i="796"/>
  <c r="L37" i="813"/>
  <c r="R37" i="813" s="1"/>
  <c r="I37" i="813"/>
  <c r="I38" i="813" s="1"/>
  <c r="I36" i="791"/>
  <c r="S36" i="791" s="1"/>
  <c r="H17" i="797"/>
  <c r="H22" i="797" s="1"/>
  <c r="H24" i="797" s="1"/>
  <c r="H27" i="797" s="1"/>
  <c r="H28" i="797" s="1"/>
  <c r="O14" i="797"/>
  <c r="P14" i="797" s="1"/>
  <c r="I15" i="803"/>
  <c r="S15" i="803" s="1"/>
  <c r="R23" i="791"/>
  <c r="R28" i="791"/>
  <c r="R30" i="791"/>
  <c r="I16" i="804"/>
  <c r="O15" i="777"/>
  <c r="I14" i="777"/>
  <c r="P14" i="777" s="1"/>
  <c r="I16" i="786"/>
  <c r="P16" i="786" s="1"/>
  <c r="I27" i="786"/>
  <c r="I29" i="786" s="1"/>
  <c r="I33" i="786"/>
  <c r="O15" i="786"/>
  <c r="I21" i="791"/>
  <c r="I27" i="791"/>
  <c r="I28" i="791" s="1"/>
  <c r="I33" i="791"/>
  <c r="S33" i="791" s="1"/>
  <c r="I20" i="791"/>
  <c r="R25" i="791"/>
  <c r="R26" i="791" s="1"/>
  <c r="R35" i="791"/>
  <c r="I15" i="793"/>
  <c r="I16" i="793" s="1"/>
  <c r="I18" i="793" s="1"/>
  <c r="I21" i="793" s="1"/>
  <c r="I22" i="793" s="1"/>
  <c r="I14" i="796"/>
  <c r="I15" i="796" s="1"/>
  <c r="I16" i="796"/>
  <c r="I17" i="796" s="1"/>
  <c r="I24" i="796"/>
  <c r="I25" i="796" s="1"/>
  <c r="O16" i="797"/>
  <c r="I18" i="804"/>
  <c r="M18" i="804" s="1"/>
  <c r="L14" i="804"/>
  <c r="R22" i="805"/>
  <c r="S22" i="805" s="1"/>
  <c r="I18" i="808"/>
  <c r="I19" i="808" s="1"/>
  <c r="P28" i="786"/>
  <c r="O32" i="786"/>
  <c r="P32" i="786" s="1"/>
  <c r="I15" i="791"/>
  <c r="S15" i="791" s="1"/>
  <c r="I22" i="791"/>
  <c r="S22" i="791" s="1"/>
  <c r="I29" i="791"/>
  <c r="I30" i="791" s="1"/>
  <c r="R17" i="791"/>
  <c r="R19" i="791" s="1"/>
  <c r="R17" i="803"/>
  <c r="S17" i="803" s="1"/>
  <c r="L15" i="804"/>
  <c r="M15" i="804" s="1"/>
  <c r="O25" i="786"/>
  <c r="P25" i="786" s="1"/>
  <c r="I15" i="797"/>
  <c r="I17" i="797" s="1"/>
  <c r="I20" i="797"/>
  <c r="I21" i="797" s="1"/>
  <c r="I21" i="804"/>
  <c r="L17" i="804"/>
  <c r="R15" i="805"/>
  <c r="S15" i="805" s="1"/>
  <c r="R23" i="805"/>
  <c r="S23" i="805" s="1"/>
  <c r="I14" i="786"/>
  <c r="I26" i="786"/>
  <c r="I36" i="786"/>
  <c r="O18" i="786"/>
  <c r="P18" i="786" s="1"/>
  <c r="O23" i="786"/>
  <c r="O34" i="786"/>
  <c r="I22" i="796"/>
  <c r="I23" i="796" s="1"/>
  <c r="I18" i="803"/>
  <c r="S18" i="803" s="1"/>
  <c r="I16" i="805"/>
  <c r="I14" i="808"/>
  <c r="I15" i="808" s="1"/>
  <c r="I21" i="808"/>
  <c r="O21" i="808"/>
  <c r="I15" i="809"/>
  <c r="I21" i="809"/>
  <c r="I27" i="809"/>
  <c r="I33" i="809"/>
  <c r="O14" i="809"/>
  <c r="O18" i="809"/>
  <c r="O31" i="809"/>
  <c r="I15" i="810"/>
  <c r="I21" i="810"/>
  <c r="P21" i="810" s="1"/>
  <c r="I27" i="810"/>
  <c r="I28" i="810" s="1"/>
  <c r="I33" i="810"/>
  <c r="P33" i="810" s="1"/>
  <c r="O14" i="810"/>
  <c r="O18" i="810"/>
  <c r="P18" i="810" s="1"/>
  <c r="O25" i="810"/>
  <c r="O31" i="810"/>
  <c r="O36" i="810"/>
  <c r="P36" i="810" s="1"/>
  <c r="I16" i="811"/>
  <c r="P16" i="811" s="1"/>
  <c r="I22" i="811"/>
  <c r="P22" i="811" s="1"/>
  <c r="I29" i="811"/>
  <c r="I30" i="811" s="1"/>
  <c r="I35" i="811"/>
  <c r="O15" i="811"/>
  <c r="O21" i="811"/>
  <c r="O25" i="811"/>
  <c r="I18" i="812"/>
  <c r="I24" i="812"/>
  <c r="I31" i="812"/>
  <c r="I36" i="812"/>
  <c r="O15" i="812"/>
  <c r="O19" i="812"/>
  <c r="O25" i="812"/>
  <c r="O35" i="812"/>
  <c r="I19" i="813"/>
  <c r="I26" i="813"/>
  <c r="I31" i="813"/>
  <c r="I32" i="813" s="1"/>
  <c r="I39" i="813"/>
  <c r="I40" i="813" s="1"/>
  <c r="L33" i="813"/>
  <c r="R33" i="813" s="1"/>
  <c r="E31" i="954"/>
  <c r="E33" i="954" s="1"/>
  <c r="Y31" i="955"/>
  <c r="I16" i="809"/>
  <c r="I22" i="809"/>
  <c r="I29" i="809"/>
  <c r="I30" i="809" s="1"/>
  <c r="I35" i="809"/>
  <c r="O19" i="809"/>
  <c r="O24" i="809"/>
  <c r="P24" i="809" s="1"/>
  <c r="I17" i="810"/>
  <c r="I19" i="810" s="1"/>
  <c r="I22" i="810"/>
  <c r="P22" i="810" s="1"/>
  <c r="I29" i="810"/>
  <c r="I30" i="810" s="1"/>
  <c r="I35" i="810"/>
  <c r="I37" i="810" s="1"/>
  <c r="O20" i="810"/>
  <c r="P20" i="810" s="1"/>
  <c r="O32" i="810"/>
  <c r="I18" i="811"/>
  <c r="I24" i="811"/>
  <c r="I26" i="811" s="1"/>
  <c r="I31" i="811"/>
  <c r="I36" i="811"/>
  <c r="P36" i="811" s="1"/>
  <c r="O27" i="811"/>
  <c r="P27" i="811" s="1"/>
  <c r="I14" i="812"/>
  <c r="I32" i="812"/>
  <c r="O16" i="812"/>
  <c r="P16" i="812" s="1"/>
  <c r="O21" i="812"/>
  <c r="O27" i="812"/>
  <c r="P27" i="812" s="1"/>
  <c r="I15" i="813"/>
  <c r="I20" i="813"/>
  <c r="I27" i="813"/>
  <c r="I41" i="813"/>
  <c r="I42" i="813" s="1"/>
  <c r="L22" i="813"/>
  <c r="I36" i="809"/>
  <c r="O32" i="809"/>
  <c r="I24" i="810"/>
  <c r="I26" i="810" s="1"/>
  <c r="I19" i="811"/>
  <c r="P19" i="811" s="1"/>
  <c r="I32" i="811"/>
  <c r="I33" i="812"/>
  <c r="O22" i="812"/>
  <c r="I16" i="813"/>
  <c r="I25" i="813"/>
  <c r="I35" i="813"/>
  <c r="I36" i="813" s="1"/>
  <c r="L23" i="813"/>
  <c r="L29" i="813"/>
  <c r="R29" i="813" s="1"/>
  <c r="I25" i="809"/>
  <c r="I26" i="809" s="1"/>
  <c r="I14" i="811"/>
  <c r="I33" i="811"/>
  <c r="P33" i="811" s="1"/>
  <c r="I29" i="812"/>
  <c r="I30" i="812" s="1"/>
  <c r="I14" i="813"/>
  <c r="I18" i="813"/>
  <c r="I21" i="816"/>
  <c r="I22" i="816" s="1"/>
  <c r="I17" i="808"/>
  <c r="R16" i="791"/>
  <c r="I16" i="777"/>
  <c r="I17" i="777" s="1"/>
  <c r="I19" i="777" s="1"/>
  <c r="I22" i="777" s="1"/>
  <c r="I23" i="777" s="1"/>
  <c r="K14" i="777"/>
  <c r="Q14" i="777" s="1"/>
  <c r="G14" i="631"/>
  <c r="I14" i="631" s="1"/>
  <c r="I16" i="631" s="1"/>
  <c r="I18" i="631" s="1"/>
  <c r="G15" i="621"/>
  <c r="G14" i="621"/>
  <c r="G55" i="630"/>
  <c r="G54" i="630"/>
  <c r="G52" i="630"/>
  <c r="G50" i="630"/>
  <c r="G49" i="630"/>
  <c r="G47" i="630"/>
  <c r="G46" i="630"/>
  <c r="G44" i="630"/>
  <c r="G43" i="630"/>
  <c r="G41" i="630"/>
  <c r="G40" i="630"/>
  <c r="G39" i="630"/>
  <c r="G37" i="630"/>
  <c r="G36" i="630"/>
  <c r="G34" i="630"/>
  <c r="G33" i="630"/>
  <c r="G32" i="630"/>
  <c r="G30" i="630"/>
  <c r="G29" i="630"/>
  <c r="G27" i="630"/>
  <c r="G26" i="630"/>
  <c r="G25" i="630"/>
  <c r="G23" i="630"/>
  <c r="G22" i="630"/>
  <c r="G20" i="630"/>
  <c r="G19" i="630"/>
  <c r="G18" i="630"/>
  <c r="G15" i="630"/>
  <c r="G16" i="630"/>
  <c r="G14" i="630"/>
  <c r="Z25" i="591"/>
  <c r="Z21" i="591"/>
  <c r="Z19" i="591"/>
  <c r="Z18" i="591"/>
  <c r="Z15" i="591"/>
  <c r="Z14" i="591"/>
  <c r="G33" i="591"/>
  <c r="I33" i="591" s="1"/>
  <c r="G31" i="591"/>
  <c r="G29" i="591"/>
  <c r="I29" i="591" s="1"/>
  <c r="I30" i="591" s="1"/>
  <c r="G27" i="591"/>
  <c r="G25" i="591"/>
  <c r="I25" i="591" s="1"/>
  <c r="G23" i="591"/>
  <c r="G21" i="591"/>
  <c r="I21" i="591" s="1"/>
  <c r="X21" i="591" s="1"/>
  <c r="G19" i="591"/>
  <c r="I19" i="591" s="1"/>
  <c r="X19" i="591" s="1"/>
  <c r="G18" i="591"/>
  <c r="I18" i="591" s="1"/>
  <c r="G15" i="591"/>
  <c r="I15" i="591" s="1"/>
  <c r="X15" i="591" s="1"/>
  <c r="G16" i="591"/>
  <c r="I16" i="591" s="1"/>
  <c r="X16" i="591" s="1"/>
  <c r="G14" i="591"/>
  <c r="I14" i="591" s="1"/>
  <c r="X14" i="591" s="1"/>
  <c r="G31" i="620"/>
  <c r="I31" i="620" s="1"/>
  <c r="G30" i="620"/>
  <c r="O30" i="620" s="1"/>
  <c r="G29" i="620"/>
  <c r="I29" i="620" s="1"/>
  <c r="G27" i="620"/>
  <c r="O27" i="620" s="1"/>
  <c r="G26" i="620"/>
  <c r="O26" i="620" s="1"/>
  <c r="G24" i="620"/>
  <c r="O24" i="620" s="1"/>
  <c r="G23" i="620"/>
  <c r="I23" i="620" s="1"/>
  <c r="G21" i="620"/>
  <c r="I21" i="620" s="1"/>
  <c r="I22" i="620" s="1"/>
  <c r="G19" i="620"/>
  <c r="I19" i="620" s="1"/>
  <c r="G18" i="620"/>
  <c r="O18" i="620" s="1"/>
  <c r="G16" i="620"/>
  <c r="I16" i="620" s="1"/>
  <c r="G15" i="620"/>
  <c r="O15" i="620" s="1"/>
  <c r="G14" i="620"/>
  <c r="O14" i="620" s="1"/>
  <c r="W18" i="615"/>
  <c r="G18" i="615"/>
  <c r="I18" i="615" s="1"/>
  <c r="I19" i="615" s="1"/>
  <c r="G16" i="615"/>
  <c r="I16" i="615" s="1"/>
  <c r="G14" i="615"/>
  <c r="I14" i="615" s="1"/>
  <c r="T26" i="612"/>
  <c r="T24" i="612"/>
  <c r="T23" i="612"/>
  <c r="T22" i="612"/>
  <c r="T20" i="612"/>
  <c r="T19" i="612"/>
  <c r="T18" i="612"/>
  <c r="T16" i="612"/>
  <c r="T15" i="612"/>
  <c r="T14" i="612"/>
  <c r="G26" i="612"/>
  <c r="I26" i="612" s="1"/>
  <c r="I27" i="612" s="1"/>
  <c r="G24" i="612"/>
  <c r="R24" i="612" s="1"/>
  <c r="G23" i="612"/>
  <c r="I23" i="612" s="1"/>
  <c r="G22" i="612"/>
  <c r="R22" i="612" s="1"/>
  <c r="G20" i="612"/>
  <c r="I20" i="612" s="1"/>
  <c r="G19" i="612"/>
  <c r="R19" i="612" s="1"/>
  <c r="G18" i="612"/>
  <c r="R18" i="612" s="1"/>
  <c r="G15" i="612"/>
  <c r="R15" i="612" s="1"/>
  <c r="G16" i="612"/>
  <c r="R16" i="612" s="1"/>
  <c r="G14" i="612"/>
  <c r="R14" i="612" s="1"/>
  <c r="T14" i="611"/>
  <c r="G35" i="611"/>
  <c r="I35" i="611" s="1"/>
  <c r="I36" i="611" s="1"/>
  <c r="G33" i="611"/>
  <c r="I33" i="611" s="1"/>
  <c r="G32" i="611"/>
  <c r="I32" i="611" s="1"/>
  <c r="G30" i="611"/>
  <c r="I30" i="611" s="1"/>
  <c r="G29" i="611"/>
  <c r="I29" i="611" s="1"/>
  <c r="G28" i="611"/>
  <c r="I28" i="611" s="1"/>
  <c r="G26" i="611"/>
  <c r="I26" i="611" s="1"/>
  <c r="G25" i="611"/>
  <c r="I25" i="611" s="1"/>
  <c r="G23" i="611"/>
  <c r="I23" i="611" s="1"/>
  <c r="G22" i="611"/>
  <c r="I22" i="611" s="1"/>
  <c r="G21" i="611"/>
  <c r="I21" i="611" s="1"/>
  <c r="G19" i="611"/>
  <c r="I19" i="611" s="1"/>
  <c r="G18" i="611"/>
  <c r="I18" i="611" s="1"/>
  <c r="G15" i="611"/>
  <c r="I15" i="611" s="1"/>
  <c r="G16" i="611"/>
  <c r="I16" i="611" s="1"/>
  <c r="G14" i="611"/>
  <c r="I14" i="611" s="1"/>
  <c r="G17" i="610"/>
  <c r="G15" i="610"/>
  <c r="G14" i="610"/>
  <c r="O14" i="610" s="1"/>
  <c r="G17" i="609"/>
  <c r="I17" i="609" s="1"/>
  <c r="I18" i="609" s="1"/>
  <c r="G15" i="609"/>
  <c r="I15" i="609" s="1"/>
  <c r="G14" i="609"/>
  <c r="I14" i="609" s="1"/>
  <c r="Q15" i="608"/>
  <c r="G17" i="608"/>
  <c r="G15" i="608"/>
  <c r="I15" i="608" s="1"/>
  <c r="G14" i="608"/>
  <c r="O14" i="608" s="1"/>
  <c r="G17" i="607"/>
  <c r="G15" i="607"/>
  <c r="G14" i="607"/>
  <c r="O14" i="607" s="1"/>
  <c r="Q15" i="606"/>
  <c r="G17" i="606"/>
  <c r="O17" i="606" s="1"/>
  <c r="G15" i="606"/>
  <c r="O15" i="606" s="1"/>
  <c r="G14" i="606"/>
  <c r="Q15" i="595"/>
  <c r="G17" i="595"/>
  <c r="O17" i="595" s="1"/>
  <c r="G15" i="595"/>
  <c r="I15" i="595" s="1"/>
  <c r="G14" i="595"/>
  <c r="Q15" i="605"/>
  <c r="G17" i="605"/>
  <c r="I17" i="605" s="1"/>
  <c r="I18" i="605" s="1"/>
  <c r="G15" i="605"/>
  <c r="O15" i="605" s="1"/>
  <c r="G14" i="605"/>
  <c r="O14" i="605" s="1"/>
  <c r="Q15" i="604"/>
  <c r="O17" i="604"/>
  <c r="O15" i="604"/>
  <c r="O14" i="604"/>
  <c r="G14" i="604"/>
  <c r="I14" i="604" s="1"/>
  <c r="G17" i="604"/>
  <c r="I17" i="604" s="1"/>
  <c r="I18" i="604" s="1"/>
  <c r="G15" i="604"/>
  <c r="I15" i="604" s="1"/>
  <c r="I22" i="804" l="1"/>
  <c r="P33" i="812"/>
  <c r="I23" i="812"/>
  <c r="I20" i="809"/>
  <c r="I22" i="786"/>
  <c r="P19" i="809"/>
  <c r="R22" i="813"/>
  <c r="P22" i="812"/>
  <c r="I20" i="812"/>
  <c r="P16" i="809"/>
  <c r="I24" i="813"/>
  <c r="R18" i="796"/>
  <c r="I25" i="805"/>
  <c r="I27" i="805" s="1"/>
  <c r="I30" i="805" s="1"/>
  <c r="I31" i="805" s="1"/>
  <c r="S22" i="812"/>
  <c r="S19" i="812"/>
  <c r="I28" i="796"/>
  <c r="I30" i="796" s="1"/>
  <c r="I33" i="796" s="1"/>
  <c r="I34" i="796" s="1"/>
  <c r="R23" i="813"/>
  <c r="P36" i="812"/>
  <c r="R19" i="813"/>
  <c r="I26" i="812"/>
  <c r="R25" i="813"/>
  <c r="P24" i="811"/>
  <c r="I16" i="803"/>
  <c r="I17" i="786"/>
  <c r="I37" i="786" s="1"/>
  <c r="I39" i="786" s="1"/>
  <c r="S28" i="791"/>
  <c r="R37" i="809"/>
  <c r="R20" i="813"/>
  <c r="P38" i="813"/>
  <c r="R35" i="813"/>
  <c r="R31" i="813"/>
  <c r="R18" i="813"/>
  <c r="P33" i="809"/>
  <c r="R41" i="813"/>
  <c r="S29" i="791"/>
  <c r="I30" i="620"/>
  <c r="I32" i="620" s="1"/>
  <c r="P36" i="809"/>
  <c r="P29" i="811"/>
  <c r="S27" i="791"/>
  <c r="P31" i="809"/>
  <c r="S30" i="791"/>
  <c r="R16" i="813"/>
  <c r="R15" i="813"/>
  <c r="R39" i="813"/>
  <c r="P26" i="813"/>
  <c r="R14" i="813"/>
  <c r="R27" i="813"/>
  <c r="R26" i="813"/>
  <c r="P14" i="813"/>
  <c r="O17" i="813"/>
  <c r="P20" i="813"/>
  <c r="O30" i="813"/>
  <c r="P30" i="813" s="1"/>
  <c r="P29" i="813"/>
  <c r="P16" i="813"/>
  <c r="P15" i="813"/>
  <c r="P33" i="813"/>
  <c r="O34" i="813"/>
  <c r="P34" i="813" s="1"/>
  <c r="O36" i="813"/>
  <c r="P36" i="813" s="1"/>
  <c r="P35" i="813"/>
  <c r="O32" i="813"/>
  <c r="P32" i="813" s="1"/>
  <c r="P31" i="813"/>
  <c r="P18" i="813"/>
  <c r="O21" i="813"/>
  <c r="O40" i="813"/>
  <c r="P40" i="813" s="1"/>
  <c r="P39" i="813"/>
  <c r="P37" i="813"/>
  <c r="P22" i="813"/>
  <c r="O24" i="813"/>
  <c r="P24" i="813" s="1"/>
  <c r="P19" i="813"/>
  <c r="O28" i="813"/>
  <c r="O42" i="813"/>
  <c r="P42" i="813" s="1"/>
  <c r="P41" i="813"/>
  <c r="P23" i="813"/>
  <c r="R37" i="812"/>
  <c r="S36" i="812"/>
  <c r="S33" i="812"/>
  <c r="S26" i="812"/>
  <c r="R30" i="812"/>
  <c r="S30" i="812" s="1"/>
  <c r="S29" i="812"/>
  <c r="S24" i="812"/>
  <c r="R23" i="812"/>
  <c r="S23" i="812" s="1"/>
  <c r="R34" i="812"/>
  <c r="R28" i="812"/>
  <c r="S28" i="812" s="1"/>
  <c r="S27" i="812"/>
  <c r="P19" i="812"/>
  <c r="R20" i="812"/>
  <c r="S20" i="812" s="1"/>
  <c r="S32" i="809"/>
  <c r="S29" i="809"/>
  <c r="R30" i="809"/>
  <c r="S30" i="809" s="1"/>
  <c r="S19" i="809"/>
  <c r="S16" i="809"/>
  <c r="R17" i="809"/>
  <c r="S22" i="809"/>
  <c r="S31" i="809"/>
  <c r="R34" i="809"/>
  <c r="S27" i="809"/>
  <c r="R28" i="809"/>
  <c r="S36" i="809"/>
  <c r="S33" i="809"/>
  <c r="P32" i="809"/>
  <c r="R20" i="809"/>
  <c r="S20" i="809" s="1"/>
  <c r="R26" i="809"/>
  <c r="S26" i="809" s="1"/>
  <c r="S24" i="809"/>
  <c r="R23" i="809"/>
  <c r="R16" i="796"/>
  <c r="R22" i="796"/>
  <c r="O17" i="796"/>
  <c r="P17" i="796" s="1"/>
  <c r="P16" i="796"/>
  <c r="O23" i="796"/>
  <c r="P23" i="796" s="1"/>
  <c r="P22" i="796"/>
  <c r="P14" i="796"/>
  <c r="O15" i="796"/>
  <c r="P15" i="796" s="1"/>
  <c r="R14" i="796"/>
  <c r="P20" i="796"/>
  <c r="O21" i="796"/>
  <c r="P21" i="796" s="1"/>
  <c r="P26" i="796"/>
  <c r="O27" i="796"/>
  <c r="P27" i="796" s="1"/>
  <c r="R20" i="796"/>
  <c r="R26" i="796"/>
  <c r="P18" i="796"/>
  <c r="O19" i="796"/>
  <c r="P19" i="796" s="1"/>
  <c r="O25" i="796"/>
  <c r="P25" i="796" s="1"/>
  <c r="P24" i="796"/>
  <c r="R24" i="796"/>
  <c r="R37" i="791"/>
  <c r="R38" i="791" s="1"/>
  <c r="O16" i="777"/>
  <c r="O17" i="777" s="1"/>
  <c r="N90" i="261" s="1"/>
  <c r="E19" i="856" s="1"/>
  <c r="I14" i="621"/>
  <c r="R14" i="621"/>
  <c r="I15" i="621"/>
  <c r="I16" i="621" s="1"/>
  <c r="R15" i="621"/>
  <c r="I18" i="630"/>
  <c r="X18" i="630"/>
  <c r="I19" i="630"/>
  <c r="X19" i="630"/>
  <c r="I30" i="630"/>
  <c r="X30" i="630"/>
  <c r="I41" i="630"/>
  <c r="X41" i="630"/>
  <c r="I54" i="630"/>
  <c r="X54" i="630"/>
  <c r="I40" i="630"/>
  <c r="X40" i="630"/>
  <c r="I20" i="630"/>
  <c r="X20" i="630"/>
  <c r="I32" i="630"/>
  <c r="X32" i="630"/>
  <c r="I43" i="630"/>
  <c r="X43" i="630"/>
  <c r="I55" i="630"/>
  <c r="X55" i="630"/>
  <c r="I22" i="630"/>
  <c r="X22" i="630"/>
  <c r="I33" i="630"/>
  <c r="X33" i="630"/>
  <c r="I44" i="630"/>
  <c r="I45" i="630" s="1"/>
  <c r="Y45" i="630" s="1"/>
  <c r="X44" i="630"/>
  <c r="I23" i="630"/>
  <c r="X23" i="630"/>
  <c r="I34" i="630"/>
  <c r="X34" i="630"/>
  <c r="I46" i="630"/>
  <c r="X46" i="630"/>
  <c r="U14" i="630"/>
  <c r="X14" i="630"/>
  <c r="I25" i="630"/>
  <c r="X25" i="630"/>
  <c r="I36" i="630"/>
  <c r="X36" i="630"/>
  <c r="I47" i="630"/>
  <c r="X47" i="630"/>
  <c r="I52" i="630"/>
  <c r="I53" i="630" s="1"/>
  <c r="Y53" i="630" s="1"/>
  <c r="X52" i="630"/>
  <c r="I16" i="630"/>
  <c r="X16" i="630"/>
  <c r="I26" i="630"/>
  <c r="X26" i="630"/>
  <c r="I37" i="630"/>
  <c r="I38" i="630" s="1"/>
  <c r="Y38" i="630" s="1"/>
  <c r="X37" i="630"/>
  <c r="I49" i="630"/>
  <c r="X49" i="630"/>
  <c r="I29" i="630"/>
  <c r="X29" i="630"/>
  <c r="I15" i="630"/>
  <c r="X15" i="630"/>
  <c r="I27" i="630"/>
  <c r="X27" i="630"/>
  <c r="I39" i="630"/>
  <c r="X39" i="630"/>
  <c r="I50" i="630"/>
  <c r="X50" i="630"/>
  <c r="L15" i="610"/>
  <c r="O15" i="610"/>
  <c r="O16" i="610" s="1"/>
  <c r="I17" i="610"/>
  <c r="I18" i="610" s="1"/>
  <c r="O17" i="610"/>
  <c r="L15" i="607"/>
  <c r="O15" i="607"/>
  <c r="O16" i="607" s="1"/>
  <c r="L17" i="607"/>
  <c r="O17" i="607"/>
  <c r="I15" i="620"/>
  <c r="I21" i="813"/>
  <c r="I18" i="620"/>
  <c r="I20" i="620" s="1"/>
  <c r="I27" i="620"/>
  <c r="P27" i="620" s="1"/>
  <c r="I26" i="791"/>
  <c r="S26" i="791" s="1"/>
  <c r="I24" i="611"/>
  <c r="I34" i="611"/>
  <c r="I22" i="808"/>
  <c r="I23" i="808" s="1"/>
  <c r="I25" i="808" s="1"/>
  <c r="I28" i="808" s="1"/>
  <c r="I29" i="808" s="1"/>
  <c r="O17" i="605"/>
  <c r="I37" i="791"/>
  <c r="R23" i="612"/>
  <c r="U43" i="630"/>
  <c r="I14" i="605"/>
  <c r="P14" i="605" s="1"/>
  <c r="I15" i="605"/>
  <c r="I15" i="606"/>
  <c r="I15" i="607"/>
  <c r="O15" i="608"/>
  <c r="L17" i="610"/>
  <c r="R17" i="610" s="1"/>
  <c r="I26" i="620"/>
  <c r="I28" i="620" s="1"/>
  <c r="O31" i="620"/>
  <c r="I23" i="591"/>
  <c r="X23" i="591"/>
  <c r="I31" i="591"/>
  <c r="I32" i="591" s="1"/>
  <c r="X31" i="591"/>
  <c r="U32" i="630"/>
  <c r="L14" i="631"/>
  <c r="M14" i="631" s="1"/>
  <c r="I17" i="813"/>
  <c r="I43" i="813" s="1"/>
  <c r="I45" i="813" s="1"/>
  <c r="I48" i="813" s="1"/>
  <c r="I49" i="813" s="1"/>
  <c r="I28" i="813"/>
  <c r="I37" i="809"/>
  <c r="S37" i="809" s="1"/>
  <c r="I23" i="809"/>
  <c r="I37" i="812"/>
  <c r="I17" i="606"/>
  <c r="I18" i="606" s="1"/>
  <c r="I17" i="607"/>
  <c r="I18" i="607" s="1"/>
  <c r="I15" i="610"/>
  <c r="I14" i="612"/>
  <c r="S14" i="612" s="1"/>
  <c r="I24" i="612"/>
  <c r="S24" i="612" s="1"/>
  <c r="O19" i="620"/>
  <c r="P19" i="620" s="1"/>
  <c r="I14" i="620"/>
  <c r="U15" i="630"/>
  <c r="I34" i="810"/>
  <c r="I23" i="811"/>
  <c r="P18" i="808"/>
  <c r="I27" i="611"/>
  <c r="I18" i="612"/>
  <c r="S18" i="612" s="1"/>
  <c r="I27" i="591"/>
  <c r="I28" i="591" s="1"/>
  <c r="X27" i="591"/>
  <c r="U22" i="630"/>
  <c r="U55" i="630"/>
  <c r="O14" i="621"/>
  <c r="P14" i="621" s="1"/>
  <c r="I37" i="811"/>
  <c r="I19" i="804"/>
  <c r="I23" i="804" s="1"/>
  <c r="I25" i="804" s="1"/>
  <c r="I28" i="804" s="1"/>
  <c r="I19" i="612"/>
  <c r="S19" i="612" s="1"/>
  <c r="U27" i="630"/>
  <c r="P27" i="809"/>
  <c r="I28" i="809"/>
  <c r="I17" i="809"/>
  <c r="I34" i="809"/>
  <c r="I16" i="604"/>
  <c r="I19" i="604" s="1"/>
  <c r="I21" i="604" s="1"/>
  <c r="I24" i="604" s="1"/>
  <c r="I25" i="604" s="1"/>
  <c r="I14" i="595"/>
  <c r="O14" i="595"/>
  <c r="I14" i="610"/>
  <c r="P14" i="610" s="1"/>
  <c r="L14" i="610"/>
  <c r="R14" i="610" s="1"/>
  <c r="I20" i="611"/>
  <c r="I20" i="591"/>
  <c r="X18" i="591"/>
  <c r="X20" i="591" s="1"/>
  <c r="X25" i="591"/>
  <c r="I26" i="591"/>
  <c r="I34" i="591"/>
  <c r="X33" i="591"/>
  <c r="I14" i="606"/>
  <c r="O14" i="606"/>
  <c r="I17" i="611"/>
  <c r="X22" i="591"/>
  <c r="O18" i="595"/>
  <c r="I14" i="607"/>
  <c r="P14" i="607" s="1"/>
  <c r="L14" i="607"/>
  <c r="R14" i="607" s="1"/>
  <c r="I17" i="608"/>
  <c r="I18" i="608" s="1"/>
  <c r="O17" i="608"/>
  <c r="I16" i="609"/>
  <c r="I19" i="609" s="1"/>
  <c r="I21" i="609" s="1"/>
  <c r="I24" i="609" s="1"/>
  <c r="I25" i="609" s="1"/>
  <c r="I31" i="611"/>
  <c r="I24" i="591"/>
  <c r="R20" i="612"/>
  <c r="R26" i="612"/>
  <c r="I17" i="595"/>
  <c r="I18" i="595" s="1"/>
  <c r="O15" i="595"/>
  <c r="O16" i="595" s="1"/>
  <c r="I14" i="608"/>
  <c r="P14" i="608" s="1"/>
  <c r="I15" i="612"/>
  <c r="S15" i="612" s="1"/>
  <c r="U14" i="615"/>
  <c r="U18" i="615"/>
  <c r="I24" i="620"/>
  <c r="I25" i="620" s="1"/>
  <c r="O16" i="620"/>
  <c r="P16" i="620" s="1"/>
  <c r="O21" i="620"/>
  <c r="P21" i="620" s="1"/>
  <c r="U16" i="630"/>
  <c r="U20" i="630"/>
  <c r="V20" i="630" s="1"/>
  <c r="U25" i="630"/>
  <c r="U29" i="630"/>
  <c r="U33" i="630"/>
  <c r="U37" i="630"/>
  <c r="U44" i="630"/>
  <c r="V44" i="630" s="1"/>
  <c r="U49" i="630"/>
  <c r="I17" i="811"/>
  <c r="I20" i="811"/>
  <c r="P29" i="812"/>
  <c r="P24" i="810"/>
  <c r="P29" i="810"/>
  <c r="P27" i="810"/>
  <c r="I23" i="791"/>
  <c r="S23" i="791" s="1"/>
  <c r="M21" i="804"/>
  <c r="P14" i="808"/>
  <c r="I34" i="791"/>
  <c r="S34" i="791" s="1"/>
  <c r="I19" i="803"/>
  <c r="I16" i="612"/>
  <c r="I22" i="612"/>
  <c r="I25" i="612" s="1"/>
  <c r="O23" i="620"/>
  <c r="O29" i="620"/>
  <c r="U26" i="630"/>
  <c r="U30" i="630"/>
  <c r="V30" i="630" s="1"/>
  <c r="U34" i="630"/>
  <c r="V34" i="630" s="1"/>
  <c r="U39" i="630"/>
  <c r="U41" i="630"/>
  <c r="U46" i="630"/>
  <c r="U50" i="630"/>
  <c r="U54" i="630"/>
  <c r="O15" i="621"/>
  <c r="I22" i="797"/>
  <c r="I24" i="797" s="1"/>
  <c r="I27" i="797" s="1"/>
  <c r="I28" i="797" s="1"/>
  <c r="I34" i="812"/>
  <c r="I23" i="810"/>
  <c r="P21" i="808"/>
  <c r="I16" i="791"/>
  <c r="U16" i="615"/>
  <c r="I14" i="630"/>
  <c r="U18" i="630"/>
  <c r="U47" i="630"/>
  <c r="I34" i="811"/>
  <c r="I16" i="810"/>
  <c r="P15" i="810"/>
  <c r="I22" i="591"/>
  <c r="U19" i="630"/>
  <c r="U23" i="630"/>
  <c r="U36" i="630"/>
  <c r="U40" i="630"/>
  <c r="U52" i="630"/>
  <c r="I17" i="812"/>
  <c r="I21" i="631"/>
  <c r="I22" i="631" s="1"/>
  <c r="I17" i="591"/>
  <c r="X17" i="591"/>
  <c r="I17" i="615"/>
  <c r="I20" i="615" s="1"/>
  <c r="I22" i="615" s="1"/>
  <c r="I25" i="615" s="1"/>
  <c r="I26" i="615" s="1"/>
  <c r="R17" i="612"/>
  <c r="O16" i="608"/>
  <c r="O18" i="606"/>
  <c r="O16" i="606"/>
  <c r="O16" i="605"/>
  <c r="O18" i="604"/>
  <c r="O16" i="604"/>
  <c r="Q15" i="603"/>
  <c r="O17" i="603"/>
  <c r="O15" i="603"/>
  <c r="O14" i="603"/>
  <c r="G17" i="603"/>
  <c r="I17" i="603" s="1"/>
  <c r="I18" i="603" s="1"/>
  <c r="G15" i="603"/>
  <c r="I15" i="603" s="1"/>
  <c r="G14" i="603"/>
  <c r="I14" i="603" s="1"/>
  <c r="Q15" i="602"/>
  <c r="G17" i="602"/>
  <c r="O17" i="602" s="1"/>
  <c r="G15" i="602"/>
  <c r="O15" i="602" s="1"/>
  <c r="G14" i="602"/>
  <c r="I14" i="602" s="1"/>
  <c r="G14" i="601"/>
  <c r="O14" i="601" s="1"/>
  <c r="G17" i="601"/>
  <c r="G15" i="601"/>
  <c r="Q17" i="600"/>
  <c r="Q15" i="600"/>
  <c r="Q14" i="600"/>
  <c r="G17" i="600"/>
  <c r="I17" i="600" s="1"/>
  <c r="I18" i="600" s="1"/>
  <c r="G15" i="600"/>
  <c r="I15" i="600" s="1"/>
  <c r="G14" i="600"/>
  <c r="O14" i="600" s="1"/>
  <c r="Q15" i="599"/>
  <c r="G17" i="599"/>
  <c r="I17" i="599" s="1"/>
  <c r="I18" i="599" s="1"/>
  <c r="G15" i="599"/>
  <c r="I15" i="599" s="1"/>
  <c r="G14" i="599"/>
  <c r="I14" i="599" s="1"/>
  <c r="Q15" i="598"/>
  <c r="Q14" i="598"/>
  <c r="G17" i="598"/>
  <c r="O17" i="598" s="1"/>
  <c r="G15" i="598"/>
  <c r="O15" i="598" s="1"/>
  <c r="G14" i="598"/>
  <c r="O14" i="598" s="1"/>
  <c r="G16" i="573"/>
  <c r="G14" i="573"/>
  <c r="G14" i="571"/>
  <c r="G18" i="571"/>
  <c r="G17" i="571"/>
  <c r="I17" i="571" s="1"/>
  <c r="G15" i="571"/>
  <c r="I15" i="571" s="1"/>
  <c r="W14" i="570"/>
  <c r="W21" i="570"/>
  <c r="W18" i="570"/>
  <c r="W15" i="570"/>
  <c r="G22" i="570"/>
  <c r="U22" i="570" s="1"/>
  <c r="G21" i="570"/>
  <c r="U21" i="570" s="1"/>
  <c r="G19" i="570"/>
  <c r="U19" i="570" s="1"/>
  <c r="G18" i="570"/>
  <c r="U18" i="570" s="1"/>
  <c r="G15" i="570"/>
  <c r="G16" i="570"/>
  <c r="U16" i="570" s="1"/>
  <c r="G14" i="570"/>
  <c r="G18" i="569"/>
  <c r="G17" i="569"/>
  <c r="G15" i="569"/>
  <c r="G14" i="569"/>
  <c r="G18" i="568"/>
  <c r="G17" i="568"/>
  <c r="G15" i="568"/>
  <c r="G14" i="568"/>
  <c r="G24" i="567"/>
  <c r="G23" i="567"/>
  <c r="G21" i="567"/>
  <c r="G20" i="567"/>
  <c r="G18" i="567"/>
  <c r="G17" i="567"/>
  <c r="G15" i="567"/>
  <c r="G14" i="567"/>
  <c r="T18" i="566"/>
  <c r="T17" i="566"/>
  <c r="T15" i="566"/>
  <c r="T14" i="566"/>
  <c r="G18" i="566"/>
  <c r="R18" i="566" s="1"/>
  <c r="G17" i="566"/>
  <c r="I17" i="566" s="1"/>
  <c r="G15" i="566"/>
  <c r="I15" i="566" s="1"/>
  <c r="G14" i="566"/>
  <c r="R14" i="566" s="1"/>
  <c r="O14" i="565"/>
  <c r="O15" i="565"/>
  <c r="G18" i="565"/>
  <c r="G17" i="565"/>
  <c r="G15" i="565"/>
  <c r="G14" i="565"/>
  <c r="G28" i="562"/>
  <c r="G26" i="562"/>
  <c r="G24" i="562"/>
  <c r="G23" i="562"/>
  <c r="G21" i="562"/>
  <c r="G20" i="562"/>
  <c r="G18" i="562"/>
  <c r="G17" i="562"/>
  <c r="G15" i="562"/>
  <c r="G14" i="562"/>
  <c r="Q15" i="555"/>
  <c r="G15" i="555"/>
  <c r="O15" i="555" s="1"/>
  <c r="G14" i="555"/>
  <c r="I14" i="555" s="1"/>
  <c r="Q14" i="554"/>
  <c r="G15" i="554"/>
  <c r="O15" i="554" s="1"/>
  <c r="G14" i="554"/>
  <c r="O14" i="554" s="1"/>
  <c r="P17" i="606" l="1"/>
  <c r="I48" i="630"/>
  <c r="Y48" i="630" s="1"/>
  <c r="I22" i="803"/>
  <c r="I17" i="612"/>
  <c r="I31" i="630"/>
  <c r="Y31" i="630" s="1"/>
  <c r="I24" i="630"/>
  <c r="Y24" i="630" s="1"/>
  <c r="P15" i="621"/>
  <c r="V37" i="630"/>
  <c r="I56" i="630"/>
  <c r="Y56" i="630" s="1"/>
  <c r="I21" i="630"/>
  <c r="Y21" i="630" s="1"/>
  <c r="V23" i="630"/>
  <c r="V16" i="630"/>
  <c r="Y41" i="630"/>
  <c r="I17" i="630"/>
  <c r="Y17" i="630" s="1"/>
  <c r="V50" i="630"/>
  <c r="S17" i="612"/>
  <c r="I28" i="630"/>
  <c r="Y28" i="630" s="1"/>
  <c r="I17" i="620"/>
  <c r="I33" i="620" s="1"/>
  <c r="I35" i="620" s="1"/>
  <c r="P28" i="813"/>
  <c r="I51" i="630"/>
  <c r="Y51" i="630" s="1"/>
  <c r="Y39" i="630"/>
  <c r="Y52" i="630"/>
  <c r="Y44" i="630"/>
  <c r="Y54" i="630"/>
  <c r="R38" i="809"/>
  <c r="R40" i="809" s="1"/>
  <c r="R41" i="809" s="1"/>
  <c r="Q99" i="261" s="1"/>
  <c r="E21" i="848" s="1"/>
  <c r="P24" i="620"/>
  <c r="S22" i="612"/>
  <c r="Y27" i="630"/>
  <c r="Y37" i="630"/>
  <c r="Y47" i="630"/>
  <c r="S17" i="809"/>
  <c r="R21" i="612"/>
  <c r="S20" i="612"/>
  <c r="I35" i="630"/>
  <c r="Y35" i="630" s="1"/>
  <c r="I42" i="630"/>
  <c r="Y42" i="630" s="1"/>
  <c r="I38" i="791"/>
  <c r="I40" i="791" s="1"/>
  <c r="I43" i="791" s="1"/>
  <c r="I44" i="791" s="1"/>
  <c r="R15" i="607"/>
  <c r="Y34" i="630"/>
  <c r="Y20" i="630"/>
  <c r="Y30" i="630"/>
  <c r="R40" i="791"/>
  <c r="R41" i="791" s="1"/>
  <c r="N92" i="261"/>
  <c r="E19" i="830" s="1"/>
  <c r="P17" i="605"/>
  <c r="P15" i="620"/>
  <c r="S16" i="612"/>
  <c r="O18" i="605"/>
  <c r="O19" i="605" s="1"/>
  <c r="Y50" i="630"/>
  <c r="Y16" i="630"/>
  <c r="Y23" i="630"/>
  <c r="Y40" i="630"/>
  <c r="S16" i="791"/>
  <c r="O43" i="813"/>
  <c r="P17" i="813"/>
  <c r="P21" i="813"/>
  <c r="R38" i="812"/>
  <c r="I38" i="812"/>
  <c r="I40" i="812" s="1"/>
  <c r="I43" i="812" s="1"/>
  <c r="I44" i="812" s="1"/>
  <c r="S17" i="812"/>
  <c r="S34" i="812"/>
  <c r="S37" i="812"/>
  <c r="S23" i="809"/>
  <c r="S28" i="809"/>
  <c r="S34" i="809"/>
  <c r="O28" i="796"/>
  <c r="S37" i="791"/>
  <c r="R16" i="621"/>
  <c r="S16" i="621" s="1"/>
  <c r="S15" i="621"/>
  <c r="S14" i="621"/>
  <c r="V47" i="630"/>
  <c r="V27" i="630"/>
  <c r="V41" i="630"/>
  <c r="X57" i="630"/>
  <c r="P31" i="620"/>
  <c r="V18" i="615"/>
  <c r="V16" i="615"/>
  <c r="V14" i="615"/>
  <c r="S26" i="612"/>
  <c r="S23" i="612"/>
  <c r="R25" i="612"/>
  <c r="P17" i="610"/>
  <c r="O18" i="610"/>
  <c r="P18" i="610" s="1"/>
  <c r="R15" i="610"/>
  <c r="P17" i="608"/>
  <c r="R17" i="607"/>
  <c r="O18" i="607"/>
  <c r="O19" i="607" s="1"/>
  <c r="P17" i="607"/>
  <c r="O18" i="603"/>
  <c r="I15" i="601"/>
  <c r="O15" i="601"/>
  <c r="O16" i="601" s="1"/>
  <c r="L17" i="601"/>
  <c r="O17" i="601"/>
  <c r="O18" i="598"/>
  <c r="O14" i="573"/>
  <c r="R14" i="573"/>
  <c r="O16" i="573"/>
  <c r="R16" i="573"/>
  <c r="I14" i="569"/>
  <c r="X14" i="569"/>
  <c r="I15" i="569"/>
  <c r="X15" i="569"/>
  <c r="I17" i="569"/>
  <c r="X17" i="569"/>
  <c r="I18" i="569"/>
  <c r="X18" i="569"/>
  <c r="I15" i="568"/>
  <c r="U15" i="568"/>
  <c r="I17" i="568"/>
  <c r="U17" i="568"/>
  <c r="I18" i="568"/>
  <c r="U18" i="568"/>
  <c r="R14" i="568"/>
  <c r="U14" i="568"/>
  <c r="I21" i="567"/>
  <c r="U21" i="567"/>
  <c r="R23" i="567"/>
  <c r="U23" i="567"/>
  <c r="I24" i="567"/>
  <c r="U24" i="567"/>
  <c r="I14" i="567"/>
  <c r="U14" i="567"/>
  <c r="I15" i="567"/>
  <c r="U15" i="567"/>
  <c r="R17" i="567"/>
  <c r="U17" i="567"/>
  <c r="I18" i="567"/>
  <c r="U18" i="567"/>
  <c r="R20" i="567"/>
  <c r="U20" i="567"/>
  <c r="R18" i="565"/>
  <c r="U18" i="565"/>
  <c r="R14" i="565"/>
  <c r="U14" i="565"/>
  <c r="R15" i="565"/>
  <c r="U15" i="565"/>
  <c r="R17" i="565"/>
  <c r="U17" i="565"/>
  <c r="I15" i="562"/>
  <c r="X15" i="562"/>
  <c r="I28" i="562"/>
  <c r="I29" i="562" s="1"/>
  <c r="X28" i="562"/>
  <c r="I17" i="562"/>
  <c r="X17" i="562"/>
  <c r="U18" i="562"/>
  <c r="V18" i="562" s="1"/>
  <c r="X18" i="562"/>
  <c r="U20" i="562"/>
  <c r="V20" i="562" s="1"/>
  <c r="X20" i="562"/>
  <c r="I21" i="562"/>
  <c r="X21" i="562"/>
  <c r="I23" i="562"/>
  <c r="X23" i="562"/>
  <c r="U24" i="562"/>
  <c r="V24" i="562" s="1"/>
  <c r="X24" i="562"/>
  <c r="U14" i="562"/>
  <c r="V14" i="562" s="1"/>
  <c r="X14" i="562"/>
  <c r="I26" i="562"/>
  <c r="I27" i="562" s="1"/>
  <c r="X26" i="562"/>
  <c r="I23" i="803"/>
  <c r="I24" i="803" s="1"/>
  <c r="I27" i="803" s="1"/>
  <c r="I28" i="803" s="1"/>
  <c r="I35" i="591"/>
  <c r="I37" i="591" s="1"/>
  <c r="I37" i="611"/>
  <c r="I39" i="611" s="1"/>
  <c r="I42" i="611" s="1"/>
  <c r="I43" i="611" s="1"/>
  <c r="I16" i="605"/>
  <c r="I19" i="605" s="1"/>
  <c r="I21" i="605" s="1"/>
  <c r="I24" i="605" s="1"/>
  <c r="I25" i="605" s="1"/>
  <c r="I38" i="810"/>
  <c r="I40" i="810" s="1"/>
  <c r="I43" i="810" s="1"/>
  <c r="I44" i="810" s="1"/>
  <c r="U15" i="615"/>
  <c r="I14" i="554"/>
  <c r="I15" i="555"/>
  <c r="I16" i="555" s="1"/>
  <c r="I17" i="555" s="1"/>
  <c r="I19" i="555" s="1"/>
  <c r="I22" i="555" s="1"/>
  <c r="I23" i="555" s="1"/>
  <c r="U21" i="562"/>
  <c r="V21" i="562" s="1"/>
  <c r="I18" i="565"/>
  <c r="R14" i="567"/>
  <c r="I21" i="570"/>
  <c r="V21" i="570" s="1"/>
  <c r="R21" i="567"/>
  <c r="I17" i="598"/>
  <c r="I18" i="598" s="1"/>
  <c r="U14" i="569"/>
  <c r="I14" i="562"/>
  <c r="I17" i="601"/>
  <c r="I18" i="601" s="1"/>
  <c r="I38" i="809"/>
  <c r="I40" i="809" s="1"/>
  <c r="I43" i="809" s="1"/>
  <c r="I44" i="809" s="1"/>
  <c r="O14" i="555"/>
  <c r="I18" i="566"/>
  <c r="I19" i="566" s="1"/>
  <c r="R15" i="567"/>
  <c r="I19" i="570"/>
  <c r="V19" i="570" s="1"/>
  <c r="I14" i="598"/>
  <c r="I14" i="601"/>
  <c r="L14" i="601"/>
  <c r="R14" i="601" s="1"/>
  <c r="U38" i="630"/>
  <c r="I38" i="811"/>
  <c r="I40" i="811" s="1"/>
  <c r="I43" i="811" s="1"/>
  <c r="I44" i="811" s="1"/>
  <c r="U17" i="630"/>
  <c r="I21" i="612"/>
  <c r="I28" i="612" s="1"/>
  <c r="I30" i="612" s="1"/>
  <c r="I33" i="612" s="1"/>
  <c r="I34" i="612" s="1"/>
  <c r="R15" i="566"/>
  <c r="R16" i="566" s="1"/>
  <c r="I14" i="570"/>
  <c r="U14" i="570"/>
  <c r="U31" i="630"/>
  <c r="U28" i="562"/>
  <c r="I14" i="565"/>
  <c r="R15" i="568"/>
  <c r="I14" i="600"/>
  <c r="I16" i="600" s="1"/>
  <c r="I19" i="600" s="1"/>
  <c r="I21" i="600" s="1"/>
  <c r="I24" i="600" s="1"/>
  <c r="I25" i="600" s="1"/>
  <c r="O17" i="600"/>
  <c r="I15" i="602"/>
  <c r="I16" i="602" s="1"/>
  <c r="I15" i="554"/>
  <c r="R18" i="568"/>
  <c r="I15" i="570"/>
  <c r="U15" i="570"/>
  <c r="U17" i="570" s="1"/>
  <c r="I14" i="573"/>
  <c r="I15" i="573" s="1"/>
  <c r="I19" i="573" s="1"/>
  <c r="U48" i="630"/>
  <c r="U51" i="630"/>
  <c r="X24" i="591"/>
  <c r="I29" i="804"/>
  <c r="O16" i="598"/>
  <c r="I16" i="599"/>
  <c r="I19" i="599" s="1"/>
  <c r="I21" i="599" s="1"/>
  <c r="U20" i="570"/>
  <c r="O15" i="573"/>
  <c r="O19" i="573" s="1"/>
  <c r="P67" i="261" s="1"/>
  <c r="E20" i="738" s="1"/>
  <c r="O18" i="602"/>
  <c r="O17" i="573"/>
  <c r="I18" i="562"/>
  <c r="I19" i="562" s="1"/>
  <c r="I20" i="562"/>
  <c r="I20" i="567"/>
  <c r="U17" i="562"/>
  <c r="U23" i="562"/>
  <c r="U26" i="562"/>
  <c r="U15" i="562"/>
  <c r="V15" i="562" s="1"/>
  <c r="I15" i="565"/>
  <c r="I14" i="566"/>
  <c r="R17" i="566"/>
  <c r="R17" i="568"/>
  <c r="I14" i="568"/>
  <c r="I16" i="570"/>
  <c r="I22" i="570"/>
  <c r="I16" i="573"/>
  <c r="I17" i="573" s="1"/>
  <c r="O15" i="599"/>
  <c r="L15" i="601"/>
  <c r="I16" i="603"/>
  <c r="I19" i="603" s="1"/>
  <c r="I21" i="603" s="1"/>
  <c r="I24" i="603" s="1"/>
  <c r="I25" i="603" s="1"/>
  <c r="I42" i="786"/>
  <c r="I43" i="786" s="1"/>
  <c r="V54" i="630"/>
  <c r="U56" i="630"/>
  <c r="V39" i="630"/>
  <c r="U42" i="630"/>
  <c r="I16" i="608"/>
  <c r="P16" i="608" s="1"/>
  <c r="I16" i="607"/>
  <c r="I19" i="607" s="1"/>
  <c r="I21" i="607" s="1"/>
  <c r="I24" i="607" s="1"/>
  <c r="I25" i="607" s="1"/>
  <c r="U24" i="630"/>
  <c r="X34" i="591"/>
  <c r="I16" i="610"/>
  <c r="I19" i="610" s="1"/>
  <c r="I21" i="610" s="1"/>
  <c r="R18" i="567"/>
  <c r="R24" i="567"/>
  <c r="I17" i="565"/>
  <c r="I19" i="565" s="1"/>
  <c r="I17" i="567"/>
  <c r="I19" i="567" s="1"/>
  <c r="I23" i="567"/>
  <c r="I25" i="567" s="1"/>
  <c r="I18" i="570"/>
  <c r="I18" i="571"/>
  <c r="I19" i="571" s="1"/>
  <c r="I15" i="598"/>
  <c r="O17" i="599"/>
  <c r="I17" i="602"/>
  <c r="I18" i="602" s="1"/>
  <c r="U53" i="630"/>
  <c r="U21" i="630"/>
  <c r="U17" i="615"/>
  <c r="U35" i="630"/>
  <c r="U19" i="615"/>
  <c r="O18" i="608"/>
  <c r="O19" i="608" s="1"/>
  <c r="P14" i="606"/>
  <c r="P14" i="595"/>
  <c r="I24" i="562"/>
  <c r="I25" i="562" s="1"/>
  <c r="O15" i="600"/>
  <c r="O16" i="600" s="1"/>
  <c r="X32" i="591"/>
  <c r="P17" i="595"/>
  <c r="X28" i="591"/>
  <c r="I16" i="606"/>
  <c r="I19" i="606" s="1"/>
  <c r="I21" i="606" s="1"/>
  <c r="I16" i="595"/>
  <c r="I19" i="595" s="1"/>
  <c r="I21" i="595" s="1"/>
  <c r="I24" i="595" s="1"/>
  <c r="I25" i="595" s="1"/>
  <c r="U28" i="630"/>
  <c r="R27" i="612"/>
  <c r="U45" i="630"/>
  <c r="X26" i="591"/>
  <c r="O19" i="604"/>
  <c r="O19" i="777"/>
  <c r="I40" i="591"/>
  <c r="I41" i="591" s="1"/>
  <c r="O19" i="606"/>
  <c r="N74" i="261" s="1"/>
  <c r="E19" i="753" s="1"/>
  <c r="O19" i="595"/>
  <c r="O16" i="603"/>
  <c r="I14" i="571"/>
  <c r="U23" i="570"/>
  <c r="U17" i="569"/>
  <c r="R16" i="568"/>
  <c r="T28" i="550"/>
  <c r="T26" i="550"/>
  <c r="T25" i="550"/>
  <c r="T23" i="550"/>
  <c r="T22" i="550"/>
  <c r="T21" i="550"/>
  <c r="T19" i="550"/>
  <c r="T18" i="550"/>
  <c r="T16" i="550"/>
  <c r="T15" i="550"/>
  <c r="T14" i="550"/>
  <c r="G15" i="550"/>
  <c r="R15" i="550" s="1"/>
  <c r="H16" i="550"/>
  <c r="G33" i="259"/>
  <c r="G32" i="259"/>
  <c r="G30" i="259"/>
  <c r="G29" i="259"/>
  <c r="G27" i="259"/>
  <c r="G26" i="259"/>
  <c r="G25" i="259"/>
  <c r="G23" i="259"/>
  <c r="G21" i="259"/>
  <c r="G19" i="259"/>
  <c r="G18" i="259"/>
  <c r="G16" i="259"/>
  <c r="G15" i="259"/>
  <c r="G14" i="259"/>
  <c r="H15" i="259"/>
  <c r="G14" i="434"/>
  <c r="I14" i="434" s="1"/>
  <c r="H14" i="432"/>
  <c r="G28" i="550"/>
  <c r="R28" i="550" s="1"/>
  <c r="G26" i="550"/>
  <c r="R26" i="550" s="1"/>
  <c r="G25" i="550"/>
  <c r="R25" i="550" s="1"/>
  <c r="G23" i="550"/>
  <c r="R23" i="550" s="1"/>
  <c r="G22" i="550"/>
  <c r="R22" i="550" s="1"/>
  <c r="G21" i="550"/>
  <c r="I21" i="550" s="1"/>
  <c r="G19" i="550"/>
  <c r="R19" i="550" s="1"/>
  <c r="G18" i="550"/>
  <c r="G16" i="550"/>
  <c r="I16" i="550" s="1"/>
  <c r="G14" i="550"/>
  <c r="I14" i="550" s="1"/>
  <c r="G24" i="596"/>
  <c r="G22" i="596"/>
  <c r="G20" i="596"/>
  <c r="G18" i="596"/>
  <c r="X18" i="596" s="1"/>
  <c r="G16" i="596"/>
  <c r="G14" i="596"/>
  <c r="Q16" i="461"/>
  <c r="Q15" i="461"/>
  <c r="G15" i="461"/>
  <c r="O15" i="461" s="1"/>
  <c r="G16" i="461"/>
  <c r="O16" i="461" s="1"/>
  <c r="G14" i="461"/>
  <c r="O14" i="461" s="1"/>
  <c r="T27" i="548"/>
  <c r="T25" i="548"/>
  <c r="T24" i="548"/>
  <c r="T23" i="548"/>
  <c r="T21" i="548"/>
  <c r="T20" i="548"/>
  <c r="T18" i="548"/>
  <c r="T15" i="548"/>
  <c r="T14" i="548"/>
  <c r="G28" i="548"/>
  <c r="R28" i="548" s="1"/>
  <c r="G27" i="548"/>
  <c r="R27" i="548" s="1"/>
  <c r="G25" i="548"/>
  <c r="G24" i="548"/>
  <c r="R24" i="548" s="1"/>
  <c r="G23" i="548"/>
  <c r="R23" i="548" s="1"/>
  <c r="G21" i="548"/>
  <c r="R21" i="548" s="1"/>
  <c r="G20" i="548"/>
  <c r="G18" i="548"/>
  <c r="R18" i="548" s="1"/>
  <c r="G15" i="548"/>
  <c r="R15" i="548" s="1"/>
  <c r="G16" i="548"/>
  <c r="R16" i="548" s="1"/>
  <c r="G14" i="548"/>
  <c r="G28" i="455"/>
  <c r="G26" i="455"/>
  <c r="G24" i="455"/>
  <c r="G23" i="455"/>
  <c r="G21" i="455"/>
  <c r="G20" i="455"/>
  <c r="G18" i="455"/>
  <c r="G17" i="455"/>
  <c r="G15" i="455"/>
  <c r="G14" i="455"/>
  <c r="W41" i="542"/>
  <c r="W40" i="542"/>
  <c r="W38" i="542"/>
  <c r="W37" i="542"/>
  <c r="W35" i="542"/>
  <c r="W34" i="542"/>
  <c r="W33" i="542"/>
  <c r="W31" i="542"/>
  <c r="W30" i="542"/>
  <c r="W29" i="542"/>
  <c r="W27" i="542"/>
  <c r="W26" i="542"/>
  <c r="W25" i="542"/>
  <c r="W23" i="542"/>
  <c r="W22" i="542"/>
  <c r="W21" i="542"/>
  <c r="W19" i="542"/>
  <c r="W18" i="542"/>
  <c r="W17" i="542"/>
  <c r="W15" i="542"/>
  <c r="W14" i="542"/>
  <c r="G41" i="542"/>
  <c r="I41" i="542" s="1"/>
  <c r="G40" i="542"/>
  <c r="I40" i="542" s="1"/>
  <c r="G38" i="542"/>
  <c r="I38" i="542" s="1"/>
  <c r="G37" i="542"/>
  <c r="I37" i="542" s="1"/>
  <c r="G35" i="542"/>
  <c r="I35" i="542" s="1"/>
  <c r="G34" i="542"/>
  <c r="I34" i="542" s="1"/>
  <c r="G33" i="542"/>
  <c r="I33" i="542" s="1"/>
  <c r="G31" i="542"/>
  <c r="I31" i="542" s="1"/>
  <c r="G30" i="542"/>
  <c r="I30" i="542" s="1"/>
  <c r="G29" i="542"/>
  <c r="I29" i="542" s="1"/>
  <c r="G27" i="542"/>
  <c r="I27" i="542" s="1"/>
  <c r="G26" i="542"/>
  <c r="I26" i="542" s="1"/>
  <c r="G25" i="542"/>
  <c r="I25" i="542" s="1"/>
  <c r="G23" i="542"/>
  <c r="I23" i="542" s="1"/>
  <c r="G22" i="542"/>
  <c r="I22" i="542" s="1"/>
  <c r="G21" i="542"/>
  <c r="I21" i="542" s="1"/>
  <c r="G19" i="542"/>
  <c r="I19" i="542" s="1"/>
  <c r="G18" i="542"/>
  <c r="I18" i="542" s="1"/>
  <c r="G17" i="542"/>
  <c r="I17" i="542" s="1"/>
  <c r="G15" i="542"/>
  <c r="I15" i="542" s="1"/>
  <c r="G14" i="542"/>
  <c r="I14" i="542" s="1"/>
  <c r="R15" i="601" l="1"/>
  <c r="U22" i="562"/>
  <c r="R16" i="565"/>
  <c r="I19" i="569"/>
  <c r="I16" i="598"/>
  <c r="I20" i="570"/>
  <c r="I57" i="630"/>
  <c r="I59" i="630" s="1"/>
  <c r="I62" i="630" s="1"/>
  <c r="I63" i="630" s="1"/>
  <c r="V14" i="570"/>
  <c r="I16" i="601"/>
  <c r="I19" i="601" s="1"/>
  <c r="I21" i="601" s="1"/>
  <c r="I24" i="601" s="1"/>
  <c r="I25" i="601" s="1"/>
  <c r="I16" i="554"/>
  <c r="I17" i="554" s="1"/>
  <c r="I19" i="554" s="1"/>
  <c r="I22" i="554" s="1"/>
  <c r="I23" i="554" s="1"/>
  <c r="I19" i="568"/>
  <c r="N99" i="261"/>
  <c r="E19" i="848" s="1"/>
  <c r="I16" i="562"/>
  <c r="I16" i="569"/>
  <c r="O21" i="605"/>
  <c r="O22" i="605" s="1"/>
  <c r="Q72" i="261" s="1"/>
  <c r="E21" i="751" s="1"/>
  <c r="N72" i="261"/>
  <c r="E19" i="751" s="1"/>
  <c r="I18" i="259"/>
  <c r="X18" i="259"/>
  <c r="O30" i="796"/>
  <c r="O31" i="796" s="1"/>
  <c r="N94" i="261"/>
  <c r="E19" i="835" s="1"/>
  <c r="I21" i="259"/>
  <c r="X21" i="259"/>
  <c r="I33" i="259"/>
  <c r="X33" i="259"/>
  <c r="Y15" i="562"/>
  <c r="V15" i="567"/>
  <c r="V21" i="567"/>
  <c r="V15" i="568"/>
  <c r="I25" i="259"/>
  <c r="X25" i="259"/>
  <c r="R40" i="812"/>
  <c r="R41" i="812" s="1"/>
  <c r="N102" i="261"/>
  <c r="E19" i="851" s="1"/>
  <c r="I19" i="259"/>
  <c r="X19" i="259"/>
  <c r="I23" i="259"/>
  <c r="X23" i="259"/>
  <c r="I14" i="259"/>
  <c r="X14" i="259"/>
  <c r="I26" i="259"/>
  <c r="X26" i="259"/>
  <c r="O21" i="608"/>
  <c r="N76" i="261"/>
  <c r="E19" i="755" s="1"/>
  <c r="I22" i="567"/>
  <c r="R19" i="565"/>
  <c r="I16" i="567"/>
  <c r="I30" i="259"/>
  <c r="X30" i="259"/>
  <c r="O21" i="595"/>
  <c r="O22" i="595" s="1"/>
  <c r="N73" i="261"/>
  <c r="E19" i="752" s="1"/>
  <c r="I15" i="259"/>
  <c r="X15" i="259"/>
  <c r="I27" i="259"/>
  <c r="X27" i="259"/>
  <c r="I22" i="562"/>
  <c r="V18" i="567"/>
  <c r="V24" i="567"/>
  <c r="V18" i="568"/>
  <c r="O19" i="610"/>
  <c r="N78" i="261" s="1"/>
  <c r="E19" i="757" s="1"/>
  <c r="I32" i="259"/>
  <c r="X32" i="259"/>
  <c r="R42" i="791"/>
  <c r="R92" i="261" s="1"/>
  <c r="Q92" i="261"/>
  <c r="E21" i="830" s="1"/>
  <c r="I19" i="598"/>
  <c r="I21" i="598" s="1"/>
  <c r="I24" i="598" s="1"/>
  <c r="I25" i="598" s="1"/>
  <c r="I16" i="259"/>
  <c r="X16" i="259"/>
  <c r="I29" i="259"/>
  <c r="X29" i="259"/>
  <c r="I19" i="608"/>
  <c r="I21" i="608" s="1"/>
  <c r="R42" i="809"/>
  <c r="O45" i="813"/>
  <c r="O46" i="813" s="1"/>
  <c r="N103" i="261"/>
  <c r="E19" i="852" s="1"/>
  <c r="S21" i="612"/>
  <c r="Y15" i="569"/>
  <c r="O19" i="598"/>
  <c r="O21" i="607"/>
  <c r="O22" i="607" s="1"/>
  <c r="N75" i="261"/>
  <c r="E19" i="754" s="1"/>
  <c r="X59" i="630"/>
  <c r="X60" i="630" s="1"/>
  <c r="N84" i="261"/>
  <c r="E19" i="766" s="1"/>
  <c r="R51" i="791"/>
  <c r="C30" i="830" s="1"/>
  <c r="R17" i="621"/>
  <c r="V19" i="615"/>
  <c r="V17" i="615"/>
  <c r="R28" i="612"/>
  <c r="S27" i="612"/>
  <c r="S25" i="612"/>
  <c r="P16" i="610"/>
  <c r="P18" i="608"/>
  <c r="P16" i="607"/>
  <c r="R17" i="601"/>
  <c r="P14" i="601"/>
  <c r="P17" i="601"/>
  <c r="O18" i="601"/>
  <c r="O18" i="600"/>
  <c r="S16" i="573"/>
  <c r="R17" i="573"/>
  <c r="S17" i="573" s="1"/>
  <c r="R15" i="573"/>
  <c r="S14" i="573"/>
  <c r="Y18" i="569"/>
  <c r="Y17" i="569"/>
  <c r="X19" i="569"/>
  <c r="Y19" i="569" s="1"/>
  <c r="Y14" i="569"/>
  <c r="X16" i="569"/>
  <c r="Y16" i="569" s="1"/>
  <c r="V17" i="568"/>
  <c r="U19" i="568"/>
  <c r="V14" i="568"/>
  <c r="U16" i="568"/>
  <c r="V20" i="567"/>
  <c r="U22" i="567"/>
  <c r="V14" i="567"/>
  <c r="U16" i="567"/>
  <c r="V16" i="567" s="1"/>
  <c r="V17" i="567"/>
  <c r="U19" i="567"/>
  <c r="V19" i="567" s="1"/>
  <c r="V23" i="567"/>
  <c r="U25" i="567"/>
  <c r="V25" i="567" s="1"/>
  <c r="V17" i="565"/>
  <c r="U19" i="565"/>
  <c r="V19" i="565" s="1"/>
  <c r="V15" i="565"/>
  <c r="V14" i="565"/>
  <c r="U16" i="565"/>
  <c r="V18" i="565"/>
  <c r="X25" i="562"/>
  <c r="Y25" i="562" s="1"/>
  <c r="Y24" i="562"/>
  <c r="X19" i="562"/>
  <c r="Y19" i="562" s="1"/>
  <c r="Y18" i="562"/>
  <c r="Y26" i="562"/>
  <c r="X27" i="562"/>
  <c r="Y27" i="562" s="1"/>
  <c r="Y21" i="562"/>
  <c r="Y28" i="562"/>
  <c r="X29" i="562"/>
  <c r="Y29" i="562" s="1"/>
  <c r="X16" i="562"/>
  <c r="X22" i="562"/>
  <c r="Y22" i="562" s="1"/>
  <c r="R29" i="550"/>
  <c r="U22" i="596"/>
  <c r="U23" i="596" s="1"/>
  <c r="X22" i="596"/>
  <c r="U14" i="596"/>
  <c r="U15" i="596" s="1"/>
  <c r="X14" i="596"/>
  <c r="U16" i="596"/>
  <c r="U17" i="596" s="1"/>
  <c r="X16" i="596"/>
  <c r="U24" i="596"/>
  <c r="U25" i="596" s="1"/>
  <c r="X24" i="596"/>
  <c r="X19" i="596"/>
  <c r="U20" i="596"/>
  <c r="U21" i="596" s="1"/>
  <c r="X20" i="596"/>
  <c r="I24" i="455"/>
  <c r="AA24" i="455"/>
  <c r="I14" i="455"/>
  <c r="AA14" i="455"/>
  <c r="I26" i="455"/>
  <c r="AA26" i="455"/>
  <c r="I15" i="455"/>
  <c r="AA15" i="455"/>
  <c r="I28" i="455"/>
  <c r="AA28" i="455"/>
  <c r="I23" i="455"/>
  <c r="AA23" i="455"/>
  <c r="I17" i="455"/>
  <c r="AA17" i="455"/>
  <c r="I18" i="455"/>
  <c r="AA18" i="455"/>
  <c r="I20" i="455"/>
  <c r="AA20" i="455"/>
  <c r="I21" i="455"/>
  <c r="AA21" i="455"/>
  <c r="U16" i="562"/>
  <c r="O18" i="573"/>
  <c r="O20" i="573" s="1"/>
  <c r="O21" i="573" s="1"/>
  <c r="I23" i="570"/>
  <c r="U20" i="615"/>
  <c r="I20" i="569"/>
  <c r="I16" i="571"/>
  <c r="I21" i="571" s="1"/>
  <c r="V22" i="570"/>
  <c r="V28" i="562"/>
  <c r="U29" i="562"/>
  <c r="I21" i="569"/>
  <c r="V15" i="570"/>
  <c r="V18" i="570"/>
  <c r="I24" i="606"/>
  <c r="I25" i="606" s="1"/>
  <c r="I24" i="599"/>
  <c r="I25" i="599" s="1"/>
  <c r="I30" i="562"/>
  <c r="I24" i="610"/>
  <c r="I25" i="610" s="1"/>
  <c r="O21" i="606"/>
  <c r="O22" i="606" s="1"/>
  <c r="Q74" i="261" s="1"/>
  <c r="E21" i="753" s="1"/>
  <c r="R19" i="568"/>
  <c r="R20" i="568" s="1"/>
  <c r="I16" i="565"/>
  <c r="I17" i="570"/>
  <c r="R27" i="550"/>
  <c r="O21" i="604"/>
  <c r="O22" i="604" s="1"/>
  <c r="O23" i="604" s="1"/>
  <c r="O24" i="604" s="1"/>
  <c r="I19" i="602"/>
  <c r="I21" i="602" s="1"/>
  <c r="I24" i="602" s="1"/>
  <c r="I25" i="602" s="1"/>
  <c r="R19" i="566"/>
  <c r="U27" i="562"/>
  <c r="I31" i="562"/>
  <c r="U57" i="630"/>
  <c r="O18" i="599"/>
  <c r="I16" i="566"/>
  <c r="I21" i="566" s="1"/>
  <c r="V23" i="562"/>
  <c r="U25" i="562"/>
  <c r="P17" i="602"/>
  <c r="I18" i="573"/>
  <c r="I20" i="573" s="1"/>
  <c r="V16" i="570"/>
  <c r="I24" i="608"/>
  <c r="I25" i="608" s="1"/>
  <c r="V17" i="562"/>
  <c r="U19" i="562"/>
  <c r="R43" i="791"/>
  <c r="O20" i="777"/>
  <c r="Q90" i="261" s="1"/>
  <c r="E21" i="856" s="1"/>
  <c r="I38" i="620"/>
  <c r="I39" i="620" s="1"/>
  <c r="O22" i="608"/>
  <c r="Q76" i="261" s="1"/>
  <c r="E21" i="755" s="1"/>
  <c r="O19" i="603"/>
  <c r="O19" i="600"/>
  <c r="U24" i="570"/>
  <c r="I16" i="568"/>
  <c r="R20" i="566"/>
  <c r="R20" i="565"/>
  <c r="R29" i="548"/>
  <c r="I15" i="550"/>
  <c r="S15" i="550" s="1"/>
  <c r="I24" i="548"/>
  <c r="S24" i="548" s="1"/>
  <c r="I24" i="596"/>
  <c r="R14" i="550"/>
  <c r="S14" i="550" s="1"/>
  <c r="I14" i="461"/>
  <c r="I22" i="550"/>
  <c r="S22" i="550" s="1"/>
  <c r="R16" i="550"/>
  <c r="S16" i="550" s="1"/>
  <c r="I15" i="461"/>
  <c r="I19" i="550"/>
  <c r="S19" i="550" s="1"/>
  <c r="I28" i="550"/>
  <c r="I29" i="550" s="1"/>
  <c r="R21" i="550"/>
  <c r="I18" i="548"/>
  <c r="S18" i="548" s="1"/>
  <c r="I16" i="596"/>
  <c r="R14" i="548"/>
  <c r="I14" i="548"/>
  <c r="R20" i="548"/>
  <c r="R22" i="548" s="1"/>
  <c r="I20" i="548"/>
  <c r="R25" i="548"/>
  <c r="I25" i="548"/>
  <c r="U18" i="596"/>
  <c r="I18" i="596"/>
  <c r="Y18" i="596" s="1"/>
  <c r="I18" i="550"/>
  <c r="R18" i="550"/>
  <c r="R20" i="550" s="1"/>
  <c r="I23" i="550"/>
  <c r="I15" i="548"/>
  <c r="I21" i="548"/>
  <c r="S21" i="548" s="1"/>
  <c r="I27" i="548"/>
  <c r="I16" i="461"/>
  <c r="I20" i="596"/>
  <c r="I25" i="550"/>
  <c r="I16" i="548"/>
  <c r="I23" i="548"/>
  <c r="I28" i="548"/>
  <c r="S28" i="548" s="1"/>
  <c r="I14" i="596"/>
  <c r="I22" i="596"/>
  <c r="I26" i="550"/>
  <c r="S26" i="550" s="1"/>
  <c r="R19" i="548"/>
  <c r="R17" i="548"/>
  <c r="O17" i="461"/>
  <c r="AB24" i="455" l="1"/>
  <c r="P16" i="601"/>
  <c r="R18" i="573"/>
  <c r="N67" i="261" s="1"/>
  <c r="E19" i="738" s="1"/>
  <c r="Y30" i="259"/>
  <c r="I17" i="550"/>
  <c r="I26" i="567"/>
  <c r="I21" i="568"/>
  <c r="V22" i="567"/>
  <c r="I27" i="567"/>
  <c r="O21" i="610"/>
  <c r="O22" i="610" s="1"/>
  <c r="V19" i="568"/>
  <c r="I25" i="570"/>
  <c r="Y27" i="259"/>
  <c r="Y15" i="259"/>
  <c r="Y19" i="259"/>
  <c r="Y26" i="259"/>
  <c r="O47" i="813"/>
  <c r="Q103" i="261"/>
  <c r="E21" i="852" s="1"/>
  <c r="X22" i="259"/>
  <c r="Y21" i="259"/>
  <c r="R24" i="550"/>
  <c r="S21" i="550"/>
  <c r="U20" i="568"/>
  <c r="R51" i="809"/>
  <c r="R99" i="261"/>
  <c r="R43" i="809"/>
  <c r="Y25" i="259"/>
  <c r="X28" i="259"/>
  <c r="U26" i="570"/>
  <c r="U27" i="570" s="1"/>
  <c r="Q65" i="261" s="1"/>
  <c r="E21" i="736" s="1"/>
  <c r="N65" i="261"/>
  <c r="E19" i="736" s="1"/>
  <c r="O23" i="607"/>
  <c r="O24" i="607" s="1"/>
  <c r="Q75" i="261"/>
  <c r="E21" i="754" s="1"/>
  <c r="R26" i="548"/>
  <c r="S25" i="548"/>
  <c r="U22" i="615"/>
  <c r="U23" i="615" s="1"/>
  <c r="Q81" i="261" s="1"/>
  <c r="E21" i="761" s="1"/>
  <c r="N81" i="261"/>
  <c r="E19" i="761" s="1"/>
  <c r="AB18" i="455"/>
  <c r="AB15" i="455"/>
  <c r="R30" i="612"/>
  <c r="N80" i="261"/>
  <c r="E19" i="759" s="1"/>
  <c r="G10" i="830"/>
  <c r="E22" i="830"/>
  <c r="O21" i="600"/>
  <c r="O22" i="600" s="1"/>
  <c r="Q69" i="261" s="1"/>
  <c r="E21" i="746" s="1"/>
  <c r="N69" i="261"/>
  <c r="E19" i="746" s="1"/>
  <c r="X34" i="259"/>
  <c r="O32" i="796"/>
  <c r="Q94" i="261"/>
  <c r="E21" i="835" s="1"/>
  <c r="R19" i="621"/>
  <c r="R20" i="621" s="1"/>
  <c r="N85" i="261"/>
  <c r="E19" i="767" s="1"/>
  <c r="R31" i="548"/>
  <c r="P51" i="261" s="1"/>
  <c r="E20" i="710" s="1"/>
  <c r="I24" i="550"/>
  <c r="R44" i="791"/>
  <c r="T92" i="261" s="1"/>
  <c r="E24" i="830" s="1"/>
  <c r="S92" i="261"/>
  <c r="E23" i="830" s="1"/>
  <c r="V16" i="565"/>
  <c r="O23" i="610"/>
  <c r="R78" i="261" s="1"/>
  <c r="Q78" i="261"/>
  <c r="E21" i="757" s="1"/>
  <c r="O21" i="598"/>
  <c r="O22" i="598" s="1"/>
  <c r="Q68" i="261" s="1"/>
  <c r="N68" i="261"/>
  <c r="X31" i="259"/>
  <c r="X17" i="259"/>
  <c r="X20" i="259"/>
  <c r="O21" i="603"/>
  <c r="O22" i="603" s="1"/>
  <c r="Q71" i="261" s="1"/>
  <c r="E21" i="749" s="1"/>
  <c r="N71" i="261"/>
  <c r="E19" i="749" s="1"/>
  <c r="X20" i="569"/>
  <c r="S28" i="550"/>
  <c r="S23" i="550"/>
  <c r="Y33" i="259"/>
  <c r="O23" i="595"/>
  <c r="O24" i="595" s="1"/>
  <c r="Q73" i="261"/>
  <c r="E21" i="752" s="1"/>
  <c r="X61" i="630"/>
  <c r="X62" i="630" s="1"/>
  <c r="Q84" i="261"/>
  <c r="E21" i="766" s="1"/>
  <c r="X24" i="259"/>
  <c r="Y23" i="259"/>
  <c r="R42" i="812"/>
  <c r="Q102" i="261"/>
  <c r="E21" i="851" s="1"/>
  <c r="O21" i="777"/>
  <c r="O24" i="610"/>
  <c r="O30" i="610"/>
  <c r="O23" i="608"/>
  <c r="O29" i="608" s="1"/>
  <c r="C29" i="755" s="1"/>
  <c r="P23" i="607"/>
  <c r="O23" i="605"/>
  <c r="O24" i="605" s="1"/>
  <c r="P18" i="601"/>
  <c r="O19" i="601"/>
  <c r="S15" i="573"/>
  <c r="R19" i="573"/>
  <c r="R20" i="573" s="1"/>
  <c r="V16" i="568"/>
  <c r="U26" i="567"/>
  <c r="U20" i="565"/>
  <c r="X30" i="562"/>
  <c r="N58" i="261" s="1"/>
  <c r="E19" i="728" s="1"/>
  <c r="Y16" i="562"/>
  <c r="X31" i="562"/>
  <c r="S29" i="550"/>
  <c r="X25" i="596"/>
  <c r="Y24" i="596"/>
  <c r="X17" i="596"/>
  <c r="Y16" i="596"/>
  <c r="Y20" i="596"/>
  <c r="X21" i="596"/>
  <c r="Y14" i="596"/>
  <c r="X15" i="596"/>
  <c r="Y22" i="596"/>
  <c r="X23" i="596"/>
  <c r="AA25" i="455"/>
  <c r="AA19" i="455"/>
  <c r="AA27" i="455"/>
  <c r="AB26" i="455"/>
  <c r="AB21" i="455"/>
  <c r="AA16" i="455"/>
  <c r="AA22" i="455"/>
  <c r="AB28" i="455"/>
  <c r="AA29" i="455"/>
  <c r="I22" i="569"/>
  <c r="I25" i="569" s="1"/>
  <c r="I26" i="569" s="1"/>
  <c r="U30" i="562"/>
  <c r="I20" i="571"/>
  <c r="I22" i="571" s="1"/>
  <c r="R17" i="550"/>
  <c r="S17" i="550" s="1"/>
  <c r="I20" i="550"/>
  <c r="S20" i="550" s="1"/>
  <c r="R22" i="566"/>
  <c r="R23" i="566" s="1"/>
  <c r="N61" i="261"/>
  <c r="E19" i="732" s="1"/>
  <c r="I20" i="566"/>
  <c r="I22" i="566" s="1"/>
  <c r="I25" i="566" s="1"/>
  <c r="I26" i="566" s="1"/>
  <c r="U19" i="596"/>
  <c r="U26" i="596" s="1"/>
  <c r="O22" i="573"/>
  <c r="I21" i="565"/>
  <c r="I20" i="565"/>
  <c r="O23" i="606"/>
  <c r="R74" i="261" s="1"/>
  <c r="U59" i="630"/>
  <c r="I24" i="570"/>
  <c r="I26" i="570" s="1"/>
  <c r="I32" i="562"/>
  <c r="I35" i="562" s="1"/>
  <c r="I36" i="562" s="1"/>
  <c r="O25" i="604"/>
  <c r="U31" i="562"/>
  <c r="I23" i="573"/>
  <c r="I24" i="573" s="1"/>
  <c r="O30" i="604"/>
  <c r="O22" i="777"/>
  <c r="I20" i="568"/>
  <c r="I22" i="568" s="1"/>
  <c r="I27" i="550"/>
  <c r="S27" i="550" s="1"/>
  <c r="R30" i="548"/>
  <c r="N51" i="261" s="1"/>
  <c r="E19" i="710" s="1"/>
  <c r="O18" i="461"/>
  <c r="I28" i="567" l="1"/>
  <c r="I31" i="567" s="1"/>
  <c r="I32" i="567" s="1"/>
  <c r="U24" i="615"/>
  <c r="U25" i="615" s="1"/>
  <c r="O23" i="603"/>
  <c r="O24" i="608"/>
  <c r="O25" i="608" s="1"/>
  <c r="T76" i="261" s="1"/>
  <c r="E24" i="755" s="1"/>
  <c r="O23" i="600"/>
  <c r="O24" i="600" s="1"/>
  <c r="S69" i="261" s="1"/>
  <c r="E23" i="746" s="1"/>
  <c r="R30" i="550"/>
  <c r="O23" i="777"/>
  <c r="T90" i="261" s="1"/>
  <c r="E24" i="856" s="1"/>
  <c r="S90" i="261"/>
  <c r="E23" i="856" s="1"/>
  <c r="R76" i="261"/>
  <c r="R90" i="261"/>
  <c r="X32" i="562"/>
  <c r="X33" i="562" s="1"/>
  <c r="Q58" i="261" s="1"/>
  <c r="E21" i="728" s="1"/>
  <c r="P58" i="261"/>
  <c r="E20" i="728" s="1"/>
  <c r="C29" i="757"/>
  <c r="O29" i="595"/>
  <c r="C29" i="752" s="1"/>
  <c r="R73" i="261"/>
  <c r="G10" i="757"/>
  <c r="E22" i="757"/>
  <c r="S24" i="550"/>
  <c r="S76" i="261"/>
  <c r="E23" i="755" s="1"/>
  <c r="O30" i="603"/>
  <c r="R71" i="261"/>
  <c r="O25" i="610"/>
  <c r="T78" i="261" s="1"/>
  <c r="E24" i="757" s="1"/>
  <c r="S78" i="261"/>
  <c r="E23" i="757" s="1"/>
  <c r="R52" i="812"/>
  <c r="R102" i="261"/>
  <c r="R43" i="812"/>
  <c r="R44" i="809"/>
  <c r="T99" i="261" s="1"/>
  <c r="E24" i="848" s="1"/>
  <c r="S99" i="261"/>
  <c r="E23" i="848" s="1"/>
  <c r="I30" i="550"/>
  <c r="I32" i="550" s="1"/>
  <c r="I35" i="550" s="1"/>
  <c r="I36" i="550" s="1"/>
  <c r="U26" i="615"/>
  <c r="T81" i="261" s="1"/>
  <c r="E24" i="761" s="1"/>
  <c r="S81" i="261"/>
  <c r="E23" i="761" s="1"/>
  <c r="X35" i="259"/>
  <c r="R21" i="621"/>
  <c r="Q85" i="261"/>
  <c r="E21" i="767" s="1"/>
  <c r="G10" i="848"/>
  <c r="E22" i="848"/>
  <c r="U22" i="568"/>
  <c r="U23" i="568" s="1"/>
  <c r="N63" i="261"/>
  <c r="E19" i="734" s="1"/>
  <c r="O20" i="461"/>
  <c r="O21" i="461" s="1"/>
  <c r="Q52" i="261" s="1"/>
  <c r="E21" i="711" s="1"/>
  <c r="N52" i="261"/>
  <c r="E19" i="711" s="1"/>
  <c r="U22" i="565"/>
  <c r="U23" i="565" s="1"/>
  <c r="N60" i="261"/>
  <c r="E19" i="731" s="1"/>
  <c r="O23" i="598"/>
  <c r="O30" i="598" s="1"/>
  <c r="C29" i="744" s="1"/>
  <c r="O29" i="605"/>
  <c r="C29" i="751" s="1"/>
  <c r="R72" i="261"/>
  <c r="U33" i="615"/>
  <c r="C31" i="761" s="1"/>
  <c r="R81" i="261"/>
  <c r="C30" i="848"/>
  <c r="E21" i="740"/>
  <c r="E21" i="744"/>
  <c r="G10" i="753"/>
  <c r="E22" i="753"/>
  <c r="O25" i="605"/>
  <c r="T72" i="261" s="1"/>
  <c r="E24" i="751" s="1"/>
  <c r="S72" i="261"/>
  <c r="E23" i="751" s="1"/>
  <c r="U28" i="567"/>
  <c r="U29" i="567" s="1"/>
  <c r="Q62" i="261" s="1"/>
  <c r="E21" i="733" s="1"/>
  <c r="N62" i="261"/>
  <c r="E19" i="733" s="1"/>
  <c r="O25" i="607"/>
  <c r="T75" i="261" s="1"/>
  <c r="E24" i="754" s="1"/>
  <c r="S75" i="261"/>
  <c r="E23" i="754" s="1"/>
  <c r="X63" i="630"/>
  <c r="T84" i="261" s="1"/>
  <c r="E24" i="766" s="1"/>
  <c r="S84" i="261"/>
  <c r="E23" i="766" s="1"/>
  <c r="R94" i="261"/>
  <c r="O33" i="796"/>
  <c r="O40" i="796"/>
  <c r="R31" i="612"/>
  <c r="Q80" i="261" s="1"/>
  <c r="E21" i="759" s="1"/>
  <c r="O30" i="607"/>
  <c r="R75" i="261"/>
  <c r="R32" i="550"/>
  <c r="R33" i="550" s="1"/>
  <c r="Q54" i="261" s="1"/>
  <c r="E21" i="714" s="1"/>
  <c r="N54" i="261"/>
  <c r="E19" i="714" s="1"/>
  <c r="O21" i="601"/>
  <c r="O22" i="601" s="1"/>
  <c r="N70" i="261"/>
  <c r="E19" i="747" s="1"/>
  <c r="O25" i="595"/>
  <c r="T73" i="261" s="1"/>
  <c r="E24" i="752" s="1"/>
  <c r="S73" i="261"/>
  <c r="E23" i="752" s="1"/>
  <c r="O28" i="777"/>
  <c r="C29" i="856" s="1"/>
  <c r="O30" i="600"/>
  <c r="C29" i="746" s="1"/>
  <c r="R69" i="261"/>
  <c r="P30" i="607"/>
  <c r="O75" i="261"/>
  <c r="X71" i="630"/>
  <c r="R84" i="261"/>
  <c r="X22" i="569"/>
  <c r="X23" i="569" s="1"/>
  <c r="N64" i="261"/>
  <c r="E19" i="735" s="1"/>
  <c r="E19" i="744"/>
  <c r="E19" i="740"/>
  <c r="O55" i="813"/>
  <c r="R103" i="261"/>
  <c r="O48" i="813"/>
  <c r="O24" i="603"/>
  <c r="R21" i="573"/>
  <c r="O29" i="573"/>
  <c r="R29" i="573"/>
  <c r="C29" i="738" s="1"/>
  <c r="U28" i="570"/>
  <c r="R65" i="261" s="1"/>
  <c r="X26" i="596"/>
  <c r="R32" i="548"/>
  <c r="R33" i="548" s="1"/>
  <c r="Q51" i="261" s="1"/>
  <c r="E21" i="710" s="1"/>
  <c r="AA30" i="455"/>
  <c r="N50" i="261" s="1"/>
  <c r="E19" i="703" s="1"/>
  <c r="U32" i="562"/>
  <c r="U33" i="562" s="1"/>
  <c r="R24" i="566"/>
  <c r="R25" i="566" s="1"/>
  <c r="Q61" i="261"/>
  <c r="E21" i="732" s="1"/>
  <c r="O23" i="573"/>
  <c r="O24" i="573" s="1"/>
  <c r="I22" i="565"/>
  <c r="I25" i="565" s="1"/>
  <c r="I26" i="565" s="1"/>
  <c r="I25" i="571"/>
  <c r="I26" i="571" s="1"/>
  <c r="U60" i="630"/>
  <c r="U28" i="596"/>
  <c r="U29" i="596" s="1"/>
  <c r="I29" i="570"/>
  <c r="I30" i="570" s="1"/>
  <c r="O30" i="606"/>
  <c r="C29" i="753" s="1"/>
  <c r="O24" i="606"/>
  <c r="S74" i="261" s="1"/>
  <c r="E23" i="753" s="1"/>
  <c r="I25" i="568"/>
  <c r="I26" i="568" s="1"/>
  <c r="O25" i="600" l="1"/>
  <c r="T69" i="261" s="1"/>
  <c r="E24" i="746" s="1"/>
  <c r="U30" i="567"/>
  <c r="U31" i="567" s="1"/>
  <c r="U32" i="567" s="1"/>
  <c r="T62" i="261" s="1"/>
  <c r="E24" i="733" s="1"/>
  <c r="S62" i="261"/>
  <c r="E23" i="733" s="1"/>
  <c r="G10" i="852"/>
  <c r="E22" i="852"/>
  <c r="C29" i="852"/>
  <c r="O23" i="601"/>
  <c r="Q70" i="261"/>
  <c r="E21" i="747" s="1"/>
  <c r="O34" i="796"/>
  <c r="T94" i="261" s="1"/>
  <c r="E24" i="835" s="1"/>
  <c r="S94" i="261"/>
  <c r="E23" i="835" s="1"/>
  <c r="R68" i="261"/>
  <c r="O24" i="598"/>
  <c r="C30" i="851"/>
  <c r="C29" i="835"/>
  <c r="N42" i="261"/>
  <c r="E19" i="681" s="1"/>
  <c r="X37" i="259"/>
  <c r="O23" i="461"/>
  <c r="X34" i="562"/>
  <c r="E29" i="754"/>
  <c r="E22" i="835"/>
  <c r="G10" i="835"/>
  <c r="U24" i="568"/>
  <c r="Q63" i="261"/>
  <c r="E21" i="734" s="1"/>
  <c r="C32" i="766"/>
  <c r="G10" i="746"/>
  <c r="E22" i="746"/>
  <c r="U24" i="565"/>
  <c r="Q60" i="261"/>
  <c r="E21" i="731" s="1"/>
  <c r="E22" i="752"/>
  <c r="G10" i="752"/>
  <c r="G10" i="856"/>
  <c r="E22" i="856"/>
  <c r="E22" i="851"/>
  <c r="G10" i="851"/>
  <c r="R34" i="548"/>
  <c r="R51" i="261" s="1"/>
  <c r="G10" i="754"/>
  <c r="E22" i="754"/>
  <c r="E22" i="749"/>
  <c r="G10" i="749"/>
  <c r="E22" i="755"/>
  <c r="G10" i="755"/>
  <c r="X28" i="596"/>
  <c r="X29" i="596" s="1"/>
  <c r="N53" i="261"/>
  <c r="E19" i="712" s="1"/>
  <c r="R22" i="573"/>
  <c r="R23" i="573" s="1"/>
  <c r="Q67" i="261"/>
  <c r="E21" i="738" s="1"/>
  <c r="C29" i="754"/>
  <c r="G10" i="761"/>
  <c r="E22" i="761"/>
  <c r="C29" i="749"/>
  <c r="U29" i="570"/>
  <c r="U38" i="567"/>
  <c r="R62" i="261"/>
  <c r="O25" i="603"/>
  <c r="T71" i="261" s="1"/>
  <c r="E24" i="749" s="1"/>
  <c r="S71" i="261"/>
  <c r="E23" i="749" s="1"/>
  <c r="X24" i="569"/>
  <c r="Q64" i="261"/>
  <c r="E21" i="735" s="1"/>
  <c r="R32" i="612"/>
  <c r="O22" i="461"/>
  <c r="E22" i="736"/>
  <c r="G10" i="736"/>
  <c r="O49" i="813"/>
  <c r="T103" i="261" s="1"/>
  <c r="E24" i="852" s="1"/>
  <c r="S103" i="261"/>
  <c r="E23" i="852" s="1"/>
  <c r="G10" i="766"/>
  <c r="E22" i="766"/>
  <c r="G10" i="751"/>
  <c r="E22" i="751"/>
  <c r="R29" i="621"/>
  <c r="R85" i="261"/>
  <c r="R22" i="621"/>
  <c r="R44" i="812"/>
  <c r="T102" i="261" s="1"/>
  <c r="E24" i="851" s="1"/>
  <c r="S102" i="261"/>
  <c r="E23" i="851" s="1"/>
  <c r="U37" i="570"/>
  <c r="C31" i="736" s="1"/>
  <c r="X35" i="562"/>
  <c r="X43" i="562"/>
  <c r="R34" i="550"/>
  <c r="R26" i="566"/>
  <c r="T61" i="261" s="1"/>
  <c r="E24" i="732" s="1"/>
  <c r="S61" i="261"/>
  <c r="E23" i="732" s="1"/>
  <c r="U34" i="562"/>
  <c r="R32" i="566"/>
  <c r="C30" i="732" s="1"/>
  <c r="R61" i="261"/>
  <c r="O25" i="606"/>
  <c r="T74" i="261" s="1"/>
  <c r="E24" i="753" s="1"/>
  <c r="U61" i="630"/>
  <c r="X70" i="630" s="1"/>
  <c r="C31" i="766" s="1"/>
  <c r="U30" i="596"/>
  <c r="X39" i="596" s="1"/>
  <c r="C31" i="712" s="1"/>
  <c r="R35" i="548" l="1"/>
  <c r="X34" i="569"/>
  <c r="R64" i="261"/>
  <c r="X25" i="569"/>
  <c r="X30" i="596"/>
  <c r="Q53" i="261"/>
  <c r="E21" i="712" s="1"/>
  <c r="O29" i="601"/>
  <c r="R70" i="261"/>
  <c r="O24" i="601"/>
  <c r="U35" i="562"/>
  <c r="X42" i="562"/>
  <c r="C31" i="728" s="1"/>
  <c r="R58" i="261"/>
  <c r="U32" i="565"/>
  <c r="R60" i="261"/>
  <c r="U25" i="565"/>
  <c r="R42" i="550"/>
  <c r="C30" i="714" s="1"/>
  <c r="R54" i="261"/>
  <c r="G10" i="767"/>
  <c r="E22" i="767"/>
  <c r="R35" i="550"/>
  <c r="X36" i="562"/>
  <c r="T58" i="261" s="1"/>
  <c r="E24" i="728" s="1"/>
  <c r="S58" i="261"/>
  <c r="E23" i="728" s="1"/>
  <c r="C30" i="767"/>
  <c r="E22" i="733"/>
  <c r="G10" i="733"/>
  <c r="O24" i="461"/>
  <c r="T52" i="261" s="1"/>
  <c r="E24" i="711" s="1"/>
  <c r="S52" i="261"/>
  <c r="E23" i="711" s="1"/>
  <c r="O25" i="598"/>
  <c r="T68" i="261" s="1"/>
  <c r="S68" i="261"/>
  <c r="R42" i="548"/>
  <c r="R52" i="261"/>
  <c r="O29" i="461"/>
  <c r="C29" i="711" s="1"/>
  <c r="C31" i="733"/>
  <c r="X38" i="259"/>
  <c r="Q42" i="261" s="1"/>
  <c r="E21" i="681" s="1"/>
  <c r="G10" i="744"/>
  <c r="G10" i="740"/>
  <c r="E22" i="744"/>
  <c r="E22" i="740"/>
  <c r="G10" i="710"/>
  <c r="E22" i="710"/>
  <c r="R23" i="621"/>
  <c r="T85" i="261" s="1"/>
  <c r="E24" i="767" s="1"/>
  <c r="S85" i="261"/>
  <c r="E23" i="767" s="1"/>
  <c r="C32" i="728"/>
  <c r="U30" i="570"/>
  <c r="T65" i="261" s="1"/>
  <c r="E24" i="736" s="1"/>
  <c r="S65" i="261"/>
  <c r="E23" i="736" s="1"/>
  <c r="U33" i="568"/>
  <c r="R63" i="261"/>
  <c r="U25" i="568"/>
  <c r="R36" i="548"/>
  <c r="T51" i="261" s="1"/>
  <c r="E24" i="710" s="1"/>
  <c r="S51" i="261"/>
  <c r="E23" i="710" s="1"/>
  <c r="R24" i="573"/>
  <c r="T67" i="261" s="1"/>
  <c r="E24" i="738" s="1"/>
  <c r="S67" i="261"/>
  <c r="E23" i="738" s="1"/>
  <c r="R80" i="261"/>
  <c r="R40" i="612"/>
  <c r="C30" i="759" s="1"/>
  <c r="R33" i="612"/>
  <c r="R30" i="573"/>
  <c r="R67" i="261"/>
  <c r="G10" i="732"/>
  <c r="E22" i="732"/>
  <c r="U70" i="630"/>
  <c r="U36" i="562"/>
  <c r="U42" i="562"/>
  <c r="U39" i="596"/>
  <c r="U31" i="596"/>
  <c r="U62" i="630"/>
  <c r="Q14" i="540"/>
  <c r="G14" i="540"/>
  <c r="Q19" i="400"/>
  <c r="G51" i="400"/>
  <c r="G50" i="400"/>
  <c r="G48" i="400"/>
  <c r="G47" i="400"/>
  <c r="G46" i="400"/>
  <c r="G44" i="400"/>
  <c r="G43" i="400"/>
  <c r="G41" i="400"/>
  <c r="G40" i="400"/>
  <c r="G39" i="400"/>
  <c r="G37" i="400"/>
  <c r="G36" i="400"/>
  <c r="G34" i="400"/>
  <c r="G33" i="400"/>
  <c r="G32" i="400"/>
  <c r="G30" i="400"/>
  <c r="G29" i="400"/>
  <c r="G27" i="400"/>
  <c r="G26" i="400"/>
  <c r="G25" i="400"/>
  <c r="G23" i="400"/>
  <c r="G22" i="400"/>
  <c r="G20" i="400"/>
  <c r="G19" i="400"/>
  <c r="G18" i="400"/>
  <c r="G16" i="400"/>
  <c r="G15" i="400"/>
  <c r="G14" i="400"/>
  <c r="U26" i="568" l="1"/>
  <c r="T63" i="261" s="1"/>
  <c r="E24" i="734" s="1"/>
  <c r="S63" i="261"/>
  <c r="E23" i="734" s="1"/>
  <c r="X39" i="259"/>
  <c r="E23" i="744"/>
  <c r="E23" i="740"/>
  <c r="E22" i="731"/>
  <c r="G10" i="731"/>
  <c r="C29" i="747"/>
  <c r="C30" i="738"/>
  <c r="U26" i="565"/>
  <c r="T60" i="261" s="1"/>
  <c r="E24" i="731" s="1"/>
  <c r="S60" i="261"/>
  <c r="E23" i="731" s="1"/>
  <c r="R34" i="612"/>
  <c r="T80" i="261" s="1"/>
  <c r="E24" i="759" s="1"/>
  <c r="S80" i="261"/>
  <c r="E23" i="759" s="1"/>
  <c r="E22" i="734"/>
  <c r="G10" i="734"/>
  <c r="E24" i="740"/>
  <c r="E24" i="744"/>
  <c r="C31" i="731"/>
  <c r="C30" i="710"/>
  <c r="C31" i="734"/>
  <c r="R36" i="550"/>
  <c r="T54" i="261" s="1"/>
  <c r="E24" i="714" s="1"/>
  <c r="S54" i="261"/>
  <c r="E23" i="714" s="1"/>
  <c r="E22" i="728"/>
  <c r="G10" i="728"/>
  <c r="G10" i="747"/>
  <c r="E22" i="747"/>
  <c r="E22" i="759"/>
  <c r="G10" i="759"/>
  <c r="X40" i="596"/>
  <c r="R53" i="261"/>
  <c r="X31" i="596"/>
  <c r="X26" i="569"/>
  <c r="T64" i="261" s="1"/>
  <c r="E24" i="735" s="1"/>
  <c r="S64" i="261"/>
  <c r="E23" i="735" s="1"/>
  <c r="E22" i="711"/>
  <c r="G10" i="711"/>
  <c r="G10" i="714"/>
  <c r="E22" i="714"/>
  <c r="G10" i="735"/>
  <c r="E22" i="735"/>
  <c r="E22" i="738"/>
  <c r="G10" i="738"/>
  <c r="O25" i="601"/>
  <c r="T70" i="261" s="1"/>
  <c r="E24" i="747" s="1"/>
  <c r="S70" i="261"/>
  <c r="E23" i="747" s="1"/>
  <c r="C32" i="735"/>
  <c r="U63" i="630"/>
  <c r="U32" i="596"/>
  <c r="O18" i="400"/>
  <c r="I18" i="400"/>
  <c r="O14" i="400"/>
  <c r="I14" i="400"/>
  <c r="O19" i="400"/>
  <c r="I19" i="400"/>
  <c r="O25" i="400"/>
  <c r="I25" i="400"/>
  <c r="O30" i="400"/>
  <c r="I30" i="400"/>
  <c r="O36" i="400"/>
  <c r="I36" i="400"/>
  <c r="O41" i="400"/>
  <c r="I41" i="400"/>
  <c r="O47" i="400"/>
  <c r="I47" i="400"/>
  <c r="O15" i="400"/>
  <c r="I15" i="400"/>
  <c r="O20" i="400"/>
  <c r="I20" i="400"/>
  <c r="O26" i="400"/>
  <c r="I26" i="400"/>
  <c r="O32" i="400"/>
  <c r="I32" i="400"/>
  <c r="O37" i="400"/>
  <c r="I37" i="400"/>
  <c r="O43" i="400"/>
  <c r="I43" i="400"/>
  <c r="O48" i="400"/>
  <c r="I48" i="400"/>
  <c r="O14" i="540"/>
  <c r="O15" i="540" s="1"/>
  <c r="O16" i="540" s="1"/>
  <c r="N48" i="261" s="1"/>
  <c r="E19" i="695" s="1"/>
  <c r="I14" i="540"/>
  <c r="O16" i="400"/>
  <c r="I16" i="400"/>
  <c r="O22" i="400"/>
  <c r="I22" i="400"/>
  <c r="O27" i="400"/>
  <c r="I27" i="400"/>
  <c r="O33" i="400"/>
  <c r="I33" i="400"/>
  <c r="O39" i="400"/>
  <c r="I39" i="400"/>
  <c r="O44" i="400"/>
  <c r="I44" i="400"/>
  <c r="O50" i="400"/>
  <c r="I50" i="400"/>
  <c r="O23" i="400"/>
  <c r="I23" i="400"/>
  <c r="O29" i="400"/>
  <c r="I29" i="400"/>
  <c r="O34" i="400"/>
  <c r="I34" i="400"/>
  <c r="O40" i="400"/>
  <c r="I40" i="400"/>
  <c r="O46" i="400"/>
  <c r="I46" i="400"/>
  <c r="I49" i="400" s="1"/>
  <c r="O51" i="400"/>
  <c r="I51" i="400"/>
  <c r="X32" i="596" l="1"/>
  <c r="T53" i="261" s="1"/>
  <c r="E24" i="712" s="1"/>
  <c r="S53" i="261"/>
  <c r="E23" i="712" s="1"/>
  <c r="G10" i="712"/>
  <c r="E22" i="712"/>
  <c r="R42" i="261"/>
  <c r="X50" i="259"/>
  <c r="X40" i="259"/>
  <c r="C32" i="712"/>
  <c r="O18" i="540"/>
  <c r="G10" i="681" l="1"/>
  <c r="E22" i="681"/>
  <c r="C32" i="681"/>
  <c r="X41" i="259"/>
  <c r="T42" i="261" s="1"/>
  <c r="E24" i="681" s="1"/>
  <c r="S42" i="261"/>
  <c r="E23" i="681" s="1"/>
  <c r="O19" i="540"/>
  <c r="O20" i="540" l="1"/>
  <c r="O27" i="540" s="1"/>
  <c r="C29" i="695" s="1"/>
  <c r="Q48" i="261"/>
  <c r="E21" i="695" s="1"/>
  <c r="O21" i="540" l="1"/>
  <c r="O22" i="540" s="1"/>
  <c r="T48" i="261" s="1"/>
  <c r="E24" i="695" s="1"/>
  <c r="R48" i="261"/>
  <c r="Q14" i="447"/>
  <c r="G44" i="447"/>
  <c r="G43" i="447"/>
  <c r="G41" i="447"/>
  <c r="G40" i="447"/>
  <c r="G39" i="447"/>
  <c r="G37" i="447"/>
  <c r="G36" i="447"/>
  <c r="G34" i="447"/>
  <c r="G33" i="447"/>
  <c r="G32" i="447"/>
  <c r="G30" i="447"/>
  <c r="G29" i="447"/>
  <c r="G27" i="447"/>
  <c r="G26" i="447"/>
  <c r="G25" i="447"/>
  <c r="G23" i="447"/>
  <c r="G22" i="447"/>
  <c r="G20" i="447"/>
  <c r="G19" i="447"/>
  <c r="G18" i="447"/>
  <c r="G15" i="447"/>
  <c r="G16" i="447"/>
  <c r="G14" i="447"/>
  <c r="S48" i="261" l="1"/>
  <c r="E23" i="695" s="1"/>
  <c r="G10" i="695"/>
  <c r="E22" i="695"/>
  <c r="O22" i="447"/>
  <c r="I22" i="447"/>
  <c r="O33" i="447"/>
  <c r="I33" i="447"/>
  <c r="O44" i="447"/>
  <c r="I44" i="447"/>
  <c r="O23" i="447"/>
  <c r="I23" i="447"/>
  <c r="O34" i="447"/>
  <c r="I34" i="447"/>
  <c r="O14" i="447"/>
  <c r="I14" i="447"/>
  <c r="O19" i="447"/>
  <c r="I19" i="447"/>
  <c r="O25" i="447"/>
  <c r="I25" i="447"/>
  <c r="O30" i="447"/>
  <c r="I30" i="447"/>
  <c r="O36" i="447"/>
  <c r="I36" i="447"/>
  <c r="O41" i="447"/>
  <c r="I41" i="447"/>
  <c r="O15" i="447"/>
  <c r="I15" i="447"/>
  <c r="O27" i="447"/>
  <c r="I27" i="447"/>
  <c r="O39" i="447"/>
  <c r="I39" i="447"/>
  <c r="O18" i="447"/>
  <c r="I18" i="447"/>
  <c r="O29" i="447"/>
  <c r="I29" i="447"/>
  <c r="O40" i="447"/>
  <c r="I40" i="447"/>
  <c r="O16" i="447"/>
  <c r="I16" i="447"/>
  <c r="O20" i="447"/>
  <c r="I20" i="447"/>
  <c r="O26" i="447"/>
  <c r="I26" i="447"/>
  <c r="O32" i="447"/>
  <c r="I32" i="447"/>
  <c r="O37" i="447"/>
  <c r="I37" i="447"/>
  <c r="O43" i="447"/>
  <c r="I43" i="447"/>
  <c r="G22" i="399" l="1"/>
  <c r="U22" i="399" s="1"/>
  <c r="G21" i="399"/>
  <c r="U21" i="399" s="1"/>
  <c r="G20" i="399"/>
  <c r="U20" i="399" s="1"/>
  <c r="G18" i="399"/>
  <c r="U18" i="399" s="1"/>
  <c r="G16" i="399"/>
  <c r="U16" i="399" s="1"/>
  <c r="G14" i="399"/>
  <c r="U14" i="399" s="1"/>
  <c r="G16" i="445"/>
  <c r="G15" i="445"/>
  <c r="G14" i="445"/>
  <c r="U23" i="399" l="1"/>
  <c r="U15" i="399"/>
  <c r="U17" i="399"/>
  <c r="U19" i="399"/>
  <c r="R16" i="445"/>
  <c r="I16" i="445"/>
  <c r="R20" i="399"/>
  <c r="I20" i="399"/>
  <c r="V20" i="399" s="1"/>
  <c r="R14" i="399"/>
  <c r="R15" i="399" s="1"/>
  <c r="I14" i="399"/>
  <c r="V14" i="399" s="1"/>
  <c r="R21" i="399"/>
  <c r="I21" i="399"/>
  <c r="V21" i="399" s="1"/>
  <c r="R14" i="445"/>
  <c r="I14" i="445"/>
  <c r="R16" i="399"/>
  <c r="R17" i="399" s="1"/>
  <c r="I16" i="399"/>
  <c r="V16" i="399" s="1"/>
  <c r="R22" i="399"/>
  <c r="I22" i="399"/>
  <c r="R15" i="445"/>
  <c r="I15" i="445"/>
  <c r="R18" i="399"/>
  <c r="I18" i="399"/>
  <c r="V18" i="399" s="1"/>
  <c r="R19" i="399"/>
  <c r="U24" i="399" l="1"/>
  <c r="R23" i="399"/>
  <c r="R24" i="399" s="1"/>
  <c r="I23" i="399"/>
  <c r="V23" i="399" s="1"/>
  <c r="U26" i="399" l="1"/>
  <c r="N45" i="261"/>
  <c r="E19" i="690" s="1"/>
  <c r="R26" i="399"/>
  <c r="R27" i="399" s="1"/>
  <c r="U27" i="399" l="1"/>
  <c r="Q45" i="261" s="1"/>
  <c r="E21" i="690" s="1"/>
  <c r="R28" i="399"/>
  <c r="U28" i="399" l="1"/>
  <c r="U37" i="399" s="1"/>
  <c r="R29" i="399"/>
  <c r="U36" i="399"/>
  <c r="C30" i="690" s="1"/>
  <c r="U29" i="399"/>
  <c r="R30" i="399"/>
  <c r="R36" i="399"/>
  <c r="Z32" i="398"/>
  <c r="Z30" i="398"/>
  <c r="Z28" i="398"/>
  <c r="Z26" i="398"/>
  <c r="Z24" i="398"/>
  <c r="Z22" i="398"/>
  <c r="Z20" i="398"/>
  <c r="Z18" i="398"/>
  <c r="Z16" i="398"/>
  <c r="Z14" i="398"/>
  <c r="G32" i="398"/>
  <c r="G30" i="398"/>
  <c r="G28" i="398"/>
  <c r="G26" i="398"/>
  <c r="G24" i="398"/>
  <c r="G22" i="398"/>
  <c r="G20" i="398"/>
  <c r="G18" i="398"/>
  <c r="G16" i="398"/>
  <c r="G14" i="398"/>
  <c r="U16" i="259"/>
  <c r="U15" i="259"/>
  <c r="R45" i="261" l="1"/>
  <c r="U30" i="399"/>
  <c r="T45" i="261" s="1"/>
  <c r="E24" i="690" s="1"/>
  <c r="S45" i="261"/>
  <c r="E23" i="690" s="1"/>
  <c r="C31" i="690"/>
  <c r="G10" i="690"/>
  <c r="E22" i="690"/>
  <c r="X14" i="398"/>
  <c r="I14" i="398"/>
  <c r="X22" i="398"/>
  <c r="X23" i="398" s="1"/>
  <c r="I22" i="398"/>
  <c r="X30" i="398"/>
  <c r="I30" i="398"/>
  <c r="X16" i="398"/>
  <c r="I16" i="398"/>
  <c r="X24" i="398"/>
  <c r="I24" i="398"/>
  <c r="X32" i="398"/>
  <c r="X33" i="398" s="1"/>
  <c r="I32" i="398"/>
  <c r="X18" i="398"/>
  <c r="I18" i="398"/>
  <c r="X26" i="398"/>
  <c r="I26" i="398"/>
  <c r="X20" i="398"/>
  <c r="I20" i="398"/>
  <c r="X28" i="398"/>
  <c r="X29" i="398" s="1"/>
  <c r="Y29" i="398" s="1"/>
  <c r="I28" i="398"/>
  <c r="J20" i="953"/>
  <c r="P20" i="953" s="1"/>
  <c r="J18" i="953"/>
  <c r="P18" i="953" s="1"/>
  <c r="J16" i="953"/>
  <c r="P16" i="953" s="1"/>
  <c r="J14" i="953"/>
  <c r="P14" i="953" s="1"/>
  <c r="L14" i="952"/>
  <c r="J14" i="952"/>
  <c r="M14" i="952" s="1"/>
  <c r="L14" i="951"/>
  <c r="J14" i="951"/>
  <c r="M14" i="951" s="1"/>
  <c r="L14" i="950"/>
  <c r="J14" i="950"/>
  <c r="L14" i="949"/>
  <c r="J14" i="949"/>
  <c r="M14" i="949" s="1"/>
  <c r="J14" i="948"/>
  <c r="M14" i="948" s="1"/>
  <c r="L14" i="948"/>
  <c r="L19" i="947"/>
  <c r="J19" i="947"/>
  <c r="M19" i="947" s="1"/>
  <c r="L18" i="947"/>
  <c r="J18" i="947"/>
  <c r="L15" i="947"/>
  <c r="J15" i="947"/>
  <c r="M15" i="947" s="1"/>
  <c r="L14" i="947"/>
  <c r="J14" i="947"/>
  <c r="M14" i="947" s="1"/>
  <c r="L16" i="947"/>
  <c r="J16" i="947"/>
  <c r="M16" i="947" s="1"/>
  <c r="J14" i="946"/>
  <c r="M14" i="946" s="1"/>
  <c r="L20" i="946"/>
  <c r="J20" i="946"/>
  <c r="M20" i="946" s="1"/>
  <c r="J18" i="946"/>
  <c r="L18" i="946"/>
  <c r="L17" i="946"/>
  <c r="J17" i="946"/>
  <c r="M17" i="946" s="1"/>
  <c r="L14" i="946"/>
  <c r="L15" i="946"/>
  <c r="J15" i="946"/>
  <c r="M15" i="946" s="1"/>
  <c r="L24" i="945"/>
  <c r="J24" i="945"/>
  <c r="M24" i="945" s="1"/>
  <c r="J22" i="945"/>
  <c r="L22" i="945"/>
  <c r="L21" i="945"/>
  <c r="J21" i="945"/>
  <c r="M21" i="945" s="1"/>
  <c r="J18" i="945"/>
  <c r="L18" i="945"/>
  <c r="L19" i="945"/>
  <c r="J19" i="945"/>
  <c r="M19" i="945" s="1"/>
  <c r="M20" i="945" s="1"/>
  <c r="L16" i="945"/>
  <c r="J16" i="945"/>
  <c r="M16" i="945" s="1"/>
  <c r="L14" i="945"/>
  <c r="J14" i="945"/>
  <c r="M14" i="945" s="1"/>
  <c r="L20" i="944"/>
  <c r="J20" i="944"/>
  <c r="M20" i="944" s="1"/>
  <c r="L18" i="944"/>
  <c r="J18" i="944"/>
  <c r="M18" i="944" s="1"/>
  <c r="L17" i="944"/>
  <c r="J17" i="944"/>
  <c r="M17" i="944" s="1"/>
  <c r="L14" i="944"/>
  <c r="J14" i="944"/>
  <c r="M14" i="944" s="1"/>
  <c r="L15" i="944"/>
  <c r="J15" i="944"/>
  <c r="M15" i="944" s="1"/>
  <c r="J26" i="943"/>
  <c r="J24" i="943"/>
  <c r="P24" i="943" s="1"/>
  <c r="J22" i="943"/>
  <c r="P22" i="943" s="1"/>
  <c r="J21" i="943"/>
  <c r="P21" i="943" s="1"/>
  <c r="J18" i="943"/>
  <c r="P18" i="943" s="1"/>
  <c r="J19" i="943"/>
  <c r="P19" i="943" s="1"/>
  <c r="J16" i="943"/>
  <c r="P16" i="943" s="1"/>
  <c r="J14" i="943"/>
  <c r="P14" i="943" s="1"/>
  <c r="L19" i="942"/>
  <c r="J19" i="942"/>
  <c r="M19" i="942" s="1"/>
  <c r="L18" i="942"/>
  <c r="J18" i="942"/>
  <c r="M18" i="942" s="1"/>
  <c r="L14" i="942"/>
  <c r="J14" i="942"/>
  <c r="M14" i="942" s="1"/>
  <c r="L16" i="942"/>
  <c r="J16" i="942"/>
  <c r="M16" i="942" s="1"/>
  <c r="L15" i="942"/>
  <c r="J15" i="942"/>
  <c r="M15" i="942" s="1"/>
  <c r="L30" i="941"/>
  <c r="J30" i="941"/>
  <c r="M30" i="941" s="1"/>
  <c r="L29" i="941"/>
  <c r="J29" i="941"/>
  <c r="M29" i="941" s="1"/>
  <c r="L27" i="941"/>
  <c r="J27" i="941"/>
  <c r="M27" i="941" s="1"/>
  <c r="L26" i="941"/>
  <c r="J26" i="941"/>
  <c r="M26" i="941" s="1"/>
  <c r="L24" i="941"/>
  <c r="J24" i="941"/>
  <c r="M24" i="941" s="1"/>
  <c r="L23" i="941"/>
  <c r="J23" i="941"/>
  <c r="M23" i="941" s="1"/>
  <c r="L21" i="941"/>
  <c r="J21" i="941"/>
  <c r="M21" i="941" s="1"/>
  <c r="L20" i="941"/>
  <c r="J20" i="941"/>
  <c r="M20" i="941" s="1"/>
  <c r="L18" i="941"/>
  <c r="J18" i="941"/>
  <c r="M18" i="941" s="1"/>
  <c r="L17" i="941"/>
  <c r="J17" i="941"/>
  <c r="M17" i="941" s="1"/>
  <c r="L15" i="941"/>
  <c r="J15" i="941"/>
  <c r="M15" i="941" s="1"/>
  <c r="L14" i="941"/>
  <c r="J14" i="941"/>
  <c r="M14" i="941" s="1"/>
  <c r="L30" i="940"/>
  <c r="J30" i="940"/>
  <c r="M30" i="940" s="1"/>
  <c r="L29" i="940"/>
  <c r="J29" i="940"/>
  <c r="M29" i="940" s="1"/>
  <c r="L27" i="940"/>
  <c r="J27" i="940"/>
  <c r="M27" i="940" s="1"/>
  <c r="L26" i="940"/>
  <c r="J26" i="940"/>
  <c r="M26" i="940" s="1"/>
  <c r="L24" i="940"/>
  <c r="J24" i="940"/>
  <c r="M24" i="940" s="1"/>
  <c r="L23" i="940"/>
  <c r="J23" i="940"/>
  <c r="M23" i="940" s="1"/>
  <c r="L21" i="940"/>
  <c r="J21" i="940"/>
  <c r="M21" i="940" s="1"/>
  <c r="L20" i="940"/>
  <c r="J20" i="940"/>
  <c r="M20" i="940" s="1"/>
  <c r="L18" i="940"/>
  <c r="J18" i="940"/>
  <c r="M18" i="940" s="1"/>
  <c r="L17" i="940"/>
  <c r="J17" i="940"/>
  <c r="M17" i="940" s="1"/>
  <c r="L15" i="940"/>
  <c r="J15" i="940"/>
  <c r="M15" i="940" s="1"/>
  <c r="L14" i="940"/>
  <c r="J14" i="940"/>
  <c r="M14" i="940" s="1"/>
  <c r="X21" i="398" l="1"/>
  <c r="Y20" i="398"/>
  <c r="X15" i="398"/>
  <c r="Y14" i="398"/>
  <c r="X25" i="398"/>
  <c r="Y24" i="398"/>
  <c r="X27" i="398"/>
  <c r="Y26" i="398"/>
  <c r="X35" i="398"/>
  <c r="P43" i="261" s="1"/>
  <c r="E20" i="687" s="1"/>
  <c r="Y16" i="398"/>
  <c r="M17" i="947"/>
  <c r="X19" i="398"/>
  <c r="Y18" i="398"/>
  <c r="X31" i="398"/>
  <c r="Y30" i="398"/>
  <c r="Y28" i="398"/>
  <c r="Y32" i="398"/>
  <c r="Y22" i="398"/>
  <c r="J27" i="943"/>
  <c r="P27" i="943" s="1"/>
  <c r="P26" i="943"/>
  <c r="X17" i="398"/>
  <c r="J17" i="943"/>
  <c r="P17" i="943" s="1"/>
  <c r="J20" i="943"/>
  <c r="P20" i="943" s="1"/>
  <c r="J23" i="943"/>
  <c r="P23" i="943" s="1"/>
  <c r="J25" i="943"/>
  <c r="P25" i="943" s="1"/>
  <c r="M14" i="950"/>
  <c r="J15" i="943"/>
  <c r="P15" i="943" s="1"/>
  <c r="J20" i="947"/>
  <c r="J21" i="947" s="1"/>
  <c r="J20" i="945"/>
  <c r="J15" i="949"/>
  <c r="J16" i="949" s="1"/>
  <c r="J15" i="953"/>
  <c r="P15" i="953" s="1"/>
  <c r="M15" i="952"/>
  <c r="J15" i="952"/>
  <c r="M15" i="951"/>
  <c r="J15" i="951"/>
  <c r="M15" i="950"/>
  <c r="J15" i="950"/>
  <c r="M15" i="949"/>
  <c r="M15" i="948"/>
  <c r="J15" i="948"/>
  <c r="M18" i="947"/>
  <c r="M20" i="947" s="1"/>
  <c r="J17" i="947"/>
  <c r="M21" i="946"/>
  <c r="M18" i="946"/>
  <c r="J19" i="946"/>
  <c r="J21" i="946" s="1"/>
  <c r="J22" i="946" s="1"/>
  <c r="M16" i="946"/>
  <c r="J16" i="946"/>
  <c r="M25" i="945"/>
  <c r="M22" i="945"/>
  <c r="J23" i="945"/>
  <c r="M18" i="945"/>
  <c r="M17" i="945"/>
  <c r="M15" i="945"/>
  <c r="J15" i="945"/>
  <c r="M21" i="944"/>
  <c r="M19" i="944"/>
  <c r="J19" i="944"/>
  <c r="M16" i="944"/>
  <c r="J16" i="944"/>
  <c r="J20" i="942"/>
  <c r="M20" i="942" s="1"/>
  <c r="J17" i="942"/>
  <c r="M17" i="942" s="1"/>
  <c r="J31" i="941"/>
  <c r="M31" i="941" s="1"/>
  <c r="J28" i="941"/>
  <c r="M28" i="941" s="1"/>
  <c r="J25" i="941"/>
  <c r="M25" i="941" s="1"/>
  <c r="J22" i="941"/>
  <c r="M22" i="941" s="1"/>
  <c r="J19" i="941"/>
  <c r="M19" i="941" s="1"/>
  <c r="J16" i="941"/>
  <c r="M16" i="941" s="1"/>
  <c r="M31" i="940"/>
  <c r="J31" i="940"/>
  <c r="M28" i="940"/>
  <c r="J28" i="940"/>
  <c r="M25" i="940"/>
  <c r="J25" i="940"/>
  <c r="M22" i="940"/>
  <c r="J22" i="940"/>
  <c r="M19" i="940"/>
  <c r="J19" i="940"/>
  <c r="M16" i="940"/>
  <c r="J16" i="940"/>
  <c r="L15" i="939"/>
  <c r="J15" i="939"/>
  <c r="M15" i="939" s="1"/>
  <c r="L14" i="939"/>
  <c r="J14" i="939"/>
  <c r="M14" i="939" s="1"/>
  <c r="L77" i="938"/>
  <c r="J77" i="938"/>
  <c r="L76" i="938"/>
  <c r="J76" i="938"/>
  <c r="M76" i="938" s="1"/>
  <c r="L70" i="938"/>
  <c r="J70" i="938"/>
  <c r="L69" i="938"/>
  <c r="J69" i="938"/>
  <c r="L63" i="938"/>
  <c r="J63" i="938"/>
  <c r="L62" i="938"/>
  <c r="J62" i="938"/>
  <c r="L56" i="938"/>
  <c r="J56" i="938"/>
  <c r="M56" i="938" s="1"/>
  <c r="L55" i="938"/>
  <c r="J55" i="938"/>
  <c r="M55" i="938" s="1"/>
  <c r="L74" i="938"/>
  <c r="J74" i="938"/>
  <c r="L73" i="938"/>
  <c r="J73" i="938"/>
  <c r="M73" i="938" s="1"/>
  <c r="L72" i="938"/>
  <c r="J72" i="938"/>
  <c r="M72" i="938" s="1"/>
  <c r="L67" i="938"/>
  <c r="J67" i="938"/>
  <c r="L66" i="938"/>
  <c r="J66" i="938"/>
  <c r="L65" i="938"/>
  <c r="J65" i="938"/>
  <c r="M65" i="938" s="1"/>
  <c r="L60" i="938"/>
  <c r="J60" i="938"/>
  <c r="L59" i="938"/>
  <c r="J59" i="938"/>
  <c r="L58" i="938"/>
  <c r="J58" i="938"/>
  <c r="M58" i="938" s="1"/>
  <c r="L53" i="938"/>
  <c r="J53" i="938"/>
  <c r="M53" i="938" s="1"/>
  <c r="L52" i="938"/>
  <c r="J52" i="938"/>
  <c r="L51" i="938"/>
  <c r="J51" i="938"/>
  <c r="M51" i="938" s="1"/>
  <c r="L49" i="938"/>
  <c r="J49" i="938"/>
  <c r="M49" i="938" s="1"/>
  <c r="L48" i="938"/>
  <c r="J48" i="938"/>
  <c r="M48" i="938" s="1"/>
  <c r="L47" i="938"/>
  <c r="J47" i="938"/>
  <c r="M47" i="938" s="1"/>
  <c r="L45" i="938"/>
  <c r="J45" i="938"/>
  <c r="M45" i="938" s="1"/>
  <c r="L44" i="938"/>
  <c r="J44" i="938"/>
  <c r="M44" i="938" s="1"/>
  <c r="L42" i="938"/>
  <c r="J42" i="938"/>
  <c r="M42" i="938" s="1"/>
  <c r="L41" i="938"/>
  <c r="J41" i="938"/>
  <c r="M41" i="938" s="1"/>
  <c r="L40" i="938"/>
  <c r="J40" i="938"/>
  <c r="M40" i="938" s="1"/>
  <c r="L38" i="938"/>
  <c r="J38" i="938"/>
  <c r="M38" i="938" s="1"/>
  <c r="L37" i="938"/>
  <c r="J37" i="938"/>
  <c r="M37" i="938" s="1"/>
  <c r="L35" i="938"/>
  <c r="J35" i="938"/>
  <c r="M35" i="938" s="1"/>
  <c r="L34" i="938"/>
  <c r="J34" i="938"/>
  <c r="L33" i="938"/>
  <c r="J33" i="938"/>
  <c r="M33" i="938" s="1"/>
  <c r="L31" i="938"/>
  <c r="J31" i="938"/>
  <c r="M31" i="938" s="1"/>
  <c r="L30" i="938"/>
  <c r="J30" i="938"/>
  <c r="L29" i="938"/>
  <c r="J29" i="938"/>
  <c r="L27" i="938"/>
  <c r="J27" i="938"/>
  <c r="M27" i="938" s="1"/>
  <c r="L26" i="938"/>
  <c r="J26" i="938"/>
  <c r="M26" i="938" s="1"/>
  <c r="L24" i="938"/>
  <c r="J24" i="938"/>
  <c r="M24" i="938" s="1"/>
  <c r="L23" i="938"/>
  <c r="J23" i="938"/>
  <c r="M23" i="938" s="1"/>
  <c r="L22" i="938"/>
  <c r="J22" i="938"/>
  <c r="M22" i="938" s="1"/>
  <c r="L20" i="938"/>
  <c r="J20" i="938"/>
  <c r="M20" i="938" s="1"/>
  <c r="L19" i="938"/>
  <c r="J19" i="938"/>
  <c r="M19" i="938" s="1"/>
  <c r="L18" i="938"/>
  <c r="J18" i="938"/>
  <c r="M18" i="938" s="1"/>
  <c r="J14" i="938"/>
  <c r="M14" i="938" s="1"/>
  <c r="L15" i="938"/>
  <c r="J15" i="938"/>
  <c r="M15" i="938" s="1"/>
  <c r="L14" i="938"/>
  <c r="L16" i="938"/>
  <c r="J16" i="938"/>
  <c r="M16" i="938" s="1"/>
  <c r="G79" i="938"/>
  <c r="L15" i="937"/>
  <c r="J15" i="937"/>
  <c r="M15" i="937" s="1"/>
  <c r="L14" i="937"/>
  <c r="J14" i="937"/>
  <c r="M14" i="937" s="1"/>
  <c r="J29" i="936"/>
  <c r="P29" i="936" s="1"/>
  <c r="J28" i="936"/>
  <c r="P28" i="936" s="1"/>
  <c r="J27" i="936"/>
  <c r="P27" i="936" s="1"/>
  <c r="J25" i="936"/>
  <c r="P25" i="936" s="1"/>
  <c r="J24" i="936"/>
  <c r="P24" i="936" s="1"/>
  <c r="J20" i="936"/>
  <c r="P20" i="936" s="1"/>
  <c r="J22" i="936"/>
  <c r="P22" i="936" s="1"/>
  <c r="J21" i="936"/>
  <c r="P21" i="936" s="1"/>
  <c r="J18" i="936"/>
  <c r="P18" i="936" s="1"/>
  <c r="J17" i="936"/>
  <c r="P17" i="936" s="1"/>
  <c r="J15" i="936"/>
  <c r="P15" i="936" s="1"/>
  <c r="J14" i="936"/>
  <c r="P14" i="936" s="1"/>
  <c r="U33" i="259"/>
  <c r="U32" i="259"/>
  <c r="U30" i="259"/>
  <c r="U29" i="259"/>
  <c r="U27" i="259"/>
  <c r="U26" i="259"/>
  <c r="U25" i="259"/>
  <c r="U23" i="259"/>
  <c r="U19" i="259"/>
  <c r="U18" i="259"/>
  <c r="U21" i="259"/>
  <c r="U14" i="259"/>
  <c r="M66" i="938" l="1"/>
  <c r="N66" i="938" s="1"/>
  <c r="M74" i="938"/>
  <c r="N74" i="938" s="1"/>
  <c r="M63" i="938"/>
  <c r="N63" i="938" s="1"/>
  <c r="M77" i="938"/>
  <c r="N77" i="938" s="1"/>
  <c r="O151" i="261"/>
  <c r="N151" i="261"/>
  <c r="J23" i="947"/>
  <c r="J24" i="947" s="1"/>
  <c r="N152" i="261"/>
  <c r="M29" i="938"/>
  <c r="N29" i="938" s="1"/>
  <c r="K34" i="938"/>
  <c r="M34" i="938"/>
  <c r="K59" i="938"/>
  <c r="M59" i="938"/>
  <c r="N59" i="938" s="1"/>
  <c r="M67" i="938"/>
  <c r="N67" i="938" s="1"/>
  <c r="K69" i="938"/>
  <c r="M69" i="938"/>
  <c r="N69" i="938" s="1"/>
  <c r="X34" i="398"/>
  <c r="G84" i="938"/>
  <c r="L141" i="261" s="1"/>
  <c r="H141" i="261"/>
  <c r="M30" i="938"/>
  <c r="N30" i="938" s="1"/>
  <c r="J54" i="938"/>
  <c r="M54" i="938" s="1"/>
  <c r="M52" i="938"/>
  <c r="M60" i="938"/>
  <c r="N60" i="938" s="1"/>
  <c r="M70" i="938"/>
  <c r="N70" i="938" s="1"/>
  <c r="M62" i="938"/>
  <c r="N62" i="938" s="1"/>
  <c r="J28" i="943"/>
  <c r="P28" i="943"/>
  <c r="P30" i="943" s="1"/>
  <c r="J18" i="949"/>
  <c r="J19" i="949" s="1"/>
  <c r="N154" i="261"/>
  <c r="J25" i="938"/>
  <c r="J28" i="938"/>
  <c r="J75" i="938"/>
  <c r="J57" i="938"/>
  <c r="M57" i="938" s="1"/>
  <c r="K29" i="938"/>
  <c r="K62" i="938"/>
  <c r="K66" i="938"/>
  <c r="J21" i="938"/>
  <c r="M21" i="938" s="1"/>
  <c r="N26" i="938"/>
  <c r="K60" i="938"/>
  <c r="J61" i="938"/>
  <c r="J23" i="936"/>
  <c r="P23" i="936" s="1"/>
  <c r="K23" i="938"/>
  <c r="N23" i="938"/>
  <c r="K26" i="938"/>
  <c r="J43" i="938"/>
  <c r="J46" i="938"/>
  <c r="J26" i="936"/>
  <c r="P26" i="936" s="1"/>
  <c r="N41" i="938"/>
  <c r="K70" i="938"/>
  <c r="J16" i="948"/>
  <c r="N153" i="261" s="1"/>
  <c r="J16" i="936"/>
  <c r="P16" i="936" s="1"/>
  <c r="J30" i="936"/>
  <c r="P30" i="936" s="1"/>
  <c r="K41" i="938"/>
  <c r="J50" i="938"/>
  <c r="J71" i="938"/>
  <c r="J17" i="953"/>
  <c r="P17" i="953" s="1"/>
  <c r="N15" i="952"/>
  <c r="M16" i="952"/>
  <c r="M18" i="952" s="1"/>
  <c r="K15" i="952"/>
  <c r="J16" i="952"/>
  <c r="J16" i="951"/>
  <c r="M16" i="951"/>
  <c r="M18" i="951" s="1"/>
  <c r="M16" i="950"/>
  <c r="M18" i="950" s="1"/>
  <c r="J16" i="950"/>
  <c r="M16" i="949"/>
  <c r="M18" i="949" s="1"/>
  <c r="J18" i="948"/>
  <c r="J19" i="948" s="1"/>
  <c r="M19" i="948" s="1"/>
  <c r="M16" i="948"/>
  <c r="M18" i="948" s="1"/>
  <c r="M21" i="947"/>
  <c r="M23" i="947" s="1"/>
  <c r="J24" i="946"/>
  <c r="J25" i="946" s="1"/>
  <c r="M22" i="946"/>
  <c r="M24" i="946" s="1"/>
  <c r="M19" i="946"/>
  <c r="M26" i="945"/>
  <c r="M28" i="945" s="1"/>
  <c r="M29" i="945" s="1"/>
  <c r="M30" i="945" s="1"/>
  <c r="J17" i="945"/>
  <c r="J25" i="945"/>
  <c r="J26" i="945" s="1"/>
  <c r="N150" i="261" s="1"/>
  <c r="M23" i="945"/>
  <c r="M22" i="944"/>
  <c r="M24" i="944" s="1"/>
  <c r="M25" i="944" s="1"/>
  <c r="M26" i="944" s="1"/>
  <c r="M27" i="944" s="1"/>
  <c r="M28" i="944" s="1"/>
  <c r="J21" i="944"/>
  <c r="J21" i="942"/>
  <c r="M21" i="942"/>
  <c r="M23" i="942" s="1"/>
  <c r="J32" i="941"/>
  <c r="M32" i="941"/>
  <c r="M34" i="941" s="1"/>
  <c r="M32" i="940"/>
  <c r="M34" i="940" s="1"/>
  <c r="J32" i="940"/>
  <c r="M16" i="939"/>
  <c r="J16" i="939"/>
  <c r="K77" i="938"/>
  <c r="J78" i="938"/>
  <c r="M78" i="938" s="1"/>
  <c r="K63" i="938"/>
  <c r="J64" i="938"/>
  <c r="K74" i="938"/>
  <c r="K67" i="938"/>
  <c r="J68" i="938"/>
  <c r="N49" i="938"/>
  <c r="K49" i="938"/>
  <c r="N45" i="938"/>
  <c r="K45" i="938"/>
  <c r="N42" i="938"/>
  <c r="K42" i="938"/>
  <c r="N38" i="938"/>
  <c r="K38" i="938"/>
  <c r="J39" i="938"/>
  <c r="N35" i="938"/>
  <c r="K35" i="938"/>
  <c r="J36" i="938"/>
  <c r="N34" i="938"/>
  <c r="N31" i="938"/>
  <c r="K30" i="938"/>
  <c r="K31" i="938"/>
  <c r="J32" i="938"/>
  <c r="N27" i="938"/>
  <c r="K27" i="938"/>
  <c r="N24" i="938"/>
  <c r="K24" i="938"/>
  <c r="J17" i="938"/>
  <c r="M17" i="938" s="1"/>
  <c r="G81" i="938"/>
  <c r="K141" i="261" s="1"/>
  <c r="G85" i="938"/>
  <c r="M141" i="261" s="1"/>
  <c r="M16" i="937"/>
  <c r="M17" i="937" s="1"/>
  <c r="M19" i="937" s="1"/>
  <c r="M20" i="937" s="1"/>
  <c r="M21" i="937" s="1"/>
  <c r="J16" i="937"/>
  <c r="J17" i="937" s="1"/>
  <c r="J19" i="936"/>
  <c r="P19" i="936" s="1"/>
  <c r="J34" i="940" l="1"/>
  <c r="J35" i="940" s="1"/>
  <c r="N143" i="261"/>
  <c r="K43" i="938"/>
  <c r="M43" i="938"/>
  <c r="N43" i="938" s="1"/>
  <c r="K25" i="938"/>
  <c r="M25" i="938"/>
  <c r="N25" i="938" s="1"/>
  <c r="K50" i="938"/>
  <c r="M50" i="938"/>
  <c r="N50" i="938" s="1"/>
  <c r="K28" i="938"/>
  <c r="M28" i="938"/>
  <c r="N28" i="938" s="1"/>
  <c r="K32" i="938"/>
  <c r="M32" i="938"/>
  <c r="N32" i="938" s="1"/>
  <c r="J18" i="952"/>
  <c r="J19" i="952" s="1"/>
  <c r="N157" i="261"/>
  <c r="J25" i="947"/>
  <c r="Q152" i="261"/>
  <c r="K39" i="938"/>
  <c r="M39" i="938"/>
  <c r="N39" i="938" s="1"/>
  <c r="J34" i="941"/>
  <c r="J35" i="941" s="1"/>
  <c r="N144" i="261"/>
  <c r="K64" i="938"/>
  <c r="M64" i="938"/>
  <c r="N64" i="938" s="1"/>
  <c r="K46" i="938"/>
  <c r="M46" i="938"/>
  <c r="N46" i="938" s="1"/>
  <c r="K68" i="938"/>
  <c r="M68" i="938"/>
  <c r="N68" i="938" s="1"/>
  <c r="J23" i="942"/>
  <c r="J24" i="942" s="1"/>
  <c r="N145" i="261"/>
  <c r="X36" i="398"/>
  <c r="X37" i="398" s="1"/>
  <c r="N43" i="261"/>
  <c r="E19" i="687" s="1"/>
  <c r="K36" i="938"/>
  <c r="M36" i="938"/>
  <c r="N36" i="938" s="1"/>
  <c r="J19" i="937"/>
  <c r="J20" i="937" s="1"/>
  <c r="N140" i="261"/>
  <c r="J26" i="946"/>
  <c r="J27" i="946" s="1"/>
  <c r="Q151" i="261"/>
  <c r="K71" i="938"/>
  <c r="M71" i="938"/>
  <c r="N71" i="938" s="1"/>
  <c r="K61" i="938"/>
  <c r="M61" i="938"/>
  <c r="N61" i="938" s="1"/>
  <c r="K75" i="938"/>
  <c r="M75" i="938"/>
  <c r="N75" i="938" s="1"/>
  <c r="J31" i="936"/>
  <c r="J33" i="936" s="1"/>
  <c r="J34" i="936" s="1"/>
  <c r="M20" i="948"/>
  <c r="M21" i="948" s="1"/>
  <c r="M22" i="948" s="1"/>
  <c r="E19" i="985"/>
  <c r="E19" i="983"/>
  <c r="J18" i="951"/>
  <c r="J19" i="951" s="1"/>
  <c r="N156" i="261"/>
  <c r="J18" i="950"/>
  <c r="J19" i="950" s="1"/>
  <c r="N155" i="261"/>
  <c r="E19" i="984" s="1"/>
  <c r="J20" i="949"/>
  <c r="Q154" i="261"/>
  <c r="J20" i="948"/>
  <c r="J21" i="948" s="1"/>
  <c r="Q153" i="261"/>
  <c r="J19" i="953"/>
  <c r="P19" i="953" s="1"/>
  <c r="M19" i="952"/>
  <c r="M20" i="952" s="1"/>
  <c r="M19" i="951"/>
  <c r="M20" i="951" s="1"/>
  <c r="M19" i="950"/>
  <c r="M20" i="950" s="1"/>
  <c r="M19" i="949"/>
  <c r="M20" i="949" s="1"/>
  <c r="M24" i="947"/>
  <c r="M25" i="947" s="1"/>
  <c r="M25" i="946"/>
  <c r="M26" i="946" s="1"/>
  <c r="M31" i="945"/>
  <c r="M32" i="945" s="1"/>
  <c r="J28" i="945"/>
  <c r="J22" i="944"/>
  <c r="P31" i="943"/>
  <c r="P32" i="943" s="1"/>
  <c r="M24" i="942"/>
  <c r="M25" i="942" s="1"/>
  <c r="M35" i="941"/>
  <c r="M36" i="941" s="1"/>
  <c r="M35" i="940"/>
  <c r="M36" i="940" s="1"/>
  <c r="M17" i="939"/>
  <c r="M19" i="939" s="1"/>
  <c r="M20" i="939" s="1"/>
  <c r="M21" i="939" s="1"/>
  <c r="M22" i="939" s="1"/>
  <c r="M23" i="939" s="1"/>
  <c r="J17" i="939"/>
  <c r="J79" i="938"/>
  <c r="K78" i="938"/>
  <c r="N78" i="938"/>
  <c r="M79" i="938"/>
  <c r="M81" i="938" s="1"/>
  <c r="M22" i="937"/>
  <c r="M23" i="937" s="1"/>
  <c r="P31" i="936"/>
  <c r="P33" i="936" s="1"/>
  <c r="J24" i="944" l="1"/>
  <c r="N149" i="261"/>
  <c r="R152" i="261"/>
  <c r="J30" i="947"/>
  <c r="J31" i="947" s="1"/>
  <c r="J26" i="947"/>
  <c r="X38" i="398"/>
  <c r="Q43" i="261"/>
  <c r="E21" i="687" s="1"/>
  <c r="J20" i="952"/>
  <c r="Q157" i="261"/>
  <c r="J81" i="938"/>
  <c r="N141" i="261"/>
  <c r="J28" i="946"/>
  <c r="S151" i="261"/>
  <c r="J31" i="946"/>
  <c r="J32" i="946" s="1"/>
  <c r="R151" i="261"/>
  <c r="J25" i="942"/>
  <c r="Q145" i="261"/>
  <c r="J36" i="941"/>
  <c r="Q144" i="261"/>
  <c r="J21" i="937"/>
  <c r="Q140" i="261"/>
  <c r="J36" i="940"/>
  <c r="Q143" i="261"/>
  <c r="E21" i="983"/>
  <c r="E21" i="985"/>
  <c r="J20" i="951"/>
  <c r="Q156" i="261"/>
  <c r="J20" i="950"/>
  <c r="Q155" i="261"/>
  <c r="E21" i="984" s="1"/>
  <c r="R154" i="261"/>
  <c r="J21" i="949"/>
  <c r="J25" i="949"/>
  <c r="J22" i="948"/>
  <c r="T153" i="261" s="1"/>
  <c r="S153" i="261"/>
  <c r="J25" i="948"/>
  <c r="R153" i="261"/>
  <c r="J30" i="943"/>
  <c r="J19" i="939"/>
  <c r="J20" i="939" s="1"/>
  <c r="N142" i="261"/>
  <c r="J35" i="936"/>
  <c r="M40" i="936" s="1"/>
  <c r="M42" i="936" s="1"/>
  <c r="J21" i="953"/>
  <c r="P21" i="953" s="1"/>
  <c r="P22" i="953" s="1"/>
  <c r="P24" i="953" s="1"/>
  <c r="P25" i="953" s="1"/>
  <c r="P26" i="953" s="1"/>
  <c r="P27" i="953" s="1"/>
  <c r="P28" i="953" s="1"/>
  <c r="M21" i="952"/>
  <c r="M22" i="952" s="1"/>
  <c r="M21" i="951"/>
  <c r="M22" i="951" s="1"/>
  <c r="M21" i="950"/>
  <c r="M22" i="950" s="1"/>
  <c r="M21" i="949"/>
  <c r="M22" i="949" s="1"/>
  <c r="M26" i="947"/>
  <c r="M27" i="947" s="1"/>
  <c r="M27" i="946"/>
  <c r="M28" i="946" s="1"/>
  <c r="T151" i="261" s="1"/>
  <c r="J29" i="945"/>
  <c r="J25" i="944"/>
  <c r="P33" i="943"/>
  <c r="P34" i="943" s="1"/>
  <c r="M26" i="942"/>
  <c r="M27" i="942" s="1"/>
  <c r="M37" i="941"/>
  <c r="M38" i="941" s="1"/>
  <c r="M37" i="940"/>
  <c r="M38" i="940" s="1"/>
  <c r="M82" i="938"/>
  <c r="M83" i="938" s="1"/>
  <c r="J82" i="938"/>
  <c r="P34" i="936"/>
  <c r="P35" i="936" s="1"/>
  <c r="J21" i="952" l="1"/>
  <c r="R157" i="261"/>
  <c r="J25" i="952"/>
  <c r="J26" i="952" s="1"/>
  <c r="R143" i="261"/>
  <c r="J37" i="940"/>
  <c r="J41" i="940"/>
  <c r="J42" i="940" s="1"/>
  <c r="X51" i="398"/>
  <c r="C32" i="687" s="1"/>
  <c r="R43" i="261"/>
  <c r="X39" i="398"/>
  <c r="J27" i="947"/>
  <c r="T152" i="261" s="1"/>
  <c r="S152" i="261"/>
  <c r="J30" i="942"/>
  <c r="J31" i="942" s="1"/>
  <c r="R145" i="261"/>
  <c r="J26" i="942"/>
  <c r="J26" i="937"/>
  <c r="J27" i="937" s="1"/>
  <c r="R140" i="261"/>
  <c r="J22" i="937"/>
  <c r="J26" i="944"/>
  <c r="R149" i="261" s="1"/>
  <c r="Q149" i="261"/>
  <c r="J30" i="945"/>
  <c r="R150" i="261" s="1"/>
  <c r="Q150" i="261"/>
  <c r="J41" i="941"/>
  <c r="J42" i="941" s="1"/>
  <c r="R144" i="261"/>
  <c r="J37" i="941"/>
  <c r="J83" i="938"/>
  <c r="R141" i="261" s="1"/>
  <c r="Q141" i="261"/>
  <c r="G10" i="983"/>
  <c r="E22" i="985"/>
  <c r="G10" i="985"/>
  <c r="E22" i="983"/>
  <c r="J31" i="943"/>
  <c r="J32" i="943" s="1"/>
  <c r="M37" i="943" s="1"/>
  <c r="M39" i="943" s="1"/>
  <c r="J21" i="951"/>
  <c r="R156" i="261"/>
  <c r="J25" i="951"/>
  <c r="J21" i="950"/>
  <c r="R155" i="261"/>
  <c r="J25" i="950"/>
  <c r="J26" i="949"/>
  <c r="C28" i="983"/>
  <c r="C33" i="983" s="1"/>
  <c r="J22" i="949"/>
  <c r="S154" i="261"/>
  <c r="J26" i="948"/>
  <c r="J21" i="939"/>
  <c r="Q142" i="261"/>
  <c r="J36" i="936"/>
  <c r="J40" i="936"/>
  <c r="J22" i="953"/>
  <c r="J84" i="938"/>
  <c r="M84" i="938"/>
  <c r="M85" i="938" s="1"/>
  <c r="N83" i="938"/>
  <c r="P36" i="936"/>
  <c r="P37" i="936" s="1"/>
  <c r="J88" i="938" l="1"/>
  <c r="J89" i="938" s="1"/>
  <c r="K83" i="938"/>
  <c r="J27" i="944"/>
  <c r="J31" i="944"/>
  <c r="J32" i="944" s="1"/>
  <c r="J38" i="941"/>
  <c r="T144" i="261" s="1"/>
  <c r="S144" i="261"/>
  <c r="K88" i="938"/>
  <c r="K89" i="938" s="1"/>
  <c r="O141" i="261"/>
  <c r="J27" i="942"/>
  <c r="T145" i="261" s="1"/>
  <c r="S145" i="261"/>
  <c r="G10" i="687"/>
  <c r="E22" i="687"/>
  <c r="J38" i="940"/>
  <c r="T143" i="261" s="1"/>
  <c r="S143" i="261"/>
  <c r="J28" i="944"/>
  <c r="T149" i="261" s="1"/>
  <c r="S149" i="261"/>
  <c r="J85" i="938"/>
  <c r="T141" i="261" s="1"/>
  <c r="S141" i="261"/>
  <c r="J35" i="945"/>
  <c r="J36" i="945" s="1"/>
  <c r="J31" i="945"/>
  <c r="J23" i="937"/>
  <c r="T140" i="261" s="1"/>
  <c r="S140" i="261"/>
  <c r="X40" i="398"/>
  <c r="T43" i="261" s="1"/>
  <c r="E24" i="687" s="1"/>
  <c r="S43" i="261"/>
  <c r="E23" i="687" s="1"/>
  <c r="J22" i="952"/>
  <c r="T157" i="261" s="1"/>
  <c r="S157" i="261"/>
  <c r="C28" i="951"/>
  <c r="C28" i="985"/>
  <c r="C33" i="985" s="1"/>
  <c r="E23" i="985"/>
  <c r="E23" i="983"/>
  <c r="E22" i="984"/>
  <c r="G10" i="984"/>
  <c r="J24" i="953"/>
  <c r="J25" i="953" s="1"/>
  <c r="J22" i="951"/>
  <c r="T156" i="261" s="1"/>
  <c r="S156" i="261"/>
  <c r="J26" i="951"/>
  <c r="J22" i="950"/>
  <c r="T155" i="261" s="1"/>
  <c r="E24" i="984" s="1"/>
  <c r="S155" i="261"/>
  <c r="E23" i="984" s="1"/>
  <c r="J26" i="950"/>
  <c r="C28" i="984"/>
  <c r="C33" i="984" s="1"/>
  <c r="J33" i="943"/>
  <c r="J37" i="943"/>
  <c r="J22" i="939"/>
  <c r="R142" i="261"/>
  <c r="J26" i="939"/>
  <c r="J41" i="936"/>
  <c r="J37" i="936"/>
  <c r="W14" i="434"/>
  <c r="G27" i="434"/>
  <c r="G26" i="434"/>
  <c r="G24" i="434"/>
  <c r="G23" i="434"/>
  <c r="G21" i="434"/>
  <c r="G20" i="434"/>
  <c r="G18" i="434"/>
  <c r="G17" i="434"/>
  <c r="G15" i="434"/>
  <c r="U14" i="434"/>
  <c r="G27" i="432"/>
  <c r="X27" i="432" s="1"/>
  <c r="G26" i="432"/>
  <c r="X26" i="432" s="1"/>
  <c r="G24" i="432"/>
  <c r="X24" i="432" s="1"/>
  <c r="G23" i="432"/>
  <c r="X23" i="432" s="1"/>
  <c r="G21" i="432"/>
  <c r="X21" i="432" s="1"/>
  <c r="G20" i="432"/>
  <c r="X20" i="432" s="1"/>
  <c r="G18" i="432"/>
  <c r="X18" i="432" s="1"/>
  <c r="G17" i="432"/>
  <c r="X17" i="432" s="1"/>
  <c r="G15" i="432"/>
  <c r="X15" i="432" s="1"/>
  <c r="G14" i="432"/>
  <c r="X19" i="432" l="1"/>
  <c r="X22" i="432"/>
  <c r="J32" i="945"/>
  <c r="T150" i="261" s="1"/>
  <c r="S150" i="261"/>
  <c r="X25" i="432"/>
  <c r="U14" i="432"/>
  <c r="V14" i="432" s="1"/>
  <c r="X14" i="432"/>
  <c r="X28" i="432"/>
  <c r="J26" i="953"/>
  <c r="M31" i="953" s="1"/>
  <c r="M33" i="953" s="1"/>
  <c r="J38" i="943"/>
  <c r="J34" i="943"/>
  <c r="J27" i="939"/>
  <c r="J23" i="939"/>
  <c r="T142" i="261" s="1"/>
  <c r="S142" i="261"/>
  <c r="U15" i="432"/>
  <c r="I15" i="432"/>
  <c r="U21" i="432"/>
  <c r="I21" i="432"/>
  <c r="U27" i="432"/>
  <c r="I27" i="432"/>
  <c r="U15" i="434"/>
  <c r="I15" i="434"/>
  <c r="U21" i="434"/>
  <c r="I21" i="434"/>
  <c r="U27" i="434"/>
  <c r="I27" i="434"/>
  <c r="U17" i="432"/>
  <c r="I17" i="432"/>
  <c r="U23" i="432"/>
  <c r="I23" i="432"/>
  <c r="U17" i="434"/>
  <c r="I17" i="434"/>
  <c r="U23" i="434"/>
  <c r="I23" i="434"/>
  <c r="U18" i="432"/>
  <c r="I18" i="432"/>
  <c r="U24" i="432"/>
  <c r="I24" i="432"/>
  <c r="U18" i="434"/>
  <c r="I18" i="434"/>
  <c r="U24" i="434"/>
  <c r="I24" i="434"/>
  <c r="I14" i="432"/>
  <c r="U20" i="432"/>
  <c r="I20" i="432"/>
  <c r="U26" i="432"/>
  <c r="I26" i="432"/>
  <c r="U20" i="434"/>
  <c r="I20" i="434"/>
  <c r="U26" i="434"/>
  <c r="I26" i="434"/>
  <c r="U22" i="432" l="1"/>
  <c r="U19" i="432"/>
  <c r="U16" i="432"/>
  <c r="U28" i="432"/>
  <c r="X16" i="432"/>
  <c r="X29" i="432" s="1"/>
  <c r="Y14" i="432"/>
  <c r="J31" i="953"/>
  <c r="J27" i="953"/>
  <c r="U25" i="432"/>
  <c r="X31" i="432" l="1"/>
  <c r="X32" i="432" s="1"/>
  <c r="N40" i="261"/>
  <c r="E19" i="674" s="1"/>
  <c r="U29" i="432"/>
  <c r="U31" i="432" s="1"/>
  <c r="U32" i="432" s="1"/>
  <c r="J28" i="953"/>
  <c r="J32" i="953"/>
  <c r="X33" i="432" l="1"/>
  <c r="Q40" i="261"/>
  <c r="E21" i="674" s="1"/>
  <c r="U33" i="432"/>
  <c r="X42" i="432" s="1"/>
  <c r="C31" i="674" s="1"/>
  <c r="X43" i="432" l="1"/>
  <c r="R40" i="261"/>
  <c r="X34" i="432"/>
  <c r="U34" i="432"/>
  <c r="U35" i="432" s="1"/>
  <c r="U42" i="432"/>
  <c r="G20" i="516"/>
  <c r="R20" i="516" s="1"/>
  <c r="S20" i="516" s="1"/>
  <c r="G19" i="516"/>
  <c r="R19" i="516" s="1"/>
  <c r="S19" i="516" s="1"/>
  <c r="G18" i="516"/>
  <c r="I18" i="516" s="1"/>
  <c r="G16" i="516"/>
  <c r="R16" i="516" s="1"/>
  <c r="S16" i="516" s="1"/>
  <c r="G15" i="516"/>
  <c r="R15" i="516" s="1"/>
  <c r="S15" i="516" s="1"/>
  <c r="G14" i="516"/>
  <c r="I14" i="516" s="1"/>
  <c r="T14" i="393"/>
  <c r="G39" i="393"/>
  <c r="I39" i="393" s="1"/>
  <c r="G38" i="393"/>
  <c r="I38" i="393" s="1"/>
  <c r="G36" i="393"/>
  <c r="I36" i="393" s="1"/>
  <c r="G35" i="393"/>
  <c r="I35" i="393" s="1"/>
  <c r="G33" i="393"/>
  <c r="I33" i="393" s="1"/>
  <c r="G32" i="393"/>
  <c r="I32" i="393" s="1"/>
  <c r="G30" i="393"/>
  <c r="I30" i="393" s="1"/>
  <c r="G29" i="393"/>
  <c r="I29" i="393" s="1"/>
  <c r="G27" i="393"/>
  <c r="I27" i="393" s="1"/>
  <c r="G26" i="393"/>
  <c r="I26" i="393" s="1"/>
  <c r="G24" i="393"/>
  <c r="I24" i="393" s="1"/>
  <c r="G23" i="393"/>
  <c r="I23" i="393" s="1"/>
  <c r="G21" i="393"/>
  <c r="I21" i="393" s="1"/>
  <c r="G20" i="393"/>
  <c r="I20" i="393" s="1"/>
  <c r="G18" i="393"/>
  <c r="I18" i="393" s="1"/>
  <c r="G17" i="393"/>
  <c r="I17" i="393" s="1"/>
  <c r="G15" i="393"/>
  <c r="I15" i="393" s="1"/>
  <c r="G14" i="393"/>
  <c r="G18" i="531"/>
  <c r="O18" i="531" s="1"/>
  <c r="G17" i="531"/>
  <c r="O17" i="531" s="1"/>
  <c r="G15" i="531"/>
  <c r="O15" i="531" s="1"/>
  <c r="G14" i="531"/>
  <c r="G20" i="430"/>
  <c r="I20" i="430" s="1"/>
  <c r="I21" i="430" s="1"/>
  <c r="G18" i="430"/>
  <c r="I18" i="430" s="1"/>
  <c r="I19" i="430" s="1"/>
  <c r="G16" i="430"/>
  <c r="R16" i="430" s="1"/>
  <c r="G14" i="430"/>
  <c r="X35" i="432" l="1"/>
  <c r="T40" i="261" s="1"/>
  <c r="E24" i="674" s="1"/>
  <c r="S40" i="261"/>
  <c r="E23" i="674" s="1"/>
  <c r="G10" i="674"/>
  <c r="E22" i="674"/>
  <c r="C32" i="674"/>
  <c r="R14" i="430"/>
  <c r="I14" i="430"/>
  <c r="O14" i="531"/>
  <c r="I14" i="531"/>
  <c r="R35" i="393"/>
  <c r="I14" i="393"/>
  <c r="I19" i="393"/>
  <c r="I25" i="393"/>
  <c r="I31" i="393"/>
  <c r="I37" i="393"/>
  <c r="I22" i="393"/>
  <c r="I28" i="393"/>
  <c r="I34" i="393"/>
  <c r="I40" i="393"/>
  <c r="I15" i="531"/>
  <c r="R14" i="393"/>
  <c r="R18" i="393"/>
  <c r="R24" i="393"/>
  <c r="R30" i="393"/>
  <c r="R36" i="393"/>
  <c r="I19" i="516"/>
  <c r="R14" i="516"/>
  <c r="S14" i="516" s="1"/>
  <c r="R18" i="516"/>
  <c r="S18" i="516" s="1"/>
  <c r="I17" i="531"/>
  <c r="R20" i="393"/>
  <c r="R26" i="393"/>
  <c r="R32" i="393"/>
  <c r="R38" i="393"/>
  <c r="I15" i="516"/>
  <c r="I20" i="516"/>
  <c r="I18" i="531"/>
  <c r="R15" i="393"/>
  <c r="R21" i="393"/>
  <c r="R27" i="393"/>
  <c r="R33" i="393"/>
  <c r="R39" i="393"/>
  <c r="I16" i="516"/>
  <c r="R17" i="393"/>
  <c r="R23" i="393"/>
  <c r="R29" i="393"/>
  <c r="R18" i="430"/>
  <c r="S18" i="430" s="1"/>
  <c r="I16" i="430"/>
  <c r="I17" i="430" s="1"/>
  <c r="R20" i="430"/>
  <c r="S20" i="430" s="1"/>
  <c r="G16" i="330"/>
  <c r="R16" i="330" s="1"/>
  <c r="G14" i="330"/>
  <c r="I14" i="330" s="1"/>
  <c r="Q14" i="514"/>
  <c r="G16" i="514"/>
  <c r="I16" i="514" s="1"/>
  <c r="I17" i="514" s="1"/>
  <c r="G14" i="514"/>
  <c r="G70" i="593"/>
  <c r="G68" i="593"/>
  <c r="G66" i="593"/>
  <c r="G64" i="593"/>
  <c r="G62" i="593"/>
  <c r="G60" i="593"/>
  <c r="G58" i="593"/>
  <c r="G57" i="593"/>
  <c r="G55" i="593"/>
  <c r="G54" i="593"/>
  <c r="G52" i="593"/>
  <c r="G50" i="593"/>
  <c r="G49" i="593"/>
  <c r="G47" i="593"/>
  <c r="X47" i="593" s="1"/>
  <c r="G46" i="593"/>
  <c r="G44" i="593"/>
  <c r="G43" i="593"/>
  <c r="G41" i="593"/>
  <c r="G40" i="593"/>
  <c r="G38" i="593"/>
  <c r="G37" i="593"/>
  <c r="G35" i="593"/>
  <c r="G34" i="593"/>
  <c r="G33" i="593"/>
  <c r="G31" i="593"/>
  <c r="G30" i="593"/>
  <c r="X30" i="593" s="1"/>
  <c r="G29" i="593"/>
  <c r="G27" i="593"/>
  <c r="G26" i="593"/>
  <c r="G25" i="593"/>
  <c r="G23" i="593"/>
  <c r="G22" i="593"/>
  <c r="X22" i="593" s="1"/>
  <c r="G21" i="593"/>
  <c r="G19" i="593"/>
  <c r="G18" i="593"/>
  <c r="X18" i="593" s="1"/>
  <c r="G17" i="593"/>
  <c r="G15" i="593"/>
  <c r="X15" i="593" s="1"/>
  <c r="G14" i="593"/>
  <c r="G16" i="529"/>
  <c r="I16" i="529" s="1"/>
  <c r="I17" i="529" s="1"/>
  <c r="G14" i="529"/>
  <c r="T14" i="512"/>
  <c r="G23" i="512"/>
  <c r="I23" i="512" s="1"/>
  <c r="G22" i="512"/>
  <c r="R22" i="512" s="1"/>
  <c r="G21" i="512"/>
  <c r="R21" i="512" s="1"/>
  <c r="G19" i="512"/>
  <c r="R19" i="512" s="1"/>
  <c r="G17" i="512"/>
  <c r="I17" i="512" s="1"/>
  <c r="G16" i="512"/>
  <c r="R16" i="512" s="1"/>
  <c r="G14" i="512"/>
  <c r="I14" i="514" l="1"/>
  <c r="O14" i="514"/>
  <c r="I25" i="593"/>
  <c r="X25" i="593"/>
  <c r="I35" i="593"/>
  <c r="X35" i="593"/>
  <c r="I60" i="593"/>
  <c r="I61" i="593" s="1"/>
  <c r="X60" i="593"/>
  <c r="I23" i="593"/>
  <c r="X23" i="593"/>
  <c r="U26" i="593"/>
  <c r="X26" i="593"/>
  <c r="U37" i="593"/>
  <c r="X37" i="593"/>
  <c r="U49" i="593"/>
  <c r="U51" i="593" s="1"/>
  <c r="X49" i="593"/>
  <c r="I62" i="593"/>
  <c r="I63" i="593" s="1"/>
  <c r="X62" i="593"/>
  <c r="I14" i="593"/>
  <c r="X14" i="593"/>
  <c r="U17" i="593"/>
  <c r="X17" i="593"/>
  <c r="U27" i="593"/>
  <c r="X27" i="593"/>
  <c r="U38" i="593"/>
  <c r="X38" i="593"/>
  <c r="U50" i="593"/>
  <c r="X50" i="593"/>
  <c r="U64" i="593"/>
  <c r="X64" i="593"/>
  <c r="U46" i="593"/>
  <c r="X46" i="593"/>
  <c r="U29" i="593"/>
  <c r="X29" i="593"/>
  <c r="U40" i="593"/>
  <c r="X40" i="593"/>
  <c r="U52" i="593"/>
  <c r="X52" i="593"/>
  <c r="U66" i="593"/>
  <c r="U67" i="593" s="1"/>
  <c r="X66" i="593"/>
  <c r="U34" i="593"/>
  <c r="X34" i="593"/>
  <c r="I19" i="593"/>
  <c r="X19" i="593"/>
  <c r="I41" i="593"/>
  <c r="X41" i="593"/>
  <c r="U54" i="593"/>
  <c r="U56" i="593" s="1"/>
  <c r="X54" i="593"/>
  <c r="U68" i="593"/>
  <c r="X68" i="593"/>
  <c r="U58" i="593"/>
  <c r="X58" i="593"/>
  <c r="U21" i="593"/>
  <c r="X21" i="593"/>
  <c r="X24" i="593" s="1"/>
  <c r="U31" i="593"/>
  <c r="X31" i="593"/>
  <c r="X32" i="593" s="1"/>
  <c r="U43" i="593"/>
  <c r="X43" i="593"/>
  <c r="U55" i="593"/>
  <c r="X55" i="593"/>
  <c r="U70" i="593"/>
  <c r="U71" i="593" s="1"/>
  <c r="X70" i="593"/>
  <c r="U33" i="593"/>
  <c r="X33" i="593"/>
  <c r="U44" i="593"/>
  <c r="X44" i="593"/>
  <c r="U57" i="593"/>
  <c r="U59" i="593" s="1"/>
  <c r="X57" i="593"/>
  <c r="R14" i="512"/>
  <c r="I14" i="512"/>
  <c r="R14" i="529"/>
  <c r="I14" i="529"/>
  <c r="I17" i="516"/>
  <c r="I23" i="516" s="1"/>
  <c r="I21" i="516"/>
  <c r="I19" i="531"/>
  <c r="I16" i="393"/>
  <c r="I41" i="393" s="1"/>
  <c r="I43" i="393" s="1"/>
  <c r="I46" i="393" s="1"/>
  <c r="I47" i="393" s="1"/>
  <c r="I16" i="531"/>
  <c r="U69" i="593"/>
  <c r="U39" i="593"/>
  <c r="I15" i="330"/>
  <c r="I15" i="514"/>
  <c r="I18" i="514" s="1"/>
  <c r="I20" i="514" s="1"/>
  <c r="I23" i="514" s="1"/>
  <c r="I24" i="514" s="1"/>
  <c r="I19" i="512"/>
  <c r="I20" i="512" s="1"/>
  <c r="R17" i="512"/>
  <c r="S17" i="512" s="1"/>
  <c r="R23" i="512"/>
  <c r="S23" i="512" s="1"/>
  <c r="I15" i="593"/>
  <c r="Y15" i="593" s="1"/>
  <c r="I21" i="593"/>
  <c r="I31" i="593"/>
  <c r="I37" i="593"/>
  <c r="I43" i="593"/>
  <c r="I50" i="593"/>
  <c r="I57" i="593"/>
  <c r="I64" i="593"/>
  <c r="I65" i="593" s="1"/>
  <c r="I44" i="593"/>
  <c r="U14" i="593"/>
  <c r="U35" i="593"/>
  <c r="U60" i="593"/>
  <c r="P14" i="514"/>
  <c r="I16" i="330"/>
  <c r="I17" i="330" s="1"/>
  <c r="R14" i="330"/>
  <c r="I21" i="512"/>
  <c r="I17" i="593"/>
  <c r="I27" i="593"/>
  <c r="I38" i="593"/>
  <c r="I58" i="593"/>
  <c r="I66" i="593"/>
  <c r="I67" i="593" s="1"/>
  <c r="U23" i="593"/>
  <c r="U41" i="593"/>
  <c r="U47" i="593"/>
  <c r="I15" i="430"/>
  <c r="I22" i="430" s="1"/>
  <c r="I24" i="430" s="1"/>
  <c r="I27" i="430" s="1"/>
  <c r="I28" i="430" s="1"/>
  <c r="I16" i="512"/>
  <c r="I18" i="512" s="1"/>
  <c r="I22" i="512"/>
  <c r="I29" i="593"/>
  <c r="I40" i="593"/>
  <c r="I54" i="593"/>
  <c r="I68" i="593"/>
  <c r="I69" i="593" s="1"/>
  <c r="U19" i="593"/>
  <c r="U25" i="593"/>
  <c r="U62" i="593"/>
  <c r="O16" i="514"/>
  <c r="P16" i="514" s="1"/>
  <c r="S16" i="430"/>
  <c r="I49" i="593"/>
  <c r="I55" i="593"/>
  <c r="I70" i="593"/>
  <c r="I71" i="593" s="1"/>
  <c r="S14" i="430"/>
  <c r="U65" i="593"/>
  <c r="U53" i="593"/>
  <c r="G21" i="509"/>
  <c r="G20" i="509"/>
  <c r="G18" i="509"/>
  <c r="G17" i="509"/>
  <c r="G15" i="509"/>
  <c r="G14" i="509"/>
  <c r="AC24" i="508"/>
  <c r="AC22" i="508"/>
  <c r="AC20" i="508"/>
  <c r="AC19" i="508"/>
  <c r="AC17" i="508"/>
  <c r="AC16" i="508"/>
  <c r="AC14" i="508"/>
  <c r="G24" i="508"/>
  <c r="I24" i="508" s="1"/>
  <c r="G22" i="508"/>
  <c r="AA22" i="508" s="1"/>
  <c r="G20" i="508"/>
  <c r="AA20" i="508" s="1"/>
  <c r="G19" i="508"/>
  <c r="I19" i="508" s="1"/>
  <c r="G17" i="508"/>
  <c r="AA17" i="508" s="1"/>
  <c r="G16" i="508"/>
  <c r="AA16" i="508" s="1"/>
  <c r="G14" i="508"/>
  <c r="G24" i="504"/>
  <c r="G22" i="504"/>
  <c r="G20" i="504"/>
  <c r="G19" i="504"/>
  <c r="G17" i="504"/>
  <c r="G16" i="504"/>
  <c r="G14" i="504"/>
  <c r="AA14" i="504" s="1"/>
  <c r="AC24" i="283"/>
  <c r="AC22" i="283"/>
  <c r="AC20" i="283"/>
  <c r="AC18" i="283"/>
  <c r="AC16" i="283"/>
  <c r="AC14" i="283"/>
  <c r="G24" i="283"/>
  <c r="G22" i="283"/>
  <c r="G20" i="283"/>
  <c r="G18" i="283"/>
  <c r="G16" i="283"/>
  <c r="G14" i="283"/>
  <c r="G71" i="282"/>
  <c r="G70" i="282"/>
  <c r="G69" i="282"/>
  <c r="G67" i="282"/>
  <c r="G66" i="282"/>
  <c r="G65" i="282"/>
  <c r="G63" i="282"/>
  <c r="G62" i="282"/>
  <c r="G61" i="282"/>
  <c r="G59" i="282"/>
  <c r="G58" i="282"/>
  <c r="G57" i="282"/>
  <c r="G55" i="282"/>
  <c r="G54" i="282"/>
  <c r="G53" i="282"/>
  <c r="G51" i="282"/>
  <c r="X51" i="282" s="1"/>
  <c r="G49" i="282"/>
  <c r="G48" i="282"/>
  <c r="G47" i="282"/>
  <c r="G45" i="282"/>
  <c r="G44" i="282"/>
  <c r="G43" i="282"/>
  <c r="G41" i="282"/>
  <c r="G40" i="282"/>
  <c r="G39" i="282"/>
  <c r="G37" i="282"/>
  <c r="G36" i="282"/>
  <c r="G35" i="282"/>
  <c r="G33" i="282"/>
  <c r="G32" i="282"/>
  <c r="G31" i="282"/>
  <c r="G29" i="282"/>
  <c r="G28" i="282"/>
  <c r="G27" i="282"/>
  <c r="G25" i="282"/>
  <c r="G24" i="282"/>
  <c r="G23" i="282"/>
  <c r="G21" i="282"/>
  <c r="G20" i="282"/>
  <c r="G19" i="282"/>
  <c r="G17" i="282"/>
  <c r="G16" i="282"/>
  <c r="G14" i="282"/>
  <c r="W39" i="502"/>
  <c r="Y38" i="502"/>
  <c r="W38" i="502"/>
  <c r="W36" i="502"/>
  <c r="Y35" i="502"/>
  <c r="W35" i="502"/>
  <c r="Y34" i="502"/>
  <c r="W34" i="502"/>
  <c r="W32" i="502"/>
  <c r="Y31" i="502"/>
  <c r="W31" i="502"/>
  <c r="W29" i="502"/>
  <c r="Y28" i="502"/>
  <c r="W28" i="502"/>
  <c r="Y27" i="502"/>
  <c r="W27" i="502"/>
  <c r="Y25" i="502"/>
  <c r="W25" i="502"/>
  <c r="W24" i="502"/>
  <c r="W22" i="502"/>
  <c r="Y21" i="502"/>
  <c r="W21" i="502"/>
  <c r="W19" i="502"/>
  <c r="Y18" i="502"/>
  <c r="W18" i="502"/>
  <c r="W16" i="502"/>
  <c r="G39" i="502"/>
  <c r="I39" i="502" s="1"/>
  <c r="U39" i="502" s="1"/>
  <c r="V39" i="502" s="1"/>
  <c r="G38" i="502"/>
  <c r="I38" i="502" s="1"/>
  <c r="G36" i="502"/>
  <c r="I36" i="502" s="1"/>
  <c r="U36" i="502" s="1"/>
  <c r="V36" i="502" s="1"/>
  <c r="G35" i="502"/>
  <c r="I35" i="502" s="1"/>
  <c r="U35" i="502" s="1"/>
  <c r="G34" i="502"/>
  <c r="I34" i="502" s="1"/>
  <c r="G32" i="502"/>
  <c r="I32" i="502" s="1"/>
  <c r="U32" i="502" s="1"/>
  <c r="V32" i="502" s="1"/>
  <c r="G31" i="502"/>
  <c r="I31" i="502" s="1"/>
  <c r="G29" i="502"/>
  <c r="I29" i="502" s="1"/>
  <c r="U29" i="502" s="1"/>
  <c r="V29" i="502" s="1"/>
  <c r="G28" i="502"/>
  <c r="I28" i="502" s="1"/>
  <c r="U28" i="502" s="1"/>
  <c r="G27" i="502"/>
  <c r="I27" i="502" s="1"/>
  <c r="G25" i="502"/>
  <c r="I25" i="502" s="1"/>
  <c r="U25" i="502" s="1"/>
  <c r="G24" i="502"/>
  <c r="I24" i="502" s="1"/>
  <c r="G22" i="502"/>
  <c r="I22" i="502" s="1"/>
  <c r="U22" i="502" s="1"/>
  <c r="V22" i="502" s="1"/>
  <c r="G21" i="502"/>
  <c r="I21" i="502" s="1"/>
  <c r="G19" i="502"/>
  <c r="I19" i="502" s="1"/>
  <c r="U19" i="502" s="1"/>
  <c r="V19" i="502" s="1"/>
  <c r="G18" i="502"/>
  <c r="I18" i="502" s="1"/>
  <c r="G15" i="502"/>
  <c r="I15" i="502" s="1"/>
  <c r="U15" i="502" s="1"/>
  <c r="V15" i="502" s="1"/>
  <c r="G16" i="502"/>
  <c r="I16" i="502" s="1"/>
  <c r="U16" i="502" s="1"/>
  <c r="V16" i="502" s="1"/>
  <c r="G14" i="502"/>
  <c r="I14" i="502" s="1"/>
  <c r="G44" i="501"/>
  <c r="I44" i="501" s="1"/>
  <c r="I45" i="501" s="1"/>
  <c r="G42" i="501"/>
  <c r="I42" i="501" s="1"/>
  <c r="G41" i="501"/>
  <c r="I41" i="501" s="1"/>
  <c r="G40" i="501"/>
  <c r="I40" i="501" s="1"/>
  <c r="G38" i="501"/>
  <c r="I38" i="501" s="1"/>
  <c r="G37" i="501"/>
  <c r="I37" i="501" s="1"/>
  <c r="G36" i="501"/>
  <c r="I36" i="501" s="1"/>
  <c r="G34" i="501"/>
  <c r="I34" i="501" s="1"/>
  <c r="G33" i="501"/>
  <c r="I33" i="501" s="1"/>
  <c r="G32" i="501"/>
  <c r="I32" i="501" s="1"/>
  <c r="G30" i="501"/>
  <c r="I30" i="501" s="1"/>
  <c r="G29" i="501"/>
  <c r="I29" i="501" s="1"/>
  <c r="G28" i="501"/>
  <c r="I28" i="501" s="1"/>
  <c r="G26" i="501"/>
  <c r="G24" i="501"/>
  <c r="I24" i="501" s="1"/>
  <c r="G23" i="501"/>
  <c r="I23" i="501" s="1"/>
  <c r="G22" i="501"/>
  <c r="I22" i="501" s="1"/>
  <c r="G20" i="501"/>
  <c r="I20" i="501" s="1"/>
  <c r="G19" i="501"/>
  <c r="G18" i="501"/>
  <c r="G16" i="501"/>
  <c r="I16" i="501" s="1"/>
  <c r="G15" i="501"/>
  <c r="G14" i="501"/>
  <c r="G36" i="497"/>
  <c r="U36" i="497" s="1"/>
  <c r="G35" i="497"/>
  <c r="U35" i="497" s="1"/>
  <c r="G33" i="497"/>
  <c r="U33" i="497" s="1"/>
  <c r="G32" i="497"/>
  <c r="I32" i="497" s="1"/>
  <c r="G31" i="497"/>
  <c r="U31" i="497" s="1"/>
  <c r="G29" i="497"/>
  <c r="U29" i="497" s="1"/>
  <c r="G28" i="497"/>
  <c r="U28" i="497" s="1"/>
  <c r="G26" i="497"/>
  <c r="U26" i="497" s="1"/>
  <c r="G25" i="497"/>
  <c r="U25" i="497" s="1"/>
  <c r="G24" i="497"/>
  <c r="U24" i="497" s="1"/>
  <c r="G22" i="497"/>
  <c r="U22" i="497" s="1"/>
  <c r="G21" i="497"/>
  <c r="U21" i="497" s="1"/>
  <c r="G19" i="497"/>
  <c r="U19" i="497" s="1"/>
  <c r="G18" i="497"/>
  <c r="U18" i="497" s="1"/>
  <c r="G15" i="497"/>
  <c r="U15" i="497" s="1"/>
  <c r="G16" i="497"/>
  <c r="U16" i="497" s="1"/>
  <c r="G14" i="497"/>
  <c r="G36" i="495"/>
  <c r="G34" i="495"/>
  <c r="G32" i="495"/>
  <c r="G31" i="495"/>
  <c r="G30" i="495"/>
  <c r="G28" i="495"/>
  <c r="G27" i="495"/>
  <c r="G26" i="495"/>
  <c r="G24" i="495"/>
  <c r="G23" i="495"/>
  <c r="G22" i="495"/>
  <c r="G20" i="495"/>
  <c r="G18" i="495"/>
  <c r="G16" i="495"/>
  <c r="G14" i="495"/>
  <c r="AD14" i="495" s="1"/>
  <c r="U45" i="593" l="1"/>
  <c r="S14" i="512"/>
  <c r="U36" i="593"/>
  <c r="I45" i="282"/>
  <c r="X45" i="282"/>
  <c r="I25" i="282"/>
  <c r="X25" i="282"/>
  <c r="I36" i="282"/>
  <c r="X36" i="282"/>
  <c r="I47" i="282"/>
  <c r="X47" i="282"/>
  <c r="I58" i="282"/>
  <c r="X58" i="282"/>
  <c r="I69" i="282"/>
  <c r="X69" i="282"/>
  <c r="I24" i="283"/>
  <c r="I25" i="283" s="1"/>
  <c r="AA24" i="283"/>
  <c r="I20" i="509"/>
  <c r="U20" i="509"/>
  <c r="I22" i="283"/>
  <c r="I23" i="283" s="1"/>
  <c r="AA22" i="283"/>
  <c r="I16" i="282"/>
  <c r="X16" i="282"/>
  <c r="I27" i="282"/>
  <c r="X27" i="282"/>
  <c r="I37" i="282"/>
  <c r="X37" i="282"/>
  <c r="I48" i="282"/>
  <c r="X48" i="282"/>
  <c r="I59" i="282"/>
  <c r="I60" i="282" s="1"/>
  <c r="X59" i="282"/>
  <c r="I70" i="282"/>
  <c r="X70" i="282"/>
  <c r="I21" i="509"/>
  <c r="U21" i="509"/>
  <c r="I57" i="282"/>
  <c r="X57" i="282"/>
  <c r="I17" i="282"/>
  <c r="X17" i="282"/>
  <c r="I28" i="282"/>
  <c r="X28" i="282"/>
  <c r="I39" i="282"/>
  <c r="X39" i="282"/>
  <c r="I49" i="282"/>
  <c r="X49" i="282"/>
  <c r="I61" i="282"/>
  <c r="X61" i="282"/>
  <c r="I71" i="282"/>
  <c r="X71" i="282"/>
  <c r="I35" i="282"/>
  <c r="X35" i="282"/>
  <c r="I18" i="509"/>
  <c r="U18" i="509"/>
  <c r="I19" i="282"/>
  <c r="X19" i="282"/>
  <c r="I29" i="282"/>
  <c r="X29" i="282"/>
  <c r="I40" i="282"/>
  <c r="X40" i="282"/>
  <c r="X52" i="282"/>
  <c r="I62" i="282"/>
  <c r="X62" i="282"/>
  <c r="I67" i="282"/>
  <c r="X67" i="282"/>
  <c r="I20" i="282"/>
  <c r="X20" i="282"/>
  <c r="I31" i="282"/>
  <c r="X31" i="282"/>
  <c r="I41" i="282"/>
  <c r="X41" i="282"/>
  <c r="I53" i="282"/>
  <c r="X53" i="282"/>
  <c r="I63" i="282"/>
  <c r="X63" i="282"/>
  <c r="I16" i="283"/>
  <c r="I17" i="283" s="1"/>
  <c r="AA16" i="283"/>
  <c r="AB16" i="283" s="1"/>
  <c r="I14" i="509"/>
  <c r="U14" i="509"/>
  <c r="U28" i="593"/>
  <c r="S19" i="512"/>
  <c r="I21" i="282"/>
  <c r="X21" i="282"/>
  <c r="I32" i="282"/>
  <c r="X32" i="282"/>
  <c r="I43" i="282"/>
  <c r="X43" i="282"/>
  <c r="I54" i="282"/>
  <c r="X54" i="282"/>
  <c r="I65" i="282"/>
  <c r="X65" i="282"/>
  <c r="I18" i="283"/>
  <c r="I19" i="283" s="1"/>
  <c r="AA18" i="283"/>
  <c r="I15" i="509"/>
  <c r="U15" i="509"/>
  <c r="U48" i="593"/>
  <c r="I24" i="282"/>
  <c r="I26" i="282" s="1"/>
  <c r="X24" i="282"/>
  <c r="I23" i="282"/>
  <c r="X23" i="282"/>
  <c r="I33" i="282"/>
  <c r="I34" i="282" s="1"/>
  <c r="X33" i="282"/>
  <c r="I44" i="282"/>
  <c r="I46" i="282" s="1"/>
  <c r="X44" i="282"/>
  <c r="I55" i="282"/>
  <c r="X55" i="282"/>
  <c r="I66" i="282"/>
  <c r="X66" i="282"/>
  <c r="I20" i="283"/>
  <c r="I21" i="283" s="1"/>
  <c r="AA20" i="283"/>
  <c r="I17" i="509"/>
  <c r="I19" i="509" s="1"/>
  <c r="U17" i="509"/>
  <c r="X28" i="593"/>
  <c r="X51" i="593"/>
  <c r="Y49" i="593"/>
  <c r="Y44" i="593"/>
  <c r="Y55" i="593"/>
  <c r="Y58" i="593"/>
  <c r="X53" i="593"/>
  <c r="Y60" i="593"/>
  <c r="X61" i="593"/>
  <c r="Y61" i="593" s="1"/>
  <c r="Y64" i="593"/>
  <c r="X65" i="593"/>
  <c r="Y65" i="593" s="1"/>
  <c r="X20" i="593"/>
  <c r="X39" i="593"/>
  <c r="Y37" i="593"/>
  <c r="Y43" i="593"/>
  <c r="X45" i="593"/>
  <c r="X69" i="593"/>
  <c r="Y69" i="593" s="1"/>
  <c r="Y68" i="593"/>
  <c r="X42" i="593"/>
  <c r="Y40" i="593"/>
  <c r="Y50" i="593"/>
  <c r="Y14" i="593"/>
  <c r="X16" i="593"/>
  <c r="I42" i="593"/>
  <c r="X56" i="593"/>
  <c r="Y54" i="593"/>
  <c r="X36" i="593"/>
  <c r="Y38" i="593"/>
  <c r="X63" i="593"/>
  <c r="Y63" i="593" s="1"/>
  <c r="Y62" i="593"/>
  <c r="X48" i="593"/>
  <c r="X59" i="593"/>
  <c r="Y57" i="593"/>
  <c r="X71" i="593"/>
  <c r="Y70" i="593"/>
  <c r="Y41" i="593"/>
  <c r="X67" i="593"/>
  <c r="Y67" i="593" s="1"/>
  <c r="Y66" i="593"/>
  <c r="S14" i="529"/>
  <c r="I19" i="504"/>
  <c r="AA19" i="504"/>
  <c r="I20" i="504"/>
  <c r="AA20" i="504"/>
  <c r="X22" i="504"/>
  <c r="Y22" i="504" s="1"/>
  <c r="AA22" i="504"/>
  <c r="X24" i="504"/>
  <c r="AA24" i="504"/>
  <c r="AA15" i="504"/>
  <c r="X16" i="504"/>
  <c r="X18" i="504" s="1"/>
  <c r="AA16" i="504"/>
  <c r="X17" i="504"/>
  <c r="AA17" i="504"/>
  <c r="X14" i="282"/>
  <c r="AA24" i="495"/>
  <c r="AD24" i="495"/>
  <c r="I26" i="495"/>
  <c r="AD26" i="495"/>
  <c r="AD15" i="495"/>
  <c r="AA27" i="495"/>
  <c r="AD27" i="495"/>
  <c r="AA16" i="495"/>
  <c r="AD16" i="495"/>
  <c r="AA28" i="495"/>
  <c r="AD28" i="495"/>
  <c r="AA18" i="495"/>
  <c r="AA19" i="495" s="1"/>
  <c r="AD18" i="495"/>
  <c r="I30" i="495"/>
  <c r="AD30" i="495"/>
  <c r="I20" i="495"/>
  <c r="I21" i="495" s="1"/>
  <c r="AD20" i="495"/>
  <c r="I31" i="495"/>
  <c r="AD31" i="495"/>
  <c r="AA22" i="495"/>
  <c r="AD22" i="495"/>
  <c r="AA32" i="495"/>
  <c r="AD32" i="495"/>
  <c r="AA36" i="495"/>
  <c r="AD36" i="495"/>
  <c r="AA23" i="495"/>
  <c r="AD23" i="495"/>
  <c r="AA34" i="495"/>
  <c r="AA35" i="495" s="1"/>
  <c r="AD34" i="495"/>
  <c r="O18" i="501"/>
  <c r="I18" i="501"/>
  <c r="I51" i="282"/>
  <c r="I52" i="282" s="1"/>
  <c r="U51" i="282"/>
  <c r="I14" i="501"/>
  <c r="O38" i="501" s="1"/>
  <c r="O14" i="501"/>
  <c r="I19" i="501"/>
  <c r="I21" i="501" s="1"/>
  <c r="O19" i="501"/>
  <c r="I15" i="501"/>
  <c r="O15" i="501"/>
  <c r="I26" i="501"/>
  <c r="I27" i="501" s="1"/>
  <c r="O26" i="501"/>
  <c r="U67" i="282"/>
  <c r="I14" i="282"/>
  <c r="AA14" i="495"/>
  <c r="AA15" i="495" s="1"/>
  <c r="I14" i="495"/>
  <c r="AE14" i="495" s="1"/>
  <c r="I14" i="283"/>
  <c r="X14" i="504"/>
  <c r="X15" i="504" s="1"/>
  <c r="I14" i="504"/>
  <c r="AB14" i="504" s="1"/>
  <c r="U14" i="497"/>
  <c r="I14" i="497"/>
  <c r="AA14" i="508"/>
  <c r="I14" i="508"/>
  <c r="U42" i="593"/>
  <c r="I22" i="516"/>
  <c r="I24" i="516" s="1"/>
  <c r="I27" i="516" s="1"/>
  <c r="I28" i="516" s="1"/>
  <c r="I20" i="531"/>
  <c r="I22" i="531" s="1"/>
  <c r="I25" i="531" s="1"/>
  <c r="I26" i="531" s="1"/>
  <c r="I51" i="593"/>
  <c r="I18" i="330"/>
  <c r="I20" i="330" s="1"/>
  <c r="I23" i="330" s="1"/>
  <c r="I24" i="330" s="1"/>
  <c r="I39" i="593"/>
  <c r="I24" i="512"/>
  <c r="I59" i="593"/>
  <c r="U63" i="593"/>
  <c r="I56" i="593"/>
  <c r="I15" i="512"/>
  <c r="U61" i="593"/>
  <c r="I16" i="593"/>
  <c r="I15" i="529"/>
  <c r="I18" i="529" s="1"/>
  <c r="I20" i="529" s="1"/>
  <c r="I23" i="529" s="1"/>
  <c r="I24" i="529" s="1"/>
  <c r="M30" i="261" s="1"/>
  <c r="I45" i="593"/>
  <c r="I22" i="282"/>
  <c r="I16" i="504"/>
  <c r="I16" i="508"/>
  <c r="AB16" i="508" s="1"/>
  <c r="I22" i="504"/>
  <c r="I23" i="504" s="1"/>
  <c r="I22" i="508"/>
  <c r="AB22" i="508" s="1"/>
  <c r="I22" i="509"/>
  <c r="I42" i="282"/>
  <c r="X25" i="504"/>
  <c r="AA23" i="283"/>
  <c r="AB23" i="283" s="1"/>
  <c r="I16" i="509"/>
  <c r="AA18" i="508"/>
  <c r="AA23" i="508"/>
  <c r="AB23" i="508" s="1"/>
  <c r="I17" i="504"/>
  <c r="I24" i="504"/>
  <c r="I25" i="504" s="1"/>
  <c r="X19" i="504"/>
  <c r="I20" i="508"/>
  <c r="AA19" i="508"/>
  <c r="AB19" i="508" s="1"/>
  <c r="AA24" i="508"/>
  <c r="AB24" i="508" s="1"/>
  <c r="AA14" i="283"/>
  <c r="X20" i="504"/>
  <c r="I17" i="508"/>
  <c r="AB17" i="508" s="1"/>
  <c r="U34" i="502"/>
  <c r="U37" i="502" s="1"/>
  <c r="I37" i="502"/>
  <c r="I68" i="282"/>
  <c r="I20" i="502"/>
  <c r="U18" i="502"/>
  <c r="U20" i="502" s="1"/>
  <c r="I26" i="502"/>
  <c r="U24" i="502"/>
  <c r="U31" i="502"/>
  <c r="U33" i="502" s="1"/>
  <c r="I33" i="502"/>
  <c r="U14" i="502"/>
  <c r="V14" i="502" s="1"/>
  <c r="I17" i="502"/>
  <c r="U21" i="502"/>
  <c r="U23" i="502" s="1"/>
  <c r="I23" i="502"/>
  <c r="I30" i="502"/>
  <c r="U27" i="502"/>
  <c r="U30" i="502" s="1"/>
  <c r="I40" i="502"/>
  <c r="U38" i="502"/>
  <c r="U40" i="502" s="1"/>
  <c r="I50" i="282"/>
  <c r="I25" i="497"/>
  <c r="I36" i="497"/>
  <c r="V36" i="497" s="1"/>
  <c r="U16" i="282"/>
  <c r="U21" i="282"/>
  <c r="U29" i="282"/>
  <c r="U35" i="282"/>
  <c r="U37" i="282"/>
  <c r="U43" i="282"/>
  <c r="U54" i="282"/>
  <c r="U62" i="282"/>
  <c r="U69" i="282"/>
  <c r="U71" i="282"/>
  <c r="I15" i="497"/>
  <c r="I28" i="497"/>
  <c r="I39" i="501"/>
  <c r="U17" i="282"/>
  <c r="U23" i="282"/>
  <c r="U25" i="282"/>
  <c r="U31" i="282"/>
  <c r="U39" i="282"/>
  <c r="U44" i="282"/>
  <c r="U48" i="282"/>
  <c r="U53" i="282"/>
  <c r="U57" i="282"/>
  <c r="U59" i="282"/>
  <c r="U66" i="282"/>
  <c r="I19" i="497"/>
  <c r="V19" i="497" s="1"/>
  <c r="I31" i="497"/>
  <c r="U14" i="282"/>
  <c r="U19" i="282"/>
  <c r="U27" i="282"/>
  <c r="U32" i="282"/>
  <c r="U36" i="282"/>
  <c r="U40" i="282"/>
  <c r="U45" i="282"/>
  <c r="U61" i="282"/>
  <c r="U63" i="282"/>
  <c r="U70" i="282"/>
  <c r="I22" i="497"/>
  <c r="V22" i="497" s="1"/>
  <c r="I33" i="497"/>
  <c r="V33" i="497" s="1"/>
  <c r="U20" i="282"/>
  <c r="U24" i="282"/>
  <c r="U28" i="282"/>
  <c r="U33" i="282"/>
  <c r="U41" i="282"/>
  <c r="U47" i="282"/>
  <c r="U49" i="282"/>
  <c r="U55" i="282"/>
  <c r="U58" i="282"/>
  <c r="U65" i="282"/>
  <c r="O44" i="501"/>
  <c r="O16" i="501"/>
  <c r="O29" i="501"/>
  <c r="I35" i="501"/>
  <c r="I25" i="501"/>
  <c r="I31" i="501"/>
  <c r="I43" i="501"/>
  <c r="I18" i="497"/>
  <c r="I24" i="497"/>
  <c r="I29" i="497"/>
  <c r="I35" i="497"/>
  <c r="U32" i="497"/>
  <c r="I16" i="497"/>
  <c r="V16" i="497" s="1"/>
  <c r="I21" i="497"/>
  <c r="I26" i="497"/>
  <c r="V26" i="497" s="1"/>
  <c r="AA37" i="495"/>
  <c r="I22" i="495"/>
  <c r="I27" i="495"/>
  <c r="I32" i="495"/>
  <c r="I33" i="495" s="1"/>
  <c r="I16" i="495"/>
  <c r="I17" i="495" s="1"/>
  <c r="I23" i="495"/>
  <c r="I28" i="495"/>
  <c r="I34" i="495"/>
  <c r="I35" i="495" s="1"/>
  <c r="AA20" i="495"/>
  <c r="AA26" i="495"/>
  <c r="AA30" i="495"/>
  <c r="I18" i="495"/>
  <c r="I19" i="495" s="1"/>
  <c r="I24" i="495"/>
  <c r="I36" i="495"/>
  <c r="I37" i="495" s="1"/>
  <c r="AA31" i="495"/>
  <c r="AA17" i="495"/>
  <c r="AA25" i="495" l="1"/>
  <c r="I18" i="282"/>
  <c r="U17" i="502"/>
  <c r="O22" i="501"/>
  <c r="Y16" i="282"/>
  <c r="Y69" i="282"/>
  <c r="O24" i="501"/>
  <c r="O34" i="501"/>
  <c r="O30" i="501"/>
  <c r="O32" i="501"/>
  <c r="O37" i="501"/>
  <c r="Y47" i="282"/>
  <c r="AB14" i="508"/>
  <c r="AE31" i="495"/>
  <c r="Y44" i="282"/>
  <c r="Y61" i="282"/>
  <c r="Y17" i="282"/>
  <c r="AB22" i="283"/>
  <c r="Y40" i="282"/>
  <c r="Y35" i="282"/>
  <c r="Y65" i="282"/>
  <c r="Y53" i="282"/>
  <c r="I64" i="282"/>
  <c r="Y62" i="282"/>
  <c r="AE23" i="495"/>
  <c r="AE28" i="495"/>
  <c r="Y59" i="593"/>
  <c r="I72" i="282"/>
  <c r="I30" i="282"/>
  <c r="I38" i="282"/>
  <c r="Y43" i="282"/>
  <c r="Y19" i="282"/>
  <c r="I20" i="497"/>
  <c r="I56" i="282"/>
  <c r="Y32" i="282"/>
  <c r="Y31" i="282"/>
  <c r="Y39" i="282"/>
  <c r="X23" i="504"/>
  <c r="Y23" i="504" s="1"/>
  <c r="V17" i="509"/>
  <c r="U19" i="509"/>
  <c r="V19" i="509" s="1"/>
  <c r="AE24" i="495"/>
  <c r="U16" i="509"/>
  <c r="V16" i="509" s="1"/>
  <c r="V15" i="509"/>
  <c r="AE36" i="495"/>
  <c r="AE20" i="495"/>
  <c r="AE16" i="495"/>
  <c r="V14" i="509"/>
  <c r="Y28" i="282"/>
  <c r="Y70" i="282"/>
  <c r="Y27" i="282"/>
  <c r="Y36" i="282"/>
  <c r="V21" i="509"/>
  <c r="Y14" i="282"/>
  <c r="U22" i="509"/>
  <c r="V20" i="509"/>
  <c r="AE32" i="495"/>
  <c r="AE30" i="495"/>
  <c r="AE27" i="495"/>
  <c r="Y66" i="282"/>
  <c r="Y23" i="282"/>
  <c r="AE34" i="495"/>
  <c r="AE22" i="495"/>
  <c r="AE18" i="495"/>
  <c r="I21" i="504"/>
  <c r="Y24" i="282"/>
  <c r="Y20" i="282"/>
  <c r="Y51" i="282"/>
  <c r="V18" i="509"/>
  <c r="Y57" i="282"/>
  <c r="Y48" i="282"/>
  <c r="Y58" i="282"/>
  <c r="AE26" i="495"/>
  <c r="Y54" i="282"/>
  <c r="Y52" i="282"/>
  <c r="Y56" i="593"/>
  <c r="Y42" i="593"/>
  <c r="Y39" i="593"/>
  <c r="X72" i="593"/>
  <c r="Y45" i="593"/>
  <c r="Y16" i="593"/>
  <c r="Y51" i="593"/>
  <c r="AB24" i="504"/>
  <c r="AA25" i="504"/>
  <c r="AB17" i="504"/>
  <c r="AA23" i="504"/>
  <c r="AB23" i="504" s="1"/>
  <c r="AB22" i="504"/>
  <c r="AB16" i="504"/>
  <c r="AA18" i="504"/>
  <c r="AB19" i="504"/>
  <c r="AA21" i="504"/>
  <c r="X50" i="282"/>
  <c r="Y50" i="282" s="1"/>
  <c r="X60" i="282"/>
  <c r="Y60" i="282" s="1"/>
  <c r="X18" i="282"/>
  <c r="Y18" i="282" s="1"/>
  <c r="X72" i="282"/>
  <c r="X22" i="282"/>
  <c r="Y22" i="282" s="1"/>
  <c r="X26" i="282"/>
  <c r="Y26" i="282" s="1"/>
  <c r="X46" i="282"/>
  <c r="Y46" i="282" s="1"/>
  <c r="X56" i="282"/>
  <c r="Y56" i="282" s="1"/>
  <c r="X30" i="282"/>
  <c r="X64" i="282"/>
  <c r="X42" i="282"/>
  <c r="Y42" i="282" s="1"/>
  <c r="X38" i="282"/>
  <c r="Y38" i="282" s="1"/>
  <c r="X15" i="282"/>
  <c r="X34" i="282"/>
  <c r="Y34" i="282" s="1"/>
  <c r="X68" i="282"/>
  <c r="V51" i="282"/>
  <c r="AD35" i="495"/>
  <c r="AE35" i="495" s="1"/>
  <c r="AD25" i="495"/>
  <c r="AD19" i="495"/>
  <c r="AE19" i="495" s="1"/>
  <c r="AD29" i="495"/>
  <c r="AD37" i="495"/>
  <c r="AD21" i="495"/>
  <c r="AE21" i="495" s="1"/>
  <c r="AD17" i="495"/>
  <c r="AE17" i="495" s="1"/>
  <c r="AD33" i="495"/>
  <c r="O40" i="501"/>
  <c r="O42" i="501"/>
  <c r="O36" i="501"/>
  <c r="O28" i="501"/>
  <c r="AA15" i="508"/>
  <c r="I17" i="501"/>
  <c r="I46" i="501" s="1"/>
  <c r="I48" i="501" s="1"/>
  <c r="I51" i="501" s="1"/>
  <c r="I52" i="501" s="1"/>
  <c r="O41" i="501"/>
  <c r="O33" i="501"/>
  <c r="O23" i="501"/>
  <c r="O20" i="501"/>
  <c r="AA25" i="508"/>
  <c r="U52" i="282"/>
  <c r="I30" i="497"/>
  <c r="I25" i="512"/>
  <c r="I26" i="512" s="1"/>
  <c r="I27" i="512" s="1"/>
  <c r="I30" i="512" s="1"/>
  <c r="I31" i="512" s="1"/>
  <c r="I34" i="497"/>
  <c r="I23" i="497"/>
  <c r="X21" i="504"/>
  <c r="I37" i="497"/>
  <c r="I18" i="504"/>
  <c r="Y18" i="504" s="1"/>
  <c r="I23" i="509"/>
  <c r="I25" i="509" s="1"/>
  <c r="I28" i="509" s="1"/>
  <c r="I29" i="509" s="1"/>
  <c r="AA17" i="283"/>
  <c r="AB17" i="283" s="1"/>
  <c r="AA21" i="508"/>
  <c r="I41" i="502"/>
  <c r="I43" i="502" s="1"/>
  <c r="I46" i="502" s="1"/>
  <c r="I47" i="502" s="1"/>
  <c r="I15" i="282"/>
  <c r="I15" i="283"/>
  <c r="I26" i="283" s="1"/>
  <c r="I28" i="283" s="1"/>
  <c r="AA15" i="283"/>
  <c r="AB14" i="283"/>
  <c r="AB24" i="283"/>
  <c r="AA25" i="283"/>
  <c r="AB25" i="283" s="1"/>
  <c r="I15" i="504"/>
  <c r="AB15" i="504" s="1"/>
  <c r="AB18" i="283"/>
  <c r="AA19" i="283"/>
  <c r="AB19" i="283" s="1"/>
  <c r="AB20" i="283"/>
  <c r="AA21" i="283"/>
  <c r="AB21" i="283" s="1"/>
  <c r="U64" i="282"/>
  <c r="U60" i="282"/>
  <c r="U18" i="282"/>
  <c r="V24" i="502"/>
  <c r="U26" i="502"/>
  <c r="U41" i="502" s="1"/>
  <c r="U43" i="502" s="1"/>
  <c r="U68" i="282"/>
  <c r="U50" i="282"/>
  <c r="U30" i="282"/>
  <c r="U56" i="282"/>
  <c r="U34" i="282"/>
  <c r="U38" i="282"/>
  <c r="U42" i="282"/>
  <c r="U22" i="282"/>
  <c r="I27" i="497"/>
  <c r="U15" i="282"/>
  <c r="U46" i="282"/>
  <c r="U26" i="282"/>
  <c r="U72" i="282"/>
  <c r="I17" i="497"/>
  <c r="V29" i="497"/>
  <c r="AA29" i="495"/>
  <c r="V21" i="497"/>
  <c r="AA21" i="495"/>
  <c r="I15" i="495"/>
  <c r="AE15" i="495" s="1"/>
  <c r="I29" i="495"/>
  <c r="AA33" i="495"/>
  <c r="I25" i="495"/>
  <c r="Y64" i="282" l="1"/>
  <c r="Y72" i="282"/>
  <c r="X26" i="504"/>
  <c r="Y30" i="282"/>
  <c r="I73" i="282"/>
  <c r="I75" i="282" s="1"/>
  <c r="I78" i="282" s="1"/>
  <c r="I79" i="282" s="1"/>
  <c r="AA26" i="508"/>
  <c r="N25" i="261" s="1"/>
  <c r="E19" i="652" s="1"/>
  <c r="AB21" i="504"/>
  <c r="AA28" i="508"/>
  <c r="AA29" i="508" s="1"/>
  <c r="Q25" i="261" s="1"/>
  <c r="E21" i="652" s="1"/>
  <c r="AE37" i="495"/>
  <c r="Y15" i="282"/>
  <c r="AE29" i="495"/>
  <c r="X74" i="593"/>
  <c r="X75" i="593" s="1"/>
  <c r="N31" i="261"/>
  <c r="E19" i="661" s="1"/>
  <c r="V22" i="509"/>
  <c r="AB15" i="283"/>
  <c r="AE25" i="495"/>
  <c r="U23" i="509"/>
  <c r="AB25" i="504"/>
  <c r="AB18" i="504"/>
  <c r="AA26" i="504"/>
  <c r="Y68" i="282"/>
  <c r="AD38" i="495"/>
  <c r="X28" i="504"/>
  <c r="X29" i="504" s="1"/>
  <c r="I26" i="504"/>
  <c r="I28" i="504" s="1"/>
  <c r="I31" i="504" s="1"/>
  <c r="I32" i="504" s="1"/>
  <c r="I31" i="283"/>
  <c r="I32" i="283" s="1"/>
  <c r="U73" i="282"/>
  <c r="U75" i="282" s="1"/>
  <c r="U76" i="282" s="1"/>
  <c r="U77" i="282" s="1"/>
  <c r="AA26" i="283"/>
  <c r="AA28" i="283" s="1"/>
  <c r="AA29" i="283" s="1"/>
  <c r="AA38" i="495"/>
  <c r="U44" i="502"/>
  <c r="U45" i="502" s="1"/>
  <c r="U53" i="502" s="1"/>
  <c r="C31" i="647" s="1"/>
  <c r="I38" i="495"/>
  <c r="I40" i="495" s="1"/>
  <c r="I43" i="495" s="1"/>
  <c r="I44" i="495" s="1"/>
  <c r="X76" i="593" l="1"/>
  <c r="Q31" i="261"/>
  <c r="E21" i="661" s="1"/>
  <c r="AD40" i="495"/>
  <c r="AD41" i="495" s="1"/>
  <c r="N18" i="261"/>
  <c r="E19" i="642" s="1"/>
  <c r="U25" i="509"/>
  <c r="N26" i="261"/>
  <c r="E19" i="653" s="1"/>
  <c r="X86" i="282"/>
  <c r="C31" i="648" s="1"/>
  <c r="U86" i="282"/>
  <c r="AA28" i="504"/>
  <c r="AA29" i="504" s="1"/>
  <c r="N24" i="261"/>
  <c r="E19" i="651" s="1"/>
  <c r="AA30" i="508"/>
  <c r="AA30" i="283"/>
  <c r="AA40" i="495"/>
  <c r="AA41" i="495" s="1"/>
  <c r="X30" i="504"/>
  <c r="U78" i="282"/>
  <c r="U79" i="282" s="1"/>
  <c r="AA31" i="508"/>
  <c r="U46" i="502"/>
  <c r="U47" i="502" s="1"/>
  <c r="AA30" i="504" l="1"/>
  <c r="Q24" i="261"/>
  <c r="E21" i="651" s="1"/>
  <c r="U26" i="509"/>
  <c r="Q26" i="261" s="1"/>
  <c r="E21" i="653" s="1"/>
  <c r="AA42" i="283"/>
  <c r="C33" i="650" s="1"/>
  <c r="AA40" i="508"/>
  <c r="C33" i="652" s="1"/>
  <c r="R25" i="261"/>
  <c r="AD42" i="495"/>
  <c r="Q18" i="261"/>
  <c r="E21" i="642" s="1"/>
  <c r="AA32" i="508"/>
  <c r="T25" i="261" s="1"/>
  <c r="E24" i="652" s="1"/>
  <c r="S25" i="261"/>
  <c r="E23" i="652" s="1"/>
  <c r="AA31" i="283"/>
  <c r="AA32" i="283" s="1"/>
  <c r="X31" i="504"/>
  <c r="X32" i="504" s="1"/>
  <c r="AA40" i="504"/>
  <c r="C32" i="651" s="1"/>
  <c r="AA39" i="504"/>
  <c r="C31" i="651" s="1"/>
  <c r="X40" i="504"/>
  <c r="R31" i="261"/>
  <c r="X87" i="593"/>
  <c r="C32" i="661" s="1"/>
  <c r="X77" i="593"/>
  <c r="AA31" i="504"/>
  <c r="AA42" i="495"/>
  <c r="AD53" i="495" s="1"/>
  <c r="C33" i="642" s="1"/>
  <c r="G23" i="209"/>
  <c r="G22" i="209"/>
  <c r="G20" i="209"/>
  <c r="G19" i="209"/>
  <c r="G18" i="209"/>
  <c r="G15" i="209"/>
  <c r="G16" i="209"/>
  <c r="G14" i="209"/>
  <c r="G84" i="527"/>
  <c r="G83" i="527"/>
  <c r="G81" i="527"/>
  <c r="G80" i="527"/>
  <c r="G78" i="527"/>
  <c r="G77" i="527"/>
  <c r="G75" i="527"/>
  <c r="G74" i="527"/>
  <c r="G72" i="527"/>
  <c r="G71" i="527"/>
  <c r="G69" i="527"/>
  <c r="G68" i="527"/>
  <c r="G66" i="527"/>
  <c r="G65" i="527"/>
  <c r="G63" i="527"/>
  <c r="G62" i="527"/>
  <c r="G60" i="527"/>
  <c r="G59" i="527"/>
  <c r="G57" i="527"/>
  <c r="G56" i="527"/>
  <c r="G54" i="527"/>
  <c r="G53" i="527"/>
  <c r="G51" i="527"/>
  <c r="G50" i="527"/>
  <c r="G48" i="527"/>
  <c r="G47" i="527"/>
  <c r="G45" i="527"/>
  <c r="G44" i="527"/>
  <c r="G42" i="527"/>
  <c r="G41" i="527"/>
  <c r="G39" i="527"/>
  <c r="G38" i="527"/>
  <c r="G36" i="527"/>
  <c r="G35" i="527"/>
  <c r="G33" i="527"/>
  <c r="G32" i="527"/>
  <c r="G30" i="527"/>
  <c r="G29" i="527"/>
  <c r="G27" i="527"/>
  <c r="G26" i="527"/>
  <c r="G24" i="527"/>
  <c r="G23" i="527"/>
  <c r="G21" i="527"/>
  <c r="G20" i="527"/>
  <c r="G18" i="527"/>
  <c r="G17" i="527"/>
  <c r="G15" i="527"/>
  <c r="G14" i="527"/>
  <c r="Q14" i="526"/>
  <c r="G56" i="526"/>
  <c r="G55" i="526"/>
  <c r="G53" i="526"/>
  <c r="G52" i="526"/>
  <c r="G50" i="526"/>
  <c r="G49" i="526"/>
  <c r="G47" i="526"/>
  <c r="G46" i="526"/>
  <c r="G44" i="526"/>
  <c r="G43" i="526"/>
  <c r="G41" i="526"/>
  <c r="G40" i="526"/>
  <c r="G38" i="526"/>
  <c r="G37" i="526"/>
  <c r="G35" i="526"/>
  <c r="G34" i="526"/>
  <c r="G32" i="526"/>
  <c r="G31" i="526"/>
  <c r="G29" i="526"/>
  <c r="G28" i="526"/>
  <c r="G26" i="526"/>
  <c r="G25" i="526"/>
  <c r="G23" i="526"/>
  <c r="G21" i="526"/>
  <c r="G20" i="526"/>
  <c r="G18" i="526"/>
  <c r="G17" i="526"/>
  <c r="G15" i="526"/>
  <c r="G14" i="526"/>
  <c r="AC99" i="488"/>
  <c r="AC98" i="488"/>
  <c r="AC96" i="488"/>
  <c r="AC94" i="488"/>
  <c r="AC92" i="488"/>
  <c r="AC90" i="488"/>
  <c r="AC89" i="488"/>
  <c r="AC88" i="488"/>
  <c r="AC86" i="488"/>
  <c r="AC85" i="488"/>
  <c r="AC84" i="488"/>
  <c r="AC82" i="488"/>
  <c r="AC81" i="488"/>
  <c r="AC80" i="488"/>
  <c r="AC78" i="488"/>
  <c r="AC77" i="488"/>
  <c r="AC76" i="488"/>
  <c r="AC74" i="488"/>
  <c r="AC72" i="488"/>
  <c r="AC71" i="488"/>
  <c r="AC70" i="488"/>
  <c r="AC68" i="488"/>
  <c r="AC67" i="488"/>
  <c r="AC66" i="488"/>
  <c r="AC64" i="488"/>
  <c r="AC63" i="488"/>
  <c r="AC62" i="488"/>
  <c r="AC60" i="488"/>
  <c r="AC59" i="488"/>
  <c r="AC58" i="488"/>
  <c r="AC56" i="488"/>
  <c r="AC54" i="488"/>
  <c r="AC53" i="488"/>
  <c r="AC52" i="488"/>
  <c r="AC50" i="488"/>
  <c r="AC49" i="488"/>
  <c r="AC48" i="488"/>
  <c r="AC46" i="488"/>
  <c r="AC45" i="488"/>
  <c r="AC44" i="488"/>
  <c r="AC42" i="488"/>
  <c r="AC41" i="488"/>
  <c r="AC40" i="488"/>
  <c r="AC38" i="488"/>
  <c r="AC37" i="488"/>
  <c r="AC36" i="488"/>
  <c r="AC34" i="488"/>
  <c r="AC32" i="488"/>
  <c r="AC31" i="488"/>
  <c r="AC30" i="488"/>
  <c r="AC28" i="488"/>
  <c r="AC27" i="488"/>
  <c r="AC26" i="488"/>
  <c r="AC24" i="488"/>
  <c r="AC23" i="488"/>
  <c r="AC22" i="488"/>
  <c r="AC20" i="488"/>
  <c r="AC19" i="488"/>
  <c r="AC18" i="488"/>
  <c r="AC15" i="488"/>
  <c r="AC16" i="488"/>
  <c r="AC14" i="488"/>
  <c r="X14" i="488"/>
  <c r="X15" i="488"/>
  <c r="X16" i="488"/>
  <c r="G99" i="488"/>
  <c r="AA99" i="488" s="1"/>
  <c r="G98" i="488"/>
  <c r="AA98" i="488" s="1"/>
  <c r="G96" i="488"/>
  <c r="AA96" i="488" s="1"/>
  <c r="G94" i="488"/>
  <c r="AA94" i="488" s="1"/>
  <c r="G92" i="488"/>
  <c r="AA92" i="488" s="1"/>
  <c r="G90" i="488"/>
  <c r="AA90" i="488" s="1"/>
  <c r="G89" i="488"/>
  <c r="AA89" i="488" s="1"/>
  <c r="G88" i="488"/>
  <c r="AA88" i="488" s="1"/>
  <c r="G86" i="488"/>
  <c r="AA86" i="488" s="1"/>
  <c r="G85" i="488"/>
  <c r="AA85" i="488" s="1"/>
  <c r="G84" i="488"/>
  <c r="AA84" i="488" s="1"/>
  <c r="G82" i="488"/>
  <c r="AA82" i="488" s="1"/>
  <c r="G81" i="488"/>
  <c r="AA81" i="488" s="1"/>
  <c r="G80" i="488"/>
  <c r="AA80" i="488" s="1"/>
  <c r="G78" i="488"/>
  <c r="AA78" i="488" s="1"/>
  <c r="G77" i="488"/>
  <c r="AA77" i="488" s="1"/>
  <c r="G76" i="488"/>
  <c r="AA76" i="488" s="1"/>
  <c r="G74" i="488"/>
  <c r="AA74" i="488" s="1"/>
  <c r="G72" i="488"/>
  <c r="AA72" i="488" s="1"/>
  <c r="G71" i="488"/>
  <c r="AA71" i="488" s="1"/>
  <c r="G70" i="488"/>
  <c r="AA70" i="488" s="1"/>
  <c r="G68" i="488"/>
  <c r="AA68" i="488" s="1"/>
  <c r="G67" i="488"/>
  <c r="AA67" i="488" s="1"/>
  <c r="G66" i="488"/>
  <c r="AA66" i="488" s="1"/>
  <c r="G64" i="488"/>
  <c r="AA64" i="488" s="1"/>
  <c r="G63" i="488"/>
  <c r="AA63" i="488" s="1"/>
  <c r="G62" i="488"/>
  <c r="AA62" i="488" s="1"/>
  <c r="G60" i="488"/>
  <c r="AA60" i="488" s="1"/>
  <c r="G59" i="488"/>
  <c r="AA59" i="488" s="1"/>
  <c r="G58" i="488"/>
  <c r="AA58" i="488" s="1"/>
  <c r="G56" i="488"/>
  <c r="AA56" i="488" s="1"/>
  <c r="G54" i="488"/>
  <c r="AA54" i="488" s="1"/>
  <c r="G53" i="488"/>
  <c r="AA53" i="488" s="1"/>
  <c r="G52" i="488"/>
  <c r="AA52" i="488" s="1"/>
  <c r="G50" i="488"/>
  <c r="AA50" i="488" s="1"/>
  <c r="G49" i="488"/>
  <c r="AA49" i="488" s="1"/>
  <c r="G48" i="488"/>
  <c r="AA48" i="488" s="1"/>
  <c r="G46" i="488"/>
  <c r="AA46" i="488" s="1"/>
  <c r="G45" i="488"/>
  <c r="AA45" i="488" s="1"/>
  <c r="G44" i="488"/>
  <c r="AA44" i="488" s="1"/>
  <c r="G42" i="488"/>
  <c r="AA42" i="488" s="1"/>
  <c r="G41" i="488"/>
  <c r="AA41" i="488" s="1"/>
  <c r="G40" i="488"/>
  <c r="AA40" i="488" s="1"/>
  <c r="G38" i="488"/>
  <c r="AA38" i="488" s="1"/>
  <c r="G37" i="488"/>
  <c r="AA37" i="488" s="1"/>
  <c r="G36" i="488"/>
  <c r="AA36" i="488" s="1"/>
  <c r="G34" i="488"/>
  <c r="AA34" i="488" s="1"/>
  <c r="G32" i="488"/>
  <c r="AA32" i="488" s="1"/>
  <c r="G31" i="488"/>
  <c r="AA31" i="488" s="1"/>
  <c r="G30" i="488"/>
  <c r="AA30" i="488" s="1"/>
  <c r="G28" i="488"/>
  <c r="AA28" i="488" s="1"/>
  <c r="G27" i="488"/>
  <c r="AA27" i="488" s="1"/>
  <c r="G26" i="488"/>
  <c r="AA26" i="488" s="1"/>
  <c r="G24" i="488"/>
  <c r="AA24" i="488" s="1"/>
  <c r="G23" i="488"/>
  <c r="AA23" i="488" s="1"/>
  <c r="G22" i="488"/>
  <c r="AA22" i="488" s="1"/>
  <c r="G20" i="488"/>
  <c r="I20" i="488" s="1"/>
  <c r="G19" i="488"/>
  <c r="AA19" i="488" s="1"/>
  <c r="G18" i="488"/>
  <c r="I18" i="488" s="1"/>
  <c r="G15" i="488"/>
  <c r="I15" i="488" s="1"/>
  <c r="G16" i="488"/>
  <c r="AA16" i="488" s="1"/>
  <c r="G14" i="488"/>
  <c r="I14" i="488" s="1"/>
  <c r="G24" i="266"/>
  <c r="G23" i="266"/>
  <c r="G21" i="266"/>
  <c r="G20" i="266"/>
  <c r="G18" i="266"/>
  <c r="G17" i="266"/>
  <c r="G15" i="266"/>
  <c r="G14" i="266"/>
  <c r="U14" i="266" s="1"/>
  <c r="G19" i="486"/>
  <c r="I19" i="486" s="1"/>
  <c r="G18" i="486"/>
  <c r="U18" i="486" s="1"/>
  <c r="G15" i="486"/>
  <c r="I15" i="486" s="1"/>
  <c r="G16" i="486"/>
  <c r="I16" i="486" s="1"/>
  <c r="G14" i="486"/>
  <c r="G18" i="484"/>
  <c r="G17" i="484"/>
  <c r="G15" i="484"/>
  <c r="G14" i="484"/>
  <c r="L14" i="263"/>
  <c r="G22" i="263"/>
  <c r="AD22" i="263" s="1"/>
  <c r="G20" i="263"/>
  <c r="AD20" i="263" s="1"/>
  <c r="G18" i="263"/>
  <c r="AD18" i="263" s="1"/>
  <c r="G16" i="263"/>
  <c r="AD16" i="263" s="1"/>
  <c r="G14" i="263"/>
  <c r="AC47" i="187"/>
  <c r="AC46" i="187"/>
  <c r="AC44" i="187"/>
  <c r="AC43" i="187"/>
  <c r="AC42" i="187"/>
  <c r="AC40" i="187"/>
  <c r="AC39" i="187"/>
  <c r="AC38" i="187"/>
  <c r="AC36" i="187"/>
  <c r="AC34" i="187"/>
  <c r="AC33" i="187"/>
  <c r="AC31" i="187"/>
  <c r="AC30" i="187"/>
  <c r="AC29" i="187"/>
  <c r="AC27" i="187"/>
  <c r="AC26" i="187"/>
  <c r="AC25" i="187"/>
  <c r="AC23" i="187"/>
  <c r="AC21" i="187"/>
  <c r="AC20" i="187"/>
  <c r="AC18" i="187"/>
  <c r="AC17" i="187"/>
  <c r="AC15" i="187"/>
  <c r="G49" i="187"/>
  <c r="AA49" i="187" s="1"/>
  <c r="G47" i="187"/>
  <c r="AA47" i="187" s="1"/>
  <c r="G46" i="187"/>
  <c r="AA46" i="187" s="1"/>
  <c r="G44" i="187"/>
  <c r="AA44" i="187" s="1"/>
  <c r="G43" i="187"/>
  <c r="AA43" i="187" s="1"/>
  <c r="G42" i="187"/>
  <c r="AA42" i="187" s="1"/>
  <c r="G40" i="187"/>
  <c r="AA40" i="187" s="1"/>
  <c r="G39" i="187"/>
  <c r="AA39" i="187" s="1"/>
  <c r="G38" i="187"/>
  <c r="AA38" i="187" s="1"/>
  <c r="G36" i="187"/>
  <c r="AA36" i="187" s="1"/>
  <c r="G34" i="187"/>
  <c r="AA34" i="187" s="1"/>
  <c r="G33" i="187"/>
  <c r="AA33" i="187" s="1"/>
  <c r="G31" i="187"/>
  <c r="AA31" i="187" s="1"/>
  <c r="G30" i="187"/>
  <c r="AA30" i="187" s="1"/>
  <c r="G29" i="187"/>
  <c r="AA29" i="187" s="1"/>
  <c r="G27" i="187"/>
  <c r="AA27" i="187" s="1"/>
  <c r="G26" i="187"/>
  <c r="G25" i="187"/>
  <c r="G23" i="187"/>
  <c r="AA23" i="187" s="1"/>
  <c r="G21" i="187"/>
  <c r="AA21" i="187" s="1"/>
  <c r="G20" i="187"/>
  <c r="AA20" i="187" s="1"/>
  <c r="G18" i="187"/>
  <c r="AA18" i="187" s="1"/>
  <c r="G17" i="187"/>
  <c r="AA17" i="187" s="1"/>
  <c r="G15" i="187"/>
  <c r="AA15" i="187" s="1"/>
  <c r="G14" i="187"/>
  <c r="U27" i="509" l="1"/>
  <c r="I35" i="526"/>
  <c r="O35" i="526"/>
  <c r="I26" i="527"/>
  <c r="O26" i="527"/>
  <c r="I50" i="527"/>
  <c r="O50" i="527"/>
  <c r="G10" i="652"/>
  <c r="E22" i="652"/>
  <c r="I23" i="266"/>
  <c r="U23" i="266"/>
  <c r="I25" i="526"/>
  <c r="O25" i="526"/>
  <c r="I37" i="526"/>
  <c r="O37" i="526"/>
  <c r="I49" i="526"/>
  <c r="I51" i="526" s="1"/>
  <c r="O49" i="526"/>
  <c r="I15" i="527"/>
  <c r="O15" i="527"/>
  <c r="I27" i="527"/>
  <c r="O27" i="527"/>
  <c r="I39" i="527"/>
  <c r="O39" i="527"/>
  <c r="I51" i="527"/>
  <c r="I52" i="527" s="1"/>
  <c r="O51" i="527"/>
  <c r="I63" i="527"/>
  <c r="O63" i="527"/>
  <c r="I75" i="527"/>
  <c r="O75" i="527"/>
  <c r="I16" i="209"/>
  <c r="AA16" i="209"/>
  <c r="I21" i="266"/>
  <c r="U21" i="266"/>
  <c r="I38" i="527"/>
  <c r="O38" i="527"/>
  <c r="I14" i="526"/>
  <c r="O14" i="526"/>
  <c r="I26" i="526"/>
  <c r="O26" i="526"/>
  <c r="I38" i="526"/>
  <c r="I39" i="526" s="1"/>
  <c r="O38" i="526"/>
  <c r="I50" i="526"/>
  <c r="O50" i="526"/>
  <c r="I17" i="527"/>
  <c r="O17" i="527"/>
  <c r="I29" i="527"/>
  <c r="O29" i="527"/>
  <c r="I41" i="527"/>
  <c r="O41" i="527"/>
  <c r="I53" i="527"/>
  <c r="O53" i="527"/>
  <c r="I65" i="527"/>
  <c r="O65" i="527"/>
  <c r="I77" i="527"/>
  <c r="O77" i="527"/>
  <c r="I15" i="209"/>
  <c r="AA15" i="209"/>
  <c r="AA32" i="504"/>
  <c r="T24" i="261" s="1"/>
  <c r="E24" i="651" s="1"/>
  <c r="S24" i="261"/>
  <c r="E23" i="651" s="1"/>
  <c r="AD23" i="263"/>
  <c r="I23" i="526"/>
  <c r="I24" i="526" s="1"/>
  <c r="O23" i="526"/>
  <c r="AA25" i="187"/>
  <c r="AA26" i="187"/>
  <c r="I15" i="484"/>
  <c r="R15" i="484"/>
  <c r="I15" i="526"/>
  <c r="O15" i="526"/>
  <c r="I28" i="526"/>
  <c r="O28" i="526"/>
  <c r="I40" i="526"/>
  <c r="O40" i="526"/>
  <c r="I52" i="526"/>
  <c r="O52" i="526"/>
  <c r="I18" i="527"/>
  <c r="O18" i="527"/>
  <c r="I30" i="527"/>
  <c r="O30" i="527"/>
  <c r="I42" i="527"/>
  <c r="O42" i="527"/>
  <c r="I54" i="527"/>
  <c r="O54" i="527"/>
  <c r="I66" i="527"/>
  <c r="O66" i="527"/>
  <c r="I78" i="527"/>
  <c r="O78" i="527"/>
  <c r="I18" i="209"/>
  <c r="AA18" i="209"/>
  <c r="X78" i="593"/>
  <c r="T31" i="261" s="1"/>
  <c r="E24" i="661" s="1"/>
  <c r="S31" i="261"/>
  <c r="E23" i="661" s="1"/>
  <c r="I74" i="527"/>
  <c r="O74" i="527"/>
  <c r="I24" i="266"/>
  <c r="I25" i="266" s="1"/>
  <c r="U24" i="266"/>
  <c r="U25" i="266" s="1"/>
  <c r="AA14" i="187"/>
  <c r="AA16" i="187" s="1"/>
  <c r="I14" i="187"/>
  <c r="AA50" i="187"/>
  <c r="AD14" i="263"/>
  <c r="AA14" i="263"/>
  <c r="I17" i="484"/>
  <c r="R17" i="484"/>
  <c r="S17" i="484" s="1"/>
  <c r="I15" i="266"/>
  <c r="U15" i="266"/>
  <c r="I17" i="526"/>
  <c r="I19" i="526" s="1"/>
  <c r="O17" i="526"/>
  <c r="I29" i="526"/>
  <c r="O29" i="526"/>
  <c r="I41" i="526"/>
  <c r="O41" i="526"/>
  <c r="I53" i="526"/>
  <c r="O53" i="526"/>
  <c r="I20" i="527"/>
  <c r="I22" i="527" s="1"/>
  <c r="O20" i="527"/>
  <c r="I32" i="527"/>
  <c r="O32" i="527"/>
  <c r="I44" i="527"/>
  <c r="O44" i="527"/>
  <c r="P44" i="527" s="1"/>
  <c r="I56" i="527"/>
  <c r="O56" i="527"/>
  <c r="I68" i="527"/>
  <c r="I70" i="527" s="1"/>
  <c r="O68" i="527"/>
  <c r="I80" i="527"/>
  <c r="O80" i="527"/>
  <c r="I19" i="209"/>
  <c r="AA19" i="209"/>
  <c r="AB19" i="209" s="1"/>
  <c r="R26" i="261"/>
  <c r="U28" i="509"/>
  <c r="U36" i="509"/>
  <c r="I47" i="526"/>
  <c r="O47" i="526"/>
  <c r="I62" i="527"/>
  <c r="I64" i="527" s="1"/>
  <c r="O62" i="527"/>
  <c r="I14" i="484"/>
  <c r="R14" i="484"/>
  <c r="AD17" i="263"/>
  <c r="I18" i="484"/>
  <c r="I19" i="484" s="1"/>
  <c r="R18" i="484"/>
  <c r="I17" i="266"/>
  <c r="U17" i="266"/>
  <c r="I18" i="526"/>
  <c r="O18" i="526"/>
  <c r="I31" i="526"/>
  <c r="O31" i="526"/>
  <c r="I43" i="526"/>
  <c r="O43" i="526"/>
  <c r="I55" i="526"/>
  <c r="O55" i="526"/>
  <c r="I21" i="527"/>
  <c r="O21" i="527"/>
  <c r="P21" i="527" s="1"/>
  <c r="I33" i="527"/>
  <c r="O33" i="527"/>
  <c r="I45" i="527"/>
  <c r="I46" i="527" s="1"/>
  <c r="O45" i="527"/>
  <c r="I57" i="527"/>
  <c r="O57" i="527"/>
  <c r="I69" i="527"/>
  <c r="O69" i="527"/>
  <c r="P69" i="527" s="1"/>
  <c r="I81" i="527"/>
  <c r="O81" i="527"/>
  <c r="I20" i="209"/>
  <c r="AA20" i="209"/>
  <c r="G10" i="661"/>
  <c r="E22" i="661"/>
  <c r="AD19" i="263"/>
  <c r="U14" i="486"/>
  <c r="U15" i="486"/>
  <c r="V15" i="486" s="1"/>
  <c r="I18" i="266"/>
  <c r="U18" i="266"/>
  <c r="V18" i="266" s="1"/>
  <c r="I20" i="526"/>
  <c r="O20" i="526"/>
  <c r="I32" i="526"/>
  <c r="O32" i="526"/>
  <c r="I44" i="526"/>
  <c r="O44" i="526"/>
  <c r="I56" i="526"/>
  <c r="I57" i="526" s="1"/>
  <c r="O56" i="526"/>
  <c r="I23" i="527"/>
  <c r="O23" i="527"/>
  <c r="I35" i="527"/>
  <c r="O35" i="527"/>
  <c r="I47" i="527"/>
  <c r="O47" i="527"/>
  <c r="I59" i="527"/>
  <c r="O59" i="527"/>
  <c r="I71" i="527"/>
  <c r="O71" i="527"/>
  <c r="I83" i="527"/>
  <c r="O83" i="527"/>
  <c r="I22" i="209"/>
  <c r="I24" i="209" s="1"/>
  <c r="AA22" i="209"/>
  <c r="AD21" i="263"/>
  <c r="I20" i="266"/>
  <c r="I22" i="266" s="1"/>
  <c r="U20" i="266"/>
  <c r="I21" i="526"/>
  <c r="O21" i="526"/>
  <c r="I34" i="526"/>
  <c r="O34" i="526"/>
  <c r="I46" i="526"/>
  <c r="O46" i="526"/>
  <c r="I24" i="527"/>
  <c r="O24" i="527"/>
  <c r="I36" i="527"/>
  <c r="O36" i="527"/>
  <c r="I48" i="527"/>
  <c r="O48" i="527"/>
  <c r="P48" i="527" s="1"/>
  <c r="I60" i="527"/>
  <c r="O60" i="527"/>
  <c r="I72" i="527"/>
  <c r="O72" i="527"/>
  <c r="I84" i="527"/>
  <c r="I85" i="527" s="1"/>
  <c r="O84" i="527"/>
  <c r="I23" i="209"/>
  <c r="AA23" i="209"/>
  <c r="AB23" i="209" s="1"/>
  <c r="AD54" i="495"/>
  <c r="C34" i="642" s="1"/>
  <c r="R18" i="261"/>
  <c r="AD43" i="495"/>
  <c r="X41" i="504"/>
  <c r="R24" i="261"/>
  <c r="AA41" i="504"/>
  <c r="C33" i="651" s="1"/>
  <c r="U16" i="486"/>
  <c r="V16" i="486" s="1"/>
  <c r="U19" i="486"/>
  <c r="AA16" i="263"/>
  <c r="AA20" i="263"/>
  <c r="AA22" i="263"/>
  <c r="AA18" i="263"/>
  <c r="I18" i="486"/>
  <c r="I20" i="486" s="1"/>
  <c r="R18" i="486"/>
  <c r="AA53" i="495"/>
  <c r="AA43" i="495"/>
  <c r="AA14" i="209"/>
  <c r="I14" i="209"/>
  <c r="R14" i="486"/>
  <c r="I14" i="486"/>
  <c r="I14" i="263"/>
  <c r="I14" i="266"/>
  <c r="I19" i="527"/>
  <c r="I37" i="527"/>
  <c r="I49" i="527"/>
  <c r="I55" i="527"/>
  <c r="I67" i="527"/>
  <c r="I28" i="527"/>
  <c r="I34" i="527"/>
  <c r="I27" i="526"/>
  <c r="I21" i="187"/>
  <c r="I27" i="187"/>
  <c r="I33" i="187"/>
  <c r="I39" i="187"/>
  <c r="I44" i="187"/>
  <c r="AA35" i="488"/>
  <c r="AA57" i="488"/>
  <c r="AA65" i="488"/>
  <c r="AA97" i="488"/>
  <c r="AB97" i="488" s="1"/>
  <c r="I17" i="187"/>
  <c r="I23" i="187"/>
  <c r="I24" i="187" s="1"/>
  <c r="I29" i="187"/>
  <c r="I34" i="187"/>
  <c r="I40" i="187"/>
  <c r="I46" i="187"/>
  <c r="AA39" i="488"/>
  <c r="AA55" i="488"/>
  <c r="AA75" i="488"/>
  <c r="AA100" i="488"/>
  <c r="AA73" i="488"/>
  <c r="AA79" i="488"/>
  <c r="AA93" i="488"/>
  <c r="I20" i="187"/>
  <c r="I26" i="187"/>
  <c r="I31" i="187"/>
  <c r="I38" i="187"/>
  <c r="I43" i="187"/>
  <c r="I49" i="187"/>
  <c r="I50" i="187" s="1"/>
  <c r="AA47" i="488"/>
  <c r="AA69" i="488"/>
  <c r="AA91" i="488"/>
  <c r="AA95" i="488"/>
  <c r="AB95" i="488" s="1"/>
  <c r="AA25" i="488"/>
  <c r="I25" i="187"/>
  <c r="I47" i="187"/>
  <c r="AB47" i="187" s="1"/>
  <c r="R15" i="486"/>
  <c r="AA61" i="488"/>
  <c r="AA83" i="488"/>
  <c r="I16" i="488"/>
  <c r="I17" i="488" s="1"/>
  <c r="I22" i="488"/>
  <c r="AB22" i="488" s="1"/>
  <c r="I27" i="488"/>
  <c r="AB27" i="488" s="1"/>
  <c r="I32" i="488"/>
  <c r="AB32" i="488" s="1"/>
  <c r="I38" i="488"/>
  <c r="AB38" i="488" s="1"/>
  <c r="I44" i="488"/>
  <c r="AB44" i="488" s="1"/>
  <c r="I49" i="488"/>
  <c r="AB49" i="488" s="1"/>
  <c r="I54" i="488"/>
  <c r="AB54" i="488" s="1"/>
  <c r="I60" i="488"/>
  <c r="AB60" i="488" s="1"/>
  <c r="I66" i="488"/>
  <c r="AB66" i="488" s="1"/>
  <c r="I71" i="488"/>
  <c r="AB71" i="488" s="1"/>
  <c r="I77" i="488"/>
  <c r="AB77" i="488" s="1"/>
  <c r="I82" i="488"/>
  <c r="AB82" i="488" s="1"/>
  <c r="I88" i="488"/>
  <c r="AB88" i="488" s="1"/>
  <c r="I94" i="488"/>
  <c r="I95" i="488" s="1"/>
  <c r="AA18" i="488"/>
  <c r="AB18" i="488" s="1"/>
  <c r="I40" i="527"/>
  <c r="I76" i="527"/>
  <c r="I82" i="527"/>
  <c r="I30" i="187"/>
  <c r="AB30" i="187" s="1"/>
  <c r="I23" i="488"/>
  <c r="AB23" i="488" s="1"/>
  <c r="I28" i="488"/>
  <c r="AB28" i="488" s="1"/>
  <c r="I34" i="488"/>
  <c r="I35" i="488" s="1"/>
  <c r="I40" i="488"/>
  <c r="AB40" i="488" s="1"/>
  <c r="I45" i="488"/>
  <c r="AB45" i="488" s="1"/>
  <c r="I50" i="488"/>
  <c r="AB50" i="488" s="1"/>
  <c r="I56" i="488"/>
  <c r="I57" i="488" s="1"/>
  <c r="I62" i="488"/>
  <c r="AB62" i="488" s="1"/>
  <c r="I67" i="488"/>
  <c r="AB67" i="488" s="1"/>
  <c r="I72" i="488"/>
  <c r="AB72" i="488" s="1"/>
  <c r="I78" i="488"/>
  <c r="AB78" i="488" s="1"/>
  <c r="I84" i="488"/>
  <c r="AB84" i="488" s="1"/>
  <c r="I89" i="488"/>
  <c r="AB89" i="488" s="1"/>
  <c r="I96" i="488"/>
  <c r="I97" i="488" s="1"/>
  <c r="AA33" i="488"/>
  <c r="AA14" i="488"/>
  <c r="AB14" i="488" s="1"/>
  <c r="AA20" i="488"/>
  <c r="AB20" i="488" s="1"/>
  <c r="I33" i="526"/>
  <c r="I36" i="187"/>
  <c r="I37" i="187" s="1"/>
  <c r="R19" i="486"/>
  <c r="V23" i="266"/>
  <c r="I19" i="488"/>
  <c r="I21" i="488" s="1"/>
  <c r="I24" i="488"/>
  <c r="AB24" i="488" s="1"/>
  <c r="I30" i="488"/>
  <c r="AB30" i="488" s="1"/>
  <c r="I36" i="488"/>
  <c r="AB36" i="488" s="1"/>
  <c r="I41" i="488"/>
  <c r="AB41" i="488" s="1"/>
  <c r="I46" i="488"/>
  <c r="AB46" i="488" s="1"/>
  <c r="I52" i="488"/>
  <c r="AB52" i="488" s="1"/>
  <c r="I58" i="488"/>
  <c r="AB58" i="488" s="1"/>
  <c r="I63" i="488"/>
  <c r="AB63" i="488" s="1"/>
  <c r="I68" i="488"/>
  <c r="AB68" i="488" s="1"/>
  <c r="I74" i="488"/>
  <c r="I75" i="488" s="1"/>
  <c r="I80" i="488"/>
  <c r="AB80" i="488" s="1"/>
  <c r="I85" i="488"/>
  <c r="AB85" i="488" s="1"/>
  <c r="I90" i="488"/>
  <c r="AB90" i="488" s="1"/>
  <c r="I98" i="488"/>
  <c r="AB98" i="488" s="1"/>
  <c r="V14" i="266"/>
  <c r="AA15" i="488"/>
  <c r="AB15" i="488" s="1"/>
  <c r="I16" i="526"/>
  <c r="I15" i="187"/>
  <c r="AB15" i="187" s="1"/>
  <c r="I18" i="187"/>
  <c r="I42" i="187"/>
  <c r="AB42" i="187" s="1"/>
  <c r="R16" i="486"/>
  <c r="AA43" i="488"/>
  <c r="AA87" i="488"/>
  <c r="I26" i="488"/>
  <c r="I31" i="488"/>
  <c r="AB31" i="488" s="1"/>
  <c r="I37" i="488"/>
  <c r="AB37" i="488" s="1"/>
  <c r="I42" i="488"/>
  <c r="AB42" i="488" s="1"/>
  <c r="I48" i="488"/>
  <c r="I53" i="488"/>
  <c r="AB53" i="488" s="1"/>
  <c r="I59" i="488"/>
  <c r="AB59" i="488" s="1"/>
  <c r="I64" i="488"/>
  <c r="AB64" i="488" s="1"/>
  <c r="I70" i="488"/>
  <c r="I76" i="488"/>
  <c r="I81" i="488"/>
  <c r="AB81" i="488" s="1"/>
  <c r="I86" i="488"/>
  <c r="AB86" i="488" s="1"/>
  <c r="I92" i="488"/>
  <c r="I93" i="488" s="1"/>
  <c r="I99" i="488"/>
  <c r="AB99" i="488" s="1"/>
  <c r="I36" i="526"/>
  <c r="I48" i="526"/>
  <c r="P15" i="527"/>
  <c r="P18" i="527"/>
  <c r="P38" i="527"/>
  <c r="P47" i="527"/>
  <c r="P53" i="527"/>
  <c r="P83" i="527"/>
  <c r="P63" i="527"/>
  <c r="I14" i="527"/>
  <c r="I16" i="527" s="1"/>
  <c r="O14" i="527"/>
  <c r="P26" i="527"/>
  <c r="P32" i="527"/>
  <c r="P35" i="527"/>
  <c r="P74" i="527"/>
  <c r="P80" i="527"/>
  <c r="P84" i="527"/>
  <c r="P36" i="527"/>
  <c r="P66" i="527"/>
  <c r="P75" i="527"/>
  <c r="AA29" i="488"/>
  <c r="AA51" i="488"/>
  <c r="I22" i="263"/>
  <c r="I23" i="263" s="1"/>
  <c r="I20" i="263"/>
  <c r="I21" i="263" s="1"/>
  <c r="I16" i="263"/>
  <c r="I17" i="263" s="1"/>
  <c r="AA48" i="187"/>
  <c r="I18" i="263"/>
  <c r="I19" i="263" s="1"/>
  <c r="AA35" i="187"/>
  <c r="AA37" i="187"/>
  <c r="I16" i="484" l="1"/>
  <c r="P60" i="527"/>
  <c r="P56" i="527"/>
  <c r="V15" i="266"/>
  <c r="P50" i="527"/>
  <c r="I42" i="526"/>
  <c r="I45" i="526"/>
  <c r="P81" i="527"/>
  <c r="P33" i="527"/>
  <c r="P77" i="527"/>
  <c r="AB16" i="209"/>
  <c r="P39" i="527"/>
  <c r="P59" i="527"/>
  <c r="AB14" i="187"/>
  <c r="P42" i="527"/>
  <c r="I43" i="527"/>
  <c r="I61" i="527"/>
  <c r="P29" i="527"/>
  <c r="P57" i="527"/>
  <c r="P55" i="526"/>
  <c r="I79" i="527"/>
  <c r="I31" i="527"/>
  <c r="P65" i="527"/>
  <c r="P62" i="527"/>
  <c r="I58" i="527"/>
  <c r="I30" i="526"/>
  <c r="P17" i="527"/>
  <c r="P27" i="527"/>
  <c r="V17" i="266"/>
  <c r="P72" i="527"/>
  <c r="P24" i="527"/>
  <c r="V20" i="266"/>
  <c r="I73" i="527"/>
  <c r="I25" i="527"/>
  <c r="I22" i="526"/>
  <c r="AB20" i="209"/>
  <c r="P45" i="527"/>
  <c r="P68" i="527"/>
  <c r="P20" i="527"/>
  <c r="P54" i="527"/>
  <c r="I54" i="526"/>
  <c r="AB15" i="209"/>
  <c r="P51" i="527"/>
  <c r="V21" i="266"/>
  <c r="P78" i="527"/>
  <c r="P30" i="527"/>
  <c r="I21" i="209"/>
  <c r="AB22" i="209"/>
  <c r="P71" i="527"/>
  <c r="P23" i="527"/>
  <c r="I19" i="266"/>
  <c r="S15" i="484"/>
  <c r="P41" i="527"/>
  <c r="AB25" i="187"/>
  <c r="AE20" i="263"/>
  <c r="V24" i="266"/>
  <c r="AE21" i="263"/>
  <c r="AE14" i="263"/>
  <c r="AD15" i="263"/>
  <c r="AD24" i="263" s="1"/>
  <c r="AD26" i="263" s="1"/>
  <c r="AD27" i="263" s="1"/>
  <c r="AD28" i="263" s="1"/>
  <c r="AE23" i="263"/>
  <c r="G10" i="642"/>
  <c r="E22" i="642"/>
  <c r="V18" i="486"/>
  <c r="AE16" i="263"/>
  <c r="AE22" i="263"/>
  <c r="AD44" i="495"/>
  <c r="T18" i="261" s="1"/>
  <c r="E24" i="642" s="1"/>
  <c r="S18" i="261"/>
  <c r="E23" i="642" s="1"/>
  <c r="I17" i="209"/>
  <c r="U17" i="486"/>
  <c r="V14" i="486"/>
  <c r="AE17" i="263"/>
  <c r="C31" i="653"/>
  <c r="I20" i="484"/>
  <c r="I22" i="484" s="1"/>
  <c r="E22" i="651"/>
  <c r="G10" i="651"/>
  <c r="AE19" i="263"/>
  <c r="U29" i="509"/>
  <c r="T26" i="261" s="1"/>
  <c r="E24" i="653" s="1"/>
  <c r="S26" i="261"/>
  <c r="E23" i="653" s="1"/>
  <c r="AE18" i="263"/>
  <c r="E22" i="653"/>
  <c r="G10" i="653"/>
  <c r="AB100" i="488"/>
  <c r="V19" i="486"/>
  <c r="U20" i="486"/>
  <c r="I51" i="488"/>
  <c r="I73" i="488"/>
  <c r="I29" i="488"/>
  <c r="AA44" i="495"/>
  <c r="AA45" i="187"/>
  <c r="AA22" i="187"/>
  <c r="I28" i="187"/>
  <c r="I79" i="488"/>
  <c r="AA17" i="488"/>
  <c r="I32" i="187"/>
  <c r="I19" i="187"/>
  <c r="AA41" i="187"/>
  <c r="I45" i="187"/>
  <c r="I22" i="187"/>
  <c r="I41" i="187"/>
  <c r="AB39" i="187"/>
  <c r="AB27" i="187"/>
  <c r="I48" i="187"/>
  <c r="AB33" i="187"/>
  <c r="AB17" i="187"/>
  <c r="AB26" i="488"/>
  <c r="AB18" i="187"/>
  <c r="AB74" i="488"/>
  <c r="AB96" i="488"/>
  <c r="AB44" i="187"/>
  <c r="P14" i="527"/>
  <c r="AB43" i="187"/>
  <c r="AB31" i="187"/>
  <c r="AB20" i="187"/>
  <c r="AB92" i="488"/>
  <c r="AB76" i="488"/>
  <c r="AB16" i="488"/>
  <c r="AB36" i="187"/>
  <c r="AB19" i="488"/>
  <c r="AB40" i="187"/>
  <c r="AB29" i="187"/>
  <c r="AB56" i="488"/>
  <c r="I35" i="187"/>
  <c r="AA21" i="209"/>
  <c r="AB18" i="209"/>
  <c r="AB34" i="488"/>
  <c r="AB94" i="488"/>
  <c r="AB49" i="187"/>
  <c r="AB38" i="187"/>
  <c r="AB26" i="187"/>
  <c r="AB14" i="209"/>
  <c r="AB70" i="488"/>
  <c r="AB46" i="187"/>
  <c r="AB34" i="187"/>
  <c r="AB23" i="187"/>
  <c r="I87" i="488"/>
  <c r="I65" i="488"/>
  <c r="I43" i="488"/>
  <c r="I17" i="486"/>
  <c r="I21" i="486" s="1"/>
  <c r="I23" i="486" s="1"/>
  <c r="I26" i="486" s="1"/>
  <c r="I27" i="486" s="1"/>
  <c r="I91" i="488"/>
  <c r="I69" i="488"/>
  <c r="I47" i="488"/>
  <c r="I25" i="488"/>
  <c r="I83" i="488"/>
  <c r="I61" i="488"/>
  <c r="I39" i="488"/>
  <c r="I16" i="266"/>
  <c r="I26" i="266" s="1"/>
  <c r="I100" i="488"/>
  <c r="I55" i="488"/>
  <c r="I33" i="488"/>
  <c r="I16" i="187"/>
  <c r="AA21" i="488"/>
  <c r="I25" i="484"/>
  <c r="I26" i="484" s="1"/>
  <c r="AA32" i="187"/>
  <c r="AA28" i="187"/>
  <c r="I15" i="263"/>
  <c r="I24" i="263" s="1"/>
  <c r="I26" i="263" s="1"/>
  <c r="AA19" i="187"/>
  <c r="AA24" i="187"/>
  <c r="I58" i="526" l="1"/>
  <c r="I60" i="526" s="1"/>
  <c r="I63" i="526" s="1"/>
  <c r="I64" i="526" s="1"/>
  <c r="I51" i="187"/>
  <c r="I53" i="187" s="1"/>
  <c r="I56" i="187" s="1"/>
  <c r="I57" i="187" s="1"/>
  <c r="AD29" i="263"/>
  <c r="AD30" i="263" s="1"/>
  <c r="AA51" i="187"/>
  <c r="I28" i="266"/>
  <c r="I31" i="266" s="1"/>
  <c r="I32" i="266" s="1"/>
  <c r="AE15" i="263"/>
  <c r="U21" i="486"/>
  <c r="AA101" i="488"/>
  <c r="I29" i="263"/>
  <c r="I30" i="263" s="1"/>
  <c r="E20" i="953"/>
  <c r="G20" i="953" s="1"/>
  <c r="N20" i="953" s="1"/>
  <c r="E18" i="953"/>
  <c r="G18" i="953" s="1"/>
  <c r="N18" i="953" s="1"/>
  <c r="G16" i="953"/>
  <c r="N16" i="953" s="1"/>
  <c r="G14" i="953"/>
  <c r="N14" i="953" s="1"/>
  <c r="U23" i="486" l="1"/>
  <c r="U24" i="486" s="1"/>
  <c r="N12" i="261"/>
  <c r="E19" i="635" s="1"/>
  <c r="AA53" i="187"/>
  <c r="AA54" i="187" s="1"/>
  <c r="N9" i="261"/>
  <c r="AA103" i="488"/>
  <c r="AA104" i="488" s="1"/>
  <c r="N14" i="261"/>
  <c r="E19" i="637" s="1"/>
  <c r="AA55" i="187"/>
  <c r="G19" i="953"/>
  <c r="N19" i="953" s="1"/>
  <c r="K18" i="953"/>
  <c r="Q18" i="953"/>
  <c r="G15" i="953"/>
  <c r="N15" i="953" s="1"/>
  <c r="Q14" i="953"/>
  <c r="K14" i="953"/>
  <c r="G21" i="953"/>
  <c r="K20" i="953"/>
  <c r="Q20" i="953"/>
  <c r="G17" i="953"/>
  <c r="N17" i="953" s="1"/>
  <c r="K16" i="953"/>
  <c r="Q16" i="953"/>
  <c r="R9" i="261" l="1"/>
  <c r="AA105" i="488"/>
  <c r="Q14" i="261"/>
  <c r="E21" i="637" s="1"/>
  <c r="E19" i="317"/>
  <c r="Q9" i="261"/>
  <c r="Q12" i="261"/>
  <c r="E21" i="635" s="1"/>
  <c r="G22" i="953"/>
  <c r="G27" i="953" s="1"/>
  <c r="N21" i="953"/>
  <c r="U25" i="486"/>
  <c r="R12" i="261" s="1"/>
  <c r="AA56" i="187"/>
  <c r="AA66" i="187"/>
  <c r="AD40" i="263"/>
  <c r="C34" i="633" s="1"/>
  <c r="K15" i="953"/>
  <c r="Q15" i="953"/>
  <c r="Q19" i="953"/>
  <c r="K19" i="953"/>
  <c r="Q17" i="953"/>
  <c r="K17" i="953"/>
  <c r="Q21" i="953"/>
  <c r="K21" i="953"/>
  <c r="G14" i="952"/>
  <c r="K26" i="953" l="1"/>
  <c r="N31" i="953" s="1"/>
  <c r="Q26" i="953"/>
  <c r="G24" i="953"/>
  <c r="K158" i="261" s="1"/>
  <c r="G10" i="635"/>
  <c r="E22" i="635"/>
  <c r="AA57" i="187"/>
  <c r="T9" i="261" s="1"/>
  <c r="E24" i="317" s="1"/>
  <c r="S9" i="261"/>
  <c r="E23" i="317" s="1"/>
  <c r="E21" i="317"/>
  <c r="AA116" i="488"/>
  <c r="C33" i="637" s="1"/>
  <c r="R14" i="261"/>
  <c r="AA106" i="488"/>
  <c r="U26" i="486"/>
  <c r="E22" i="317"/>
  <c r="G10" i="317"/>
  <c r="H158" i="261"/>
  <c r="N26" i="953"/>
  <c r="U35" i="486"/>
  <c r="C33" i="317"/>
  <c r="G28" i="953"/>
  <c r="M158" i="261" s="1"/>
  <c r="L158" i="261"/>
  <c r="K31" i="953"/>
  <c r="E15" i="952"/>
  <c r="G16" i="952"/>
  <c r="H157" i="261" s="1"/>
  <c r="K14" i="952"/>
  <c r="N14" i="952"/>
  <c r="N32" i="953" l="1"/>
  <c r="N33" i="953" s="1"/>
  <c r="O158" i="261"/>
  <c r="U27" i="486"/>
  <c r="T12" i="261" s="1"/>
  <c r="E24" i="635" s="1"/>
  <c r="S12" i="261"/>
  <c r="E23" i="635" s="1"/>
  <c r="AA107" i="488"/>
  <c r="T14" i="261" s="1"/>
  <c r="E24" i="637" s="1"/>
  <c r="S14" i="261"/>
  <c r="E23" i="637" s="1"/>
  <c r="G10" i="637"/>
  <c r="E22" i="637"/>
  <c r="C31" i="635"/>
  <c r="K32" i="953"/>
  <c r="G21" i="952"/>
  <c r="G18" i="952"/>
  <c r="K157" i="261" s="1"/>
  <c r="K20" i="952"/>
  <c r="N20" i="952"/>
  <c r="G15" i="951"/>
  <c r="G16" i="951" s="1"/>
  <c r="H156" i="261" s="1"/>
  <c r="N14" i="951"/>
  <c r="K14" i="951"/>
  <c r="G14" i="950"/>
  <c r="K14" i="950" s="1"/>
  <c r="G22" i="952" l="1"/>
  <c r="M157" i="261" s="1"/>
  <c r="L157" i="261"/>
  <c r="K25" i="952"/>
  <c r="K26" i="952" s="1"/>
  <c r="O157" i="261"/>
  <c r="G21" i="951"/>
  <c r="G18" i="951"/>
  <c r="K156" i="261" s="1"/>
  <c r="K20" i="951"/>
  <c r="N20" i="951"/>
  <c r="K15" i="951"/>
  <c r="N15" i="951"/>
  <c r="G15" i="950"/>
  <c r="N14" i="950"/>
  <c r="G14" i="949"/>
  <c r="G22" i="951" l="1"/>
  <c r="M156" i="261" s="1"/>
  <c r="L156" i="261"/>
  <c r="G16" i="950"/>
  <c r="H155" i="261" s="1"/>
  <c r="G9" i="984" s="1"/>
  <c r="K15" i="950"/>
  <c r="K25" i="951"/>
  <c r="E28" i="985" s="1"/>
  <c r="O156" i="261"/>
  <c r="G21" i="950"/>
  <c r="N15" i="950"/>
  <c r="G15" i="949"/>
  <c r="K14" i="949"/>
  <c r="N14" i="949"/>
  <c r="G14" i="948"/>
  <c r="K20" i="950" l="1"/>
  <c r="K25" i="950" s="1"/>
  <c r="G18" i="950"/>
  <c r="K155" i="261" s="1"/>
  <c r="G22" i="950"/>
  <c r="M155" i="261" s="1"/>
  <c r="L155" i="261"/>
  <c r="N20" i="950"/>
  <c r="K26" i="951"/>
  <c r="E33" i="985"/>
  <c r="K15" i="949"/>
  <c r="N15" i="949"/>
  <c r="G16" i="949"/>
  <c r="H154" i="261" s="1"/>
  <c r="G15" i="948"/>
  <c r="N14" i="948"/>
  <c r="K14" i="948"/>
  <c r="G19" i="947"/>
  <c r="G18" i="947"/>
  <c r="G16" i="947"/>
  <c r="G15" i="947"/>
  <c r="G14" i="947"/>
  <c r="O155" i="261" l="1"/>
  <c r="G9" i="983"/>
  <c r="G9" i="985"/>
  <c r="K26" i="950"/>
  <c r="E28" i="984"/>
  <c r="E33" i="984" s="1"/>
  <c r="K15" i="948"/>
  <c r="N15" i="948"/>
  <c r="G16" i="948"/>
  <c r="G21" i="949"/>
  <c r="G18" i="949"/>
  <c r="K154" i="261" s="1"/>
  <c r="K20" i="949"/>
  <c r="N20" i="949"/>
  <c r="K16" i="947"/>
  <c r="N16" i="947"/>
  <c r="K18" i="947"/>
  <c r="N18" i="947"/>
  <c r="K19" i="947"/>
  <c r="N19" i="947"/>
  <c r="G17" i="947"/>
  <c r="G20" i="947"/>
  <c r="G22" i="949" l="1"/>
  <c r="L154" i="261"/>
  <c r="H153" i="261"/>
  <c r="K20" i="948"/>
  <c r="K25" i="949"/>
  <c r="O154" i="261"/>
  <c r="G21" i="948"/>
  <c r="G18" i="948"/>
  <c r="K153" i="261" s="1"/>
  <c r="N20" i="948"/>
  <c r="K17" i="947"/>
  <c r="N17" i="947"/>
  <c r="G21" i="947"/>
  <c r="H152" i="261" s="1"/>
  <c r="K20" i="947"/>
  <c r="N20" i="947"/>
  <c r="G20" i="946"/>
  <c r="G18" i="946"/>
  <c r="G17" i="946"/>
  <c r="G15" i="946"/>
  <c r="G14" i="946"/>
  <c r="T154" i="261" l="1"/>
  <c r="M154" i="261"/>
  <c r="G22" i="948"/>
  <c r="M153" i="261" s="1"/>
  <c r="L153" i="261"/>
  <c r="K26" i="949"/>
  <c r="E28" i="983"/>
  <c r="E33" i="983" s="1"/>
  <c r="K25" i="948"/>
  <c r="O153" i="261"/>
  <c r="G26" i="947"/>
  <c r="G23" i="947"/>
  <c r="K152" i="261" s="1"/>
  <c r="K25" i="947"/>
  <c r="N25" i="947"/>
  <c r="G21" i="946"/>
  <c r="G22" i="946" s="1"/>
  <c r="H151" i="261" s="1"/>
  <c r="K20" i="946"/>
  <c r="N20" i="946"/>
  <c r="N15" i="946"/>
  <c r="K15" i="946"/>
  <c r="K18" i="946"/>
  <c r="N18" i="946"/>
  <c r="K17" i="946"/>
  <c r="N17" i="946"/>
  <c r="G16" i="946"/>
  <c r="G19" i="946"/>
  <c r="K30" i="947" l="1"/>
  <c r="K31" i="947" s="1"/>
  <c r="O152" i="261"/>
  <c r="G27" i="947"/>
  <c r="M152" i="261" s="1"/>
  <c r="L152" i="261"/>
  <c r="E24" i="983"/>
  <c r="E24" i="985"/>
  <c r="K26" i="948"/>
  <c r="K19" i="946"/>
  <c r="N19" i="946"/>
  <c r="N16" i="946"/>
  <c r="K16" i="946"/>
  <c r="K21" i="946"/>
  <c r="N21" i="946"/>
  <c r="G24" i="945"/>
  <c r="G22" i="945"/>
  <c r="G21" i="945"/>
  <c r="G19" i="945"/>
  <c r="G18" i="945"/>
  <c r="G16" i="945"/>
  <c r="G14" i="945"/>
  <c r="G27" i="946" l="1"/>
  <c r="G24" i="946"/>
  <c r="K151" i="261" s="1"/>
  <c r="K26" i="946"/>
  <c r="K31" i="946" s="1"/>
  <c r="K32" i="946" s="1"/>
  <c r="N26" i="946"/>
  <c r="N21" i="945"/>
  <c r="K21" i="945"/>
  <c r="G17" i="945"/>
  <c r="K16" i="945"/>
  <c r="N16" i="945"/>
  <c r="K22" i="945"/>
  <c r="N22" i="945"/>
  <c r="G15" i="945"/>
  <c r="K14" i="945"/>
  <c r="N14" i="945"/>
  <c r="G25" i="945"/>
  <c r="N24" i="945"/>
  <c r="K24" i="945"/>
  <c r="N19" i="945"/>
  <c r="K19" i="945"/>
  <c r="G23" i="945"/>
  <c r="G20" i="945"/>
  <c r="G28" i="946" l="1"/>
  <c r="M151" i="261" s="1"/>
  <c r="L151" i="261"/>
  <c r="G26" i="945"/>
  <c r="H150" i="261" s="1"/>
  <c r="N25" i="945"/>
  <c r="K25" i="945"/>
  <c r="N15" i="945"/>
  <c r="K15" i="945"/>
  <c r="N20" i="945"/>
  <c r="K20" i="945"/>
  <c r="N17" i="945"/>
  <c r="K17" i="945"/>
  <c r="K23" i="945"/>
  <c r="N23" i="945"/>
  <c r="G20" i="944"/>
  <c r="G18" i="944"/>
  <c r="G17" i="944"/>
  <c r="G15" i="944"/>
  <c r="G14" i="944"/>
  <c r="G31" i="945" l="1"/>
  <c r="G28" i="945"/>
  <c r="K150" i="261" s="1"/>
  <c r="N30" i="945"/>
  <c r="K30" i="945"/>
  <c r="K35" i="945" s="1"/>
  <c r="K36" i="945" s="1"/>
  <c r="K18" i="944"/>
  <c r="N18" i="944"/>
  <c r="G21" i="944"/>
  <c r="N20" i="944"/>
  <c r="K20" i="944"/>
  <c r="K15" i="944"/>
  <c r="N15" i="944"/>
  <c r="K17" i="944"/>
  <c r="N17" i="944"/>
  <c r="G16" i="944"/>
  <c r="G19" i="944"/>
  <c r="G32" i="945" l="1"/>
  <c r="M150" i="261" s="1"/>
  <c r="L150" i="261"/>
  <c r="N19" i="944"/>
  <c r="K19" i="944"/>
  <c r="G22" i="944"/>
  <c r="H149" i="261" s="1"/>
  <c r="N21" i="944"/>
  <c r="K21" i="944"/>
  <c r="K16" i="944"/>
  <c r="N16" i="944"/>
  <c r="G26" i="943"/>
  <c r="N26" i="943" s="1"/>
  <c r="G24" i="943"/>
  <c r="N24" i="943" s="1"/>
  <c r="G22" i="943"/>
  <c r="N22" i="943" s="1"/>
  <c r="G21" i="943"/>
  <c r="N21" i="943" s="1"/>
  <c r="G19" i="943"/>
  <c r="N19" i="943" s="1"/>
  <c r="G18" i="943"/>
  <c r="G16" i="943"/>
  <c r="N16" i="943" s="1"/>
  <c r="G14" i="943"/>
  <c r="N14" i="943" s="1"/>
  <c r="G27" i="944" l="1"/>
  <c r="G24" i="944"/>
  <c r="K149" i="261" s="1"/>
  <c r="N26" i="944"/>
  <c r="K26" i="944"/>
  <c r="G17" i="943"/>
  <c r="N17" i="943" s="1"/>
  <c r="Q16" i="943"/>
  <c r="K16" i="943"/>
  <c r="G25" i="943"/>
  <c r="N25" i="943" s="1"/>
  <c r="K24" i="943"/>
  <c r="Q24" i="943"/>
  <c r="K19" i="943"/>
  <c r="Q19" i="943"/>
  <c r="G27" i="943"/>
  <c r="N27" i="943" s="1"/>
  <c r="K26" i="943"/>
  <c r="Q26" i="943"/>
  <c r="G15" i="943"/>
  <c r="N15" i="943" s="1"/>
  <c r="Q14" i="943"/>
  <c r="K14" i="943"/>
  <c r="Q21" i="943"/>
  <c r="K21" i="943"/>
  <c r="K22" i="943"/>
  <c r="Q22" i="943"/>
  <c r="G23" i="943"/>
  <c r="N23" i="943" s="1"/>
  <c r="G20" i="943"/>
  <c r="N20" i="943" s="1"/>
  <c r="K31" i="944" l="1"/>
  <c r="K32" i="944" s="1"/>
  <c r="O149" i="261"/>
  <c r="G28" i="944"/>
  <c r="M149" i="261" s="1"/>
  <c r="L149" i="261"/>
  <c r="G28" i="943"/>
  <c r="Q20" i="943"/>
  <c r="K20" i="943"/>
  <c r="Q15" i="943"/>
  <c r="K15" i="943"/>
  <c r="Q25" i="943"/>
  <c r="K25" i="943"/>
  <c r="K23" i="943"/>
  <c r="Q23" i="943"/>
  <c r="Q27" i="943"/>
  <c r="K27" i="943"/>
  <c r="Q17" i="943"/>
  <c r="K17" i="943"/>
  <c r="G19" i="942"/>
  <c r="G18" i="942"/>
  <c r="G16" i="942"/>
  <c r="G15" i="942"/>
  <c r="G14" i="942"/>
  <c r="H148" i="261" l="1"/>
  <c r="N32" i="943"/>
  <c r="G33" i="943"/>
  <c r="G30" i="943"/>
  <c r="K148" i="261" s="1"/>
  <c r="Q32" i="943"/>
  <c r="K32" i="943"/>
  <c r="N37" i="943" s="1"/>
  <c r="K19" i="942"/>
  <c r="N19" i="942"/>
  <c r="K16" i="942"/>
  <c r="N16" i="942"/>
  <c r="G20" i="942"/>
  <c r="G17" i="942"/>
  <c r="N38" i="943" l="1"/>
  <c r="N39" i="943" s="1"/>
  <c r="O148" i="261"/>
  <c r="G34" i="943"/>
  <c r="M148" i="261" s="1"/>
  <c r="L148" i="261"/>
  <c r="K37" i="943"/>
  <c r="K17" i="942"/>
  <c r="N17" i="942"/>
  <c r="G21" i="942"/>
  <c r="H145" i="261" s="1"/>
  <c r="N20" i="942"/>
  <c r="K20" i="942"/>
  <c r="G30" i="941"/>
  <c r="G29" i="941"/>
  <c r="G27" i="941"/>
  <c r="G26" i="941"/>
  <c r="G24" i="941"/>
  <c r="G23" i="941"/>
  <c r="G21" i="941"/>
  <c r="G20" i="941"/>
  <c r="G18" i="941"/>
  <c r="G17" i="941"/>
  <c r="G15" i="941"/>
  <c r="G14" i="941"/>
  <c r="K38" i="943" l="1"/>
  <c r="G26" i="942"/>
  <c r="G23" i="942"/>
  <c r="K145" i="261" s="1"/>
  <c r="K25" i="942"/>
  <c r="N25" i="942"/>
  <c r="N15" i="941"/>
  <c r="K15" i="941"/>
  <c r="N21" i="941"/>
  <c r="K21" i="941"/>
  <c r="N27" i="941"/>
  <c r="K27" i="941"/>
  <c r="N18" i="941"/>
  <c r="K18" i="941"/>
  <c r="N24" i="941"/>
  <c r="K24" i="941"/>
  <c r="N30" i="941"/>
  <c r="K30" i="941"/>
  <c r="G19" i="941"/>
  <c r="G25" i="941"/>
  <c r="G31" i="941"/>
  <c r="G16" i="941"/>
  <c r="G22" i="941"/>
  <c r="G28" i="941"/>
  <c r="K30" i="942" l="1"/>
  <c r="K31" i="942" s="1"/>
  <c r="O145" i="261"/>
  <c r="G27" i="942"/>
  <c r="M145" i="261" s="1"/>
  <c r="L145" i="261"/>
  <c r="K22" i="941"/>
  <c r="N22" i="941"/>
  <c r="K19" i="941"/>
  <c r="N19" i="941"/>
  <c r="K16" i="941"/>
  <c r="N16" i="941"/>
  <c r="G32" i="941"/>
  <c r="H144" i="261" s="1"/>
  <c r="K31" i="941"/>
  <c r="N31" i="941"/>
  <c r="K28" i="941"/>
  <c r="N28" i="941"/>
  <c r="N25" i="941"/>
  <c r="K25" i="941"/>
  <c r="G30" i="940"/>
  <c r="G29" i="940"/>
  <c r="G27" i="940"/>
  <c r="G26" i="940"/>
  <c r="G24" i="940"/>
  <c r="G23" i="940"/>
  <c r="G21" i="940"/>
  <c r="G20" i="940"/>
  <c r="G18" i="940"/>
  <c r="G17" i="940"/>
  <c r="G15" i="940"/>
  <c r="G14" i="940"/>
  <c r="G37" i="941" l="1"/>
  <c r="G34" i="941"/>
  <c r="K144" i="261" s="1"/>
  <c r="K36" i="941"/>
  <c r="N36" i="941"/>
  <c r="K18" i="940"/>
  <c r="N18" i="940"/>
  <c r="K24" i="940"/>
  <c r="N24" i="940"/>
  <c r="K30" i="940"/>
  <c r="N30" i="940"/>
  <c r="K15" i="940"/>
  <c r="N15" i="940"/>
  <c r="K21" i="940"/>
  <c r="N21" i="940"/>
  <c r="K27" i="940"/>
  <c r="N27" i="940"/>
  <c r="G19" i="940"/>
  <c r="G25" i="940"/>
  <c r="G16" i="940"/>
  <c r="G22" i="940"/>
  <c r="G28" i="940"/>
  <c r="G31" i="940"/>
  <c r="G15" i="939"/>
  <c r="G14" i="939"/>
  <c r="K41" i="941" l="1"/>
  <c r="K42" i="941" s="1"/>
  <c r="O144" i="261"/>
  <c r="G38" i="941"/>
  <c r="M144" i="261" s="1"/>
  <c r="L144" i="261"/>
  <c r="N22" i="940"/>
  <c r="K22" i="940"/>
  <c r="N16" i="940"/>
  <c r="K16" i="940"/>
  <c r="N25" i="940"/>
  <c r="K25" i="940"/>
  <c r="G32" i="940"/>
  <c r="H143" i="261" s="1"/>
  <c r="N31" i="940"/>
  <c r="K31" i="940"/>
  <c r="N28" i="940"/>
  <c r="K28" i="940"/>
  <c r="K19" i="940"/>
  <c r="N19" i="940"/>
  <c r="N15" i="939"/>
  <c r="K15" i="939"/>
  <c r="G16" i="939"/>
  <c r="G56" i="938"/>
  <c r="G55" i="938"/>
  <c r="G53" i="938"/>
  <c r="G52" i="938"/>
  <c r="G51" i="938"/>
  <c r="G20" i="938"/>
  <c r="G19" i="938"/>
  <c r="G18" i="938"/>
  <c r="G16" i="938"/>
  <c r="G15" i="938"/>
  <c r="G14" i="938"/>
  <c r="K52" i="938" l="1"/>
  <c r="N52" i="938"/>
  <c r="K19" i="938"/>
  <c r="N19" i="938"/>
  <c r="N53" i="938"/>
  <c r="K53" i="938"/>
  <c r="N15" i="938"/>
  <c r="K15" i="938"/>
  <c r="K20" i="938"/>
  <c r="N20" i="938"/>
  <c r="K55" i="938"/>
  <c r="N55" i="938"/>
  <c r="K16" i="938"/>
  <c r="N16" i="938"/>
  <c r="K56" i="938"/>
  <c r="N56" i="938"/>
  <c r="G37" i="940"/>
  <c r="G34" i="940"/>
  <c r="K143" i="261" s="1"/>
  <c r="K36" i="940"/>
  <c r="N36" i="940"/>
  <c r="G17" i="939"/>
  <c r="H142" i="261" s="1"/>
  <c r="N16" i="939"/>
  <c r="K16" i="939"/>
  <c r="G21" i="938"/>
  <c r="G57" i="938"/>
  <c r="G17" i="938"/>
  <c r="G54" i="938"/>
  <c r="K41" i="940" l="1"/>
  <c r="K42" i="940" s="1"/>
  <c r="O143" i="261"/>
  <c r="G38" i="940"/>
  <c r="M143" i="261" s="1"/>
  <c r="L143" i="261"/>
  <c r="K21" i="938"/>
  <c r="N21" i="938"/>
  <c r="K54" i="938"/>
  <c r="N54" i="938"/>
  <c r="K17" i="938"/>
  <c r="N17" i="938"/>
  <c r="K57" i="938"/>
  <c r="N57" i="938"/>
  <c r="G22" i="939"/>
  <c r="G19" i="939"/>
  <c r="K142" i="261" s="1"/>
  <c r="N21" i="939"/>
  <c r="K21" i="939"/>
  <c r="G15" i="937"/>
  <c r="G14" i="937"/>
  <c r="K14" i="937" s="1"/>
  <c r="G23" i="939" l="1"/>
  <c r="M142" i="261" s="1"/>
  <c r="L142" i="261"/>
  <c r="K26" i="939"/>
  <c r="O142" i="261"/>
  <c r="G16" i="937"/>
  <c r="N14" i="937"/>
  <c r="G29" i="936"/>
  <c r="G28" i="936"/>
  <c r="N28" i="936" s="1"/>
  <c r="G27" i="936"/>
  <c r="N27" i="936" s="1"/>
  <c r="G25" i="936"/>
  <c r="N25" i="936" s="1"/>
  <c r="G24" i="936"/>
  <c r="N24" i="936" s="1"/>
  <c r="G22" i="936"/>
  <c r="G21" i="936"/>
  <c r="N21" i="936" s="1"/>
  <c r="G20" i="936"/>
  <c r="N20" i="936" s="1"/>
  <c r="G18" i="936"/>
  <c r="N18" i="936" s="1"/>
  <c r="G17" i="936"/>
  <c r="N17" i="936" s="1"/>
  <c r="G15" i="936"/>
  <c r="G14" i="936"/>
  <c r="N14" i="936" s="1"/>
  <c r="K15" i="936" l="1"/>
  <c r="N15" i="936"/>
  <c r="K27" i="939"/>
  <c r="G17" i="937"/>
  <c r="H140" i="261" s="1"/>
  <c r="N16" i="937"/>
  <c r="K16" i="937"/>
  <c r="K18" i="936"/>
  <c r="Q18" i="936"/>
  <c r="K24" i="936"/>
  <c r="Q24" i="936"/>
  <c r="K14" i="936"/>
  <c r="Q14" i="936"/>
  <c r="K20" i="936"/>
  <c r="Q20" i="936"/>
  <c r="K25" i="936"/>
  <c r="Q25" i="936"/>
  <c r="Q15" i="936"/>
  <c r="K21" i="936"/>
  <c r="Q21" i="936"/>
  <c r="K27" i="936"/>
  <c r="Q27" i="936"/>
  <c r="K17" i="936"/>
  <c r="Q17" i="936"/>
  <c r="K28" i="936"/>
  <c r="Q28" i="936"/>
  <c r="G16" i="936"/>
  <c r="G23" i="936"/>
  <c r="N23" i="936" s="1"/>
  <c r="G30" i="936"/>
  <c r="N30" i="936" s="1"/>
  <c r="G26" i="936"/>
  <c r="N26" i="936" s="1"/>
  <c r="G19" i="936"/>
  <c r="K19" i="936" l="1"/>
  <c r="N19" i="936"/>
  <c r="K16" i="936"/>
  <c r="N16" i="936"/>
  <c r="G31" i="936"/>
  <c r="N35" i="936" s="1"/>
  <c r="G22" i="937"/>
  <c r="G19" i="937"/>
  <c r="K140" i="261" s="1"/>
  <c r="N21" i="937"/>
  <c r="K21" i="937"/>
  <c r="Q16" i="936"/>
  <c r="K26" i="936"/>
  <c r="Q26" i="936"/>
  <c r="Q19" i="936"/>
  <c r="Q30" i="936"/>
  <c r="K30" i="936"/>
  <c r="Q23" i="936"/>
  <c r="K23" i="936"/>
  <c r="G23" i="937" l="1"/>
  <c r="M140" i="261" s="1"/>
  <c r="L140" i="261"/>
  <c r="N41" i="936"/>
  <c r="O139" i="261"/>
  <c r="K26" i="937"/>
  <c r="K27" i="937" s="1"/>
  <c r="O140" i="261"/>
  <c r="B7" i="992"/>
  <c r="B8" i="992"/>
  <c r="K35" i="936"/>
  <c r="H139" i="261"/>
  <c r="G36" i="936"/>
  <c r="G33" i="936"/>
  <c r="K139" i="261" s="1"/>
  <c r="Q35" i="936"/>
  <c r="N40" i="936" l="1"/>
  <c r="N42" i="936" s="1"/>
  <c r="K40" i="936"/>
  <c r="K41" i="936" s="1"/>
  <c r="G37" i="936"/>
  <c r="M139" i="261" s="1"/>
  <c r="L139" i="261"/>
  <c r="C84" i="261" l="1"/>
  <c r="B8" i="766" s="1"/>
  <c r="B84" i="261"/>
  <c r="B7" i="766" s="1"/>
  <c r="Q14" i="615" l="1"/>
  <c r="W14" i="615" s="1"/>
  <c r="J20" i="625" l="1"/>
  <c r="P20" i="625" s="1"/>
  <c r="J16" i="625"/>
  <c r="P16" i="625" s="1"/>
  <c r="J30" i="624"/>
  <c r="P30" i="624" s="1"/>
  <c r="J27" i="624"/>
  <c r="P27" i="624" s="1"/>
  <c r="J23" i="624"/>
  <c r="P23" i="624" s="1"/>
  <c r="J20" i="624"/>
  <c r="P20" i="624" s="1"/>
  <c r="J16" i="624"/>
  <c r="P16" i="624" s="1"/>
  <c r="J15" i="624"/>
  <c r="P15" i="624" s="1"/>
  <c r="U28" i="455"/>
  <c r="U29" i="455" s="1"/>
  <c r="U24" i="455"/>
  <c r="U23" i="455"/>
  <c r="U21" i="455"/>
  <c r="U20" i="455"/>
  <c r="U18" i="455"/>
  <c r="U17" i="455"/>
  <c r="U15" i="455"/>
  <c r="U14" i="455"/>
  <c r="U26" i="455"/>
  <c r="U27" i="455" s="1"/>
  <c r="U16" i="455" l="1"/>
  <c r="U22" i="455"/>
  <c r="U19" i="455"/>
  <c r="U25" i="455"/>
  <c r="AA31" i="455" l="1"/>
  <c r="U30" i="455"/>
  <c r="AA32" i="455" l="1"/>
  <c r="AA33" i="455" s="1"/>
  <c r="Q50" i="261" s="1"/>
  <c r="E21" i="703" s="1"/>
  <c r="P50" i="261"/>
  <c r="E20" i="703" s="1"/>
  <c r="G113" i="261"/>
  <c r="A12" i="962" l="1"/>
  <c r="B5" i="962"/>
  <c r="AA34" i="455"/>
  <c r="R14" i="571"/>
  <c r="O17" i="568"/>
  <c r="O17" i="566"/>
  <c r="O17" i="565"/>
  <c r="R50" i="261" l="1"/>
  <c r="AA45" i="455"/>
  <c r="AA35" i="455"/>
  <c r="N24" i="791"/>
  <c r="T24" i="791" s="1"/>
  <c r="K17" i="608"/>
  <c r="Q17" i="608" s="1"/>
  <c r="K14" i="608"/>
  <c r="Q14" i="608" s="1"/>
  <c r="Q51" i="282"/>
  <c r="Z51" i="282" s="1"/>
  <c r="AA36" i="455" l="1"/>
  <c r="T50" i="261" s="1"/>
  <c r="E24" i="703" s="1"/>
  <c r="S50" i="261"/>
  <c r="E23" i="703" s="1"/>
  <c r="C33" i="703"/>
  <c r="G10" i="703"/>
  <c r="E22" i="703"/>
  <c r="N60" i="593"/>
  <c r="Z60" i="593" s="1"/>
  <c r="N58" i="593"/>
  <c r="Z58" i="593" s="1"/>
  <c r="N55" i="593"/>
  <c r="Z55" i="593" s="1"/>
  <c r="N52" i="593"/>
  <c r="Z52" i="593" s="1"/>
  <c r="N50" i="593"/>
  <c r="Z50" i="593" s="1"/>
  <c r="N30" i="593"/>
  <c r="N26" i="593"/>
  <c r="N22" i="593"/>
  <c r="N18" i="593"/>
  <c r="N15" i="593"/>
  <c r="Q15" i="502" l="1"/>
  <c r="Q14" i="502"/>
  <c r="R14" i="502" l="1"/>
  <c r="W14" i="502"/>
  <c r="R15" i="502"/>
  <c r="W15" i="502"/>
  <c r="R17" i="569" l="1"/>
  <c r="Q15" i="569"/>
  <c r="Q22" i="570"/>
  <c r="Q19" i="570"/>
  <c r="Q16" i="570"/>
  <c r="R14" i="570"/>
  <c r="Q18" i="571"/>
  <c r="Q15" i="571"/>
  <c r="O36" i="791" l="1"/>
  <c r="O35" i="791"/>
  <c r="O33" i="791"/>
  <c r="O32" i="791"/>
  <c r="O31" i="791"/>
  <c r="O29" i="791"/>
  <c r="O27" i="791"/>
  <c r="O25" i="791"/>
  <c r="O24" i="791"/>
  <c r="O22" i="791"/>
  <c r="O21" i="791"/>
  <c r="O20" i="791"/>
  <c r="O18" i="791"/>
  <c r="O17" i="791"/>
  <c r="T17" i="803" l="1"/>
  <c r="T20" i="803"/>
  <c r="T18" i="803"/>
  <c r="T15" i="803"/>
  <c r="L20" i="885"/>
  <c r="U20" i="885" s="1"/>
  <c r="V20" i="885" s="1"/>
  <c r="H20" i="885"/>
  <c r="P20" i="885" s="1"/>
  <c r="L19" i="885"/>
  <c r="U19" i="885" s="1"/>
  <c r="H19" i="885"/>
  <c r="L20" i="886"/>
  <c r="U20" i="886" s="1"/>
  <c r="L19" i="886"/>
  <c r="U19" i="886" s="1"/>
  <c r="H20" i="886"/>
  <c r="H19" i="886"/>
  <c r="H21" i="885" l="1"/>
  <c r="P21" i="885" s="1"/>
  <c r="H21" i="886"/>
  <c r="M20" i="886"/>
  <c r="M20" i="885"/>
  <c r="L21" i="885"/>
  <c r="U21" i="885" s="1"/>
  <c r="V21" i="885" s="1"/>
  <c r="L21" i="886"/>
  <c r="U21" i="886" s="1"/>
  <c r="M21" i="885" l="1"/>
  <c r="M21" i="886"/>
  <c r="V20" i="886"/>
  <c r="V21" i="886"/>
  <c r="K14" i="913" l="1"/>
  <c r="T14" i="913" s="1"/>
  <c r="T16" i="529" l="1"/>
  <c r="K14" i="529"/>
  <c r="R16" i="529"/>
  <c r="T16" i="548"/>
  <c r="O28" i="548"/>
  <c r="O27" i="548"/>
  <c r="O25" i="548"/>
  <c r="O24" i="548"/>
  <c r="O23" i="548"/>
  <c r="O21" i="548"/>
  <c r="O20" i="548"/>
  <c r="O18" i="548"/>
  <c r="O19" i="548" s="1"/>
  <c r="O16" i="548"/>
  <c r="O15" i="548"/>
  <c r="R18" i="569"/>
  <c r="R15" i="569"/>
  <c r="R14" i="569"/>
  <c r="R21" i="570"/>
  <c r="R18" i="570"/>
  <c r="R15" i="570"/>
  <c r="R22" i="570"/>
  <c r="R19" i="570"/>
  <c r="R16" i="570"/>
  <c r="R18" i="571"/>
  <c r="R17" i="571"/>
  <c r="R15" i="571"/>
  <c r="R17" i="529" l="1"/>
  <c r="S16" i="529"/>
  <c r="O22" i="548"/>
  <c r="L14" i="529"/>
  <c r="O17" i="548"/>
  <c r="O26" i="548"/>
  <c r="O29" i="548"/>
  <c r="R15" i="529"/>
  <c r="O31" i="548"/>
  <c r="R22" i="567"/>
  <c r="R16" i="567"/>
  <c r="R19" i="567"/>
  <c r="R25" i="567"/>
  <c r="R16" i="569"/>
  <c r="R19" i="569"/>
  <c r="R23" i="570"/>
  <c r="R20" i="570"/>
  <c r="R17" i="570"/>
  <c r="R16" i="571"/>
  <c r="R19" i="571"/>
  <c r="O30" i="548" l="1"/>
  <c r="R18" i="529"/>
  <c r="N30" i="261" s="1"/>
  <c r="E19" i="660" s="1"/>
  <c r="R26" i="567"/>
  <c r="R20" i="569"/>
  <c r="R24" i="570"/>
  <c r="R20" i="571"/>
  <c r="O32" i="548" l="1"/>
  <c r="O33" i="548" s="1"/>
  <c r="R20" i="529"/>
  <c r="R21" i="529" s="1"/>
  <c r="Q30" i="261" s="1"/>
  <c r="E21" i="660" s="1"/>
  <c r="R28" i="567"/>
  <c r="R29" i="567" s="1"/>
  <c r="R22" i="569"/>
  <c r="R26" i="570"/>
  <c r="R27" i="570" s="1"/>
  <c r="R22" i="571"/>
  <c r="R23" i="571" s="1"/>
  <c r="R23" i="569" l="1"/>
  <c r="R24" i="569" s="1"/>
  <c r="X32" i="569" s="1"/>
  <c r="C30" i="735" s="1"/>
  <c r="O34" i="548"/>
  <c r="R41" i="548" s="1"/>
  <c r="C29" i="710" s="1"/>
  <c r="R22" i="529"/>
  <c r="R30" i="261" s="1"/>
  <c r="R28" i="570"/>
  <c r="R36" i="570" s="1"/>
  <c r="R24" i="571"/>
  <c r="U31" i="571" s="1"/>
  <c r="C30" i="737" s="1"/>
  <c r="R30" i="567"/>
  <c r="G10" i="660" l="1"/>
  <c r="E22" i="660"/>
  <c r="R37" i="567"/>
  <c r="U37" i="567"/>
  <c r="C30" i="733" s="1"/>
  <c r="O35" i="548"/>
  <c r="O36" i="548" s="1"/>
  <c r="U32" i="569"/>
  <c r="O41" i="548"/>
  <c r="R31" i="567"/>
  <c r="R32" i="567" s="1"/>
  <c r="R40" i="548"/>
  <c r="R25" i="569"/>
  <c r="U36" i="570"/>
  <c r="C30" i="736" s="1"/>
  <c r="R30" i="529"/>
  <c r="C30" i="660" s="1"/>
  <c r="R23" i="529"/>
  <c r="S30" i="261" s="1"/>
  <c r="E23" i="660" s="1"/>
  <c r="R29" i="570"/>
  <c r="R32" i="569"/>
  <c r="R31" i="571"/>
  <c r="R25" i="571"/>
  <c r="C28" i="710" l="1"/>
  <c r="C34" i="710" s="1"/>
  <c r="R43" i="548"/>
  <c r="R26" i="569"/>
  <c r="R24" i="529"/>
  <c r="T30" i="261" s="1"/>
  <c r="E24" i="660" s="1"/>
  <c r="R30" i="570"/>
  <c r="R26" i="571"/>
  <c r="T35" i="611" l="1"/>
  <c r="T33" i="611"/>
  <c r="T32" i="611"/>
  <c r="T30" i="611"/>
  <c r="T29" i="611"/>
  <c r="T28" i="611"/>
  <c r="T26" i="611"/>
  <c r="T25" i="611"/>
  <c r="T23" i="611"/>
  <c r="T22" i="611"/>
  <c r="T21" i="611"/>
  <c r="T19" i="611"/>
  <c r="T18" i="611"/>
  <c r="T16" i="611"/>
  <c r="T15" i="611"/>
  <c r="R35" i="611"/>
  <c r="R33" i="611"/>
  <c r="S33" i="611" s="1"/>
  <c r="R32" i="611"/>
  <c r="S32" i="611" s="1"/>
  <c r="R30" i="611"/>
  <c r="S30" i="611" s="1"/>
  <c r="R29" i="611"/>
  <c r="S29" i="611" s="1"/>
  <c r="R28" i="611"/>
  <c r="S28" i="611" s="1"/>
  <c r="R26" i="611"/>
  <c r="S26" i="611" s="1"/>
  <c r="R25" i="611"/>
  <c r="S25" i="611" s="1"/>
  <c r="R23" i="611"/>
  <c r="S23" i="611" s="1"/>
  <c r="R22" i="611"/>
  <c r="S22" i="611" s="1"/>
  <c r="R21" i="611"/>
  <c r="S21" i="611" s="1"/>
  <c r="R19" i="611"/>
  <c r="S19" i="611" s="1"/>
  <c r="R18" i="611"/>
  <c r="S18" i="611" s="1"/>
  <c r="R16" i="611"/>
  <c r="S16" i="611" s="1"/>
  <c r="R15" i="611"/>
  <c r="S15" i="611" s="1"/>
  <c r="R14" i="611"/>
  <c r="S14" i="611" s="1"/>
  <c r="R18" i="615"/>
  <c r="R19" i="615" s="1"/>
  <c r="R14" i="615"/>
  <c r="R15" i="615" s="1"/>
  <c r="R36" i="611" l="1"/>
  <c r="S35" i="611"/>
  <c r="R31" i="611"/>
  <c r="S31" i="611" s="1"/>
  <c r="R24" i="611"/>
  <c r="S24" i="611" s="1"/>
  <c r="R27" i="611"/>
  <c r="S27" i="611" s="1"/>
  <c r="R17" i="611"/>
  <c r="S17" i="611" s="1"/>
  <c r="R20" i="611"/>
  <c r="S20" i="611" s="1"/>
  <c r="R34" i="611"/>
  <c r="S34" i="611" s="1"/>
  <c r="R37" i="611" l="1"/>
  <c r="N79" i="261" s="1"/>
  <c r="E19" i="758" s="1"/>
  <c r="R39" i="611" l="1"/>
  <c r="R40" i="611" s="1"/>
  <c r="Q79" i="261" l="1"/>
  <c r="E21" i="758" s="1"/>
  <c r="R41" i="611"/>
  <c r="R42" i="611" l="1"/>
  <c r="S79" i="261" s="1"/>
  <c r="E23" i="758" s="1"/>
  <c r="R79" i="261"/>
  <c r="R49" i="611"/>
  <c r="C30" i="758" s="1"/>
  <c r="R55" i="630"/>
  <c r="R54" i="630"/>
  <c r="R52" i="630"/>
  <c r="R53" i="630" s="1"/>
  <c r="R50" i="630"/>
  <c r="R49" i="630"/>
  <c r="R47" i="630"/>
  <c r="R46" i="630"/>
  <c r="R44" i="630"/>
  <c r="R43" i="630"/>
  <c r="R41" i="630"/>
  <c r="R40" i="630"/>
  <c r="R39" i="630"/>
  <c r="R37" i="630"/>
  <c r="R36" i="630"/>
  <c r="R34" i="630"/>
  <c r="R33" i="630"/>
  <c r="R32" i="630"/>
  <c r="R30" i="630"/>
  <c r="R29" i="630"/>
  <c r="R27" i="630"/>
  <c r="R26" i="630"/>
  <c r="R25" i="630"/>
  <c r="R23" i="630"/>
  <c r="R22" i="630"/>
  <c r="R20" i="630"/>
  <c r="R19" i="630"/>
  <c r="R18" i="630"/>
  <c r="R16" i="630"/>
  <c r="R15" i="630"/>
  <c r="R14" i="630"/>
  <c r="R43" i="611" l="1"/>
  <c r="T79" i="261" s="1"/>
  <c r="E24" i="758" s="1"/>
  <c r="E22" i="758"/>
  <c r="G10" i="758"/>
  <c r="R45" i="630"/>
  <c r="R17" i="630"/>
  <c r="R56" i="630"/>
  <c r="R51" i="630"/>
  <c r="R48" i="630"/>
  <c r="R42" i="630"/>
  <c r="R38" i="630"/>
  <c r="R35" i="630"/>
  <c r="R31" i="630"/>
  <c r="R28" i="630"/>
  <c r="R24" i="630"/>
  <c r="R21" i="630"/>
  <c r="R57" i="630" l="1"/>
  <c r="R59" i="630" s="1"/>
  <c r="R60" i="630" s="1"/>
  <c r="R61" i="630" l="1"/>
  <c r="O19" i="786"/>
  <c r="K29" i="791"/>
  <c r="T29" i="791" s="1"/>
  <c r="O15" i="791"/>
  <c r="O26" i="791"/>
  <c r="O14" i="791"/>
  <c r="P95" i="261"/>
  <c r="E20" i="836" s="1"/>
  <c r="C29" i="805"/>
  <c r="T23" i="805"/>
  <c r="T20" i="805"/>
  <c r="T15" i="805"/>
  <c r="L35" i="809"/>
  <c r="U35" i="809" s="1"/>
  <c r="L32" i="809"/>
  <c r="U32" i="809" s="1"/>
  <c r="L36" i="809"/>
  <c r="U36" i="809" s="1"/>
  <c r="L33" i="809"/>
  <c r="U33" i="809" s="1"/>
  <c r="L22" i="809"/>
  <c r="U22" i="809" s="1"/>
  <c r="L21" i="809"/>
  <c r="U21" i="809" s="1"/>
  <c r="L19" i="809"/>
  <c r="U19" i="809" s="1"/>
  <c r="L18" i="809"/>
  <c r="U18" i="809" s="1"/>
  <c r="L16" i="809"/>
  <c r="U16" i="809" s="1"/>
  <c r="L15" i="809"/>
  <c r="U15" i="809" s="1"/>
  <c r="L14" i="809"/>
  <c r="U14" i="809" s="1"/>
  <c r="K31" i="809"/>
  <c r="T31" i="809" s="1"/>
  <c r="K29" i="809"/>
  <c r="T29" i="809" s="1"/>
  <c r="K27" i="809"/>
  <c r="T27" i="809" s="1"/>
  <c r="K24" i="809"/>
  <c r="T24" i="809" s="1"/>
  <c r="O23" i="811"/>
  <c r="P23" i="811" s="1"/>
  <c r="O20" i="812"/>
  <c r="U69" i="630" l="1"/>
  <c r="X69" i="630"/>
  <c r="C30" i="766" s="1"/>
  <c r="L31" i="809"/>
  <c r="U31" i="809" s="1"/>
  <c r="L24" i="809"/>
  <c r="U24" i="809" s="1"/>
  <c r="M19" i="809"/>
  <c r="M36" i="809"/>
  <c r="L27" i="809"/>
  <c r="U27" i="809" s="1"/>
  <c r="M32" i="809"/>
  <c r="M33" i="809"/>
  <c r="L29" i="809"/>
  <c r="U29" i="809" s="1"/>
  <c r="M16" i="809"/>
  <c r="L23" i="809"/>
  <c r="L37" i="809"/>
  <c r="O19" i="810"/>
  <c r="O23" i="812"/>
  <c r="O37" i="811"/>
  <c r="O16" i="791"/>
  <c r="L17" i="809"/>
  <c r="L20" i="809"/>
  <c r="R62" i="630"/>
  <c r="R63" i="630" s="1"/>
  <c r="R69" i="630"/>
  <c r="O23" i="791"/>
  <c r="R19" i="803"/>
  <c r="O34" i="812"/>
  <c r="O30" i="811"/>
  <c r="P30" i="811" s="1"/>
  <c r="O34" i="810"/>
  <c r="O16" i="810"/>
  <c r="R21" i="803"/>
  <c r="R16" i="803"/>
  <c r="O17" i="786"/>
  <c r="O26" i="786"/>
  <c r="O37" i="791"/>
  <c r="O19" i="791"/>
  <c r="O34" i="791"/>
  <c r="O36" i="786"/>
  <c r="O33" i="786"/>
  <c r="O29" i="786"/>
  <c r="O22" i="786"/>
  <c r="O30" i="791"/>
  <c r="O28" i="791"/>
  <c r="O21" i="797"/>
  <c r="O17" i="797"/>
  <c r="R16" i="805"/>
  <c r="R24" i="805"/>
  <c r="O37" i="810"/>
  <c r="O23" i="810"/>
  <c r="O28" i="810"/>
  <c r="O30" i="810"/>
  <c r="O26" i="810"/>
  <c r="O34" i="811"/>
  <c r="O20" i="811"/>
  <c r="P20" i="811" s="1"/>
  <c r="O17" i="811"/>
  <c r="P17" i="811" s="1"/>
  <c r="O28" i="811"/>
  <c r="P28" i="811" s="1"/>
  <c r="O17" i="812"/>
  <c r="O37" i="812"/>
  <c r="O28" i="812"/>
  <c r="O30" i="812"/>
  <c r="L34" i="809" l="1"/>
  <c r="P37" i="811"/>
  <c r="P34" i="811"/>
  <c r="L30" i="809"/>
  <c r="L28" i="809"/>
  <c r="M31" i="809"/>
  <c r="O38" i="791"/>
  <c r="O37" i="786"/>
  <c r="N91" i="261" s="1"/>
  <c r="E19" i="825" s="1"/>
  <c r="O22" i="797"/>
  <c r="R22" i="803"/>
  <c r="N96" i="261" s="1"/>
  <c r="O38" i="810"/>
  <c r="N100" i="261" s="1"/>
  <c r="E19" i="849" s="1"/>
  <c r="U138" i="261"/>
  <c r="I138" i="261"/>
  <c r="G138" i="261"/>
  <c r="C138" i="261"/>
  <c r="B138" i="261"/>
  <c r="U137" i="261"/>
  <c r="G137" i="261"/>
  <c r="C137" i="261"/>
  <c r="B137" i="261"/>
  <c r="U172" i="261"/>
  <c r="I172" i="261"/>
  <c r="G172" i="261"/>
  <c r="C172" i="261"/>
  <c r="B172" i="261"/>
  <c r="U133" i="261"/>
  <c r="G133" i="261"/>
  <c r="C133" i="261"/>
  <c r="B133" i="261"/>
  <c r="U132" i="261"/>
  <c r="I132" i="261"/>
  <c r="G132" i="261"/>
  <c r="C132" i="261"/>
  <c r="B132" i="261"/>
  <c r="U131" i="261"/>
  <c r="I131" i="261"/>
  <c r="G131" i="261"/>
  <c r="C131" i="261"/>
  <c r="B131" i="261"/>
  <c r="U130" i="261"/>
  <c r="G130" i="261"/>
  <c r="C130" i="261"/>
  <c r="B130" i="261"/>
  <c r="U129" i="261"/>
  <c r="G8" i="973" s="1"/>
  <c r="I129" i="261"/>
  <c r="G129" i="261"/>
  <c r="C129" i="261"/>
  <c r="B8" i="973" s="1"/>
  <c r="B129" i="261"/>
  <c r="B7" i="973" s="1"/>
  <c r="U128" i="261"/>
  <c r="G8" i="972" s="1"/>
  <c r="G128" i="261"/>
  <c r="C128" i="261"/>
  <c r="B8" i="972" s="1"/>
  <c r="B128" i="261"/>
  <c r="B7" i="972" s="1"/>
  <c r="U127" i="261"/>
  <c r="G8" i="971" s="1"/>
  <c r="I127" i="261"/>
  <c r="G127" i="261"/>
  <c r="C127" i="261"/>
  <c r="B8" i="971" s="1"/>
  <c r="B127" i="261"/>
  <c r="B7" i="971" s="1"/>
  <c r="U126" i="261"/>
  <c r="G8" i="925" s="1"/>
  <c r="I126" i="261"/>
  <c r="G126" i="261"/>
  <c r="C126" i="261"/>
  <c r="B8" i="925" s="1"/>
  <c r="B126" i="261"/>
  <c r="B7" i="925" s="1"/>
  <c r="U125" i="261"/>
  <c r="G8" i="927" s="1"/>
  <c r="I125" i="261"/>
  <c r="G125" i="261"/>
  <c r="C125" i="261"/>
  <c r="B8" i="927" s="1"/>
  <c r="B125" i="261"/>
  <c r="B7" i="927" s="1"/>
  <c r="U124" i="261"/>
  <c r="G8" i="970" s="1"/>
  <c r="I124" i="261"/>
  <c r="G124" i="261"/>
  <c r="C124" i="261"/>
  <c r="B8" i="970" s="1"/>
  <c r="B124" i="261"/>
  <c r="B7" i="970" s="1"/>
  <c r="U123" i="261"/>
  <c r="G8" i="928" s="1"/>
  <c r="I123" i="261"/>
  <c r="G123" i="261"/>
  <c r="C123" i="261"/>
  <c r="B8" i="928" s="1"/>
  <c r="B123" i="261"/>
  <c r="B7" i="928" s="1"/>
  <c r="U122" i="261"/>
  <c r="G8" i="929" s="1"/>
  <c r="I122" i="261"/>
  <c r="G122" i="261"/>
  <c r="C122" i="261"/>
  <c r="B8" i="929" s="1"/>
  <c r="B122" i="261"/>
  <c r="B7" i="929" s="1"/>
  <c r="U121" i="261"/>
  <c r="G8" i="969" s="1"/>
  <c r="I121" i="261"/>
  <c r="G121" i="261"/>
  <c r="C121" i="261"/>
  <c r="B8" i="969" s="1"/>
  <c r="B121" i="261"/>
  <c r="B7" i="969" s="1"/>
  <c r="U120" i="261"/>
  <c r="G8" i="968" s="1"/>
  <c r="G120" i="261"/>
  <c r="C120" i="261"/>
  <c r="B8" i="968" s="1"/>
  <c r="B120" i="261"/>
  <c r="B7" i="968" s="1"/>
  <c r="U119" i="261"/>
  <c r="G8" i="967" s="1"/>
  <c r="I119" i="261"/>
  <c r="G119" i="261"/>
  <c r="C119" i="261"/>
  <c r="B8" i="967" s="1"/>
  <c r="B119" i="261"/>
  <c r="B7" i="967" s="1"/>
  <c r="U118" i="261"/>
  <c r="G8" i="966" s="1"/>
  <c r="G118" i="261"/>
  <c r="C118" i="261"/>
  <c r="B8" i="966" s="1"/>
  <c r="B118" i="261"/>
  <c r="B7" i="966" s="1"/>
  <c r="U116" i="261"/>
  <c r="G8" i="965" s="1"/>
  <c r="P116" i="261"/>
  <c r="E20" i="965" s="1"/>
  <c r="I116" i="261"/>
  <c r="G116" i="261"/>
  <c r="C116" i="261"/>
  <c r="B8" i="965" s="1"/>
  <c r="B116" i="261"/>
  <c r="B7" i="965" s="1"/>
  <c r="U115" i="261"/>
  <c r="G8" i="964" s="1"/>
  <c r="I115" i="261"/>
  <c r="G115" i="261"/>
  <c r="C115" i="261"/>
  <c r="B8" i="964" s="1"/>
  <c r="B115" i="261"/>
  <c r="B7" i="964" s="1"/>
  <c r="U114" i="261"/>
  <c r="G8" i="963" s="1"/>
  <c r="I114" i="261"/>
  <c r="G114" i="261"/>
  <c r="U113" i="261"/>
  <c r="G8" i="962" s="1"/>
  <c r="I113" i="261"/>
  <c r="C113" i="261"/>
  <c r="B8" i="962" s="1"/>
  <c r="B113" i="261"/>
  <c r="B7" i="962" s="1"/>
  <c r="U112" i="261"/>
  <c r="G8" i="961" s="1"/>
  <c r="P112" i="261"/>
  <c r="E20" i="961" s="1"/>
  <c r="I112" i="261"/>
  <c r="G112" i="261"/>
  <c r="C112" i="261"/>
  <c r="B8" i="961" s="1"/>
  <c r="B112" i="261"/>
  <c r="B7" i="961" s="1"/>
  <c r="A12" i="972" l="1"/>
  <c r="B5" i="972"/>
  <c r="A12" i="968"/>
  <c r="B5" i="968"/>
  <c r="B5" i="927"/>
  <c r="A12" i="927"/>
  <c r="B5" i="965"/>
  <c r="A12" i="965"/>
  <c r="A12" i="929"/>
  <c r="B5" i="929"/>
  <c r="A12" i="963"/>
  <c r="B5" i="963"/>
  <c r="A12" i="971"/>
  <c r="B5" i="971"/>
  <c r="B5" i="966"/>
  <c r="A12" i="966"/>
  <c r="A12" i="967"/>
  <c r="B5" i="967"/>
  <c r="A12" i="970"/>
  <c r="B5" i="970"/>
  <c r="A12" i="973"/>
  <c r="B5" i="973"/>
  <c r="A12" i="964"/>
  <c r="B5" i="964"/>
  <c r="A12" i="969"/>
  <c r="B5" i="969"/>
  <c r="A12" i="928"/>
  <c r="B5" i="928"/>
  <c r="A12" i="925"/>
  <c r="B5" i="925"/>
  <c r="A12" i="961"/>
  <c r="B5" i="961"/>
  <c r="E19" i="842"/>
  <c r="E19" i="837"/>
  <c r="O39" i="786"/>
  <c r="O40" i="786" s="1"/>
  <c r="O40" i="791"/>
  <c r="O41" i="791" s="1"/>
  <c r="O24" i="797"/>
  <c r="O25" i="797" s="1"/>
  <c r="N95" i="261"/>
  <c r="E19" i="836" s="1"/>
  <c r="R24" i="803"/>
  <c r="R25" i="803" s="1"/>
  <c r="O40" i="810"/>
  <c r="O41" i="810" s="1"/>
  <c r="Q100" i="261" s="1"/>
  <c r="E21" i="849" s="1"/>
  <c r="U110" i="261"/>
  <c r="G8" i="960" s="1"/>
  <c r="P110" i="261"/>
  <c r="E20" i="960" s="1"/>
  <c r="I110" i="261"/>
  <c r="G110" i="261"/>
  <c r="C110" i="261"/>
  <c r="B8" i="960" s="1"/>
  <c r="B110" i="261"/>
  <c r="B7" i="960" s="1"/>
  <c r="U108" i="261"/>
  <c r="G8" i="930" s="1"/>
  <c r="I108" i="261"/>
  <c r="G108" i="261"/>
  <c r="C108" i="261"/>
  <c r="B8" i="930" s="1"/>
  <c r="B108" i="261"/>
  <c r="B7" i="930" s="1"/>
  <c r="U107" i="261"/>
  <c r="G8" i="931" s="1"/>
  <c r="I107" i="261"/>
  <c r="G107" i="261"/>
  <c r="U106" i="261"/>
  <c r="G8" i="932" s="1"/>
  <c r="I106" i="261"/>
  <c r="G106" i="261"/>
  <c r="U105" i="261"/>
  <c r="G8" i="959" s="1"/>
  <c r="I105" i="261"/>
  <c r="G105" i="261"/>
  <c r="C105" i="261"/>
  <c r="B8" i="959" s="1"/>
  <c r="B105" i="261"/>
  <c r="B7" i="959" s="1"/>
  <c r="A12" i="960" l="1"/>
  <c r="B5" i="960"/>
  <c r="A12" i="930"/>
  <c r="B5" i="930"/>
  <c r="A12" i="931"/>
  <c r="B5" i="931"/>
  <c r="Q96" i="261"/>
  <c r="A12" i="959"/>
  <c r="B5" i="959"/>
  <c r="A12" i="932"/>
  <c r="B5" i="932"/>
  <c r="Q91" i="261"/>
  <c r="E21" i="825" s="1"/>
  <c r="O42" i="791"/>
  <c r="O41" i="786"/>
  <c r="R91" i="261" s="1"/>
  <c r="R26" i="803"/>
  <c r="O26" i="797"/>
  <c r="Q95" i="261"/>
  <c r="E21" i="836" s="1"/>
  <c r="O42" i="810"/>
  <c r="R100" i="261" s="1"/>
  <c r="U104" i="261"/>
  <c r="G104" i="261"/>
  <c r="G18" i="916"/>
  <c r="G17" i="916"/>
  <c r="G16" i="916"/>
  <c r="N16" i="916" s="1"/>
  <c r="G14" i="916"/>
  <c r="J18" i="916"/>
  <c r="P18" i="916" s="1"/>
  <c r="J17" i="916"/>
  <c r="P17" i="916" s="1"/>
  <c r="J16" i="916"/>
  <c r="J14" i="916"/>
  <c r="G10" i="849" l="1"/>
  <c r="E22" i="849"/>
  <c r="G10" i="825"/>
  <c r="E22" i="825"/>
  <c r="E21" i="842"/>
  <c r="E21" i="837"/>
  <c r="R34" i="803"/>
  <c r="C30" i="842" s="1"/>
  <c r="R96" i="261"/>
  <c r="G15" i="916"/>
  <c r="N15" i="916" s="1"/>
  <c r="N14" i="916"/>
  <c r="J15" i="916"/>
  <c r="P15" i="916" s="1"/>
  <c r="P14" i="916"/>
  <c r="Q14" i="916" s="1"/>
  <c r="P16" i="916"/>
  <c r="Q16" i="916" s="1"/>
  <c r="J19" i="916"/>
  <c r="P19" i="916" s="1"/>
  <c r="O27" i="797"/>
  <c r="O28" i="797" s="1"/>
  <c r="T95" i="261" s="1"/>
  <c r="E24" i="836" s="1"/>
  <c r="O34" i="797"/>
  <c r="C29" i="836" s="1"/>
  <c r="O48" i="786"/>
  <c r="C29" i="825" s="1"/>
  <c r="O50" i="791"/>
  <c r="R50" i="791"/>
  <c r="C29" i="830" s="1"/>
  <c r="O43" i="810"/>
  <c r="O51" i="810"/>
  <c r="C29" i="849" s="1"/>
  <c r="O42" i="786"/>
  <c r="S91" i="261" s="1"/>
  <c r="E23" i="825" s="1"/>
  <c r="O43" i="791"/>
  <c r="R27" i="803"/>
  <c r="R95" i="261"/>
  <c r="G19" i="916"/>
  <c r="K16" i="916"/>
  <c r="K14" i="916"/>
  <c r="S95" i="261" l="1"/>
  <c r="E23" i="836" s="1"/>
  <c r="G10" i="842"/>
  <c r="G10" i="837"/>
  <c r="E22" i="842"/>
  <c r="E22" i="837"/>
  <c r="R28" i="803"/>
  <c r="T96" i="261" s="1"/>
  <c r="S96" i="261"/>
  <c r="K15" i="916"/>
  <c r="O44" i="810"/>
  <c r="T100" i="261" s="1"/>
  <c r="E24" i="849" s="1"/>
  <c r="S100" i="261"/>
  <c r="E23" i="849" s="1"/>
  <c r="E22" i="836"/>
  <c r="G10" i="836"/>
  <c r="J20" i="916"/>
  <c r="G20" i="916"/>
  <c r="N24" i="916" s="1"/>
  <c r="N19" i="916"/>
  <c r="O43" i="786"/>
  <c r="T91" i="261" s="1"/>
  <c r="E24" i="825" s="1"/>
  <c r="O44" i="791"/>
  <c r="K19" i="916"/>
  <c r="Q15" i="916"/>
  <c r="G25" i="916" l="1"/>
  <c r="G26" i="916" s="1"/>
  <c r="M138" i="261" s="1"/>
  <c r="E24" i="842"/>
  <c r="E24" i="837"/>
  <c r="G22" i="916"/>
  <c r="K138" i="261" s="1"/>
  <c r="H138" i="261"/>
  <c r="E23" i="842"/>
  <c r="E23" i="837"/>
  <c r="N30" i="916"/>
  <c r="O138" i="261"/>
  <c r="J22" i="916"/>
  <c r="J23" i="916" s="1"/>
  <c r="Q19" i="916"/>
  <c r="P20" i="916"/>
  <c r="P22" i="916" s="1"/>
  <c r="P23" i="916" s="1"/>
  <c r="P24" i="916" s="1"/>
  <c r="L138" i="261" l="1"/>
  <c r="J24" i="916"/>
  <c r="Q24" i="916"/>
  <c r="P25" i="916"/>
  <c r="P26" i="916" s="1"/>
  <c r="M29" i="916" l="1"/>
  <c r="M31" i="916" s="1"/>
  <c r="K24" i="916"/>
  <c r="J25" i="916"/>
  <c r="J26" i="916" s="1"/>
  <c r="J29" i="916"/>
  <c r="K29" i="916" l="1"/>
  <c r="K30" i="916" s="1"/>
  <c r="N29" i="916"/>
  <c r="N31" i="916" s="1"/>
  <c r="J30" i="916"/>
  <c r="H18" i="915"/>
  <c r="H16" i="915"/>
  <c r="H14" i="915"/>
  <c r="L15" i="915"/>
  <c r="R15" i="915" s="1"/>
  <c r="S15" i="915" s="1"/>
  <c r="H17" i="915" l="1"/>
  <c r="H21" i="915" s="1"/>
  <c r="I137" i="261" s="1"/>
  <c r="M16" i="915"/>
  <c r="H19" i="915"/>
  <c r="M18" i="915"/>
  <c r="H15" i="915"/>
  <c r="M15" i="915" s="1"/>
  <c r="M14" i="915"/>
  <c r="L17" i="915"/>
  <c r="L19" i="915"/>
  <c r="L21" i="915" l="1"/>
  <c r="R17" i="915"/>
  <c r="S17" i="915" s="1"/>
  <c r="M19" i="915"/>
  <c r="R19" i="915"/>
  <c r="S19" i="915" s="1"/>
  <c r="H20" i="915"/>
  <c r="H25" i="915" s="1"/>
  <c r="R21" i="915"/>
  <c r="L20" i="915"/>
  <c r="M17" i="915"/>
  <c r="H22" i="915" l="1"/>
  <c r="K137" i="261" s="1"/>
  <c r="H137" i="261"/>
  <c r="L22" i="915"/>
  <c r="L23" i="915" s="1"/>
  <c r="H26" i="915"/>
  <c r="M137" i="261" s="1"/>
  <c r="L137" i="261"/>
  <c r="R20" i="915"/>
  <c r="R22" i="915" s="1"/>
  <c r="R23" i="915" s="1"/>
  <c r="P24" i="915" l="1"/>
  <c r="P30" i="915" s="1"/>
  <c r="L24" i="915"/>
  <c r="R24" i="915"/>
  <c r="S24" i="915" s="1"/>
  <c r="H14" i="914"/>
  <c r="O137" i="261" l="1"/>
  <c r="L29" i="915"/>
  <c r="O29" i="915"/>
  <c r="O31" i="915" s="1"/>
  <c r="H15" i="914"/>
  <c r="H16" i="914" s="1"/>
  <c r="P14" i="914"/>
  <c r="M24" i="915"/>
  <c r="P29" i="915" s="1"/>
  <c r="P31" i="915" s="1"/>
  <c r="L25" i="915"/>
  <c r="R25" i="915"/>
  <c r="R26" i="915" s="1"/>
  <c r="L14" i="914"/>
  <c r="U14" i="914" s="1"/>
  <c r="V14" i="914" s="1"/>
  <c r="H14" i="913"/>
  <c r="L14" i="913"/>
  <c r="U14" i="913" s="1"/>
  <c r="V14" i="913" s="1"/>
  <c r="P20" i="914" l="1"/>
  <c r="S26" i="914" s="1"/>
  <c r="H136" i="261"/>
  <c r="S20" i="914"/>
  <c r="H15" i="913"/>
  <c r="H16" i="913" s="1"/>
  <c r="H135" i="261" s="1"/>
  <c r="P14" i="913"/>
  <c r="L30" i="915"/>
  <c r="L15" i="913"/>
  <c r="P15" i="913" s="1"/>
  <c r="L15" i="914"/>
  <c r="L16" i="914" s="1"/>
  <c r="L26" i="915"/>
  <c r="M29" i="915"/>
  <c r="H18" i="914"/>
  <c r="K136" i="261" s="1"/>
  <c r="H21" i="914"/>
  <c r="L136" i="261" s="1"/>
  <c r="M14" i="914"/>
  <c r="M14" i="913"/>
  <c r="H172" i="261" l="1"/>
  <c r="H21" i="913"/>
  <c r="L135" i="261" s="1"/>
  <c r="S27" i="914"/>
  <c r="O136" i="261"/>
  <c r="H18" i="913"/>
  <c r="P20" i="913"/>
  <c r="S26" i="913" s="1"/>
  <c r="S20" i="913"/>
  <c r="U15" i="913"/>
  <c r="V15" i="913" s="1"/>
  <c r="M15" i="913"/>
  <c r="M30" i="915"/>
  <c r="M15" i="914"/>
  <c r="P15" i="914"/>
  <c r="H22" i="913"/>
  <c r="L172" i="261"/>
  <c r="L18" i="914"/>
  <c r="L19" i="914" s="1"/>
  <c r="H22" i="914"/>
  <c r="M136" i="261" s="1"/>
  <c r="U15" i="914"/>
  <c r="V15" i="914" s="1"/>
  <c r="L16" i="913"/>
  <c r="G37" i="912"/>
  <c r="G36" i="912"/>
  <c r="G34" i="912"/>
  <c r="G33" i="912"/>
  <c r="G32" i="912"/>
  <c r="G30" i="912"/>
  <c r="G29" i="912"/>
  <c r="G27" i="912"/>
  <c r="G26" i="912"/>
  <c r="G25" i="912"/>
  <c r="G23" i="912"/>
  <c r="G22" i="912"/>
  <c r="G20" i="912"/>
  <c r="G19" i="912"/>
  <c r="G18" i="912"/>
  <c r="G16" i="912"/>
  <c r="G15" i="912"/>
  <c r="G14" i="912"/>
  <c r="L37" i="912"/>
  <c r="J37" i="912"/>
  <c r="M37" i="912" s="1"/>
  <c r="L36" i="912"/>
  <c r="J36" i="912"/>
  <c r="M36" i="912" s="1"/>
  <c r="L34" i="912"/>
  <c r="J34" i="912"/>
  <c r="L33" i="912"/>
  <c r="J33" i="912"/>
  <c r="M33" i="912" s="1"/>
  <c r="L32" i="912"/>
  <c r="J32" i="912"/>
  <c r="L30" i="912"/>
  <c r="J30" i="912"/>
  <c r="L29" i="912"/>
  <c r="J29" i="912"/>
  <c r="L27" i="912"/>
  <c r="J27" i="912"/>
  <c r="L26" i="912"/>
  <c r="J26" i="912"/>
  <c r="M26" i="912" s="1"/>
  <c r="L25" i="912"/>
  <c r="J25" i="912"/>
  <c r="M25" i="912" s="1"/>
  <c r="L23" i="912"/>
  <c r="J23" i="912"/>
  <c r="L22" i="912"/>
  <c r="J22" i="912"/>
  <c r="L20" i="912"/>
  <c r="J20" i="912"/>
  <c r="L19" i="912"/>
  <c r="J19" i="912"/>
  <c r="L18" i="912"/>
  <c r="J18" i="912"/>
  <c r="M18" i="912" s="1"/>
  <c r="L16" i="912"/>
  <c r="J16" i="912"/>
  <c r="M16" i="912" s="1"/>
  <c r="L15" i="912"/>
  <c r="J15" i="912"/>
  <c r="M15" i="912" s="1"/>
  <c r="L14" i="912"/>
  <c r="J14" i="912"/>
  <c r="K30" i="912" l="1"/>
  <c r="S27" i="913"/>
  <c r="O135" i="261"/>
  <c r="M172" i="261"/>
  <c r="M135" i="261"/>
  <c r="K172" i="261"/>
  <c r="K135" i="261"/>
  <c r="P26" i="914"/>
  <c r="L20" i="914"/>
  <c r="R25" i="914" s="1"/>
  <c r="R28" i="914" s="1"/>
  <c r="N16" i="912"/>
  <c r="K27" i="912"/>
  <c r="K23" i="912"/>
  <c r="K34" i="912"/>
  <c r="K20" i="912"/>
  <c r="N37" i="912"/>
  <c r="G24" i="912"/>
  <c r="G38" i="912"/>
  <c r="M38" i="912"/>
  <c r="G17" i="912"/>
  <c r="G28" i="912"/>
  <c r="J17" i="912"/>
  <c r="J24" i="912"/>
  <c r="G35" i="912"/>
  <c r="M23" i="912"/>
  <c r="N23" i="912" s="1"/>
  <c r="L18" i="913"/>
  <c r="M22" i="912"/>
  <c r="J28" i="912"/>
  <c r="G21" i="912"/>
  <c r="G31" i="912"/>
  <c r="U16" i="914"/>
  <c r="U18" i="914" s="1"/>
  <c r="U19" i="914" s="1"/>
  <c r="U20" i="914" s="1"/>
  <c r="U16" i="913"/>
  <c r="U18" i="913" s="1"/>
  <c r="U19" i="913" s="1"/>
  <c r="K37" i="912"/>
  <c r="J38" i="912"/>
  <c r="J35" i="912"/>
  <c r="J31" i="912"/>
  <c r="M30" i="912"/>
  <c r="N30" i="912" s="1"/>
  <c r="M27" i="912"/>
  <c r="N27" i="912" s="1"/>
  <c r="J21" i="912"/>
  <c r="M19" i="912"/>
  <c r="M14" i="912"/>
  <c r="M17" i="912" s="1"/>
  <c r="K16" i="912"/>
  <c r="M32" i="912"/>
  <c r="M20" i="912"/>
  <c r="N20" i="912" s="1"/>
  <c r="M29" i="912"/>
  <c r="M34" i="912"/>
  <c r="N34" i="912" s="1"/>
  <c r="L19" i="913" l="1"/>
  <c r="U20" i="913" s="1"/>
  <c r="M20" i="914"/>
  <c r="O25" i="914"/>
  <c r="K28" i="912"/>
  <c r="K17" i="912"/>
  <c r="K24" i="912"/>
  <c r="K35" i="912"/>
  <c r="K31" i="912"/>
  <c r="G39" i="912"/>
  <c r="G44" i="912" s="1"/>
  <c r="N17" i="912"/>
  <c r="M28" i="912"/>
  <c r="N28" i="912" s="1"/>
  <c r="L25" i="914"/>
  <c r="L27" i="914" s="1"/>
  <c r="K38" i="912"/>
  <c r="M25" i="914"/>
  <c r="M27" i="914" s="1"/>
  <c r="M24" i="912"/>
  <c r="N24" i="912" s="1"/>
  <c r="N38" i="912"/>
  <c r="L21" i="914"/>
  <c r="L22" i="914" s="1"/>
  <c r="J39" i="912"/>
  <c r="J41" i="912" s="1"/>
  <c r="J42" i="912" s="1"/>
  <c r="M31" i="912"/>
  <c r="N31" i="912" s="1"/>
  <c r="K21" i="912"/>
  <c r="U21" i="914"/>
  <c r="U22" i="914" s="1"/>
  <c r="V20" i="914"/>
  <c r="M21" i="912"/>
  <c r="M35" i="912"/>
  <c r="N35" i="912" s="1"/>
  <c r="L20" i="913" l="1"/>
  <c r="O25" i="913" s="1"/>
  <c r="O27" i="913" s="1"/>
  <c r="P25" i="914"/>
  <c r="S25" i="914"/>
  <c r="S28" i="914" s="1"/>
  <c r="O27" i="914"/>
  <c r="P27" i="914"/>
  <c r="P26" i="913"/>
  <c r="O172" i="261"/>
  <c r="G41" i="912"/>
  <c r="L21" i="913"/>
  <c r="L22" i="913" s="1"/>
  <c r="G45" i="912"/>
  <c r="J43" i="912"/>
  <c r="V20" i="913"/>
  <c r="U21" i="913"/>
  <c r="U22" i="913" s="1"/>
  <c r="N21" i="912"/>
  <c r="M39" i="912"/>
  <c r="M41" i="912" s="1"/>
  <c r="G37" i="911"/>
  <c r="G36" i="911"/>
  <c r="G34" i="911"/>
  <c r="G33" i="911"/>
  <c r="G32" i="911"/>
  <c r="L37" i="911"/>
  <c r="J37" i="911"/>
  <c r="L36" i="911"/>
  <c r="J36" i="911"/>
  <c r="L34" i="911"/>
  <c r="J34" i="911"/>
  <c r="K34" i="911" s="1"/>
  <c r="L33" i="911"/>
  <c r="J33" i="911"/>
  <c r="M33" i="911" s="1"/>
  <c r="L32" i="911"/>
  <c r="J32" i="911"/>
  <c r="M32" i="911" s="1"/>
  <c r="G30" i="911"/>
  <c r="G29" i="911"/>
  <c r="G27" i="911"/>
  <c r="G26" i="911"/>
  <c r="G25" i="911"/>
  <c r="G23" i="911"/>
  <c r="G22" i="911"/>
  <c r="G20" i="911"/>
  <c r="G19" i="911"/>
  <c r="G18" i="911"/>
  <c r="G16" i="911"/>
  <c r="G15" i="911"/>
  <c r="G14" i="911"/>
  <c r="L30" i="911"/>
  <c r="J30" i="911"/>
  <c r="L29" i="911"/>
  <c r="J29" i="911"/>
  <c r="L27" i="911"/>
  <c r="J27" i="911"/>
  <c r="K27" i="911" s="1"/>
  <c r="L26" i="911"/>
  <c r="J26" i="911"/>
  <c r="M26" i="911" s="1"/>
  <c r="L25" i="911"/>
  <c r="J25" i="911"/>
  <c r="L23" i="911"/>
  <c r="J23" i="911"/>
  <c r="M23" i="911" s="1"/>
  <c r="L22" i="911"/>
  <c r="J22" i="911"/>
  <c r="M22" i="911" s="1"/>
  <c r="L20" i="911"/>
  <c r="J20" i="911"/>
  <c r="M20" i="911" s="1"/>
  <c r="L19" i="911"/>
  <c r="J19" i="911"/>
  <c r="M19" i="911" s="1"/>
  <c r="L18" i="911"/>
  <c r="J18" i="911"/>
  <c r="L16" i="911"/>
  <c r="J16" i="911"/>
  <c r="K16" i="911" s="1"/>
  <c r="L15" i="911"/>
  <c r="J15" i="911"/>
  <c r="M15" i="911" s="1"/>
  <c r="L14" i="911"/>
  <c r="J14" i="911"/>
  <c r="L25" i="913" l="1"/>
  <c r="R25" i="913"/>
  <c r="R28" i="913" s="1"/>
  <c r="M20" i="913"/>
  <c r="S25" i="913" s="1"/>
  <c r="S28" i="913" s="1"/>
  <c r="M25" i="913"/>
  <c r="M27" i="913" s="1"/>
  <c r="P25" i="913"/>
  <c r="N20" i="911"/>
  <c r="J38" i="911"/>
  <c r="N23" i="911"/>
  <c r="L27" i="913"/>
  <c r="N19" i="911"/>
  <c r="K37" i="911"/>
  <c r="M34" i="911"/>
  <c r="N34" i="911" s="1"/>
  <c r="G17" i="911"/>
  <c r="G28" i="911"/>
  <c r="G35" i="911"/>
  <c r="M24" i="911"/>
  <c r="J28" i="911"/>
  <c r="M25" i="911"/>
  <c r="J44" i="912"/>
  <c r="J48" i="912"/>
  <c r="J49" i="912" s="1"/>
  <c r="K43" i="912"/>
  <c r="K30" i="911"/>
  <c r="M37" i="911"/>
  <c r="N37" i="911" s="1"/>
  <c r="K19" i="911"/>
  <c r="G21" i="911"/>
  <c r="G24" i="911"/>
  <c r="G31" i="911"/>
  <c r="M36" i="911"/>
  <c r="G38" i="911"/>
  <c r="M42" i="912"/>
  <c r="M43" i="912" s="1"/>
  <c r="J21" i="911"/>
  <c r="J35" i="911"/>
  <c r="J31" i="911"/>
  <c r="M30" i="911"/>
  <c r="N30" i="911" s="1"/>
  <c r="M27" i="911"/>
  <c r="N27" i="911" s="1"/>
  <c r="J24" i="911"/>
  <c r="K23" i="911"/>
  <c r="J17" i="911"/>
  <c r="M16" i="911"/>
  <c r="N16" i="911" s="1"/>
  <c r="K20" i="911"/>
  <c r="M18" i="911"/>
  <c r="M21" i="911" s="1"/>
  <c r="N21" i="911" s="1"/>
  <c r="M14" i="911"/>
  <c r="M29" i="911"/>
  <c r="P27" i="913" l="1"/>
  <c r="K38" i="911"/>
  <c r="K28" i="911"/>
  <c r="K17" i="911"/>
  <c r="K35" i="911"/>
  <c r="N24" i="911"/>
  <c r="M31" i="911"/>
  <c r="N31" i="911" s="1"/>
  <c r="K31" i="911"/>
  <c r="M38" i="911"/>
  <c r="N38" i="911" s="1"/>
  <c r="K24" i="911"/>
  <c r="K21" i="911"/>
  <c r="M35" i="911"/>
  <c r="N35" i="911" s="1"/>
  <c r="G39" i="911"/>
  <c r="J39" i="911"/>
  <c r="K48" i="912"/>
  <c r="K49" i="912" s="1"/>
  <c r="J45" i="912"/>
  <c r="N43" i="912"/>
  <c r="M44" i="912"/>
  <c r="M45" i="912" s="1"/>
  <c r="M28" i="911"/>
  <c r="N28" i="911" s="1"/>
  <c r="M17" i="911"/>
  <c r="N17" i="911" s="1"/>
  <c r="G41" i="911" l="1"/>
  <c r="G44" i="911"/>
  <c r="G45" i="911" s="1"/>
  <c r="J41" i="911"/>
  <c r="J42" i="911" s="1"/>
  <c r="M39" i="911"/>
  <c r="M41" i="911" s="1"/>
  <c r="G30" i="910"/>
  <c r="G29" i="910"/>
  <c r="G27" i="910"/>
  <c r="G26" i="910"/>
  <c r="G25" i="910"/>
  <c r="L27" i="910"/>
  <c r="J27" i="910"/>
  <c r="M27" i="910" s="1"/>
  <c r="L26" i="910"/>
  <c r="J26" i="910"/>
  <c r="M26" i="910" s="1"/>
  <c r="L25" i="910"/>
  <c r="J25" i="910"/>
  <c r="G23" i="910"/>
  <c r="G22" i="910"/>
  <c r="G20" i="910"/>
  <c r="G19" i="910"/>
  <c r="G18" i="910"/>
  <c r="G16" i="910"/>
  <c r="G15" i="910"/>
  <c r="G14" i="910"/>
  <c r="L30" i="910"/>
  <c r="J30" i="910"/>
  <c r="M30" i="910" s="1"/>
  <c r="L29" i="910"/>
  <c r="J29" i="910"/>
  <c r="L23" i="910"/>
  <c r="J23" i="910"/>
  <c r="L22" i="910"/>
  <c r="J22" i="910"/>
  <c r="M22" i="910" s="1"/>
  <c r="L20" i="910"/>
  <c r="J20" i="910"/>
  <c r="M20" i="910" s="1"/>
  <c r="L19" i="910"/>
  <c r="J19" i="910"/>
  <c r="M19" i="910" s="1"/>
  <c r="L18" i="910"/>
  <c r="J18" i="910"/>
  <c r="L16" i="910"/>
  <c r="J16" i="910"/>
  <c r="M16" i="910" s="1"/>
  <c r="L15" i="910"/>
  <c r="J15" i="910"/>
  <c r="M15" i="910" s="1"/>
  <c r="L14" i="910"/>
  <c r="J14" i="910"/>
  <c r="N27" i="910" l="1"/>
  <c r="N30" i="910"/>
  <c r="K23" i="910"/>
  <c r="G24" i="910"/>
  <c r="N20" i="910"/>
  <c r="G28" i="910"/>
  <c r="G21" i="910"/>
  <c r="J28" i="910"/>
  <c r="K30" i="910"/>
  <c r="J43" i="911"/>
  <c r="G17" i="910"/>
  <c r="G31" i="910"/>
  <c r="M42" i="911"/>
  <c r="M43" i="911" s="1"/>
  <c r="M29" i="910"/>
  <c r="M31" i="910" s="1"/>
  <c r="K27" i="910"/>
  <c r="M25" i="910"/>
  <c r="M28" i="910" s="1"/>
  <c r="M23" i="910"/>
  <c r="N23" i="910" s="1"/>
  <c r="J24" i="910"/>
  <c r="J21" i="910"/>
  <c r="N16" i="910"/>
  <c r="J17" i="910"/>
  <c r="K16" i="910"/>
  <c r="J31" i="910"/>
  <c r="K20" i="910"/>
  <c r="M18" i="910"/>
  <c r="M21" i="910" s="1"/>
  <c r="M14" i="910"/>
  <c r="K24" i="910" l="1"/>
  <c r="K17" i="910"/>
  <c r="K28" i="910"/>
  <c r="N31" i="910"/>
  <c r="N21" i="910"/>
  <c r="N28" i="910"/>
  <c r="K31" i="910"/>
  <c r="K21" i="910"/>
  <c r="J44" i="911"/>
  <c r="K43" i="911"/>
  <c r="J48" i="911"/>
  <c r="J49" i="911" s="1"/>
  <c r="G32" i="910"/>
  <c r="N43" i="911"/>
  <c r="M44" i="911"/>
  <c r="M45" i="911" s="1"/>
  <c r="J32" i="910"/>
  <c r="M24" i="910"/>
  <c r="N24" i="910" s="1"/>
  <c r="M17" i="910"/>
  <c r="N17" i="910" s="1"/>
  <c r="J34" i="910" l="1"/>
  <c r="J35" i="910" s="1"/>
  <c r="K48" i="911"/>
  <c r="K49" i="911" s="1"/>
  <c r="J45" i="911"/>
  <c r="G34" i="910"/>
  <c r="G37" i="910"/>
  <c r="M32" i="910"/>
  <c r="M34" i="910" s="1"/>
  <c r="G27" i="909"/>
  <c r="G26" i="909"/>
  <c r="G24" i="909"/>
  <c r="G23" i="909"/>
  <c r="G21" i="909"/>
  <c r="G20" i="909"/>
  <c r="G18" i="909"/>
  <c r="G17" i="909"/>
  <c r="G15" i="909"/>
  <c r="G14" i="909"/>
  <c r="L27" i="909"/>
  <c r="J27" i="909"/>
  <c r="L26" i="909"/>
  <c r="J26" i="909"/>
  <c r="M26" i="909" s="1"/>
  <c r="L24" i="909"/>
  <c r="J24" i="909"/>
  <c r="M24" i="909" s="1"/>
  <c r="L23" i="909"/>
  <c r="J23" i="909"/>
  <c r="M23" i="909" s="1"/>
  <c r="L21" i="909"/>
  <c r="J21" i="909"/>
  <c r="M21" i="909" s="1"/>
  <c r="L20" i="909"/>
  <c r="J20" i="909"/>
  <c r="M20" i="909" s="1"/>
  <c r="L18" i="909"/>
  <c r="J18" i="909"/>
  <c r="M18" i="909" s="1"/>
  <c r="L17" i="909"/>
  <c r="J17" i="909"/>
  <c r="L15" i="909"/>
  <c r="J15" i="909"/>
  <c r="M15" i="909" s="1"/>
  <c r="L14" i="909"/>
  <c r="J14" i="909"/>
  <c r="N15" i="909" l="1"/>
  <c r="N21" i="909"/>
  <c r="N18" i="909"/>
  <c r="N24" i="909"/>
  <c r="G28" i="909"/>
  <c r="K18" i="909"/>
  <c r="K24" i="909"/>
  <c r="J28" i="909"/>
  <c r="G19" i="909"/>
  <c r="G25" i="909"/>
  <c r="K15" i="909"/>
  <c r="K21" i="909"/>
  <c r="K27" i="909"/>
  <c r="G16" i="909"/>
  <c r="G22" i="909"/>
  <c r="G38" i="910"/>
  <c r="J36" i="910"/>
  <c r="M35" i="910"/>
  <c r="M36" i="910" s="1"/>
  <c r="M25" i="909"/>
  <c r="M22" i="909"/>
  <c r="M17" i="909"/>
  <c r="M19" i="909" s="1"/>
  <c r="M27" i="909"/>
  <c r="J25" i="909"/>
  <c r="J22" i="909"/>
  <c r="J19" i="909"/>
  <c r="M14" i="909"/>
  <c r="J16" i="909"/>
  <c r="K16" i="909" l="1"/>
  <c r="K25" i="909"/>
  <c r="N22" i="909"/>
  <c r="K22" i="909"/>
  <c r="K28" i="909"/>
  <c r="K19" i="909"/>
  <c r="N25" i="909"/>
  <c r="N19" i="909"/>
  <c r="K36" i="910"/>
  <c r="J41" i="910"/>
  <c r="J42" i="910" s="1"/>
  <c r="J37" i="910"/>
  <c r="G29" i="909"/>
  <c r="J29" i="909"/>
  <c r="M28" i="909"/>
  <c r="N28" i="909" s="1"/>
  <c r="N27" i="909"/>
  <c r="N36" i="910"/>
  <c r="M37" i="910"/>
  <c r="M38" i="910" s="1"/>
  <c r="M16" i="909"/>
  <c r="N16" i="909" s="1"/>
  <c r="G31" i="909" l="1"/>
  <c r="G34" i="909"/>
  <c r="K41" i="910"/>
  <c r="K42" i="910" s="1"/>
  <c r="J38" i="910"/>
  <c r="M29" i="909"/>
  <c r="M31" i="909" s="1"/>
  <c r="J31" i="909"/>
  <c r="J32" i="909" s="1"/>
  <c r="G26" i="908"/>
  <c r="G25" i="908"/>
  <c r="G23" i="908"/>
  <c r="G22" i="908"/>
  <c r="G20" i="908"/>
  <c r="G19" i="908"/>
  <c r="G18" i="908"/>
  <c r="G16" i="908"/>
  <c r="G15" i="908"/>
  <c r="G14" i="908"/>
  <c r="L26" i="908"/>
  <c r="J26" i="908"/>
  <c r="L25" i="908"/>
  <c r="J25" i="908"/>
  <c r="L20" i="908"/>
  <c r="J20" i="908"/>
  <c r="M20" i="908" s="1"/>
  <c r="L19" i="908"/>
  <c r="J19" i="908"/>
  <c r="M19" i="908" s="1"/>
  <c r="L18" i="908"/>
  <c r="J18" i="908"/>
  <c r="L23" i="908"/>
  <c r="J23" i="908"/>
  <c r="M23" i="908" s="1"/>
  <c r="L22" i="908"/>
  <c r="J22" i="908"/>
  <c r="M22" i="908" s="1"/>
  <c r="L16" i="908"/>
  <c r="J16" i="908"/>
  <c r="M16" i="908" s="1"/>
  <c r="L15" i="908"/>
  <c r="J15" i="908"/>
  <c r="M15" i="908" s="1"/>
  <c r="L14" i="908"/>
  <c r="J14" i="908"/>
  <c r="M14" i="908" s="1"/>
  <c r="K25" i="908" l="1"/>
  <c r="N16" i="908"/>
  <c r="N23" i="908"/>
  <c r="G21" i="908"/>
  <c r="G24" i="908"/>
  <c r="K16" i="908"/>
  <c r="K23" i="908"/>
  <c r="J33" i="909"/>
  <c r="G35" i="909"/>
  <c r="N20" i="908"/>
  <c r="G17" i="908"/>
  <c r="G27" i="908"/>
  <c r="K20" i="908"/>
  <c r="M32" i="909"/>
  <c r="M33" i="909" s="1"/>
  <c r="M25" i="908"/>
  <c r="N25" i="908" s="1"/>
  <c r="J27" i="908"/>
  <c r="K27" i="908" s="1"/>
  <c r="M26" i="908"/>
  <c r="M18" i="908"/>
  <c r="M21" i="908" s="1"/>
  <c r="M17" i="908"/>
  <c r="M24" i="908"/>
  <c r="J21" i="908"/>
  <c r="J24" i="908"/>
  <c r="J17" i="908"/>
  <c r="K17" i="908" s="1"/>
  <c r="M27" i="908" l="1"/>
  <c r="N27" i="908" s="1"/>
  <c r="K21" i="908"/>
  <c r="G28" i="908"/>
  <c r="J28" i="908"/>
  <c r="K33" i="909"/>
  <c r="N17" i="908"/>
  <c r="J38" i="909"/>
  <c r="J39" i="909" s="1"/>
  <c r="J34" i="909"/>
  <c r="N33" i="909"/>
  <c r="M34" i="909"/>
  <c r="M35" i="909" s="1"/>
  <c r="K24" i="908"/>
  <c r="N21" i="908"/>
  <c r="N24" i="908"/>
  <c r="M28" i="908" l="1"/>
  <c r="M30" i="908" s="1"/>
  <c r="M31" i="908" s="1"/>
  <c r="M32" i="908" s="1"/>
  <c r="G30" i="908"/>
  <c r="J30" i="908"/>
  <c r="J31" i="908" s="1"/>
  <c r="K38" i="909"/>
  <c r="K39" i="909" s="1"/>
  <c r="J35" i="909"/>
  <c r="G33" i="908"/>
  <c r="J32" i="908" l="1"/>
  <c r="G34" i="908"/>
  <c r="N32" i="908"/>
  <c r="M33" i="908"/>
  <c r="M34" i="908" s="1"/>
  <c r="G15" i="907"/>
  <c r="G14" i="907"/>
  <c r="J37" i="908" l="1"/>
  <c r="J38" i="908" s="1"/>
  <c r="J33" i="908"/>
  <c r="J34" i="908" s="1"/>
  <c r="G16" i="907"/>
  <c r="G17" i="907" s="1"/>
  <c r="K32" i="908"/>
  <c r="L15" i="907"/>
  <c r="J15" i="907"/>
  <c r="M15" i="907" s="1"/>
  <c r="L14" i="907"/>
  <c r="J14" i="907"/>
  <c r="K37" i="908" l="1"/>
  <c r="K38" i="908" s="1"/>
  <c r="G19" i="907"/>
  <c r="K14" i="907"/>
  <c r="J16" i="907"/>
  <c r="J17" i="907" s="1"/>
  <c r="M14" i="907"/>
  <c r="J19" i="907" l="1"/>
  <c r="J20" i="907" s="1"/>
  <c r="K16" i="907"/>
  <c r="M16" i="907"/>
  <c r="N16" i="907" s="1"/>
  <c r="N14" i="907"/>
  <c r="G22" i="907"/>
  <c r="G23" i="906"/>
  <c r="G22" i="906"/>
  <c r="G21" i="906"/>
  <c r="G19" i="906"/>
  <c r="G18" i="906"/>
  <c r="G16" i="906"/>
  <c r="G15" i="906"/>
  <c r="G14" i="906"/>
  <c r="L23" i="906"/>
  <c r="J23" i="906"/>
  <c r="M23" i="906" s="1"/>
  <c r="L22" i="906"/>
  <c r="J22" i="906"/>
  <c r="M22" i="906" s="1"/>
  <c r="L21" i="906"/>
  <c r="J21" i="906"/>
  <c r="L19" i="906"/>
  <c r="J19" i="906"/>
  <c r="L18" i="906"/>
  <c r="J18" i="906"/>
  <c r="M18" i="906" s="1"/>
  <c r="L16" i="906"/>
  <c r="J16" i="906"/>
  <c r="M16" i="906" s="1"/>
  <c r="L15" i="906"/>
  <c r="J15" i="906"/>
  <c r="M15" i="906" s="1"/>
  <c r="L14" i="906"/>
  <c r="J14" i="906"/>
  <c r="M14" i="906" s="1"/>
  <c r="G17" i="906" l="1"/>
  <c r="G20" i="906"/>
  <c r="G24" i="906"/>
  <c r="K21" i="906"/>
  <c r="J21" i="907"/>
  <c r="J26" i="907" s="1"/>
  <c r="J27" i="907" s="1"/>
  <c r="G23" i="907"/>
  <c r="M17" i="907"/>
  <c r="M19" i="907" s="1"/>
  <c r="M17" i="906"/>
  <c r="J24" i="906"/>
  <c r="J17" i="906"/>
  <c r="N18" i="906"/>
  <c r="J20" i="906"/>
  <c r="N14" i="906"/>
  <c r="K18" i="906"/>
  <c r="M19" i="906"/>
  <c r="K14" i="906"/>
  <c r="M21" i="906"/>
  <c r="K17" i="906" l="1"/>
  <c r="J22" i="907"/>
  <c r="N17" i="906"/>
  <c r="K24" i="906"/>
  <c r="G25" i="906"/>
  <c r="G30" i="906" s="1"/>
  <c r="K21" i="907"/>
  <c r="M24" i="906"/>
  <c r="N24" i="906" s="1"/>
  <c r="N21" i="906"/>
  <c r="M20" i="907"/>
  <c r="M21" i="907" s="1"/>
  <c r="K20" i="906"/>
  <c r="J25" i="906"/>
  <c r="M20" i="906"/>
  <c r="N20" i="906" s="1"/>
  <c r="J23" i="907" l="1"/>
  <c r="G27" i="906"/>
  <c r="G31" i="906"/>
  <c r="K26" i="907"/>
  <c r="K27" i="907" s="1"/>
  <c r="J27" i="906"/>
  <c r="J28" i="906" s="1"/>
  <c r="N21" i="907"/>
  <c r="M22" i="907"/>
  <c r="M23" i="907" s="1"/>
  <c r="M25" i="906"/>
  <c r="M27" i="906" s="1"/>
  <c r="G43" i="905"/>
  <c r="G42" i="905"/>
  <c r="G40" i="905"/>
  <c r="G39" i="905"/>
  <c r="G38" i="905"/>
  <c r="G36" i="905"/>
  <c r="G37" i="905" s="1"/>
  <c r="L36" i="905"/>
  <c r="J36" i="905"/>
  <c r="M36" i="905" s="1"/>
  <c r="G34" i="905"/>
  <c r="G33" i="905"/>
  <c r="G31" i="905"/>
  <c r="G30" i="905"/>
  <c r="G29" i="905"/>
  <c r="L31" i="905"/>
  <c r="J31" i="905"/>
  <c r="K31" i="905" s="1"/>
  <c r="L30" i="905"/>
  <c r="J30" i="905"/>
  <c r="M30" i="905" s="1"/>
  <c r="L29" i="905"/>
  <c r="J29" i="905"/>
  <c r="G27" i="905"/>
  <c r="G26" i="905"/>
  <c r="G25" i="905"/>
  <c r="G23" i="905"/>
  <c r="G22" i="905"/>
  <c r="G20" i="905"/>
  <c r="G19" i="905"/>
  <c r="G18" i="905"/>
  <c r="G16" i="905"/>
  <c r="G15" i="905"/>
  <c r="G14" i="905"/>
  <c r="L43" i="905"/>
  <c r="J43" i="905"/>
  <c r="M43" i="905" s="1"/>
  <c r="L42" i="905"/>
  <c r="J42" i="905"/>
  <c r="L40" i="905"/>
  <c r="J40" i="905"/>
  <c r="M40" i="905" s="1"/>
  <c r="L39" i="905"/>
  <c r="J39" i="905"/>
  <c r="M39" i="905" s="1"/>
  <c r="L38" i="905"/>
  <c r="J38" i="905"/>
  <c r="L34" i="905"/>
  <c r="J34" i="905"/>
  <c r="M34" i="905" s="1"/>
  <c r="L33" i="905"/>
  <c r="J33" i="905"/>
  <c r="M33" i="905" s="1"/>
  <c r="L27" i="905"/>
  <c r="J27" i="905"/>
  <c r="M27" i="905" s="1"/>
  <c r="L26" i="905"/>
  <c r="J26" i="905"/>
  <c r="M26" i="905" s="1"/>
  <c r="L25" i="905"/>
  <c r="J25" i="905"/>
  <c r="L23" i="905"/>
  <c r="J23" i="905"/>
  <c r="M23" i="905" s="1"/>
  <c r="L22" i="905"/>
  <c r="J22" i="905"/>
  <c r="L20" i="905"/>
  <c r="J20" i="905"/>
  <c r="L19" i="905"/>
  <c r="J19" i="905"/>
  <c r="M19" i="905" s="1"/>
  <c r="N19" i="905" s="1"/>
  <c r="L18" i="905"/>
  <c r="J18" i="905"/>
  <c r="M18" i="905" s="1"/>
  <c r="L16" i="905"/>
  <c r="J16" i="905"/>
  <c r="M16" i="905" s="1"/>
  <c r="L15" i="905"/>
  <c r="J15" i="905"/>
  <c r="M15" i="905" s="1"/>
  <c r="L14" i="905"/>
  <c r="J14" i="905"/>
  <c r="N18" i="905" l="1"/>
  <c r="N23" i="905"/>
  <c r="N30" i="905"/>
  <c r="N39" i="905"/>
  <c r="K38" i="905"/>
  <c r="N43" i="905"/>
  <c r="K19" i="905"/>
  <c r="G21" i="905"/>
  <c r="K23" i="905"/>
  <c r="K29" i="905"/>
  <c r="N34" i="905"/>
  <c r="K43" i="905"/>
  <c r="K18" i="905"/>
  <c r="G32" i="905"/>
  <c r="G41" i="905"/>
  <c r="K30" i="905"/>
  <c r="K34" i="905"/>
  <c r="J29" i="906"/>
  <c r="K39" i="905"/>
  <c r="M28" i="906"/>
  <c r="M29" i="906" s="1"/>
  <c r="J32" i="905"/>
  <c r="N27" i="905"/>
  <c r="G44" i="905"/>
  <c r="J41" i="905"/>
  <c r="M29" i="905"/>
  <c r="N29" i="905" s="1"/>
  <c r="K20" i="905"/>
  <c r="G35" i="905"/>
  <c r="K36" i="905"/>
  <c r="M37" i="905"/>
  <c r="N37" i="905" s="1"/>
  <c r="N36" i="905"/>
  <c r="J37" i="905"/>
  <c r="K37" i="905" s="1"/>
  <c r="G24" i="905"/>
  <c r="M31" i="905"/>
  <c r="N31" i="905" s="1"/>
  <c r="G17" i="905"/>
  <c r="G28" i="905"/>
  <c r="N16" i="905"/>
  <c r="K22" i="905"/>
  <c r="K27" i="905"/>
  <c r="M38" i="905"/>
  <c r="M20" i="905"/>
  <c r="N20" i="905" s="1"/>
  <c r="K42" i="905"/>
  <c r="J21" i="905"/>
  <c r="J44" i="905"/>
  <c r="J28" i="905"/>
  <c r="J17" i="905"/>
  <c r="N33" i="905"/>
  <c r="M35" i="905"/>
  <c r="K16" i="905"/>
  <c r="M22" i="905"/>
  <c r="K33" i="905"/>
  <c r="M42" i="905"/>
  <c r="J24" i="905"/>
  <c r="M14" i="905"/>
  <c r="J35" i="905"/>
  <c r="M25" i="905"/>
  <c r="M28" i="905" s="1"/>
  <c r="K44" i="905" l="1"/>
  <c r="K29" i="906"/>
  <c r="K34" i="906" s="1"/>
  <c r="K35" i="906" s="1"/>
  <c r="K41" i="905"/>
  <c r="K21" i="905"/>
  <c r="K28" i="905"/>
  <c r="K32" i="905"/>
  <c r="J30" i="906"/>
  <c r="J31" i="906" s="1"/>
  <c r="M41" i="905"/>
  <c r="N41" i="905" s="1"/>
  <c r="N38" i="905"/>
  <c r="K35" i="905"/>
  <c r="G45" i="905"/>
  <c r="G50" i="905" s="1"/>
  <c r="J34" i="906"/>
  <c r="J35" i="906" s="1"/>
  <c r="N29" i="906"/>
  <c r="M30" i="906"/>
  <c r="M31" i="906" s="1"/>
  <c r="N28" i="905"/>
  <c r="K24" i="905"/>
  <c r="N35" i="905"/>
  <c r="K17" i="905"/>
  <c r="M21" i="905"/>
  <c r="N21" i="905" s="1"/>
  <c r="M32" i="905"/>
  <c r="N32" i="905" s="1"/>
  <c r="M44" i="905"/>
  <c r="N44" i="905" s="1"/>
  <c r="N42" i="905"/>
  <c r="M24" i="905"/>
  <c r="N24" i="905" s="1"/>
  <c r="N22" i="905"/>
  <c r="M17" i="905"/>
  <c r="N17" i="905" s="1"/>
  <c r="J45" i="905"/>
  <c r="G47" i="905" l="1"/>
  <c r="G51" i="905"/>
  <c r="J47" i="905"/>
  <c r="J48" i="905" s="1"/>
  <c r="M45" i="905"/>
  <c r="M47" i="905" s="1"/>
  <c r="M48" i="905" s="1"/>
  <c r="M49" i="905" s="1"/>
  <c r="J49" i="905" l="1"/>
  <c r="N49" i="905"/>
  <c r="M50" i="905"/>
  <c r="M51" i="905" s="1"/>
  <c r="J54" i="905" l="1"/>
  <c r="J55" i="905" s="1"/>
  <c r="K49" i="905"/>
  <c r="J50" i="905"/>
  <c r="N51" i="903"/>
  <c r="H51" i="903"/>
  <c r="N50" i="903"/>
  <c r="O50" i="903"/>
  <c r="P50" i="903" s="1"/>
  <c r="H50" i="903"/>
  <c r="N48" i="903"/>
  <c r="O48" i="903"/>
  <c r="P48" i="903" s="1"/>
  <c r="H48" i="903"/>
  <c r="N47" i="903"/>
  <c r="O47" i="903"/>
  <c r="H47" i="903"/>
  <c r="N46" i="903"/>
  <c r="H46" i="903"/>
  <c r="N44" i="903"/>
  <c r="H44" i="903"/>
  <c r="N43" i="903"/>
  <c r="O43" i="903"/>
  <c r="P43" i="903" s="1"/>
  <c r="H43" i="903"/>
  <c r="N41" i="903"/>
  <c r="H41" i="903"/>
  <c r="N40" i="903"/>
  <c r="O40" i="903"/>
  <c r="H40" i="903"/>
  <c r="N39" i="903"/>
  <c r="O39" i="903"/>
  <c r="H39" i="903"/>
  <c r="H37" i="903"/>
  <c r="H36" i="903"/>
  <c r="H34" i="903"/>
  <c r="H33" i="903"/>
  <c r="H32" i="903"/>
  <c r="H30" i="903"/>
  <c r="H29" i="903"/>
  <c r="H27" i="903"/>
  <c r="H26" i="903"/>
  <c r="H25" i="903"/>
  <c r="H23" i="903"/>
  <c r="H22" i="903"/>
  <c r="H20" i="903"/>
  <c r="H19" i="903"/>
  <c r="H18" i="903"/>
  <c r="N20" i="903"/>
  <c r="N19" i="903"/>
  <c r="O19" i="903"/>
  <c r="N18" i="903"/>
  <c r="O18" i="903"/>
  <c r="H16" i="903"/>
  <c r="H15" i="903"/>
  <c r="H14" i="903"/>
  <c r="N37" i="903"/>
  <c r="N36" i="903"/>
  <c r="O36" i="903"/>
  <c r="P36" i="903" s="1"/>
  <c r="N34" i="903"/>
  <c r="N33" i="903"/>
  <c r="O33" i="903"/>
  <c r="N32" i="903"/>
  <c r="N30" i="903"/>
  <c r="N29" i="903"/>
  <c r="O29" i="903"/>
  <c r="P29" i="903" s="1"/>
  <c r="N27" i="903"/>
  <c r="O27" i="903"/>
  <c r="P27" i="903" s="1"/>
  <c r="N26" i="903"/>
  <c r="O26" i="903"/>
  <c r="N25" i="903"/>
  <c r="N23" i="903"/>
  <c r="N22" i="903"/>
  <c r="O22" i="903"/>
  <c r="P22" i="903" s="1"/>
  <c r="N16" i="903"/>
  <c r="N15" i="903"/>
  <c r="O15" i="903"/>
  <c r="N14" i="903"/>
  <c r="O14" i="903"/>
  <c r="H38" i="903" l="1"/>
  <c r="H42" i="903"/>
  <c r="H31" i="903"/>
  <c r="H35" i="903"/>
  <c r="H28" i="903"/>
  <c r="H49" i="903"/>
  <c r="H52" i="903"/>
  <c r="H45" i="903"/>
  <c r="J51" i="905"/>
  <c r="L49" i="903"/>
  <c r="M49" i="903" s="1"/>
  <c r="H21" i="903"/>
  <c r="H24" i="903"/>
  <c r="K54" i="905"/>
  <c r="K55" i="905" s="1"/>
  <c r="O46" i="903"/>
  <c r="O49" i="903" s="1"/>
  <c r="P49" i="903" s="1"/>
  <c r="O44" i="903"/>
  <c r="O41" i="903"/>
  <c r="P41" i="903" s="1"/>
  <c r="L42" i="903"/>
  <c r="M42" i="903" s="1"/>
  <c r="L52" i="903"/>
  <c r="M52" i="903" s="1"/>
  <c r="O51" i="903"/>
  <c r="L45" i="903"/>
  <c r="M45" i="903" s="1"/>
  <c r="L28" i="903"/>
  <c r="M28" i="903" s="1"/>
  <c r="L35" i="903"/>
  <c r="M35" i="903" s="1"/>
  <c r="O23" i="903"/>
  <c r="O25" i="903"/>
  <c r="O28" i="903" s="1"/>
  <c r="P28" i="903" s="1"/>
  <c r="H17" i="903"/>
  <c r="O32" i="903"/>
  <c r="O34" i="903"/>
  <c r="P34" i="903" s="1"/>
  <c r="O20" i="903"/>
  <c r="P20" i="903" s="1"/>
  <c r="L21" i="903"/>
  <c r="M21" i="903" s="1"/>
  <c r="L38" i="903"/>
  <c r="M38" i="903" s="1"/>
  <c r="O37" i="903"/>
  <c r="O30" i="903"/>
  <c r="L24" i="903"/>
  <c r="M24" i="903" s="1"/>
  <c r="O16" i="903"/>
  <c r="P16" i="903" s="1"/>
  <c r="L17" i="903"/>
  <c r="M17" i="903" s="1"/>
  <c r="O42" i="903" l="1"/>
  <c r="P42" i="903" s="1"/>
  <c r="L53" i="903"/>
  <c r="N134" i="261" s="1"/>
  <c r="H53" i="903"/>
  <c r="H134" i="261" s="1"/>
  <c r="O45" i="903"/>
  <c r="P45" i="903" s="1"/>
  <c r="O52" i="903"/>
  <c r="P52" i="903" s="1"/>
  <c r="O35" i="903"/>
  <c r="P35" i="903" s="1"/>
  <c r="O21" i="903"/>
  <c r="P21" i="903" s="1"/>
  <c r="O24" i="903"/>
  <c r="P24" i="903" s="1"/>
  <c r="O31" i="903"/>
  <c r="P31" i="903" s="1"/>
  <c r="O38" i="903"/>
  <c r="P38" i="903" s="1"/>
  <c r="O17" i="903"/>
  <c r="P17" i="903" s="1"/>
  <c r="L55" i="903" l="1"/>
  <c r="L56" i="903" s="1"/>
  <c r="O53" i="903"/>
  <c r="O55" i="903" s="1"/>
  <c r="H55" i="903"/>
  <c r="K134" i="261" s="1"/>
  <c r="H58" i="903"/>
  <c r="L134" i="261" s="1"/>
  <c r="E24" i="902"/>
  <c r="E22" i="902"/>
  <c r="H20" i="902"/>
  <c r="H18" i="902"/>
  <c r="H16" i="902"/>
  <c r="H14" i="902"/>
  <c r="L21" i="902"/>
  <c r="R21" i="902" s="1"/>
  <c r="S21" i="902" s="1"/>
  <c r="L19" i="902"/>
  <c r="R19" i="902" s="1"/>
  <c r="S19" i="902" s="1"/>
  <c r="O56" i="903" l="1"/>
  <c r="Q134" i="261"/>
  <c r="H19" i="902"/>
  <c r="M18" i="902"/>
  <c r="H21" i="902"/>
  <c r="M21" i="902" s="1"/>
  <c r="M20" i="902"/>
  <c r="H15" i="902"/>
  <c r="M14" i="902"/>
  <c r="O57" i="903"/>
  <c r="P57" i="903" s="1"/>
  <c r="H17" i="902"/>
  <c r="M16" i="902"/>
  <c r="H22" i="902"/>
  <c r="I22" i="902"/>
  <c r="H24" i="902"/>
  <c r="I24" i="902"/>
  <c r="H59" i="903"/>
  <c r="M134" i="261" s="1"/>
  <c r="L57" i="903"/>
  <c r="R134" i="261" s="1"/>
  <c r="L23" i="902"/>
  <c r="R23" i="902" s="1"/>
  <c r="L25" i="902"/>
  <c r="R25" i="902" s="1"/>
  <c r="M19" i="902"/>
  <c r="L17" i="902"/>
  <c r="R17" i="902" s="1"/>
  <c r="S17" i="902" s="1"/>
  <c r="L15" i="902"/>
  <c r="M15" i="902" l="1"/>
  <c r="R15" i="902"/>
  <c r="S15" i="902" s="1"/>
  <c r="P24" i="902"/>
  <c r="S24" i="902"/>
  <c r="P22" i="902"/>
  <c r="S22" i="902"/>
  <c r="M17" i="902"/>
  <c r="O58" i="903"/>
  <c r="O59" i="903" s="1"/>
  <c r="H23" i="902"/>
  <c r="M22" i="902"/>
  <c r="H25" i="902"/>
  <c r="M24" i="902"/>
  <c r="I25" i="902"/>
  <c r="P25" i="902" s="1"/>
  <c r="I23" i="902"/>
  <c r="P23" i="902" s="1"/>
  <c r="L62" i="903"/>
  <c r="L63" i="903" s="1"/>
  <c r="L58" i="903"/>
  <c r="S134" i="261" s="1"/>
  <c r="L27" i="902"/>
  <c r="M57" i="903"/>
  <c r="O134" i="261" s="1"/>
  <c r="R27" i="902"/>
  <c r="L26" i="902"/>
  <c r="S25" i="902" l="1"/>
  <c r="S23" i="902"/>
  <c r="M23" i="902"/>
  <c r="M25" i="902"/>
  <c r="H27" i="902"/>
  <c r="H26" i="902"/>
  <c r="I27" i="902"/>
  <c r="I26" i="902"/>
  <c r="I31" i="902" s="1"/>
  <c r="I32" i="902" s="1"/>
  <c r="L59" i="903"/>
  <c r="T134" i="261" s="1"/>
  <c r="R26" i="902"/>
  <c r="R28" i="902" s="1"/>
  <c r="L28" i="902"/>
  <c r="L29" i="902" s="1"/>
  <c r="R29" i="902" s="1"/>
  <c r="M62" i="903"/>
  <c r="M63" i="903" s="1"/>
  <c r="R30" i="902" l="1"/>
  <c r="H133" i="261"/>
  <c r="H31" i="902"/>
  <c r="L133" i="261" s="1"/>
  <c r="I133" i="261"/>
  <c r="H28" i="902"/>
  <c r="I28" i="902"/>
  <c r="L30" i="902"/>
  <c r="O35" i="902" s="1"/>
  <c r="O37" i="902" s="1"/>
  <c r="K133" i="261" l="1"/>
  <c r="P30" i="902"/>
  <c r="S30" i="902"/>
  <c r="M30" i="902"/>
  <c r="P35" i="902" s="1"/>
  <c r="H32" i="902"/>
  <c r="M133" i="261" s="1"/>
  <c r="L31" i="902"/>
  <c r="L35" i="902"/>
  <c r="R31" i="902"/>
  <c r="R32" i="902" s="1"/>
  <c r="P36" i="902" l="1"/>
  <c r="P37" i="902" s="1"/>
  <c r="O133" i="261"/>
  <c r="L36" i="902"/>
  <c r="L32" i="902"/>
  <c r="M35" i="902"/>
  <c r="M36" i="902" l="1"/>
  <c r="H16" i="899"/>
  <c r="H14" i="899"/>
  <c r="L17" i="899"/>
  <c r="R17" i="899" s="1"/>
  <c r="S17" i="899" s="1"/>
  <c r="H15" i="899" l="1"/>
  <c r="M14" i="899"/>
  <c r="H17" i="899"/>
  <c r="M16" i="899"/>
  <c r="L15" i="899"/>
  <c r="H18" i="899" l="1"/>
  <c r="P22" i="899" s="1"/>
  <c r="P28" i="899" s="1"/>
  <c r="M15" i="899"/>
  <c r="R15" i="899"/>
  <c r="S15" i="899" s="1"/>
  <c r="M17" i="899"/>
  <c r="L18" i="899"/>
  <c r="H132" i="261" l="1"/>
  <c r="H20" i="899"/>
  <c r="K132" i="261" s="1"/>
  <c r="O132" i="261"/>
  <c r="H23" i="899"/>
  <c r="H24" i="899" s="1"/>
  <c r="M132" i="261" s="1"/>
  <c r="L132" i="261"/>
  <c r="R18" i="899"/>
  <c r="R20" i="899" s="1"/>
  <c r="R21" i="899" s="1"/>
  <c r="R22" i="899" s="1"/>
  <c r="L20" i="899"/>
  <c r="L21" i="899" s="1"/>
  <c r="S22" i="899" l="1"/>
  <c r="R132" i="261"/>
  <c r="L22" i="899"/>
  <c r="R23" i="899"/>
  <c r="R24" i="899" s="1"/>
  <c r="H18" i="897"/>
  <c r="H19" i="897" s="1"/>
  <c r="H16" i="897"/>
  <c r="H15" i="897"/>
  <c r="P15" i="897" s="1"/>
  <c r="H14" i="897"/>
  <c r="P14" i="897" s="1"/>
  <c r="L18" i="897"/>
  <c r="L16" i="897"/>
  <c r="R16" i="897" s="1"/>
  <c r="L15" i="897"/>
  <c r="R15" i="897" s="1"/>
  <c r="L14" i="897"/>
  <c r="R14" i="897" s="1"/>
  <c r="M22" i="899" l="1"/>
  <c r="P27" i="899" s="1"/>
  <c r="P29" i="899" s="1"/>
  <c r="O27" i="899"/>
  <c r="O29" i="899" s="1"/>
  <c r="R18" i="897"/>
  <c r="R19" i="897" s="1"/>
  <c r="S19" i="897" s="1"/>
  <c r="L27" i="899"/>
  <c r="S16" i="897"/>
  <c r="H17" i="897"/>
  <c r="H20" i="897" s="1"/>
  <c r="P24" i="897" s="1"/>
  <c r="P30" i="897" s="1"/>
  <c r="M15" i="897"/>
  <c r="L23" i="899"/>
  <c r="M16" i="897"/>
  <c r="S15" i="897"/>
  <c r="M18" i="897"/>
  <c r="S14" i="897"/>
  <c r="L17" i="897"/>
  <c r="M14" i="897"/>
  <c r="S18" i="897"/>
  <c r="L19" i="897"/>
  <c r="M27" i="899" l="1"/>
  <c r="M28" i="899" s="1"/>
  <c r="L28" i="899"/>
  <c r="M17" i="897"/>
  <c r="P17" i="897"/>
  <c r="M19" i="897"/>
  <c r="P19" i="897"/>
  <c r="H131" i="261"/>
  <c r="H22" i="897"/>
  <c r="K131" i="261" s="1"/>
  <c r="L24" i="899"/>
  <c r="R17" i="897"/>
  <c r="S17" i="897" s="1"/>
  <c r="L20" i="897"/>
  <c r="H25" i="897"/>
  <c r="O131" i="261" l="1"/>
  <c r="H26" i="897"/>
  <c r="M131" i="261" s="1"/>
  <c r="L131" i="261"/>
  <c r="L22" i="897"/>
  <c r="L23" i="897" s="1"/>
  <c r="R23" i="897" s="1"/>
  <c r="R20" i="897"/>
  <c r="R22" i="897" s="1"/>
  <c r="H24" i="896"/>
  <c r="M24" i="896" s="1"/>
  <c r="H23" i="896"/>
  <c r="H22" i="896"/>
  <c r="H20" i="896"/>
  <c r="M20" i="896" s="1"/>
  <c r="H19" i="896"/>
  <c r="M19" i="896" s="1"/>
  <c r="H18" i="896"/>
  <c r="M18" i="896" s="1"/>
  <c r="H16" i="896"/>
  <c r="M16" i="896" s="1"/>
  <c r="H15" i="896"/>
  <c r="M15" i="896" s="1"/>
  <c r="H14" i="896"/>
  <c r="M14" i="896" s="1"/>
  <c r="R24" i="897" l="1"/>
  <c r="R25" i="897" s="1"/>
  <c r="R26" i="897" s="1"/>
  <c r="H17" i="896"/>
  <c r="H25" i="896"/>
  <c r="H27" i="896"/>
  <c r="H21" i="896"/>
  <c r="L24" i="897"/>
  <c r="O29" i="897" s="1"/>
  <c r="L21" i="896"/>
  <c r="R21" i="896" s="1"/>
  <c r="S21" i="896" s="1"/>
  <c r="L25" i="896"/>
  <c r="R25" i="896" s="1"/>
  <c r="S25" i="896" s="1"/>
  <c r="L17" i="896"/>
  <c r="R17" i="896" s="1"/>
  <c r="S17" i="896" s="1"/>
  <c r="S24" i="897" l="1"/>
  <c r="M25" i="896"/>
  <c r="O31" i="897"/>
  <c r="L26" i="896"/>
  <c r="H26" i="896"/>
  <c r="H130" i="261" s="1"/>
  <c r="R27" i="896"/>
  <c r="M21" i="896"/>
  <c r="L25" i="897"/>
  <c r="M24" i="897"/>
  <c r="P29" i="897" s="1"/>
  <c r="L29" i="897"/>
  <c r="I130" i="261"/>
  <c r="M17" i="896"/>
  <c r="P31" i="897" l="1"/>
  <c r="R26" i="896"/>
  <c r="R28" i="896" s="1"/>
  <c r="L31" i="897"/>
  <c r="H28" i="896"/>
  <c r="M29" i="897"/>
  <c r="L28" i="896"/>
  <c r="L29" i="896" s="1"/>
  <c r="L26" i="897"/>
  <c r="K130" i="261" l="1"/>
  <c r="P30" i="896"/>
  <c r="R29" i="896"/>
  <c r="R30" i="896" s="1"/>
  <c r="H31" i="896"/>
  <c r="H32" i="896" s="1"/>
  <c r="M130" i="261" s="1"/>
  <c r="M31" i="897"/>
  <c r="L30" i="896"/>
  <c r="O35" i="896" s="1"/>
  <c r="O37" i="896" s="1"/>
  <c r="H20" i="895"/>
  <c r="H19" i="895"/>
  <c r="H18" i="895"/>
  <c r="H16" i="895"/>
  <c r="H15" i="895"/>
  <c r="H14" i="895"/>
  <c r="M14" i="895" s="1"/>
  <c r="P36" i="896" l="1"/>
  <c r="O130" i="261"/>
  <c r="R31" i="896"/>
  <c r="R32" i="896" s="1"/>
  <c r="S30" i="896"/>
  <c r="L35" i="896"/>
  <c r="L130" i="261"/>
  <c r="L31" i="896"/>
  <c r="H21" i="895"/>
  <c r="H17" i="895"/>
  <c r="M15" i="895"/>
  <c r="M18" i="895"/>
  <c r="M19" i="895"/>
  <c r="M30" i="896"/>
  <c r="P35" i="896" s="1"/>
  <c r="L21" i="895"/>
  <c r="R21" i="895" s="1"/>
  <c r="S21" i="895" s="1"/>
  <c r="L17" i="895"/>
  <c r="R17" i="895" s="1"/>
  <c r="S17" i="895" s="1"/>
  <c r="P37" i="896" l="1"/>
  <c r="L32" i="896"/>
  <c r="L36" i="896"/>
  <c r="M21" i="895"/>
  <c r="M17" i="895"/>
  <c r="H22" i="895"/>
  <c r="M35" i="896"/>
  <c r="R22" i="895"/>
  <c r="R24" i="895" s="1"/>
  <c r="R25" i="895" s="1"/>
  <c r="L22" i="895"/>
  <c r="H27" i="895" l="1"/>
  <c r="L129" i="261" s="1"/>
  <c r="P26" i="895"/>
  <c r="M36" i="896"/>
  <c r="H129" i="261"/>
  <c r="G9" i="973" s="1"/>
  <c r="H24" i="895"/>
  <c r="K129" i="261" s="1"/>
  <c r="L24" i="895"/>
  <c r="L25" i="895" s="1"/>
  <c r="R26" i="895" s="1"/>
  <c r="H28" i="895" l="1"/>
  <c r="M129" i="261" s="1"/>
  <c r="P32" i="895"/>
  <c r="O129" i="261"/>
  <c r="L26" i="895"/>
  <c r="O31" i="895" s="1"/>
  <c r="R27" i="895"/>
  <c r="R28" i="895" s="1"/>
  <c r="S26" i="895"/>
  <c r="H16" i="893"/>
  <c r="H15" i="893"/>
  <c r="H14" i="893"/>
  <c r="N16" i="893"/>
  <c r="O16" i="893"/>
  <c r="N15" i="893"/>
  <c r="O15" i="893"/>
  <c r="N14" i="893"/>
  <c r="O14" i="893"/>
  <c r="O33" i="895" l="1"/>
  <c r="C28" i="973"/>
  <c r="C34" i="973" s="1"/>
  <c r="C34" i="975"/>
  <c r="C34" i="974"/>
  <c r="C34" i="921"/>
  <c r="E29" i="973"/>
  <c r="L31" i="895"/>
  <c r="L32" i="895"/>
  <c r="M26" i="895"/>
  <c r="L27" i="895"/>
  <c r="H17" i="893"/>
  <c r="O17" i="893"/>
  <c r="L17" i="893"/>
  <c r="L19" i="893" s="1"/>
  <c r="P31" i="895" l="1"/>
  <c r="M31" i="895"/>
  <c r="L28" i="895"/>
  <c r="M17" i="893"/>
  <c r="P128" i="261"/>
  <c r="E20" i="972" s="1"/>
  <c r="P17" i="893"/>
  <c r="O19" i="893"/>
  <c r="H18" i="893"/>
  <c r="H128" i="261" s="1"/>
  <c r="G9" i="972" s="1"/>
  <c r="H19" i="893"/>
  <c r="L18" i="893"/>
  <c r="P33" i="895" l="1"/>
  <c r="E34" i="974"/>
  <c r="E28" i="973"/>
  <c r="E34" i="973" s="1"/>
  <c r="E34" i="975"/>
  <c r="E34" i="921"/>
  <c r="M32" i="895"/>
  <c r="N128" i="261"/>
  <c r="E19" i="972" s="1"/>
  <c r="L20" i="893"/>
  <c r="L21" i="893" s="1"/>
  <c r="Q128" i="261" s="1"/>
  <c r="E21" i="972" s="1"/>
  <c r="I128" i="261"/>
  <c r="H20" i="893"/>
  <c r="O18" i="893"/>
  <c r="O20" i="893" s="1"/>
  <c r="K128" i="261" l="1"/>
  <c r="H23" i="893"/>
  <c r="L22" i="893"/>
  <c r="L23" i="893" s="1"/>
  <c r="O21" i="893"/>
  <c r="O22" i="893" s="1"/>
  <c r="P22" i="893" s="1"/>
  <c r="L27" i="893" l="1"/>
  <c r="C28" i="972" s="1"/>
  <c r="C34" i="972" s="1"/>
  <c r="L24" i="893"/>
  <c r="T128" i="261" s="1"/>
  <c r="E24" i="972" s="1"/>
  <c r="S128" i="261"/>
  <c r="E23" i="972" s="1"/>
  <c r="L128" i="261"/>
  <c r="H24" i="893"/>
  <c r="M128" i="261" s="1"/>
  <c r="R128" i="261"/>
  <c r="M22" i="893"/>
  <c r="O23" i="893"/>
  <c r="O24" i="893" s="1"/>
  <c r="E22" i="972" l="1"/>
  <c r="G10" i="972"/>
  <c r="L28" i="893"/>
  <c r="O128" i="261"/>
  <c r="M27" i="893"/>
  <c r="E28" i="972" s="1"/>
  <c r="E34" i="972" s="1"/>
  <c r="M28" i="893" l="1"/>
  <c r="H19" i="890" l="1"/>
  <c r="M19" i="890" s="1"/>
  <c r="H18" i="890"/>
  <c r="H16" i="890"/>
  <c r="M16" i="890" s="1"/>
  <c r="H15" i="890"/>
  <c r="H14" i="890"/>
  <c r="H20" i="890" l="1"/>
  <c r="H17" i="890"/>
  <c r="L17" i="890"/>
  <c r="R17" i="890" s="1"/>
  <c r="S17" i="890" s="1"/>
  <c r="L20" i="890"/>
  <c r="R20" i="890" s="1"/>
  <c r="S20" i="890" s="1"/>
  <c r="H21" i="890" l="1"/>
  <c r="P25" i="890" s="1"/>
  <c r="P31" i="890" s="1"/>
  <c r="E29" i="971" s="1"/>
  <c r="M17" i="890"/>
  <c r="M20" i="890"/>
  <c r="L21" i="890"/>
  <c r="O127" i="261" l="1"/>
  <c r="H26" i="890"/>
  <c r="H27" i="890" s="1"/>
  <c r="H23" i="890"/>
  <c r="R21" i="890"/>
  <c r="R23" i="890" s="1"/>
  <c r="R24" i="890" s="1"/>
  <c r="L23" i="890"/>
  <c r="L24" i="890" s="1"/>
  <c r="H127" i="261"/>
  <c r="G9" i="971" s="1"/>
  <c r="K127" i="261"/>
  <c r="H17" i="889"/>
  <c r="H18" i="889" s="1"/>
  <c r="H15" i="889"/>
  <c r="H14" i="889"/>
  <c r="H12" i="889"/>
  <c r="H11" i="889"/>
  <c r="L17" i="889"/>
  <c r="L15" i="889"/>
  <c r="R15" i="889" s="1"/>
  <c r="L14" i="889"/>
  <c r="R14" i="889" s="1"/>
  <c r="L12" i="889"/>
  <c r="R12" i="889" s="1"/>
  <c r="L11" i="889"/>
  <c r="R11" i="889" s="1"/>
  <c r="R25" i="890" l="1"/>
  <c r="L18" i="889"/>
  <c r="M18" i="889" s="1"/>
  <c r="R17" i="889"/>
  <c r="S12" i="889"/>
  <c r="M15" i="889"/>
  <c r="L13" i="889"/>
  <c r="S15" i="889"/>
  <c r="L16" i="889"/>
  <c r="L25" i="890"/>
  <c r="O30" i="890" s="1"/>
  <c r="H16" i="889"/>
  <c r="M127" i="261"/>
  <c r="L127" i="261"/>
  <c r="H13" i="889"/>
  <c r="R18" i="889"/>
  <c r="S18" i="889" s="1"/>
  <c r="M12" i="889"/>
  <c r="R13" i="889"/>
  <c r="M17" i="889"/>
  <c r="O32" i="890" l="1"/>
  <c r="C28" i="971"/>
  <c r="C34" i="971" s="1"/>
  <c r="L30" i="890"/>
  <c r="M25" i="890"/>
  <c r="P30" i="890" s="1"/>
  <c r="R26" i="890"/>
  <c r="R27" i="890" s="1"/>
  <c r="S25" i="890"/>
  <c r="L19" i="889"/>
  <c r="L21" i="889" s="1"/>
  <c r="M13" i="889"/>
  <c r="S17" i="889"/>
  <c r="R16" i="889"/>
  <c r="R19" i="889" s="1"/>
  <c r="R21" i="889" s="1"/>
  <c r="R22" i="889" s="1"/>
  <c r="R23" i="889" s="1"/>
  <c r="M16" i="889"/>
  <c r="H19" i="889"/>
  <c r="H126" i="261" s="1"/>
  <c r="G9" i="925" s="1"/>
  <c r="S13" i="889"/>
  <c r="L31" i="890"/>
  <c r="L26" i="890"/>
  <c r="P32" i="890" l="1"/>
  <c r="E28" i="971"/>
  <c r="E34" i="971" s="1"/>
  <c r="L22" i="889"/>
  <c r="L23" i="889" s="1"/>
  <c r="O28" i="889" s="1"/>
  <c r="C28" i="925" s="1"/>
  <c r="C34" i="925" s="1"/>
  <c r="S16" i="889"/>
  <c r="H24" i="889"/>
  <c r="L126" i="261" s="1"/>
  <c r="H21" i="889"/>
  <c r="M30" i="890"/>
  <c r="L27" i="890"/>
  <c r="R24" i="889"/>
  <c r="R25" i="889" s="1"/>
  <c r="H17" i="888"/>
  <c r="H18" i="888" s="1"/>
  <c r="H15" i="888"/>
  <c r="H14" i="888"/>
  <c r="H12" i="888"/>
  <c r="H11" i="888"/>
  <c r="L17" i="888"/>
  <c r="L15" i="888"/>
  <c r="R15" i="888" s="1"/>
  <c r="L14" i="888"/>
  <c r="R14" i="888" s="1"/>
  <c r="L12" i="888"/>
  <c r="R12" i="888" s="1"/>
  <c r="L11" i="888"/>
  <c r="R11" i="888" s="1"/>
  <c r="O30" i="889" l="1"/>
  <c r="K126" i="261"/>
  <c r="P23" i="889"/>
  <c r="O126" i="261" s="1"/>
  <c r="M31" i="890"/>
  <c r="L18" i="888"/>
  <c r="M18" i="888" s="1"/>
  <c r="R17" i="888"/>
  <c r="R18" i="888" s="1"/>
  <c r="S18" i="888" s="1"/>
  <c r="M23" i="889"/>
  <c r="P28" i="889" s="1"/>
  <c r="E28" i="925" s="1"/>
  <c r="S23" i="889"/>
  <c r="H25" i="889"/>
  <c r="M126" i="261" s="1"/>
  <c r="L13" i="888"/>
  <c r="H16" i="888"/>
  <c r="M12" i="888"/>
  <c r="H13" i="888"/>
  <c r="L28" i="889"/>
  <c r="L24" i="889"/>
  <c r="L16" i="888"/>
  <c r="S12" i="888"/>
  <c r="M15" i="888"/>
  <c r="S15" i="888"/>
  <c r="M17" i="888"/>
  <c r="P29" i="889" l="1"/>
  <c r="E29" i="925" s="1"/>
  <c r="E34" i="925" s="1"/>
  <c r="H19" i="888"/>
  <c r="P23" i="888" s="1"/>
  <c r="H21" i="888"/>
  <c r="K125" i="261" s="1"/>
  <c r="H24" i="888"/>
  <c r="H25" i="888" s="1"/>
  <c r="M16" i="888"/>
  <c r="M13" i="888"/>
  <c r="L30" i="889"/>
  <c r="S17" i="888"/>
  <c r="L19" i="888"/>
  <c r="M28" i="889"/>
  <c r="L25" i="889"/>
  <c r="R13" i="888"/>
  <c r="S13" i="888" s="1"/>
  <c r="R16" i="888"/>
  <c r="P30" i="889" l="1"/>
  <c r="P29" i="888"/>
  <c r="E29" i="927" s="1"/>
  <c r="O125" i="261"/>
  <c r="H125" i="261"/>
  <c r="G9" i="927" s="1"/>
  <c r="M30" i="889"/>
  <c r="M125" i="261"/>
  <c r="L21" i="888"/>
  <c r="L22" i="888" s="1"/>
  <c r="R22" i="888" s="1"/>
  <c r="S16" i="888"/>
  <c r="R19" i="888"/>
  <c r="R21" i="888" s="1"/>
  <c r="H17" i="887"/>
  <c r="H18" i="887" s="1"/>
  <c r="H15" i="887"/>
  <c r="H14" i="887"/>
  <c r="H12" i="887"/>
  <c r="H11" i="887"/>
  <c r="L18" i="887"/>
  <c r="R18" i="887" s="1"/>
  <c r="S18" i="887" s="1"/>
  <c r="L125" i="261" l="1"/>
  <c r="H13" i="887"/>
  <c r="H16" i="887"/>
  <c r="L23" i="888"/>
  <c r="O28" i="888" s="1"/>
  <c r="C28" i="927" s="1"/>
  <c r="C34" i="927" s="1"/>
  <c r="R23" i="888"/>
  <c r="L16" i="887"/>
  <c r="R16" i="887" s="1"/>
  <c r="S16" i="887" s="1"/>
  <c r="L13" i="887"/>
  <c r="M18" i="887"/>
  <c r="L22" i="887" l="1"/>
  <c r="L24" i="887" s="1"/>
  <c r="L25" i="887" s="1"/>
  <c r="R13" i="887"/>
  <c r="S13" i="887" s="1"/>
  <c r="H22" i="887"/>
  <c r="P26" i="887" s="1"/>
  <c r="O30" i="888"/>
  <c r="H24" i="887"/>
  <c r="H27" i="887"/>
  <c r="H28" i="887" s="1"/>
  <c r="H124" i="261"/>
  <c r="G9" i="970" s="1"/>
  <c r="M16" i="887"/>
  <c r="M23" i="888"/>
  <c r="P28" i="888" s="1"/>
  <c r="E28" i="927" s="1"/>
  <c r="E34" i="927" s="1"/>
  <c r="L28" i="888"/>
  <c r="L24" i="888"/>
  <c r="S23" i="888"/>
  <c r="R24" i="888"/>
  <c r="R25" i="888" s="1"/>
  <c r="M13" i="887"/>
  <c r="P32" i="887" l="1"/>
  <c r="E29" i="970" s="1"/>
  <c r="O124" i="261"/>
  <c r="P30" i="888"/>
  <c r="R22" i="887"/>
  <c r="R24" i="887" s="1"/>
  <c r="R25" i="887" s="1"/>
  <c r="L30" i="888"/>
  <c r="M124" i="261"/>
  <c r="K124" i="261"/>
  <c r="L26" i="887"/>
  <c r="O31" i="887" s="1"/>
  <c r="M28" i="888"/>
  <c r="L25" i="888"/>
  <c r="H18" i="886"/>
  <c r="H14" i="886"/>
  <c r="H12" i="886"/>
  <c r="H11" i="886"/>
  <c r="L17" i="886"/>
  <c r="U17" i="886" s="1"/>
  <c r="L15" i="886"/>
  <c r="U15" i="886" s="1"/>
  <c r="L14" i="886"/>
  <c r="U14" i="886" s="1"/>
  <c r="L12" i="886"/>
  <c r="U12" i="886" s="1"/>
  <c r="L11" i="886"/>
  <c r="U11" i="886" s="1"/>
  <c r="O33" i="887" l="1"/>
  <c r="C28" i="970"/>
  <c r="C34" i="970" s="1"/>
  <c r="L31" i="887"/>
  <c r="M26" i="887"/>
  <c r="L18" i="886"/>
  <c r="M30" i="888"/>
  <c r="L124" i="261"/>
  <c r="H16" i="886"/>
  <c r="V12" i="886"/>
  <c r="H13" i="886"/>
  <c r="M15" i="886"/>
  <c r="L32" i="887"/>
  <c r="L27" i="887"/>
  <c r="R26" i="887"/>
  <c r="L16" i="886"/>
  <c r="U16" i="886" s="1"/>
  <c r="L13" i="886"/>
  <c r="U13" i="886" s="1"/>
  <c r="M12" i="886"/>
  <c r="M17" i="886"/>
  <c r="M31" i="887" l="1"/>
  <c r="P31" i="887"/>
  <c r="M18" i="886"/>
  <c r="U18" i="886"/>
  <c r="V18" i="886" s="1"/>
  <c r="V13" i="886"/>
  <c r="H22" i="886"/>
  <c r="L22" i="886"/>
  <c r="V15" i="886"/>
  <c r="M13" i="886"/>
  <c r="M16" i="886"/>
  <c r="L28" i="887"/>
  <c r="V17" i="886"/>
  <c r="S26" i="887"/>
  <c r="R27" i="887"/>
  <c r="R28" i="887" s="1"/>
  <c r="V16" i="886"/>
  <c r="P33" i="887" l="1"/>
  <c r="E28" i="970"/>
  <c r="E34" i="970" s="1"/>
  <c r="H123" i="261"/>
  <c r="G9" i="928" s="1"/>
  <c r="S26" i="886"/>
  <c r="P26" i="886"/>
  <c r="S32" i="886" s="1"/>
  <c r="E29" i="928" s="1"/>
  <c r="H27" i="886"/>
  <c r="H28" i="886" s="1"/>
  <c r="M123" i="261" s="1"/>
  <c r="M32" i="887"/>
  <c r="L24" i="886"/>
  <c r="L25" i="886" s="1"/>
  <c r="H24" i="886"/>
  <c r="K123" i="261" s="1"/>
  <c r="U22" i="886"/>
  <c r="U24" i="886" s="1"/>
  <c r="U25" i="886" s="1"/>
  <c r="U26" i="886" s="1"/>
  <c r="U27" i="886" s="1"/>
  <c r="U28" i="886" s="1"/>
  <c r="H17" i="885"/>
  <c r="H15" i="885"/>
  <c r="P15" i="885" s="1"/>
  <c r="H14" i="885"/>
  <c r="H12" i="885"/>
  <c r="H11" i="885"/>
  <c r="L17" i="885"/>
  <c r="U17" i="885" s="1"/>
  <c r="V17" i="885" s="1"/>
  <c r="L15" i="885"/>
  <c r="U15" i="885" s="1"/>
  <c r="V15" i="885" s="1"/>
  <c r="L14" i="885"/>
  <c r="U14" i="885" s="1"/>
  <c r="S33" i="886" l="1"/>
  <c r="E30" i="928" s="1"/>
  <c r="O123" i="261"/>
  <c r="M12" i="885"/>
  <c r="V12" i="885"/>
  <c r="L123" i="261"/>
  <c r="H18" i="885"/>
  <c r="P18" i="885" s="1"/>
  <c r="P17" i="885"/>
  <c r="L26" i="886"/>
  <c r="P32" i="886"/>
  <c r="L18" i="885"/>
  <c r="M15" i="885"/>
  <c r="L13" i="885"/>
  <c r="U13" i="885" s="1"/>
  <c r="H13" i="885"/>
  <c r="H16" i="885"/>
  <c r="P16" i="885" s="1"/>
  <c r="L16" i="885"/>
  <c r="U16" i="885" s="1"/>
  <c r="V16" i="885" s="1"/>
  <c r="V26" i="886"/>
  <c r="M17" i="885"/>
  <c r="M26" i="886" l="1"/>
  <c r="R31" i="886"/>
  <c r="M18" i="885"/>
  <c r="U18" i="885"/>
  <c r="V18" i="885" s="1"/>
  <c r="L31" i="886"/>
  <c r="L33" i="886" s="1"/>
  <c r="L27" i="886"/>
  <c r="L28" i="886" s="1"/>
  <c r="O31" i="886"/>
  <c r="H22" i="885"/>
  <c r="S26" i="885" s="1"/>
  <c r="L22" i="885"/>
  <c r="V13" i="885"/>
  <c r="M16" i="885"/>
  <c r="M13" i="885"/>
  <c r="R34" i="886" l="1"/>
  <c r="C28" i="928"/>
  <c r="C34" i="928" s="1"/>
  <c r="S33" i="885"/>
  <c r="E30" i="929" s="1"/>
  <c r="O122" i="261"/>
  <c r="M31" i="886"/>
  <c r="M33" i="886" s="1"/>
  <c r="S31" i="886"/>
  <c r="P31" i="886"/>
  <c r="P33" i="886" s="1"/>
  <c r="O33" i="886"/>
  <c r="H122" i="261"/>
  <c r="G9" i="929" s="1"/>
  <c r="P26" i="885"/>
  <c r="L24" i="885"/>
  <c r="L25" i="885" s="1"/>
  <c r="U22" i="885"/>
  <c r="U24" i="885" s="1"/>
  <c r="H27" i="885"/>
  <c r="L122" i="261" s="1"/>
  <c r="H24" i="885"/>
  <c r="K122" i="261" s="1"/>
  <c r="H17" i="884"/>
  <c r="H18" i="884" s="1"/>
  <c r="H15" i="884"/>
  <c r="H14" i="884"/>
  <c r="H12" i="884"/>
  <c r="M12" i="884" s="1"/>
  <c r="H11" i="884"/>
  <c r="S34" i="886" l="1"/>
  <c r="E28" i="928"/>
  <c r="E34" i="928" s="1"/>
  <c r="P32" i="885"/>
  <c r="S32" i="885"/>
  <c r="E29" i="929" s="1"/>
  <c r="U25" i="885"/>
  <c r="U26" i="885" s="1"/>
  <c r="L26" i="885"/>
  <c r="R31" i="885" s="1"/>
  <c r="H28" i="885"/>
  <c r="M122" i="261" s="1"/>
  <c r="H13" i="884"/>
  <c r="H16" i="884"/>
  <c r="L18" i="884"/>
  <c r="L16" i="884"/>
  <c r="R16" i="884" s="1"/>
  <c r="S16" i="884" s="1"/>
  <c r="L13" i="884"/>
  <c r="R13" i="884" s="1"/>
  <c r="S13" i="884" s="1"/>
  <c r="R34" i="885" l="1"/>
  <c r="C28" i="929"/>
  <c r="C34" i="929" s="1"/>
  <c r="U27" i="885"/>
  <c r="U28" i="885" s="1"/>
  <c r="V26" i="885"/>
  <c r="M18" i="884"/>
  <c r="R18" i="884"/>
  <c r="S18" i="884" s="1"/>
  <c r="L31" i="885"/>
  <c r="L33" i="885" s="1"/>
  <c r="M26" i="885"/>
  <c r="L27" i="885"/>
  <c r="O31" i="885"/>
  <c r="M13" i="884"/>
  <c r="H19" i="884"/>
  <c r="M16" i="884"/>
  <c r="L19" i="884"/>
  <c r="H24" i="884" l="1"/>
  <c r="H25" i="884" s="1"/>
  <c r="M121" i="261" s="1"/>
  <c r="P23" i="884"/>
  <c r="S31" i="885"/>
  <c r="P31" i="885"/>
  <c r="P33" i="885" s="1"/>
  <c r="M31" i="885"/>
  <c r="M33" i="885" s="1"/>
  <c r="L28" i="885"/>
  <c r="O33" i="885"/>
  <c r="H21" i="884"/>
  <c r="K121" i="261" s="1"/>
  <c r="H121" i="261"/>
  <c r="G9" i="969" s="1"/>
  <c r="L21" i="884"/>
  <c r="L22" i="884" s="1"/>
  <c r="R22" i="884" s="1"/>
  <c r="R19" i="884"/>
  <c r="R21" i="884" s="1"/>
  <c r="H28" i="883"/>
  <c r="H29" i="883" s="1"/>
  <c r="H26" i="883"/>
  <c r="H27" i="883" s="1"/>
  <c r="H24" i="883"/>
  <c r="H25" i="883" s="1"/>
  <c r="H22" i="883"/>
  <c r="H21" i="883"/>
  <c r="H19" i="883"/>
  <c r="H18" i="883"/>
  <c r="H16" i="883"/>
  <c r="H17" i="883" s="1"/>
  <c r="H14" i="883"/>
  <c r="H13" i="883"/>
  <c r="H11" i="883"/>
  <c r="H12" i="883" s="1"/>
  <c r="L29" i="883"/>
  <c r="R29" i="883" s="1"/>
  <c r="S29" i="883" s="1"/>
  <c r="L121" i="261" l="1"/>
  <c r="S34" i="885"/>
  <c r="E28" i="929"/>
  <c r="E34" i="929" s="1"/>
  <c r="P29" i="884"/>
  <c r="E29" i="969" s="1"/>
  <c r="O121" i="261"/>
  <c r="H20" i="883"/>
  <c r="H15" i="883"/>
  <c r="H23" i="883"/>
  <c r="L27" i="883"/>
  <c r="L23" i="884"/>
  <c r="R23" i="884"/>
  <c r="L25" i="883"/>
  <c r="L17" i="883"/>
  <c r="L12" i="883"/>
  <c r="M29" i="883"/>
  <c r="S11" i="883"/>
  <c r="L15" i="883"/>
  <c r="R15" i="883" s="1"/>
  <c r="S15" i="883" s="1"/>
  <c r="L20" i="883"/>
  <c r="R20" i="883" s="1"/>
  <c r="S20" i="883" s="1"/>
  <c r="L23" i="883"/>
  <c r="R23" i="883" s="1"/>
  <c r="S23" i="883" s="1"/>
  <c r="O28" i="884" l="1"/>
  <c r="M23" i="884"/>
  <c r="P28" i="884" s="1"/>
  <c r="M27" i="883"/>
  <c r="R27" i="883"/>
  <c r="S27" i="883" s="1"/>
  <c r="M25" i="883"/>
  <c r="R25" i="883"/>
  <c r="S25" i="883" s="1"/>
  <c r="M12" i="883"/>
  <c r="R12" i="883"/>
  <c r="S12" i="883" s="1"/>
  <c r="M17" i="883"/>
  <c r="R17" i="883"/>
  <c r="S17" i="883" s="1"/>
  <c r="H30" i="883"/>
  <c r="H120" i="261" s="1"/>
  <c r="G9" i="968" s="1"/>
  <c r="M23" i="883"/>
  <c r="M15" i="883"/>
  <c r="H31" i="883"/>
  <c r="I120" i="261" s="1"/>
  <c r="M20" i="883"/>
  <c r="L28" i="884"/>
  <c r="L24" i="884"/>
  <c r="S23" i="884"/>
  <c r="R24" i="884"/>
  <c r="R25" i="884" s="1"/>
  <c r="L30" i="883"/>
  <c r="L31" i="883"/>
  <c r="P30" i="884" l="1"/>
  <c r="E28" i="969"/>
  <c r="E34" i="969" s="1"/>
  <c r="O30" i="884"/>
  <c r="C28" i="969"/>
  <c r="C34" i="969" s="1"/>
  <c r="L29" i="884"/>
  <c r="H32" i="883"/>
  <c r="M28" i="884"/>
  <c r="L25" i="884"/>
  <c r="R30" i="883"/>
  <c r="R31" i="883"/>
  <c r="L32" i="883"/>
  <c r="H35" i="883" l="1"/>
  <c r="L120" i="261" s="1"/>
  <c r="P34" i="883"/>
  <c r="M29" i="884"/>
  <c r="K120" i="261"/>
  <c r="R32" i="883"/>
  <c r="L33" i="883"/>
  <c r="R33" i="883" s="1"/>
  <c r="P40" i="883" l="1"/>
  <c r="E29" i="968" s="1"/>
  <c r="O120" i="261"/>
  <c r="H36" i="883"/>
  <c r="M120" i="261" s="1"/>
  <c r="R34" i="883"/>
  <c r="S34" i="883" s="1"/>
  <c r="L34" i="883"/>
  <c r="O39" i="883" s="1"/>
  <c r="R35" i="883"/>
  <c r="R36" i="883" s="1"/>
  <c r="H17" i="882"/>
  <c r="H18" i="882" s="1"/>
  <c r="H15" i="882"/>
  <c r="H14" i="882"/>
  <c r="H12" i="882"/>
  <c r="H11" i="882"/>
  <c r="L18" i="882"/>
  <c r="R18" i="882" s="1"/>
  <c r="S18" i="882" s="1"/>
  <c r="O41" i="883" l="1"/>
  <c r="C28" i="968"/>
  <c r="C34" i="968" s="1"/>
  <c r="L39" i="883"/>
  <c r="H13" i="882"/>
  <c r="M34" i="883"/>
  <c r="L35" i="883"/>
  <c r="H16" i="882"/>
  <c r="L16" i="882"/>
  <c r="R16" i="882" s="1"/>
  <c r="S16" i="882" s="1"/>
  <c r="L13" i="882"/>
  <c r="M39" i="883" l="1"/>
  <c r="M40" i="883" s="1"/>
  <c r="P39" i="883"/>
  <c r="M13" i="882"/>
  <c r="R13" i="882"/>
  <c r="S13" i="882" s="1"/>
  <c r="L40" i="883"/>
  <c r="M16" i="882"/>
  <c r="L36" i="883"/>
  <c r="H19" i="882"/>
  <c r="P23" i="882" s="1"/>
  <c r="M18" i="882"/>
  <c r="L19" i="882"/>
  <c r="R19" i="882" l="1"/>
  <c r="P41" i="883"/>
  <c r="E28" i="968"/>
  <c r="E34" i="968" s="1"/>
  <c r="P29" i="882"/>
  <c r="E29" i="967" s="1"/>
  <c r="O119" i="261"/>
  <c r="H119" i="261"/>
  <c r="G9" i="967" s="1"/>
  <c r="H21" i="882"/>
  <c r="K119" i="261" s="1"/>
  <c r="H24" i="882"/>
  <c r="R21" i="882"/>
  <c r="L21" i="882"/>
  <c r="H28" i="881"/>
  <c r="H29" i="881" s="1"/>
  <c r="H26" i="881"/>
  <c r="H24" i="881"/>
  <c r="H25" i="881" s="1"/>
  <c r="L29" i="881"/>
  <c r="R29" i="881" s="1"/>
  <c r="S29" i="881" s="1"/>
  <c r="L27" i="881"/>
  <c r="R27" i="881" s="1"/>
  <c r="S27" i="881" s="1"/>
  <c r="H22" i="881"/>
  <c r="M22" i="881" s="1"/>
  <c r="H21" i="881"/>
  <c r="H19" i="881"/>
  <c r="M19" i="881" s="1"/>
  <c r="H18" i="881"/>
  <c r="H16" i="881"/>
  <c r="H14" i="881"/>
  <c r="M14" i="881" s="1"/>
  <c r="H13" i="881"/>
  <c r="H11" i="881"/>
  <c r="H12" i="881" s="1"/>
  <c r="L17" i="881"/>
  <c r="R17" i="881" s="1"/>
  <c r="S17" i="881" s="1"/>
  <c r="H17" i="881" l="1"/>
  <c r="M16" i="881"/>
  <c r="H27" i="881"/>
  <c r="M27" i="881" s="1"/>
  <c r="M26" i="881"/>
  <c r="H23" i="881"/>
  <c r="H20" i="881"/>
  <c r="H15" i="881"/>
  <c r="L119" i="261"/>
  <c r="H25" i="882"/>
  <c r="M119" i="261" s="1"/>
  <c r="L22" i="882"/>
  <c r="L23" i="881"/>
  <c r="R23" i="881" s="1"/>
  <c r="S23" i="881" s="1"/>
  <c r="L15" i="881"/>
  <c r="R15" i="881" s="1"/>
  <c r="S15" i="881" s="1"/>
  <c r="M29" i="881"/>
  <c r="L25" i="881"/>
  <c r="L20" i="881"/>
  <c r="M17" i="881"/>
  <c r="L12" i="881"/>
  <c r="R12" i="881" s="1"/>
  <c r="S12" i="881" s="1"/>
  <c r="R22" i="882" l="1"/>
  <c r="R23" i="882" s="1"/>
  <c r="M20" i="881"/>
  <c r="R20" i="881"/>
  <c r="S20" i="881" s="1"/>
  <c r="M25" i="881"/>
  <c r="R25" i="881"/>
  <c r="S25" i="881" s="1"/>
  <c r="M23" i="881"/>
  <c r="H31" i="881"/>
  <c r="I118" i="261" s="1"/>
  <c r="M15" i="881"/>
  <c r="H30" i="881"/>
  <c r="L23" i="882"/>
  <c r="O28" i="882" s="1"/>
  <c r="L30" i="881"/>
  <c r="M12" i="881"/>
  <c r="L31" i="881"/>
  <c r="O30" i="882" l="1"/>
  <c r="C28" i="967"/>
  <c r="C34" i="967" s="1"/>
  <c r="R24" i="882"/>
  <c r="R25" i="882" s="1"/>
  <c r="S23" i="882"/>
  <c r="L24" i="882"/>
  <c r="L25" i="882" s="1"/>
  <c r="L28" i="882"/>
  <c r="H32" i="881"/>
  <c r="H118" i="261"/>
  <c r="G9" i="966" s="1"/>
  <c r="R30" i="881"/>
  <c r="M23" i="882"/>
  <c r="P28" i="882" s="1"/>
  <c r="L32" i="881"/>
  <c r="L33" i="881" s="1"/>
  <c r="R33" i="881" s="1"/>
  <c r="R31" i="881"/>
  <c r="P30" i="882" l="1"/>
  <c r="E28" i="967"/>
  <c r="E34" i="967" s="1"/>
  <c r="K118" i="261"/>
  <c r="P34" i="881"/>
  <c r="L29" i="882"/>
  <c r="H35" i="881"/>
  <c r="H36" i="881" s="1"/>
  <c r="M118" i="261" s="1"/>
  <c r="R32" i="881"/>
  <c r="R34" i="881" s="1"/>
  <c r="S34" i="881" s="1"/>
  <c r="L34" i="881"/>
  <c r="O39" i="881" s="1"/>
  <c r="M28" i="882"/>
  <c r="O41" i="881" l="1"/>
  <c r="C28" i="966"/>
  <c r="C34" i="966" s="1"/>
  <c r="O118" i="261"/>
  <c r="P40" i="881"/>
  <c r="E29" i="966" s="1"/>
  <c r="M29" i="882"/>
  <c r="L35" i="881"/>
  <c r="L36" i="881" s="1"/>
  <c r="L39" i="881"/>
  <c r="L118" i="261"/>
  <c r="M34" i="881"/>
  <c r="P39" i="881" s="1"/>
  <c r="E28" i="966" s="1"/>
  <c r="R35" i="881"/>
  <c r="R36" i="881" s="1"/>
  <c r="H19" i="879"/>
  <c r="H18" i="879"/>
  <c r="H16" i="879"/>
  <c r="H15" i="879"/>
  <c r="H14" i="879"/>
  <c r="E34" i="966" l="1"/>
  <c r="P41" i="881"/>
  <c r="L40" i="881"/>
  <c r="H20" i="879"/>
  <c r="H17" i="879"/>
  <c r="M39" i="881"/>
  <c r="H23" i="880"/>
  <c r="M23" i="880" s="1"/>
  <c r="H22" i="880"/>
  <c r="M22" i="880" s="1"/>
  <c r="H20" i="880"/>
  <c r="M20" i="880" s="1"/>
  <c r="H19" i="880"/>
  <c r="M19" i="880" s="1"/>
  <c r="H18" i="880"/>
  <c r="M18" i="880" s="1"/>
  <c r="H16" i="880"/>
  <c r="M16" i="880" s="1"/>
  <c r="H15" i="880"/>
  <c r="M15" i="880" s="1"/>
  <c r="H13" i="880"/>
  <c r="M13" i="880" s="1"/>
  <c r="H12" i="880"/>
  <c r="M12" i="880" s="1"/>
  <c r="H11" i="880"/>
  <c r="M11" i="880" s="1"/>
  <c r="M40" i="881" l="1"/>
  <c r="H17" i="880"/>
  <c r="H21" i="880"/>
  <c r="H24" i="880"/>
  <c r="H14" i="880"/>
  <c r="L17" i="880"/>
  <c r="R17" i="880" s="1"/>
  <c r="S17" i="880" s="1"/>
  <c r="L24" i="880"/>
  <c r="R24" i="880" s="1"/>
  <c r="S24" i="880" s="1"/>
  <c r="L14" i="880"/>
  <c r="R14" i="880" s="1"/>
  <c r="S14" i="880" s="1"/>
  <c r="L21" i="880"/>
  <c r="R21" i="880" s="1"/>
  <c r="S21" i="880" s="1"/>
  <c r="M21" i="880" l="1"/>
  <c r="M24" i="880"/>
  <c r="M17" i="880"/>
  <c r="M14" i="880"/>
  <c r="H25" i="880"/>
  <c r="L25" i="880"/>
  <c r="H114" i="261" l="1"/>
  <c r="G9" i="963" s="1"/>
  <c r="P29" i="880"/>
  <c r="H30" i="880"/>
  <c r="L114" i="261" s="1"/>
  <c r="H27" i="880"/>
  <c r="K114" i="261" s="1"/>
  <c r="L27" i="880"/>
  <c r="R25" i="880"/>
  <c r="R27" i="880" s="1"/>
  <c r="P35" i="880" l="1"/>
  <c r="E29" i="963" s="1"/>
  <c r="O114" i="261"/>
  <c r="L28" i="880"/>
  <c r="H31" i="880"/>
  <c r="M114" i="261" s="1"/>
  <c r="N19" i="879"/>
  <c r="N18" i="879"/>
  <c r="N16" i="879"/>
  <c r="O16" i="879"/>
  <c r="P16" i="879" s="1"/>
  <c r="N15" i="879"/>
  <c r="N14" i="879"/>
  <c r="O14" i="879"/>
  <c r="P14" i="879" s="1"/>
  <c r="R28" i="880" l="1"/>
  <c r="R29" i="880" s="1"/>
  <c r="L29" i="880"/>
  <c r="O34" i="880" s="1"/>
  <c r="L20" i="879"/>
  <c r="M20" i="879" s="1"/>
  <c r="H21" i="879"/>
  <c r="O19" i="879"/>
  <c r="P19" i="879" s="1"/>
  <c r="O15" i="879"/>
  <c r="P15" i="879" s="1"/>
  <c r="L17" i="879"/>
  <c r="M17" i="879" s="1"/>
  <c r="O18" i="879"/>
  <c r="P18" i="879" s="1"/>
  <c r="O36" i="880" l="1"/>
  <c r="C28" i="963"/>
  <c r="C34" i="963" s="1"/>
  <c r="H26" i="879"/>
  <c r="L117" i="261" s="1"/>
  <c r="H117" i="261"/>
  <c r="G9" i="1103" s="1"/>
  <c r="S29" i="880"/>
  <c r="R30" i="880"/>
  <c r="R31" i="880" s="1"/>
  <c r="L34" i="880"/>
  <c r="L35" i="880" s="1"/>
  <c r="M29" i="880"/>
  <c r="L30" i="880"/>
  <c r="H23" i="879"/>
  <c r="K117" i="261" s="1"/>
  <c r="L21" i="879"/>
  <c r="N117" i="261" s="1"/>
  <c r="E19" i="1103" s="1"/>
  <c r="O17" i="879"/>
  <c r="P17" i="879" s="1"/>
  <c r="O20" i="879"/>
  <c r="P20" i="879" s="1"/>
  <c r="H27" i="879" l="1"/>
  <c r="M117" i="261" s="1"/>
  <c r="M34" i="880"/>
  <c r="M35" i="880" s="1"/>
  <c r="P34" i="880"/>
  <c r="L31" i="880"/>
  <c r="L23" i="879"/>
  <c r="L24" i="879" s="1"/>
  <c r="O21" i="879"/>
  <c r="O23" i="879" s="1"/>
  <c r="H33" i="878"/>
  <c r="M33" i="878" s="1"/>
  <c r="H32" i="878"/>
  <c r="M32" i="878" s="1"/>
  <c r="H30" i="878"/>
  <c r="M30" i="878" s="1"/>
  <c r="H29" i="878"/>
  <c r="M29" i="878" s="1"/>
  <c r="H28" i="878"/>
  <c r="M28" i="878" s="1"/>
  <c r="H26" i="878"/>
  <c r="M26" i="878" s="1"/>
  <c r="H25" i="878"/>
  <c r="M25" i="878" s="1"/>
  <c r="H23" i="878"/>
  <c r="M23" i="878" s="1"/>
  <c r="H22" i="878"/>
  <c r="M22" i="878" s="1"/>
  <c r="H21" i="878"/>
  <c r="M21" i="878" s="1"/>
  <c r="H19" i="878"/>
  <c r="M19" i="878" s="1"/>
  <c r="H18" i="878"/>
  <c r="M18" i="878" s="1"/>
  <c r="H16" i="878"/>
  <c r="M16" i="878" s="1"/>
  <c r="H15" i="878"/>
  <c r="M15" i="878" s="1"/>
  <c r="H14" i="878"/>
  <c r="M14" i="878" s="1"/>
  <c r="P36" i="880" l="1"/>
  <c r="E28" i="963"/>
  <c r="E34" i="963" s="1"/>
  <c r="O24" i="879"/>
  <c r="Q117" i="261"/>
  <c r="E21" i="1103" s="1"/>
  <c r="O25" i="879"/>
  <c r="P25" i="879" s="1"/>
  <c r="L31" i="878"/>
  <c r="R31" i="878" s="1"/>
  <c r="S31" i="878" s="1"/>
  <c r="L34" i="878"/>
  <c r="R34" i="878" s="1"/>
  <c r="S34" i="878" s="1"/>
  <c r="H34" i="878"/>
  <c r="H27" i="878"/>
  <c r="H20" i="878"/>
  <c r="L25" i="879"/>
  <c r="H17" i="878"/>
  <c r="H31" i="878"/>
  <c r="H24" i="878"/>
  <c r="L27" i="878"/>
  <c r="R27" i="878" s="1"/>
  <c r="S27" i="878" s="1"/>
  <c r="O26" i="879"/>
  <c r="O27" i="879" s="1"/>
  <c r="L20" i="878"/>
  <c r="R20" i="878" s="1"/>
  <c r="S20" i="878" s="1"/>
  <c r="L24" i="878"/>
  <c r="R24" i="878" s="1"/>
  <c r="S24" i="878" s="1"/>
  <c r="L17" i="878"/>
  <c r="R17" i="878" s="1"/>
  <c r="S17" i="878" s="1"/>
  <c r="M25" i="879" l="1"/>
  <c r="O117" i="261" s="1"/>
  <c r="R117" i="261"/>
  <c r="H35" i="878"/>
  <c r="P39" i="878" s="1"/>
  <c r="L30" i="879"/>
  <c r="M31" i="878"/>
  <c r="M27" i="878"/>
  <c r="L26" i="879"/>
  <c r="S117" i="261" s="1"/>
  <c r="E23" i="1103" s="1"/>
  <c r="M20" i="878"/>
  <c r="M34" i="878"/>
  <c r="M17" i="878"/>
  <c r="M24" i="878"/>
  <c r="L35" i="878"/>
  <c r="L31" i="879" l="1"/>
  <c r="C28" i="1103"/>
  <c r="C34" i="1103" s="1"/>
  <c r="G10" i="1103"/>
  <c r="E22" i="1103"/>
  <c r="P45" i="878"/>
  <c r="E29" i="965" s="1"/>
  <c r="O116" i="261"/>
  <c r="H37" i="878"/>
  <c r="K116" i="261" s="1"/>
  <c r="H40" i="878"/>
  <c r="H41" i="878" s="1"/>
  <c r="M116" i="261" s="1"/>
  <c r="L27" i="879"/>
  <c r="T117" i="261" s="1"/>
  <c r="E24" i="1103" s="1"/>
  <c r="M30" i="879"/>
  <c r="L37" i="878"/>
  <c r="L38" i="878" s="1"/>
  <c r="R38" i="878" s="1"/>
  <c r="H116" i="261"/>
  <c r="G9" i="965" s="1"/>
  <c r="R35" i="878"/>
  <c r="R37" i="878" s="1"/>
  <c r="H33" i="877"/>
  <c r="M33" i="877" s="1"/>
  <c r="H32" i="877"/>
  <c r="M32" i="877" s="1"/>
  <c r="H30" i="877"/>
  <c r="M30" i="877" s="1"/>
  <c r="H29" i="877"/>
  <c r="M29" i="877" s="1"/>
  <c r="H28" i="877"/>
  <c r="H26" i="877"/>
  <c r="M26" i="877" s="1"/>
  <c r="H25" i="877"/>
  <c r="M25" i="877" s="1"/>
  <c r="H23" i="877"/>
  <c r="M23" i="877" s="1"/>
  <c r="H22" i="877"/>
  <c r="M22" i="877" s="1"/>
  <c r="H21" i="877"/>
  <c r="H19" i="877"/>
  <c r="M19" i="877" s="1"/>
  <c r="H18" i="877"/>
  <c r="M18" i="877" s="1"/>
  <c r="H16" i="877"/>
  <c r="M16" i="877" s="1"/>
  <c r="H15" i="877"/>
  <c r="M15" i="877" s="1"/>
  <c r="H14" i="877"/>
  <c r="M31" i="879" l="1"/>
  <c r="E28" i="1103"/>
  <c r="E34" i="1103" s="1"/>
  <c r="L116" i="261"/>
  <c r="H31" i="877"/>
  <c r="H17" i="877"/>
  <c r="H27" i="877"/>
  <c r="L39" i="878"/>
  <c r="H24" i="877"/>
  <c r="H34" i="877"/>
  <c r="H20" i="877"/>
  <c r="R39" i="878"/>
  <c r="L31" i="877"/>
  <c r="R31" i="877" s="1"/>
  <c r="S31" i="877" s="1"/>
  <c r="L34" i="877"/>
  <c r="R34" i="877" s="1"/>
  <c r="S34" i="877" s="1"/>
  <c r="M39" i="878" l="1"/>
  <c r="P44" i="878" s="1"/>
  <c r="O44" i="878"/>
  <c r="L44" i="878"/>
  <c r="M31" i="877"/>
  <c r="H35" i="877"/>
  <c r="L40" i="878"/>
  <c r="L41" i="878" s="1"/>
  <c r="M34" i="877"/>
  <c r="S39" i="878"/>
  <c r="R40" i="878"/>
  <c r="R41" i="878" s="1"/>
  <c r="O46" i="878" l="1"/>
  <c r="C28" i="965"/>
  <c r="C34" i="965" s="1"/>
  <c r="P46" i="878"/>
  <c r="E28" i="965"/>
  <c r="E34" i="965" s="1"/>
  <c r="H115" i="261"/>
  <c r="G9" i="964" s="1"/>
  <c r="P39" i="877"/>
  <c r="L45" i="878"/>
  <c r="M44" i="878"/>
  <c r="H37" i="877"/>
  <c r="K115" i="261" s="1"/>
  <c r="L24" i="877"/>
  <c r="L20" i="877"/>
  <c r="L17" i="877"/>
  <c r="L27" i="877"/>
  <c r="H40" i="877"/>
  <c r="P45" i="877" l="1"/>
  <c r="E29" i="964" s="1"/>
  <c r="O115" i="261"/>
  <c r="M27" i="877"/>
  <c r="R27" i="877"/>
  <c r="S27" i="877" s="1"/>
  <c r="M17" i="877"/>
  <c r="R17" i="877"/>
  <c r="S17" i="877" s="1"/>
  <c r="M20" i="877"/>
  <c r="R20" i="877"/>
  <c r="S20" i="877" s="1"/>
  <c r="M24" i="877"/>
  <c r="R24" i="877"/>
  <c r="S24" i="877" s="1"/>
  <c r="M45" i="878"/>
  <c r="L35" i="877"/>
  <c r="H41" i="877"/>
  <c r="M115" i="261" s="1"/>
  <c r="L115" i="261"/>
  <c r="L37" i="877" l="1"/>
  <c r="L38" i="877" s="1"/>
  <c r="R38" i="877" s="1"/>
  <c r="R35" i="877"/>
  <c r="R37" i="877" s="1"/>
  <c r="H19" i="876"/>
  <c r="M19" i="876" s="1"/>
  <c r="H18" i="876"/>
  <c r="M18" i="876" s="1"/>
  <c r="H16" i="876"/>
  <c r="M16" i="876" s="1"/>
  <c r="H15" i="876"/>
  <c r="M15" i="876" s="1"/>
  <c r="H14" i="876"/>
  <c r="M14" i="876" s="1"/>
  <c r="H17" i="876" l="1"/>
  <c r="L39" i="877"/>
  <c r="O44" i="877" s="1"/>
  <c r="H20" i="876"/>
  <c r="R39" i="877"/>
  <c r="S39" i="877" s="1"/>
  <c r="L17" i="876"/>
  <c r="R17" i="876" s="1"/>
  <c r="S17" i="876" s="1"/>
  <c r="L20" i="876"/>
  <c r="R20" i="876" s="1"/>
  <c r="S20" i="876" s="1"/>
  <c r="O46" i="877" l="1"/>
  <c r="C28" i="964"/>
  <c r="C34" i="964" s="1"/>
  <c r="M20" i="876"/>
  <c r="M17" i="876"/>
  <c r="L44" i="877"/>
  <c r="H21" i="876"/>
  <c r="L21" i="876"/>
  <c r="L23" i="876" s="1"/>
  <c r="L24" i="876" s="1"/>
  <c r="R24" i="876" s="1"/>
  <c r="M39" i="877"/>
  <c r="L40" i="877"/>
  <c r="R40" i="877"/>
  <c r="R41" i="877" s="1"/>
  <c r="P44" i="877" l="1"/>
  <c r="H26" i="876"/>
  <c r="L113" i="261" s="1"/>
  <c r="P25" i="876"/>
  <c r="L45" i="877"/>
  <c r="H113" i="261"/>
  <c r="G9" i="962" s="1"/>
  <c r="M44" i="877"/>
  <c r="H23" i="876"/>
  <c r="K113" i="261" s="1"/>
  <c r="L41" i="877"/>
  <c r="R21" i="876"/>
  <c r="R23" i="876" s="1"/>
  <c r="R25" i="876" s="1"/>
  <c r="S25" i="876" s="1"/>
  <c r="H27" i="876"/>
  <c r="M113" i="261" s="1"/>
  <c r="L25" i="876"/>
  <c r="O30" i="876" s="1"/>
  <c r="H24" i="875"/>
  <c r="H23" i="875"/>
  <c r="H21" i="875"/>
  <c r="M21" i="875" s="1"/>
  <c r="H20" i="875"/>
  <c r="H18" i="875"/>
  <c r="H16" i="875"/>
  <c r="M16" i="875" s="1"/>
  <c r="H15" i="875"/>
  <c r="H13" i="875"/>
  <c r="H11" i="875"/>
  <c r="H12" i="875" s="1"/>
  <c r="O32" i="876" l="1"/>
  <c r="C28" i="962"/>
  <c r="C34" i="962" s="1"/>
  <c r="P46" i="877"/>
  <c r="E28" i="964"/>
  <c r="E34" i="964" s="1"/>
  <c r="P31" i="876"/>
  <c r="E29" i="962" s="1"/>
  <c r="O113" i="261"/>
  <c r="H14" i="875"/>
  <c r="M13" i="875"/>
  <c r="H19" i="875"/>
  <c r="M18" i="875"/>
  <c r="M45" i="877"/>
  <c r="L30" i="876"/>
  <c r="R26" i="876"/>
  <c r="R27" i="876" s="1"/>
  <c r="H22" i="875"/>
  <c r="L26" i="876"/>
  <c r="L27" i="876" s="1"/>
  <c r="M25" i="876"/>
  <c r="H25" i="875"/>
  <c r="L25" i="875"/>
  <c r="R25" i="875" s="1"/>
  <c r="S25" i="875" s="1"/>
  <c r="L22" i="875"/>
  <c r="R22" i="875" s="1"/>
  <c r="S22" i="875" s="1"/>
  <c r="L19" i="875"/>
  <c r="R19" i="875" s="1"/>
  <c r="S19" i="875" s="1"/>
  <c r="H17" i="875"/>
  <c r="L17" i="875"/>
  <c r="R17" i="875" s="1"/>
  <c r="S17" i="875" s="1"/>
  <c r="L12" i="875"/>
  <c r="L14" i="875"/>
  <c r="M30" i="876" l="1"/>
  <c r="P30" i="876"/>
  <c r="M14" i="875"/>
  <c r="R14" i="875"/>
  <c r="S14" i="875" s="1"/>
  <c r="M12" i="875"/>
  <c r="R12" i="875"/>
  <c r="S12" i="875" s="1"/>
  <c r="L31" i="876"/>
  <c r="M19" i="875"/>
  <c r="M31" i="876"/>
  <c r="H26" i="875"/>
  <c r="M22" i="875"/>
  <c r="M25" i="875"/>
  <c r="L26" i="875"/>
  <c r="M17" i="875"/>
  <c r="P32" i="876" l="1"/>
  <c r="E28" i="962"/>
  <c r="E34" i="962" s="1"/>
  <c r="H112" i="261"/>
  <c r="G9" i="961" s="1"/>
  <c r="P30" i="875"/>
  <c r="H28" i="875"/>
  <c r="K112" i="261" s="1"/>
  <c r="H31" i="875"/>
  <c r="H32" i="875" s="1"/>
  <c r="M112" i="261" s="1"/>
  <c r="L28" i="875"/>
  <c r="L29" i="875" s="1"/>
  <c r="R29" i="875" s="1"/>
  <c r="R26" i="875"/>
  <c r="R28" i="875" s="1"/>
  <c r="P36" i="875" l="1"/>
  <c r="E29" i="961" s="1"/>
  <c r="O112" i="261"/>
  <c r="R30" i="875"/>
  <c r="S30" i="875" s="1"/>
  <c r="L112" i="261"/>
  <c r="L30" i="875"/>
  <c r="H21" i="874"/>
  <c r="H20" i="874"/>
  <c r="H18" i="874"/>
  <c r="H17" i="874"/>
  <c r="H15" i="874"/>
  <c r="H14" i="874"/>
  <c r="N21" i="874"/>
  <c r="N20" i="874"/>
  <c r="N18" i="874"/>
  <c r="N17" i="874"/>
  <c r="O17" i="874"/>
  <c r="N15" i="874"/>
  <c r="N14" i="874"/>
  <c r="L35" i="875" l="1"/>
  <c r="L36" i="875" s="1"/>
  <c r="O35" i="875"/>
  <c r="R31" i="875"/>
  <c r="R32" i="875" s="1"/>
  <c r="H19" i="874"/>
  <c r="H16" i="874"/>
  <c r="H22" i="874"/>
  <c r="L22" i="874"/>
  <c r="M30" i="875"/>
  <c r="P35" i="875" s="1"/>
  <c r="L31" i="875"/>
  <c r="L19" i="874"/>
  <c r="L16" i="874"/>
  <c r="O14" i="874"/>
  <c r="O15" i="874"/>
  <c r="P15" i="874" s="1"/>
  <c r="O18" i="874"/>
  <c r="P18" i="874" s="1"/>
  <c r="O21" i="874"/>
  <c r="P21" i="874" s="1"/>
  <c r="O20" i="874"/>
  <c r="P37" i="875" l="1"/>
  <c r="E28" i="961"/>
  <c r="E34" i="961" s="1"/>
  <c r="M16" i="874"/>
  <c r="O37" i="875"/>
  <c r="C28" i="961"/>
  <c r="C34" i="961" s="1"/>
  <c r="M19" i="874"/>
  <c r="H23" i="874"/>
  <c r="H111" i="261" s="1"/>
  <c r="G9" i="1101" s="1"/>
  <c r="M22" i="874"/>
  <c r="M35" i="875"/>
  <c r="L32" i="875"/>
  <c r="O16" i="874"/>
  <c r="P16" i="874" s="1"/>
  <c r="O22" i="874"/>
  <c r="P22" i="874" s="1"/>
  <c r="O19" i="874"/>
  <c r="P19" i="874" s="1"/>
  <c r="L23" i="874"/>
  <c r="N111" i="261" s="1"/>
  <c r="E19" i="1101" s="1"/>
  <c r="M36" i="875" l="1"/>
  <c r="H28" i="874"/>
  <c r="H25" i="874"/>
  <c r="K111" i="261" s="1"/>
  <c r="L25" i="874"/>
  <c r="L26" i="874" s="1"/>
  <c r="Q111" i="261" s="1"/>
  <c r="E21" i="1101" s="1"/>
  <c r="O23" i="874"/>
  <c r="O25" i="874" s="1"/>
  <c r="O26" i="874" s="1"/>
  <c r="H23" i="873"/>
  <c r="H22" i="873"/>
  <c r="H20" i="873"/>
  <c r="H19" i="873"/>
  <c r="H17" i="873"/>
  <c r="H18" i="873" s="1"/>
  <c r="H15" i="873"/>
  <c r="H14" i="873"/>
  <c r="H29" i="874" l="1"/>
  <c r="M111" i="261" s="1"/>
  <c r="L111" i="261"/>
  <c r="L16" i="873"/>
  <c r="R16" i="873" s="1"/>
  <c r="H21" i="873"/>
  <c r="H24" i="873"/>
  <c r="L27" i="874"/>
  <c r="O27" i="874"/>
  <c r="P27" i="874" s="1"/>
  <c r="H16" i="873"/>
  <c r="S23" i="873"/>
  <c r="L24" i="873"/>
  <c r="R24" i="873" s="1"/>
  <c r="L21" i="873"/>
  <c r="R21" i="873" s="1"/>
  <c r="L18" i="873"/>
  <c r="R18" i="873" s="1"/>
  <c r="S20" i="873"/>
  <c r="S15" i="873"/>
  <c r="M27" i="874" l="1"/>
  <c r="O111" i="261" s="1"/>
  <c r="R111" i="261"/>
  <c r="L32" i="874"/>
  <c r="M16" i="873"/>
  <c r="H25" i="873"/>
  <c r="O28" i="874"/>
  <c r="O29" i="874" s="1"/>
  <c r="S24" i="873"/>
  <c r="M24" i="873"/>
  <c r="M32" i="874"/>
  <c r="L25" i="873"/>
  <c r="L27" i="873" s="1"/>
  <c r="L28" i="874"/>
  <c r="M21" i="873"/>
  <c r="S16" i="873"/>
  <c r="S21" i="873"/>
  <c r="M18" i="873"/>
  <c r="S18" i="873"/>
  <c r="L33" i="874" l="1"/>
  <c r="C28" i="1101"/>
  <c r="C34" i="1101" s="1"/>
  <c r="E22" i="1101"/>
  <c r="G10" i="1101"/>
  <c r="M33" i="874"/>
  <c r="E28" i="1101"/>
  <c r="E34" i="1101" s="1"/>
  <c r="L29" i="874"/>
  <c r="T111" i="261" s="1"/>
  <c r="E24" i="1101" s="1"/>
  <c r="S111" i="261"/>
  <c r="E23" i="1101" s="1"/>
  <c r="H27" i="873"/>
  <c r="K110" i="261" s="1"/>
  <c r="P29" i="873"/>
  <c r="L28" i="873"/>
  <c r="H110" i="261"/>
  <c r="G9" i="960" s="1"/>
  <c r="H30" i="873"/>
  <c r="L110" i="261" s="1"/>
  <c r="R25" i="873"/>
  <c r="R27" i="873" s="1"/>
  <c r="H20" i="872"/>
  <c r="H21" i="872" s="1"/>
  <c r="N20" i="872"/>
  <c r="H18" i="872"/>
  <c r="H17" i="872"/>
  <c r="H15" i="872"/>
  <c r="H14" i="872"/>
  <c r="N18" i="872"/>
  <c r="N17" i="872"/>
  <c r="O17" i="872"/>
  <c r="N15" i="872"/>
  <c r="N14" i="872"/>
  <c r="P35" i="873" l="1"/>
  <c r="E29" i="960" s="1"/>
  <c r="O110" i="261"/>
  <c r="L29" i="873"/>
  <c r="O34" i="873" s="1"/>
  <c r="R28" i="873"/>
  <c r="R29" i="873" s="1"/>
  <c r="M29" i="873"/>
  <c r="P34" i="873" s="1"/>
  <c r="E28" i="960" s="1"/>
  <c r="L34" i="873"/>
  <c r="H31" i="873"/>
  <c r="M110" i="261" s="1"/>
  <c r="M21" i="872"/>
  <c r="H16" i="872"/>
  <c r="O20" i="872"/>
  <c r="P20" i="872" s="1"/>
  <c r="L21" i="872"/>
  <c r="H19" i="872"/>
  <c r="L19" i="872"/>
  <c r="O18" i="872"/>
  <c r="P18" i="872" s="1"/>
  <c r="O15" i="872"/>
  <c r="P15" i="872" s="1"/>
  <c r="L16" i="872"/>
  <c r="O14" i="872"/>
  <c r="O36" i="873" l="1"/>
  <c r="C28" i="960"/>
  <c r="C34" i="960" s="1"/>
  <c r="E34" i="960"/>
  <c r="L30" i="873"/>
  <c r="L31" i="873" s="1"/>
  <c r="P36" i="873"/>
  <c r="L35" i="873"/>
  <c r="M34" i="873"/>
  <c r="M16" i="872"/>
  <c r="H22" i="872"/>
  <c r="M19" i="872"/>
  <c r="R30" i="873"/>
  <c r="R31" i="873" s="1"/>
  <c r="S29" i="873"/>
  <c r="L22" i="872"/>
  <c r="N109" i="261" s="1"/>
  <c r="E19" i="1102" s="1"/>
  <c r="O21" i="872"/>
  <c r="P21" i="872" s="1"/>
  <c r="O19" i="872"/>
  <c r="P19" i="872" s="1"/>
  <c r="O16" i="872"/>
  <c r="P16" i="872" s="1"/>
  <c r="H22" i="871"/>
  <c r="H23" i="871" s="1"/>
  <c r="H20" i="871"/>
  <c r="H19" i="871"/>
  <c r="H18" i="871"/>
  <c r="H16" i="871"/>
  <c r="H15" i="871"/>
  <c r="H14" i="871"/>
  <c r="H27" i="872" l="1"/>
  <c r="L109" i="261" s="1"/>
  <c r="H109" i="261"/>
  <c r="G9" i="1102" s="1"/>
  <c r="M35" i="873"/>
  <c r="S20" i="871"/>
  <c r="H24" i="872"/>
  <c r="K109" i="261" s="1"/>
  <c r="S19" i="871"/>
  <c r="S15" i="871"/>
  <c r="H17" i="871"/>
  <c r="L24" i="872"/>
  <c r="H21" i="871"/>
  <c r="O22" i="872"/>
  <c r="O24" i="872" s="1"/>
  <c r="L23" i="871"/>
  <c r="S18" i="871"/>
  <c r="L21" i="871"/>
  <c r="R21" i="871" s="1"/>
  <c r="S14" i="871"/>
  <c r="L17" i="871"/>
  <c r="R17" i="871" s="1"/>
  <c r="S22" i="871"/>
  <c r="S23" i="871" s="1"/>
  <c r="H28" i="872" l="1"/>
  <c r="M109" i="261" s="1"/>
  <c r="M23" i="871"/>
  <c r="R23" i="871"/>
  <c r="L25" i="872"/>
  <c r="S21" i="871"/>
  <c r="H24" i="871"/>
  <c r="M21" i="871"/>
  <c r="L24" i="871"/>
  <c r="S17" i="871"/>
  <c r="S16" i="871"/>
  <c r="M17" i="871"/>
  <c r="O25" i="872"/>
  <c r="O26" i="872" s="1"/>
  <c r="P26" i="872" s="1"/>
  <c r="L26" i="872" l="1"/>
  <c r="R109" i="261" s="1"/>
  <c r="Q109" i="261"/>
  <c r="E21" i="1102" s="1"/>
  <c r="L31" i="872"/>
  <c r="C28" i="1102" s="1"/>
  <c r="C34" i="1102" s="1"/>
  <c r="M26" i="872"/>
  <c r="O109" i="261" s="1"/>
  <c r="H29" i="871"/>
  <c r="L108" i="261" s="1"/>
  <c r="P28" i="871"/>
  <c r="H108" i="261"/>
  <c r="G9" i="930" s="1"/>
  <c r="H26" i="871"/>
  <c r="K108" i="261" s="1"/>
  <c r="L26" i="871"/>
  <c r="L27" i="871" s="1"/>
  <c r="R27" i="871" s="1"/>
  <c r="R24" i="871"/>
  <c r="R26" i="871" s="1"/>
  <c r="L27" i="872"/>
  <c r="S109" i="261" s="1"/>
  <c r="E23" i="1102" s="1"/>
  <c r="L32" i="872"/>
  <c r="O27" i="872"/>
  <c r="O28" i="872" s="1"/>
  <c r="H30" i="871" l="1"/>
  <c r="M108" i="261" s="1"/>
  <c r="E22" i="1102"/>
  <c r="G10" i="1102"/>
  <c r="P34" i="871"/>
  <c r="E29" i="930" s="1"/>
  <c r="O108" i="261"/>
  <c r="R28" i="871"/>
  <c r="L28" i="871"/>
  <c r="M31" i="872"/>
  <c r="L28" i="872"/>
  <c r="T109" i="261" s="1"/>
  <c r="E24" i="1102" s="1"/>
  <c r="H15" i="868"/>
  <c r="P15" i="868" s="1"/>
  <c r="H14" i="868"/>
  <c r="P14" i="868" s="1"/>
  <c r="L15" i="868"/>
  <c r="R15" i="868" s="1"/>
  <c r="L14" i="868"/>
  <c r="R14" i="868" s="1"/>
  <c r="M32" i="872" l="1"/>
  <c r="E28" i="1102"/>
  <c r="E34" i="1102" s="1"/>
  <c r="S15" i="868"/>
  <c r="L33" i="871"/>
  <c r="O33" i="871"/>
  <c r="S14" i="868"/>
  <c r="S28" i="871"/>
  <c r="R29" i="871"/>
  <c r="R30" i="871" s="1"/>
  <c r="L29" i="871"/>
  <c r="M28" i="871"/>
  <c r="P33" i="871" s="1"/>
  <c r="E28" i="930" s="1"/>
  <c r="E34" i="930" s="1"/>
  <c r="H16" i="868"/>
  <c r="M15" i="868"/>
  <c r="L16" i="868"/>
  <c r="M14" i="868"/>
  <c r="P35" i="871" l="1"/>
  <c r="O35" i="871"/>
  <c r="C28" i="930"/>
  <c r="C34" i="930" s="1"/>
  <c r="H17" i="868"/>
  <c r="H19" i="868" s="1"/>
  <c r="K107" i="261" s="1"/>
  <c r="P16" i="868"/>
  <c r="M16" i="868"/>
  <c r="L34" i="871"/>
  <c r="M33" i="871"/>
  <c r="L30" i="871"/>
  <c r="L17" i="868"/>
  <c r="R16" i="868"/>
  <c r="S16" i="868" s="1"/>
  <c r="L14" i="869"/>
  <c r="U14" i="869" s="1"/>
  <c r="V14" i="869" s="1"/>
  <c r="H18" i="869"/>
  <c r="H19" i="869" s="1"/>
  <c r="H16" i="869"/>
  <c r="H15" i="869"/>
  <c r="P15" i="869" s="1"/>
  <c r="H14" i="869"/>
  <c r="L18" i="869"/>
  <c r="U18" i="869" s="1"/>
  <c r="L16" i="869"/>
  <c r="U16" i="869" s="1"/>
  <c r="L15" i="869"/>
  <c r="U15" i="869" s="1"/>
  <c r="V15" i="869" s="1"/>
  <c r="V16" i="869" l="1"/>
  <c r="L19" i="869"/>
  <c r="U19" i="869" s="1"/>
  <c r="H107" i="261"/>
  <c r="G9" i="931" s="1"/>
  <c r="P21" i="868"/>
  <c r="P27" i="868" s="1"/>
  <c r="H22" i="868"/>
  <c r="H23" i="868" s="1"/>
  <c r="M107" i="261" s="1"/>
  <c r="M34" i="871"/>
  <c r="M16" i="869"/>
  <c r="M15" i="869"/>
  <c r="L19" i="868"/>
  <c r="L20" i="868" s="1"/>
  <c r="R20" i="868" s="1"/>
  <c r="R17" i="868"/>
  <c r="R19" i="868" s="1"/>
  <c r="M18" i="869"/>
  <c r="M19" i="869" s="1"/>
  <c r="H17" i="869"/>
  <c r="M14" i="869"/>
  <c r="L17" i="869"/>
  <c r="U17" i="869" s="1"/>
  <c r="V17" i="869" s="1"/>
  <c r="L107" i="261" l="1"/>
  <c r="O107" i="261"/>
  <c r="H20" i="869"/>
  <c r="H25" i="869" s="1"/>
  <c r="P17" i="869"/>
  <c r="L20" i="869"/>
  <c r="M17" i="869"/>
  <c r="H22" i="869"/>
  <c r="L21" i="868"/>
  <c r="R21" i="868"/>
  <c r="S21" i="868" s="1"/>
  <c r="V18" i="869"/>
  <c r="H106" i="261" l="1"/>
  <c r="G9" i="932" s="1"/>
  <c r="S24" i="869"/>
  <c r="K106" i="261"/>
  <c r="P24" i="869"/>
  <c r="S30" i="869" s="1"/>
  <c r="E29" i="932" s="1"/>
  <c r="O26" i="868"/>
  <c r="L22" i="868"/>
  <c r="L26" i="868"/>
  <c r="M21" i="868"/>
  <c r="P26" i="868" s="1"/>
  <c r="H26" i="869"/>
  <c r="M106" i="261" s="1"/>
  <c r="L106" i="261"/>
  <c r="U20" i="869"/>
  <c r="U22" i="869" s="1"/>
  <c r="V19" i="869"/>
  <c r="L22" i="869"/>
  <c r="L23" i="869" s="1"/>
  <c r="U23" i="869" s="1"/>
  <c r="R22" i="868"/>
  <c r="R23" i="868" s="1"/>
  <c r="H19" i="867"/>
  <c r="H18" i="867"/>
  <c r="H16" i="867"/>
  <c r="H15" i="867"/>
  <c r="H14" i="867"/>
  <c r="S31" i="869" l="1"/>
  <c r="O106" i="261"/>
  <c r="O28" i="868"/>
  <c r="P30" i="869"/>
  <c r="U24" i="869"/>
  <c r="V24" i="869" s="1"/>
  <c r="M26" i="868"/>
  <c r="M28" i="868" s="1"/>
  <c r="P28" i="868"/>
  <c r="L28" i="868"/>
  <c r="L23" i="868"/>
  <c r="H20" i="867"/>
  <c r="S14" i="867"/>
  <c r="S19" i="867"/>
  <c r="H17" i="867"/>
  <c r="L24" i="869"/>
  <c r="L20" i="867"/>
  <c r="R20" i="867" s="1"/>
  <c r="S18" i="867"/>
  <c r="L17" i="867"/>
  <c r="R17" i="867" s="1"/>
  <c r="E30" i="932" l="1"/>
  <c r="O29" i="869"/>
  <c r="R29" i="869"/>
  <c r="O31" i="869"/>
  <c r="U25" i="869"/>
  <c r="U26" i="869" s="1"/>
  <c r="H21" i="867"/>
  <c r="M20" i="867"/>
  <c r="S20" i="867"/>
  <c r="L21" i="867"/>
  <c r="M17" i="867"/>
  <c r="L25" i="869"/>
  <c r="M24" i="869"/>
  <c r="L29" i="869"/>
  <c r="S17" i="867"/>
  <c r="C28" i="932" l="1"/>
  <c r="C34" i="932" s="1"/>
  <c r="R32" i="869"/>
  <c r="P29" i="869"/>
  <c r="S29" i="869"/>
  <c r="H26" i="867"/>
  <c r="H27" i="867" s="1"/>
  <c r="M105" i="261" s="1"/>
  <c r="P25" i="867"/>
  <c r="P31" i="869"/>
  <c r="L31" i="869"/>
  <c r="H23" i="867"/>
  <c r="K105" i="261" s="1"/>
  <c r="H105" i="261"/>
  <c r="G9" i="959" s="1"/>
  <c r="R21" i="867"/>
  <c r="R23" i="867" s="1"/>
  <c r="L26" i="869"/>
  <c r="M29" i="869"/>
  <c r="L23" i="867"/>
  <c r="E28" i="932" l="1"/>
  <c r="E34" i="932" s="1"/>
  <c r="S32" i="869"/>
  <c r="P31" i="867"/>
  <c r="O105" i="261"/>
  <c r="L105" i="261"/>
  <c r="L24" i="867"/>
  <c r="R24" i="867" s="1"/>
  <c r="R25" i="867" s="1"/>
  <c r="R32" i="867"/>
  <c r="M31" i="869"/>
  <c r="E29" i="959" l="1"/>
  <c r="L25" i="867"/>
  <c r="L26" i="867" s="1"/>
  <c r="S25" i="867"/>
  <c r="R26" i="867"/>
  <c r="R27" i="867" s="1"/>
  <c r="L30" i="867"/>
  <c r="L31" i="867" s="1"/>
  <c r="O30" i="867"/>
  <c r="M25" i="867"/>
  <c r="N15" i="865"/>
  <c r="N16" i="865"/>
  <c r="N14" i="865"/>
  <c r="O16" i="865"/>
  <c r="O14" i="865"/>
  <c r="H16" i="865"/>
  <c r="H15" i="865"/>
  <c r="M15" i="865" s="1"/>
  <c r="H14" i="865"/>
  <c r="C28" i="959" l="1"/>
  <c r="C34" i="959" s="1"/>
  <c r="O32" i="867"/>
  <c r="M30" i="867"/>
  <c r="P30" i="867"/>
  <c r="H17" i="865"/>
  <c r="H19" i="865" s="1"/>
  <c r="I104" i="261" s="1"/>
  <c r="L27" i="867"/>
  <c r="O15" i="865"/>
  <c r="P15" i="865" s="1"/>
  <c r="L17" i="865"/>
  <c r="L19" i="865" s="1"/>
  <c r="P104" i="261" s="1"/>
  <c r="E28" i="959" l="1"/>
  <c r="E34" i="959" s="1"/>
  <c r="P32" i="867"/>
  <c r="M31" i="867"/>
  <c r="H18" i="865"/>
  <c r="H20" i="865" s="1"/>
  <c r="O17" i="865"/>
  <c r="O18" i="865" s="1"/>
  <c r="L18" i="865"/>
  <c r="M17" i="865"/>
  <c r="K17" i="606"/>
  <c r="Q17" i="606" s="1"/>
  <c r="K14" i="606"/>
  <c r="Q14" i="606" s="1"/>
  <c r="K17" i="595"/>
  <c r="Q17" i="595" s="1"/>
  <c r="K14" i="595"/>
  <c r="Q14" i="595" s="1"/>
  <c r="K17" i="605"/>
  <c r="Q17" i="605" s="1"/>
  <c r="K14" i="605"/>
  <c r="Q14" i="605" s="1"/>
  <c r="K17" i="604"/>
  <c r="Q17" i="604" s="1"/>
  <c r="K14" i="604"/>
  <c r="Q14" i="604" s="1"/>
  <c r="K17" i="603"/>
  <c r="Q17" i="603" s="1"/>
  <c r="K14" i="603"/>
  <c r="Q14" i="603" s="1"/>
  <c r="K17" i="602"/>
  <c r="Q17" i="602" s="1"/>
  <c r="K14" i="602"/>
  <c r="K17" i="599"/>
  <c r="Q17" i="599" s="1"/>
  <c r="K14" i="599"/>
  <c r="K17" i="598"/>
  <c r="Q17" i="598" s="1"/>
  <c r="K29" i="812"/>
  <c r="T29" i="812" s="1"/>
  <c r="K27" i="812"/>
  <c r="T27" i="812" s="1"/>
  <c r="K24" i="812"/>
  <c r="K29" i="811"/>
  <c r="Q29" i="811" s="1"/>
  <c r="K24" i="811"/>
  <c r="Q24" i="811" s="1"/>
  <c r="K27" i="811"/>
  <c r="Q27" i="811" s="1"/>
  <c r="K29" i="810"/>
  <c r="Q29" i="810" s="1"/>
  <c r="K27" i="810"/>
  <c r="Q27" i="810" s="1"/>
  <c r="K24" i="810"/>
  <c r="Q24" i="810" s="1"/>
  <c r="K20" i="810"/>
  <c r="Q20" i="810" s="1"/>
  <c r="K27" i="791"/>
  <c r="T27" i="791" s="1"/>
  <c r="T31" i="591"/>
  <c r="Z31" i="591" s="1"/>
  <c r="T29" i="591"/>
  <c r="T27" i="591"/>
  <c r="Z27" i="591" s="1"/>
  <c r="T23" i="591"/>
  <c r="Z23" i="591" s="1"/>
  <c r="N14" i="602" l="1"/>
  <c r="O14" i="602" s="1"/>
  <c r="N24" i="812"/>
  <c r="O24" i="812" s="1"/>
  <c r="P24" i="812" s="1"/>
  <c r="N14" i="599"/>
  <c r="O14" i="599" s="1"/>
  <c r="W29" i="591"/>
  <c r="X29" i="591" s="1"/>
  <c r="O26" i="811"/>
  <c r="H104" i="261"/>
  <c r="H23" i="865"/>
  <c r="K104" i="261"/>
  <c r="L20" i="865"/>
  <c r="L21" i="865" s="1"/>
  <c r="N104" i="261"/>
  <c r="P17" i="865"/>
  <c r="O19" i="865"/>
  <c r="O20" i="865" s="1"/>
  <c r="O21" i="865" s="1"/>
  <c r="O22" i="865" s="1"/>
  <c r="P22" i="865" s="1"/>
  <c r="U24" i="504"/>
  <c r="O24" i="504"/>
  <c r="L24" i="504"/>
  <c r="U17" i="504"/>
  <c r="U16" i="504"/>
  <c r="U14" i="504"/>
  <c r="U22" i="504"/>
  <c r="U23" i="504" s="1"/>
  <c r="V23" i="504" s="1"/>
  <c r="U20" i="504"/>
  <c r="U19" i="504"/>
  <c r="K14" i="816"/>
  <c r="N22" i="805"/>
  <c r="T22" i="805" s="1"/>
  <c r="N19" i="805"/>
  <c r="Q19" i="805" s="1"/>
  <c r="R19" i="805" s="1"/>
  <c r="S19" i="805" s="1"/>
  <c r="N17" i="805"/>
  <c r="Q17" i="805" s="1"/>
  <c r="R17" i="805" s="1"/>
  <c r="S17" i="805" s="1"/>
  <c r="N14" i="805"/>
  <c r="T14" i="805" s="1"/>
  <c r="K18" i="797"/>
  <c r="Q18" i="797" s="1"/>
  <c r="K14" i="797"/>
  <c r="Q14" i="797" s="1"/>
  <c r="W49" i="187"/>
  <c r="AC49" i="187" s="1"/>
  <c r="N16" i="615"/>
  <c r="N14" i="529"/>
  <c r="O38" i="811" l="1"/>
  <c r="N101" i="261" s="1"/>
  <c r="E19" i="850" s="1"/>
  <c r="P26" i="811"/>
  <c r="T24" i="812"/>
  <c r="O26" i="812"/>
  <c r="O38" i="812" s="1"/>
  <c r="O40" i="812" s="1"/>
  <c r="O41" i="812" s="1"/>
  <c r="X30" i="591"/>
  <c r="X35" i="591"/>
  <c r="Z29" i="591"/>
  <c r="O16" i="599"/>
  <c r="O19" i="599" s="1"/>
  <c r="O21" i="599" s="1"/>
  <c r="P14" i="602"/>
  <c r="O16" i="602"/>
  <c r="O19" i="602" s="1"/>
  <c r="O21" i="602" s="1"/>
  <c r="Q14" i="599"/>
  <c r="Q14" i="602"/>
  <c r="Q16" i="615"/>
  <c r="W16" i="615" s="1"/>
  <c r="R21" i="805"/>
  <c r="O14" i="529"/>
  <c r="U14" i="529" s="1"/>
  <c r="T14" i="529"/>
  <c r="N14" i="816"/>
  <c r="O14" i="816" s="1"/>
  <c r="P14" i="816" s="1"/>
  <c r="U18" i="504"/>
  <c r="L22" i="865"/>
  <c r="M22" i="865" s="1"/>
  <c r="M28" i="865" s="1"/>
  <c r="Q104" i="261"/>
  <c r="H24" i="865"/>
  <c r="M104" i="261" s="1"/>
  <c r="L104" i="261"/>
  <c r="O23" i="865"/>
  <c r="O24" i="865" s="1"/>
  <c r="U25" i="504"/>
  <c r="U21" i="504"/>
  <c r="U15" i="504"/>
  <c r="V22" i="504"/>
  <c r="V24" i="504"/>
  <c r="O40" i="811" l="1"/>
  <c r="O41" i="811" s="1"/>
  <c r="Q101" i="261" s="1"/>
  <c r="E21" i="850" s="1"/>
  <c r="O22" i="599"/>
  <c r="O23" i="599" s="1"/>
  <c r="O22" i="602"/>
  <c r="O23" i="602" s="1"/>
  <c r="X37" i="591"/>
  <c r="N83" i="261"/>
  <c r="E19" i="765" s="1"/>
  <c r="Q14" i="816"/>
  <c r="L28" i="865"/>
  <c r="L29" i="865" s="1"/>
  <c r="R16" i="615"/>
  <c r="R17" i="615" s="1"/>
  <c r="T19" i="805"/>
  <c r="R18" i="805"/>
  <c r="R25" i="805" s="1"/>
  <c r="N98" i="261" s="1"/>
  <c r="E19" i="844" s="1"/>
  <c r="T17" i="805"/>
  <c r="O15" i="816"/>
  <c r="O16" i="816" s="1"/>
  <c r="O42" i="812"/>
  <c r="R51" i="812" s="1"/>
  <c r="C29" i="851" s="1"/>
  <c r="R104" i="261"/>
  <c r="L23" i="865"/>
  <c r="M29" i="865"/>
  <c r="O104" i="261"/>
  <c r="U26" i="504"/>
  <c r="O42" i="811" l="1"/>
  <c r="R101" i="261" s="1"/>
  <c r="G10" i="850" s="1"/>
  <c r="O31" i="599"/>
  <c r="O24" i="599"/>
  <c r="O25" i="599" s="1"/>
  <c r="O24" i="602"/>
  <c r="O25" i="602" s="1"/>
  <c r="O29" i="602"/>
  <c r="X38" i="591"/>
  <c r="X39" i="591" s="1"/>
  <c r="O51" i="812"/>
  <c r="R20" i="615"/>
  <c r="R27" i="805"/>
  <c r="T33" i="805" s="1"/>
  <c r="O43" i="812"/>
  <c r="O18" i="816"/>
  <c r="O19" i="816" s="1"/>
  <c r="L24" i="865"/>
  <c r="T104" i="261" s="1"/>
  <c r="S104" i="261"/>
  <c r="U28" i="504"/>
  <c r="U29" i="504" s="1"/>
  <c r="O43" i="811" l="1"/>
  <c r="S101" i="261" s="1"/>
  <c r="E23" i="850" s="1"/>
  <c r="O50" i="811"/>
  <c r="C29" i="850" s="1"/>
  <c r="E22" i="850"/>
  <c r="X40" i="591"/>
  <c r="S83" i="261" s="1"/>
  <c r="E23" i="765" s="1"/>
  <c r="X48" i="591"/>
  <c r="C32" i="765" s="1"/>
  <c r="R83" i="261"/>
  <c r="Q83" i="261"/>
  <c r="E21" i="765" s="1"/>
  <c r="R28" i="805"/>
  <c r="R22" i="615"/>
  <c r="O20" i="816"/>
  <c r="O44" i="812"/>
  <c r="U30" i="504"/>
  <c r="X39" i="504" s="1"/>
  <c r="O44" i="811" l="1"/>
  <c r="T101" i="261" s="1"/>
  <c r="E24" i="850" s="1"/>
  <c r="G10" i="765"/>
  <c r="E22" i="765"/>
  <c r="X41" i="591"/>
  <c r="T83" i="261" s="1"/>
  <c r="E24" i="765" s="1"/>
  <c r="Q98" i="261"/>
  <c r="E21" i="844" s="1"/>
  <c r="R23" i="615"/>
  <c r="R29" i="805"/>
  <c r="O21" i="816"/>
  <c r="O27" i="816"/>
  <c r="U39" i="504"/>
  <c r="U31" i="504"/>
  <c r="R37" i="805" l="1"/>
  <c r="R98" i="261"/>
  <c r="R30" i="805"/>
  <c r="R24" i="615"/>
  <c r="U32" i="615" s="1"/>
  <c r="C30" i="761" s="1"/>
  <c r="O22" i="816"/>
  <c r="U32" i="504"/>
  <c r="K14" i="461"/>
  <c r="Q14" i="461" s="1"/>
  <c r="G10" i="844" l="1"/>
  <c r="E22" i="844"/>
  <c r="S98" i="261"/>
  <c r="E23" i="844" s="1"/>
  <c r="R31" i="805"/>
  <c r="R25" i="615"/>
  <c r="R32" i="615"/>
  <c r="T98" i="261" l="1"/>
  <c r="E24" i="844" s="1"/>
  <c r="R26" i="615"/>
  <c r="G8" i="992" l="1"/>
  <c r="R24" i="596" l="1"/>
  <c r="R22" i="596"/>
  <c r="R23" i="596" s="1"/>
  <c r="R20" i="596"/>
  <c r="R18" i="596"/>
  <c r="R19" i="596" s="1"/>
  <c r="R16" i="596"/>
  <c r="R14" i="596"/>
  <c r="Y20" i="303"/>
  <c r="Y16" i="303"/>
  <c r="Y17" i="303" s="1"/>
  <c r="Y22" i="303"/>
  <c r="Y24" i="303"/>
  <c r="Y25" i="303" s="1"/>
  <c r="Y18" i="303"/>
  <c r="Y14" i="303"/>
  <c r="Y15" i="303" s="1"/>
  <c r="R25" i="596" l="1"/>
  <c r="R21" i="596"/>
  <c r="R17" i="596"/>
  <c r="R15" i="596"/>
  <c r="Y23" i="303"/>
  <c r="Y19" i="303"/>
  <c r="Y21" i="303"/>
  <c r="Y26" i="303" l="1"/>
  <c r="R26" i="596"/>
  <c r="Y28" i="303" l="1"/>
  <c r="Y29" i="303" s="1"/>
  <c r="R28" i="596"/>
  <c r="R29" i="596" s="1"/>
  <c r="Y30" i="303" l="1"/>
  <c r="AB42" i="303" s="1"/>
  <c r="C33" i="667" s="1"/>
  <c r="R30" i="596"/>
  <c r="X38" i="596" s="1"/>
  <c r="C30" i="712" s="1"/>
  <c r="U38" i="596" l="1"/>
  <c r="Y42" i="303"/>
  <c r="R38" i="596"/>
  <c r="R31" i="596"/>
  <c r="R32" i="596" s="1"/>
  <c r="Y31" i="303"/>
  <c r="Y32" i="303" s="1"/>
  <c r="R28" i="455"/>
  <c r="R24" i="455"/>
  <c r="R23" i="455"/>
  <c r="R21" i="455"/>
  <c r="R20" i="455"/>
  <c r="R18" i="455"/>
  <c r="R17" i="455"/>
  <c r="R15" i="455"/>
  <c r="R14" i="455"/>
  <c r="R70" i="593"/>
  <c r="R71" i="593" s="1"/>
  <c r="R68" i="593"/>
  <c r="R66" i="593"/>
  <c r="R64" i="593"/>
  <c r="R62" i="593"/>
  <c r="R60" i="593"/>
  <c r="R58" i="593"/>
  <c r="R57" i="593"/>
  <c r="R55" i="593"/>
  <c r="R54" i="593"/>
  <c r="R52" i="593"/>
  <c r="R53" i="593" s="1"/>
  <c r="R50" i="593"/>
  <c r="R49" i="593"/>
  <c r="R47" i="593"/>
  <c r="R46" i="593"/>
  <c r="R44" i="593"/>
  <c r="R43" i="593"/>
  <c r="R41" i="593"/>
  <c r="R40" i="593"/>
  <c r="R38" i="593"/>
  <c r="R37" i="593"/>
  <c r="R35" i="593"/>
  <c r="R34" i="593"/>
  <c r="R33" i="593"/>
  <c r="R31" i="593"/>
  <c r="R30" i="593"/>
  <c r="R29" i="593"/>
  <c r="R27" i="593"/>
  <c r="R26" i="593"/>
  <c r="R25" i="593"/>
  <c r="R23" i="593"/>
  <c r="R22" i="593"/>
  <c r="R21" i="593"/>
  <c r="R19" i="593"/>
  <c r="R18" i="593"/>
  <c r="R17" i="593"/>
  <c r="R14" i="593"/>
  <c r="R39" i="593" l="1"/>
  <c r="R51" i="593"/>
  <c r="R20" i="593"/>
  <c r="R42" i="593"/>
  <c r="R48" i="593"/>
  <c r="R32" i="593"/>
  <c r="R24" i="593"/>
  <c r="R25" i="455"/>
  <c r="R29" i="455"/>
  <c r="R22" i="455"/>
  <c r="R19" i="455"/>
  <c r="R16" i="455"/>
  <c r="R69" i="593"/>
  <c r="R67" i="593"/>
  <c r="R65" i="593"/>
  <c r="R63" i="593"/>
  <c r="R61" i="593"/>
  <c r="R56" i="593"/>
  <c r="R36" i="593"/>
  <c r="R59" i="593"/>
  <c r="R28" i="593"/>
  <c r="R45" i="593"/>
  <c r="Q21" i="808" l="1"/>
  <c r="Q20" i="808"/>
  <c r="Q18" i="808"/>
  <c r="Q16" i="808"/>
  <c r="Q14" i="808"/>
  <c r="O15" i="808"/>
  <c r="O23" i="805"/>
  <c r="O22" i="805"/>
  <c r="O20" i="805"/>
  <c r="O19" i="805"/>
  <c r="O17" i="805"/>
  <c r="O15" i="805"/>
  <c r="O14" i="805"/>
  <c r="U33" i="591"/>
  <c r="U31" i="591"/>
  <c r="U29" i="591"/>
  <c r="U27" i="591"/>
  <c r="U28" i="591" s="1"/>
  <c r="U25" i="591"/>
  <c r="U23" i="591"/>
  <c r="U21" i="591"/>
  <c r="U19" i="591"/>
  <c r="U18" i="591"/>
  <c r="U16" i="591"/>
  <c r="U15" i="591"/>
  <c r="U14" i="591"/>
  <c r="O22" i="808" l="1"/>
  <c r="P22" i="808" s="1"/>
  <c r="O18" i="805"/>
  <c r="O19" i="808"/>
  <c r="O17" i="808"/>
  <c r="O24" i="805"/>
  <c r="O16" i="805"/>
  <c r="O21" i="805"/>
  <c r="U20" i="591"/>
  <c r="U32" i="591"/>
  <c r="U30" i="591"/>
  <c r="U26" i="591"/>
  <c r="U24" i="591"/>
  <c r="U22" i="591"/>
  <c r="U34" i="591"/>
  <c r="U17" i="591"/>
  <c r="M23" i="860"/>
  <c r="M20" i="860"/>
  <c r="M18" i="860"/>
  <c r="O23" i="808" l="1"/>
  <c r="U35" i="591"/>
  <c r="O25" i="805"/>
  <c r="O27" i="805" s="1"/>
  <c r="O28" i="805" s="1"/>
  <c r="M21" i="860"/>
  <c r="T14" i="860"/>
  <c r="T34" i="860"/>
  <c r="T37" i="860"/>
  <c r="T30" i="860"/>
  <c r="M38" i="860"/>
  <c r="M37" i="860"/>
  <c r="M35" i="860"/>
  <c r="M34" i="860"/>
  <c r="M32" i="860"/>
  <c r="M31" i="860"/>
  <c r="M30" i="860"/>
  <c r="M28" i="860"/>
  <c r="M27" i="860"/>
  <c r="M26" i="860"/>
  <c r="M24" i="860"/>
  <c r="M22" i="860"/>
  <c r="M17" i="860"/>
  <c r="M19" i="860" s="1"/>
  <c r="M15" i="860"/>
  <c r="M14" i="860"/>
  <c r="U37" i="591" l="1"/>
  <c r="U38" i="591" s="1"/>
  <c r="O25" i="808"/>
  <c r="M16" i="860"/>
  <c r="O29" i="805"/>
  <c r="R36" i="805" s="1"/>
  <c r="M29" i="860"/>
  <c r="M25" i="860"/>
  <c r="M33" i="860"/>
  <c r="M39" i="860"/>
  <c r="M36" i="860"/>
  <c r="U39" i="591" l="1"/>
  <c r="X47" i="591" s="1"/>
  <c r="C31" i="765" s="1"/>
  <c r="O26" i="808"/>
  <c r="O27" i="808" s="1"/>
  <c r="O36" i="808" s="1"/>
  <c r="M40" i="860"/>
  <c r="M42" i="860" s="1"/>
  <c r="O36" i="805"/>
  <c r="O30" i="805"/>
  <c r="O31" i="805" s="1"/>
  <c r="U40" i="591" l="1"/>
  <c r="U41" i="591" s="1"/>
  <c r="U47" i="591"/>
  <c r="O28" i="808"/>
  <c r="M43" i="860"/>
  <c r="M44" i="860" s="1"/>
  <c r="P50" i="860" l="1"/>
  <c r="C29" i="859" s="1"/>
  <c r="P49" i="860"/>
  <c r="O29" i="808"/>
  <c r="M45" i="860"/>
  <c r="M46" i="860" s="1"/>
  <c r="M50" i="860"/>
  <c r="M49" i="860"/>
  <c r="M51" i="860" s="1"/>
  <c r="C28" i="859" l="1"/>
  <c r="C34" i="859" s="1"/>
  <c r="P52" i="860"/>
  <c r="V22" i="303"/>
  <c r="V20" i="303"/>
  <c r="V18" i="303"/>
  <c r="V16" i="303"/>
  <c r="R24" i="504"/>
  <c r="AD24" i="504" s="1"/>
  <c r="AE24" i="504" s="1"/>
  <c r="S24" i="504" l="1"/>
  <c r="N33" i="591"/>
  <c r="Q16" i="591"/>
  <c r="Z16" i="591" s="1"/>
  <c r="N26" i="455"/>
  <c r="Q33" i="591" l="1"/>
  <c r="Z33" i="591" s="1"/>
  <c r="Q26" i="455"/>
  <c r="R26" i="455" s="1"/>
  <c r="AC26" i="455" l="1"/>
  <c r="R27" i="455"/>
  <c r="O49" i="593"/>
  <c r="N18" i="571"/>
  <c r="N17" i="571"/>
  <c r="N15" i="571"/>
  <c r="N14" i="571"/>
  <c r="N22" i="570"/>
  <c r="W22" i="570" s="1"/>
  <c r="N19" i="570"/>
  <c r="W19" i="570" s="1"/>
  <c r="N16" i="570"/>
  <c r="W16" i="570" s="1"/>
  <c r="N15" i="569"/>
  <c r="N23" i="567"/>
  <c r="W23" i="567" s="1"/>
  <c r="N20" i="567"/>
  <c r="W20" i="567" s="1"/>
  <c r="N17" i="567"/>
  <c r="W17" i="567" s="1"/>
  <c r="N15" i="567"/>
  <c r="W15" i="567" s="1"/>
  <c r="N14" i="567"/>
  <c r="W14" i="567" s="1"/>
  <c r="T18" i="571" l="1"/>
  <c r="U18" i="571" s="1"/>
  <c r="T15" i="569"/>
  <c r="U15" i="569" s="1"/>
  <c r="T14" i="571"/>
  <c r="U14" i="571" s="1"/>
  <c r="T15" i="571"/>
  <c r="U15" i="571" s="1"/>
  <c r="T17" i="571"/>
  <c r="U17" i="571" s="1"/>
  <c r="R30" i="455"/>
  <c r="U42" i="858"/>
  <c r="U40" i="858"/>
  <c r="U39" i="858"/>
  <c r="U36" i="858"/>
  <c r="U35" i="858"/>
  <c r="U34" i="858"/>
  <c r="U32" i="858"/>
  <c r="U31" i="858"/>
  <c r="U30" i="858"/>
  <c r="U28" i="858"/>
  <c r="U27" i="858"/>
  <c r="U26" i="858"/>
  <c r="U24" i="858"/>
  <c r="U23" i="858"/>
  <c r="U22" i="858"/>
  <c r="U20" i="858"/>
  <c r="U19" i="858"/>
  <c r="U18" i="858"/>
  <c r="U16" i="858"/>
  <c r="U15" i="858"/>
  <c r="U14" i="858"/>
  <c r="R38" i="858"/>
  <c r="Z15" i="569" l="1"/>
  <c r="U16" i="569"/>
  <c r="W15" i="571"/>
  <c r="U19" i="571"/>
  <c r="U16" i="571"/>
  <c r="W17" i="571"/>
  <c r="W14" i="571"/>
  <c r="W18" i="571"/>
  <c r="L18" i="808"/>
  <c r="R18" i="808" s="1"/>
  <c r="R19" i="808" s="1"/>
  <c r="U20" i="571" l="1"/>
  <c r="R18" i="303"/>
  <c r="AD18" i="303" s="1"/>
  <c r="U22" i="571" l="1"/>
  <c r="N66" i="261"/>
  <c r="E19" i="737" s="1"/>
  <c r="O16" i="570"/>
  <c r="O22" i="570"/>
  <c r="O21" i="570"/>
  <c r="O19" i="570"/>
  <c r="O18" i="570"/>
  <c r="O15" i="570"/>
  <c r="O14" i="570"/>
  <c r="U23" i="571" l="1"/>
  <c r="Q66" i="261" s="1"/>
  <c r="E21" i="737" s="1"/>
  <c r="K18" i="569"/>
  <c r="Y27" i="551"/>
  <c r="Y28" i="551" s="1"/>
  <c r="U24" i="571" l="1"/>
  <c r="U32" i="571" s="1"/>
  <c r="C31" i="737" s="1"/>
  <c r="T18" i="569"/>
  <c r="U18" i="569" s="1"/>
  <c r="R66" i="261" l="1"/>
  <c r="U25" i="571"/>
  <c r="S66" i="261" s="1"/>
  <c r="E23" i="737" s="1"/>
  <c r="E22" i="737"/>
  <c r="G10" i="737"/>
  <c r="Z18" i="569"/>
  <c r="U19" i="569"/>
  <c r="U26" i="571"/>
  <c r="T66" i="261" s="1"/>
  <c r="E24" i="737" s="1"/>
  <c r="U20" i="569" l="1"/>
  <c r="U22" i="569" l="1"/>
  <c r="U23" i="569" s="1"/>
  <c r="J24" i="860"/>
  <c r="S24" i="860" s="1"/>
  <c r="J38" i="860"/>
  <c r="S38" i="860" s="1"/>
  <c r="J37" i="860"/>
  <c r="S37" i="860" s="1"/>
  <c r="J35" i="860"/>
  <c r="S35" i="860" s="1"/>
  <c r="J34" i="860"/>
  <c r="S34" i="860" s="1"/>
  <c r="J32" i="860"/>
  <c r="S32" i="860" s="1"/>
  <c r="J31" i="860"/>
  <c r="S31" i="860" s="1"/>
  <c r="J30" i="860"/>
  <c r="S30" i="860" s="1"/>
  <c r="J28" i="860"/>
  <c r="S28" i="860" s="1"/>
  <c r="J27" i="860"/>
  <c r="S27" i="860" s="1"/>
  <c r="J26" i="860"/>
  <c r="S26" i="860" s="1"/>
  <c r="J23" i="860"/>
  <c r="S23" i="860" s="1"/>
  <c r="J22" i="860"/>
  <c r="S22" i="860" s="1"/>
  <c r="J20" i="860"/>
  <c r="S20" i="860" s="1"/>
  <c r="J18" i="860"/>
  <c r="S18" i="860" s="1"/>
  <c r="J17" i="860"/>
  <c r="S17" i="860" s="1"/>
  <c r="J15" i="860"/>
  <c r="S15" i="860" s="1"/>
  <c r="J14" i="860"/>
  <c r="S14" i="860" s="1"/>
  <c r="S41" i="860"/>
  <c r="U24" i="569" l="1"/>
  <c r="X33" i="569" s="1"/>
  <c r="C31" i="735" s="1"/>
  <c r="J25" i="860"/>
  <c r="S25" i="860" s="1"/>
  <c r="G38" i="860"/>
  <c r="G37" i="860"/>
  <c r="G35" i="860"/>
  <c r="G34" i="860"/>
  <c r="G32" i="860"/>
  <c r="G31" i="860"/>
  <c r="G30" i="860"/>
  <c r="G28" i="860"/>
  <c r="G27" i="860"/>
  <c r="G26" i="860"/>
  <c r="G24" i="860"/>
  <c r="G23" i="860"/>
  <c r="G22" i="860"/>
  <c r="G20" i="860"/>
  <c r="Q20" i="860" s="1"/>
  <c r="G18" i="860"/>
  <c r="G17" i="860"/>
  <c r="G15" i="860"/>
  <c r="G14" i="860"/>
  <c r="N15" i="860" l="1"/>
  <c r="Q15" i="860"/>
  <c r="N24" i="860"/>
  <c r="Q24" i="860"/>
  <c r="N28" i="860"/>
  <c r="Q28" i="860"/>
  <c r="N31" i="860"/>
  <c r="T31" i="860" s="1"/>
  <c r="Q31" i="860"/>
  <c r="N38" i="860"/>
  <c r="Q38" i="860"/>
  <c r="N32" i="860"/>
  <c r="Q32" i="860"/>
  <c r="N35" i="860"/>
  <c r="Q35" i="860"/>
  <c r="N27" i="860"/>
  <c r="T27" i="860" s="1"/>
  <c r="Q27" i="860"/>
  <c r="N18" i="860"/>
  <c r="Q18" i="860"/>
  <c r="N23" i="860"/>
  <c r="T23" i="860" s="1"/>
  <c r="Q23" i="860"/>
  <c r="U33" i="569"/>
  <c r="U25" i="569"/>
  <c r="K38" i="860"/>
  <c r="T38" i="860" s="1"/>
  <c r="K24" i="860"/>
  <c r="G21" i="860"/>
  <c r="N20" i="860"/>
  <c r="K32" i="860"/>
  <c r="T32" i="860" s="1"/>
  <c r="K35" i="860"/>
  <c r="K28" i="860"/>
  <c r="J36" i="860"/>
  <c r="S36" i="860" s="1"/>
  <c r="K15" i="860"/>
  <c r="T15" i="860" s="1"/>
  <c r="J16" i="860"/>
  <c r="S16" i="860" s="1"/>
  <c r="K18" i="860"/>
  <c r="T18" i="860" s="1"/>
  <c r="J33" i="860"/>
  <c r="S33" i="860" s="1"/>
  <c r="G16" i="860"/>
  <c r="J19" i="860"/>
  <c r="S19" i="860" s="1"/>
  <c r="J29" i="860"/>
  <c r="S29" i="860" s="1"/>
  <c r="J39" i="860"/>
  <c r="S39" i="860" s="1"/>
  <c r="K20" i="860"/>
  <c r="G36" i="860"/>
  <c r="G39" i="860"/>
  <c r="G19" i="860"/>
  <c r="G33" i="860"/>
  <c r="G29" i="860"/>
  <c r="G25" i="860"/>
  <c r="T28" i="860" l="1"/>
  <c r="T35" i="860"/>
  <c r="N29" i="860"/>
  <c r="Q29" i="860"/>
  <c r="N25" i="860"/>
  <c r="Q25" i="860"/>
  <c r="N16" i="860"/>
  <c r="Q16" i="860"/>
  <c r="N19" i="860"/>
  <c r="Q19" i="860"/>
  <c r="N39" i="860"/>
  <c r="Q39" i="860"/>
  <c r="N21" i="860"/>
  <c r="Q21" i="860"/>
  <c r="N33" i="860"/>
  <c r="Q33" i="860"/>
  <c r="N36" i="860"/>
  <c r="Q36" i="860"/>
  <c r="T24" i="860"/>
  <c r="U26" i="569"/>
  <c r="T20" i="860"/>
  <c r="K39" i="860"/>
  <c r="K25" i="860"/>
  <c r="T25" i="860"/>
  <c r="K33" i="860"/>
  <c r="K16" i="860"/>
  <c r="T29" i="860"/>
  <c r="J21" i="860"/>
  <c r="K19" i="860"/>
  <c r="K36" i="860"/>
  <c r="T36" i="860"/>
  <c r="K29" i="860"/>
  <c r="T39" i="860"/>
  <c r="T33" i="860"/>
  <c r="T19" i="860"/>
  <c r="G40" i="860"/>
  <c r="T16" i="860"/>
  <c r="G42" i="860" l="1"/>
  <c r="K39" i="261" s="1"/>
  <c r="H39" i="261"/>
  <c r="G9" i="859" s="1"/>
  <c r="Q44" i="860"/>
  <c r="N44" i="860"/>
  <c r="K21" i="860"/>
  <c r="S21" i="860"/>
  <c r="T21" i="860" s="1"/>
  <c r="J40" i="860"/>
  <c r="G45" i="860" l="1"/>
  <c r="L39" i="261" s="1"/>
  <c r="S40" i="860"/>
  <c r="S42" i="860" s="1"/>
  <c r="Q50" i="860"/>
  <c r="E29" i="859" s="1"/>
  <c r="Q49" i="860"/>
  <c r="O39" i="261"/>
  <c r="Q51" i="860"/>
  <c r="E30" i="859" s="1"/>
  <c r="J42" i="860"/>
  <c r="S43" i="860"/>
  <c r="S44" i="860" s="1"/>
  <c r="T44" i="860" s="1"/>
  <c r="G46" i="860" l="1"/>
  <c r="M39" i="261" s="1"/>
  <c r="E28" i="859"/>
  <c r="E34" i="859" s="1"/>
  <c r="Q52" i="860"/>
  <c r="J43" i="860"/>
  <c r="J44" i="860" s="1"/>
  <c r="N50" i="860"/>
  <c r="N49" i="860"/>
  <c r="S45" i="860"/>
  <c r="S46" i="860" s="1"/>
  <c r="K30" i="593"/>
  <c r="K26" i="593"/>
  <c r="Z26" i="593" s="1"/>
  <c r="K22" i="593"/>
  <c r="K18" i="593"/>
  <c r="K15" i="593"/>
  <c r="T15" i="593" l="1"/>
  <c r="U15" i="593" s="1"/>
  <c r="J49" i="860"/>
  <c r="J51" i="860" s="1"/>
  <c r="K44" i="860"/>
  <c r="J45" i="860"/>
  <c r="J46" i="860" s="1"/>
  <c r="R15" i="593"/>
  <c r="N51" i="860"/>
  <c r="A39" i="857"/>
  <c r="B31" i="857"/>
  <c r="B30" i="857"/>
  <c r="B29" i="857"/>
  <c r="B28" i="857"/>
  <c r="G7" i="857"/>
  <c r="B10" i="857"/>
  <c r="S38" i="858"/>
  <c r="S42" i="858"/>
  <c r="S43" i="858" s="1"/>
  <c r="S40" i="858"/>
  <c r="S39" i="858"/>
  <c r="S36" i="858"/>
  <c r="S35" i="858"/>
  <c r="S34" i="858"/>
  <c r="S32" i="858"/>
  <c r="S31" i="858"/>
  <c r="S30" i="858"/>
  <c r="S28" i="858"/>
  <c r="S27" i="858"/>
  <c r="S26" i="858"/>
  <c r="S24" i="858"/>
  <c r="S23" i="858"/>
  <c r="S22" i="858"/>
  <c r="S20" i="858"/>
  <c r="S19" i="858"/>
  <c r="S18" i="858"/>
  <c r="S16" i="858"/>
  <c r="S15" i="858"/>
  <c r="S14" i="858"/>
  <c r="P42" i="858"/>
  <c r="P43" i="858" s="1"/>
  <c r="M42" i="858"/>
  <c r="M43" i="858" s="1"/>
  <c r="J42" i="858"/>
  <c r="G42" i="858"/>
  <c r="P40" i="858"/>
  <c r="M40" i="858"/>
  <c r="J40" i="858"/>
  <c r="G40" i="858"/>
  <c r="P39" i="858"/>
  <c r="M39" i="858"/>
  <c r="J39" i="858"/>
  <c r="G39" i="858"/>
  <c r="O38" i="858"/>
  <c r="U38" i="858" s="1"/>
  <c r="M38" i="858"/>
  <c r="J38" i="858"/>
  <c r="G38" i="858"/>
  <c r="P36" i="858"/>
  <c r="M36" i="858"/>
  <c r="J36" i="858"/>
  <c r="G36" i="858"/>
  <c r="P35" i="858"/>
  <c r="M35" i="858"/>
  <c r="J35" i="858"/>
  <c r="G35" i="858"/>
  <c r="P34" i="858"/>
  <c r="M34" i="858"/>
  <c r="J34" i="858"/>
  <c r="G34" i="858"/>
  <c r="P32" i="858"/>
  <c r="M32" i="858"/>
  <c r="J32" i="858"/>
  <c r="G32" i="858"/>
  <c r="P31" i="858"/>
  <c r="M31" i="858"/>
  <c r="J31" i="858"/>
  <c r="G31" i="858"/>
  <c r="P30" i="858"/>
  <c r="M30" i="858"/>
  <c r="J30" i="858"/>
  <c r="G30" i="858"/>
  <c r="P28" i="858"/>
  <c r="M28" i="858"/>
  <c r="J28" i="858"/>
  <c r="G28" i="858"/>
  <c r="P27" i="858"/>
  <c r="M27" i="858"/>
  <c r="J27" i="858"/>
  <c r="G27" i="858"/>
  <c r="P26" i="858"/>
  <c r="M26" i="858"/>
  <c r="J26" i="858"/>
  <c r="G26" i="858"/>
  <c r="P24" i="858"/>
  <c r="M24" i="858"/>
  <c r="J24" i="858"/>
  <c r="G24" i="858"/>
  <c r="P23" i="858"/>
  <c r="M23" i="858"/>
  <c r="J23" i="858"/>
  <c r="G23" i="858"/>
  <c r="P22" i="858"/>
  <c r="M22" i="858"/>
  <c r="J22" i="858"/>
  <c r="G22" i="858"/>
  <c r="P20" i="858"/>
  <c r="M20" i="858"/>
  <c r="J20" i="858"/>
  <c r="G20" i="858"/>
  <c r="P19" i="858"/>
  <c r="M19" i="858"/>
  <c r="J19" i="858"/>
  <c r="G19" i="858"/>
  <c r="P18" i="858"/>
  <c r="M18" i="858"/>
  <c r="J18" i="858"/>
  <c r="G18" i="858"/>
  <c r="P16" i="858"/>
  <c r="M16" i="858"/>
  <c r="J16" i="858"/>
  <c r="G16" i="858"/>
  <c r="P15" i="858"/>
  <c r="M15" i="858"/>
  <c r="J15" i="858"/>
  <c r="G15" i="858"/>
  <c r="P14" i="858"/>
  <c r="M14" i="858"/>
  <c r="J14" i="858"/>
  <c r="G14" i="858"/>
  <c r="M21" i="858" l="1"/>
  <c r="M29" i="858"/>
  <c r="M37" i="858"/>
  <c r="P21" i="858"/>
  <c r="Z15" i="593"/>
  <c r="M17" i="858"/>
  <c r="M25" i="858"/>
  <c r="M33" i="858"/>
  <c r="G29" i="858"/>
  <c r="U16" i="593"/>
  <c r="G17" i="858"/>
  <c r="G21" i="858"/>
  <c r="Q21" i="858" s="1"/>
  <c r="G25" i="858"/>
  <c r="G37" i="858"/>
  <c r="N37" i="858" s="1"/>
  <c r="P25" i="858"/>
  <c r="P29" i="858"/>
  <c r="Q19" i="858"/>
  <c r="Q20" i="858"/>
  <c r="Q27" i="858"/>
  <c r="Q28" i="858"/>
  <c r="Q35" i="858"/>
  <c r="P33" i="858"/>
  <c r="P37" i="858"/>
  <c r="T20" i="858"/>
  <c r="T19" i="858"/>
  <c r="N27" i="858"/>
  <c r="N28" i="858"/>
  <c r="N36" i="858"/>
  <c r="N39" i="858"/>
  <c r="N40" i="858"/>
  <c r="K49" i="860"/>
  <c r="K51" i="860" s="1"/>
  <c r="T36" i="858"/>
  <c r="Q36" i="858"/>
  <c r="T27" i="858"/>
  <c r="Q16" i="858"/>
  <c r="N24" i="858"/>
  <c r="Q32" i="858"/>
  <c r="T28" i="858"/>
  <c r="V14" i="858"/>
  <c r="V15" i="858"/>
  <c r="V16" i="858"/>
  <c r="W16" i="858" s="1"/>
  <c r="V31" i="858"/>
  <c r="W31" i="858" s="1"/>
  <c r="V32" i="858"/>
  <c r="W32" i="858" s="1"/>
  <c r="T30" i="858"/>
  <c r="R16" i="593"/>
  <c r="N38" i="858"/>
  <c r="P38" i="858"/>
  <c r="P41" i="858" s="1"/>
  <c r="Q39" i="858"/>
  <c r="Q40" i="858"/>
  <c r="S21" i="858"/>
  <c r="T24" i="858"/>
  <c r="T16" i="858"/>
  <c r="J21" i="858"/>
  <c r="V21" i="858" s="1"/>
  <c r="V18" i="858"/>
  <c r="W18" i="858" s="1"/>
  <c r="V19" i="858"/>
  <c r="W19" i="858" s="1"/>
  <c r="K20" i="858"/>
  <c r="V20" i="858"/>
  <c r="W20" i="858" s="1"/>
  <c r="J25" i="858"/>
  <c r="V22" i="858"/>
  <c r="V23" i="858"/>
  <c r="V24" i="858"/>
  <c r="W24" i="858" s="1"/>
  <c r="G33" i="858"/>
  <c r="J37" i="858"/>
  <c r="V34" i="858"/>
  <c r="W34" i="858" s="1"/>
  <c r="V35" i="858"/>
  <c r="W35" i="858" s="1"/>
  <c r="K36" i="858"/>
  <c r="V36" i="858"/>
  <c r="W36" i="858" s="1"/>
  <c r="J41" i="858"/>
  <c r="N42" i="858"/>
  <c r="T18" i="858"/>
  <c r="S29" i="858"/>
  <c r="T31" i="858"/>
  <c r="T34" i="858"/>
  <c r="T39" i="858"/>
  <c r="T32" i="858"/>
  <c r="N19" i="858"/>
  <c r="N20" i="858"/>
  <c r="V26" i="858"/>
  <c r="W26" i="858" s="1"/>
  <c r="K27" i="858"/>
  <c r="V27" i="858"/>
  <c r="W27" i="858" s="1"/>
  <c r="V28" i="858"/>
  <c r="W28" i="858" s="1"/>
  <c r="J33" i="858"/>
  <c r="V30" i="858"/>
  <c r="W30" i="858" s="1"/>
  <c r="N31" i="858"/>
  <c r="N35" i="858"/>
  <c r="M41" i="858"/>
  <c r="V39" i="858"/>
  <c r="W39" i="858" s="1"/>
  <c r="K40" i="858"/>
  <c r="V40" i="858"/>
  <c r="W40" i="858" s="1"/>
  <c r="V42" i="858"/>
  <c r="W42" i="858" s="1"/>
  <c r="T26" i="858"/>
  <c r="T35" i="858"/>
  <c r="T40" i="858"/>
  <c r="S41" i="858"/>
  <c r="S37" i="858"/>
  <c r="S33" i="858"/>
  <c r="S25" i="858"/>
  <c r="S17" i="858"/>
  <c r="T38" i="858"/>
  <c r="T42" i="858"/>
  <c r="J17" i="858"/>
  <c r="P17" i="858"/>
  <c r="N18" i="858"/>
  <c r="K19" i="858"/>
  <c r="K26" i="858"/>
  <c r="Q26" i="858"/>
  <c r="K28" i="858"/>
  <c r="N34" i="858"/>
  <c r="K35" i="858"/>
  <c r="K39" i="858"/>
  <c r="N16" i="858"/>
  <c r="K24" i="858"/>
  <c r="Q24" i="858"/>
  <c r="J29" i="858"/>
  <c r="N30" i="858"/>
  <c r="K31" i="858"/>
  <c r="Q31" i="858"/>
  <c r="N32" i="858"/>
  <c r="K38" i="858"/>
  <c r="K42" i="858"/>
  <c r="Q42" i="858"/>
  <c r="G43" i="858"/>
  <c r="N43" i="858" s="1"/>
  <c r="K18" i="858"/>
  <c r="Q18" i="858"/>
  <c r="N26" i="858"/>
  <c r="K34" i="858"/>
  <c r="Q34" i="858"/>
  <c r="G41" i="858"/>
  <c r="J43" i="858"/>
  <c r="K16" i="858"/>
  <c r="K30" i="858"/>
  <c r="Q30" i="858"/>
  <c r="K32" i="858"/>
  <c r="K25" i="858" l="1"/>
  <c r="N17" i="858"/>
  <c r="N29" i="858"/>
  <c r="Q17" i="858"/>
  <c r="T29" i="858"/>
  <c r="Q29" i="858"/>
  <c r="T17" i="858"/>
  <c r="N25" i="858"/>
  <c r="N21" i="858"/>
  <c r="T25" i="858"/>
  <c r="V33" i="858"/>
  <c r="W33" i="858" s="1"/>
  <c r="T21" i="858"/>
  <c r="W21" i="858"/>
  <c r="T37" i="858"/>
  <c r="R72" i="593"/>
  <c r="R74" i="593" s="1"/>
  <c r="R75" i="593" s="1"/>
  <c r="Q37" i="858"/>
  <c r="Q25" i="858"/>
  <c r="Q33" i="858"/>
  <c r="K21" i="858"/>
  <c r="V37" i="858"/>
  <c r="W37" i="858" s="1"/>
  <c r="K37" i="858"/>
  <c r="V41" i="858"/>
  <c r="W41" i="858" s="1"/>
  <c r="V38" i="858"/>
  <c r="W38" i="858" s="1"/>
  <c r="N41" i="858"/>
  <c r="Q38" i="858"/>
  <c r="V25" i="858"/>
  <c r="W25" i="858" s="1"/>
  <c r="T33" i="858"/>
  <c r="M44" i="858"/>
  <c r="S55" i="858" s="1"/>
  <c r="C29" i="857" s="1"/>
  <c r="K33" i="858"/>
  <c r="T41" i="858"/>
  <c r="T43" i="858"/>
  <c r="N33" i="858"/>
  <c r="S44" i="858"/>
  <c r="V29" i="858"/>
  <c r="W29" i="858" s="1"/>
  <c r="K29" i="858"/>
  <c r="G44" i="858"/>
  <c r="G46" i="858" s="1"/>
  <c r="K43" i="858"/>
  <c r="V43" i="858"/>
  <c r="W43" i="858" s="1"/>
  <c r="Q41" i="858"/>
  <c r="Q43" i="858"/>
  <c r="K41" i="858"/>
  <c r="V17" i="858"/>
  <c r="W17" i="858" s="1"/>
  <c r="K17" i="858"/>
  <c r="P44" i="858"/>
  <c r="S56" i="858" s="1"/>
  <c r="C30" i="857" s="1"/>
  <c r="J44" i="858"/>
  <c r="S54" i="858" s="1"/>
  <c r="R76" i="593" l="1"/>
  <c r="U85" i="593" s="1"/>
  <c r="M55" i="858"/>
  <c r="M46" i="858"/>
  <c r="M49" i="858" s="1"/>
  <c r="M50" i="858" s="1"/>
  <c r="P55" i="858"/>
  <c r="C28" i="857"/>
  <c r="S46" i="858"/>
  <c r="V44" i="858"/>
  <c r="V46" i="858" s="1"/>
  <c r="N44" i="858"/>
  <c r="P46" i="858"/>
  <c r="P48" i="858" s="1"/>
  <c r="P56" i="858"/>
  <c r="Q44" i="858"/>
  <c r="T56" i="858" s="1"/>
  <c r="E30" i="857" s="1"/>
  <c r="G49" i="858"/>
  <c r="P54" i="858"/>
  <c r="J54" i="858"/>
  <c r="J58" i="858" s="1"/>
  <c r="M54" i="858"/>
  <c r="M58" i="858" s="1"/>
  <c r="J46" i="858"/>
  <c r="K44" i="858"/>
  <c r="T54" i="858" s="1"/>
  <c r="E28" i="857" s="1"/>
  <c r="R77" i="593" l="1"/>
  <c r="R85" i="593"/>
  <c r="P58" i="858"/>
  <c r="N55" i="858"/>
  <c r="T55" i="858"/>
  <c r="E29" i="857" s="1"/>
  <c r="G50" i="858"/>
  <c r="P49" i="858"/>
  <c r="P50" i="858" s="1"/>
  <c r="S47" i="858"/>
  <c r="Q56" i="858"/>
  <c r="Q55" i="858"/>
  <c r="Q54" i="858"/>
  <c r="K54" i="858"/>
  <c r="K58" i="858" s="1"/>
  <c r="N54" i="858"/>
  <c r="J49" i="858"/>
  <c r="J50" i="858" s="1"/>
  <c r="N58" i="858" l="1"/>
  <c r="R78" i="593"/>
  <c r="Q58" i="858"/>
  <c r="V47" i="858"/>
  <c r="V48" i="858" s="1"/>
  <c r="S48" i="858"/>
  <c r="U103" i="261"/>
  <c r="G8" i="852" s="1"/>
  <c r="I103" i="261"/>
  <c r="G103" i="261"/>
  <c r="F103" i="261"/>
  <c r="I99" i="261"/>
  <c r="G99" i="261"/>
  <c r="F99" i="261"/>
  <c r="G98" i="261"/>
  <c r="F98" i="261"/>
  <c r="G97" i="261"/>
  <c r="C97" i="261"/>
  <c r="B8" i="843" s="1"/>
  <c r="B97" i="261"/>
  <c r="B7" i="843" s="1"/>
  <c r="F97" i="261"/>
  <c r="U95" i="261"/>
  <c r="G8" i="836" s="1"/>
  <c r="I95" i="261"/>
  <c r="G95" i="261"/>
  <c r="C95" i="261"/>
  <c r="B8" i="836" s="1"/>
  <c r="B95" i="261"/>
  <c r="B7" i="836" s="1"/>
  <c r="F95" i="261"/>
  <c r="U94" i="261"/>
  <c r="G8" i="835" s="1"/>
  <c r="I94" i="261"/>
  <c r="G94" i="261"/>
  <c r="C94" i="261"/>
  <c r="B8" i="835" s="1"/>
  <c r="B94" i="261"/>
  <c r="B7" i="835" s="1"/>
  <c r="F94" i="261"/>
  <c r="H14" i="816"/>
  <c r="L14" i="816"/>
  <c r="R14" i="816" s="1"/>
  <c r="R15" i="816" s="1"/>
  <c r="H14" i="813"/>
  <c r="M14" i="813" s="1"/>
  <c r="H15" i="813"/>
  <c r="M15" i="813" s="1"/>
  <c r="H16" i="813"/>
  <c r="M16" i="813" s="1"/>
  <c r="H18" i="813"/>
  <c r="M18" i="813" s="1"/>
  <c r="H19" i="813"/>
  <c r="M19" i="813" s="1"/>
  <c r="H20" i="813"/>
  <c r="M20" i="813" s="1"/>
  <c r="H22" i="813"/>
  <c r="M22" i="813" s="1"/>
  <c r="H23" i="813"/>
  <c r="M23" i="813" s="1"/>
  <c r="H25" i="813"/>
  <c r="H26" i="813"/>
  <c r="M26" i="813" s="1"/>
  <c r="H27" i="813"/>
  <c r="H29" i="813"/>
  <c r="H31" i="813"/>
  <c r="M31" i="813" s="1"/>
  <c r="H33" i="813"/>
  <c r="L34" i="813"/>
  <c r="R34" i="813" s="1"/>
  <c r="H35" i="813"/>
  <c r="M35" i="813" s="1"/>
  <c r="H37" i="813"/>
  <c r="H39" i="813"/>
  <c r="M39" i="813" s="1"/>
  <c r="H41" i="813"/>
  <c r="L42" i="813"/>
  <c r="R42" i="813" s="1"/>
  <c r="H14" i="812"/>
  <c r="L14" i="812"/>
  <c r="U14" i="812" s="1"/>
  <c r="H15" i="812"/>
  <c r="L15" i="812"/>
  <c r="U15" i="812" s="1"/>
  <c r="H16" i="812"/>
  <c r="L16" i="812"/>
  <c r="U16" i="812" s="1"/>
  <c r="H18" i="812"/>
  <c r="L18" i="812"/>
  <c r="U18" i="812" s="1"/>
  <c r="H19" i="812"/>
  <c r="L19" i="812"/>
  <c r="U19" i="812" s="1"/>
  <c r="H21" i="812"/>
  <c r="L21" i="812"/>
  <c r="U21" i="812" s="1"/>
  <c r="H22" i="812"/>
  <c r="L22" i="812"/>
  <c r="U22" i="812" s="1"/>
  <c r="H24" i="812"/>
  <c r="L24" i="812"/>
  <c r="U24" i="812" s="1"/>
  <c r="H25" i="812"/>
  <c r="L25" i="812"/>
  <c r="U25" i="812" s="1"/>
  <c r="H27" i="812"/>
  <c r="H28" i="812" s="1"/>
  <c r="L27" i="812"/>
  <c r="U27" i="812" s="1"/>
  <c r="H29" i="812"/>
  <c r="H30" i="812" s="1"/>
  <c r="L29" i="812"/>
  <c r="U29" i="812" s="1"/>
  <c r="H31" i="812"/>
  <c r="L31" i="812"/>
  <c r="U31" i="812" s="1"/>
  <c r="H32" i="812"/>
  <c r="L32" i="812"/>
  <c r="U32" i="812" s="1"/>
  <c r="H33" i="812"/>
  <c r="L33" i="812"/>
  <c r="U33" i="812" s="1"/>
  <c r="H35" i="812"/>
  <c r="L35" i="812"/>
  <c r="U35" i="812" s="1"/>
  <c r="H36" i="812"/>
  <c r="L36" i="812"/>
  <c r="U36" i="812" s="1"/>
  <c r="H14" i="811"/>
  <c r="L14" i="811"/>
  <c r="R14" i="811" s="1"/>
  <c r="H15" i="811"/>
  <c r="L15" i="811"/>
  <c r="R15" i="811" s="1"/>
  <c r="H16" i="811"/>
  <c r="L16" i="811"/>
  <c r="R16" i="811" s="1"/>
  <c r="H18" i="811"/>
  <c r="L18" i="811"/>
  <c r="R18" i="811" s="1"/>
  <c r="H19" i="811"/>
  <c r="L19" i="811"/>
  <c r="R19" i="811" s="1"/>
  <c r="H21" i="811"/>
  <c r="L21" i="811"/>
  <c r="R21" i="811" s="1"/>
  <c r="H22" i="811"/>
  <c r="L22" i="811"/>
  <c r="R22" i="811" s="1"/>
  <c r="H24" i="811"/>
  <c r="L24" i="811"/>
  <c r="R24" i="811" s="1"/>
  <c r="H25" i="811"/>
  <c r="L25" i="811"/>
  <c r="R25" i="811" s="1"/>
  <c r="H27" i="811"/>
  <c r="H28" i="811" s="1"/>
  <c r="L27" i="811"/>
  <c r="R27" i="811" s="1"/>
  <c r="H29" i="811"/>
  <c r="H30" i="811" s="1"/>
  <c r="L29" i="811"/>
  <c r="R29" i="811" s="1"/>
  <c r="H31" i="811"/>
  <c r="L31" i="811"/>
  <c r="R31" i="811" s="1"/>
  <c r="H32" i="811"/>
  <c r="L32" i="811"/>
  <c r="R32" i="811" s="1"/>
  <c r="H33" i="811"/>
  <c r="L33" i="811"/>
  <c r="R33" i="811" s="1"/>
  <c r="H35" i="811"/>
  <c r="L35" i="811"/>
  <c r="R35" i="811" s="1"/>
  <c r="H36" i="811"/>
  <c r="L36" i="811"/>
  <c r="R36" i="811" s="1"/>
  <c r="H14" i="810"/>
  <c r="L14" i="810"/>
  <c r="R14" i="810" s="1"/>
  <c r="H15" i="810"/>
  <c r="L15" i="810"/>
  <c r="R15" i="810" s="1"/>
  <c r="H17" i="810"/>
  <c r="L17" i="810"/>
  <c r="R17" i="810" s="1"/>
  <c r="H18" i="810"/>
  <c r="L18" i="810"/>
  <c r="R18" i="810" s="1"/>
  <c r="H20" i="810"/>
  <c r="L20" i="810"/>
  <c r="R20" i="810" s="1"/>
  <c r="H21" i="810"/>
  <c r="L21" i="810"/>
  <c r="R21" i="810" s="1"/>
  <c r="H22" i="810"/>
  <c r="L22" i="810"/>
  <c r="R22" i="810" s="1"/>
  <c r="H24" i="810"/>
  <c r="L24" i="810"/>
  <c r="R24" i="810" s="1"/>
  <c r="H25" i="810"/>
  <c r="L25" i="810"/>
  <c r="R25" i="810" s="1"/>
  <c r="H27" i="810"/>
  <c r="L27" i="810"/>
  <c r="R27" i="810" s="1"/>
  <c r="H29" i="810"/>
  <c r="L29" i="810"/>
  <c r="R29" i="810" s="1"/>
  <c r="H31" i="810"/>
  <c r="L31" i="810"/>
  <c r="R31" i="810" s="1"/>
  <c r="H32" i="810"/>
  <c r="L32" i="810"/>
  <c r="R32" i="810" s="1"/>
  <c r="H33" i="810"/>
  <c r="L33" i="810"/>
  <c r="R33" i="810" s="1"/>
  <c r="H35" i="810"/>
  <c r="L35" i="810"/>
  <c r="R35" i="810" s="1"/>
  <c r="H36" i="810"/>
  <c r="L36" i="810"/>
  <c r="R36" i="810" s="1"/>
  <c r="H14" i="809"/>
  <c r="H15" i="809"/>
  <c r="H16" i="809"/>
  <c r="H18" i="809"/>
  <c r="H19" i="809"/>
  <c r="H21" i="809"/>
  <c r="H22" i="809"/>
  <c r="P22" i="809" s="1"/>
  <c r="H24" i="809"/>
  <c r="M24" i="809" s="1"/>
  <c r="H25" i="809"/>
  <c r="L25" i="809" s="1"/>
  <c r="U25" i="809" s="1"/>
  <c r="H27" i="809"/>
  <c r="H29" i="809"/>
  <c r="H31" i="809"/>
  <c r="H32" i="809"/>
  <c r="H33" i="809"/>
  <c r="H35" i="809"/>
  <c r="H36" i="809"/>
  <c r="H14" i="808"/>
  <c r="L14" i="808"/>
  <c r="R14" i="808" s="1"/>
  <c r="R15" i="808" s="1"/>
  <c r="H16" i="808"/>
  <c r="L16" i="808"/>
  <c r="R16" i="808" s="1"/>
  <c r="R17" i="808" s="1"/>
  <c r="H18" i="808"/>
  <c r="H20" i="808"/>
  <c r="L20" i="808"/>
  <c r="R20" i="808" s="1"/>
  <c r="H21" i="808"/>
  <c r="L21" i="808"/>
  <c r="R21" i="808" s="1"/>
  <c r="H14" i="805"/>
  <c r="L14" i="805"/>
  <c r="U14" i="805" s="1"/>
  <c r="H15" i="805"/>
  <c r="P15" i="805" s="1"/>
  <c r="L15" i="805"/>
  <c r="H17" i="805"/>
  <c r="L17" i="805"/>
  <c r="U17" i="805" s="1"/>
  <c r="H19" i="805"/>
  <c r="L19" i="805"/>
  <c r="U19" i="805" s="1"/>
  <c r="H20" i="805"/>
  <c r="P20" i="805" s="1"/>
  <c r="L20" i="805"/>
  <c r="H22" i="805"/>
  <c r="L22" i="805"/>
  <c r="U22" i="805" s="1"/>
  <c r="H23" i="805"/>
  <c r="P23" i="805" s="1"/>
  <c r="L23" i="805"/>
  <c r="H14" i="804"/>
  <c r="N14" i="804"/>
  <c r="H15" i="804"/>
  <c r="N15" i="804"/>
  <c r="H17" i="804"/>
  <c r="O17" i="804"/>
  <c r="N17" i="804"/>
  <c r="H18" i="804"/>
  <c r="N18" i="804"/>
  <c r="H20" i="804"/>
  <c r="N20" i="804"/>
  <c r="H21" i="804"/>
  <c r="N21" i="804"/>
  <c r="H14" i="803"/>
  <c r="L14" i="803"/>
  <c r="H15" i="803"/>
  <c r="L15" i="803"/>
  <c r="H17" i="803"/>
  <c r="L17" i="803"/>
  <c r="H18" i="803"/>
  <c r="L18" i="803"/>
  <c r="H20" i="803"/>
  <c r="L20" i="803"/>
  <c r="G14" i="798"/>
  <c r="G15" i="798" s="1"/>
  <c r="J14" i="798"/>
  <c r="L14" i="798"/>
  <c r="G16" i="798"/>
  <c r="G17" i="798" s="1"/>
  <c r="J16" i="798"/>
  <c r="L16" i="798"/>
  <c r="G18" i="798"/>
  <c r="G19" i="798" s="1"/>
  <c r="J18" i="798"/>
  <c r="M18" i="798" s="1"/>
  <c r="L18" i="798"/>
  <c r="L14" i="797"/>
  <c r="L15" i="797"/>
  <c r="R15" i="797" s="1"/>
  <c r="Q15" i="797"/>
  <c r="L16" i="797"/>
  <c r="R16" i="797" s="1"/>
  <c r="Q16" i="797"/>
  <c r="L18" i="797"/>
  <c r="L19" i="797"/>
  <c r="Q19" i="797"/>
  <c r="L20" i="797"/>
  <c r="Q20" i="797"/>
  <c r="H14" i="796"/>
  <c r="H16" i="796"/>
  <c r="H18" i="796"/>
  <c r="H20" i="796"/>
  <c r="H22" i="796"/>
  <c r="H24" i="796"/>
  <c r="H26" i="796"/>
  <c r="H14" i="793"/>
  <c r="H15" i="793" s="1"/>
  <c r="H16" i="793" s="1"/>
  <c r="H93" i="261" s="1"/>
  <c r="G9" i="832" s="1"/>
  <c r="O14" i="793"/>
  <c r="N14" i="793"/>
  <c r="H17" i="793"/>
  <c r="I93" i="261" s="1"/>
  <c r="L17" i="793"/>
  <c r="P93" i="261" s="1"/>
  <c r="E20" i="832" s="1"/>
  <c r="O17" i="793"/>
  <c r="H14" i="791"/>
  <c r="L14" i="791"/>
  <c r="U14" i="791" s="1"/>
  <c r="H15" i="791"/>
  <c r="P15" i="791" s="1"/>
  <c r="L15" i="791"/>
  <c r="U15" i="791" s="1"/>
  <c r="H17" i="791"/>
  <c r="L17" i="791"/>
  <c r="U17" i="791" s="1"/>
  <c r="H18" i="791"/>
  <c r="P18" i="791" s="1"/>
  <c r="L18" i="791"/>
  <c r="U18" i="791" s="1"/>
  <c r="H20" i="791"/>
  <c r="L20" i="791"/>
  <c r="U20" i="791" s="1"/>
  <c r="H21" i="791"/>
  <c r="L21" i="791"/>
  <c r="U21" i="791" s="1"/>
  <c r="H22" i="791"/>
  <c r="P22" i="791" s="1"/>
  <c r="L22" i="791"/>
  <c r="U22" i="791" s="1"/>
  <c r="H24" i="791"/>
  <c r="P24" i="791" s="1"/>
  <c r="L24" i="791"/>
  <c r="U24" i="791" s="1"/>
  <c r="H25" i="791"/>
  <c r="L25" i="791"/>
  <c r="U25" i="791" s="1"/>
  <c r="H27" i="791"/>
  <c r="P27" i="791" s="1"/>
  <c r="L27" i="791"/>
  <c r="U27" i="791" s="1"/>
  <c r="H29" i="791"/>
  <c r="L29" i="791"/>
  <c r="U29" i="791" s="1"/>
  <c r="H31" i="791"/>
  <c r="L31" i="791"/>
  <c r="U31" i="791" s="1"/>
  <c r="H32" i="791"/>
  <c r="L32" i="791"/>
  <c r="U32" i="791" s="1"/>
  <c r="H33" i="791"/>
  <c r="P33" i="791" s="1"/>
  <c r="L33" i="791"/>
  <c r="U33" i="791" s="1"/>
  <c r="H35" i="791"/>
  <c r="L35" i="791"/>
  <c r="U35" i="791" s="1"/>
  <c r="H36" i="791"/>
  <c r="P36" i="791" s="1"/>
  <c r="L36" i="791"/>
  <c r="U36" i="791" s="1"/>
  <c r="H14" i="786"/>
  <c r="L14" i="786"/>
  <c r="R14" i="786" s="1"/>
  <c r="H15" i="786"/>
  <c r="L15" i="786"/>
  <c r="R15" i="786" s="1"/>
  <c r="H16" i="786"/>
  <c r="L16" i="786"/>
  <c r="R16" i="786" s="1"/>
  <c r="H18" i="786"/>
  <c r="L18" i="786"/>
  <c r="R18" i="786" s="1"/>
  <c r="H20" i="786"/>
  <c r="L20" i="786"/>
  <c r="R20" i="786" s="1"/>
  <c r="H21" i="786"/>
  <c r="L21" i="786"/>
  <c r="R21" i="786" s="1"/>
  <c r="H23" i="786"/>
  <c r="L23" i="786"/>
  <c r="R23" i="786" s="1"/>
  <c r="H24" i="786"/>
  <c r="L24" i="786"/>
  <c r="R24" i="786" s="1"/>
  <c r="H25" i="786"/>
  <c r="L25" i="786"/>
  <c r="R25" i="786" s="1"/>
  <c r="H27" i="786"/>
  <c r="L27" i="786"/>
  <c r="R27" i="786" s="1"/>
  <c r="H28" i="786"/>
  <c r="L28" i="786"/>
  <c r="R28" i="786" s="1"/>
  <c r="H30" i="786"/>
  <c r="L30" i="786"/>
  <c r="R30" i="786" s="1"/>
  <c r="H31" i="786"/>
  <c r="L31" i="786"/>
  <c r="R31" i="786" s="1"/>
  <c r="H32" i="786"/>
  <c r="L32" i="786"/>
  <c r="R32" i="786" s="1"/>
  <c r="H34" i="786"/>
  <c r="L34" i="786"/>
  <c r="R34" i="786" s="1"/>
  <c r="H35" i="786"/>
  <c r="L35" i="786"/>
  <c r="R35" i="786" s="1"/>
  <c r="H14" i="777"/>
  <c r="L14" i="777"/>
  <c r="R14" i="777" s="1"/>
  <c r="H15" i="777"/>
  <c r="L15" i="777"/>
  <c r="R15" i="777" s="1"/>
  <c r="A12" i="836" l="1"/>
  <c r="B5" i="836"/>
  <c r="A12" i="844"/>
  <c r="B5" i="844"/>
  <c r="A12" i="852"/>
  <c r="B5" i="852"/>
  <c r="A12" i="835"/>
  <c r="B5" i="835"/>
  <c r="A12" i="848"/>
  <c r="B5" i="848"/>
  <c r="A12" i="843"/>
  <c r="B5" i="843"/>
  <c r="H25" i="796"/>
  <c r="M24" i="796"/>
  <c r="H21" i="796"/>
  <c r="M20" i="796"/>
  <c r="H15" i="796"/>
  <c r="M14" i="796"/>
  <c r="H42" i="813"/>
  <c r="M41" i="813"/>
  <c r="H38" i="813"/>
  <c r="M37" i="813"/>
  <c r="H34" i="813"/>
  <c r="M34" i="813" s="1"/>
  <c r="M33" i="813"/>
  <c r="H30" i="813"/>
  <c r="M29" i="813"/>
  <c r="H27" i="796"/>
  <c r="M26" i="796"/>
  <c r="H23" i="796"/>
  <c r="M22" i="796"/>
  <c r="H17" i="796"/>
  <c r="M16" i="796"/>
  <c r="H19" i="796"/>
  <c r="M18" i="796"/>
  <c r="P29" i="809"/>
  <c r="V29" i="809"/>
  <c r="S21" i="808"/>
  <c r="V22" i="805"/>
  <c r="V19" i="805"/>
  <c r="V17" i="805"/>
  <c r="V14" i="805"/>
  <c r="R18" i="797"/>
  <c r="S18" i="797" s="1"/>
  <c r="R14" i="797"/>
  <c r="S14" i="797" s="1"/>
  <c r="U15" i="805"/>
  <c r="V15" i="805" s="1"/>
  <c r="H28" i="809"/>
  <c r="M28" i="809" s="1"/>
  <c r="M27" i="809"/>
  <c r="H28" i="810"/>
  <c r="P28" i="810" s="1"/>
  <c r="S29" i="811"/>
  <c r="V29" i="812"/>
  <c r="V16" i="812"/>
  <c r="H30" i="791"/>
  <c r="P30" i="791" s="1"/>
  <c r="P29" i="791"/>
  <c r="S19" i="803"/>
  <c r="O17" i="803"/>
  <c r="U17" i="803" s="1"/>
  <c r="O14" i="803"/>
  <c r="U14" i="803" s="1"/>
  <c r="P22" i="805"/>
  <c r="P19" i="805"/>
  <c r="H30" i="809"/>
  <c r="M30" i="809" s="1"/>
  <c r="M29" i="809"/>
  <c r="S33" i="810"/>
  <c r="U23" i="805"/>
  <c r="U24" i="805" s="1"/>
  <c r="U20" i="805"/>
  <c r="V20" i="805" s="1"/>
  <c r="H30" i="810"/>
  <c r="P30" i="810" s="1"/>
  <c r="S19" i="811"/>
  <c r="O18" i="803"/>
  <c r="P18" i="803" s="1"/>
  <c r="O15" i="803"/>
  <c r="P15" i="803" s="1"/>
  <c r="L26" i="809"/>
  <c r="S27" i="811"/>
  <c r="V27" i="812"/>
  <c r="L15" i="816"/>
  <c r="L16" i="816" s="1"/>
  <c r="H15" i="816"/>
  <c r="S16" i="796"/>
  <c r="N18" i="798"/>
  <c r="L20" i="811"/>
  <c r="R20" i="811" s="1"/>
  <c r="R22" i="808"/>
  <c r="H18" i="805"/>
  <c r="P17" i="805"/>
  <c r="H16" i="805"/>
  <c r="P14" i="805"/>
  <c r="H15" i="808"/>
  <c r="P15" i="808" s="1"/>
  <c r="S37" i="813"/>
  <c r="L38" i="813"/>
  <c r="R38" i="813" s="1"/>
  <c r="S29" i="813"/>
  <c r="L30" i="813"/>
  <c r="R30" i="813" s="1"/>
  <c r="S18" i="813"/>
  <c r="L21" i="813"/>
  <c r="R21" i="813" s="1"/>
  <c r="L21" i="803"/>
  <c r="S39" i="813"/>
  <c r="L40" i="813"/>
  <c r="R40" i="813" s="1"/>
  <c r="S31" i="813"/>
  <c r="L32" i="813"/>
  <c r="R32" i="813" s="1"/>
  <c r="L28" i="813"/>
  <c r="R28" i="813" s="1"/>
  <c r="L17" i="813"/>
  <c r="R17" i="813" s="1"/>
  <c r="H21" i="803"/>
  <c r="S21" i="803" s="1"/>
  <c r="O20" i="803"/>
  <c r="U20" i="803" s="1"/>
  <c r="H17" i="808"/>
  <c r="P17" i="808" s="1"/>
  <c r="H36" i="786"/>
  <c r="U18" i="805"/>
  <c r="S35" i="813"/>
  <c r="L36" i="813"/>
  <c r="R36" i="813" s="1"/>
  <c r="S22" i="813"/>
  <c r="L24" i="813"/>
  <c r="R24" i="813" s="1"/>
  <c r="S49" i="858"/>
  <c r="T48" i="858"/>
  <c r="S57" i="858"/>
  <c r="W48" i="858"/>
  <c r="V49" i="858"/>
  <c r="V50" i="858" s="1"/>
  <c r="H19" i="808"/>
  <c r="P19" i="808" s="1"/>
  <c r="M18" i="808"/>
  <c r="S31" i="786"/>
  <c r="M24" i="786"/>
  <c r="L37" i="812"/>
  <c r="U37" i="812" s="1"/>
  <c r="H22" i="786"/>
  <c r="L24" i="805"/>
  <c r="L16" i="791"/>
  <c r="U16" i="791" s="1"/>
  <c r="H16" i="804"/>
  <c r="H26" i="809"/>
  <c r="S20" i="810"/>
  <c r="H37" i="811"/>
  <c r="L17" i="812"/>
  <c r="U17" i="812" s="1"/>
  <c r="S16" i="813"/>
  <c r="L19" i="791"/>
  <c r="U19" i="791" s="1"/>
  <c r="M36" i="812"/>
  <c r="H23" i="812"/>
  <c r="P23" i="812" s="1"/>
  <c r="H37" i="791"/>
  <c r="P37" i="791" s="1"/>
  <c r="M15" i="791"/>
  <c r="M14" i="805"/>
  <c r="M19" i="811"/>
  <c r="M16" i="812"/>
  <c r="M14" i="777"/>
  <c r="L33" i="786"/>
  <c r="M31" i="786"/>
  <c r="S16" i="786"/>
  <c r="M24" i="791"/>
  <c r="V18" i="791"/>
  <c r="L18" i="805"/>
  <c r="M33" i="810"/>
  <c r="M21" i="810"/>
  <c r="M22" i="811"/>
  <c r="H23" i="811"/>
  <c r="H20" i="811"/>
  <c r="S14" i="816"/>
  <c r="M21" i="808"/>
  <c r="H19" i="810"/>
  <c r="P19" i="810" s="1"/>
  <c r="S20" i="813"/>
  <c r="H17" i="813"/>
  <c r="G20" i="798"/>
  <c r="G22" i="798" s="1"/>
  <c r="J19" i="798"/>
  <c r="M19" i="798" s="1"/>
  <c r="N19" i="798" s="1"/>
  <c r="M19" i="805"/>
  <c r="H29" i="786"/>
  <c r="L15" i="793"/>
  <c r="O15" i="793" s="1"/>
  <c r="L25" i="796"/>
  <c r="S22" i="796"/>
  <c r="L17" i="796"/>
  <c r="R17" i="796" s="1"/>
  <c r="L15" i="796"/>
  <c r="M14" i="816"/>
  <c r="L17" i="811"/>
  <c r="R17" i="811" s="1"/>
  <c r="H19" i="804"/>
  <c r="H37" i="809"/>
  <c r="M37" i="809" s="1"/>
  <c r="S23" i="813"/>
  <c r="V15" i="791"/>
  <c r="H16" i="791"/>
  <c r="M18" i="803"/>
  <c r="P14" i="793"/>
  <c r="L19" i="803"/>
  <c r="S22" i="810"/>
  <c r="H34" i="812"/>
  <c r="L22" i="808"/>
  <c r="H21" i="805"/>
  <c r="L23" i="810"/>
  <c r="R23" i="810" s="1"/>
  <c r="H26" i="812"/>
  <c r="H17" i="786"/>
  <c r="V27" i="791"/>
  <c r="O15" i="804"/>
  <c r="P15" i="804" s="1"/>
  <c r="V23" i="805"/>
  <c r="V16" i="809"/>
  <c r="O17" i="809"/>
  <c r="U17" i="809" s="1"/>
  <c r="L34" i="810"/>
  <c r="R34" i="810" s="1"/>
  <c r="S21" i="810"/>
  <c r="S15" i="813"/>
  <c r="S24" i="786"/>
  <c r="S14" i="796"/>
  <c r="S24" i="810"/>
  <c r="M20" i="810"/>
  <c r="V33" i="791"/>
  <c r="H26" i="791"/>
  <c r="P26" i="791" s="1"/>
  <c r="L16" i="804"/>
  <c r="O16" i="804" s="1"/>
  <c r="H23" i="809"/>
  <c r="M23" i="809" s="1"/>
  <c r="H17" i="809"/>
  <c r="M17" i="809" s="1"/>
  <c r="H34" i="810"/>
  <c r="P34" i="810" s="1"/>
  <c r="M22" i="810"/>
  <c r="S33" i="811"/>
  <c r="L34" i="812"/>
  <c r="U34" i="812" s="1"/>
  <c r="L17" i="786"/>
  <c r="L21" i="805"/>
  <c r="M20" i="805"/>
  <c r="H16" i="777"/>
  <c r="H17" i="777" s="1"/>
  <c r="M27" i="791"/>
  <c r="M14" i="797"/>
  <c r="L17" i="797"/>
  <c r="L19" i="808"/>
  <c r="S18" i="808"/>
  <c r="O20" i="809"/>
  <c r="U20" i="809" s="1"/>
  <c r="L37" i="810"/>
  <c r="R37" i="810" s="1"/>
  <c r="S26" i="813"/>
  <c r="L26" i="786"/>
  <c r="S25" i="786"/>
  <c r="H28" i="791"/>
  <c r="P28" i="791" s="1"/>
  <c r="H18" i="793"/>
  <c r="K93" i="261" s="1"/>
  <c r="K16" i="798"/>
  <c r="J17" i="798"/>
  <c r="M17" i="798" s="1"/>
  <c r="N17" i="798" s="1"/>
  <c r="M16" i="798"/>
  <c r="N16" i="798" s="1"/>
  <c r="V31" i="809"/>
  <c r="O28" i="809"/>
  <c r="U28" i="809" s="1"/>
  <c r="V27" i="809"/>
  <c r="V19" i="809"/>
  <c r="M36" i="810"/>
  <c r="S36" i="810"/>
  <c r="M29" i="811"/>
  <c r="L30" i="811"/>
  <c r="R30" i="811" s="1"/>
  <c r="M18" i="797"/>
  <c r="V22" i="809"/>
  <c r="L26" i="811"/>
  <c r="R26" i="811" s="1"/>
  <c r="S24" i="811"/>
  <c r="M24" i="812"/>
  <c r="V24" i="812"/>
  <c r="L26" i="812"/>
  <c r="U26" i="812" s="1"/>
  <c r="S14" i="777"/>
  <c r="S32" i="786"/>
  <c r="L19" i="786"/>
  <c r="S18" i="786"/>
  <c r="H34" i="791"/>
  <c r="P34" i="791" s="1"/>
  <c r="L30" i="791"/>
  <c r="U30" i="791" s="1"/>
  <c r="M22" i="791"/>
  <c r="V22" i="791"/>
  <c r="H22" i="804"/>
  <c r="V32" i="809"/>
  <c r="H17" i="811"/>
  <c r="L30" i="812"/>
  <c r="U30" i="812" s="1"/>
  <c r="L23" i="812"/>
  <c r="U23" i="812" s="1"/>
  <c r="S41" i="813"/>
  <c r="S33" i="813"/>
  <c r="H28" i="813"/>
  <c r="S19" i="813"/>
  <c r="S14" i="813"/>
  <c r="L28" i="791"/>
  <c r="U28" i="791" s="1"/>
  <c r="S24" i="796"/>
  <c r="L23" i="796"/>
  <c r="K18" i="798"/>
  <c r="H16" i="803"/>
  <c r="S16" i="803" s="1"/>
  <c r="O14" i="804"/>
  <c r="M17" i="805"/>
  <c r="H20" i="809"/>
  <c r="M20" i="809" s="1"/>
  <c r="H37" i="810"/>
  <c r="P37" i="810" s="1"/>
  <c r="H23" i="810"/>
  <c r="P23" i="810" s="1"/>
  <c r="H26" i="811"/>
  <c r="H36" i="813"/>
  <c r="H24" i="813"/>
  <c r="H21" i="813"/>
  <c r="M18" i="791"/>
  <c r="M23" i="805"/>
  <c r="M22" i="805"/>
  <c r="H22" i="808"/>
  <c r="O30" i="809"/>
  <c r="U30" i="809" s="1"/>
  <c r="M24" i="810"/>
  <c r="H34" i="811"/>
  <c r="L28" i="811"/>
  <c r="R28" i="811" s="1"/>
  <c r="M27" i="811"/>
  <c r="L23" i="811"/>
  <c r="R23" i="811" s="1"/>
  <c r="H24" i="805"/>
  <c r="M27" i="810"/>
  <c r="H26" i="810"/>
  <c r="P26" i="810" s="1"/>
  <c r="M33" i="811"/>
  <c r="H17" i="812"/>
  <c r="L34" i="791"/>
  <c r="U34" i="791" s="1"/>
  <c r="M35" i="786"/>
  <c r="S35" i="786"/>
  <c r="L29" i="786"/>
  <c r="M21" i="786"/>
  <c r="S21" i="786"/>
  <c r="L21" i="796"/>
  <c r="R21" i="796" s="1"/>
  <c r="S20" i="796"/>
  <c r="L36" i="786"/>
  <c r="M28" i="786"/>
  <c r="S28" i="786"/>
  <c r="M18" i="786"/>
  <c r="H19" i="786"/>
  <c r="L37" i="791"/>
  <c r="U37" i="791" s="1"/>
  <c r="M32" i="786"/>
  <c r="H33" i="786"/>
  <c r="L22" i="786"/>
  <c r="L23" i="791"/>
  <c r="U23" i="791" s="1"/>
  <c r="M25" i="786"/>
  <c r="H26" i="786"/>
  <c r="V36" i="791"/>
  <c r="M36" i="791"/>
  <c r="R20" i="797"/>
  <c r="L21" i="797"/>
  <c r="M15" i="803"/>
  <c r="M16" i="786"/>
  <c r="M33" i="791"/>
  <c r="V29" i="791"/>
  <c r="H23" i="791"/>
  <c r="P23" i="791" s="1"/>
  <c r="O21" i="804"/>
  <c r="P21" i="804" s="1"/>
  <c r="O37" i="809"/>
  <c r="U37" i="809" s="1"/>
  <c r="K14" i="798"/>
  <c r="J15" i="798"/>
  <c r="M14" i="798"/>
  <c r="H19" i="803"/>
  <c r="M29" i="791"/>
  <c r="L26" i="791"/>
  <c r="U26" i="791" s="1"/>
  <c r="V24" i="791"/>
  <c r="H19" i="791"/>
  <c r="P19" i="791" s="1"/>
  <c r="S26" i="796"/>
  <c r="S18" i="796"/>
  <c r="R19" i="797"/>
  <c r="M14" i="803"/>
  <c r="L16" i="803"/>
  <c r="O18" i="804"/>
  <c r="P18" i="804" s="1"/>
  <c r="L27" i="796"/>
  <c r="R27" i="796" s="1"/>
  <c r="L19" i="796"/>
  <c r="R19" i="796" s="1"/>
  <c r="L19" i="804"/>
  <c r="S14" i="808"/>
  <c r="L26" i="810"/>
  <c r="R26" i="810" s="1"/>
  <c r="L37" i="811"/>
  <c r="R37" i="811" s="1"/>
  <c r="M20" i="803"/>
  <c r="M17" i="803"/>
  <c r="O20" i="804"/>
  <c r="L22" i="804"/>
  <c r="M15" i="805"/>
  <c r="L16" i="805"/>
  <c r="M16" i="808"/>
  <c r="L17" i="808"/>
  <c r="S16" i="808"/>
  <c r="V36" i="809"/>
  <c r="O26" i="809"/>
  <c r="V24" i="809"/>
  <c r="S15" i="810"/>
  <c r="M36" i="811"/>
  <c r="S36" i="811"/>
  <c r="H37" i="812"/>
  <c r="H20" i="812"/>
  <c r="M19" i="812"/>
  <c r="M14" i="808"/>
  <c r="S27" i="810"/>
  <c r="L19" i="810"/>
  <c r="R19" i="810" s="1"/>
  <c r="V36" i="812"/>
  <c r="V19" i="812"/>
  <c r="V33" i="809"/>
  <c r="H34" i="809"/>
  <c r="M34" i="809" s="1"/>
  <c r="M29" i="810"/>
  <c r="L30" i="810"/>
  <c r="R30" i="810" s="1"/>
  <c r="S29" i="810"/>
  <c r="M18" i="810"/>
  <c r="S18" i="810"/>
  <c r="M15" i="810"/>
  <c r="H16" i="810"/>
  <c r="P16" i="810" s="1"/>
  <c r="M27" i="812"/>
  <c r="L28" i="812"/>
  <c r="U28" i="812" s="1"/>
  <c r="L15" i="808"/>
  <c r="O34" i="809"/>
  <c r="U34" i="809" s="1"/>
  <c r="O23" i="809"/>
  <c r="U23" i="809" s="1"/>
  <c r="L28" i="810"/>
  <c r="R28" i="810" s="1"/>
  <c r="L16" i="810"/>
  <c r="R16" i="810" s="1"/>
  <c r="L34" i="811"/>
  <c r="R34" i="811" s="1"/>
  <c r="S22" i="811"/>
  <c r="M29" i="812"/>
  <c r="M24" i="811"/>
  <c r="M33" i="812"/>
  <c r="V33" i="812"/>
  <c r="M16" i="811"/>
  <c r="S16" i="811"/>
  <c r="M22" i="812"/>
  <c r="V22" i="812"/>
  <c r="L20" i="812"/>
  <c r="U20" i="812" s="1"/>
  <c r="H40" i="813"/>
  <c r="H32" i="813"/>
  <c r="L16" i="777"/>
  <c r="H28" i="796" l="1"/>
  <c r="P32" i="796" s="1"/>
  <c r="H90" i="261"/>
  <c r="G9" i="856" s="1"/>
  <c r="P21" i="777"/>
  <c r="P16" i="777"/>
  <c r="R16" i="777"/>
  <c r="P17" i="803"/>
  <c r="P40" i="796"/>
  <c r="O94" i="261"/>
  <c r="L38" i="809"/>
  <c r="L40" i="809" s="1"/>
  <c r="L41" i="809" s="1"/>
  <c r="U26" i="809"/>
  <c r="M23" i="796"/>
  <c r="R23" i="796"/>
  <c r="R25" i="796"/>
  <c r="S25" i="796" s="1"/>
  <c r="M15" i="796"/>
  <c r="R15" i="796"/>
  <c r="S15" i="796" s="1"/>
  <c r="S17" i="796"/>
  <c r="U16" i="805"/>
  <c r="V16" i="805" s="1"/>
  <c r="V19" i="791"/>
  <c r="S22" i="808"/>
  <c r="M15" i="816"/>
  <c r="V18" i="805"/>
  <c r="O16" i="803"/>
  <c r="P14" i="803"/>
  <c r="U21" i="805"/>
  <c r="V21" i="805" s="1"/>
  <c r="O19" i="803"/>
  <c r="P19" i="803" s="1"/>
  <c r="V30" i="791"/>
  <c r="V26" i="791"/>
  <c r="V37" i="791"/>
  <c r="V34" i="791"/>
  <c r="V28" i="791"/>
  <c r="V14" i="803"/>
  <c r="V20" i="803"/>
  <c r="U21" i="803"/>
  <c r="V21" i="803" s="1"/>
  <c r="V17" i="803"/>
  <c r="M28" i="811"/>
  <c r="V26" i="812"/>
  <c r="P26" i="812"/>
  <c r="R17" i="797"/>
  <c r="S17" i="797" s="1"/>
  <c r="P17" i="797"/>
  <c r="P34" i="812"/>
  <c r="R33" i="786"/>
  <c r="S33" i="786" s="1"/>
  <c r="P33" i="786"/>
  <c r="P17" i="812"/>
  <c r="S20" i="811"/>
  <c r="H16" i="816"/>
  <c r="S15" i="816"/>
  <c r="P15" i="816"/>
  <c r="V28" i="812"/>
  <c r="P28" i="812"/>
  <c r="V23" i="791"/>
  <c r="S17" i="811"/>
  <c r="S16" i="805"/>
  <c r="P16" i="805"/>
  <c r="U15" i="803"/>
  <c r="V15" i="803" s="1"/>
  <c r="R21" i="797"/>
  <c r="P21" i="797"/>
  <c r="R36" i="786"/>
  <c r="S36" i="786" s="1"/>
  <c r="P36" i="786"/>
  <c r="R19" i="786"/>
  <c r="P19" i="786"/>
  <c r="P28" i="809"/>
  <c r="V28" i="809"/>
  <c r="R17" i="786"/>
  <c r="S17" i="786" s="1"/>
  <c r="P17" i="786"/>
  <c r="S21" i="805"/>
  <c r="P21" i="805"/>
  <c r="U18" i="803"/>
  <c r="V18" i="803" s="1"/>
  <c r="P20" i="812"/>
  <c r="R22" i="786"/>
  <c r="P22" i="786"/>
  <c r="R29" i="786"/>
  <c r="S29" i="786" s="1"/>
  <c r="P29" i="786"/>
  <c r="M24" i="805"/>
  <c r="S24" i="805"/>
  <c r="P24" i="805"/>
  <c r="P30" i="809"/>
  <c r="V30" i="809"/>
  <c r="V30" i="812"/>
  <c r="P30" i="812"/>
  <c r="S30" i="811"/>
  <c r="R26" i="786"/>
  <c r="S26" i="786" s="1"/>
  <c r="P26" i="786"/>
  <c r="V16" i="791"/>
  <c r="P16" i="791"/>
  <c r="P37" i="812"/>
  <c r="S18" i="805"/>
  <c r="P18" i="805"/>
  <c r="M26" i="809"/>
  <c r="M30" i="791"/>
  <c r="M21" i="803"/>
  <c r="M19" i="808"/>
  <c r="K19" i="798"/>
  <c r="M25" i="796"/>
  <c r="P16" i="803"/>
  <c r="O21" i="803"/>
  <c r="P21" i="803" s="1"/>
  <c r="P20" i="803"/>
  <c r="H23" i="808"/>
  <c r="S50" i="858"/>
  <c r="L23" i="803"/>
  <c r="T57" i="858"/>
  <c r="H23" i="803"/>
  <c r="I96" i="261" s="1"/>
  <c r="M16" i="791"/>
  <c r="C31" i="857"/>
  <c r="C33" i="857" s="1"/>
  <c r="S58" i="858"/>
  <c r="M18" i="805"/>
  <c r="M23" i="812"/>
  <c r="V17" i="812"/>
  <c r="M23" i="811"/>
  <c r="S17" i="813"/>
  <c r="L16" i="793"/>
  <c r="N93" i="261" s="1"/>
  <c r="E19" i="832" s="1"/>
  <c r="S28" i="813"/>
  <c r="M20" i="811"/>
  <c r="M17" i="796"/>
  <c r="M30" i="811"/>
  <c r="M15" i="793"/>
  <c r="V34" i="812"/>
  <c r="H23" i="804"/>
  <c r="M17" i="811"/>
  <c r="M28" i="813"/>
  <c r="M26" i="786"/>
  <c r="M37" i="810"/>
  <c r="M21" i="813"/>
  <c r="P17" i="809"/>
  <c r="S23" i="810"/>
  <c r="S21" i="813"/>
  <c r="S23" i="811"/>
  <c r="P20" i="809"/>
  <c r="G25" i="798"/>
  <c r="H38" i="811"/>
  <c r="M16" i="804"/>
  <c r="M23" i="810"/>
  <c r="M34" i="812"/>
  <c r="K17" i="798"/>
  <c r="S34" i="810"/>
  <c r="M17" i="786"/>
  <c r="M28" i="791"/>
  <c r="M21" i="805"/>
  <c r="H38" i="809"/>
  <c r="S42" i="809" s="1"/>
  <c r="M26" i="811"/>
  <c r="M34" i="810"/>
  <c r="H22" i="803"/>
  <c r="H96" i="261" s="1"/>
  <c r="M30" i="812"/>
  <c r="M17" i="813"/>
  <c r="S23" i="796"/>
  <c r="M17" i="812"/>
  <c r="H38" i="812"/>
  <c r="M19" i="786"/>
  <c r="V23" i="812"/>
  <c r="H38" i="810"/>
  <c r="V20" i="809"/>
  <c r="M26" i="812"/>
  <c r="L25" i="805"/>
  <c r="L22" i="797"/>
  <c r="P26" i="797"/>
  <c r="H25" i="805"/>
  <c r="O38" i="809"/>
  <c r="M17" i="797"/>
  <c r="H19" i="777"/>
  <c r="K90" i="261" s="1"/>
  <c r="S26" i="811"/>
  <c r="H43" i="813"/>
  <c r="P47" i="813" s="1"/>
  <c r="S19" i="808"/>
  <c r="H30" i="796"/>
  <c r="K94" i="261" s="1"/>
  <c r="H94" i="261"/>
  <c r="G9" i="835" s="1"/>
  <c r="L23" i="804"/>
  <c r="N97" i="261" s="1"/>
  <c r="E19" i="843" s="1"/>
  <c r="S28" i="811"/>
  <c r="L38" i="786"/>
  <c r="H21" i="793"/>
  <c r="L93" i="261" s="1"/>
  <c r="S37" i="810"/>
  <c r="M22" i="808"/>
  <c r="V24" i="805"/>
  <c r="M34" i="811"/>
  <c r="P16" i="804"/>
  <c r="S19" i="796"/>
  <c r="M19" i="796"/>
  <c r="P15" i="793"/>
  <c r="O16" i="793"/>
  <c r="M16" i="803"/>
  <c r="M23" i="791"/>
  <c r="M34" i="791"/>
  <c r="L38" i="811"/>
  <c r="V34" i="809"/>
  <c r="P34" i="809"/>
  <c r="P26" i="809"/>
  <c r="V26" i="809"/>
  <c r="M26" i="810"/>
  <c r="S26" i="810"/>
  <c r="M19" i="804"/>
  <c r="O19" i="804"/>
  <c r="P19" i="804" s="1"/>
  <c r="L38" i="791"/>
  <c r="L22" i="803"/>
  <c r="M26" i="791"/>
  <c r="N14" i="798"/>
  <c r="P37" i="809"/>
  <c r="V37" i="809"/>
  <c r="M19" i="803"/>
  <c r="M33" i="786"/>
  <c r="L18" i="816"/>
  <c r="L38" i="812"/>
  <c r="M20" i="812"/>
  <c r="S28" i="810"/>
  <c r="M28" i="810"/>
  <c r="M21" i="797"/>
  <c r="M21" i="796"/>
  <c r="S21" i="796"/>
  <c r="M29" i="786"/>
  <c r="M37" i="812"/>
  <c r="V37" i="812"/>
  <c r="M17" i="808"/>
  <c r="S17" i="808"/>
  <c r="M16" i="805"/>
  <c r="S27" i="796"/>
  <c r="M27" i="796"/>
  <c r="M19" i="791"/>
  <c r="H38" i="791"/>
  <c r="K15" i="798"/>
  <c r="M15" i="798"/>
  <c r="N15" i="798" s="1"/>
  <c r="L28" i="796"/>
  <c r="H38" i="786"/>
  <c r="I91" i="261" s="1"/>
  <c r="H37" i="786"/>
  <c r="H91" i="261" s="1"/>
  <c r="G9" i="825" s="1"/>
  <c r="M36" i="786"/>
  <c r="S24" i="813"/>
  <c r="M24" i="813"/>
  <c r="M19" i="810"/>
  <c r="S19" i="810"/>
  <c r="M22" i="804"/>
  <c r="O22" i="804"/>
  <c r="P22" i="804" s="1"/>
  <c r="S30" i="813"/>
  <c r="L38" i="810"/>
  <c r="M16" i="810"/>
  <c r="V17" i="809"/>
  <c r="M28" i="812"/>
  <c r="V23" i="809"/>
  <c r="P23" i="809"/>
  <c r="L23" i="808"/>
  <c r="M15" i="808"/>
  <c r="M30" i="810"/>
  <c r="S30" i="810"/>
  <c r="M37" i="811"/>
  <c r="S37" i="811"/>
  <c r="J20" i="798"/>
  <c r="M22" i="786"/>
  <c r="M37" i="791"/>
  <c r="L37" i="786"/>
  <c r="M16" i="777"/>
  <c r="L17" i="777"/>
  <c r="H40" i="810" l="1"/>
  <c r="H100" i="261"/>
  <c r="G9" i="849" s="1"/>
  <c r="G9" i="842"/>
  <c r="G9" i="837"/>
  <c r="E29" i="835"/>
  <c r="L42" i="809"/>
  <c r="R49" i="809" s="1"/>
  <c r="S42" i="812"/>
  <c r="H102" i="261"/>
  <c r="G9" i="851" s="1"/>
  <c r="S51" i="809"/>
  <c r="O99" i="261"/>
  <c r="H40" i="811"/>
  <c r="K101" i="261" s="1"/>
  <c r="H101" i="261"/>
  <c r="G9" i="850" s="1"/>
  <c r="O90" i="261"/>
  <c r="P28" i="777"/>
  <c r="E29" i="856" s="1"/>
  <c r="H92" i="261"/>
  <c r="G9" i="830" s="1"/>
  <c r="S42" i="791"/>
  <c r="O92" i="261" s="1"/>
  <c r="P55" i="813"/>
  <c r="O103" i="261"/>
  <c r="H25" i="804"/>
  <c r="K97" i="261" s="1"/>
  <c r="H97" i="261"/>
  <c r="G9" i="843" s="1"/>
  <c r="H27" i="805"/>
  <c r="K98" i="261" s="1"/>
  <c r="H98" i="261"/>
  <c r="G9" i="844" s="1"/>
  <c r="H40" i="809"/>
  <c r="K99" i="261" s="1"/>
  <c r="H99" i="261"/>
  <c r="G9" i="848" s="1"/>
  <c r="O27" i="777"/>
  <c r="R16" i="816"/>
  <c r="R18" i="816" s="1"/>
  <c r="H18" i="816"/>
  <c r="U19" i="803"/>
  <c r="V19" i="803" s="1"/>
  <c r="O95" i="261"/>
  <c r="P34" i="797"/>
  <c r="E29" i="836" s="1"/>
  <c r="U16" i="803"/>
  <c r="V16" i="803" s="1"/>
  <c r="H25" i="808"/>
  <c r="P27" i="808" s="1"/>
  <c r="P36" i="808" s="1"/>
  <c r="O23" i="803"/>
  <c r="U23" i="803" s="1"/>
  <c r="L18" i="793"/>
  <c r="L19" i="793" s="1"/>
  <c r="G26" i="798"/>
  <c r="O22" i="803"/>
  <c r="T58" i="858"/>
  <c r="E31" i="857"/>
  <c r="E33" i="857" s="1"/>
  <c r="M30" i="813"/>
  <c r="L27" i="805"/>
  <c r="L28" i="805" s="1"/>
  <c r="U28" i="805" s="1"/>
  <c r="H33" i="796"/>
  <c r="H34" i="796" s="1"/>
  <c r="M94" i="261" s="1"/>
  <c r="H40" i="812"/>
  <c r="H43" i="811"/>
  <c r="L25" i="804"/>
  <c r="H22" i="777"/>
  <c r="L90" i="261" s="1"/>
  <c r="O40" i="809"/>
  <c r="O41" i="809" s="1"/>
  <c r="U41" i="809" s="1"/>
  <c r="H24" i="803"/>
  <c r="K96" i="261" s="1"/>
  <c r="H95" i="261"/>
  <c r="G9" i="836" s="1"/>
  <c r="K95" i="261"/>
  <c r="M95" i="261"/>
  <c r="H43" i="810"/>
  <c r="L24" i="797"/>
  <c r="S19" i="786"/>
  <c r="R38" i="786"/>
  <c r="H40" i="791"/>
  <c r="K92" i="261" s="1"/>
  <c r="H45" i="813"/>
  <c r="H103" i="261"/>
  <c r="G9" i="852" s="1"/>
  <c r="H22" i="793"/>
  <c r="M93" i="261" s="1"/>
  <c r="L40" i="810"/>
  <c r="L30" i="796"/>
  <c r="L25" i="808"/>
  <c r="S34" i="811"/>
  <c r="R38" i="811"/>
  <c r="S15" i="808"/>
  <c r="R23" i="808"/>
  <c r="U38" i="809"/>
  <c r="U38" i="791"/>
  <c r="S21" i="797"/>
  <c r="R22" i="797"/>
  <c r="V20" i="812"/>
  <c r="U38" i="812"/>
  <c r="M20" i="798"/>
  <c r="L39" i="786"/>
  <c r="S16" i="810"/>
  <c r="R38" i="810"/>
  <c r="L40" i="812"/>
  <c r="L19" i="816"/>
  <c r="R19" i="816" s="1"/>
  <c r="S22" i="786"/>
  <c r="R37" i="786"/>
  <c r="J22" i="798"/>
  <c r="R28" i="796"/>
  <c r="M32" i="813"/>
  <c r="S32" i="813"/>
  <c r="H39" i="786"/>
  <c r="U25" i="805"/>
  <c r="L40" i="791"/>
  <c r="L40" i="811"/>
  <c r="O18" i="793"/>
  <c r="O23" i="804"/>
  <c r="M17" i="777"/>
  <c r="P27" i="777" s="1"/>
  <c r="L19" i="777"/>
  <c r="L27" i="777"/>
  <c r="S16" i="777"/>
  <c r="R17" i="777"/>
  <c r="S17" i="777" s="1"/>
  <c r="P42" i="811" l="1"/>
  <c r="S29" i="805"/>
  <c r="O98" i="261" s="1"/>
  <c r="S51" i="791"/>
  <c r="E30" i="830" s="1"/>
  <c r="H43" i="809"/>
  <c r="L99" i="261" s="1"/>
  <c r="H30" i="805"/>
  <c r="L98" i="261" s="1"/>
  <c r="L43" i="809"/>
  <c r="L44" i="809" s="1"/>
  <c r="H28" i="804"/>
  <c r="L97" i="261" s="1"/>
  <c r="O49" i="809"/>
  <c r="P29" i="777"/>
  <c r="E28" i="856"/>
  <c r="E34" i="856" s="1"/>
  <c r="H44" i="810"/>
  <c r="M100" i="261" s="1"/>
  <c r="L100" i="261"/>
  <c r="M42" i="809"/>
  <c r="C28" i="848"/>
  <c r="E29" i="852"/>
  <c r="E30" i="848"/>
  <c r="L49" i="809"/>
  <c r="L50" i="809" s="1"/>
  <c r="H44" i="811"/>
  <c r="M101" i="261" s="1"/>
  <c r="L101" i="261"/>
  <c r="P50" i="811"/>
  <c r="E29" i="850" s="1"/>
  <c r="O101" i="261"/>
  <c r="O19" i="793"/>
  <c r="O20" i="793" s="1"/>
  <c r="P20" i="793" s="1"/>
  <c r="Q93" i="261"/>
  <c r="E21" i="832" s="1"/>
  <c r="P41" i="786"/>
  <c r="K91" i="261"/>
  <c r="P42" i="812"/>
  <c r="S51" i="812" s="1"/>
  <c r="E29" i="851" s="1"/>
  <c r="K102" i="261"/>
  <c r="O29" i="777"/>
  <c r="C28" i="856"/>
  <c r="C34" i="856" s="1"/>
  <c r="S52" i="812"/>
  <c r="O102" i="261"/>
  <c r="P42" i="810"/>
  <c r="K100" i="261"/>
  <c r="P29" i="805"/>
  <c r="P36" i="805" s="1"/>
  <c r="L26" i="804"/>
  <c r="O26" i="804" s="1"/>
  <c r="U22" i="803"/>
  <c r="U24" i="803" s="1"/>
  <c r="H28" i="808"/>
  <c r="H29" i="808" s="1"/>
  <c r="S37" i="805"/>
  <c r="P20" i="816"/>
  <c r="H21" i="816"/>
  <c r="O42" i="809"/>
  <c r="R50" i="809" s="1"/>
  <c r="C29" i="848" s="1"/>
  <c r="S26" i="803"/>
  <c r="O96" i="261" s="1"/>
  <c r="P42" i="791"/>
  <c r="S50" i="791" s="1"/>
  <c r="E29" i="830" s="1"/>
  <c r="O24" i="803"/>
  <c r="O25" i="803" s="1"/>
  <c r="L25" i="797"/>
  <c r="L29" i="777"/>
  <c r="H43" i="812"/>
  <c r="L102" i="261" s="1"/>
  <c r="H44" i="809"/>
  <c r="M99" i="261" s="1"/>
  <c r="L94" i="261"/>
  <c r="L95" i="261"/>
  <c r="H23" i="777"/>
  <c r="M90" i="261" s="1"/>
  <c r="H43" i="791"/>
  <c r="L92" i="261" s="1"/>
  <c r="H29" i="804"/>
  <c r="M97" i="261" s="1"/>
  <c r="H27" i="803"/>
  <c r="H31" i="805"/>
  <c r="M98" i="261" s="1"/>
  <c r="R20" i="816"/>
  <c r="L24" i="803"/>
  <c r="L25" i="803" s="1"/>
  <c r="K103" i="261"/>
  <c r="H48" i="813"/>
  <c r="M27" i="777"/>
  <c r="O25" i="804"/>
  <c r="H42" i="786"/>
  <c r="L91" i="261" s="1"/>
  <c r="L41" i="812"/>
  <c r="M22" i="798"/>
  <c r="L26" i="808"/>
  <c r="R30" i="796"/>
  <c r="L20" i="816"/>
  <c r="R40" i="810"/>
  <c r="U40" i="791"/>
  <c r="R40" i="811"/>
  <c r="L31" i="796"/>
  <c r="L20" i="793"/>
  <c r="U40" i="812"/>
  <c r="L41" i="811"/>
  <c r="R24" i="797"/>
  <c r="U40" i="809"/>
  <c r="U27" i="805"/>
  <c r="J23" i="798"/>
  <c r="L41" i="810"/>
  <c r="R41" i="810" s="1"/>
  <c r="R39" i="786"/>
  <c r="L41" i="791"/>
  <c r="U41" i="791" s="1"/>
  <c r="S34" i="813"/>
  <c r="L40" i="786"/>
  <c r="R40" i="786" s="1"/>
  <c r="L29" i="805"/>
  <c r="R25" i="808"/>
  <c r="L20" i="777"/>
  <c r="R20" i="777" s="1"/>
  <c r="R19" i="777"/>
  <c r="S36" i="805" l="1"/>
  <c r="P48" i="786"/>
  <c r="E29" i="825" s="1"/>
  <c r="O91" i="261"/>
  <c r="E30" i="851"/>
  <c r="U25" i="803"/>
  <c r="M20" i="793"/>
  <c r="O93" i="261" s="1"/>
  <c r="R93" i="261"/>
  <c r="R52" i="809"/>
  <c r="C34" i="848"/>
  <c r="H28" i="803"/>
  <c r="M96" i="261" s="1"/>
  <c r="L96" i="261"/>
  <c r="O100" i="261"/>
  <c r="P51" i="810"/>
  <c r="E29" i="849" s="1"/>
  <c r="S49" i="809"/>
  <c r="M49" i="809"/>
  <c r="M50" i="809" s="1"/>
  <c r="P49" i="809"/>
  <c r="L42" i="812"/>
  <c r="R50" i="812" s="1"/>
  <c r="U41" i="812"/>
  <c r="U42" i="812" s="1"/>
  <c r="V42" i="812" s="1"/>
  <c r="L32" i="796"/>
  <c r="R31" i="796"/>
  <c r="R32" i="796" s="1"/>
  <c r="S32" i="796" s="1"/>
  <c r="L26" i="797"/>
  <c r="M26" i="797" s="1"/>
  <c r="P33" i="797" s="1"/>
  <c r="E28" i="836" s="1"/>
  <c r="E34" i="836" s="1"/>
  <c r="R25" i="797"/>
  <c r="L27" i="804"/>
  <c r="R97" i="261" s="1"/>
  <c r="Q97" i="261"/>
  <c r="E21" i="843" s="1"/>
  <c r="L26" i="793"/>
  <c r="C28" i="832" s="1"/>
  <c r="C34" i="832" s="1"/>
  <c r="L42" i="811"/>
  <c r="O49" i="811" s="1"/>
  <c r="R41" i="811"/>
  <c r="R42" i="811" s="1"/>
  <c r="S42" i="811" s="1"/>
  <c r="L39" i="796"/>
  <c r="P42" i="809"/>
  <c r="S50" i="809" s="1"/>
  <c r="E29" i="848" s="1"/>
  <c r="O50" i="809"/>
  <c r="O51" i="809" s="1"/>
  <c r="O43" i="809"/>
  <c r="O44" i="809" s="1"/>
  <c r="U26" i="803"/>
  <c r="L50" i="812"/>
  <c r="P50" i="791"/>
  <c r="S34" i="803"/>
  <c r="E30" i="842" s="1"/>
  <c r="H22" i="816"/>
  <c r="P51" i="812"/>
  <c r="O26" i="816"/>
  <c r="O28" i="816" s="1"/>
  <c r="M20" i="816"/>
  <c r="P26" i="816" s="1"/>
  <c r="P27" i="816"/>
  <c r="O35" i="805"/>
  <c r="O37" i="805" s="1"/>
  <c r="R35" i="805"/>
  <c r="O26" i="803"/>
  <c r="R33" i="803" s="1"/>
  <c r="C29" i="842" s="1"/>
  <c r="H44" i="791"/>
  <c r="M92" i="261" s="1"/>
  <c r="R26" i="797"/>
  <c r="S26" i="797" s="1"/>
  <c r="L33" i="797"/>
  <c r="L26" i="816"/>
  <c r="L27" i="808"/>
  <c r="R26" i="808"/>
  <c r="R27" i="808" s="1"/>
  <c r="S27" i="808" s="1"/>
  <c r="R21" i="816"/>
  <c r="R22" i="816" s="1"/>
  <c r="S20" i="816"/>
  <c r="L49" i="811"/>
  <c r="M42" i="812"/>
  <c r="L35" i="805"/>
  <c r="M29" i="805"/>
  <c r="H44" i="812"/>
  <c r="M102" i="261" s="1"/>
  <c r="M29" i="777"/>
  <c r="U29" i="805"/>
  <c r="V29" i="805" s="1"/>
  <c r="O27" i="804"/>
  <c r="U42" i="809"/>
  <c r="V42" i="809" s="1"/>
  <c r="M23" i="798"/>
  <c r="M24" i="798" s="1"/>
  <c r="J24" i="798"/>
  <c r="L26" i="803"/>
  <c r="R42" i="810"/>
  <c r="S42" i="810" s="1"/>
  <c r="U42" i="791"/>
  <c r="V42" i="791" s="1"/>
  <c r="L42" i="791"/>
  <c r="L49" i="791" s="1"/>
  <c r="O49" i="791" s="1"/>
  <c r="R49" i="791" s="1"/>
  <c r="R21" i="777"/>
  <c r="R41" i="786"/>
  <c r="S41" i="786" s="1"/>
  <c r="H43" i="786"/>
  <c r="M91" i="261" s="1"/>
  <c r="H49" i="813"/>
  <c r="M103" i="261" s="1"/>
  <c r="L103" i="261"/>
  <c r="L30" i="805"/>
  <c r="L42" i="810"/>
  <c r="O50" i="810" s="1"/>
  <c r="L33" i="796"/>
  <c r="L21" i="793"/>
  <c r="S93" i="261" s="1"/>
  <c r="E23" i="832" s="1"/>
  <c r="L41" i="786"/>
  <c r="O47" i="786" s="1"/>
  <c r="M36" i="813"/>
  <c r="S36" i="813"/>
  <c r="O21" i="793"/>
  <c r="O22" i="793" s="1"/>
  <c r="L21" i="816"/>
  <c r="L21" i="777"/>
  <c r="L43" i="812" l="1"/>
  <c r="O50" i="812"/>
  <c r="L28" i="804"/>
  <c r="S97" i="261" s="1"/>
  <c r="E23" i="843" s="1"/>
  <c r="O33" i="797"/>
  <c r="C28" i="836" s="1"/>
  <c r="C34" i="836" s="1"/>
  <c r="L27" i="797"/>
  <c r="L28" i="797" s="1"/>
  <c r="G10" i="843"/>
  <c r="E22" i="843"/>
  <c r="E28" i="848"/>
  <c r="E34" i="848" s="1"/>
  <c r="S52" i="809"/>
  <c r="G10" i="832"/>
  <c r="E22" i="832"/>
  <c r="O52" i="810"/>
  <c r="C28" i="849"/>
  <c r="C34" i="849" s="1"/>
  <c r="O51" i="811"/>
  <c r="C28" i="850"/>
  <c r="C34" i="850" s="1"/>
  <c r="O49" i="786"/>
  <c r="C28" i="825"/>
  <c r="C34" i="825" s="1"/>
  <c r="R52" i="791"/>
  <c r="C28" i="830"/>
  <c r="C34" i="830" s="1"/>
  <c r="C28" i="851"/>
  <c r="C34" i="851" s="1"/>
  <c r="R53" i="812"/>
  <c r="P50" i="812"/>
  <c r="S50" i="812"/>
  <c r="M32" i="796"/>
  <c r="O39" i="796"/>
  <c r="L43" i="811"/>
  <c r="L44" i="811" s="1"/>
  <c r="M42" i="811"/>
  <c r="P49" i="811" s="1"/>
  <c r="R38" i="805"/>
  <c r="O52" i="812"/>
  <c r="L33" i="804"/>
  <c r="P50" i="809"/>
  <c r="M27" i="804"/>
  <c r="O97" i="261" s="1"/>
  <c r="L27" i="793"/>
  <c r="L40" i="796"/>
  <c r="M26" i="793"/>
  <c r="E28" i="832" s="1"/>
  <c r="E34" i="832" s="1"/>
  <c r="M26" i="816"/>
  <c r="P35" i="797"/>
  <c r="O52" i="791"/>
  <c r="O35" i="797"/>
  <c r="O32" i="803"/>
  <c r="R32" i="803"/>
  <c r="V26" i="803"/>
  <c r="U27" i="803"/>
  <c r="U28" i="803" s="1"/>
  <c r="P52" i="812"/>
  <c r="P35" i="805"/>
  <c r="P37" i="805" s="1"/>
  <c r="S35" i="805"/>
  <c r="P28" i="816"/>
  <c r="M27" i="808"/>
  <c r="P35" i="808" s="1"/>
  <c r="P37" i="808" s="1"/>
  <c r="L28" i="808"/>
  <c r="P26" i="803"/>
  <c r="S33" i="803" s="1"/>
  <c r="E29" i="842" s="1"/>
  <c r="O33" i="803"/>
  <c r="O27" i="803"/>
  <c r="O28" i="803" s="1"/>
  <c r="R27" i="797"/>
  <c r="R28" i="797" s="1"/>
  <c r="L35" i="808"/>
  <c r="O35" i="808"/>
  <c r="O37" i="808" s="1"/>
  <c r="L27" i="816"/>
  <c r="M33" i="797"/>
  <c r="L34" i="797"/>
  <c r="L50" i="810"/>
  <c r="M42" i="810"/>
  <c r="P50" i="810" s="1"/>
  <c r="M49" i="811"/>
  <c r="L50" i="811"/>
  <c r="U43" i="812"/>
  <c r="U44" i="812" s="1"/>
  <c r="M50" i="812"/>
  <c r="L51" i="812"/>
  <c r="U43" i="809"/>
  <c r="U44" i="809" s="1"/>
  <c r="O28" i="804"/>
  <c r="O29" i="804" s="1"/>
  <c r="P27" i="804"/>
  <c r="L34" i="804"/>
  <c r="M42" i="791"/>
  <c r="L47" i="786"/>
  <c r="M41" i="786"/>
  <c r="P47" i="786" s="1"/>
  <c r="L32" i="803"/>
  <c r="M26" i="803"/>
  <c r="K24" i="798"/>
  <c r="J30" i="798"/>
  <c r="M25" i="798"/>
  <c r="M26" i="798" s="1"/>
  <c r="N24" i="798"/>
  <c r="M35" i="805"/>
  <c r="U30" i="805"/>
  <c r="U31" i="805" s="1"/>
  <c r="L37" i="805"/>
  <c r="R28" i="808"/>
  <c r="R29" i="808" s="1"/>
  <c r="L27" i="803"/>
  <c r="L28" i="803" s="1"/>
  <c r="L22" i="816"/>
  <c r="J25" i="798"/>
  <c r="L43" i="791"/>
  <c r="L44" i="791" s="1"/>
  <c r="L44" i="812"/>
  <c r="R22" i="777"/>
  <c r="R23" i="777" s="1"/>
  <c r="L22" i="793"/>
  <c r="T93" i="261" s="1"/>
  <c r="E24" i="832" s="1"/>
  <c r="L31" i="805"/>
  <c r="L29" i="804"/>
  <c r="T97" i="261" s="1"/>
  <c r="E24" i="843" s="1"/>
  <c r="L34" i="796"/>
  <c r="S38" i="813"/>
  <c r="M38" i="813"/>
  <c r="R42" i="786"/>
  <c r="R43" i="786" s="1"/>
  <c r="U43" i="791"/>
  <c r="U44" i="791" s="1"/>
  <c r="L42" i="786"/>
  <c r="R43" i="811"/>
  <c r="R44" i="811" s="1"/>
  <c r="L43" i="810"/>
  <c r="R43" i="810"/>
  <c r="R44" i="810" s="1"/>
  <c r="R33" i="796"/>
  <c r="R34" i="796" s="1"/>
  <c r="L22" i="777"/>
  <c r="P52" i="810" l="1"/>
  <c r="E28" i="849"/>
  <c r="E34" i="849" s="1"/>
  <c r="P51" i="811"/>
  <c r="E28" i="850"/>
  <c r="E34" i="850" s="1"/>
  <c r="C28" i="835"/>
  <c r="C34" i="835" s="1"/>
  <c r="O41" i="796"/>
  <c r="E28" i="851"/>
  <c r="E34" i="851" s="1"/>
  <c r="S53" i="812"/>
  <c r="P49" i="786"/>
  <c r="E28" i="825"/>
  <c r="E34" i="825" s="1"/>
  <c r="R35" i="803"/>
  <c r="C28" i="842"/>
  <c r="C34" i="842" s="1"/>
  <c r="M39" i="796"/>
  <c r="M40" i="796" s="1"/>
  <c r="P39" i="796"/>
  <c r="S38" i="805"/>
  <c r="P51" i="809"/>
  <c r="M33" i="804"/>
  <c r="M34" i="804" s="1"/>
  <c r="P49" i="791"/>
  <c r="S49" i="791"/>
  <c r="M27" i="793"/>
  <c r="M27" i="816"/>
  <c r="O34" i="803"/>
  <c r="P33" i="803"/>
  <c r="P32" i="803"/>
  <c r="S32" i="803"/>
  <c r="L29" i="808"/>
  <c r="M35" i="808"/>
  <c r="M37" i="808" s="1"/>
  <c r="L37" i="808"/>
  <c r="M34" i="797"/>
  <c r="M50" i="810"/>
  <c r="L51" i="810"/>
  <c r="M50" i="811"/>
  <c r="M51" i="812"/>
  <c r="M49" i="791"/>
  <c r="L50" i="791"/>
  <c r="M47" i="786"/>
  <c r="L48" i="786"/>
  <c r="K30" i="798"/>
  <c r="J31" i="798"/>
  <c r="M37" i="805"/>
  <c r="M32" i="803"/>
  <c r="L34" i="803"/>
  <c r="J26" i="798"/>
  <c r="L44" i="810"/>
  <c r="L23" i="777"/>
  <c r="L43" i="786"/>
  <c r="M40" i="813"/>
  <c r="S40" i="813"/>
  <c r="E28" i="835" l="1"/>
  <c r="E34" i="835" s="1"/>
  <c r="P41" i="796"/>
  <c r="S35" i="803"/>
  <c r="E28" i="842"/>
  <c r="E34" i="842" s="1"/>
  <c r="S52" i="791"/>
  <c r="E28" i="830"/>
  <c r="E34" i="830" s="1"/>
  <c r="P52" i="791"/>
  <c r="P34" i="803"/>
  <c r="M51" i="810"/>
  <c r="M50" i="791"/>
  <c r="M48" i="786"/>
  <c r="K31" i="798"/>
  <c r="M34" i="803"/>
  <c r="M42" i="813"/>
  <c r="L43" i="813"/>
  <c r="L45" i="813" l="1"/>
  <c r="S42" i="813"/>
  <c r="R43" i="813"/>
  <c r="L46" i="813" l="1"/>
  <c r="R46" i="813" s="1"/>
  <c r="R45" i="813"/>
  <c r="R47" i="813" l="1"/>
  <c r="S47" i="813" s="1"/>
  <c r="L47" i="813"/>
  <c r="O54" i="813" s="1"/>
  <c r="C28" i="852" l="1"/>
  <c r="C34" i="852" s="1"/>
  <c r="O56" i="813"/>
  <c r="L54" i="813"/>
  <c r="M47" i="813"/>
  <c r="P54" i="813" s="1"/>
  <c r="L48" i="813"/>
  <c r="R48" i="813"/>
  <c r="R49" i="813" s="1"/>
  <c r="E28" i="852" l="1"/>
  <c r="E34" i="852" s="1"/>
  <c r="P56" i="813"/>
  <c r="M54" i="813"/>
  <c r="L55" i="813"/>
  <c r="L49" i="813"/>
  <c r="M55" i="813" l="1"/>
  <c r="B29" i="645" l="1"/>
  <c r="B28" i="645"/>
  <c r="B29" i="317" l="1"/>
  <c r="B30" i="317"/>
  <c r="B31" i="317"/>
  <c r="B32" i="317"/>
  <c r="B28" i="317"/>
  <c r="U89" i="261"/>
  <c r="G8" i="773" s="1"/>
  <c r="I89" i="261"/>
  <c r="G89" i="261"/>
  <c r="C89" i="261"/>
  <c r="B8" i="773" s="1"/>
  <c r="B89" i="261"/>
  <c r="B7" i="773" s="1"/>
  <c r="F89" i="261"/>
  <c r="U85" i="261"/>
  <c r="I85" i="261"/>
  <c r="G85" i="261"/>
  <c r="C85" i="261"/>
  <c r="B8" i="767" s="1"/>
  <c r="B85" i="261"/>
  <c r="B7" i="767" s="1"/>
  <c r="F85" i="261"/>
  <c r="U84" i="261"/>
  <c r="G8" i="766" s="1"/>
  <c r="I84" i="261"/>
  <c r="G84" i="261"/>
  <c r="F84" i="261"/>
  <c r="U83" i="261"/>
  <c r="G8" i="765" s="1"/>
  <c r="I83" i="261"/>
  <c r="G83" i="261"/>
  <c r="F83" i="261"/>
  <c r="U78" i="261"/>
  <c r="G8" i="757" s="1"/>
  <c r="I78" i="261"/>
  <c r="G78" i="261"/>
  <c r="C78" i="261"/>
  <c r="B8" i="757" s="1"/>
  <c r="B78" i="261"/>
  <c r="B7" i="757" s="1"/>
  <c r="F78" i="261"/>
  <c r="U75" i="261"/>
  <c r="G8" i="754" s="1"/>
  <c r="I75" i="261"/>
  <c r="G75" i="261"/>
  <c r="C75" i="261"/>
  <c r="B8" i="754" s="1"/>
  <c r="B75" i="261"/>
  <c r="B7" i="754" s="1"/>
  <c r="F75" i="261"/>
  <c r="U67" i="261"/>
  <c r="G8" i="738" s="1"/>
  <c r="G67" i="261"/>
  <c r="C67" i="261"/>
  <c r="B8" i="738" s="1"/>
  <c r="B67" i="261"/>
  <c r="B7" i="738" s="1"/>
  <c r="F67" i="261"/>
  <c r="U66" i="261"/>
  <c r="G8" i="737" s="1"/>
  <c r="G66" i="261"/>
  <c r="C66" i="261"/>
  <c r="B8" i="737" s="1"/>
  <c r="B66" i="261"/>
  <c r="B7" i="737" s="1"/>
  <c r="F66" i="261"/>
  <c r="U64" i="261"/>
  <c r="G8" i="735" s="1"/>
  <c r="G64" i="261"/>
  <c r="C64" i="261"/>
  <c r="B8" i="735" s="1"/>
  <c r="B64" i="261"/>
  <c r="B7" i="735" s="1"/>
  <c r="F64" i="261"/>
  <c r="U63" i="261"/>
  <c r="G8" i="734" s="1"/>
  <c r="G63" i="261"/>
  <c r="C63" i="261"/>
  <c r="B8" i="734" s="1"/>
  <c r="B63" i="261"/>
  <c r="B7" i="734" s="1"/>
  <c r="F63" i="261"/>
  <c r="A12" i="765" l="1"/>
  <c r="B5" i="765"/>
  <c r="A12" i="754"/>
  <c r="B5" i="754"/>
  <c r="A12" i="767"/>
  <c r="B5" i="767"/>
  <c r="A12" i="757"/>
  <c r="B5" i="757"/>
  <c r="A12" i="766"/>
  <c r="B5" i="766"/>
  <c r="G8" i="857"/>
  <c r="G8" i="767"/>
  <c r="A12" i="773"/>
  <c r="B5" i="773"/>
  <c r="A12" i="735"/>
  <c r="B5" i="735"/>
  <c r="A12" i="738"/>
  <c r="B5" i="738"/>
  <c r="A12" i="737"/>
  <c r="B5" i="737"/>
  <c r="A12" i="734"/>
  <c r="B5" i="734"/>
  <c r="B8" i="857"/>
  <c r="B7" i="857"/>
  <c r="A12" i="857"/>
  <c r="B5" i="857"/>
  <c r="U62" i="261"/>
  <c r="G8" i="733" s="1"/>
  <c r="G62" i="261"/>
  <c r="C62" i="261"/>
  <c r="B8" i="733" s="1"/>
  <c r="B62" i="261"/>
  <c r="B7" i="733" s="1"/>
  <c r="F62" i="261"/>
  <c r="U61" i="261"/>
  <c r="G8" i="732" s="1"/>
  <c r="G61" i="261"/>
  <c r="C61" i="261"/>
  <c r="B8" i="732" s="1"/>
  <c r="B61" i="261"/>
  <c r="B7" i="732" s="1"/>
  <c r="F61" i="261"/>
  <c r="U60" i="261"/>
  <c r="G8" i="731" s="1"/>
  <c r="G60" i="261"/>
  <c r="C60" i="261"/>
  <c r="B8" i="731" s="1"/>
  <c r="B60" i="261"/>
  <c r="B7" i="731" s="1"/>
  <c r="F60" i="261"/>
  <c r="U58" i="261"/>
  <c r="G8" i="728" s="1"/>
  <c r="G58" i="261"/>
  <c r="F58" i="261"/>
  <c r="U57" i="261"/>
  <c r="G8" i="721" s="1"/>
  <c r="P57" i="261"/>
  <c r="E20" i="721" s="1"/>
  <c r="I57" i="261"/>
  <c r="G57" i="261"/>
  <c r="C57" i="261"/>
  <c r="B8" i="721" s="1"/>
  <c r="B57" i="261"/>
  <c r="B7" i="721" s="1"/>
  <c r="F57" i="261"/>
  <c r="U56" i="261"/>
  <c r="G8" i="720" s="1"/>
  <c r="P56" i="261"/>
  <c r="E20" i="720" s="1"/>
  <c r="I56" i="261"/>
  <c r="G56" i="261"/>
  <c r="C56" i="261"/>
  <c r="B8" i="720" s="1"/>
  <c r="B56" i="261"/>
  <c r="B7" i="720" s="1"/>
  <c r="F56" i="261"/>
  <c r="B5" i="731" l="1"/>
  <c r="A12" i="731"/>
  <c r="A12" i="733"/>
  <c r="B5" i="733"/>
  <c r="A12" i="732"/>
  <c r="B5" i="732"/>
  <c r="B5" i="721"/>
  <c r="A12" i="721"/>
  <c r="A12" i="728"/>
  <c r="B5" i="728"/>
  <c r="A12" i="720"/>
  <c r="B5" i="720"/>
  <c r="U53" i="261"/>
  <c r="G8" i="712" s="1"/>
  <c r="I53" i="261"/>
  <c r="G53" i="261"/>
  <c r="C53" i="261"/>
  <c r="B8" i="712" s="1"/>
  <c r="B53" i="261"/>
  <c r="B7" i="712" s="1"/>
  <c r="F53" i="261"/>
  <c r="U45" i="261"/>
  <c r="G8" i="690" s="1"/>
  <c r="I45" i="261"/>
  <c r="G45" i="261"/>
  <c r="F45" i="261"/>
  <c r="B5" i="690" l="1"/>
  <c r="A12" i="690"/>
  <c r="A12" i="712"/>
  <c r="B5" i="712"/>
  <c r="A12" i="992"/>
  <c r="U31" i="261" l="1"/>
  <c r="G8" i="661" s="1"/>
  <c r="I31" i="261"/>
  <c r="G31" i="261"/>
  <c r="C31" i="261"/>
  <c r="B8" i="661" s="1"/>
  <c r="B31" i="261"/>
  <c r="B7" i="661" s="1"/>
  <c r="F31" i="261"/>
  <c r="U20" i="261"/>
  <c r="G8" i="645" s="1"/>
  <c r="I20" i="261"/>
  <c r="G20" i="261"/>
  <c r="C20" i="261"/>
  <c r="B20" i="261"/>
  <c r="F20" i="261"/>
  <c r="U10" i="261"/>
  <c r="G8" i="633" s="1"/>
  <c r="P10" i="261"/>
  <c r="E20" i="633" s="1"/>
  <c r="I10" i="261"/>
  <c r="G10" i="261"/>
  <c r="F10" i="261"/>
  <c r="C10" i="261"/>
  <c r="B8" i="633" s="1"/>
  <c r="B10" i="261"/>
  <c r="B7" i="633" s="1"/>
  <c r="A12" i="633" l="1"/>
  <c r="B5" i="633"/>
  <c r="B5" i="661"/>
  <c r="A12" i="661"/>
  <c r="B8" i="645"/>
  <c r="B7" i="645"/>
  <c r="A12" i="645"/>
  <c r="B5" i="645"/>
  <c r="B5" i="992"/>
  <c r="O55" i="630"/>
  <c r="O54" i="630"/>
  <c r="O52" i="630"/>
  <c r="O53" i="630" s="1"/>
  <c r="O50" i="630"/>
  <c r="O49" i="630"/>
  <c r="O47" i="630"/>
  <c r="O46" i="630"/>
  <c r="O44" i="630"/>
  <c r="O43" i="630"/>
  <c r="O41" i="630"/>
  <c r="O40" i="630"/>
  <c r="O39" i="630"/>
  <c r="O37" i="630"/>
  <c r="O36" i="630"/>
  <c r="O34" i="630"/>
  <c r="O33" i="630"/>
  <c r="O32" i="630"/>
  <c r="O30" i="630"/>
  <c r="O29" i="630"/>
  <c r="O27" i="630"/>
  <c r="O26" i="630"/>
  <c r="O25" i="630"/>
  <c r="O23" i="630"/>
  <c r="O22" i="630"/>
  <c r="O20" i="630"/>
  <c r="O19" i="630"/>
  <c r="O18" i="630"/>
  <c r="O16" i="630"/>
  <c r="O15" i="630"/>
  <c r="O14" i="630"/>
  <c r="R33" i="591"/>
  <c r="R31" i="591"/>
  <c r="R32" i="591" s="1"/>
  <c r="R29" i="591"/>
  <c r="R30" i="591" s="1"/>
  <c r="R27" i="591"/>
  <c r="R28" i="591" s="1"/>
  <c r="R25" i="591"/>
  <c r="R26" i="591" s="1"/>
  <c r="R23" i="591"/>
  <c r="R24" i="591" s="1"/>
  <c r="R21" i="591"/>
  <c r="R22" i="591" s="1"/>
  <c r="R19" i="591"/>
  <c r="R18" i="591"/>
  <c r="R16" i="591"/>
  <c r="R15" i="591"/>
  <c r="R14" i="591"/>
  <c r="Q31" i="620"/>
  <c r="Q30" i="620"/>
  <c r="Q29" i="620"/>
  <c r="Q27" i="620"/>
  <c r="Q26" i="620"/>
  <c r="Q24" i="620"/>
  <c r="Q23" i="620"/>
  <c r="Q21" i="620"/>
  <c r="Q19" i="620"/>
  <c r="Q18" i="620"/>
  <c r="Q16" i="620"/>
  <c r="Q15" i="620"/>
  <c r="Q14" i="620"/>
  <c r="O22" i="620"/>
  <c r="P22" i="620" s="1"/>
  <c r="O18" i="615"/>
  <c r="O19" i="615" s="1"/>
  <c r="O16" i="615"/>
  <c r="O17" i="615" s="1"/>
  <c r="O14" i="615"/>
  <c r="O26" i="612"/>
  <c r="O27" i="612" s="1"/>
  <c r="O24" i="612"/>
  <c r="O23" i="612"/>
  <c r="O22" i="612"/>
  <c r="O20" i="612"/>
  <c r="O19" i="612"/>
  <c r="O18" i="612"/>
  <c r="O16" i="612"/>
  <c r="O15" i="612"/>
  <c r="O14" i="612"/>
  <c r="O35" i="611"/>
  <c r="O36" i="611" s="1"/>
  <c r="O33" i="611"/>
  <c r="O32" i="611"/>
  <c r="O30" i="611"/>
  <c r="O29" i="611"/>
  <c r="O28" i="611"/>
  <c r="O26" i="611"/>
  <c r="O25" i="611"/>
  <c r="O23" i="611"/>
  <c r="O22" i="611"/>
  <c r="O21" i="611"/>
  <c r="O19" i="611"/>
  <c r="O18" i="611"/>
  <c r="O16" i="611"/>
  <c r="O15" i="611"/>
  <c r="O14" i="611"/>
  <c r="O18" i="571"/>
  <c r="O17" i="571"/>
  <c r="O15" i="571"/>
  <c r="O14" i="571"/>
  <c r="O18" i="569"/>
  <c r="O17" i="569"/>
  <c r="O15" i="569"/>
  <c r="O14" i="569"/>
  <c r="O18" i="568"/>
  <c r="O15" i="568"/>
  <c r="O14" i="568"/>
  <c r="O24" i="567"/>
  <c r="O23" i="567"/>
  <c r="O21" i="567"/>
  <c r="O20" i="567"/>
  <c r="O18" i="567"/>
  <c r="O17" i="567"/>
  <c r="O15" i="567"/>
  <c r="O14" i="567"/>
  <c r="O18" i="566"/>
  <c r="O15" i="566"/>
  <c r="O14" i="566"/>
  <c r="O18" i="565"/>
  <c r="R28" i="562"/>
  <c r="R29" i="562" s="1"/>
  <c r="R26" i="562"/>
  <c r="R27" i="562" s="1"/>
  <c r="R24" i="562"/>
  <c r="R23" i="562"/>
  <c r="R21" i="562"/>
  <c r="R20" i="562"/>
  <c r="R18" i="562"/>
  <c r="R17" i="562"/>
  <c r="R15" i="562"/>
  <c r="R14" i="562"/>
  <c r="P28" i="551"/>
  <c r="Y31" i="551" s="1"/>
  <c r="P26" i="551"/>
  <c r="P27" i="551" s="1"/>
  <c r="P24" i="551"/>
  <c r="P25" i="551" s="1"/>
  <c r="P22" i="551"/>
  <c r="P23" i="551" s="1"/>
  <c r="P20" i="551"/>
  <c r="P21" i="551" s="1"/>
  <c r="P18" i="551"/>
  <c r="P17" i="551"/>
  <c r="P15" i="551"/>
  <c r="P14" i="551"/>
  <c r="O28" i="550"/>
  <c r="O29" i="550" s="1"/>
  <c r="O26" i="550"/>
  <c r="O25" i="550"/>
  <c r="O23" i="550"/>
  <c r="O22" i="550"/>
  <c r="O21" i="550"/>
  <c r="O19" i="550"/>
  <c r="O18" i="550"/>
  <c r="O16" i="550"/>
  <c r="O15" i="550"/>
  <c r="O14" i="550"/>
  <c r="O24" i="596"/>
  <c r="O25" i="596" s="1"/>
  <c r="O22" i="596"/>
  <c r="O23" i="596" s="1"/>
  <c r="O20" i="596"/>
  <c r="O21" i="596" s="1"/>
  <c r="O18" i="596"/>
  <c r="O16" i="596"/>
  <c r="O17" i="596" s="1"/>
  <c r="O14" i="596"/>
  <c r="R41" i="542"/>
  <c r="R40" i="542"/>
  <c r="R38" i="542"/>
  <c r="R37" i="542"/>
  <c r="R35" i="542"/>
  <c r="R34" i="542"/>
  <c r="R33" i="542"/>
  <c r="R31" i="542"/>
  <c r="R30" i="542"/>
  <c r="R29" i="542"/>
  <c r="R27" i="542"/>
  <c r="R26" i="542"/>
  <c r="R25" i="542"/>
  <c r="R23" i="542"/>
  <c r="R22" i="542"/>
  <c r="R21" i="542"/>
  <c r="R19" i="542"/>
  <c r="R18" i="542"/>
  <c r="R17" i="542"/>
  <c r="R15" i="542"/>
  <c r="R14" i="542"/>
  <c r="U32" i="398"/>
  <c r="U30" i="398"/>
  <c r="U28" i="398"/>
  <c r="U26" i="398"/>
  <c r="U24" i="398"/>
  <c r="U22" i="398"/>
  <c r="U20" i="398"/>
  <c r="U21" i="398" s="1"/>
  <c r="U18" i="398"/>
  <c r="U16" i="398"/>
  <c r="U17" i="398" s="1"/>
  <c r="U14" i="398"/>
  <c r="W27" i="434"/>
  <c r="W26" i="434"/>
  <c r="W24" i="434"/>
  <c r="W23" i="434"/>
  <c r="W21" i="434"/>
  <c r="W20" i="434"/>
  <c r="W18" i="434"/>
  <c r="W17" i="434"/>
  <c r="W15" i="434"/>
  <c r="P29" i="551" l="1"/>
  <c r="O16" i="621"/>
  <c r="R19" i="562"/>
  <c r="R16" i="542"/>
  <c r="P19" i="551"/>
  <c r="R16" i="562"/>
  <c r="R22" i="562"/>
  <c r="O28" i="620"/>
  <c r="P28" i="620" s="1"/>
  <c r="P16" i="551"/>
  <c r="R25" i="562"/>
  <c r="O28" i="630"/>
  <c r="U22" i="434"/>
  <c r="O34" i="611"/>
  <c r="O42" i="630"/>
  <c r="O45" i="630"/>
  <c r="R24" i="542"/>
  <c r="O27" i="550"/>
  <c r="R17" i="591"/>
  <c r="O48" i="630"/>
  <c r="U31" i="398"/>
  <c r="U15" i="398"/>
  <c r="U19" i="398"/>
  <c r="R42" i="542"/>
  <c r="O19" i="596"/>
  <c r="O31" i="611"/>
  <c r="O24" i="630"/>
  <c r="O31" i="630"/>
  <c r="O38" i="630"/>
  <c r="U27" i="398"/>
  <c r="U25" i="434"/>
  <c r="U25" i="398"/>
  <c r="U29" i="398"/>
  <c r="U33" i="398"/>
  <c r="R20" i="542"/>
  <c r="O19" i="565"/>
  <c r="O27" i="611"/>
  <c r="O21" i="630"/>
  <c r="O35" i="630"/>
  <c r="O17" i="621"/>
  <c r="O51" i="630"/>
  <c r="O56" i="630"/>
  <c r="O17" i="630"/>
  <c r="R34" i="591"/>
  <c r="R20" i="591"/>
  <c r="O32" i="620"/>
  <c r="O25" i="620"/>
  <c r="P25" i="620" s="1"/>
  <c r="O20" i="620"/>
  <c r="P20" i="620" s="1"/>
  <c r="O17" i="620"/>
  <c r="P17" i="620" s="1"/>
  <c r="O15" i="615"/>
  <c r="O17" i="612"/>
  <c r="O21" i="612"/>
  <c r="O25" i="612"/>
  <c r="O20" i="611"/>
  <c r="O24" i="611"/>
  <c r="O17" i="611"/>
  <c r="O16" i="571"/>
  <c r="O19" i="571"/>
  <c r="O17" i="570"/>
  <c r="O23" i="570"/>
  <c r="O20" i="570"/>
  <c r="O19" i="569"/>
  <c r="O16" i="569"/>
  <c r="O19" i="568"/>
  <c r="O16" i="568"/>
  <c r="O19" i="567"/>
  <c r="O25" i="567"/>
  <c r="O16" i="567"/>
  <c r="O22" i="567"/>
  <c r="O16" i="566"/>
  <c r="O19" i="566"/>
  <c r="O16" i="565"/>
  <c r="O21" i="565" s="1"/>
  <c r="O20" i="550"/>
  <c r="O24" i="550"/>
  <c r="O17" i="550"/>
  <c r="O15" i="596"/>
  <c r="R36" i="542"/>
  <c r="R32" i="542"/>
  <c r="R28" i="542"/>
  <c r="R39" i="542"/>
  <c r="U35" i="398"/>
  <c r="U23" i="398"/>
  <c r="U28" i="434"/>
  <c r="U19" i="434"/>
  <c r="U16" i="434"/>
  <c r="Q18" i="531"/>
  <c r="Q17" i="531"/>
  <c r="Q15" i="531"/>
  <c r="Q14" i="531"/>
  <c r="V24" i="303"/>
  <c r="V25" i="303" s="1"/>
  <c r="V23" i="303"/>
  <c r="V21" i="303"/>
  <c r="V19" i="303"/>
  <c r="V17" i="303"/>
  <c r="V14" i="303"/>
  <c r="V15" i="303" s="1"/>
  <c r="T20" i="430"/>
  <c r="R21" i="430"/>
  <c r="R19" i="430"/>
  <c r="R17" i="430"/>
  <c r="R15" i="430"/>
  <c r="O70" i="593"/>
  <c r="O71" i="593" s="1"/>
  <c r="O68" i="593"/>
  <c r="O66" i="593"/>
  <c r="O67" i="593" s="1"/>
  <c r="O64" i="593"/>
  <c r="O62" i="593"/>
  <c r="O60" i="593"/>
  <c r="O61" i="593" s="1"/>
  <c r="O58" i="593"/>
  <c r="O57" i="593"/>
  <c r="O55" i="593"/>
  <c r="O54" i="593"/>
  <c r="O52" i="593"/>
  <c r="O50" i="593"/>
  <c r="O47" i="593"/>
  <c r="O46" i="593"/>
  <c r="O44" i="593"/>
  <c r="O43" i="593"/>
  <c r="O41" i="593"/>
  <c r="O40" i="593"/>
  <c r="O38" i="593"/>
  <c r="O37" i="593"/>
  <c r="O35" i="593"/>
  <c r="O34" i="593"/>
  <c r="O33" i="593"/>
  <c r="O31" i="593"/>
  <c r="O30" i="593"/>
  <c r="O29" i="593"/>
  <c r="O27" i="593"/>
  <c r="O26" i="593"/>
  <c r="O25" i="593"/>
  <c r="O23" i="593"/>
  <c r="O22" i="593"/>
  <c r="O21" i="593"/>
  <c r="O19" i="593"/>
  <c r="O18" i="593"/>
  <c r="O17" i="593"/>
  <c r="O15" i="593"/>
  <c r="O14" i="593"/>
  <c r="O16" i="529"/>
  <c r="O17" i="529" s="1"/>
  <c r="P32" i="620" l="1"/>
  <c r="O20" i="565"/>
  <c r="O15" i="529"/>
  <c r="O18" i="529" s="1"/>
  <c r="O20" i="529" s="1"/>
  <c r="P30" i="551"/>
  <c r="O53" i="593"/>
  <c r="O24" i="570"/>
  <c r="R31" i="562"/>
  <c r="R30" i="562"/>
  <c r="O42" i="593"/>
  <c r="O16" i="593"/>
  <c r="U34" i="398"/>
  <c r="O24" i="593"/>
  <c r="O36" i="593"/>
  <c r="R35" i="591"/>
  <c r="R37" i="591" s="1"/>
  <c r="R38" i="591" s="1"/>
  <c r="AA38" i="591" s="1"/>
  <c r="E19" i="857"/>
  <c r="O19" i="621"/>
  <c r="O20" i="621" s="1"/>
  <c r="U20" i="621" s="1"/>
  <c r="O57" i="630"/>
  <c r="O33" i="620"/>
  <c r="N82" i="261" s="1"/>
  <c r="E19" i="764" s="1"/>
  <c r="O20" i="615"/>
  <c r="O28" i="612"/>
  <c r="R39" i="612" s="1"/>
  <c r="C29" i="759" s="1"/>
  <c r="O37" i="611"/>
  <c r="O20" i="571"/>
  <c r="O20" i="569"/>
  <c r="O22" i="569" s="1"/>
  <c r="O20" i="568"/>
  <c r="O26" i="567"/>
  <c r="O20" i="566"/>
  <c r="O30" i="550"/>
  <c r="R41" i="550" s="1"/>
  <c r="C29" i="714" s="1"/>
  <c r="O26" i="596"/>
  <c r="R44" i="542"/>
  <c r="R43" i="542"/>
  <c r="U29" i="434"/>
  <c r="N41" i="261" s="1"/>
  <c r="E19" i="675" s="1"/>
  <c r="O19" i="531"/>
  <c r="O16" i="531"/>
  <c r="V26" i="303"/>
  <c r="R22" i="430"/>
  <c r="N34" i="261" s="1"/>
  <c r="E19" i="664" s="1"/>
  <c r="O32" i="593"/>
  <c r="O28" i="593"/>
  <c r="O20" i="593"/>
  <c r="O48" i="593"/>
  <c r="O56" i="593"/>
  <c r="O39" i="593"/>
  <c r="O45" i="593"/>
  <c r="O51" i="593"/>
  <c r="O59" i="593"/>
  <c r="O63" i="593"/>
  <c r="O65" i="593"/>
  <c r="O69" i="593"/>
  <c r="X24" i="508"/>
  <c r="X25" i="508" s="1"/>
  <c r="X22" i="508"/>
  <c r="X23" i="508" s="1"/>
  <c r="Y23" i="508" s="1"/>
  <c r="X20" i="508"/>
  <c r="X19" i="508"/>
  <c r="X17" i="508"/>
  <c r="X16" i="508"/>
  <c r="X14" i="508"/>
  <c r="P32" i="551" l="1"/>
  <c r="P33" i="551" s="1"/>
  <c r="O21" i="529"/>
  <c r="O72" i="593"/>
  <c r="O74" i="593" s="1"/>
  <c r="O75" i="593" s="1"/>
  <c r="O23" i="569"/>
  <c r="AA23" i="569" s="1"/>
  <c r="U36" i="398"/>
  <c r="R32" i="562"/>
  <c r="X21" i="508"/>
  <c r="R45" i="542"/>
  <c r="O39" i="612"/>
  <c r="O41" i="550"/>
  <c r="O26" i="570"/>
  <c r="R39" i="591"/>
  <c r="U41" i="434"/>
  <c r="C31" i="675" s="1"/>
  <c r="O22" i="565"/>
  <c r="O23" i="565" s="1"/>
  <c r="O35" i="620"/>
  <c r="O36" i="620" s="1"/>
  <c r="Q82" i="261" s="1"/>
  <c r="E21" i="764" s="1"/>
  <c r="O21" i="621"/>
  <c r="R28" i="621" s="1"/>
  <c r="C29" i="767" s="1"/>
  <c r="V28" i="303"/>
  <c r="O59" i="630"/>
  <c r="O60" i="630" s="1"/>
  <c r="AA60" i="630" s="1"/>
  <c r="O22" i="615"/>
  <c r="O23" i="615" s="1"/>
  <c r="X23" i="615" s="1"/>
  <c r="O30" i="612"/>
  <c r="O31" i="612" s="1"/>
  <c r="U31" i="612" s="1"/>
  <c r="O39" i="611"/>
  <c r="O40" i="611" s="1"/>
  <c r="U40" i="611" s="1"/>
  <c r="O22" i="571"/>
  <c r="O32" i="550"/>
  <c r="O33" i="550" s="1"/>
  <c r="U33" i="550" s="1"/>
  <c r="O28" i="596"/>
  <c r="O29" i="596" s="1"/>
  <c r="AA29" i="596" s="1"/>
  <c r="U31" i="434"/>
  <c r="O20" i="531"/>
  <c r="N36" i="261" s="1"/>
  <c r="E19" i="668" s="1"/>
  <c r="R24" i="430"/>
  <c r="X15" i="508"/>
  <c r="Y22" i="508"/>
  <c r="X18" i="508"/>
  <c r="R25" i="504"/>
  <c r="R22" i="504"/>
  <c r="R23" i="504" s="1"/>
  <c r="S23" i="504" s="1"/>
  <c r="R20" i="504"/>
  <c r="R19" i="504"/>
  <c r="R17" i="504"/>
  <c r="R16" i="504"/>
  <c r="R14" i="504"/>
  <c r="R15" i="504" s="1"/>
  <c r="W36" i="497"/>
  <c r="W35" i="497"/>
  <c r="W33" i="497"/>
  <c r="W32" i="497"/>
  <c r="W31" i="497"/>
  <c r="W29" i="497"/>
  <c r="W28" i="497"/>
  <c r="W26" i="497"/>
  <c r="W25" i="497"/>
  <c r="W24" i="497"/>
  <c r="W22" i="497"/>
  <c r="W21" i="497"/>
  <c r="W19" i="497"/>
  <c r="W18" i="497"/>
  <c r="W16" i="497"/>
  <c r="W15" i="497"/>
  <c r="W14" i="497"/>
  <c r="O76" i="593" l="1"/>
  <c r="X84" i="593" s="1"/>
  <c r="C29" i="661" s="1"/>
  <c r="E21" i="857"/>
  <c r="E20" i="857"/>
  <c r="V33" i="551"/>
  <c r="P34" i="551"/>
  <c r="S41" i="551" s="1"/>
  <c r="C30" i="716" s="1"/>
  <c r="U46" i="591"/>
  <c r="X46" i="591"/>
  <c r="C30" i="765" s="1"/>
  <c r="O28" i="621"/>
  <c r="R84" i="593"/>
  <c r="O22" i="529"/>
  <c r="U21" i="529"/>
  <c r="U37" i="398"/>
  <c r="U38" i="398" s="1"/>
  <c r="X50" i="398" s="1"/>
  <c r="C31" i="687" s="1"/>
  <c r="R33" i="562"/>
  <c r="AA33" i="562" s="1"/>
  <c r="O27" i="570"/>
  <c r="X27" i="570" s="1"/>
  <c r="R46" i="591"/>
  <c r="O84" i="593"/>
  <c r="O24" i="569"/>
  <c r="X31" i="569" s="1"/>
  <c r="C29" i="735" s="1"/>
  <c r="U37" i="497"/>
  <c r="V37" i="497" s="1"/>
  <c r="R21" i="504"/>
  <c r="U34" i="497"/>
  <c r="V34" i="497" s="1"/>
  <c r="U30" i="497"/>
  <c r="V30" i="497" s="1"/>
  <c r="O61" i="630"/>
  <c r="O37" i="620"/>
  <c r="R36" i="620"/>
  <c r="O34" i="550"/>
  <c r="O32" i="612"/>
  <c r="O24" i="615"/>
  <c r="V29" i="303"/>
  <c r="AE29" i="303" s="1"/>
  <c r="O30" i="596"/>
  <c r="X37" i="596" s="1"/>
  <c r="C29" i="712" s="1"/>
  <c r="O22" i="621"/>
  <c r="R40" i="591"/>
  <c r="O23" i="571"/>
  <c r="X23" i="571" s="1"/>
  <c r="R46" i="542"/>
  <c r="U17" i="497"/>
  <c r="V17" i="497" s="1"/>
  <c r="U20" i="497"/>
  <c r="V20" i="497" s="1"/>
  <c r="U27" i="497"/>
  <c r="V27" i="497" s="1"/>
  <c r="U32" i="434"/>
  <c r="O41" i="611"/>
  <c r="R48" i="611" s="1"/>
  <c r="C29" i="758" s="1"/>
  <c r="O24" i="565"/>
  <c r="R25" i="430"/>
  <c r="Q34" i="261" s="1"/>
  <c r="E21" i="664" s="1"/>
  <c r="O22" i="531"/>
  <c r="X26" i="508"/>
  <c r="S22" i="504"/>
  <c r="R18" i="504"/>
  <c r="U23" i="497"/>
  <c r="V23" i="497" s="1"/>
  <c r="U84" i="593" l="1"/>
  <c r="U33" i="434"/>
  <c r="U34" i="434" s="1"/>
  <c r="S41" i="261" s="1"/>
  <c r="E23" i="675" s="1"/>
  <c r="R41" i="261"/>
  <c r="Q41" i="261"/>
  <c r="E21" i="675" s="1"/>
  <c r="R82" i="261"/>
  <c r="U68" i="630"/>
  <c r="X68" i="630"/>
  <c r="C29" i="766" s="1"/>
  <c r="R30" i="565"/>
  <c r="U30" i="565"/>
  <c r="C29" i="731" s="1"/>
  <c r="R31" i="569"/>
  <c r="U31" i="569"/>
  <c r="R34" i="562"/>
  <c r="G10" i="857"/>
  <c r="E22" i="857"/>
  <c r="P35" i="551"/>
  <c r="P36" i="551" s="1"/>
  <c r="P41" i="551"/>
  <c r="R68" i="630"/>
  <c r="R31" i="615"/>
  <c r="U31" i="615"/>
  <c r="C29" i="761" s="1"/>
  <c r="O45" i="620"/>
  <c r="C29" i="764" s="1"/>
  <c r="R37" i="596"/>
  <c r="U37" i="596"/>
  <c r="O29" i="529"/>
  <c r="R29" i="529"/>
  <c r="C29" i="660" s="1"/>
  <c r="O30" i="565"/>
  <c r="O28" i="570"/>
  <c r="V30" i="303"/>
  <c r="U50" i="398"/>
  <c r="AA37" i="398"/>
  <c r="U39" i="398"/>
  <c r="O31" i="615"/>
  <c r="O48" i="611"/>
  <c r="O68" i="630"/>
  <c r="O37" i="596"/>
  <c r="O31" i="569"/>
  <c r="O25" i="569"/>
  <c r="O23" i="621"/>
  <c r="E24" i="857" s="1"/>
  <c r="E23" i="857"/>
  <c r="O35" i="550"/>
  <c r="O25" i="565"/>
  <c r="O24" i="571"/>
  <c r="U30" i="571" s="1"/>
  <c r="C29" i="737" s="1"/>
  <c r="O31" i="596"/>
  <c r="O62" i="630"/>
  <c r="O23" i="531"/>
  <c r="O42" i="611"/>
  <c r="R41" i="591"/>
  <c r="O33" i="612"/>
  <c r="O38" i="620"/>
  <c r="S82" i="261" s="1"/>
  <c r="E23" i="764" s="1"/>
  <c r="X32" i="434"/>
  <c r="R47" i="542"/>
  <c r="U54" i="542" s="1"/>
  <c r="C30" i="698" s="1"/>
  <c r="X46" i="542"/>
  <c r="O25" i="615"/>
  <c r="U25" i="430"/>
  <c r="R26" i="430"/>
  <c r="X28" i="508"/>
  <c r="R26" i="504"/>
  <c r="U38" i="497"/>
  <c r="N19" i="261" s="1"/>
  <c r="E19" i="644" s="1"/>
  <c r="R33" i="430" l="1"/>
  <c r="C30" i="664" s="1"/>
  <c r="R34" i="261"/>
  <c r="G10" i="764"/>
  <c r="E22" i="764"/>
  <c r="O24" i="531"/>
  <c r="Q36" i="261"/>
  <c r="E21" i="668" s="1"/>
  <c r="U35" i="570"/>
  <c r="C29" i="736" s="1"/>
  <c r="E22" i="675"/>
  <c r="G10" i="675"/>
  <c r="U41" i="562"/>
  <c r="X41" i="562"/>
  <c r="C30" i="728" s="1"/>
  <c r="V41" i="303"/>
  <c r="AB41" i="303"/>
  <c r="C32" i="667" s="1"/>
  <c r="R35" i="562"/>
  <c r="R36" i="562" s="1"/>
  <c r="R41" i="562"/>
  <c r="R30" i="571"/>
  <c r="V31" i="303"/>
  <c r="O35" i="570"/>
  <c r="R35" i="570"/>
  <c r="U40" i="398"/>
  <c r="O29" i="570"/>
  <c r="O30" i="570" s="1"/>
  <c r="Y41" i="303"/>
  <c r="R54" i="542"/>
  <c r="O30" i="571"/>
  <c r="O36" i="550"/>
  <c r="O77" i="593"/>
  <c r="R27" i="430"/>
  <c r="S34" i="261" s="1"/>
  <c r="E23" i="664" s="1"/>
  <c r="O34" i="612"/>
  <c r="O63" i="630"/>
  <c r="O25" i="571"/>
  <c r="X29" i="508"/>
  <c r="AD29" i="508" s="1"/>
  <c r="O26" i="615"/>
  <c r="O26" i="569"/>
  <c r="O39" i="620"/>
  <c r="T82" i="261" s="1"/>
  <c r="E24" i="764" s="1"/>
  <c r="R23" i="531"/>
  <c r="O43" i="611"/>
  <c r="U35" i="434"/>
  <c r="T41" i="261" s="1"/>
  <c r="E24" i="675" s="1"/>
  <c r="R48" i="542"/>
  <c r="O32" i="596"/>
  <c r="O26" i="565"/>
  <c r="R28" i="504"/>
  <c r="U40" i="497"/>
  <c r="N14" i="631"/>
  <c r="O14" i="631"/>
  <c r="H14" i="631"/>
  <c r="H15" i="631" s="1"/>
  <c r="O31" i="531" l="1"/>
  <c r="C29" i="668" s="1"/>
  <c r="R36" i="261"/>
  <c r="O25" i="531"/>
  <c r="S36" i="261" s="1"/>
  <c r="E23" i="668" s="1"/>
  <c r="E22" i="664"/>
  <c r="G10" i="664"/>
  <c r="V32" i="303"/>
  <c r="O26" i="531"/>
  <c r="T36" i="261" s="1"/>
  <c r="E24" i="668" s="1"/>
  <c r="P14" i="631"/>
  <c r="L15" i="631"/>
  <c r="L16" i="631" s="1"/>
  <c r="N86" i="261" s="1"/>
  <c r="E19" i="769" s="1"/>
  <c r="O23" i="529"/>
  <c r="O26" i="571"/>
  <c r="O78" i="593"/>
  <c r="H16" i="631"/>
  <c r="H86" i="261" s="1"/>
  <c r="G9" i="769" s="1"/>
  <c r="U41" i="497"/>
  <c r="R29" i="504"/>
  <c r="AD29" i="504" s="1"/>
  <c r="R49" i="542"/>
  <c r="X30" i="508"/>
  <c r="R28" i="430"/>
  <c r="T34" i="261" s="1"/>
  <c r="E24" i="664" s="1"/>
  <c r="L55" i="630"/>
  <c r="AA55" i="630" s="1"/>
  <c r="L54" i="630"/>
  <c r="AA54" i="630" s="1"/>
  <c r="L52" i="630"/>
  <c r="AA52" i="630" s="1"/>
  <c r="L50" i="630"/>
  <c r="AA50" i="630" s="1"/>
  <c r="L49" i="630"/>
  <c r="AA49" i="630" s="1"/>
  <c r="L47" i="630"/>
  <c r="AA47" i="630" s="1"/>
  <c r="L46" i="630"/>
  <c r="AA46" i="630" s="1"/>
  <c r="L44" i="630"/>
  <c r="AA44" i="630" s="1"/>
  <c r="L43" i="630"/>
  <c r="AA43" i="630" s="1"/>
  <c r="L41" i="630"/>
  <c r="AA41" i="630" s="1"/>
  <c r="L40" i="630"/>
  <c r="AA40" i="630" s="1"/>
  <c r="L39" i="630"/>
  <c r="AA39" i="630" s="1"/>
  <c r="L37" i="630"/>
  <c r="AA37" i="630" s="1"/>
  <c r="L36" i="630"/>
  <c r="AA36" i="630" s="1"/>
  <c r="L34" i="630"/>
  <c r="AA34" i="630" s="1"/>
  <c r="L33" i="630"/>
  <c r="AA33" i="630" s="1"/>
  <c r="L32" i="630"/>
  <c r="AA32" i="630" s="1"/>
  <c r="L30" i="630"/>
  <c r="AA30" i="630" s="1"/>
  <c r="L29" i="630"/>
  <c r="AA29" i="630" s="1"/>
  <c r="L27" i="630"/>
  <c r="AA27" i="630" s="1"/>
  <c r="L26" i="630"/>
  <c r="AA26" i="630" s="1"/>
  <c r="L25" i="630"/>
  <c r="AA25" i="630" s="1"/>
  <c r="L23" i="630"/>
  <c r="AA23" i="630" s="1"/>
  <c r="L22" i="630"/>
  <c r="AA22" i="630" s="1"/>
  <c r="L20" i="630"/>
  <c r="AA20" i="630" s="1"/>
  <c r="L19" i="630"/>
  <c r="AA19" i="630" s="1"/>
  <c r="L18" i="630"/>
  <c r="AA18" i="630" s="1"/>
  <c r="L16" i="630"/>
  <c r="AA16" i="630" s="1"/>
  <c r="L15" i="630"/>
  <c r="AA15" i="630" s="1"/>
  <c r="L14" i="630"/>
  <c r="AA14" i="630" s="1"/>
  <c r="H55" i="630"/>
  <c r="H54" i="630"/>
  <c r="H52" i="630"/>
  <c r="H50" i="630"/>
  <c r="H49" i="630"/>
  <c r="H47" i="630"/>
  <c r="H46" i="630"/>
  <c r="H44" i="630"/>
  <c r="H43" i="630"/>
  <c r="H41" i="630"/>
  <c r="H40" i="630"/>
  <c r="V40" i="630" s="1"/>
  <c r="H39" i="630"/>
  <c r="H37" i="630"/>
  <c r="S37" i="630" s="1"/>
  <c r="H36" i="630"/>
  <c r="H34" i="630"/>
  <c r="H33" i="630"/>
  <c r="H32" i="630"/>
  <c r="H30" i="630"/>
  <c r="S30" i="630" s="1"/>
  <c r="H27" i="630"/>
  <c r="S27" i="630" s="1"/>
  <c r="H23" i="630"/>
  <c r="S23" i="630" s="1"/>
  <c r="H20" i="630"/>
  <c r="S20" i="630" s="1"/>
  <c r="H16" i="630"/>
  <c r="H15" i="630"/>
  <c r="H14" i="630"/>
  <c r="U42" i="497" l="1"/>
  <c r="R19" i="261" s="1"/>
  <c r="Q19" i="261"/>
  <c r="E21" i="644" s="1"/>
  <c r="L53" i="630"/>
  <c r="AA53" i="630" s="1"/>
  <c r="G10" i="668"/>
  <c r="E22" i="668"/>
  <c r="AB52" i="630"/>
  <c r="S52" i="630"/>
  <c r="V52" i="630"/>
  <c r="X39" i="508"/>
  <c r="AA39" i="508"/>
  <c r="C32" i="652" s="1"/>
  <c r="P39" i="630"/>
  <c r="S39" i="630"/>
  <c r="P44" i="630"/>
  <c r="S44" i="630"/>
  <c r="P50" i="630"/>
  <c r="S50" i="630"/>
  <c r="P34" i="630"/>
  <c r="S34" i="630"/>
  <c r="P40" i="630"/>
  <c r="S40" i="630"/>
  <c r="P41" i="630"/>
  <c r="S41" i="630"/>
  <c r="P47" i="630"/>
  <c r="S47" i="630"/>
  <c r="P54" i="630"/>
  <c r="S54" i="630"/>
  <c r="P16" i="630"/>
  <c r="S16" i="630"/>
  <c r="U51" i="497"/>
  <c r="C31" i="644" s="1"/>
  <c r="AB47" i="630"/>
  <c r="O24" i="529"/>
  <c r="L31" i="630"/>
  <c r="AA31" i="630" s="1"/>
  <c r="M47" i="630"/>
  <c r="H28" i="630"/>
  <c r="V28" i="630" s="1"/>
  <c r="P27" i="630"/>
  <c r="M16" i="630"/>
  <c r="AB16" i="630"/>
  <c r="AB27" i="630"/>
  <c r="L51" i="630"/>
  <c r="AA51" i="630" s="1"/>
  <c r="AB50" i="630"/>
  <c r="M52" i="630"/>
  <c r="R30" i="504"/>
  <c r="AA38" i="504" s="1"/>
  <c r="C30" i="651" s="1"/>
  <c r="H31" i="630"/>
  <c r="V31" i="630" s="1"/>
  <c r="P30" i="630"/>
  <c r="L56" i="630"/>
  <c r="AA56" i="630" s="1"/>
  <c r="L21" i="630"/>
  <c r="AA21" i="630" s="1"/>
  <c r="M34" i="630"/>
  <c r="AB34" i="630"/>
  <c r="M40" i="630"/>
  <c r="AB40" i="630"/>
  <c r="L48" i="630"/>
  <c r="AA48" i="630" s="1"/>
  <c r="M30" i="630"/>
  <c r="H18" i="631"/>
  <c r="K86" i="261" s="1"/>
  <c r="L18" i="631"/>
  <c r="L19" i="631" s="1"/>
  <c r="Q86" i="261" s="1"/>
  <c r="E21" i="769" s="1"/>
  <c r="H24" i="630"/>
  <c r="V24" i="630" s="1"/>
  <c r="P23" i="630"/>
  <c r="M20" i="630"/>
  <c r="AB20" i="630"/>
  <c r="H53" i="630"/>
  <c r="V53" i="630" s="1"/>
  <c r="P52" i="630"/>
  <c r="L24" i="630"/>
  <c r="AA24" i="630" s="1"/>
  <c r="L35" i="630"/>
  <c r="AA35" i="630" s="1"/>
  <c r="M39" i="630"/>
  <c r="AB39" i="630"/>
  <c r="L45" i="630"/>
  <c r="AA45" i="630" s="1"/>
  <c r="AB44" i="630"/>
  <c r="M23" i="630"/>
  <c r="X31" i="508"/>
  <c r="X41" i="497"/>
  <c r="H21" i="630"/>
  <c r="V21" i="630" s="1"/>
  <c r="P20" i="630"/>
  <c r="M37" i="630"/>
  <c r="P37" i="630"/>
  <c r="L28" i="630"/>
  <c r="AA28" i="630" s="1"/>
  <c r="L38" i="630"/>
  <c r="AA38" i="630" s="1"/>
  <c r="M54" i="630"/>
  <c r="AB54" i="630"/>
  <c r="M41" i="630"/>
  <c r="M15" i="631"/>
  <c r="O15" i="631"/>
  <c r="L17" i="630"/>
  <c r="AA17" i="630" s="1"/>
  <c r="L42" i="630"/>
  <c r="AA42" i="630" s="1"/>
  <c r="M27" i="630"/>
  <c r="M44" i="630"/>
  <c r="M50" i="630"/>
  <c r="H38" i="630"/>
  <c r="H56" i="630"/>
  <c r="AB41" i="630"/>
  <c r="AB37" i="630"/>
  <c r="AB30" i="630"/>
  <c r="AB23" i="630"/>
  <c r="H48" i="630"/>
  <c r="H35" i="630"/>
  <c r="V35" i="630" s="1"/>
  <c r="H17" i="630"/>
  <c r="V17" i="630" s="1"/>
  <c r="H45" i="630"/>
  <c r="H51" i="630"/>
  <c r="H42" i="630"/>
  <c r="V42" i="630" s="1"/>
  <c r="U43" i="497" l="1"/>
  <c r="S19" i="261" s="1"/>
  <c r="E23" i="644" s="1"/>
  <c r="G10" i="644"/>
  <c r="E22" i="644"/>
  <c r="AB24" i="630"/>
  <c r="S51" i="630"/>
  <c r="V51" i="630"/>
  <c r="S48" i="630"/>
  <c r="V48" i="630"/>
  <c r="S45" i="630"/>
  <c r="V45" i="630"/>
  <c r="S56" i="630"/>
  <c r="V56" i="630"/>
  <c r="S38" i="630"/>
  <c r="V38" i="630"/>
  <c r="U38" i="504"/>
  <c r="X38" i="504"/>
  <c r="AB28" i="630"/>
  <c r="AB42" i="630"/>
  <c r="AB45" i="630"/>
  <c r="AB35" i="630"/>
  <c r="P53" i="630"/>
  <c r="S53" i="630"/>
  <c r="P31" i="630"/>
  <c r="S31" i="630"/>
  <c r="AB51" i="630"/>
  <c r="AB31" i="630"/>
  <c r="AB21" i="630"/>
  <c r="P28" i="630"/>
  <c r="S28" i="630"/>
  <c r="AB53" i="630"/>
  <c r="AB38" i="630"/>
  <c r="P24" i="630"/>
  <c r="S24" i="630"/>
  <c r="AB56" i="630"/>
  <c r="P17" i="630"/>
  <c r="S17" i="630"/>
  <c r="P42" i="630"/>
  <c r="S42" i="630"/>
  <c r="P35" i="630"/>
  <c r="S35" i="630"/>
  <c r="P21" i="630"/>
  <c r="S21" i="630"/>
  <c r="AB48" i="630"/>
  <c r="R38" i="504"/>
  <c r="M53" i="630"/>
  <c r="M31" i="630"/>
  <c r="M35" i="630"/>
  <c r="X32" i="508"/>
  <c r="H57" i="630"/>
  <c r="Y61" i="630" s="1"/>
  <c r="P48" i="630"/>
  <c r="M56" i="630"/>
  <c r="P56" i="630"/>
  <c r="M38" i="630"/>
  <c r="P38" i="630"/>
  <c r="M28" i="630"/>
  <c r="H21" i="631"/>
  <c r="L86" i="261" s="1"/>
  <c r="M51" i="630"/>
  <c r="P51" i="630"/>
  <c r="P15" i="631"/>
  <c r="O16" i="631"/>
  <c r="L20" i="631"/>
  <c r="R86" i="261" s="1"/>
  <c r="O19" i="631"/>
  <c r="M45" i="630"/>
  <c r="P45" i="630"/>
  <c r="AB17" i="630"/>
  <c r="M24" i="630"/>
  <c r="M21" i="630"/>
  <c r="R31" i="504"/>
  <c r="U44" i="497"/>
  <c r="T19" i="261" s="1"/>
  <c r="E24" i="644" s="1"/>
  <c r="M42" i="630"/>
  <c r="M48" i="630"/>
  <c r="M17" i="630"/>
  <c r="G10" i="769" l="1"/>
  <c r="E22" i="769"/>
  <c r="Y71" i="630"/>
  <c r="O84" i="261"/>
  <c r="M20" i="631"/>
  <c r="O86" i="261" s="1"/>
  <c r="L25" i="631"/>
  <c r="C28" i="769" s="1"/>
  <c r="C34" i="769" s="1"/>
  <c r="S61" i="630"/>
  <c r="V61" i="630"/>
  <c r="Y70" i="630" s="1"/>
  <c r="E31" i="766" s="1"/>
  <c r="P61" i="630"/>
  <c r="Y68" i="630" s="1"/>
  <c r="E29" i="766" s="1"/>
  <c r="AA57" i="630"/>
  <c r="AA59" i="630" s="1"/>
  <c r="AA61" i="630" s="1"/>
  <c r="AB61" i="630" s="1"/>
  <c r="R32" i="504"/>
  <c r="O18" i="631"/>
  <c r="O20" i="631" s="1"/>
  <c r="H22" i="631"/>
  <c r="M86" i="261" s="1"/>
  <c r="L21" i="631"/>
  <c r="S86" i="261" s="1"/>
  <c r="E23" i="769" s="1"/>
  <c r="H59" i="630"/>
  <c r="H84" i="261"/>
  <c r="G9" i="766" s="1"/>
  <c r="L57" i="630"/>
  <c r="E32" i="766" l="1"/>
  <c r="V69" i="630"/>
  <c r="Y69" i="630"/>
  <c r="E30" i="766" s="1"/>
  <c r="O21" i="631"/>
  <c r="O22" i="631" s="1"/>
  <c r="P16" i="631"/>
  <c r="U67" i="630"/>
  <c r="U71" i="630" s="1"/>
  <c r="X67" i="630"/>
  <c r="V70" i="630"/>
  <c r="L26" i="631"/>
  <c r="S68" i="630"/>
  <c r="V68" i="630"/>
  <c r="M25" i="631"/>
  <c r="E28" i="769" s="1"/>
  <c r="E34" i="769" s="1"/>
  <c r="O67" i="630"/>
  <c r="O69" i="630" s="1"/>
  <c r="R67" i="630"/>
  <c r="S69" i="630"/>
  <c r="AA62" i="630"/>
  <c r="AA63" i="630" s="1"/>
  <c r="L22" i="631"/>
  <c r="T86" i="261" s="1"/>
  <c r="E24" i="769" s="1"/>
  <c r="P68" i="630"/>
  <c r="H62" i="630"/>
  <c r="K84" i="261"/>
  <c r="M57" i="630"/>
  <c r="Y67" i="630" s="1"/>
  <c r="E28" i="766" s="1"/>
  <c r="L67" i="630"/>
  <c r="L69" i="630" s="1"/>
  <c r="L59" i="630"/>
  <c r="L62" i="630" s="1"/>
  <c r="L63" i="630" s="1"/>
  <c r="E34" i="766" l="1"/>
  <c r="C28" i="766"/>
  <c r="C34" i="766" s="1"/>
  <c r="X72" i="630"/>
  <c r="Y72" i="630"/>
  <c r="M26" i="631"/>
  <c r="S67" i="630"/>
  <c r="V67" i="630"/>
  <c r="V71" i="630" s="1"/>
  <c r="S71" i="630"/>
  <c r="R71" i="630"/>
  <c r="M67" i="630"/>
  <c r="M69" i="630" s="1"/>
  <c r="P67" i="630"/>
  <c r="H63" i="630"/>
  <c r="M84" i="261" s="1"/>
  <c r="L84" i="261"/>
  <c r="L18" i="531"/>
  <c r="L17" i="531"/>
  <c r="R17" i="531" s="1"/>
  <c r="S17" i="531" s="1"/>
  <c r="L15" i="531"/>
  <c r="P69" i="630" l="1"/>
  <c r="R18" i="531"/>
  <c r="R15" i="531"/>
  <c r="S15" i="531" s="1"/>
  <c r="O33" i="591"/>
  <c r="O31" i="591"/>
  <c r="O32" i="591" s="1"/>
  <c r="O29" i="591"/>
  <c r="O30" i="591" s="1"/>
  <c r="O27" i="591"/>
  <c r="O25" i="591"/>
  <c r="O26" i="591" s="1"/>
  <c r="O23" i="591"/>
  <c r="O24" i="591" s="1"/>
  <c r="O21" i="591"/>
  <c r="O22" i="591" s="1"/>
  <c r="O19" i="591"/>
  <c r="O18" i="591"/>
  <c r="O16" i="591"/>
  <c r="O15" i="591"/>
  <c r="O14" i="591"/>
  <c r="O28" i="562"/>
  <c r="O26" i="562"/>
  <c r="O24" i="562"/>
  <c r="O23" i="562"/>
  <c r="O21" i="562"/>
  <c r="O20" i="562"/>
  <c r="O18" i="562"/>
  <c r="O17" i="562"/>
  <c r="O15" i="562"/>
  <c r="O14" i="562"/>
  <c r="Q14" i="555"/>
  <c r="Q15" i="554"/>
  <c r="M28" i="551"/>
  <c r="M29" i="551" s="1"/>
  <c r="M26" i="551"/>
  <c r="M27" i="551" s="1"/>
  <c r="M24" i="551"/>
  <c r="M25" i="551" s="1"/>
  <c r="M22" i="551"/>
  <c r="M23" i="551" s="1"/>
  <c r="M20" i="551"/>
  <c r="M21" i="551" s="1"/>
  <c r="M18" i="551"/>
  <c r="M17" i="551"/>
  <c r="M15" i="551"/>
  <c r="M14" i="551"/>
  <c r="O20" i="591" l="1"/>
  <c r="O22" i="562"/>
  <c r="M16" i="551"/>
  <c r="O28" i="591"/>
  <c r="O19" i="562"/>
  <c r="M19" i="551"/>
  <c r="O16" i="562"/>
  <c r="O27" i="562"/>
  <c r="O34" i="591"/>
  <c r="O29" i="562"/>
  <c r="O17" i="591"/>
  <c r="O25" i="562"/>
  <c r="O16" i="555"/>
  <c r="O16" i="554"/>
  <c r="O41" i="542"/>
  <c r="O40" i="542"/>
  <c r="O38" i="542"/>
  <c r="O37" i="542"/>
  <c r="O35" i="542"/>
  <c r="O34" i="542"/>
  <c r="O33" i="542"/>
  <c r="O31" i="542"/>
  <c r="O30" i="542"/>
  <c r="O29" i="542"/>
  <c r="O27" i="542"/>
  <c r="O26" i="542"/>
  <c r="O25" i="542"/>
  <c r="O23" i="542"/>
  <c r="O22" i="542"/>
  <c r="O21" i="542"/>
  <c r="O19" i="542"/>
  <c r="O18" i="542"/>
  <c r="O17" i="542"/>
  <c r="O15" i="542"/>
  <c r="O14" i="542"/>
  <c r="T16" i="445"/>
  <c r="T15" i="445"/>
  <c r="T14" i="445"/>
  <c r="R32" i="398"/>
  <c r="R30" i="398"/>
  <c r="R28" i="398"/>
  <c r="R29" i="398" s="1"/>
  <c r="R26" i="398"/>
  <c r="R24" i="398"/>
  <c r="R25" i="398" s="1"/>
  <c r="R22" i="398"/>
  <c r="R23" i="398" s="1"/>
  <c r="R20" i="398"/>
  <c r="R18" i="398"/>
  <c r="R19" i="398" s="1"/>
  <c r="R16" i="398"/>
  <c r="R14" i="398"/>
  <c r="U24" i="259"/>
  <c r="U22" i="259"/>
  <c r="R27" i="434"/>
  <c r="R26" i="434"/>
  <c r="R24" i="434"/>
  <c r="R23" i="434"/>
  <c r="R21" i="434"/>
  <c r="R20" i="434"/>
  <c r="R18" i="434"/>
  <c r="R17" i="434"/>
  <c r="R15" i="434"/>
  <c r="R14" i="434"/>
  <c r="R27" i="432"/>
  <c r="R26" i="432"/>
  <c r="R24" i="432"/>
  <c r="R23" i="432"/>
  <c r="R21" i="432"/>
  <c r="R20" i="432"/>
  <c r="R18" i="432"/>
  <c r="R17" i="432"/>
  <c r="R15" i="432"/>
  <c r="R14" i="432"/>
  <c r="O17" i="554" l="1"/>
  <c r="N56" i="261" s="1"/>
  <c r="E19" i="720" s="1"/>
  <c r="U31" i="259"/>
  <c r="R19" i="432"/>
  <c r="R19" i="434"/>
  <c r="O30" i="562"/>
  <c r="R28" i="432"/>
  <c r="R28" i="434"/>
  <c r="U28" i="259"/>
  <c r="O31" i="562"/>
  <c r="U20" i="259"/>
  <c r="R17" i="445"/>
  <c r="R18" i="445" s="1"/>
  <c r="N44" i="261" s="1"/>
  <c r="E19" i="689" s="1"/>
  <c r="O28" i="542"/>
  <c r="M30" i="551"/>
  <c r="U34" i="259"/>
  <c r="O20" i="542"/>
  <c r="O36" i="542"/>
  <c r="O42" i="542"/>
  <c r="O35" i="591"/>
  <c r="X45" i="591" s="1"/>
  <c r="C29" i="765" s="1"/>
  <c r="O17" i="555"/>
  <c r="O32" i="542"/>
  <c r="O24" i="542"/>
  <c r="O16" i="542"/>
  <c r="O39" i="542"/>
  <c r="R15" i="398"/>
  <c r="R17" i="398"/>
  <c r="R21" i="398"/>
  <c r="R27" i="398"/>
  <c r="R31" i="398"/>
  <c r="R33" i="398"/>
  <c r="R35" i="398"/>
  <c r="U17" i="259"/>
  <c r="R22" i="434"/>
  <c r="R16" i="434"/>
  <c r="R25" i="434"/>
  <c r="R22" i="432"/>
  <c r="R16" i="432"/>
  <c r="R25" i="432"/>
  <c r="T20" i="516"/>
  <c r="T19" i="516"/>
  <c r="T18" i="516"/>
  <c r="T16" i="516"/>
  <c r="T15" i="516"/>
  <c r="T14" i="516"/>
  <c r="T39" i="393"/>
  <c r="T38" i="393"/>
  <c r="T36" i="393"/>
  <c r="T35" i="393"/>
  <c r="T33" i="393"/>
  <c r="T32" i="393"/>
  <c r="T30" i="393"/>
  <c r="T29" i="393"/>
  <c r="T27" i="393"/>
  <c r="T26" i="393"/>
  <c r="T24" i="393"/>
  <c r="T23" i="393"/>
  <c r="T21" i="393"/>
  <c r="T20" i="393"/>
  <c r="T18" i="393"/>
  <c r="T17" i="393"/>
  <c r="T15" i="393"/>
  <c r="S24" i="303"/>
  <c r="S25" i="303" s="1"/>
  <c r="S22" i="303"/>
  <c r="S23" i="303" s="1"/>
  <c r="S20" i="303"/>
  <c r="S21" i="303" s="1"/>
  <c r="S18" i="303"/>
  <c r="S19" i="303" s="1"/>
  <c r="S16" i="303"/>
  <c r="S17" i="303" s="1"/>
  <c r="S14" i="303"/>
  <c r="S15" i="303" s="1"/>
  <c r="M32" i="551" l="1"/>
  <c r="S40" i="551"/>
  <c r="C29" i="716" s="1"/>
  <c r="R45" i="591"/>
  <c r="U45" i="591"/>
  <c r="R34" i="393"/>
  <c r="O32" i="562"/>
  <c r="X40" i="562" s="1"/>
  <c r="C29" i="728" s="1"/>
  <c r="N57" i="261"/>
  <c r="E19" i="721" s="1"/>
  <c r="R30" i="445"/>
  <c r="C30" i="689" s="1"/>
  <c r="R16" i="393"/>
  <c r="R22" i="393"/>
  <c r="M40" i="551"/>
  <c r="P40" i="551"/>
  <c r="R21" i="516"/>
  <c r="R28" i="393"/>
  <c r="R40" i="393"/>
  <c r="U35" i="259"/>
  <c r="O45" i="591"/>
  <c r="O37" i="591"/>
  <c r="O19" i="555"/>
  <c r="O20" i="555" s="1"/>
  <c r="O19" i="554"/>
  <c r="O20" i="554" s="1"/>
  <c r="M35" i="551"/>
  <c r="M36" i="551" s="1"/>
  <c r="O44" i="542"/>
  <c r="O43" i="542"/>
  <c r="R20" i="445"/>
  <c r="R34" i="398"/>
  <c r="R29" i="434"/>
  <c r="R29" i="432"/>
  <c r="R17" i="516"/>
  <c r="R19" i="393"/>
  <c r="R25" i="393"/>
  <c r="R31" i="393"/>
  <c r="R37" i="393"/>
  <c r="S26" i="303"/>
  <c r="AB40" i="303" s="1"/>
  <c r="C31" i="667" s="1"/>
  <c r="U24" i="508"/>
  <c r="U25" i="508" s="1"/>
  <c r="U22" i="508"/>
  <c r="U23" i="508" s="1"/>
  <c r="V23" i="508" s="1"/>
  <c r="U20" i="508"/>
  <c r="U19" i="508"/>
  <c r="U17" i="508"/>
  <c r="U16" i="508"/>
  <c r="U14" i="508"/>
  <c r="X36" i="495"/>
  <c r="X37" i="495" s="1"/>
  <c r="X34" i="495"/>
  <c r="X35" i="495" s="1"/>
  <c r="X32" i="495"/>
  <c r="X31" i="495"/>
  <c r="X30" i="495"/>
  <c r="X28" i="495"/>
  <c r="X27" i="495"/>
  <c r="X26" i="495"/>
  <c r="X24" i="495"/>
  <c r="X23" i="495"/>
  <c r="X22" i="495"/>
  <c r="X20" i="495"/>
  <c r="X21" i="495" s="1"/>
  <c r="X18" i="495"/>
  <c r="X19" i="495" s="1"/>
  <c r="X16" i="495"/>
  <c r="X17" i="495" s="1"/>
  <c r="X14" i="495"/>
  <c r="AC23" i="209"/>
  <c r="AC22" i="209"/>
  <c r="AC20" i="209"/>
  <c r="AC19" i="209"/>
  <c r="AC18" i="209"/>
  <c r="AC16" i="209"/>
  <c r="AC15" i="209"/>
  <c r="Q84" i="527"/>
  <c r="Q83" i="527"/>
  <c r="Q81" i="527"/>
  <c r="Q80" i="527"/>
  <c r="Q78" i="527"/>
  <c r="Q77" i="527"/>
  <c r="Q75" i="527"/>
  <c r="Q74" i="527"/>
  <c r="Q72" i="527"/>
  <c r="Q71" i="527"/>
  <c r="Q69" i="527"/>
  <c r="Q68" i="527"/>
  <c r="Q66" i="527"/>
  <c r="Q65" i="527"/>
  <c r="Q63" i="527"/>
  <c r="Q62" i="527"/>
  <c r="Q60" i="527"/>
  <c r="Q59" i="527"/>
  <c r="Q57" i="527"/>
  <c r="Q56" i="527"/>
  <c r="Q54" i="527"/>
  <c r="Q53" i="527"/>
  <c r="Q51" i="527"/>
  <c r="Q50" i="527"/>
  <c r="Q48" i="527"/>
  <c r="Q47" i="527"/>
  <c r="Q45" i="527"/>
  <c r="Q44" i="527"/>
  <c r="Q42" i="527"/>
  <c r="Q41" i="527"/>
  <c r="Q39" i="527"/>
  <c r="Q38" i="527"/>
  <c r="Q36" i="527"/>
  <c r="Q35" i="527"/>
  <c r="Q33" i="527"/>
  <c r="Q32" i="527"/>
  <c r="Q30" i="527"/>
  <c r="Q29" i="527"/>
  <c r="Q27" i="527"/>
  <c r="Q26" i="527"/>
  <c r="Q24" i="527"/>
  <c r="Q23" i="527"/>
  <c r="Q21" i="527"/>
  <c r="Q20" i="527"/>
  <c r="Q18" i="527"/>
  <c r="Q17" i="527"/>
  <c r="Q15" i="527"/>
  <c r="Q14" i="527"/>
  <c r="Q56" i="261" l="1"/>
  <c r="E21" i="720" s="1"/>
  <c r="R20" i="554"/>
  <c r="U37" i="259"/>
  <c r="U38" i="259" s="1"/>
  <c r="AA38" i="259" s="1"/>
  <c r="R40" i="562"/>
  <c r="U40" i="562"/>
  <c r="V40" i="303"/>
  <c r="Y40" i="303"/>
  <c r="O22" i="527"/>
  <c r="O28" i="527"/>
  <c r="O40" i="527"/>
  <c r="O35" i="562"/>
  <c r="O36" i="562" s="1"/>
  <c r="O40" i="562"/>
  <c r="O19" i="527"/>
  <c r="O31" i="527"/>
  <c r="O49" i="527"/>
  <c r="O73" i="527"/>
  <c r="O79" i="527"/>
  <c r="AA24" i="209"/>
  <c r="X29" i="495"/>
  <c r="U21" i="508"/>
  <c r="X25" i="495"/>
  <c r="X33" i="495"/>
  <c r="R40" i="434"/>
  <c r="U40" i="434"/>
  <c r="C30" i="675" s="1"/>
  <c r="R21" i="445"/>
  <c r="O21" i="555"/>
  <c r="R20" i="555"/>
  <c r="Q57" i="261"/>
  <c r="E21" i="721" s="1"/>
  <c r="O21" i="554"/>
  <c r="S40" i="303"/>
  <c r="O45" i="542"/>
  <c r="U53" i="542" s="1"/>
  <c r="C29" i="698" s="1"/>
  <c r="O40" i="591"/>
  <c r="O41" i="591" s="1"/>
  <c r="R36" i="398"/>
  <c r="X49" i="398" s="1"/>
  <c r="C30" i="687" s="1"/>
  <c r="R31" i="434"/>
  <c r="R31" i="432"/>
  <c r="R32" i="432" s="1"/>
  <c r="AA32" i="432" s="1"/>
  <c r="R23" i="516"/>
  <c r="P38" i="261" s="1"/>
  <c r="E20" i="670" s="1"/>
  <c r="R22" i="516"/>
  <c r="N38" i="261" s="1"/>
  <c r="E19" i="670" s="1"/>
  <c r="R41" i="393"/>
  <c r="N37" i="261" s="1"/>
  <c r="E19" i="669" s="1"/>
  <c r="S28" i="303"/>
  <c r="V22" i="508"/>
  <c r="U18" i="508"/>
  <c r="U15" i="508"/>
  <c r="X15" i="495"/>
  <c r="AA17" i="209"/>
  <c r="O85" i="527"/>
  <c r="O82" i="527"/>
  <c r="O76" i="527"/>
  <c r="O55" i="527"/>
  <c r="O46" i="527"/>
  <c r="O37" i="527"/>
  <c r="O34" i="527"/>
  <c r="O25" i="527"/>
  <c r="O43" i="527"/>
  <c r="O61" i="527"/>
  <c r="O67" i="527"/>
  <c r="O16" i="527"/>
  <c r="O52" i="527"/>
  <c r="O58" i="527"/>
  <c r="O64" i="527"/>
  <c r="O70" i="527"/>
  <c r="Q56" i="526"/>
  <c r="Q55" i="526"/>
  <c r="Q53" i="526"/>
  <c r="Q52" i="526"/>
  <c r="Q50" i="526"/>
  <c r="Q49" i="526"/>
  <c r="Q47" i="526"/>
  <c r="Q46" i="526"/>
  <c r="Q44" i="526"/>
  <c r="Q43" i="526"/>
  <c r="Q41" i="526"/>
  <c r="Q40" i="526"/>
  <c r="Q38" i="526"/>
  <c r="Q37" i="526"/>
  <c r="Q35" i="526"/>
  <c r="Q34" i="526"/>
  <c r="Q32" i="526"/>
  <c r="Q31" i="526"/>
  <c r="Q29" i="526"/>
  <c r="Q28" i="526"/>
  <c r="Q26" i="526"/>
  <c r="Q25" i="526"/>
  <c r="Q23" i="526"/>
  <c r="Q21" i="526"/>
  <c r="Q20" i="526"/>
  <c r="Q18" i="526"/>
  <c r="Q17" i="526"/>
  <c r="Q15" i="526"/>
  <c r="P56" i="526"/>
  <c r="P53" i="526"/>
  <c r="P52" i="526"/>
  <c r="P50" i="526"/>
  <c r="P49" i="526"/>
  <c r="P47" i="526"/>
  <c r="P46" i="526"/>
  <c r="P44" i="526"/>
  <c r="P43" i="526"/>
  <c r="P41" i="526"/>
  <c r="P40" i="526"/>
  <c r="P38" i="526"/>
  <c r="P37" i="526"/>
  <c r="P35" i="526"/>
  <c r="P34" i="526"/>
  <c r="P32" i="526"/>
  <c r="P31" i="526"/>
  <c r="P29" i="526"/>
  <c r="P28" i="526"/>
  <c r="P26" i="526"/>
  <c r="P25" i="526"/>
  <c r="P21" i="526"/>
  <c r="P20" i="526"/>
  <c r="P18" i="526"/>
  <c r="P17" i="526"/>
  <c r="P15" i="526"/>
  <c r="P14" i="526"/>
  <c r="X99" i="488"/>
  <c r="Y99" i="488" s="1"/>
  <c r="X98" i="488"/>
  <c r="X96" i="488"/>
  <c r="X97" i="488" s="1"/>
  <c r="Y97" i="488" s="1"/>
  <c r="X94" i="488"/>
  <c r="X95" i="488" s="1"/>
  <c r="Y95" i="488" s="1"/>
  <c r="X92" i="488"/>
  <c r="X93" i="488" s="1"/>
  <c r="X90" i="488"/>
  <c r="X89" i="488"/>
  <c r="X88" i="488"/>
  <c r="X86" i="488"/>
  <c r="X85" i="488"/>
  <c r="X84" i="488"/>
  <c r="X82" i="488"/>
  <c r="X81" i="488"/>
  <c r="X80" i="488"/>
  <c r="X78" i="488"/>
  <c r="X77" i="488"/>
  <c r="X76" i="488"/>
  <c r="X74" i="488"/>
  <c r="X75" i="488" s="1"/>
  <c r="X72" i="488"/>
  <c r="X71" i="488"/>
  <c r="X70" i="488"/>
  <c r="X68" i="488"/>
  <c r="X67" i="488"/>
  <c r="X66" i="488"/>
  <c r="X64" i="488"/>
  <c r="X63" i="488"/>
  <c r="X62" i="488"/>
  <c r="X60" i="488"/>
  <c r="X59" i="488"/>
  <c r="X58" i="488"/>
  <c r="X56" i="488"/>
  <c r="X57" i="488" s="1"/>
  <c r="X54" i="488"/>
  <c r="X53" i="488"/>
  <c r="X52" i="488"/>
  <c r="X50" i="488"/>
  <c r="X49" i="488"/>
  <c r="X48" i="488"/>
  <c r="X46" i="488"/>
  <c r="X45" i="488"/>
  <c r="X44" i="488"/>
  <c r="X42" i="488"/>
  <c r="X41" i="488"/>
  <c r="X40" i="488"/>
  <c r="X38" i="488"/>
  <c r="X37" i="488"/>
  <c r="X36" i="488"/>
  <c r="X34" i="488"/>
  <c r="X35" i="488" s="1"/>
  <c r="X32" i="488"/>
  <c r="X31" i="488"/>
  <c r="X30" i="488"/>
  <c r="X28" i="488"/>
  <c r="X27" i="488"/>
  <c r="X26" i="488"/>
  <c r="X24" i="488"/>
  <c r="X23" i="488"/>
  <c r="X22" i="488"/>
  <c r="X20" i="488"/>
  <c r="X19" i="488"/>
  <c r="X18" i="488"/>
  <c r="R22" i="445" l="1"/>
  <c r="R44" i="261" s="1"/>
  <c r="Q44" i="261"/>
  <c r="E21" i="689" s="1"/>
  <c r="O28" i="555"/>
  <c r="C29" i="721" s="1"/>
  <c r="O28" i="554"/>
  <c r="C29" i="720" s="1"/>
  <c r="O24" i="526"/>
  <c r="P23" i="526"/>
  <c r="X38" i="495"/>
  <c r="U49" i="398"/>
  <c r="U39" i="259"/>
  <c r="X49" i="259" s="1"/>
  <c r="C31" i="681" s="1"/>
  <c r="O48" i="542"/>
  <c r="O49" i="542" s="1"/>
  <c r="O19" i="526"/>
  <c r="Y94" i="488"/>
  <c r="X100" i="488"/>
  <c r="Y100" i="488" s="1"/>
  <c r="O27" i="526"/>
  <c r="Y98" i="488"/>
  <c r="R57" i="261"/>
  <c r="O22" i="555"/>
  <c r="X33" i="488"/>
  <c r="Y96" i="488"/>
  <c r="R33" i="432"/>
  <c r="X41" i="432" s="1"/>
  <c r="C30" i="674" s="1"/>
  <c r="O53" i="542"/>
  <c r="R53" i="542"/>
  <c r="O22" i="554"/>
  <c r="R56" i="261"/>
  <c r="R23" i="445"/>
  <c r="S44" i="261" s="1"/>
  <c r="E23" i="689" s="1"/>
  <c r="R33" i="516"/>
  <c r="C30" i="670" s="1"/>
  <c r="X29" i="488"/>
  <c r="X39" i="488"/>
  <c r="X43" i="488"/>
  <c r="X47" i="488"/>
  <c r="X51" i="488"/>
  <c r="O16" i="526"/>
  <c r="O54" i="526"/>
  <c r="R49" i="398"/>
  <c r="U21" i="445"/>
  <c r="R39" i="398"/>
  <c r="R40" i="398" s="1"/>
  <c r="R34" i="434"/>
  <c r="R35" i="434" s="1"/>
  <c r="R24" i="516"/>
  <c r="R43" i="393"/>
  <c r="S31" i="303"/>
  <c r="S32" i="303" s="1"/>
  <c r="U26" i="508"/>
  <c r="AA38" i="508" s="1"/>
  <c r="C31" i="652" s="1"/>
  <c r="AA25" i="209"/>
  <c r="N17" i="261" s="1"/>
  <c r="E19" i="641" s="1"/>
  <c r="O86" i="527"/>
  <c r="N16" i="261" s="1"/>
  <c r="E19" i="639" s="1"/>
  <c r="O57" i="526"/>
  <c r="O51" i="526"/>
  <c r="O45" i="526"/>
  <c r="O39" i="526"/>
  <c r="O33" i="526"/>
  <c r="O30" i="526"/>
  <c r="O22" i="526"/>
  <c r="O36" i="526"/>
  <c r="O42" i="526"/>
  <c r="O48" i="526"/>
  <c r="X17" i="488"/>
  <c r="X21" i="488"/>
  <c r="X25" i="488"/>
  <c r="X55" i="488"/>
  <c r="X61" i="488"/>
  <c r="X65" i="488"/>
  <c r="X69" i="488"/>
  <c r="X73" i="488"/>
  <c r="X79" i="488"/>
  <c r="X83" i="488"/>
  <c r="X87" i="488"/>
  <c r="X91" i="488"/>
  <c r="W24" i="266"/>
  <c r="W23" i="266"/>
  <c r="W21" i="266"/>
  <c r="W20" i="266"/>
  <c r="W18" i="266"/>
  <c r="W17" i="266"/>
  <c r="W15" i="266"/>
  <c r="W14" i="266"/>
  <c r="E22" i="689" l="1"/>
  <c r="G10" i="689"/>
  <c r="E22" i="720"/>
  <c r="G10" i="720"/>
  <c r="E22" i="721"/>
  <c r="G10" i="721"/>
  <c r="U41" i="432"/>
  <c r="U40" i="259"/>
  <c r="U49" i="259"/>
  <c r="R41" i="432"/>
  <c r="X40" i="495"/>
  <c r="X41" i="495" s="1"/>
  <c r="AG41" i="495" s="1"/>
  <c r="R34" i="432"/>
  <c r="R25" i="516"/>
  <c r="O23" i="554"/>
  <c r="T56" i="261" s="1"/>
  <c r="E24" i="720" s="1"/>
  <c r="S56" i="261"/>
  <c r="E23" i="720" s="1"/>
  <c r="U38" i="508"/>
  <c r="X38" i="508"/>
  <c r="O23" i="555"/>
  <c r="T57" i="261" s="1"/>
  <c r="E24" i="721" s="1"/>
  <c r="S57" i="261"/>
  <c r="E23" i="721" s="1"/>
  <c r="R44" i="393"/>
  <c r="R24" i="445"/>
  <c r="T44" i="261" s="1"/>
  <c r="E24" i="689" s="1"/>
  <c r="U28" i="508"/>
  <c r="AA27" i="209"/>
  <c r="O88" i="527"/>
  <c r="O58" i="526"/>
  <c r="N15" i="261" s="1"/>
  <c r="E19" i="638" s="1"/>
  <c r="X101" i="488"/>
  <c r="U22" i="266"/>
  <c r="U19" i="266"/>
  <c r="U16" i="266"/>
  <c r="X49" i="187"/>
  <c r="X50" i="187" s="1"/>
  <c r="X47" i="187"/>
  <c r="X46" i="187"/>
  <c r="X44" i="187"/>
  <c r="X43" i="187"/>
  <c r="X42" i="187"/>
  <c r="X40" i="187"/>
  <c r="X39" i="187"/>
  <c r="X38" i="187"/>
  <c r="X36" i="187"/>
  <c r="X37" i="187" s="1"/>
  <c r="X34" i="187"/>
  <c r="X33" i="187"/>
  <c r="X31" i="187"/>
  <c r="X30" i="187"/>
  <c r="X29" i="187"/>
  <c r="X27" i="187"/>
  <c r="X26" i="187"/>
  <c r="X25" i="187"/>
  <c r="X23" i="187"/>
  <c r="X24" i="187" s="1"/>
  <c r="X21" i="187"/>
  <c r="X20" i="187"/>
  <c r="X18" i="187"/>
  <c r="X17" i="187"/>
  <c r="X15" i="187"/>
  <c r="X14" i="187"/>
  <c r="H14" i="626"/>
  <c r="L14" i="626"/>
  <c r="R14" i="626" s="1"/>
  <c r="H15" i="626"/>
  <c r="L15" i="626"/>
  <c r="R15" i="626" s="1"/>
  <c r="H16" i="626"/>
  <c r="L16" i="626"/>
  <c r="R16" i="626" s="1"/>
  <c r="H18" i="626"/>
  <c r="L18" i="626"/>
  <c r="R18" i="626" s="1"/>
  <c r="H19" i="626"/>
  <c r="L19" i="626"/>
  <c r="R19" i="626" s="1"/>
  <c r="H21" i="626"/>
  <c r="L21" i="626"/>
  <c r="R21" i="626" s="1"/>
  <c r="H22" i="626"/>
  <c r="P22" i="626" s="1"/>
  <c r="L22" i="626"/>
  <c r="R22" i="626" s="1"/>
  <c r="H23" i="626"/>
  <c r="L23" i="626"/>
  <c r="R23" i="626" s="1"/>
  <c r="G14" i="625"/>
  <c r="J14" i="625"/>
  <c r="P14" i="625" s="1"/>
  <c r="G15" i="625"/>
  <c r="N15" i="625" s="1"/>
  <c r="J15" i="625"/>
  <c r="P15" i="625" s="1"/>
  <c r="G16" i="625"/>
  <c r="G18" i="625"/>
  <c r="J18" i="625"/>
  <c r="P18" i="625" s="1"/>
  <c r="G19" i="625"/>
  <c r="J19" i="625"/>
  <c r="P19" i="625" s="1"/>
  <c r="G20" i="625"/>
  <c r="N20" i="625" s="1"/>
  <c r="G22" i="625"/>
  <c r="J22" i="625"/>
  <c r="P22" i="625" s="1"/>
  <c r="G23" i="625"/>
  <c r="N23" i="625" s="1"/>
  <c r="J23" i="625"/>
  <c r="P23" i="625" s="1"/>
  <c r="G25" i="625"/>
  <c r="J25" i="625"/>
  <c r="P25" i="625" s="1"/>
  <c r="G26" i="625"/>
  <c r="J26" i="625"/>
  <c r="P26" i="625" s="1"/>
  <c r="G27" i="625"/>
  <c r="N27" i="625" s="1"/>
  <c r="J27" i="625"/>
  <c r="P27" i="625" s="1"/>
  <c r="G29" i="625"/>
  <c r="J29" i="625"/>
  <c r="P29" i="625" s="1"/>
  <c r="G30" i="625"/>
  <c r="N30" i="625" s="1"/>
  <c r="J30" i="625"/>
  <c r="P30" i="625" s="1"/>
  <c r="G32" i="625"/>
  <c r="J32" i="625"/>
  <c r="P32" i="625" s="1"/>
  <c r="G33" i="625"/>
  <c r="N33" i="625" s="1"/>
  <c r="J33" i="625"/>
  <c r="P33" i="625" s="1"/>
  <c r="G34" i="625"/>
  <c r="N34" i="625" s="1"/>
  <c r="J34" i="625"/>
  <c r="P34" i="625" s="1"/>
  <c r="G36" i="625"/>
  <c r="J36" i="625"/>
  <c r="P36" i="625" s="1"/>
  <c r="G37" i="625"/>
  <c r="N37" i="625" s="1"/>
  <c r="J37" i="625"/>
  <c r="P37" i="625" s="1"/>
  <c r="G14" i="624"/>
  <c r="J14" i="624"/>
  <c r="P14" i="624" s="1"/>
  <c r="G15" i="624"/>
  <c r="N15" i="624" s="1"/>
  <c r="G16" i="624"/>
  <c r="G18" i="624"/>
  <c r="J18" i="624"/>
  <c r="P18" i="624" s="1"/>
  <c r="G19" i="624"/>
  <c r="J19" i="624"/>
  <c r="P19" i="624" s="1"/>
  <c r="G20" i="624"/>
  <c r="G22" i="624"/>
  <c r="J22" i="624"/>
  <c r="P22" i="624" s="1"/>
  <c r="G23" i="624"/>
  <c r="G25" i="624"/>
  <c r="J25" i="624"/>
  <c r="P25" i="624" s="1"/>
  <c r="G26" i="624"/>
  <c r="J26" i="624"/>
  <c r="P26" i="624" s="1"/>
  <c r="G27" i="624"/>
  <c r="G29" i="624"/>
  <c r="J29" i="624"/>
  <c r="P29" i="624" s="1"/>
  <c r="G30" i="624"/>
  <c r="H14" i="621"/>
  <c r="L14" i="621"/>
  <c r="U14" i="621" s="1"/>
  <c r="H15" i="621"/>
  <c r="L15" i="621"/>
  <c r="U15" i="621" s="1"/>
  <c r="H14" i="620"/>
  <c r="L14" i="620"/>
  <c r="R14" i="620" s="1"/>
  <c r="H15" i="620"/>
  <c r="L15" i="620"/>
  <c r="R15" i="620" s="1"/>
  <c r="H16" i="620"/>
  <c r="L16" i="620"/>
  <c r="R16" i="620" s="1"/>
  <c r="H18" i="620"/>
  <c r="L18" i="620"/>
  <c r="R18" i="620" s="1"/>
  <c r="H19" i="620"/>
  <c r="L19" i="620"/>
  <c r="R19" i="620" s="1"/>
  <c r="H21" i="620"/>
  <c r="L21" i="620"/>
  <c r="H23" i="620"/>
  <c r="L23" i="620"/>
  <c r="R23" i="620" s="1"/>
  <c r="H24" i="620"/>
  <c r="L24" i="620"/>
  <c r="R24" i="620" s="1"/>
  <c r="H26" i="620"/>
  <c r="L26" i="620"/>
  <c r="R26" i="620" s="1"/>
  <c r="H27" i="620"/>
  <c r="L27" i="620"/>
  <c r="R27" i="620" s="1"/>
  <c r="H29" i="620"/>
  <c r="L29" i="620"/>
  <c r="R29" i="620" s="1"/>
  <c r="H30" i="620"/>
  <c r="L30" i="620"/>
  <c r="R30" i="620" s="1"/>
  <c r="H31" i="620"/>
  <c r="L31" i="620"/>
  <c r="R31" i="620" s="1"/>
  <c r="H14" i="615"/>
  <c r="S14" i="615" s="1"/>
  <c r="L14" i="615"/>
  <c r="X14" i="615" s="1"/>
  <c r="H16" i="615"/>
  <c r="L16" i="615"/>
  <c r="X16" i="615" s="1"/>
  <c r="H18" i="615"/>
  <c r="S18" i="615" s="1"/>
  <c r="L18" i="615"/>
  <c r="X18" i="615" s="1"/>
  <c r="R26" i="516" l="1"/>
  <c r="R38" i="261" s="1"/>
  <c r="Q38" i="261"/>
  <c r="E21" i="670" s="1"/>
  <c r="L22" i="620"/>
  <c r="R22" i="620" s="1"/>
  <c r="R21" i="620"/>
  <c r="R45" i="393"/>
  <c r="R46" i="393" s="1"/>
  <c r="S37" i="261" s="1"/>
  <c r="E23" i="669" s="1"/>
  <c r="Q37" i="261"/>
  <c r="E21" i="669" s="1"/>
  <c r="K16" i="625"/>
  <c r="N16" i="625"/>
  <c r="K23" i="624"/>
  <c r="N23" i="624"/>
  <c r="K16" i="624"/>
  <c r="N16" i="624"/>
  <c r="K30" i="624"/>
  <c r="N30" i="624"/>
  <c r="K27" i="624"/>
  <c r="N27" i="624"/>
  <c r="K20" i="624"/>
  <c r="N20" i="624"/>
  <c r="S24" i="620"/>
  <c r="M24" i="620"/>
  <c r="P16" i="615"/>
  <c r="S16" i="615"/>
  <c r="U41" i="259"/>
  <c r="M31" i="620"/>
  <c r="S19" i="620"/>
  <c r="X22" i="187"/>
  <c r="X41" i="187"/>
  <c r="G24" i="624"/>
  <c r="N24" i="624" s="1"/>
  <c r="K15" i="624"/>
  <c r="G17" i="624"/>
  <c r="N17" i="624" s="1"/>
  <c r="K33" i="625"/>
  <c r="G21" i="625"/>
  <c r="N21" i="625" s="1"/>
  <c r="M19" i="626"/>
  <c r="H32" i="620"/>
  <c r="S19" i="626"/>
  <c r="X48" i="187"/>
  <c r="J24" i="624"/>
  <c r="P24" i="624" s="1"/>
  <c r="K20" i="625"/>
  <c r="L24" i="626"/>
  <c r="R24" i="626" s="1"/>
  <c r="H25" i="620"/>
  <c r="J24" i="625"/>
  <c r="P24" i="625" s="1"/>
  <c r="Q23" i="624"/>
  <c r="Q15" i="624"/>
  <c r="J35" i="625"/>
  <c r="P35" i="625" s="1"/>
  <c r="Q33" i="625"/>
  <c r="Q27" i="625"/>
  <c r="J21" i="625"/>
  <c r="P21" i="625" s="1"/>
  <c r="Q20" i="625"/>
  <c r="Q15" i="625"/>
  <c r="G17" i="625"/>
  <c r="N17" i="625" s="1"/>
  <c r="G31" i="624"/>
  <c r="N31" i="624" s="1"/>
  <c r="J28" i="624"/>
  <c r="P28" i="624" s="1"/>
  <c r="K37" i="625"/>
  <c r="K30" i="625"/>
  <c r="G31" i="625"/>
  <c r="N31" i="625" s="1"/>
  <c r="Q23" i="625"/>
  <c r="S23" i="626"/>
  <c r="S16" i="626"/>
  <c r="X28" i="187"/>
  <c r="L17" i="615"/>
  <c r="X17" i="615" s="1"/>
  <c r="Y16" i="615"/>
  <c r="L20" i="620"/>
  <c r="R20" i="620" s="1"/>
  <c r="H16" i="621"/>
  <c r="P16" i="621" s="1"/>
  <c r="G21" i="624"/>
  <c r="N21" i="624" s="1"/>
  <c r="R27" i="516"/>
  <c r="S38" i="261" s="1"/>
  <c r="E23" i="670" s="1"/>
  <c r="M15" i="621"/>
  <c r="V15" i="621"/>
  <c r="K34" i="625"/>
  <c r="K27" i="625"/>
  <c r="H24" i="626"/>
  <c r="U44" i="393"/>
  <c r="M18" i="615"/>
  <c r="Y18" i="615"/>
  <c r="S21" i="620"/>
  <c r="Q27" i="624"/>
  <c r="Q34" i="625"/>
  <c r="AA28" i="209"/>
  <c r="Q17" i="261" s="1"/>
  <c r="E21" i="641" s="1"/>
  <c r="M27" i="620"/>
  <c r="S27" i="620"/>
  <c r="H17" i="620"/>
  <c r="O89" i="527"/>
  <c r="L32" i="620"/>
  <c r="R32" i="620" s="1"/>
  <c r="S31" i="620"/>
  <c r="H20" i="620"/>
  <c r="M16" i="620"/>
  <c r="S16" i="620"/>
  <c r="G28" i="624"/>
  <c r="N28" i="624" s="1"/>
  <c r="G38" i="625"/>
  <c r="N38" i="625" s="1"/>
  <c r="H17" i="626"/>
  <c r="H19" i="615"/>
  <c r="P18" i="615"/>
  <c r="H15" i="615"/>
  <c r="P14" i="615"/>
  <c r="H28" i="620"/>
  <c r="H22" i="620"/>
  <c r="M19" i="620"/>
  <c r="Q20" i="624"/>
  <c r="G28" i="625"/>
  <c r="N28" i="625" s="1"/>
  <c r="G24" i="625"/>
  <c r="N24" i="625" s="1"/>
  <c r="M22" i="626"/>
  <c r="X32" i="187"/>
  <c r="X35" i="187"/>
  <c r="X45" i="187"/>
  <c r="X42" i="495"/>
  <c r="U25" i="516"/>
  <c r="R35" i="432"/>
  <c r="O60" i="526"/>
  <c r="M16" i="615"/>
  <c r="U31" i="508"/>
  <c r="U32" i="508" s="1"/>
  <c r="X103" i="488"/>
  <c r="U26" i="266"/>
  <c r="N13" i="261" s="1"/>
  <c r="E19" i="636" s="1"/>
  <c r="X16" i="187"/>
  <c r="X19" i="187"/>
  <c r="L17" i="626"/>
  <c r="P17" i="626" s="1"/>
  <c r="M23" i="626"/>
  <c r="S22" i="626"/>
  <c r="L20" i="626"/>
  <c r="P20" i="626" s="1"/>
  <c r="M16" i="626"/>
  <c r="H20" i="626"/>
  <c r="Q37" i="625"/>
  <c r="Q30" i="625"/>
  <c r="J28" i="625"/>
  <c r="P28" i="625" s="1"/>
  <c r="K23" i="625"/>
  <c r="Q16" i="625"/>
  <c r="K15" i="625"/>
  <c r="J17" i="625"/>
  <c r="P17" i="625" s="1"/>
  <c r="J38" i="625"/>
  <c r="P38" i="625" s="1"/>
  <c r="G35" i="625"/>
  <c r="N35" i="625" s="1"/>
  <c r="J31" i="625"/>
  <c r="P31" i="625" s="1"/>
  <c r="Q30" i="624"/>
  <c r="Q16" i="624"/>
  <c r="J31" i="624"/>
  <c r="P31" i="624" s="1"/>
  <c r="J17" i="624"/>
  <c r="P17" i="624" s="1"/>
  <c r="J21" i="624"/>
  <c r="P21" i="624" s="1"/>
  <c r="V14" i="621"/>
  <c r="M14" i="621"/>
  <c r="L16" i="621"/>
  <c r="U16" i="621" s="1"/>
  <c r="S15" i="620"/>
  <c r="L25" i="620"/>
  <c r="R25" i="620" s="1"/>
  <c r="M21" i="620"/>
  <c r="M15" i="620"/>
  <c r="L28" i="620"/>
  <c r="R28" i="620" s="1"/>
  <c r="L17" i="620"/>
  <c r="R17" i="620" s="1"/>
  <c r="Y14" i="615"/>
  <c r="L15" i="615"/>
  <c r="X15" i="615" s="1"/>
  <c r="M14" i="615"/>
  <c r="L19" i="615"/>
  <c r="X19" i="615" s="1"/>
  <c r="H17" i="615"/>
  <c r="R53" i="393" l="1"/>
  <c r="C30" i="669" s="1"/>
  <c r="R37" i="261"/>
  <c r="R89" i="527"/>
  <c r="Q16" i="261"/>
  <c r="E21" i="639" s="1"/>
  <c r="AA52" i="495"/>
  <c r="AD52" i="495"/>
  <c r="C32" i="642" s="1"/>
  <c r="E22" i="670"/>
  <c r="G10" i="670"/>
  <c r="S17" i="615"/>
  <c r="P24" i="626"/>
  <c r="P19" i="615"/>
  <c r="S19" i="615"/>
  <c r="P15" i="615"/>
  <c r="S15" i="615"/>
  <c r="X52" i="495"/>
  <c r="K21" i="625"/>
  <c r="K24" i="625"/>
  <c r="M24" i="626"/>
  <c r="H17" i="621"/>
  <c r="S21" i="621" s="1"/>
  <c r="G32" i="624"/>
  <c r="Q21" i="625"/>
  <c r="K24" i="624"/>
  <c r="S32" i="620"/>
  <c r="K28" i="624"/>
  <c r="Q24" i="624"/>
  <c r="M32" i="620"/>
  <c r="K35" i="625"/>
  <c r="S24" i="626"/>
  <c r="S22" i="620"/>
  <c r="S20" i="620"/>
  <c r="J32" i="624"/>
  <c r="H20" i="615"/>
  <c r="P17" i="615"/>
  <c r="L33" i="620"/>
  <c r="S25" i="620"/>
  <c r="J39" i="625"/>
  <c r="Q35" i="625"/>
  <c r="L25" i="626"/>
  <c r="O61" i="526"/>
  <c r="R47" i="393"/>
  <c r="T37" i="261" s="1"/>
  <c r="E24" i="669" s="1"/>
  <c r="Q28" i="624"/>
  <c r="AD28" i="209"/>
  <c r="X104" i="488"/>
  <c r="X105" i="488" s="1"/>
  <c r="AA115" i="488" s="1"/>
  <c r="C32" i="637" s="1"/>
  <c r="M20" i="620"/>
  <c r="X43" i="495"/>
  <c r="M22" i="620"/>
  <c r="R28" i="516"/>
  <c r="T38" i="261" s="1"/>
  <c r="E24" i="670" s="1"/>
  <c r="M17" i="615"/>
  <c r="Q24" i="625"/>
  <c r="H25" i="626"/>
  <c r="O90" i="527"/>
  <c r="R16" i="261" s="1"/>
  <c r="AA29" i="209"/>
  <c r="R17" i="261" s="1"/>
  <c r="H33" i="620"/>
  <c r="L20" i="615"/>
  <c r="U30" i="615" s="1"/>
  <c r="U28" i="266"/>
  <c r="X51" i="187"/>
  <c r="M17" i="626"/>
  <c r="R17" i="626"/>
  <c r="S17" i="626" s="1"/>
  <c r="R20" i="626"/>
  <c r="S20" i="626" s="1"/>
  <c r="M20" i="626"/>
  <c r="K31" i="625"/>
  <c r="Q31" i="625"/>
  <c r="Q28" i="625"/>
  <c r="K28" i="625"/>
  <c r="K17" i="625"/>
  <c r="Q17" i="625"/>
  <c r="K38" i="625"/>
  <c r="Q38" i="625"/>
  <c r="G39" i="625"/>
  <c r="H88" i="261" s="1"/>
  <c r="G9" i="772" s="1"/>
  <c r="Q31" i="624"/>
  <c r="K31" i="624"/>
  <c r="K17" i="624"/>
  <c r="Q17" i="624"/>
  <c r="Q21" i="624"/>
  <c r="K21" i="624"/>
  <c r="M16" i="621"/>
  <c r="L17" i="621"/>
  <c r="M25" i="620"/>
  <c r="M17" i="620"/>
  <c r="S28" i="620"/>
  <c r="M28" i="620"/>
  <c r="Y17" i="615"/>
  <c r="M19" i="615"/>
  <c r="Y19" i="615"/>
  <c r="M15" i="615"/>
  <c r="O62" i="526" l="1"/>
  <c r="Q15" i="261"/>
  <c r="E21" i="638" s="1"/>
  <c r="U34" i="615"/>
  <c r="C28" i="761"/>
  <c r="C34" i="761" s="1"/>
  <c r="H82" i="261"/>
  <c r="G9" i="764" s="1"/>
  <c r="P37" i="620"/>
  <c r="E22" i="641"/>
  <c r="G10" i="641"/>
  <c r="N36" i="624"/>
  <c r="H87" i="261"/>
  <c r="G9" i="771" s="1"/>
  <c r="S29" i="621"/>
  <c r="O85" i="261"/>
  <c r="G10" i="639"/>
  <c r="E22" i="639"/>
  <c r="O44" i="620"/>
  <c r="C28" i="764" s="1"/>
  <c r="C34" i="764" s="1"/>
  <c r="M33" i="620"/>
  <c r="M44" i="620" s="1"/>
  <c r="M46" i="620" s="1"/>
  <c r="E22" i="669"/>
  <c r="G10" i="669"/>
  <c r="V24" i="615"/>
  <c r="H81" i="261"/>
  <c r="G9" i="761" s="1"/>
  <c r="O27" i="621"/>
  <c r="O29" i="621" s="1"/>
  <c r="R27" i="621"/>
  <c r="U29" i="266"/>
  <c r="H19" i="621"/>
  <c r="H22" i="621" s="1"/>
  <c r="P21" i="621"/>
  <c r="P24" i="615"/>
  <c r="S24" i="615"/>
  <c r="V32" i="615" s="1"/>
  <c r="E30" i="761" s="1"/>
  <c r="O30" i="615"/>
  <c r="O32" i="615" s="1"/>
  <c r="R30" i="615"/>
  <c r="O96" i="527"/>
  <c r="C29" i="639" s="1"/>
  <c r="AA40" i="209"/>
  <c r="C33" i="641" s="1"/>
  <c r="X115" i="488"/>
  <c r="G34" i="624"/>
  <c r="K87" i="261" s="1"/>
  <c r="H85" i="261"/>
  <c r="L30" i="615"/>
  <c r="L32" i="615" s="1"/>
  <c r="J41" i="625"/>
  <c r="J42" i="625" s="1"/>
  <c r="M20" i="615"/>
  <c r="V30" i="615" s="1"/>
  <c r="E28" i="761" s="1"/>
  <c r="L22" i="615"/>
  <c r="L25" i="615" s="1"/>
  <c r="L26" i="615" s="1"/>
  <c r="J34" i="624"/>
  <c r="J35" i="624" s="1"/>
  <c r="P35" i="624" s="1"/>
  <c r="O63" i="526"/>
  <c r="S15" i="261" s="1"/>
  <c r="E23" i="638" s="1"/>
  <c r="L35" i="620"/>
  <c r="L38" i="620" s="1"/>
  <c r="L39" i="620" s="1"/>
  <c r="H35" i="620"/>
  <c r="K82" i="261" s="1"/>
  <c r="O91" i="527"/>
  <c r="S16" i="261" s="1"/>
  <c r="E23" i="639" s="1"/>
  <c r="X44" i="495"/>
  <c r="AD104" i="488"/>
  <c r="R61" i="526"/>
  <c r="H22" i="615"/>
  <c r="K81" i="261" s="1"/>
  <c r="G41" i="625"/>
  <c r="AA30" i="209"/>
  <c r="S17" i="261" s="1"/>
  <c r="E23" i="641" s="1"/>
  <c r="X106" i="488"/>
  <c r="P32" i="624"/>
  <c r="H27" i="626"/>
  <c r="P29" i="626" s="1"/>
  <c r="H89" i="261"/>
  <c r="G9" i="773" s="1"/>
  <c r="L44" i="620"/>
  <c r="L46" i="620" s="1"/>
  <c r="L27" i="626"/>
  <c r="L28" i="626" s="1"/>
  <c r="R28" i="626" s="1"/>
  <c r="X53" i="187"/>
  <c r="R25" i="626"/>
  <c r="P39" i="625"/>
  <c r="M17" i="621"/>
  <c r="S27" i="621" s="1"/>
  <c r="E28" i="767" s="1"/>
  <c r="L19" i="621"/>
  <c r="L27" i="621"/>
  <c r="L29" i="621" s="1"/>
  <c r="V16" i="621"/>
  <c r="U17" i="621"/>
  <c r="S17" i="620"/>
  <c r="R33" i="620"/>
  <c r="Y15" i="615"/>
  <c r="X20" i="615"/>
  <c r="O46" i="620" l="1"/>
  <c r="X29" i="266"/>
  <c r="Q13" i="261"/>
  <c r="E21" i="636" s="1"/>
  <c r="C28" i="767"/>
  <c r="C34" i="767" s="1"/>
  <c r="R30" i="621"/>
  <c r="O82" i="261"/>
  <c r="P45" i="620"/>
  <c r="E29" i="764" s="1"/>
  <c r="N43" i="625"/>
  <c r="K88" i="261"/>
  <c r="K85" i="261"/>
  <c r="V33" i="615"/>
  <c r="E31" i="761" s="1"/>
  <c r="O81" i="261"/>
  <c r="E30" i="767"/>
  <c r="G9" i="857"/>
  <c r="G9" i="767"/>
  <c r="N43" i="624"/>
  <c r="O87" i="261"/>
  <c r="O69" i="526"/>
  <c r="C29" i="638" s="1"/>
  <c r="R15" i="261"/>
  <c r="P42" i="625"/>
  <c r="P28" i="621"/>
  <c r="S28" i="621"/>
  <c r="E29" i="767" s="1"/>
  <c r="E34" i="767" s="1"/>
  <c r="U30" i="266"/>
  <c r="S31" i="615"/>
  <c r="V31" i="615"/>
  <c r="R34" i="615"/>
  <c r="S32" i="615"/>
  <c r="P30" i="615"/>
  <c r="S30" i="615"/>
  <c r="G37" i="624"/>
  <c r="P44" i="620"/>
  <c r="E28" i="764" s="1"/>
  <c r="M30" i="615"/>
  <c r="M32" i="615" s="1"/>
  <c r="J43" i="625"/>
  <c r="M49" i="625" s="1"/>
  <c r="X107" i="488"/>
  <c r="O92" i="527"/>
  <c r="T16" i="261" s="1"/>
  <c r="E24" i="639" s="1"/>
  <c r="P34" i="624"/>
  <c r="P36" i="624" s="1"/>
  <c r="G44" i="625"/>
  <c r="L88" i="261" s="1"/>
  <c r="J36" i="624"/>
  <c r="M42" i="624" s="1"/>
  <c r="M27" i="621"/>
  <c r="M29" i="621" s="1"/>
  <c r="P27" i="621"/>
  <c r="X54" i="187"/>
  <c r="AD54" i="187" s="1"/>
  <c r="K89" i="261"/>
  <c r="H30" i="626"/>
  <c r="L89" i="261" s="1"/>
  <c r="H25" i="615"/>
  <c r="L81" i="261" s="1"/>
  <c r="AA31" i="209"/>
  <c r="T17" i="261" s="1"/>
  <c r="E24" i="641" s="1"/>
  <c r="O64" i="526"/>
  <c r="T15" i="261" s="1"/>
  <c r="E24" i="638" s="1"/>
  <c r="H38" i="620"/>
  <c r="L82" i="261" s="1"/>
  <c r="L29" i="626"/>
  <c r="P31" i="615"/>
  <c r="H23" i="621"/>
  <c r="M85" i="261" s="1"/>
  <c r="L85" i="261"/>
  <c r="R27" i="626"/>
  <c r="P41" i="625"/>
  <c r="L22" i="621"/>
  <c r="L23" i="621" s="1"/>
  <c r="U19" i="621"/>
  <c r="U21" i="621" s="1"/>
  <c r="R35" i="620"/>
  <c r="R37" i="620" s="1"/>
  <c r="X22" i="615"/>
  <c r="X24" i="615" s="1"/>
  <c r="S30" i="621" l="1"/>
  <c r="E22" i="638"/>
  <c r="G10" i="638"/>
  <c r="C28" i="771"/>
  <c r="C34" i="771" s="1"/>
  <c r="M44" i="624"/>
  <c r="C28" i="772"/>
  <c r="C34" i="772" s="1"/>
  <c r="M51" i="625"/>
  <c r="V34" i="615"/>
  <c r="E29" i="761"/>
  <c r="E34" i="761" s="1"/>
  <c r="P32" i="615"/>
  <c r="P29" i="621"/>
  <c r="E29" i="771"/>
  <c r="G38" i="624"/>
  <c r="M87" i="261" s="1"/>
  <c r="L87" i="261"/>
  <c r="E34" i="764"/>
  <c r="R13" i="261"/>
  <c r="N50" i="625"/>
  <c r="O88" i="261"/>
  <c r="U22" i="621"/>
  <c r="U23" i="621" s="1"/>
  <c r="V17" i="621"/>
  <c r="R38" i="620"/>
  <c r="R39" i="620" s="1"/>
  <c r="S33" i="620"/>
  <c r="O36" i="626"/>
  <c r="L36" i="626"/>
  <c r="M29" i="626"/>
  <c r="P37" i="624"/>
  <c r="P38" i="624" s="1"/>
  <c r="Q36" i="624"/>
  <c r="J37" i="624"/>
  <c r="J38" i="624" s="1"/>
  <c r="J42" i="624"/>
  <c r="K36" i="624"/>
  <c r="N42" i="624" s="1"/>
  <c r="E28" i="771" s="1"/>
  <c r="J49" i="625"/>
  <c r="K43" i="625"/>
  <c r="N49" i="625" s="1"/>
  <c r="E28" i="772" s="1"/>
  <c r="J44" i="625"/>
  <c r="J45" i="625" s="1"/>
  <c r="S34" i="615"/>
  <c r="X25" i="615"/>
  <c r="X26" i="615" s="1"/>
  <c r="Y24" i="615"/>
  <c r="U38" i="266"/>
  <c r="P43" i="625"/>
  <c r="P46" i="620"/>
  <c r="G45" i="625"/>
  <c r="M88" i="261" s="1"/>
  <c r="H39" i="620"/>
  <c r="M82" i="261" s="1"/>
  <c r="H31" i="626"/>
  <c r="M89" i="261" s="1"/>
  <c r="L30" i="626"/>
  <c r="X55" i="187"/>
  <c r="R29" i="626"/>
  <c r="U31" i="266"/>
  <c r="S13" i="261" s="1"/>
  <c r="E23" i="636" s="1"/>
  <c r="H26" i="615"/>
  <c r="M81" i="261" s="1"/>
  <c r="H14" i="612"/>
  <c r="L14" i="612"/>
  <c r="U14" i="612" s="1"/>
  <c r="H15" i="612"/>
  <c r="L15" i="612"/>
  <c r="U15" i="612" s="1"/>
  <c r="H16" i="612"/>
  <c r="L16" i="612"/>
  <c r="U16" i="612" s="1"/>
  <c r="H18" i="612"/>
  <c r="L18" i="612"/>
  <c r="U18" i="612" s="1"/>
  <c r="H19" i="612"/>
  <c r="L19" i="612"/>
  <c r="U19" i="612" s="1"/>
  <c r="H20" i="612"/>
  <c r="L20" i="612"/>
  <c r="U20" i="612" s="1"/>
  <c r="H22" i="612"/>
  <c r="L22" i="612"/>
  <c r="U22" i="612" s="1"/>
  <c r="H23" i="612"/>
  <c r="L23" i="612"/>
  <c r="U23" i="612" s="1"/>
  <c r="H24" i="612"/>
  <c r="L24" i="612"/>
  <c r="U24" i="612" s="1"/>
  <c r="H26" i="612"/>
  <c r="L26" i="612"/>
  <c r="U26" i="612" s="1"/>
  <c r="H14" i="611"/>
  <c r="L14" i="611"/>
  <c r="U14" i="611" s="1"/>
  <c r="H15" i="611"/>
  <c r="L15" i="611"/>
  <c r="U15" i="611" s="1"/>
  <c r="H16" i="611"/>
  <c r="L16" i="611"/>
  <c r="U16" i="611" s="1"/>
  <c r="H18" i="611"/>
  <c r="L18" i="611"/>
  <c r="U18" i="611" s="1"/>
  <c r="H19" i="611"/>
  <c r="L19" i="611"/>
  <c r="U19" i="611" s="1"/>
  <c r="H21" i="611"/>
  <c r="L21" i="611"/>
  <c r="U21" i="611" s="1"/>
  <c r="H22" i="611"/>
  <c r="L22" i="611"/>
  <c r="U22" i="611" s="1"/>
  <c r="H23" i="611"/>
  <c r="L23" i="611"/>
  <c r="U23" i="611" s="1"/>
  <c r="H25" i="611"/>
  <c r="L25" i="611"/>
  <c r="U25" i="611" s="1"/>
  <c r="H26" i="611"/>
  <c r="L26" i="611"/>
  <c r="U26" i="611" s="1"/>
  <c r="H28" i="611"/>
  <c r="L28" i="611"/>
  <c r="U28" i="611" s="1"/>
  <c r="H29" i="611"/>
  <c r="L29" i="611"/>
  <c r="U29" i="611" s="1"/>
  <c r="H30" i="611"/>
  <c r="L30" i="611"/>
  <c r="U30" i="611" s="1"/>
  <c r="H32" i="611"/>
  <c r="L32" i="611"/>
  <c r="U32" i="611" s="1"/>
  <c r="H33" i="611"/>
  <c r="L33" i="611"/>
  <c r="U33" i="611" s="1"/>
  <c r="H35" i="611"/>
  <c r="L35" i="611"/>
  <c r="H14" i="610"/>
  <c r="M14" i="610" s="1"/>
  <c r="H15" i="610"/>
  <c r="H17" i="610"/>
  <c r="M17" i="610" s="1"/>
  <c r="H14" i="609"/>
  <c r="L14" i="609"/>
  <c r="M14" i="609" s="1"/>
  <c r="N14" i="609"/>
  <c r="H15" i="609"/>
  <c r="L15" i="609"/>
  <c r="O15" i="609" s="1"/>
  <c r="N15" i="609"/>
  <c r="H17" i="609"/>
  <c r="H18" i="609" s="1"/>
  <c r="L17" i="609"/>
  <c r="N17" i="609"/>
  <c r="H14" i="608"/>
  <c r="L14" i="608"/>
  <c r="R14" i="608" s="1"/>
  <c r="H15" i="608"/>
  <c r="L15" i="608"/>
  <c r="R15" i="608" s="1"/>
  <c r="H17" i="608"/>
  <c r="L17" i="608"/>
  <c r="R17" i="608" s="1"/>
  <c r="H14" i="607"/>
  <c r="M14" i="607" s="1"/>
  <c r="H15" i="607"/>
  <c r="H17" i="607"/>
  <c r="M17" i="607" s="1"/>
  <c r="H14" i="606"/>
  <c r="L14" i="606"/>
  <c r="R14" i="606" s="1"/>
  <c r="H15" i="606"/>
  <c r="L15" i="606"/>
  <c r="R15" i="606" s="1"/>
  <c r="H17" i="606"/>
  <c r="L17" i="606"/>
  <c r="H14" i="605"/>
  <c r="L14" i="605"/>
  <c r="R14" i="605" s="1"/>
  <c r="H15" i="605"/>
  <c r="L15" i="605"/>
  <c r="R15" i="605" s="1"/>
  <c r="H17" i="605"/>
  <c r="H18" i="605" s="1"/>
  <c r="P18" i="605" s="1"/>
  <c r="L17" i="605"/>
  <c r="R17" i="605" s="1"/>
  <c r="H14" i="604"/>
  <c r="P14" i="604" s="1"/>
  <c r="L14" i="604"/>
  <c r="R14" i="604" s="1"/>
  <c r="H15" i="604"/>
  <c r="L15" i="604"/>
  <c r="R15" i="604" s="1"/>
  <c r="H17" i="604"/>
  <c r="P17" i="604" s="1"/>
  <c r="L17" i="604"/>
  <c r="R17" i="604" s="1"/>
  <c r="H14" i="603"/>
  <c r="P14" i="603" s="1"/>
  <c r="L14" i="603"/>
  <c r="R14" i="603" s="1"/>
  <c r="H15" i="603"/>
  <c r="L15" i="603"/>
  <c r="R15" i="603" s="1"/>
  <c r="H17" i="603"/>
  <c r="L17" i="603"/>
  <c r="R17" i="603" s="1"/>
  <c r="H14" i="602"/>
  <c r="L14" i="602"/>
  <c r="R14" i="602" s="1"/>
  <c r="H15" i="602"/>
  <c r="L15" i="602"/>
  <c r="R15" i="602" s="1"/>
  <c r="H17" i="602"/>
  <c r="L17" i="602"/>
  <c r="R17" i="602" s="1"/>
  <c r="H14" i="601"/>
  <c r="M14" i="601" s="1"/>
  <c r="H15" i="601"/>
  <c r="H17" i="601"/>
  <c r="M17" i="601" s="1"/>
  <c r="L18" i="601"/>
  <c r="R18" i="601" s="1"/>
  <c r="H14" i="600"/>
  <c r="P14" i="600" s="1"/>
  <c r="L14" i="600"/>
  <c r="R14" i="600" s="1"/>
  <c r="H15" i="600"/>
  <c r="L15" i="600"/>
  <c r="R15" i="600" s="1"/>
  <c r="H17" i="600"/>
  <c r="P17" i="600" s="1"/>
  <c r="L17" i="600"/>
  <c r="R17" i="600" s="1"/>
  <c r="H14" i="599"/>
  <c r="P14" i="599" s="1"/>
  <c r="L14" i="599"/>
  <c r="R14" i="599" s="1"/>
  <c r="H15" i="599"/>
  <c r="L15" i="599"/>
  <c r="R15" i="599" s="1"/>
  <c r="H17" i="599"/>
  <c r="L17" i="599"/>
  <c r="R17" i="599" s="1"/>
  <c r="H14" i="598"/>
  <c r="P14" i="598" s="1"/>
  <c r="L14" i="598"/>
  <c r="R14" i="598" s="1"/>
  <c r="H15" i="598"/>
  <c r="L15" i="598"/>
  <c r="R15" i="598" s="1"/>
  <c r="H17" i="598"/>
  <c r="L17" i="598"/>
  <c r="R17" i="598" s="1"/>
  <c r="H14" i="596"/>
  <c r="V14" i="596" s="1"/>
  <c r="L14" i="596"/>
  <c r="AA14" i="596" s="1"/>
  <c r="H16" i="596"/>
  <c r="V16" i="596" s="1"/>
  <c r="L16" i="596"/>
  <c r="AA16" i="596" s="1"/>
  <c r="H18" i="596"/>
  <c r="V18" i="596" s="1"/>
  <c r="L18" i="596"/>
  <c r="AA18" i="596" s="1"/>
  <c r="H20" i="596"/>
  <c r="V20" i="596" s="1"/>
  <c r="L20" i="596"/>
  <c r="AA20" i="596" s="1"/>
  <c r="H22" i="596"/>
  <c r="V22" i="596" s="1"/>
  <c r="L22" i="596"/>
  <c r="AA22" i="596" s="1"/>
  <c r="H24" i="596"/>
  <c r="V24" i="596" s="1"/>
  <c r="L24" i="596"/>
  <c r="AA24" i="596" s="1"/>
  <c r="H14" i="595"/>
  <c r="L14" i="595"/>
  <c r="R14" i="595" s="1"/>
  <c r="H15" i="595"/>
  <c r="L15" i="595"/>
  <c r="R15" i="595" s="1"/>
  <c r="H17" i="595"/>
  <c r="H18" i="595" s="1"/>
  <c r="P18" i="595" s="1"/>
  <c r="L17" i="595"/>
  <c r="H14" i="593"/>
  <c r="V14" i="593" s="1"/>
  <c r="L14" i="593"/>
  <c r="AA14" i="593" s="1"/>
  <c r="AB14" i="593" s="1"/>
  <c r="H15" i="593"/>
  <c r="L15" i="593"/>
  <c r="AA15" i="593" s="1"/>
  <c r="H17" i="593"/>
  <c r="L17" i="593"/>
  <c r="AA17" i="593" s="1"/>
  <c r="E18" i="593"/>
  <c r="T18" i="593" s="1"/>
  <c r="Z18" i="593" s="1"/>
  <c r="L18" i="593"/>
  <c r="H19" i="593"/>
  <c r="L19" i="593"/>
  <c r="AA19" i="593" s="1"/>
  <c r="H21" i="593"/>
  <c r="L21" i="593"/>
  <c r="AA21" i="593" s="1"/>
  <c r="L22" i="593"/>
  <c r="H23" i="593"/>
  <c r="L23" i="593"/>
  <c r="AA23" i="593" s="1"/>
  <c r="H25" i="593"/>
  <c r="L25" i="593"/>
  <c r="AA25" i="593" s="1"/>
  <c r="L26" i="593"/>
  <c r="AA26" i="593" s="1"/>
  <c r="H27" i="593"/>
  <c r="L27" i="593"/>
  <c r="AA27" i="593" s="1"/>
  <c r="H29" i="593"/>
  <c r="L29" i="593"/>
  <c r="AA29" i="593" s="1"/>
  <c r="L30" i="593"/>
  <c r="H31" i="593"/>
  <c r="L31" i="593"/>
  <c r="AA31" i="593" s="1"/>
  <c r="E33" i="593"/>
  <c r="L33" i="593"/>
  <c r="AA33" i="593" s="1"/>
  <c r="E34" i="593"/>
  <c r="L34" i="593"/>
  <c r="AA34" i="593" s="1"/>
  <c r="H35" i="593"/>
  <c r="L35" i="593"/>
  <c r="AA35" i="593" s="1"/>
  <c r="H37" i="593"/>
  <c r="L37" i="593"/>
  <c r="AA37" i="593" s="1"/>
  <c r="AB37" i="593" s="1"/>
  <c r="H38" i="593"/>
  <c r="L38" i="593"/>
  <c r="AA38" i="593" s="1"/>
  <c r="AB38" i="593" s="1"/>
  <c r="H40" i="593"/>
  <c r="L40" i="593"/>
  <c r="AA40" i="593" s="1"/>
  <c r="AB40" i="593" s="1"/>
  <c r="H41" i="593"/>
  <c r="V41" i="593" s="1"/>
  <c r="L41" i="593"/>
  <c r="AA41" i="593" s="1"/>
  <c r="AB41" i="593" s="1"/>
  <c r="H43" i="593"/>
  <c r="L43" i="593"/>
  <c r="AA43" i="593" s="1"/>
  <c r="AB43" i="593" s="1"/>
  <c r="H44" i="593"/>
  <c r="V44" i="593" s="1"/>
  <c r="L44" i="593"/>
  <c r="AA44" i="593" s="1"/>
  <c r="AB44" i="593" s="1"/>
  <c r="E46" i="593"/>
  <c r="L46" i="593"/>
  <c r="AA46" i="593" s="1"/>
  <c r="E47" i="593"/>
  <c r="L47" i="593"/>
  <c r="AA47" i="593" s="1"/>
  <c r="H49" i="593"/>
  <c r="L49" i="593"/>
  <c r="AA49" i="593" s="1"/>
  <c r="AB49" i="593" s="1"/>
  <c r="H50" i="593"/>
  <c r="L50" i="593"/>
  <c r="AA50" i="593" s="1"/>
  <c r="AB50" i="593" s="1"/>
  <c r="E52" i="593"/>
  <c r="L52" i="593"/>
  <c r="AA52" i="593" s="1"/>
  <c r="H54" i="593"/>
  <c r="V54" i="593" s="1"/>
  <c r="L54" i="593"/>
  <c r="AA54" i="593" s="1"/>
  <c r="AB54" i="593" s="1"/>
  <c r="H55" i="593"/>
  <c r="L55" i="593"/>
  <c r="AA55" i="593" s="1"/>
  <c r="AB55" i="593" s="1"/>
  <c r="H57" i="593"/>
  <c r="L57" i="593"/>
  <c r="AA57" i="593" s="1"/>
  <c r="AB57" i="593" s="1"/>
  <c r="H58" i="593"/>
  <c r="V58" i="593" s="1"/>
  <c r="L58" i="593"/>
  <c r="AA58" i="593" s="1"/>
  <c r="AB58" i="593" s="1"/>
  <c r="H60" i="593"/>
  <c r="L60" i="593"/>
  <c r="AA60" i="593" s="1"/>
  <c r="AB60" i="593" s="1"/>
  <c r="H62" i="593"/>
  <c r="L62" i="593"/>
  <c r="AA62" i="593" s="1"/>
  <c r="AB62" i="593" s="1"/>
  <c r="H64" i="593"/>
  <c r="V64" i="593" s="1"/>
  <c r="L64" i="593"/>
  <c r="AA64" i="593" s="1"/>
  <c r="AB64" i="593" s="1"/>
  <c r="H66" i="593"/>
  <c r="V66" i="593" s="1"/>
  <c r="L66" i="593"/>
  <c r="AA66" i="593" s="1"/>
  <c r="AB66" i="593" s="1"/>
  <c r="H68" i="593"/>
  <c r="L68" i="593"/>
  <c r="AA68" i="593" s="1"/>
  <c r="AB68" i="593" s="1"/>
  <c r="H70" i="593"/>
  <c r="L70" i="593"/>
  <c r="AA70" i="593" s="1"/>
  <c r="AB70" i="593" s="1"/>
  <c r="E34" i="771" l="1"/>
  <c r="C31" i="636"/>
  <c r="N44" i="624"/>
  <c r="N51" i="625"/>
  <c r="E29" i="772"/>
  <c r="E34" i="772" s="1"/>
  <c r="E22" i="636"/>
  <c r="G10" i="636"/>
  <c r="O38" i="626"/>
  <c r="C28" i="773"/>
  <c r="C34" i="773" s="1"/>
  <c r="O17" i="609"/>
  <c r="M17" i="609"/>
  <c r="S17" i="607"/>
  <c r="S14" i="607"/>
  <c r="S14" i="602"/>
  <c r="S14" i="601"/>
  <c r="P70" i="593"/>
  <c r="V70" i="593"/>
  <c r="P62" i="593"/>
  <c r="V62" i="593"/>
  <c r="P55" i="593"/>
  <c r="V55" i="593"/>
  <c r="P49" i="593"/>
  <c r="V49" i="593"/>
  <c r="P43" i="593"/>
  <c r="V43" i="593"/>
  <c r="P40" i="593"/>
  <c r="V40" i="593"/>
  <c r="P37" i="593"/>
  <c r="V37" i="593"/>
  <c r="U18" i="593"/>
  <c r="AA18" i="593" s="1"/>
  <c r="P15" i="593"/>
  <c r="V15" i="593"/>
  <c r="P68" i="593"/>
  <c r="V68" i="593"/>
  <c r="P60" i="593"/>
  <c r="V60" i="593"/>
  <c r="P57" i="593"/>
  <c r="V57" i="593"/>
  <c r="P50" i="593"/>
  <c r="V50" i="593"/>
  <c r="P38" i="593"/>
  <c r="V38" i="593"/>
  <c r="H18" i="599"/>
  <c r="P18" i="599" s="1"/>
  <c r="P17" i="599"/>
  <c r="L18" i="606"/>
  <c r="R17" i="606"/>
  <c r="S17" i="606" s="1"/>
  <c r="H18" i="608"/>
  <c r="L18" i="600"/>
  <c r="R18" i="600" s="1"/>
  <c r="S17" i="600"/>
  <c r="P24" i="612"/>
  <c r="P19" i="612"/>
  <c r="P16" i="612"/>
  <c r="P14" i="612"/>
  <c r="H18" i="598"/>
  <c r="P18" i="598" s="1"/>
  <c r="P17" i="598"/>
  <c r="P37" i="626"/>
  <c r="E29" i="773" s="1"/>
  <c r="O89" i="261"/>
  <c r="L18" i="595"/>
  <c r="R18" i="595" s="1"/>
  <c r="R17" i="595"/>
  <c r="H18" i="603"/>
  <c r="P18" i="603" s="1"/>
  <c r="P17" i="603"/>
  <c r="P26" i="612"/>
  <c r="P23" i="612"/>
  <c r="P20" i="612"/>
  <c r="P15" i="612"/>
  <c r="M36" i="626"/>
  <c r="M38" i="626" s="1"/>
  <c r="P36" i="626"/>
  <c r="E28" i="773" s="1"/>
  <c r="I25" i="596"/>
  <c r="Y25" i="596" s="1"/>
  <c r="S20" i="596"/>
  <c r="I17" i="596"/>
  <c r="Y17" i="596" s="1"/>
  <c r="S22" i="596"/>
  <c r="I19" i="596"/>
  <c r="Y19" i="596" s="1"/>
  <c r="S14" i="596"/>
  <c r="H52" i="593"/>
  <c r="V52" i="593" s="1"/>
  <c r="I52" i="593"/>
  <c r="Y52" i="593" s="1"/>
  <c r="H46" i="593"/>
  <c r="M46" i="593" s="1"/>
  <c r="I46" i="593"/>
  <c r="Y46" i="593" s="1"/>
  <c r="H34" i="593"/>
  <c r="M34" i="593" s="1"/>
  <c r="I34" i="593"/>
  <c r="Y34" i="593" s="1"/>
  <c r="H18" i="593"/>
  <c r="P18" i="593" s="1"/>
  <c r="I18" i="593"/>
  <c r="Y18" i="593" s="1"/>
  <c r="H47" i="593"/>
  <c r="V47" i="593" s="1"/>
  <c r="I47" i="593"/>
  <c r="Y47" i="593" s="1"/>
  <c r="H33" i="593"/>
  <c r="M33" i="593" s="1"/>
  <c r="I33" i="593"/>
  <c r="Y33" i="593" s="1"/>
  <c r="X65" i="187"/>
  <c r="AA65" i="187"/>
  <c r="L38" i="626"/>
  <c r="K42" i="624"/>
  <c r="J43" i="624"/>
  <c r="J50" i="625"/>
  <c r="R30" i="626"/>
  <c r="R31" i="626" s="1"/>
  <c r="S29" i="626"/>
  <c r="K49" i="625"/>
  <c r="P33" i="611"/>
  <c r="P28" i="611"/>
  <c r="P22" i="611"/>
  <c r="P19" i="611"/>
  <c r="P14" i="611"/>
  <c r="L36" i="611"/>
  <c r="U36" i="611" s="1"/>
  <c r="U35" i="611"/>
  <c r="V35" i="611" s="1"/>
  <c r="P44" i="625"/>
  <c r="P45" i="625" s="1"/>
  <c r="Q43" i="625"/>
  <c r="P29" i="611"/>
  <c r="P26" i="611"/>
  <c r="P21" i="611"/>
  <c r="P15" i="611"/>
  <c r="L71" i="593"/>
  <c r="AA71" i="593" s="1"/>
  <c r="AB71" i="593" s="1"/>
  <c r="L63" i="593"/>
  <c r="AA63" i="593" s="1"/>
  <c r="AB63" i="593" s="1"/>
  <c r="P14" i="593"/>
  <c r="S14" i="593"/>
  <c r="S23" i="593"/>
  <c r="S35" i="593"/>
  <c r="S60" i="593"/>
  <c r="S43" i="593"/>
  <c r="S70" i="593"/>
  <c r="S27" i="593"/>
  <c r="S50" i="593"/>
  <c r="S49" i="593"/>
  <c r="S29" i="593"/>
  <c r="S52" i="593"/>
  <c r="S21" i="593"/>
  <c r="S41" i="593"/>
  <c r="S68" i="593"/>
  <c r="S26" i="593"/>
  <c r="S33" i="593"/>
  <c r="S57" i="593"/>
  <c r="S46" i="593"/>
  <c r="S34" i="593"/>
  <c r="S58" i="593"/>
  <c r="S25" i="593"/>
  <c r="S47" i="593"/>
  <c r="S31" i="593"/>
  <c r="S55" i="593"/>
  <c r="S18" i="593"/>
  <c r="S38" i="593"/>
  <c r="S64" i="593"/>
  <c r="S40" i="593"/>
  <c r="S19" i="593"/>
  <c r="S66" i="593"/>
  <c r="S30" i="593"/>
  <c r="S54" i="593"/>
  <c r="S17" i="593"/>
  <c r="S62" i="593"/>
  <c r="S22" i="593"/>
  <c r="S44" i="593"/>
  <c r="S37" i="593"/>
  <c r="S15" i="593"/>
  <c r="P18" i="596"/>
  <c r="S18" i="596"/>
  <c r="P24" i="596"/>
  <c r="S24" i="596"/>
  <c r="P16" i="596"/>
  <c r="S16" i="596"/>
  <c r="M16" i="596"/>
  <c r="M18" i="596"/>
  <c r="E26" i="593"/>
  <c r="E30" i="593"/>
  <c r="T30" i="593" s="1"/>
  <c r="Z30" i="593" s="1"/>
  <c r="E22" i="593"/>
  <c r="T22" i="593" s="1"/>
  <c r="Z22" i="593" s="1"/>
  <c r="V18" i="611"/>
  <c r="V20" i="612"/>
  <c r="H17" i="596"/>
  <c r="V17" i="596" s="1"/>
  <c r="V18" i="612"/>
  <c r="M14" i="603"/>
  <c r="H16" i="605"/>
  <c r="L18" i="607"/>
  <c r="R18" i="607" s="1"/>
  <c r="H16" i="602"/>
  <c r="P16" i="602" s="1"/>
  <c r="L18" i="603"/>
  <c r="L16" i="605"/>
  <c r="R16" i="605" s="1"/>
  <c r="L16" i="606"/>
  <c r="L18" i="610"/>
  <c r="R18" i="610" s="1"/>
  <c r="H16" i="607"/>
  <c r="L16" i="610"/>
  <c r="R16" i="610" s="1"/>
  <c r="H20" i="611"/>
  <c r="V32" i="611"/>
  <c r="L53" i="593"/>
  <c r="AA53" i="593" s="1"/>
  <c r="S14" i="598"/>
  <c r="L16" i="600"/>
  <c r="R16" i="600" s="1"/>
  <c r="H16" i="606"/>
  <c r="P16" i="606" s="1"/>
  <c r="S14" i="608"/>
  <c r="H16" i="609"/>
  <c r="H19" i="609" s="1"/>
  <c r="H77" i="261" s="1"/>
  <c r="G9" i="756" s="1"/>
  <c r="H16" i="608"/>
  <c r="H16" i="604"/>
  <c r="P16" i="604" s="1"/>
  <c r="S14" i="605"/>
  <c r="L18" i="609"/>
  <c r="S17" i="610"/>
  <c r="H63" i="593"/>
  <c r="V63" i="593" s="1"/>
  <c r="S18" i="595"/>
  <c r="M24" i="596"/>
  <c r="M17" i="605"/>
  <c r="M14" i="608"/>
  <c r="V33" i="611"/>
  <c r="V25" i="611"/>
  <c r="H25" i="596"/>
  <c r="V25" i="596" s="1"/>
  <c r="S17" i="603"/>
  <c r="S14" i="603"/>
  <c r="L18" i="604"/>
  <c r="R18" i="604" s="1"/>
  <c r="S17" i="595"/>
  <c r="L16" i="595"/>
  <c r="L19" i="595" s="1"/>
  <c r="S17" i="598"/>
  <c r="H16" i="601"/>
  <c r="H16" i="595"/>
  <c r="H16" i="603"/>
  <c r="M17" i="604"/>
  <c r="L65" i="593"/>
  <c r="AA65" i="593" s="1"/>
  <c r="AB65" i="593" s="1"/>
  <c r="H61" i="593"/>
  <c r="V61" i="593" s="1"/>
  <c r="M40" i="593"/>
  <c r="AB20" i="596"/>
  <c r="M17" i="599"/>
  <c r="H16" i="599"/>
  <c r="M17" i="600"/>
  <c r="S17" i="601"/>
  <c r="L16" i="601"/>
  <c r="S17" i="602"/>
  <c r="M17" i="608"/>
  <c r="H16" i="610"/>
  <c r="M33" i="611"/>
  <c r="U32" i="266"/>
  <c r="T13" i="261" s="1"/>
  <c r="E24" i="636" s="1"/>
  <c r="M47" i="593"/>
  <c r="P47" i="593"/>
  <c r="L56" i="593"/>
  <c r="AA56" i="593" s="1"/>
  <c r="AB56" i="593" s="1"/>
  <c r="V28" i="611"/>
  <c r="M25" i="611"/>
  <c r="P25" i="611"/>
  <c r="M15" i="611"/>
  <c r="V15" i="611"/>
  <c r="H27" i="612"/>
  <c r="V16" i="612"/>
  <c r="H69" i="593"/>
  <c r="V69" i="593" s="1"/>
  <c r="M58" i="593"/>
  <c r="H56" i="593"/>
  <c r="V56" i="593" s="1"/>
  <c r="H45" i="593"/>
  <c r="V45" i="593" s="1"/>
  <c r="P44" i="593"/>
  <c r="L42" i="593"/>
  <c r="AA42" i="593" s="1"/>
  <c r="AB42" i="593" s="1"/>
  <c r="H16" i="593"/>
  <c r="V16" i="593" s="1"/>
  <c r="H23" i="596"/>
  <c r="P22" i="596"/>
  <c r="L17" i="596"/>
  <c r="AA17" i="596" s="1"/>
  <c r="AB16" i="596"/>
  <c r="S14" i="599"/>
  <c r="L16" i="607"/>
  <c r="R16" i="607" s="1"/>
  <c r="L18" i="608"/>
  <c r="P17" i="609"/>
  <c r="L16" i="609"/>
  <c r="M16" i="609" s="1"/>
  <c r="M22" i="612"/>
  <c r="V22" i="612"/>
  <c r="H71" i="593"/>
  <c r="M66" i="593"/>
  <c r="M60" i="593"/>
  <c r="H59" i="593"/>
  <c r="V59" i="593" s="1"/>
  <c r="P58" i="593"/>
  <c r="M43" i="593"/>
  <c r="M41" i="593"/>
  <c r="P41" i="593"/>
  <c r="M15" i="593"/>
  <c r="AB15" i="593"/>
  <c r="L25" i="596"/>
  <c r="AA25" i="596" s="1"/>
  <c r="AB24" i="596"/>
  <c r="L21" i="596"/>
  <c r="AA21" i="596" s="1"/>
  <c r="L19" i="596"/>
  <c r="AA19" i="596" s="1"/>
  <c r="L16" i="598"/>
  <c r="R16" i="598" s="1"/>
  <c r="S17" i="599"/>
  <c r="L18" i="602"/>
  <c r="R18" i="602" s="1"/>
  <c r="M17" i="602"/>
  <c r="M17" i="603"/>
  <c r="M14" i="605"/>
  <c r="S17" i="608"/>
  <c r="O14" i="609"/>
  <c r="P14" i="609" s="1"/>
  <c r="H36" i="611"/>
  <c r="P35" i="611"/>
  <c r="M32" i="611"/>
  <c r="P32" i="611"/>
  <c r="M29" i="611"/>
  <c r="V29" i="611"/>
  <c r="H27" i="611"/>
  <c r="V23" i="611"/>
  <c r="V21" i="611"/>
  <c r="V16" i="611"/>
  <c r="M26" i="612"/>
  <c r="H25" i="612"/>
  <c r="P22" i="612"/>
  <c r="M19" i="612"/>
  <c r="V19" i="612"/>
  <c r="M18" i="612"/>
  <c r="P18" i="612"/>
  <c r="M15" i="612"/>
  <c r="V15" i="612"/>
  <c r="X56" i="187"/>
  <c r="X57" i="187" s="1"/>
  <c r="L69" i="593"/>
  <c r="AA69" i="593" s="1"/>
  <c r="AB69" i="593" s="1"/>
  <c r="M54" i="593"/>
  <c r="P54" i="593"/>
  <c r="H51" i="593"/>
  <c r="V51" i="593" s="1"/>
  <c r="M38" i="593"/>
  <c r="M22" i="596"/>
  <c r="AB22" i="596"/>
  <c r="H15" i="596"/>
  <c r="V15" i="596" s="1"/>
  <c r="P14" i="596"/>
  <c r="V30" i="611"/>
  <c r="M26" i="611"/>
  <c r="V26" i="611"/>
  <c r="M22" i="611"/>
  <c r="V22" i="611"/>
  <c r="L31" i="626"/>
  <c r="M20" i="596"/>
  <c r="P20" i="596"/>
  <c r="S17" i="604"/>
  <c r="H31" i="611"/>
  <c r="P30" i="611"/>
  <c r="L24" i="611"/>
  <c r="U24" i="611" s="1"/>
  <c r="M19" i="611"/>
  <c r="V19" i="611"/>
  <c r="M18" i="611"/>
  <c r="P18" i="611"/>
  <c r="M24" i="612"/>
  <c r="V24" i="612"/>
  <c r="M68" i="593"/>
  <c r="H67" i="593"/>
  <c r="V67" i="593" s="1"/>
  <c r="P66" i="593"/>
  <c r="M64" i="593"/>
  <c r="P64" i="593"/>
  <c r="L61" i="593"/>
  <c r="AA61" i="593" s="1"/>
  <c r="AB61" i="593" s="1"/>
  <c r="M55" i="593"/>
  <c r="H53" i="593"/>
  <c r="V53" i="593" s="1"/>
  <c r="P52" i="593"/>
  <c r="M49" i="593"/>
  <c r="L45" i="593"/>
  <c r="AA45" i="593" s="1"/>
  <c r="AB45" i="593" s="1"/>
  <c r="H39" i="593"/>
  <c r="V39" i="593" s="1"/>
  <c r="M18" i="595"/>
  <c r="H19" i="596"/>
  <c r="V19" i="596" s="1"/>
  <c r="M14" i="596"/>
  <c r="M14" i="599"/>
  <c r="H16" i="600"/>
  <c r="P16" i="600" s="1"/>
  <c r="L16" i="602"/>
  <c r="R16" i="602" s="1"/>
  <c r="M17" i="606"/>
  <c r="L34" i="611"/>
  <c r="U34" i="611" s="1"/>
  <c r="L31" i="611"/>
  <c r="U31" i="611" s="1"/>
  <c r="H24" i="611"/>
  <c r="P23" i="611"/>
  <c r="H17" i="611"/>
  <c r="P16" i="611"/>
  <c r="L27" i="612"/>
  <c r="U27" i="612" s="1"/>
  <c r="V26" i="612"/>
  <c r="V23" i="612"/>
  <c r="H17" i="612"/>
  <c r="M17" i="598"/>
  <c r="M14" i="598"/>
  <c r="H16" i="598"/>
  <c r="P16" i="598" s="1"/>
  <c r="L21" i="612"/>
  <c r="U21" i="612" s="1"/>
  <c r="M20" i="612"/>
  <c r="L17" i="612"/>
  <c r="U17" i="612" s="1"/>
  <c r="L27" i="611"/>
  <c r="U27" i="611" s="1"/>
  <c r="L17" i="611"/>
  <c r="U17" i="611" s="1"/>
  <c r="L20" i="611"/>
  <c r="U20" i="611" s="1"/>
  <c r="V14" i="612"/>
  <c r="M23" i="612"/>
  <c r="M16" i="612"/>
  <c r="M14" i="612"/>
  <c r="L25" i="612"/>
  <c r="U25" i="612" s="1"/>
  <c r="H21" i="612"/>
  <c r="V14" i="611"/>
  <c r="H34" i="611"/>
  <c r="M35" i="611"/>
  <c r="M30" i="611"/>
  <c r="M28" i="611"/>
  <c r="M23" i="611"/>
  <c r="M21" i="611"/>
  <c r="M16" i="611"/>
  <c r="M14" i="611"/>
  <c r="S14" i="610"/>
  <c r="H18" i="610"/>
  <c r="L16" i="608"/>
  <c r="R16" i="608" s="1"/>
  <c r="H18" i="607"/>
  <c r="P18" i="607" s="1"/>
  <c r="S14" i="606"/>
  <c r="R18" i="606"/>
  <c r="M14" i="606"/>
  <c r="H18" i="606"/>
  <c r="S17" i="605"/>
  <c r="L18" i="605"/>
  <c r="R18" i="605" s="1"/>
  <c r="S14" i="604"/>
  <c r="L16" i="604"/>
  <c r="R16" i="604" s="1"/>
  <c r="M14" i="604"/>
  <c r="H18" i="604"/>
  <c r="P18" i="604" s="1"/>
  <c r="L16" i="603"/>
  <c r="R16" i="603" s="1"/>
  <c r="M14" i="602"/>
  <c r="H18" i="602"/>
  <c r="P18" i="602" s="1"/>
  <c r="H18" i="601"/>
  <c r="M18" i="601" s="1"/>
  <c r="S14" i="600"/>
  <c r="M14" i="600"/>
  <c r="H18" i="600"/>
  <c r="P18" i="600" s="1"/>
  <c r="L16" i="599"/>
  <c r="L18" i="599"/>
  <c r="L18" i="598"/>
  <c r="L23" i="596"/>
  <c r="AA23" i="596" s="1"/>
  <c r="H21" i="596"/>
  <c r="V21" i="596" s="1"/>
  <c r="L15" i="596"/>
  <c r="AA15" i="596" s="1"/>
  <c r="S14" i="595"/>
  <c r="M14" i="595"/>
  <c r="M17" i="595"/>
  <c r="M70" i="593"/>
  <c r="M62" i="593"/>
  <c r="M57" i="593"/>
  <c r="M52" i="593"/>
  <c r="M50" i="593"/>
  <c r="L48" i="593"/>
  <c r="AA48" i="593" s="1"/>
  <c r="M44" i="593"/>
  <c r="M37" i="593"/>
  <c r="M14" i="593"/>
  <c r="L67" i="593"/>
  <c r="AA67" i="593" s="1"/>
  <c r="AB67" i="593" s="1"/>
  <c r="H65" i="593"/>
  <c r="L39" i="593"/>
  <c r="AA39" i="593" s="1"/>
  <c r="AB39" i="593" s="1"/>
  <c r="L32" i="593"/>
  <c r="L28" i="593"/>
  <c r="AA28" i="593" s="1"/>
  <c r="L24" i="593"/>
  <c r="L20" i="593"/>
  <c r="L16" i="593"/>
  <c r="AA16" i="593" s="1"/>
  <c r="AB16" i="593" s="1"/>
  <c r="L51" i="593"/>
  <c r="AA51" i="593" s="1"/>
  <c r="AB51" i="593" s="1"/>
  <c r="L59" i="593"/>
  <c r="AA59" i="593" s="1"/>
  <c r="AB59" i="593" s="1"/>
  <c r="H42" i="593"/>
  <c r="L36" i="593"/>
  <c r="AA36" i="593" s="1"/>
  <c r="L19" i="606" l="1"/>
  <c r="C32" i="317"/>
  <c r="R18" i="608"/>
  <c r="S18" i="608" s="1"/>
  <c r="AB47" i="593"/>
  <c r="R18" i="603"/>
  <c r="S18" i="603" s="1"/>
  <c r="E34" i="773"/>
  <c r="O18" i="609"/>
  <c r="P18" i="609" s="1"/>
  <c r="M18" i="609"/>
  <c r="M16" i="601"/>
  <c r="R16" i="601"/>
  <c r="V71" i="593"/>
  <c r="Y71" i="593"/>
  <c r="AB46" i="593"/>
  <c r="AB33" i="593"/>
  <c r="AB34" i="593"/>
  <c r="AB52" i="593"/>
  <c r="M16" i="607"/>
  <c r="M16" i="610"/>
  <c r="U22" i="593"/>
  <c r="AA22" i="593" s="1"/>
  <c r="P34" i="593"/>
  <c r="V34" i="593"/>
  <c r="S18" i="607"/>
  <c r="M18" i="607"/>
  <c r="U30" i="593"/>
  <c r="AA30" i="593" s="1"/>
  <c r="V33" i="593"/>
  <c r="V46" i="593"/>
  <c r="V18" i="593"/>
  <c r="U20" i="593"/>
  <c r="AA20" i="593" s="1"/>
  <c r="M18" i="610"/>
  <c r="P25" i="612"/>
  <c r="P27" i="612"/>
  <c r="H19" i="599"/>
  <c r="P23" i="599" s="1"/>
  <c r="P16" i="599"/>
  <c r="H19" i="595"/>
  <c r="P16" i="595"/>
  <c r="P23" i="606"/>
  <c r="O74" i="261" s="1"/>
  <c r="P38" i="626"/>
  <c r="M18" i="606"/>
  <c r="P18" i="606"/>
  <c r="H19" i="608"/>
  <c r="H76" i="261" s="1"/>
  <c r="G9" i="755" s="1"/>
  <c r="H19" i="605"/>
  <c r="P16" i="605"/>
  <c r="P17" i="612"/>
  <c r="H19" i="603"/>
  <c r="P16" i="603"/>
  <c r="AB18" i="596"/>
  <c r="M18" i="593"/>
  <c r="P33" i="593"/>
  <c r="P46" i="593"/>
  <c r="H48" i="593"/>
  <c r="V48" i="593" s="1"/>
  <c r="H36" i="593"/>
  <c r="V36" i="593" s="1"/>
  <c r="H20" i="593"/>
  <c r="V20" i="593" s="1"/>
  <c r="AB18" i="593"/>
  <c r="I21" i="596"/>
  <c r="Y21" i="596" s="1"/>
  <c r="S21" i="596"/>
  <c r="I15" i="596"/>
  <c r="Y15" i="596" s="1"/>
  <c r="I23" i="596"/>
  <c r="H22" i="593"/>
  <c r="P22" i="593" s="1"/>
  <c r="I22" i="593"/>
  <c r="Y22" i="593" s="1"/>
  <c r="H26" i="593"/>
  <c r="M26" i="593" s="1"/>
  <c r="I26" i="593"/>
  <c r="Y26" i="593" s="1"/>
  <c r="I36" i="593"/>
  <c r="Y36" i="593" s="1"/>
  <c r="I20" i="593"/>
  <c r="Y20" i="593" s="1"/>
  <c r="I48" i="593"/>
  <c r="Y48" i="593" s="1"/>
  <c r="S42" i="593"/>
  <c r="V42" i="593"/>
  <c r="H30" i="593"/>
  <c r="P30" i="593" s="1"/>
  <c r="I30" i="593"/>
  <c r="Y30" i="593" s="1"/>
  <c r="I53" i="593"/>
  <c r="Y53" i="593" s="1"/>
  <c r="S65" i="593"/>
  <c r="V65" i="593"/>
  <c r="K43" i="624"/>
  <c r="P31" i="611"/>
  <c r="P24" i="611"/>
  <c r="P27" i="611"/>
  <c r="P17" i="611"/>
  <c r="P36" i="611"/>
  <c r="S36" i="611"/>
  <c r="P20" i="611"/>
  <c r="K50" i="625"/>
  <c r="L72" i="593"/>
  <c r="X83" i="593" s="1"/>
  <c r="P39" i="593"/>
  <c r="S39" i="593"/>
  <c r="P15" i="596"/>
  <c r="S15" i="596"/>
  <c r="S48" i="593"/>
  <c r="P36" i="593"/>
  <c r="P19" i="596"/>
  <c r="S19" i="596"/>
  <c r="P53" i="593"/>
  <c r="S53" i="593"/>
  <c r="P67" i="593"/>
  <c r="S67" i="593"/>
  <c r="P51" i="593"/>
  <c r="S51" i="593"/>
  <c r="P45" i="593"/>
  <c r="S45" i="593"/>
  <c r="P69" i="593"/>
  <c r="S69" i="593"/>
  <c r="P25" i="596"/>
  <c r="S25" i="596"/>
  <c r="P63" i="593"/>
  <c r="S63" i="593"/>
  <c r="P17" i="596"/>
  <c r="S17" i="596"/>
  <c r="P59" i="593"/>
  <c r="S59" i="593"/>
  <c r="P23" i="596"/>
  <c r="S23" i="596"/>
  <c r="P56" i="593"/>
  <c r="S56" i="593"/>
  <c r="P71" i="593"/>
  <c r="S71" i="593"/>
  <c r="P16" i="593"/>
  <c r="S16" i="593"/>
  <c r="P61" i="593"/>
  <c r="S61" i="593"/>
  <c r="M63" i="593"/>
  <c r="M16" i="605"/>
  <c r="M22" i="593"/>
  <c r="AB17" i="596"/>
  <c r="H19" i="602"/>
  <c r="M16" i="606"/>
  <c r="R16" i="606"/>
  <c r="S16" i="606" s="1"/>
  <c r="S16" i="602"/>
  <c r="L19" i="610"/>
  <c r="L19" i="600"/>
  <c r="V27" i="612"/>
  <c r="R16" i="595"/>
  <c r="R19" i="595" s="1"/>
  <c r="L19" i="605"/>
  <c r="M18" i="603"/>
  <c r="AB25" i="596"/>
  <c r="L21" i="595"/>
  <c r="L22" i="595" s="1"/>
  <c r="R22" i="595" s="1"/>
  <c r="H19" i="600"/>
  <c r="L19" i="609"/>
  <c r="N77" i="261" s="1"/>
  <c r="E19" i="756" s="1"/>
  <c r="S16" i="600"/>
  <c r="M53" i="593"/>
  <c r="M27" i="612"/>
  <c r="M16" i="600"/>
  <c r="M18" i="608"/>
  <c r="L19" i="604"/>
  <c r="S16" i="607"/>
  <c r="M16" i="595"/>
  <c r="V36" i="611"/>
  <c r="S16" i="601"/>
  <c r="L19" i="601"/>
  <c r="S18" i="610"/>
  <c r="M16" i="598"/>
  <c r="M56" i="593"/>
  <c r="L19" i="607"/>
  <c r="L21" i="607" s="1"/>
  <c r="L22" i="607" s="1"/>
  <c r="R22" i="607" s="1"/>
  <c r="M61" i="593"/>
  <c r="M25" i="596"/>
  <c r="M18" i="604"/>
  <c r="S16" i="610"/>
  <c r="H21" i="595"/>
  <c r="K73" i="261" s="1"/>
  <c r="S18" i="606"/>
  <c r="M17" i="611"/>
  <c r="V17" i="611"/>
  <c r="M31" i="611"/>
  <c r="V31" i="611"/>
  <c r="M16" i="602"/>
  <c r="L19" i="602"/>
  <c r="L26" i="596"/>
  <c r="AB15" i="596"/>
  <c r="M17" i="596"/>
  <c r="H19" i="598"/>
  <c r="H21" i="609"/>
  <c r="K77" i="261" s="1"/>
  <c r="L37" i="611"/>
  <c r="R47" i="611" s="1"/>
  <c r="M24" i="611"/>
  <c r="V20" i="611"/>
  <c r="V27" i="611"/>
  <c r="M17" i="612"/>
  <c r="V17" i="612"/>
  <c r="M19" i="596"/>
  <c r="AB19" i="596"/>
  <c r="M42" i="593"/>
  <c r="P42" i="593"/>
  <c r="V24" i="611"/>
  <c r="M36" i="611"/>
  <c r="M65" i="593"/>
  <c r="P65" i="593"/>
  <c r="M69" i="593"/>
  <c r="H26" i="596"/>
  <c r="M21" i="596"/>
  <c r="P21" i="596"/>
  <c r="H19" i="606"/>
  <c r="H74" i="261" s="1"/>
  <c r="G9" i="753" s="1"/>
  <c r="O16" i="609"/>
  <c r="P16" i="609" s="1"/>
  <c r="M34" i="611"/>
  <c r="P34" i="611"/>
  <c r="M21" i="612"/>
  <c r="P21" i="612"/>
  <c r="M27" i="611"/>
  <c r="M45" i="593"/>
  <c r="M71" i="593"/>
  <c r="S16" i="598"/>
  <c r="L28" i="612"/>
  <c r="R38" i="612" s="1"/>
  <c r="M20" i="611"/>
  <c r="H28" i="612"/>
  <c r="H80" i="261" s="1"/>
  <c r="G9" i="759" s="1"/>
  <c r="M25" i="612"/>
  <c r="V25" i="612"/>
  <c r="V21" i="612"/>
  <c r="H37" i="611"/>
  <c r="H79" i="261" s="1"/>
  <c r="G9" i="758" s="1"/>
  <c r="V34" i="611"/>
  <c r="R19" i="610"/>
  <c r="H19" i="610"/>
  <c r="M16" i="608"/>
  <c r="L19" i="608"/>
  <c r="H19" i="607"/>
  <c r="H75" i="261" s="1"/>
  <c r="G9" i="754" s="1"/>
  <c r="L21" i="606"/>
  <c r="L22" i="606" s="1"/>
  <c r="M18" i="605"/>
  <c r="S18" i="605"/>
  <c r="H19" i="604"/>
  <c r="P23" i="604" s="1"/>
  <c r="M16" i="604"/>
  <c r="S18" i="604"/>
  <c r="M16" i="603"/>
  <c r="L19" i="603"/>
  <c r="R19" i="602"/>
  <c r="S18" i="602"/>
  <c r="M18" i="602"/>
  <c r="H19" i="601"/>
  <c r="H70" i="261" s="1"/>
  <c r="G9" i="747" s="1"/>
  <c r="S18" i="601"/>
  <c r="M18" i="600"/>
  <c r="S18" i="600"/>
  <c r="R19" i="600"/>
  <c r="R18" i="599"/>
  <c r="S18" i="599" s="1"/>
  <c r="M18" i="599"/>
  <c r="M16" i="599"/>
  <c r="R16" i="599"/>
  <c r="L19" i="599"/>
  <c r="R18" i="598"/>
  <c r="S18" i="598" s="1"/>
  <c r="M18" i="598"/>
  <c r="L19" i="598"/>
  <c r="AB14" i="596"/>
  <c r="AB21" i="596"/>
  <c r="M15" i="596"/>
  <c r="M23" i="596"/>
  <c r="AB23" i="596"/>
  <c r="M48" i="593"/>
  <c r="M39" i="593"/>
  <c r="M59" i="593"/>
  <c r="M16" i="593"/>
  <c r="M36" i="593"/>
  <c r="M51" i="593"/>
  <c r="M67" i="593"/>
  <c r="M20" i="593" l="1"/>
  <c r="P20" i="593"/>
  <c r="H21" i="608"/>
  <c r="K76" i="261" s="1"/>
  <c r="AB48" i="593"/>
  <c r="P23" i="603"/>
  <c r="H71" i="261"/>
  <c r="G9" i="749" s="1"/>
  <c r="AB53" i="593"/>
  <c r="H21" i="600"/>
  <c r="K69" i="261" s="1"/>
  <c r="H69" i="261"/>
  <c r="G9" i="746" s="1"/>
  <c r="P23" i="595"/>
  <c r="H73" i="261"/>
  <c r="G9" i="752" s="1"/>
  <c r="R50" i="611"/>
  <c r="C28" i="758"/>
  <c r="C34" i="758" s="1"/>
  <c r="C28" i="661"/>
  <c r="P23" i="605"/>
  <c r="H72" i="261"/>
  <c r="G9" i="751" s="1"/>
  <c r="R41" i="612"/>
  <c r="C28" i="759"/>
  <c r="C34" i="759" s="1"/>
  <c r="H68" i="261"/>
  <c r="P23" i="598"/>
  <c r="O68" i="261" s="1"/>
  <c r="H78" i="261"/>
  <c r="G9" i="757" s="1"/>
  <c r="P19" i="610"/>
  <c r="V23" i="596"/>
  <c r="Y23" i="596"/>
  <c r="V30" i="596"/>
  <c r="Y39" i="596" s="1"/>
  <c r="E31" i="712" s="1"/>
  <c r="Y30" i="596"/>
  <c r="U36" i="596"/>
  <c r="U40" i="596" s="1"/>
  <c r="X36" i="596"/>
  <c r="AB36" i="593"/>
  <c r="S20" i="593"/>
  <c r="H28" i="593"/>
  <c r="V28" i="593" s="1"/>
  <c r="AB26" i="593"/>
  <c r="H21" i="599"/>
  <c r="H24" i="599" s="1"/>
  <c r="AB20" i="593"/>
  <c r="H21" i="605"/>
  <c r="K72" i="261" s="1"/>
  <c r="H21" i="603"/>
  <c r="K71" i="261" s="1"/>
  <c r="H32" i="593"/>
  <c r="M32" i="593" s="1"/>
  <c r="S36" i="593"/>
  <c r="V30" i="593"/>
  <c r="U32" i="593"/>
  <c r="AA32" i="593" s="1"/>
  <c r="P26" i="593"/>
  <c r="V26" i="593"/>
  <c r="V22" i="593"/>
  <c r="U24" i="593"/>
  <c r="AA24" i="593" s="1"/>
  <c r="P30" i="604"/>
  <c r="O30" i="599"/>
  <c r="O32" i="599" s="1"/>
  <c r="O28" i="608"/>
  <c r="H21" i="602"/>
  <c r="H24" i="602" s="1"/>
  <c r="H25" i="602" s="1"/>
  <c r="P23" i="602"/>
  <c r="P30" i="606"/>
  <c r="E29" i="753" s="1"/>
  <c r="P32" i="612"/>
  <c r="S39" i="612" s="1"/>
  <c r="E29" i="759" s="1"/>
  <c r="S32" i="612"/>
  <c r="P31" i="599"/>
  <c r="I26" i="596"/>
  <c r="I28" i="596" s="1"/>
  <c r="I31" i="596" s="1"/>
  <c r="I32" i="596" s="1"/>
  <c r="H24" i="593"/>
  <c r="S24" i="593" s="1"/>
  <c r="P48" i="593"/>
  <c r="M30" i="593"/>
  <c r="R83" i="593"/>
  <c r="R87" i="593" s="1"/>
  <c r="U83" i="593"/>
  <c r="I28" i="593"/>
  <c r="Y28" i="593" s="1"/>
  <c r="I32" i="593"/>
  <c r="Y32" i="593" s="1"/>
  <c r="I24" i="593"/>
  <c r="Y24" i="593" s="1"/>
  <c r="O83" i="593"/>
  <c r="O87" i="593" s="1"/>
  <c r="P30" i="596"/>
  <c r="Y37" i="596" s="1"/>
  <c r="E29" i="712" s="1"/>
  <c r="S30" i="596"/>
  <c r="O36" i="596"/>
  <c r="R36" i="596"/>
  <c r="R40" i="596" s="1"/>
  <c r="L47" i="611"/>
  <c r="L49" i="611" s="1"/>
  <c r="M37" i="611"/>
  <c r="S47" i="611" s="1"/>
  <c r="E28" i="758" s="1"/>
  <c r="L83" i="593"/>
  <c r="L87" i="593" s="1"/>
  <c r="L21" i="600"/>
  <c r="L22" i="600" s="1"/>
  <c r="R22" i="600" s="1"/>
  <c r="L21" i="609"/>
  <c r="L22" i="609" s="1"/>
  <c r="S16" i="595"/>
  <c r="L21" i="605"/>
  <c r="L22" i="605" s="1"/>
  <c r="R22" i="605" s="1"/>
  <c r="L21" i="610"/>
  <c r="L22" i="610" s="1"/>
  <c r="R19" i="606"/>
  <c r="L39" i="611"/>
  <c r="L42" i="611" s="1"/>
  <c r="L43" i="611" s="1"/>
  <c r="L21" i="601"/>
  <c r="L23" i="595"/>
  <c r="O28" i="595" s="1"/>
  <c r="R19" i="601"/>
  <c r="R21" i="601" s="1"/>
  <c r="R19" i="607"/>
  <c r="R21" i="607" s="1"/>
  <c r="L74" i="593"/>
  <c r="L77" i="593" s="1"/>
  <c r="L78" i="593" s="1"/>
  <c r="H24" i="609"/>
  <c r="L77" i="261" s="1"/>
  <c r="L21" i="604"/>
  <c r="L22" i="604" s="1"/>
  <c r="R22" i="604" s="1"/>
  <c r="H24" i="595"/>
  <c r="L73" i="261" s="1"/>
  <c r="O19" i="609"/>
  <c r="O21" i="609" s="1"/>
  <c r="U28" i="612"/>
  <c r="U30" i="612" s="1"/>
  <c r="U32" i="612" s="1"/>
  <c r="H30" i="612"/>
  <c r="K80" i="261" s="1"/>
  <c r="L36" i="596"/>
  <c r="L40" i="596" s="1"/>
  <c r="H28" i="596"/>
  <c r="H53" i="261"/>
  <c r="G9" i="712" s="1"/>
  <c r="H21" i="598"/>
  <c r="K68" i="261" s="1"/>
  <c r="L28" i="596"/>
  <c r="L31" i="596" s="1"/>
  <c r="L32" i="596" s="1"/>
  <c r="H24" i="608"/>
  <c r="L76" i="261" s="1"/>
  <c r="L30" i="612"/>
  <c r="L33" i="612" s="1"/>
  <c r="L34" i="612" s="1"/>
  <c r="O38" i="612"/>
  <c r="H21" i="606"/>
  <c r="K74" i="261" s="1"/>
  <c r="L23" i="607"/>
  <c r="O29" i="607" s="1"/>
  <c r="L21" i="602"/>
  <c r="L22" i="602" s="1"/>
  <c r="R22" i="602" s="1"/>
  <c r="H39" i="611"/>
  <c r="M28" i="612"/>
  <c r="S38" i="612" s="1"/>
  <c r="E28" i="759" s="1"/>
  <c r="L23" i="606"/>
  <c r="O29" i="606" s="1"/>
  <c r="R22" i="606"/>
  <c r="U37" i="611"/>
  <c r="U39" i="611" s="1"/>
  <c r="U41" i="611" s="1"/>
  <c r="M26" i="596"/>
  <c r="Y36" i="596" s="1"/>
  <c r="E28" i="712" s="1"/>
  <c r="H21" i="601"/>
  <c r="K70" i="261" s="1"/>
  <c r="H24" i="603"/>
  <c r="L71" i="261" s="1"/>
  <c r="H21" i="604"/>
  <c r="R19" i="605"/>
  <c r="R21" i="605" s="1"/>
  <c r="L38" i="612"/>
  <c r="L41" i="612" s="1"/>
  <c r="H24" i="605"/>
  <c r="L72" i="261" s="1"/>
  <c r="O47" i="611"/>
  <c r="H21" i="610"/>
  <c r="K78" i="261" s="1"/>
  <c r="M19" i="610"/>
  <c r="P29" i="610" s="1"/>
  <c r="E28" i="757" s="1"/>
  <c r="R21" i="610"/>
  <c r="S19" i="610"/>
  <c r="S16" i="608"/>
  <c r="R19" i="608"/>
  <c r="L21" i="608"/>
  <c r="L22" i="608" s="1"/>
  <c r="R22" i="608" s="1"/>
  <c r="L28" i="608"/>
  <c r="H21" i="607"/>
  <c r="K75" i="261" s="1"/>
  <c r="S16" i="604"/>
  <c r="R19" i="604"/>
  <c r="S16" i="603"/>
  <c r="R19" i="603"/>
  <c r="L21" i="603"/>
  <c r="L22" i="603" s="1"/>
  <c r="R22" i="603" s="1"/>
  <c r="R21" i="602"/>
  <c r="R21" i="600"/>
  <c r="S16" i="599"/>
  <c r="R19" i="599"/>
  <c r="L21" i="599"/>
  <c r="L22" i="599" s="1"/>
  <c r="L30" i="599"/>
  <c r="L21" i="598"/>
  <c r="L22" i="598" s="1"/>
  <c r="R22" i="598" s="1"/>
  <c r="R19" i="598"/>
  <c r="AA26" i="596"/>
  <c r="R21" i="595"/>
  <c r="R23" i="595" s="1"/>
  <c r="H24" i="600" l="1"/>
  <c r="P23" i="600"/>
  <c r="P23" i="608"/>
  <c r="O76" i="261" s="1"/>
  <c r="V39" i="596"/>
  <c r="AB32" i="593"/>
  <c r="O31" i="606"/>
  <c r="C28" i="753"/>
  <c r="C34" i="753" s="1"/>
  <c r="P29" i="608"/>
  <c r="E29" i="755" s="1"/>
  <c r="S40" i="612"/>
  <c r="E30" i="759" s="1"/>
  <c r="E34" i="759" s="1"/>
  <c r="O80" i="261"/>
  <c r="P30" i="610"/>
  <c r="O78" i="261"/>
  <c r="P29" i="605"/>
  <c r="E29" i="751" s="1"/>
  <c r="O72" i="261"/>
  <c r="M28" i="593"/>
  <c r="H25" i="600"/>
  <c r="M69" i="261" s="1"/>
  <c r="L69" i="261"/>
  <c r="AB28" i="593"/>
  <c r="V38" i="596"/>
  <c r="Y38" i="596"/>
  <c r="E30" i="712" s="1"/>
  <c r="O30" i="595"/>
  <c r="C28" i="752"/>
  <c r="C34" i="752" s="1"/>
  <c r="S41" i="611"/>
  <c r="O79" i="261" s="1"/>
  <c r="K79" i="261"/>
  <c r="C28" i="712"/>
  <c r="C34" i="712" s="1"/>
  <c r="X41" i="596"/>
  <c r="C28" i="754"/>
  <c r="C34" i="754" s="1"/>
  <c r="O31" i="607"/>
  <c r="G9" i="744"/>
  <c r="G9" i="740"/>
  <c r="P30" i="600"/>
  <c r="E29" i="746" s="1"/>
  <c r="O69" i="261"/>
  <c r="S32" i="593"/>
  <c r="Y40" i="596"/>
  <c r="O53" i="261"/>
  <c r="P30" i="598"/>
  <c r="E29" i="744" s="1"/>
  <c r="S28" i="593"/>
  <c r="P30" i="603"/>
  <c r="O71" i="261"/>
  <c r="O22" i="609"/>
  <c r="O23" i="609" s="1"/>
  <c r="Q77" i="261"/>
  <c r="E21" i="756" s="1"/>
  <c r="P28" i="593"/>
  <c r="O30" i="608"/>
  <c r="C28" i="755"/>
  <c r="C34" i="755" s="1"/>
  <c r="P29" i="595"/>
  <c r="E29" i="752" s="1"/>
  <c r="O73" i="261"/>
  <c r="R22" i="610"/>
  <c r="R23" i="610" s="1"/>
  <c r="R24" i="610" s="1"/>
  <c r="R25" i="610" s="1"/>
  <c r="P23" i="601"/>
  <c r="M24" i="593"/>
  <c r="V32" i="593"/>
  <c r="AB30" i="593"/>
  <c r="P32" i="593"/>
  <c r="V24" i="593"/>
  <c r="U72" i="593"/>
  <c r="H72" i="593"/>
  <c r="H74" i="593" s="1"/>
  <c r="P24" i="593"/>
  <c r="AB24" i="593"/>
  <c r="AB22" i="593"/>
  <c r="P29" i="602"/>
  <c r="L22" i="601"/>
  <c r="R22" i="601" s="1"/>
  <c r="L29" i="607"/>
  <c r="L30" i="607" s="1"/>
  <c r="M23" i="607"/>
  <c r="S37" i="596"/>
  <c r="V37" i="596"/>
  <c r="S36" i="596"/>
  <c r="V36" i="596"/>
  <c r="I72" i="593"/>
  <c r="I74" i="593" s="1"/>
  <c r="I77" i="593" s="1"/>
  <c r="I78" i="593" s="1"/>
  <c r="U33" i="612"/>
  <c r="U34" i="612" s="1"/>
  <c r="V32" i="612"/>
  <c r="R23" i="600"/>
  <c r="S23" i="600" s="1"/>
  <c r="S38" i="596"/>
  <c r="O40" i="596"/>
  <c r="L29" i="606"/>
  <c r="M23" i="606"/>
  <c r="P29" i="606" s="1"/>
  <c r="R24" i="595"/>
  <c r="R25" i="595" s="1"/>
  <c r="S23" i="595"/>
  <c r="L24" i="595"/>
  <c r="M23" i="595"/>
  <c r="P28" i="595" s="1"/>
  <c r="L28" i="595"/>
  <c r="V41" i="611"/>
  <c r="U42" i="611"/>
  <c r="U43" i="611" s="1"/>
  <c r="P41" i="611"/>
  <c r="R23" i="605"/>
  <c r="L23" i="609"/>
  <c r="R77" i="261" s="1"/>
  <c r="L23" i="600"/>
  <c r="O29" i="600" s="1"/>
  <c r="L23" i="605"/>
  <c r="O28" i="605" s="1"/>
  <c r="H24" i="604"/>
  <c r="H25" i="604" s="1"/>
  <c r="R21" i="606"/>
  <c r="R23" i="606" s="1"/>
  <c r="L23" i="610"/>
  <c r="O29" i="610" s="1"/>
  <c r="L23" i="604"/>
  <c r="O29" i="604" s="1"/>
  <c r="O31" i="604" s="1"/>
  <c r="H25" i="609"/>
  <c r="M77" i="261" s="1"/>
  <c r="O41" i="612"/>
  <c r="H42" i="611"/>
  <c r="O49" i="611"/>
  <c r="H33" i="612"/>
  <c r="L80" i="261" s="1"/>
  <c r="H25" i="595"/>
  <c r="M73" i="261" s="1"/>
  <c r="H25" i="608"/>
  <c r="M76" i="261" s="1"/>
  <c r="H25" i="599"/>
  <c r="L23" i="598"/>
  <c r="H24" i="601"/>
  <c r="L70" i="261" s="1"/>
  <c r="L23" i="603"/>
  <c r="O29" i="603" s="1"/>
  <c r="L30" i="608"/>
  <c r="H25" i="605"/>
  <c r="M72" i="261" s="1"/>
  <c r="M36" i="596"/>
  <c r="M40" i="596" s="1"/>
  <c r="P36" i="596"/>
  <c r="P37" i="596"/>
  <c r="L32" i="599"/>
  <c r="L24" i="606"/>
  <c r="K53" i="261"/>
  <c r="H31" i="596"/>
  <c r="P39" i="612"/>
  <c r="L23" i="599"/>
  <c r="M23" i="599" s="1"/>
  <c r="P30" i="599" s="1"/>
  <c r="P32" i="599" s="1"/>
  <c r="R22" i="599"/>
  <c r="M47" i="611"/>
  <c r="M49" i="611" s="1"/>
  <c r="P47" i="611"/>
  <c r="M38" i="612"/>
  <c r="M41" i="612" s="1"/>
  <c r="P38" i="612"/>
  <c r="H24" i="606"/>
  <c r="L74" i="261" s="1"/>
  <c r="H24" i="598"/>
  <c r="L68" i="261" s="1"/>
  <c r="R23" i="607"/>
  <c r="L23" i="608"/>
  <c r="M23" i="608" s="1"/>
  <c r="M29" i="610"/>
  <c r="H25" i="603"/>
  <c r="M71" i="261" s="1"/>
  <c r="L23" i="602"/>
  <c r="O28" i="602" s="1"/>
  <c r="O30" i="602" s="1"/>
  <c r="R23" i="602"/>
  <c r="L24" i="607"/>
  <c r="H24" i="610"/>
  <c r="R21" i="608"/>
  <c r="H24" i="607"/>
  <c r="R21" i="604"/>
  <c r="R23" i="604" s="1"/>
  <c r="R21" i="603"/>
  <c r="R21" i="599"/>
  <c r="R21" i="598"/>
  <c r="AA28" i="596"/>
  <c r="S49" i="611" l="1"/>
  <c r="E30" i="758" s="1"/>
  <c r="S41" i="612"/>
  <c r="C28" i="757"/>
  <c r="C34" i="757" s="1"/>
  <c r="O31" i="610"/>
  <c r="E29" i="749"/>
  <c r="P31" i="606"/>
  <c r="E28" i="753"/>
  <c r="E34" i="753" s="1"/>
  <c r="E22" i="756"/>
  <c r="G10" i="756"/>
  <c r="P31" i="610"/>
  <c r="E29" i="757"/>
  <c r="E34" i="757" s="1"/>
  <c r="C28" i="749"/>
  <c r="C34" i="749" s="1"/>
  <c r="O31" i="603"/>
  <c r="H43" i="611"/>
  <c r="M79" i="261" s="1"/>
  <c r="L79" i="261"/>
  <c r="Y41" i="596"/>
  <c r="E32" i="712"/>
  <c r="E34" i="712" s="1"/>
  <c r="O30" i="605"/>
  <c r="C28" i="751"/>
  <c r="C34" i="751" s="1"/>
  <c r="P30" i="595"/>
  <c r="E28" i="752"/>
  <c r="E34" i="752" s="1"/>
  <c r="O31" i="600"/>
  <c r="C28" i="746"/>
  <c r="C34" i="746" s="1"/>
  <c r="P29" i="601"/>
  <c r="O70" i="261"/>
  <c r="O24" i="609"/>
  <c r="O25" i="609" s="1"/>
  <c r="P19" i="609"/>
  <c r="M29" i="607"/>
  <c r="P29" i="607"/>
  <c r="H77" i="593"/>
  <c r="L31" i="261" s="1"/>
  <c r="Y76" i="593"/>
  <c r="M72" i="593"/>
  <c r="P83" i="593" s="1"/>
  <c r="K31" i="261"/>
  <c r="H31" i="261"/>
  <c r="G9" i="661" s="1"/>
  <c r="S76" i="593"/>
  <c r="P76" i="593"/>
  <c r="S40" i="596"/>
  <c r="R23" i="601"/>
  <c r="S23" i="601" s="1"/>
  <c r="L29" i="610"/>
  <c r="AA72" i="593"/>
  <c r="AA74" i="593" s="1"/>
  <c r="U74" i="593"/>
  <c r="U75" i="593" s="1"/>
  <c r="AA75" i="593" s="1"/>
  <c r="R24" i="607"/>
  <c r="R25" i="607" s="1"/>
  <c r="S23" i="607"/>
  <c r="L23" i="601"/>
  <c r="L29" i="598"/>
  <c r="O29" i="598"/>
  <c r="M28" i="608"/>
  <c r="M30" i="608" s="1"/>
  <c r="P28" i="608"/>
  <c r="M23" i="609"/>
  <c r="O77" i="261" s="1"/>
  <c r="L29" i="609"/>
  <c r="C28" i="756" s="1"/>
  <c r="C34" i="756" s="1"/>
  <c r="V40" i="596"/>
  <c r="P48" i="611"/>
  <c r="P49" i="611" s="1"/>
  <c r="S48" i="611"/>
  <c r="L25" i="595"/>
  <c r="R24" i="600"/>
  <c r="R25" i="600" s="1"/>
  <c r="M23" i="602"/>
  <c r="P28" i="602" s="1"/>
  <c r="P30" i="602" s="1"/>
  <c r="L28" i="602"/>
  <c r="M30" i="599"/>
  <c r="M32" i="599" s="1"/>
  <c r="M23" i="600"/>
  <c r="P29" i="600" s="1"/>
  <c r="L29" i="600"/>
  <c r="M23" i="603"/>
  <c r="P29" i="603" s="1"/>
  <c r="E28" i="749" s="1"/>
  <c r="E34" i="749" s="1"/>
  <c r="L29" i="603"/>
  <c r="R24" i="602"/>
  <c r="R25" i="602" s="1"/>
  <c r="S23" i="602"/>
  <c r="M23" i="598"/>
  <c r="P29" i="598" s="1"/>
  <c r="M29" i="606"/>
  <c r="R24" i="606"/>
  <c r="R25" i="606" s="1"/>
  <c r="S23" i="606"/>
  <c r="L31" i="606"/>
  <c r="M28" i="595"/>
  <c r="L30" i="595"/>
  <c r="R24" i="605"/>
  <c r="R25" i="605" s="1"/>
  <c r="S23" i="605"/>
  <c r="L24" i="605"/>
  <c r="L25" i="605" s="1"/>
  <c r="L28" i="605"/>
  <c r="M23" i="605"/>
  <c r="P28" i="605" s="1"/>
  <c r="R24" i="604"/>
  <c r="R25" i="604" s="1"/>
  <c r="S23" i="604"/>
  <c r="M23" i="604"/>
  <c r="P29" i="604" s="1"/>
  <c r="P31" i="604" s="1"/>
  <c r="L29" i="604"/>
  <c r="AA30" i="596"/>
  <c r="AB30" i="596" s="1"/>
  <c r="L24" i="604"/>
  <c r="L25" i="604" s="1"/>
  <c r="L24" i="609"/>
  <c r="S77" i="261" s="1"/>
  <c r="E23" i="756" s="1"/>
  <c r="L24" i="600"/>
  <c r="L25" i="600" s="1"/>
  <c r="R23" i="608"/>
  <c r="L24" i="610"/>
  <c r="L25" i="610" s="1"/>
  <c r="H34" i="612"/>
  <c r="M80" i="261" s="1"/>
  <c r="R23" i="599"/>
  <c r="R23" i="598"/>
  <c r="S23" i="598" s="1"/>
  <c r="M30" i="610"/>
  <c r="L24" i="608"/>
  <c r="H25" i="606"/>
  <c r="M74" i="261" s="1"/>
  <c r="L24" i="599"/>
  <c r="L24" i="598"/>
  <c r="H25" i="610"/>
  <c r="M78" i="261" s="1"/>
  <c r="L78" i="261"/>
  <c r="R23" i="603"/>
  <c r="H32" i="596"/>
  <c r="M53" i="261" s="1"/>
  <c r="L53" i="261"/>
  <c r="L25" i="606"/>
  <c r="P40" i="596"/>
  <c r="H25" i="601"/>
  <c r="M70" i="261" s="1"/>
  <c r="H78" i="593"/>
  <c r="M31" i="261" s="1"/>
  <c r="H25" i="607"/>
  <c r="M75" i="261" s="1"/>
  <c r="L75" i="261"/>
  <c r="L25" i="607"/>
  <c r="L24" i="602"/>
  <c r="H25" i="598"/>
  <c r="M68" i="261" s="1"/>
  <c r="P41" i="612"/>
  <c r="L24" i="603"/>
  <c r="M30" i="607"/>
  <c r="L14" i="526"/>
  <c r="L15" i="526"/>
  <c r="M83" i="593" l="1"/>
  <c r="M87" i="593" s="1"/>
  <c r="V85" i="593"/>
  <c r="Y85" i="593"/>
  <c r="P30" i="608"/>
  <c r="E28" i="755"/>
  <c r="E34" i="755" s="1"/>
  <c r="V83" i="593"/>
  <c r="Y83" i="593"/>
  <c r="E28" i="661" s="1"/>
  <c r="P30" i="601"/>
  <c r="E29" i="747"/>
  <c r="P30" i="605"/>
  <c r="E28" i="751"/>
  <c r="E34" i="751" s="1"/>
  <c r="O31" i="598"/>
  <c r="C28" i="744"/>
  <c r="C34" i="744" s="1"/>
  <c r="O31" i="261"/>
  <c r="Y87" i="593"/>
  <c r="E32" i="661" s="1"/>
  <c r="P31" i="603"/>
  <c r="V84" i="593"/>
  <c r="Y84" i="593"/>
  <c r="E29" i="661" s="1"/>
  <c r="P31" i="600"/>
  <c r="E28" i="746"/>
  <c r="E34" i="746" s="1"/>
  <c r="S50" i="611"/>
  <c r="E29" i="758"/>
  <c r="E34" i="758" s="1"/>
  <c r="P31" i="598"/>
  <c r="E28" i="744"/>
  <c r="E34" i="744" s="1"/>
  <c r="E28" i="754"/>
  <c r="E34" i="754" s="1"/>
  <c r="P31" i="607"/>
  <c r="M23" i="601"/>
  <c r="P28" i="601" s="1"/>
  <c r="E28" i="747" s="1"/>
  <c r="O28" i="601"/>
  <c r="L24" i="601"/>
  <c r="L25" i="601" s="1"/>
  <c r="S85" i="593"/>
  <c r="S84" i="593"/>
  <c r="P84" i="593"/>
  <c r="P87" i="593" s="1"/>
  <c r="S83" i="593"/>
  <c r="U76" i="593"/>
  <c r="AA76" i="593"/>
  <c r="AB76" i="593" s="1"/>
  <c r="L30" i="610"/>
  <c r="M28" i="601"/>
  <c r="L30" i="609"/>
  <c r="R24" i="601"/>
  <c r="R25" i="601" s="1"/>
  <c r="M29" i="609"/>
  <c r="E28" i="756" s="1"/>
  <c r="E34" i="756" s="1"/>
  <c r="L28" i="601"/>
  <c r="R24" i="608"/>
  <c r="R25" i="608" s="1"/>
  <c r="S23" i="608"/>
  <c r="R24" i="599"/>
  <c r="R25" i="599" s="1"/>
  <c r="S23" i="599"/>
  <c r="L31" i="603"/>
  <c r="R24" i="603"/>
  <c r="R25" i="603" s="1"/>
  <c r="S23" i="603"/>
  <c r="L31" i="598"/>
  <c r="M29" i="603"/>
  <c r="M29" i="598"/>
  <c r="L31" i="600"/>
  <c r="L30" i="602"/>
  <c r="R24" i="598"/>
  <c r="R25" i="598" s="1"/>
  <c r="M29" i="600"/>
  <c r="M28" i="602"/>
  <c r="M31" i="606"/>
  <c r="M30" i="595"/>
  <c r="L30" i="605"/>
  <c r="M28" i="605"/>
  <c r="M29" i="604"/>
  <c r="L31" i="604"/>
  <c r="AA31" i="596"/>
  <c r="AA32" i="596" s="1"/>
  <c r="L25" i="609"/>
  <c r="T77" i="261" s="1"/>
  <c r="E24" i="756" s="1"/>
  <c r="L25" i="602"/>
  <c r="L25" i="598"/>
  <c r="L25" i="599"/>
  <c r="L25" i="608"/>
  <c r="L25" i="603"/>
  <c r="R15" i="526"/>
  <c r="R14" i="526"/>
  <c r="S14" i="526" s="1"/>
  <c r="C992" i="91"/>
  <c r="F992" i="91"/>
  <c r="G992" i="91" s="1"/>
  <c r="F991" i="91"/>
  <c r="G991" i="91" s="1"/>
  <c r="C991" i="91"/>
  <c r="C989" i="91"/>
  <c r="F989" i="91"/>
  <c r="H989" i="91" s="1"/>
  <c r="C990" i="91"/>
  <c r="F990" i="91"/>
  <c r="G990" i="91" s="1"/>
  <c r="F988" i="91"/>
  <c r="G988" i="91" s="1"/>
  <c r="C988" i="91"/>
  <c r="C983" i="91"/>
  <c r="F983" i="91"/>
  <c r="H983" i="91" s="1"/>
  <c r="C984" i="91"/>
  <c r="F984" i="91"/>
  <c r="I984" i="91" s="1"/>
  <c r="C985" i="91"/>
  <c r="F985" i="91"/>
  <c r="G985" i="91" s="1"/>
  <c r="C986" i="91"/>
  <c r="F986" i="91"/>
  <c r="H986" i="91" s="1"/>
  <c r="C987" i="91"/>
  <c r="F987" i="91"/>
  <c r="I987" i="91" s="1"/>
  <c r="F982" i="91"/>
  <c r="G982" i="91" s="1"/>
  <c r="C982" i="91"/>
  <c r="S87" i="593" l="1"/>
  <c r="C28" i="747"/>
  <c r="C34" i="747" s="1"/>
  <c r="O30" i="601"/>
  <c r="E34" i="747"/>
  <c r="E30" i="661"/>
  <c r="E34" i="661" s="1"/>
  <c r="X85" i="593"/>
  <c r="X86" i="593"/>
  <c r="C31" i="661" s="1"/>
  <c r="AA77" i="593"/>
  <c r="AA78" i="593" s="1"/>
  <c r="U86" i="593"/>
  <c r="U88" i="593" s="1"/>
  <c r="U77" i="593"/>
  <c r="V76" i="593"/>
  <c r="Y86" i="593" s="1"/>
  <c r="E31" i="661" s="1"/>
  <c r="M29" i="601"/>
  <c r="M30" i="609"/>
  <c r="L29" i="601"/>
  <c r="M31" i="598"/>
  <c r="M31" i="600"/>
  <c r="M30" i="602"/>
  <c r="M31" i="603"/>
  <c r="M30" i="605"/>
  <c r="M31" i="604"/>
  <c r="E992" i="91"/>
  <c r="E991" i="91"/>
  <c r="H991" i="91" s="1"/>
  <c r="J991" i="91"/>
  <c r="J990" i="91"/>
  <c r="G989" i="91"/>
  <c r="I991" i="91"/>
  <c r="J988" i="91"/>
  <c r="I988" i="91"/>
  <c r="J992" i="91"/>
  <c r="I992" i="91"/>
  <c r="H992" i="91"/>
  <c r="I990" i="91"/>
  <c r="H990" i="91"/>
  <c r="J989" i="91"/>
  <c r="I989" i="91"/>
  <c r="G983" i="91"/>
  <c r="I982" i="91"/>
  <c r="H987" i="91"/>
  <c r="J987" i="91"/>
  <c r="J982" i="91"/>
  <c r="J986" i="91"/>
  <c r="H982" i="91"/>
  <c r="G986" i="91"/>
  <c r="J985" i="91"/>
  <c r="H984" i="91"/>
  <c r="J984" i="91"/>
  <c r="G984" i="91"/>
  <c r="J983" i="91"/>
  <c r="I985" i="91"/>
  <c r="I986" i="91"/>
  <c r="H985" i="91"/>
  <c r="I983" i="91"/>
  <c r="Y88" i="593" l="1"/>
  <c r="C30" i="661"/>
  <c r="C34" i="661" s="1"/>
  <c r="X88" i="593"/>
  <c r="V86" i="593"/>
  <c r="V88" i="593" s="1"/>
  <c r="U78" i="593"/>
  <c r="F241" i="91"/>
  <c r="C981" i="91"/>
  <c r="F981" i="91"/>
  <c r="I981" i="91" s="1"/>
  <c r="C976" i="91"/>
  <c r="F976" i="91"/>
  <c r="H976" i="91" s="1"/>
  <c r="C977" i="91"/>
  <c r="F977" i="91"/>
  <c r="I977" i="91" s="1"/>
  <c r="C978" i="91"/>
  <c r="F978" i="91"/>
  <c r="G978" i="91" s="1"/>
  <c r="C979" i="91"/>
  <c r="F979" i="91"/>
  <c r="G979" i="91" s="1"/>
  <c r="C980" i="91"/>
  <c r="F980" i="91"/>
  <c r="I980" i="91" s="1"/>
  <c r="F975" i="91"/>
  <c r="I975" i="91" s="1"/>
  <c r="C975" i="91"/>
  <c r="C973" i="91"/>
  <c r="F973" i="91"/>
  <c r="H973" i="91" s="1"/>
  <c r="C974" i="91"/>
  <c r="F974" i="91"/>
  <c r="G974" i="91" s="1"/>
  <c r="C972" i="91"/>
  <c r="F972" i="91"/>
  <c r="H972" i="91" s="1"/>
  <c r="C970" i="91"/>
  <c r="F970" i="91"/>
  <c r="I970" i="91" s="1"/>
  <c r="C971" i="91"/>
  <c r="F971" i="91"/>
  <c r="G971" i="91" s="1"/>
  <c r="C968" i="91"/>
  <c r="F968" i="91"/>
  <c r="H968" i="91" s="1"/>
  <c r="C969" i="91"/>
  <c r="F969" i="91"/>
  <c r="G969" i="91" s="1"/>
  <c r="C967" i="91"/>
  <c r="F967" i="91"/>
  <c r="H967" i="91" s="1"/>
  <c r="C964" i="91"/>
  <c r="F964" i="91"/>
  <c r="H964" i="91" s="1"/>
  <c r="C965" i="91"/>
  <c r="F965" i="91"/>
  <c r="G965" i="91" s="1"/>
  <c r="C966" i="91"/>
  <c r="F966" i="91"/>
  <c r="G966" i="91" s="1"/>
  <c r="F963" i="91"/>
  <c r="H963" i="91" s="1"/>
  <c r="C963" i="91"/>
  <c r="C961" i="91"/>
  <c r="F961" i="91"/>
  <c r="H961" i="91" s="1"/>
  <c r="C962" i="91"/>
  <c r="F962" i="91"/>
  <c r="H962" i="91" s="1"/>
  <c r="F960" i="91"/>
  <c r="C960" i="91"/>
  <c r="C958" i="91"/>
  <c r="F958" i="91"/>
  <c r="I958" i="91" s="1"/>
  <c r="C959" i="91"/>
  <c r="F959" i="91"/>
  <c r="F957" i="91"/>
  <c r="G957" i="91" s="1"/>
  <c r="C957" i="91"/>
  <c r="C952" i="91"/>
  <c r="F952" i="91"/>
  <c r="H952" i="91" s="1"/>
  <c r="C953" i="91"/>
  <c r="F953" i="91"/>
  <c r="I953" i="91" s="1"/>
  <c r="C954" i="91"/>
  <c r="F954" i="91"/>
  <c r="G954" i="91" s="1"/>
  <c r="C955" i="91"/>
  <c r="F955" i="91"/>
  <c r="H955" i="91" s="1"/>
  <c r="C956" i="91"/>
  <c r="F956" i="91"/>
  <c r="I956" i="91" s="1"/>
  <c r="F951" i="91"/>
  <c r="H951" i="91" s="1"/>
  <c r="C951" i="91"/>
  <c r="C944" i="91"/>
  <c r="F944" i="91"/>
  <c r="H944" i="91" s="1"/>
  <c r="C945" i="91"/>
  <c r="F945" i="91"/>
  <c r="H945" i="91" s="1"/>
  <c r="C946" i="91"/>
  <c r="F946" i="91"/>
  <c r="G946" i="91" s="1"/>
  <c r="C947" i="91"/>
  <c r="F947" i="91"/>
  <c r="H947" i="91" s="1"/>
  <c r="C948" i="91"/>
  <c r="F948" i="91"/>
  <c r="I948" i="91" s="1"/>
  <c r="C949" i="91"/>
  <c r="F949" i="91"/>
  <c r="G949" i="91" s="1"/>
  <c r="C950" i="91"/>
  <c r="F950" i="91"/>
  <c r="H950" i="91" s="1"/>
  <c r="F943" i="91"/>
  <c r="G943" i="91" s="1"/>
  <c r="C943" i="91"/>
  <c r="C942" i="91"/>
  <c r="F942" i="91"/>
  <c r="H942" i="91" s="1"/>
  <c r="F941" i="91"/>
  <c r="G941" i="91" s="1"/>
  <c r="C941" i="91"/>
  <c r="C940" i="91"/>
  <c r="F940" i="91"/>
  <c r="H940" i="91" s="1"/>
  <c r="C936" i="91"/>
  <c r="F936" i="91"/>
  <c r="H936" i="91" s="1"/>
  <c r="C937" i="91"/>
  <c r="F937" i="91"/>
  <c r="H937" i="91" s="1"/>
  <c r="C938" i="91"/>
  <c r="F938" i="91"/>
  <c r="C939" i="91"/>
  <c r="F939" i="91"/>
  <c r="I939" i="91" s="1"/>
  <c r="F935" i="91"/>
  <c r="G935" i="91" s="1"/>
  <c r="C935" i="91"/>
  <c r="F934" i="91"/>
  <c r="C934" i="91"/>
  <c r="F933" i="91"/>
  <c r="G933" i="91" s="1"/>
  <c r="C933" i="91"/>
  <c r="C932" i="91"/>
  <c r="F932" i="91"/>
  <c r="H932" i="91" s="1"/>
  <c r="F931" i="91"/>
  <c r="G931" i="91" s="1"/>
  <c r="C931" i="91"/>
  <c r="C929" i="91"/>
  <c r="F929" i="91"/>
  <c r="H929" i="91" s="1"/>
  <c r="C930" i="91"/>
  <c r="F930" i="91"/>
  <c r="I930" i="91" s="1"/>
  <c r="F928" i="91"/>
  <c r="G928" i="91" s="1"/>
  <c r="C928" i="91"/>
  <c r="C926" i="91"/>
  <c r="F926" i="91"/>
  <c r="C927" i="91"/>
  <c r="F927" i="91"/>
  <c r="G927" i="91" s="1"/>
  <c r="C920" i="91"/>
  <c r="F920" i="91"/>
  <c r="I920" i="91" s="1"/>
  <c r="C921" i="91"/>
  <c r="F921" i="91"/>
  <c r="H921" i="91" s="1"/>
  <c r="C922" i="91"/>
  <c r="F922" i="91"/>
  <c r="C923" i="91"/>
  <c r="F923" i="91"/>
  <c r="G923" i="91" s="1"/>
  <c r="C924" i="91"/>
  <c r="F924" i="91"/>
  <c r="C925" i="91"/>
  <c r="F925" i="91"/>
  <c r="I925" i="91" s="1"/>
  <c r="F919" i="91"/>
  <c r="G919" i="91" s="1"/>
  <c r="C919" i="91"/>
  <c r="C916" i="91"/>
  <c r="F916" i="91"/>
  <c r="H916" i="91" s="1"/>
  <c r="C917" i="91"/>
  <c r="F917" i="91"/>
  <c r="H917" i="91" s="1"/>
  <c r="C918" i="91"/>
  <c r="F918" i="91"/>
  <c r="H918" i="91" s="1"/>
  <c r="C910" i="91"/>
  <c r="F910" i="91"/>
  <c r="H910" i="91" s="1"/>
  <c r="C911" i="91"/>
  <c r="F911" i="91"/>
  <c r="G911" i="91" s="1"/>
  <c r="C912" i="91"/>
  <c r="F912" i="91"/>
  <c r="C913" i="91"/>
  <c r="F913" i="91"/>
  <c r="I913" i="91" s="1"/>
  <c r="C914" i="91"/>
  <c r="F914" i="91"/>
  <c r="C915" i="91"/>
  <c r="F915" i="91"/>
  <c r="H915" i="91" s="1"/>
  <c r="F909" i="91"/>
  <c r="G909" i="91" s="1"/>
  <c r="C909" i="91"/>
  <c r="C908" i="91"/>
  <c r="F908" i="91"/>
  <c r="I908" i="91" s="1"/>
  <c r="C900" i="91"/>
  <c r="F900" i="91"/>
  <c r="H900" i="91" s="1"/>
  <c r="C901" i="91"/>
  <c r="F901" i="91"/>
  <c r="G901" i="91" s="1"/>
  <c r="C902" i="91"/>
  <c r="F902" i="91"/>
  <c r="C903" i="91"/>
  <c r="F903" i="91"/>
  <c r="I903" i="91" s="1"/>
  <c r="C904" i="91"/>
  <c r="F904" i="91"/>
  <c r="C905" i="91"/>
  <c r="F905" i="91"/>
  <c r="H905" i="91" s="1"/>
  <c r="C906" i="91"/>
  <c r="F906" i="91"/>
  <c r="I906" i="91" s="1"/>
  <c r="C907" i="91"/>
  <c r="F907" i="91"/>
  <c r="G907" i="91" s="1"/>
  <c r="F899" i="91"/>
  <c r="G899" i="91" s="1"/>
  <c r="C899" i="91"/>
  <c r="C898" i="91"/>
  <c r="F898" i="91"/>
  <c r="I898" i="91" s="1"/>
  <c r="C892" i="91"/>
  <c r="F892" i="91"/>
  <c r="H892" i="91" s="1"/>
  <c r="C893" i="91"/>
  <c r="F893" i="91"/>
  <c r="G893" i="91" s="1"/>
  <c r="C894" i="91"/>
  <c r="F894" i="91"/>
  <c r="C895" i="91"/>
  <c r="F895" i="91"/>
  <c r="H895" i="91" s="1"/>
  <c r="C896" i="91"/>
  <c r="F896" i="91"/>
  <c r="C897" i="91"/>
  <c r="F897" i="91"/>
  <c r="H897" i="91" s="1"/>
  <c r="F891" i="91"/>
  <c r="G891" i="91" s="1"/>
  <c r="C891" i="91"/>
  <c r="C882" i="91"/>
  <c r="F882" i="91"/>
  <c r="H882" i="91" s="1"/>
  <c r="C883" i="91"/>
  <c r="F883" i="91"/>
  <c r="G883" i="91" s="1"/>
  <c r="C884" i="91"/>
  <c r="F884" i="91"/>
  <c r="C885" i="91"/>
  <c r="F885" i="91"/>
  <c r="G885" i="91" s="1"/>
  <c r="C886" i="91"/>
  <c r="F886" i="91"/>
  <c r="C887" i="91"/>
  <c r="F887" i="91"/>
  <c r="H887" i="91" s="1"/>
  <c r="C888" i="91"/>
  <c r="F888" i="91"/>
  <c r="H888" i="91" s="1"/>
  <c r="C889" i="91"/>
  <c r="F889" i="91"/>
  <c r="G889" i="91" s="1"/>
  <c r="C890" i="91"/>
  <c r="F890" i="91"/>
  <c r="G890" i="91" s="1"/>
  <c r="F881" i="91"/>
  <c r="G881" i="91" s="1"/>
  <c r="C881" i="91"/>
  <c r="C876" i="91"/>
  <c r="F876" i="91"/>
  <c r="H876" i="91" s="1"/>
  <c r="C877" i="91"/>
  <c r="F877" i="91"/>
  <c r="G877" i="91" s="1"/>
  <c r="C878" i="91"/>
  <c r="F878" i="91"/>
  <c r="G878" i="91" s="1"/>
  <c r="C879" i="91"/>
  <c r="F879" i="91"/>
  <c r="G879" i="91" s="1"/>
  <c r="C880" i="91"/>
  <c r="F880" i="91"/>
  <c r="G880" i="91" s="1"/>
  <c r="F875" i="91"/>
  <c r="I875" i="91" s="1"/>
  <c r="C875" i="91"/>
  <c r="C874" i="91"/>
  <c r="F874" i="91"/>
  <c r="H874" i="91" s="1"/>
  <c r="F873" i="91"/>
  <c r="G873" i="91" s="1"/>
  <c r="C873" i="91"/>
  <c r="C872" i="91"/>
  <c r="F872" i="91"/>
  <c r="H872" i="91" s="1"/>
  <c r="F871" i="91"/>
  <c r="G871" i="91" s="1"/>
  <c r="C871" i="91"/>
  <c r="C870" i="91"/>
  <c r="F870" i="91"/>
  <c r="H870" i="91" s="1"/>
  <c r="F869" i="91"/>
  <c r="J869" i="91" s="1"/>
  <c r="C869" i="91"/>
  <c r="C868" i="91"/>
  <c r="F868" i="91"/>
  <c r="I868" i="91" s="1"/>
  <c r="C866" i="91"/>
  <c r="F866" i="91"/>
  <c r="C867" i="91"/>
  <c r="F867" i="91"/>
  <c r="G867" i="91" s="1"/>
  <c r="C861" i="91"/>
  <c r="F861" i="91"/>
  <c r="H861" i="91" s="1"/>
  <c r="C862" i="91"/>
  <c r="F862" i="91"/>
  <c r="G862" i="91" s="1"/>
  <c r="C863" i="91"/>
  <c r="F863" i="91"/>
  <c r="G863" i="91" s="1"/>
  <c r="C864" i="91"/>
  <c r="F864" i="91"/>
  <c r="H864" i="91" s="1"/>
  <c r="C865" i="91"/>
  <c r="F865" i="91"/>
  <c r="G865" i="91" s="1"/>
  <c r="F860" i="91"/>
  <c r="G860" i="91" s="1"/>
  <c r="C860" i="91"/>
  <c r="C856" i="91"/>
  <c r="F856" i="91"/>
  <c r="H856" i="91" s="1"/>
  <c r="C857" i="91"/>
  <c r="F857" i="91"/>
  <c r="H857" i="91" s="1"/>
  <c r="C858" i="91"/>
  <c r="F858" i="91"/>
  <c r="G858" i="91" s="1"/>
  <c r="C859" i="91"/>
  <c r="F859" i="91"/>
  <c r="C851" i="91"/>
  <c r="F851" i="91"/>
  <c r="H851" i="91" s="1"/>
  <c r="C852" i="91"/>
  <c r="F852" i="91"/>
  <c r="G852" i="91" s="1"/>
  <c r="C853" i="91"/>
  <c r="F853" i="91"/>
  <c r="C854" i="91"/>
  <c r="F854" i="91"/>
  <c r="G854" i="91" s="1"/>
  <c r="C855" i="91"/>
  <c r="F855" i="91"/>
  <c r="F850" i="91"/>
  <c r="G850" i="91" s="1"/>
  <c r="C850" i="91"/>
  <c r="C849" i="91"/>
  <c r="F849" i="91"/>
  <c r="I849" i="91" s="1"/>
  <c r="C845" i="91"/>
  <c r="F845" i="91"/>
  <c r="C846" i="91"/>
  <c r="F846" i="91"/>
  <c r="G846" i="91" s="1"/>
  <c r="C847" i="91"/>
  <c r="F847" i="91"/>
  <c r="C848" i="91"/>
  <c r="F848" i="91"/>
  <c r="I848" i="91" s="1"/>
  <c r="C839" i="91"/>
  <c r="F839" i="91"/>
  <c r="H839" i="91" s="1"/>
  <c r="C840" i="91"/>
  <c r="F840" i="91"/>
  <c r="G840" i="91" s="1"/>
  <c r="C841" i="91"/>
  <c r="F841" i="91"/>
  <c r="C842" i="91"/>
  <c r="F842" i="91"/>
  <c r="H842" i="91" s="1"/>
  <c r="C843" i="91"/>
  <c r="F843" i="91"/>
  <c r="C844" i="91"/>
  <c r="F844" i="91"/>
  <c r="H844" i="91" s="1"/>
  <c r="F838" i="91"/>
  <c r="G838" i="91" s="1"/>
  <c r="C838" i="91"/>
  <c r="C835" i="91"/>
  <c r="F835" i="91"/>
  <c r="H835" i="91" s="1"/>
  <c r="C836" i="91"/>
  <c r="F836" i="91"/>
  <c r="G836" i="91" s="1"/>
  <c r="C837" i="91"/>
  <c r="F837" i="91"/>
  <c r="H837" i="91" s="1"/>
  <c r="C829" i="91"/>
  <c r="F829" i="91"/>
  <c r="H829" i="91" s="1"/>
  <c r="C830" i="91"/>
  <c r="F830" i="91"/>
  <c r="H830" i="91" s="1"/>
  <c r="C831" i="91"/>
  <c r="F831" i="91"/>
  <c r="C832" i="91"/>
  <c r="F832" i="91"/>
  <c r="I832" i="91" s="1"/>
  <c r="C833" i="91"/>
  <c r="F833" i="91"/>
  <c r="C834" i="91"/>
  <c r="F834" i="91"/>
  <c r="H834" i="91" s="1"/>
  <c r="F828" i="91"/>
  <c r="G828" i="91" s="1"/>
  <c r="C828" i="91"/>
  <c r="C827" i="91"/>
  <c r="F827" i="91"/>
  <c r="H827" i="91" s="1"/>
  <c r="C821" i="91"/>
  <c r="F821" i="91"/>
  <c r="H821" i="91" s="1"/>
  <c r="C822" i="91"/>
  <c r="F822" i="91"/>
  <c r="G822" i="91" s="1"/>
  <c r="C823" i="91"/>
  <c r="F823" i="91"/>
  <c r="C824" i="91"/>
  <c r="F824" i="91"/>
  <c r="G824" i="91" s="1"/>
  <c r="C825" i="91"/>
  <c r="F825" i="91"/>
  <c r="G825" i="91" s="1"/>
  <c r="C826" i="91"/>
  <c r="F826" i="91"/>
  <c r="I826" i="91" s="1"/>
  <c r="F820" i="91"/>
  <c r="G820" i="91" s="1"/>
  <c r="C820" i="91"/>
  <c r="C815" i="91"/>
  <c r="F815" i="91"/>
  <c r="G815" i="91" s="1"/>
  <c r="C816" i="91"/>
  <c r="F816" i="91"/>
  <c r="C817" i="91"/>
  <c r="F817" i="91"/>
  <c r="I817" i="91" s="1"/>
  <c r="C818" i="91"/>
  <c r="F818" i="91"/>
  <c r="G818" i="91" s="1"/>
  <c r="C819" i="91"/>
  <c r="F819" i="91"/>
  <c r="I819" i="91" s="1"/>
  <c r="F814" i="91"/>
  <c r="G814" i="91" s="1"/>
  <c r="C814" i="91"/>
  <c r="C811" i="91"/>
  <c r="F811" i="91"/>
  <c r="H811" i="91" s="1"/>
  <c r="C812" i="91"/>
  <c r="F812" i="91"/>
  <c r="G812" i="91" s="1"/>
  <c r="C813" i="91"/>
  <c r="F813" i="91"/>
  <c r="G813" i="91" s="1"/>
  <c r="C807" i="91"/>
  <c r="F807" i="91"/>
  <c r="C808" i="91"/>
  <c r="F808" i="91"/>
  <c r="G808" i="91" s="1"/>
  <c r="C809" i="91"/>
  <c r="F809" i="91"/>
  <c r="C810" i="91"/>
  <c r="F810" i="91"/>
  <c r="C801" i="91"/>
  <c r="F801" i="91"/>
  <c r="C802" i="91"/>
  <c r="F802" i="91"/>
  <c r="G802" i="91" s="1"/>
  <c r="C803" i="91"/>
  <c r="F803" i="91"/>
  <c r="C804" i="91"/>
  <c r="F804" i="91"/>
  <c r="C805" i="91"/>
  <c r="F805" i="91"/>
  <c r="G805" i="91" s="1"/>
  <c r="C806" i="91"/>
  <c r="F806" i="91"/>
  <c r="G806" i="91" s="1"/>
  <c r="C794" i="91"/>
  <c r="F794" i="91"/>
  <c r="H794" i="91" s="1"/>
  <c r="C795" i="91"/>
  <c r="F795" i="91"/>
  <c r="G795" i="91" s="1"/>
  <c r="C796" i="91"/>
  <c r="F796" i="91"/>
  <c r="G796" i="91" s="1"/>
  <c r="C797" i="91"/>
  <c r="F797" i="91"/>
  <c r="H797" i="91" s="1"/>
  <c r="C798" i="91"/>
  <c r="F798" i="91"/>
  <c r="C799" i="91"/>
  <c r="F799" i="91"/>
  <c r="G799" i="91" s="1"/>
  <c r="C800" i="91"/>
  <c r="F800" i="91"/>
  <c r="H800" i="91" s="1"/>
  <c r="F793" i="91"/>
  <c r="G793" i="91" s="1"/>
  <c r="F792" i="91"/>
  <c r="I792" i="91" s="1"/>
  <c r="C793" i="91"/>
  <c r="C792" i="91"/>
  <c r="C789" i="91"/>
  <c r="F789" i="91"/>
  <c r="H789" i="91" s="1"/>
  <c r="C790" i="91"/>
  <c r="F790" i="91"/>
  <c r="G790" i="91" s="1"/>
  <c r="C791" i="91"/>
  <c r="F791" i="91"/>
  <c r="I791" i="91" s="1"/>
  <c r="F788" i="91"/>
  <c r="G788" i="91" s="1"/>
  <c r="C788" i="91"/>
  <c r="C786" i="91"/>
  <c r="F786" i="91"/>
  <c r="G786" i="91" s="1"/>
  <c r="C787" i="91"/>
  <c r="F787" i="91"/>
  <c r="G787" i="91" s="1"/>
  <c r="C783" i="91"/>
  <c r="F783" i="91"/>
  <c r="H783" i="91" s="1"/>
  <c r="C784" i="91"/>
  <c r="F784" i="91"/>
  <c r="G784" i="91" s="1"/>
  <c r="C785" i="91"/>
  <c r="F785" i="91"/>
  <c r="G785" i="91" s="1"/>
  <c r="C778" i="91"/>
  <c r="F778" i="91"/>
  <c r="G778" i="91" s="1"/>
  <c r="C779" i="91"/>
  <c r="F779" i="91"/>
  <c r="G779" i="91" s="1"/>
  <c r="C780" i="91"/>
  <c r="F780" i="91"/>
  <c r="G780" i="91" s="1"/>
  <c r="C781" i="91"/>
  <c r="F781" i="91"/>
  <c r="H781" i="91" s="1"/>
  <c r="C782" i="91"/>
  <c r="F782" i="91"/>
  <c r="G782" i="91" s="1"/>
  <c r="C775" i="91"/>
  <c r="F775" i="91"/>
  <c r="I775" i="91" s="1"/>
  <c r="C776" i="91"/>
  <c r="F776" i="91"/>
  <c r="H776" i="91" s="1"/>
  <c r="C777" i="91"/>
  <c r="F777" i="91"/>
  <c r="H777" i="91" s="1"/>
  <c r="C769" i="91"/>
  <c r="F769" i="91"/>
  <c r="G769" i="91" s="1"/>
  <c r="C770" i="91"/>
  <c r="F770" i="91"/>
  <c r="G770" i="91" s="1"/>
  <c r="C771" i="91"/>
  <c r="F771" i="91"/>
  <c r="H771" i="91" s="1"/>
  <c r="C772" i="91"/>
  <c r="F772" i="91"/>
  <c r="G772" i="91" s="1"/>
  <c r="C773" i="91"/>
  <c r="F773" i="91"/>
  <c r="G773" i="91" s="1"/>
  <c r="C774" i="91"/>
  <c r="F774" i="91"/>
  <c r="H774" i="91" s="1"/>
  <c r="C759" i="91"/>
  <c r="F759" i="91"/>
  <c r="H759" i="91" s="1"/>
  <c r="C760" i="91"/>
  <c r="F760" i="91"/>
  <c r="H760" i="91" s="1"/>
  <c r="C761" i="91"/>
  <c r="F761" i="91"/>
  <c r="C762" i="91"/>
  <c r="F762" i="91"/>
  <c r="I762" i="91" s="1"/>
  <c r="C763" i="91"/>
  <c r="F763" i="91"/>
  <c r="C764" i="91"/>
  <c r="F764" i="91"/>
  <c r="C765" i="91"/>
  <c r="F765" i="91"/>
  <c r="G765" i="91" s="1"/>
  <c r="C766" i="91"/>
  <c r="F766" i="91"/>
  <c r="C767" i="91"/>
  <c r="F767" i="91"/>
  <c r="H767" i="91" s="1"/>
  <c r="C768" i="91"/>
  <c r="F768" i="91"/>
  <c r="I768" i="91" s="1"/>
  <c r="F758" i="91"/>
  <c r="I758" i="91" s="1"/>
  <c r="C758" i="91"/>
  <c r="C757" i="91"/>
  <c r="F757" i="91"/>
  <c r="H757" i="91" s="1"/>
  <c r="C755" i="91"/>
  <c r="F755" i="91"/>
  <c r="H755" i="91" s="1"/>
  <c r="C756" i="91"/>
  <c r="F756" i="91"/>
  <c r="G756" i="91" s="1"/>
  <c r="C751" i="91"/>
  <c r="F751" i="91"/>
  <c r="H751" i="91" s="1"/>
  <c r="C752" i="91"/>
  <c r="F752" i="91"/>
  <c r="C753" i="91"/>
  <c r="F753" i="91"/>
  <c r="G753" i="91" s="1"/>
  <c r="C754" i="91"/>
  <c r="F754" i="91"/>
  <c r="H754" i="91" s="1"/>
  <c r="C748" i="91"/>
  <c r="F748" i="91"/>
  <c r="C749" i="91"/>
  <c r="F749" i="91"/>
  <c r="C750" i="91"/>
  <c r="F750" i="91"/>
  <c r="C745" i="91"/>
  <c r="F745" i="91"/>
  <c r="H745" i="91" s="1"/>
  <c r="C746" i="91"/>
  <c r="F746" i="91"/>
  <c r="G746" i="91" s="1"/>
  <c r="C747" i="91"/>
  <c r="F747" i="91"/>
  <c r="C739" i="91"/>
  <c r="F739" i="91"/>
  <c r="H739" i="91" s="1"/>
  <c r="C740" i="91"/>
  <c r="F740" i="91"/>
  <c r="I740" i="91" s="1"/>
  <c r="C741" i="91"/>
  <c r="F741" i="91"/>
  <c r="G741" i="91" s="1"/>
  <c r="C742" i="91"/>
  <c r="F742" i="91"/>
  <c r="H742" i="91" s="1"/>
  <c r="C743" i="91"/>
  <c r="F743" i="91"/>
  <c r="G743" i="91" s="1"/>
  <c r="C744" i="91"/>
  <c r="F744" i="91"/>
  <c r="G744" i="91" s="1"/>
  <c r="F738" i="91"/>
  <c r="G738" i="91" s="1"/>
  <c r="C738" i="91"/>
  <c r="C737" i="91"/>
  <c r="F737" i="91"/>
  <c r="H737" i="91" s="1"/>
  <c r="C733" i="91"/>
  <c r="F733" i="91"/>
  <c r="I733" i="91" s="1"/>
  <c r="C734" i="91"/>
  <c r="F734" i="91"/>
  <c r="G734" i="91" s="1"/>
  <c r="C735" i="91"/>
  <c r="F735" i="91"/>
  <c r="C736" i="91"/>
  <c r="F736" i="91"/>
  <c r="I736" i="91" s="1"/>
  <c r="C729" i="91"/>
  <c r="F729" i="91"/>
  <c r="H729" i="91" s="1"/>
  <c r="C730" i="91"/>
  <c r="F730" i="91"/>
  <c r="H730" i="91" s="1"/>
  <c r="C731" i="91"/>
  <c r="F731" i="91"/>
  <c r="G731" i="91" s="1"/>
  <c r="C732" i="91"/>
  <c r="F732" i="91"/>
  <c r="H732" i="91" s="1"/>
  <c r="C724" i="91"/>
  <c r="F724" i="91"/>
  <c r="H724" i="91" s="1"/>
  <c r="C725" i="91"/>
  <c r="F725" i="91"/>
  <c r="C726" i="91"/>
  <c r="F726" i="91"/>
  <c r="G726" i="91" s="1"/>
  <c r="C727" i="91"/>
  <c r="F727" i="91"/>
  <c r="H727" i="91" s="1"/>
  <c r="C728" i="91"/>
  <c r="F728" i="91"/>
  <c r="G728" i="91" s="1"/>
  <c r="F723" i="91"/>
  <c r="C723" i="91"/>
  <c r="C719" i="91"/>
  <c r="F719" i="91"/>
  <c r="H719" i="91" s="1"/>
  <c r="C720" i="91"/>
  <c r="F720" i="91"/>
  <c r="H720" i="91" s="1"/>
  <c r="C721" i="91"/>
  <c r="F721" i="91"/>
  <c r="G721" i="91" s="1"/>
  <c r="C722" i="91"/>
  <c r="F722" i="91"/>
  <c r="H722" i="91" s="1"/>
  <c r="C717" i="91"/>
  <c r="F717" i="91"/>
  <c r="H717" i="91" s="1"/>
  <c r="C718" i="91"/>
  <c r="F718" i="91"/>
  <c r="G718" i="91" s="1"/>
  <c r="C715" i="91"/>
  <c r="F715" i="91"/>
  <c r="H715" i="91" s="1"/>
  <c r="C716" i="91"/>
  <c r="F716" i="91"/>
  <c r="G716" i="91" s="1"/>
  <c r="C711" i="91"/>
  <c r="F711" i="91"/>
  <c r="H711" i="91" s="1"/>
  <c r="C712" i="91"/>
  <c r="F712" i="91"/>
  <c r="I712" i="91" s="1"/>
  <c r="C713" i="91"/>
  <c r="F713" i="91"/>
  <c r="G713" i="91" s="1"/>
  <c r="C714" i="91"/>
  <c r="F714" i="91"/>
  <c r="H714" i="91" s="1"/>
  <c r="C701" i="91"/>
  <c r="F701" i="91"/>
  <c r="H701" i="91" s="1"/>
  <c r="C702" i="91"/>
  <c r="F702" i="91"/>
  <c r="G702" i="91" s="1"/>
  <c r="C703" i="91"/>
  <c r="F703" i="91"/>
  <c r="G703" i="91" s="1"/>
  <c r="C704" i="91"/>
  <c r="F704" i="91"/>
  <c r="H704" i="91" s="1"/>
  <c r="C705" i="91"/>
  <c r="F705" i="91"/>
  <c r="G705" i="91" s="1"/>
  <c r="C706" i="91"/>
  <c r="F706" i="91"/>
  <c r="G706" i="91" s="1"/>
  <c r="C707" i="91"/>
  <c r="F707" i="91"/>
  <c r="I707" i="91" s="1"/>
  <c r="C708" i="91"/>
  <c r="F708" i="91"/>
  <c r="G708" i="91" s="1"/>
  <c r="C709" i="91"/>
  <c r="F709" i="91"/>
  <c r="H709" i="91" s="1"/>
  <c r="C710" i="91"/>
  <c r="F710" i="91"/>
  <c r="H710" i="91" s="1"/>
  <c r="F700" i="91"/>
  <c r="G700" i="91" s="1"/>
  <c r="C700" i="91"/>
  <c r="C693" i="91"/>
  <c r="F693" i="91"/>
  <c r="H693" i="91" s="1"/>
  <c r="C694" i="91"/>
  <c r="F694" i="91"/>
  <c r="H694" i="91" s="1"/>
  <c r="C695" i="91"/>
  <c r="F695" i="91"/>
  <c r="G695" i="91" s="1"/>
  <c r="C696" i="91"/>
  <c r="F696" i="91"/>
  <c r="H696" i="91" s="1"/>
  <c r="C697" i="91"/>
  <c r="F697" i="91"/>
  <c r="H697" i="91" s="1"/>
  <c r="C698" i="91"/>
  <c r="F698" i="91"/>
  <c r="G698" i="91" s="1"/>
  <c r="C699" i="91"/>
  <c r="F699" i="91"/>
  <c r="H699" i="91" s="1"/>
  <c r="F692" i="91"/>
  <c r="I692" i="91" s="1"/>
  <c r="C692" i="91"/>
  <c r="C687" i="91"/>
  <c r="F687" i="91"/>
  <c r="H687" i="91" s="1"/>
  <c r="C688" i="91"/>
  <c r="F688" i="91"/>
  <c r="C689" i="91"/>
  <c r="F689" i="91"/>
  <c r="I689" i="91" s="1"/>
  <c r="C690" i="91"/>
  <c r="F690" i="91"/>
  <c r="G690" i="91" s="1"/>
  <c r="C691" i="91"/>
  <c r="F691" i="91"/>
  <c r="I691" i="91" s="1"/>
  <c r="F686" i="91"/>
  <c r="G686" i="91" s="1"/>
  <c r="C686" i="91"/>
  <c r="C684" i="91"/>
  <c r="F684" i="91"/>
  <c r="H684" i="91" s="1"/>
  <c r="C685" i="91"/>
  <c r="F685" i="91"/>
  <c r="I685" i="91" s="1"/>
  <c r="F683" i="91"/>
  <c r="G683" i="91" s="1"/>
  <c r="C683" i="91"/>
  <c r="C682" i="91"/>
  <c r="F682" i="91"/>
  <c r="I682" i="91" s="1"/>
  <c r="C679" i="91"/>
  <c r="F679" i="91"/>
  <c r="H679" i="91" s="1"/>
  <c r="C680" i="91"/>
  <c r="F680" i="91"/>
  <c r="G680" i="91" s="1"/>
  <c r="C681" i="91"/>
  <c r="F681" i="91"/>
  <c r="G681" i="91" s="1"/>
  <c r="C673" i="91"/>
  <c r="F673" i="91"/>
  <c r="I673" i="91" s="1"/>
  <c r="C674" i="91"/>
  <c r="F674" i="91"/>
  <c r="H674" i="91" s="1"/>
  <c r="C675" i="91"/>
  <c r="F675" i="91"/>
  <c r="C676" i="91"/>
  <c r="F676" i="91"/>
  <c r="G676" i="91" s="1"/>
  <c r="C677" i="91"/>
  <c r="F677" i="91"/>
  <c r="C678" i="91"/>
  <c r="F678" i="91"/>
  <c r="G678" i="91" s="1"/>
  <c r="F672" i="91"/>
  <c r="C672" i="91"/>
  <c r="C671" i="91"/>
  <c r="F671" i="91"/>
  <c r="I671" i="91" s="1"/>
  <c r="C668" i="91"/>
  <c r="F668" i="91"/>
  <c r="G668" i="91" s="1"/>
  <c r="C669" i="91"/>
  <c r="F669" i="91"/>
  <c r="G669" i="91" s="1"/>
  <c r="C670" i="91"/>
  <c r="F670" i="91"/>
  <c r="I670" i="91" s="1"/>
  <c r="C663" i="91"/>
  <c r="F663" i="91"/>
  <c r="I663" i="91" s="1"/>
  <c r="C664" i="91"/>
  <c r="F664" i="91"/>
  <c r="G664" i="91" s="1"/>
  <c r="C665" i="91"/>
  <c r="F665" i="91"/>
  <c r="I665" i="91" s="1"/>
  <c r="C666" i="91"/>
  <c r="F666" i="91"/>
  <c r="G666" i="91" s="1"/>
  <c r="C667" i="91"/>
  <c r="F667" i="91"/>
  <c r="I667" i="91" s="1"/>
  <c r="F662" i="91"/>
  <c r="G662" i="91" s="1"/>
  <c r="C662" i="91"/>
  <c r="C652" i="91"/>
  <c r="F652" i="91"/>
  <c r="H652" i="91" s="1"/>
  <c r="C653" i="91"/>
  <c r="F653" i="91"/>
  <c r="H653" i="91" s="1"/>
  <c r="C654" i="91"/>
  <c r="F654" i="91"/>
  <c r="G654" i="91" s="1"/>
  <c r="C655" i="91"/>
  <c r="F655" i="91"/>
  <c r="G655" i="91" s="1"/>
  <c r="C656" i="91"/>
  <c r="F656" i="91"/>
  <c r="G656" i="91" s="1"/>
  <c r="C657" i="91"/>
  <c r="F657" i="91"/>
  <c r="H657" i="91" s="1"/>
  <c r="C658" i="91"/>
  <c r="F658" i="91"/>
  <c r="I658" i="91" s="1"/>
  <c r="C659" i="91"/>
  <c r="F659" i="91"/>
  <c r="C660" i="91"/>
  <c r="F660" i="91"/>
  <c r="H660" i="91" s="1"/>
  <c r="C661" i="91"/>
  <c r="F661" i="91"/>
  <c r="H661" i="91" s="1"/>
  <c r="F651" i="91"/>
  <c r="I651" i="91" s="1"/>
  <c r="C651" i="91"/>
  <c r="C641" i="91"/>
  <c r="F641" i="91"/>
  <c r="H641" i="91" s="1"/>
  <c r="C642" i="91"/>
  <c r="F642" i="91"/>
  <c r="H642" i="91" s="1"/>
  <c r="C643" i="91"/>
  <c r="F643" i="91"/>
  <c r="G643" i="91" s="1"/>
  <c r="C644" i="91"/>
  <c r="F644" i="91"/>
  <c r="G644" i="91" s="1"/>
  <c r="C645" i="91"/>
  <c r="F645" i="91"/>
  <c r="C646" i="91"/>
  <c r="F646" i="91"/>
  <c r="H646" i="91" s="1"/>
  <c r="C647" i="91"/>
  <c r="F647" i="91"/>
  <c r="H647" i="91" s="1"/>
  <c r="C648" i="91"/>
  <c r="F648" i="91"/>
  <c r="C649" i="91"/>
  <c r="F649" i="91"/>
  <c r="H649" i="91" s="1"/>
  <c r="C650" i="91"/>
  <c r="F650" i="91"/>
  <c r="H650" i="91" s="1"/>
  <c r="F640" i="91"/>
  <c r="H640" i="91" s="1"/>
  <c r="C640" i="91"/>
  <c r="C637" i="91"/>
  <c r="F637" i="91"/>
  <c r="H637" i="91" s="1"/>
  <c r="C638" i="91"/>
  <c r="F638" i="91"/>
  <c r="G638" i="91" s="1"/>
  <c r="C639" i="91"/>
  <c r="F639" i="91"/>
  <c r="G639" i="91" s="1"/>
  <c r="C630" i="91"/>
  <c r="F630" i="91"/>
  <c r="H630" i="91" s="1"/>
  <c r="C631" i="91"/>
  <c r="F631" i="91"/>
  <c r="G631" i="91" s="1"/>
  <c r="C632" i="91"/>
  <c r="F632" i="91"/>
  <c r="G632" i="91" s="1"/>
  <c r="C633" i="91"/>
  <c r="F633" i="91"/>
  <c r="G633" i="91" s="1"/>
  <c r="C634" i="91"/>
  <c r="F634" i="91"/>
  <c r="G634" i="91" s="1"/>
  <c r="C635" i="91"/>
  <c r="F635" i="91"/>
  <c r="H635" i="91" s="1"/>
  <c r="C636" i="91"/>
  <c r="F636" i="91"/>
  <c r="F629" i="91"/>
  <c r="G629" i="91" s="1"/>
  <c r="C629" i="91"/>
  <c r="C628" i="91"/>
  <c r="F628" i="91"/>
  <c r="H628" i="91" s="1"/>
  <c r="C626" i="91"/>
  <c r="F626" i="91"/>
  <c r="H626" i="91" s="1"/>
  <c r="C627" i="91"/>
  <c r="F627" i="91"/>
  <c r="G627" i="91" s="1"/>
  <c r="C624" i="91"/>
  <c r="F624" i="91"/>
  <c r="H624" i="91" s="1"/>
  <c r="C625" i="91"/>
  <c r="F625" i="91"/>
  <c r="H625" i="91" s="1"/>
  <c r="C619" i="91"/>
  <c r="F619" i="91"/>
  <c r="H619" i="91" s="1"/>
  <c r="C620" i="91"/>
  <c r="F620" i="91"/>
  <c r="I620" i="91" s="1"/>
  <c r="C621" i="91"/>
  <c r="F621" i="91"/>
  <c r="G621" i="91" s="1"/>
  <c r="C622" i="91"/>
  <c r="F622" i="91"/>
  <c r="H622" i="91" s="1"/>
  <c r="C623" i="91"/>
  <c r="F623" i="91"/>
  <c r="G623" i="91" s="1"/>
  <c r="F618" i="91"/>
  <c r="G618" i="91" s="1"/>
  <c r="C618" i="91"/>
  <c r="C616" i="91"/>
  <c r="F616" i="91"/>
  <c r="H616" i="91" s="1"/>
  <c r="C617" i="91"/>
  <c r="F617" i="91"/>
  <c r="G617" i="91" s="1"/>
  <c r="C608" i="91"/>
  <c r="F608" i="91"/>
  <c r="G608" i="91" s="1"/>
  <c r="C609" i="91"/>
  <c r="F609" i="91"/>
  <c r="C610" i="91"/>
  <c r="F610" i="91"/>
  <c r="H610" i="91" s="1"/>
  <c r="C611" i="91"/>
  <c r="F611" i="91"/>
  <c r="G611" i="91" s="1"/>
  <c r="C612" i="91"/>
  <c r="F612" i="91"/>
  <c r="G612" i="91" s="1"/>
  <c r="C613" i="91"/>
  <c r="F613" i="91"/>
  <c r="H613" i="91" s="1"/>
  <c r="C614" i="91"/>
  <c r="F614" i="91"/>
  <c r="G614" i="91" s="1"/>
  <c r="C615" i="91"/>
  <c r="F615" i="91"/>
  <c r="G615" i="91" s="1"/>
  <c r="F607" i="91"/>
  <c r="I607" i="91" s="1"/>
  <c r="C607" i="91"/>
  <c r="C603" i="91"/>
  <c r="F603" i="91"/>
  <c r="H603" i="91" s="1"/>
  <c r="C604" i="91"/>
  <c r="F604" i="91"/>
  <c r="G604" i="91" s="1"/>
  <c r="C605" i="91"/>
  <c r="F605" i="91"/>
  <c r="H605" i="91" s="1"/>
  <c r="C606" i="91"/>
  <c r="F606" i="91"/>
  <c r="I606" i="91" s="1"/>
  <c r="C597" i="91"/>
  <c r="F597" i="91"/>
  <c r="H597" i="91" s="1"/>
  <c r="C598" i="91"/>
  <c r="F598" i="91"/>
  <c r="I598" i="91" s="1"/>
  <c r="C599" i="91"/>
  <c r="F599" i="91"/>
  <c r="G599" i="91" s="1"/>
  <c r="C600" i="91"/>
  <c r="F600" i="91"/>
  <c r="H600" i="91" s="1"/>
  <c r="C601" i="91"/>
  <c r="F601" i="91"/>
  <c r="H601" i="91" s="1"/>
  <c r="C602" i="91"/>
  <c r="F602" i="91"/>
  <c r="G602" i="91" s="1"/>
  <c r="F596" i="91"/>
  <c r="G596" i="91" s="1"/>
  <c r="C596" i="91"/>
  <c r="C593" i="91"/>
  <c r="F593" i="91"/>
  <c r="H593" i="91" s="1"/>
  <c r="C594" i="91"/>
  <c r="F594" i="91"/>
  <c r="G594" i="91" s="1"/>
  <c r="C595" i="91"/>
  <c r="F595" i="91"/>
  <c r="G595" i="91" s="1"/>
  <c r="C584" i="91"/>
  <c r="F584" i="91"/>
  <c r="H584" i="91" s="1"/>
  <c r="C585" i="91"/>
  <c r="F585" i="91"/>
  <c r="H585" i="91" s="1"/>
  <c r="C586" i="91"/>
  <c r="F586" i="91"/>
  <c r="G586" i="91" s="1"/>
  <c r="C587" i="91"/>
  <c r="F587" i="91"/>
  <c r="H587" i="91" s="1"/>
  <c r="C588" i="91"/>
  <c r="F588" i="91"/>
  <c r="G588" i="91" s="1"/>
  <c r="C589" i="91"/>
  <c r="F589" i="91"/>
  <c r="G589" i="91" s="1"/>
  <c r="C590" i="91"/>
  <c r="F590" i="91"/>
  <c r="H590" i="91" s="1"/>
  <c r="C591" i="91"/>
  <c r="F591" i="91"/>
  <c r="G591" i="91" s="1"/>
  <c r="C592" i="91"/>
  <c r="F592" i="91"/>
  <c r="H592" i="91" s="1"/>
  <c r="F583" i="91"/>
  <c r="G583" i="91" s="1"/>
  <c r="C583" i="91"/>
  <c r="C577" i="91"/>
  <c r="F577" i="91"/>
  <c r="H577" i="91" s="1"/>
  <c r="C578" i="91"/>
  <c r="F578" i="91"/>
  <c r="H578" i="91" s="1"/>
  <c r="C579" i="91"/>
  <c r="F579" i="91"/>
  <c r="G579" i="91" s="1"/>
  <c r="C580" i="91"/>
  <c r="F580" i="91"/>
  <c r="H580" i="91" s="1"/>
  <c r="C581" i="91"/>
  <c r="F581" i="91"/>
  <c r="H581" i="91" s="1"/>
  <c r="C582" i="91"/>
  <c r="F582" i="91"/>
  <c r="C573" i="91"/>
  <c r="F573" i="91"/>
  <c r="I573" i="91" s="1"/>
  <c r="C574" i="91"/>
  <c r="F574" i="91"/>
  <c r="C575" i="91"/>
  <c r="F575" i="91"/>
  <c r="H575" i="91" s="1"/>
  <c r="C576" i="91"/>
  <c r="F576" i="91"/>
  <c r="G576" i="91" s="1"/>
  <c r="C570" i="91"/>
  <c r="F570" i="91"/>
  <c r="I570" i="91" s="1"/>
  <c r="C571" i="91"/>
  <c r="F571" i="91"/>
  <c r="H571" i="91" s="1"/>
  <c r="C572" i="91"/>
  <c r="F572" i="91"/>
  <c r="C566" i="91"/>
  <c r="F566" i="91"/>
  <c r="H566" i="91" s="1"/>
  <c r="C567" i="91"/>
  <c r="F567" i="91"/>
  <c r="G567" i="91" s="1"/>
  <c r="C568" i="91"/>
  <c r="F568" i="91"/>
  <c r="G568" i="91" s="1"/>
  <c r="C569" i="91"/>
  <c r="F569" i="91"/>
  <c r="H569" i="91" s="1"/>
  <c r="C562" i="91"/>
  <c r="F562" i="91"/>
  <c r="H562" i="91" s="1"/>
  <c r="C563" i="91"/>
  <c r="F563" i="91"/>
  <c r="G563" i="91" s="1"/>
  <c r="C564" i="91"/>
  <c r="F564" i="91"/>
  <c r="C565" i="91"/>
  <c r="F565" i="91"/>
  <c r="H565" i="91" s="1"/>
  <c r="C559" i="91"/>
  <c r="F559" i="91"/>
  <c r="H559" i="91" s="1"/>
  <c r="C560" i="91"/>
  <c r="F560" i="91"/>
  <c r="G560" i="91" s="1"/>
  <c r="C561" i="91"/>
  <c r="F561" i="91"/>
  <c r="C555" i="91"/>
  <c r="F555" i="91"/>
  <c r="H555" i="91" s="1"/>
  <c r="C556" i="91"/>
  <c r="F556" i="91"/>
  <c r="C557" i="91"/>
  <c r="F557" i="91"/>
  <c r="G557" i="91" s="1"/>
  <c r="C558" i="91"/>
  <c r="F558" i="91"/>
  <c r="H558" i="91" s="1"/>
  <c r="C551" i="91"/>
  <c r="F551" i="91"/>
  <c r="H551" i="91" s="1"/>
  <c r="C552" i="91"/>
  <c r="F552" i="91"/>
  <c r="I552" i="91" s="1"/>
  <c r="C553" i="91"/>
  <c r="F553" i="91"/>
  <c r="C554" i="91"/>
  <c r="F554" i="91"/>
  <c r="H554" i="91" s="1"/>
  <c r="C544" i="91"/>
  <c r="F544" i="91"/>
  <c r="H544" i="91" s="1"/>
  <c r="C545" i="91"/>
  <c r="F545" i="91"/>
  <c r="H545" i="91" s="1"/>
  <c r="C546" i="91"/>
  <c r="F546" i="91"/>
  <c r="G546" i="91" s="1"/>
  <c r="C547" i="91"/>
  <c r="F547" i="91"/>
  <c r="H547" i="91" s="1"/>
  <c r="C548" i="91"/>
  <c r="F548" i="91"/>
  <c r="H548" i="91" s="1"/>
  <c r="C549" i="91"/>
  <c r="F549" i="91"/>
  <c r="G549" i="91" s="1"/>
  <c r="C550" i="91"/>
  <c r="F550" i="91"/>
  <c r="H550" i="91" s="1"/>
  <c r="F543" i="91"/>
  <c r="G543" i="91" s="1"/>
  <c r="C543" i="91"/>
  <c r="C542" i="91"/>
  <c r="F542" i="91"/>
  <c r="H542" i="91" s="1"/>
  <c r="C540" i="91"/>
  <c r="F540" i="91"/>
  <c r="H540" i="91" s="1"/>
  <c r="C541" i="91"/>
  <c r="F541" i="91"/>
  <c r="G541" i="91" s="1"/>
  <c r="C536" i="91"/>
  <c r="F536" i="91"/>
  <c r="I536" i="91" s="1"/>
  <c r="C537" i="91"/>
  <c r="F537" i="91"/>
  <c r="I537" i="91" s="1"/>
  <c r="C538" i="91"/>
  <c r="F538" i="91"/>
  <c r="G538" i="91" s="1"/>
  <c r="C539" i="91"/>
  <c r="F539" i="91"/>
  <c r="I539" i="91" s="1"/>
  <c r="C530" i="91"/>
  <c r="F530" i="91"/>
  <c r="H530" i="91" s="1"/>
  <c r="C531" i="91"/>
  <c r="F531" i="91"/>
  <c r="H531" i="91" s="1"/>
  <c r="C532" i="91"/>
  <c r="F532" i="91"/>
  <c r="G532" i="91" s="1"/>
  <c r="C533" i="91"/>
  <c r="F533" i="91"/>
  <c r="H533" i="91" s="1"/>
  <c r="C534" i="91"/>
  <c r="F534" i="91"/>
  <c r="G534" i="91" s="1"/>
  <c r="C535" i="91"/>
  <c r="F535" i="91"/>
  <c r="H535" i="91" s="1"/>
  <c r="F529" i="91"/>
  <c r="I529" i="91" s="1"/>
  <c r="C529" i="91"/>
  <c r="C522" i="91"/>
  <c r="F522" i="91"/>
  <c r="H522" i="91" s="1"/>
  <c r="C523" i="91"/>
  <c r="F523" i="91"/>
  <c r="G523" i="91" s="1"/>
  <c r="C524" i="91"/>
  <c r="F524" i="91"/>
  <c r="C525" i="91"/>
  <c r="F525" i="91"/>
  <c r="H525" i="91" s="1"/>
  <c r="C526" i="91"/>
  <c r="F526" i="91"/>
  <c r="G526" i="91" s="1"/>
  <c r="C527" i="91"/>
  <c r="F527" i="91"/>
  <c r="H527" i="91" s="1"/>
  <c r="C528" i="91"/>
  <c r="F528" i="91"/>
  <c r="G528" i="91" s="1"/>
  <c r="F521" i="91"/>
  <c r="G521" i="91" s="1"/>
  <c r="C521" i="91"/>
  <c r="C520" i="91"/>
  <c r="F520" i="91"/>
  <c r="H520" i="91" s="1"/>
  <c r="C514" i="91"/>
  <c r="F514" i="91"/>
  <c r="H514" i="91" s="1"/>
  <c r="C515" i="91"/>
  <c r="F515" i="91"/>
  <c r="G515" i="91" s="1"/>
  <c r="C516" i="91"/>
  <c r="F516" i="91"/>
  <c r="C517" i="91"/>
  <c r="F517" i="91"/>
  <c r="G517" i="91" s="1"/>
  <c r="C518" i="91"/>
  <c r="F518" i="91"/>
  <c r="G518" i="91" s="1"/>
  <c r="C519" i="91"/>
  <c r="F519" i="91"/>
  <c r="F513" i="91"/>
  <c r="G513" i="91" s="1"/>
  <c r="C513" i="91"/>
  <c r="C512" i="91"/>
  <c r="F512" i="91"/>
  <c r="H512" i="91" s="1"/>
  <c r="C506" i="91"/>
  <c r="F506" i="91"/>
  <c r="H506" i="91" s="1"/>
  <c r="C507" i="91"/>
  <c r="F507" i="91"/>
  <c r="G507" i="91" s="1"/>
  <c r="C508" i="91"/>
  <c r="F508" i="91"/>
  <c r="G508" i="91" s="1"/>
  <c r="C509" i="91"/>
  <c r="F509" i="91"/>
  <c r="I509" i="91" s="1"/>
  <c r="C510" i="91"/>
  <c r="F510" i="91"/>
  <c r="G510" i="91" s="1"/>
  <c r="C511" i="91"/>
  <c r="F511" i="91"/>
  <c r="F505" i="91"/>
  <c r="G505" i="91" s="1"/>
  <c r="C505" i="91"/>
  <c r="C496" i="91"/>
  <c r="F496" i="91"/>
  <c r="H496" i="91" s="1"/>
  <c r="C497" i="91"/>
  <c r="F497" i="91"/>
  <c r="I497" i="91" s="1"/>
  <c r="C498" i="91"/>
  <c r="F498" i="91"/>
  <c r="C499" i="91"/>
  <c r="F499" i="91"/>
  <c r="I499" i="91" s="1"/>
  <c r="C500" i="91"/>
  <c r="F500" i="91"/>
  <c r="I500" i="91" s="1"/>
  <c r="C501" i="91"/>
  <c r="F501" i="91"/>
  <c r="H501" i="91" s="1"/>
  <c r="C502" i="91"/>
  <c r="F502" i="91"/>
  <c r="I502" i="91" s="1"/>
  <c r="C503" i="91"/>
  <c r="F503" i="91"/>
  <c r="G503" i="91" s="1"/>
  <c r="C504" i="91"/>
  <c r="F504" i="91"/>
  <c r="I504" i="91" s="1"/>
  <c r="F495" i="91"/>
  <c r="G495" i="91" s="1"/>
  <c r="C495" i="91"/>
  <c r="C493" i="91"/>
  <c r="F493" i="91"/>
  <c r="C494" i="91"/>
  <c r="F494" i="91"/>
  <c r="G494" i="91" s="1"/>
  <c r="C486" i="91"/>
  <c r="F486" i="91"/>
  <c r="H486" i="91" s="1"/>
  <c r="C487" i="91"/>
  <c r="F487" i="91"/>
  <c r="G487" i="91" s="1"/>
  <c r="C488" i="91"/>
  <c r="F488" i="91"/>
  <c r="C489" i="91"/>
  <c r="F489" i="91"/>
  <c r="H489" i="91" s="1"/>
  <c r="C490" i="91"/>
  <c r="F490" i="91"/>
  <c r="G490" i="91" s="1"/>
  <c r="C491" i="91"/>
  <c r="F491" i="91"/>
  <c r="H491" i="91" s="1"/>
  <c r="C492" i="91"/>
  <c r="F492" i="91"/>
  <c r="H492" i="91" s="1"/>
  <c r="F485" i="91"/>
  <c r="G485" i="91" s="1"/>
  <c r="C485" i="91"/>
  <c r="C478" i="91"/>
  <c r="F478" i="91"/>
  <c r="H478" i="91" s="1"/>
  <c r="C479" i="91"/>
  <c r="F479" i="91"/>
  <c r="G479" i="91" s="1"/>
  <c r="C480" i="91"/>
  <c r="F480" i="91"/>
  <c r="C481" i="91"/>
  <c r="F481" i="91"/>
  <c r="G481" i="91" s="1"/>
  <c r="C482" i="91"/>
  <c r="F482" i="91"/>
  <c r="C483" i="91"/>
  <c r="F483" i="91"/>
  <c r="H483" i="91" s="1"/>
  <c r="C484" i="91"/>
  <c r="F484" i="91"/>
  <c r="F477" i="91"/>
  <c r="G477" i="91" s="1"/>
  <c r="C477" i="91"/>
  <c r="C468" i="91"/>
  <c r="F468" i="91"/>
  <c r="H468" i="91" s="1"/>
  <c r="C469" i="91"/>
  <c r="F469" i="91"/>
  <c r="G469" i="91" s="1"/>
  <c r="C470" i="91"/>
  <c r="F470" i="91"/>
  <c r="C471" i="91"/>
  <c r="F471" i="91"/>
  <c r="G471" i="91" s="1"/>
  <c r="C472" i="91"/>
  <c r="F472" i="91"/>
  <c r="C473" i="91"/>
  <c r="F473" i="91"/>
  <c r="H473" i="91" s="1"/>
  <c r="C474" i="91"/>
  <c r="F474" i="91"/>
  <c r="I474" i="91" s="1"/>
  <c r="C475" i="91"/>
  <c r="F475" i="91"/>
  <c r="G475" i="91" s="1"/>
  <c r="C476" i="91"/>
  <c r="F476" i="91"/>
  <c r="H476" i="91" s="1"/>
  <c r="F467" i="91"/>
  <c r="G467" i="91" s="1"/>
  <c r="C467" i="91"/>
  <c r="C458" i="91"/>
  <c r="F458" i="91"/>
  <c r="H458" i="91" s="1"/>
  <c r="C459" i="91"/>
  <c r="F459" i="91"/>
  <c r="G459" i="91" s="1"/>
  <c r="C460" i="91"/>
  <c r="F460" i="91"/>
  <c r="C461" i="91"/>
  <c r="F461" i="91"/>
  <c r="I461" i="91" s="1"/>
  <c r="C462" i="91"/>
  <c r="F462" i="91"/>
  <c r="C463" i="91"/>
  <c r="F463" i="91"/>
  <c r="H463" i="91" s="1"/>
  <c r="C464" i="91"/>
  <c r="F464" i="91"/>
  <c r="C465" i="91"/>
  <c r="F465" i="91"/>
  <c r="G465" i="91" s="1"/>
  <c r="C466" i="91"/>
  <c r="F466" i="91"/>
  <c r="H466" i="91" s="1"/>
  <c r="F457" i="91"/>
  <c r="C457" i="91"/>
  <c r="C448" i="91"/>
  <c r="F448" i="91"/>
  <c r="H448" i="91" s="1"/>
  <c r="C449" i="91"/>
  <c r="F449" i="91"/>
  <c r="H449" i="91" s="1"/>
  <c r="C450" i="91"/>
  <c r="F450" i="91"/>
  <c r="G450" i="91" s="1"/>
  <c r="C451" i="91"/>
  <c r="F451" i="91"/>
  <c r="H451" i="91" s="1"/>
  <c r="C452" i="91"/>
  <c r="F452" i="91"/>
  <c r="G452" i="91" s="1"/>
  <c r="C453" i="91"/>
  <c r="F453" i="91"/>
  <c r="G453" i="91" s="1"/>
  <c r="C454" i="91"/>
  <c r="F454" i="91"/>
  <c r="H454" i="91" s="1"/>
  <c r="C455" i="91"/>
  <c r="F455" i="91"/>
  <c r="G455" i="91" s="1"/>
  <c r="C456" i="91"/>
  <c r="F456" i="91"/>
  <c r="F447" i="91"/>
  <c r="I447" i="91" s="1"/>
  <c r="C447" i="91"/>
  <c r="C446" i="91"/>
  <c r="F446" i="91"/>
  <c r="H446" i="91" s="1"/>
  <c r="C441" i="91"/>
  <c r="F441" i="91"/>
  <c r="H441" i="91" s="1"/>
  <c r="C442" i="91"/>
  <c r="F442" i="91"/>
  <c r="H442" i="91" s="1"/>
  <c r="C443" i="91"/>
  <c r="F443" i="91"/>
  <c r="G443" i="91" s="1"/>
  <c r="C444" i="91"/>
  <c r="F444" i="91"/>
  <c r="H444" i="91" s="1"/>
  <c r="C445" i="91"/>
  <c r="F445" i="91"/>
  <c r="G445" i="91" s="1"/>
  <c r="C432" i="91"/>
  <c r="F432" i="91"/>
  <c r="H432" i="91" s="1"/>
  <c r="C433" i="91"/>
  <c r="F433" i="91"/>
  <c r="H433" i="91" s="1"/>
  <c r="C434" i="91"/>
  <c r="F434" i="91"/>
  <c r="G434" i="91" s="1"/>
  <c r="C435" i="91"/>
  <c r="F435" i="91"/>
  <c r="I435" i="91" s="1"/>
  <c r="C436" i="91"/>
  <c r="F436" i="91"/>
  <c r="I436" i="91" s="1"/>
  <c r="C437" i="91"/>
  <c r="F437" i="91"/>
  <c r="H437" i="91" s="1"/>
  <c r="C438" i="91"/>
  <c r="F438" i="91"/>
  <c r="I438" i="91" s="1"/>
  <c r="C439" i="91"/>
  <c r="F439" i="91"/>
  <c r="G439" i="91" s="1"/>
  <c r="C440" i="91"/>
  <c r="F440" i="91"/>
  <c r="H440" i="91" s="1"/>
  <c r="F431" i="91"/>
  <c r="G431" i="91" s="1"/>
  <c r="C431" i="91"/>
  <c r="C429" i="91"/>
  <c r="F429" i="91"/>
  <c r="I429" i="91" s="1"/>
  <c r="C430" i="91"/>
  <c r="F430" i="91"/>
  <c r="G430" i="91" s="1"/>
  <c r="C425" i="91"/>
  <c r="F425" i="91"/>
  <c r="H425" i="91" s="1"/>
  <c r="C426" i="91"/>
  <c r="F426" i="91"/>
  <c r="G426" i="91" s="1"/>
  <c r="C427" i="91"/>
  <c r="F427" i="91"/>
  <c r="G427" i="91" s="1"/>
  <c r="C428" i="91"/>
  <c r="F428" i="91"/>
  <c r="H428" i="91" s="1"/>
  <c r="C422" i="91"/>
  <c r="F422" i="91"/>
  <c r="H422" i="91" s="1"/>
  <c r="C423" i="91"/>
  <c r="F423" i="91"/>
  <c r="G423" i="91" s="1"/>
  <c r="C424" i="91"/>
  <c r="F424" i="91"/>
  <c r="G424" i="91" s="1"/>
  <c r="F421" i="91"/>
  <c r="I421" i="91" s="1"/>
  <c r="C421" i="91"/>
  <c r="C419" i="91"/>
  <c r="F419" i="91"/>
  <c r="H419" i="91" s="1"/>
  <c r="C420" i="91"/>
  <c r="F420" i="91"/>
  <c r="G420" i="91" s="1"/>
  <c r="F418" i="91"/>
  <c r="I418" i="91" s="1"/>
  <c r="C418" i="91"/>
  <c r="C416" i="91"/>
  <c r="F416" i="91"/>
  <c r="I416" i="91" s="1"/>
  <c r="C417" i="91"/>
  <c r="F417" i="91"/>
  <c r="G417" i="91" s="1"/>
  <c r="C407" i="91"/>
  <c r="F407" i="91"/>
  <c r="H407" i="91" s="1"/>
  <c r="C408" i="91"/>
  <c r="F408" i="91"/>
  <c r="G408" i="91" s="1"/>
  <c r="C409" i="91"/>
  <c r="F409" i="91"/>
  <c r="G409" i="91" s="1"/>
  <c r="C410" i="91"/>
  <c r="F410" i="91"/>
  <c r="G410" i="91" s="1"/>
  <c r="C411" i="91"/>
  <c r="F411" i="91"/>
  <c r="G411" i="91" s="1"/>
  <c r="C412" i="91"/>
  <c r="F412" i="91"/>
  <c r="H412" i="91" s="1"/>
  <c r="C413" i="91"/>
  <c r="F413" i="91"/>
  <c r="G413" i="91" s="1"/>
  <c r="C414" i="91"/>
  <c r="F414" i="91"/>
  <c r="G414" i="91" s="1"/>
  <c r="C415" i="91"/>
  <c r="F415" i="91"/>
  <c r="H415" i="91" s="1"/>
  <c r="F406" i="91"/>
  <c r="G406" i="91" s="1"/>
  <c r="C406" i="91"/>
  <c r="C404" i="91"/>
  <c r="F404" i="91"/>
  <c r="H404" i="91" s="1"/>
  <c r="C405" i="91"/>
  <c r="F405" i="91"/>
  <c r="H405" i="91" s="1"/>
  <c r="C402" i="91"/>
  <c r="F402" i="91"/>
  <c r="C403" i="91"/>
  <c r="F403" i="91"/>
  <c r="I403" i="91" s="1"/>
  <c r="C398" i="91"/>
  <c r="F398" i="91"/>
  <c r="C399" i="91"/>
  <c r="F399" i="91"/>
  <c r="H399" i="91" s="1"/>
  <c r="C400" i="91"/>
  <c r="F400" i="91"/>
  <c r="H400" i="91" s="1"/>
  <c r="C401" i="91"/>
  <c r="F401" i="91"/>
  <c r="H401" i="91" s="1"/>
  <c r="C389" i="91"/>
  <c r="F389" i="91"/>
  <c r="H389" i="91" s="1"/>
  <c r="C390" i="91"/>
  <c r="F390" i="91"/>
  <c r="G390" i="91" s="1"/>
  <c r="C391" i="91"/>
  <c r="F391" i="91"/>
  <c r="C392" i="91"/>
  <c r="F392" i="91"/>
  <c r="G392" i="91" s="1"/>
  <c r="C393" i="91"/>
  <c r="F393" i="91"/>
  <c r="C394" i="91"/>
  <c r="F394" i="91"/>
  <c r="H394" i="91" s="1"/>
  <c r="C395" i="91"/>
  <c r="F395" i="91"/>
  <c r="G395" i="91" s="1"/>
  <c r="C396" i="91"/>
  <c r="F396" i="91"/>
  <c r="G396" i="91" s="1"/>
  <c r="C397" i="91"/>
  <c r="F397" i="91"/>
  <c r="H397" i="91" s="1"/>
  <c r="F388" i="91"/>
  <c r="G388" i="91" s="1"/>
  <c r="C388" i="91"/>
  <c r="C383" i="91"/>
  <c r="F383" i="91"/>
  <c r="G383" i="91" s="1"/>
  <c r="C384" i="91"/>
  <c r="F384" i="91"/>
  <c r="G384" i="91" s="1"/>
  <c r="C385" i="91"/>
  <c r="F385" i="91"/>
  <c r="I385" i="91" s="1"/>
  <c r="C386" i="91"/>
  <c r="F386" i="91"/>
  <c r="G386" i="91" s="1"/>
  <c r="C387" i="91"/>
  <c r="F387" i="91"/>
  <c r="I387" i="91" s="1"/>
  <c r="F382" i="91"/>
  <c r="H382" i="91" s="1"/>
  <c r="C382" i="91"/>
  <c r="C381" i="91"/>
  <c r="F381" i="91"/>
  <c r="I381" i="91" s="1"/>
  <c r="C371" i="91"/>
  <c r="F371" i="91"/>
  <c r="H371" i="91" s="1"/>
  <c r="C372" i="91"/>
  <c r="F372" i="91"/>
  <c r="G372" i="91" s="1"/>
  <c r="C373" i="91"/>
  <c r="F373" i="91"/>
  <c r="G373" i="91" s="1"/>
  <c r="C374" i="91"/>
  <c r="F374" i="91"/>
  <c r="I374" i="91" s="1"/>
  <c r="C375" i="91"/>
  <c r="F375" i="91"/>
  <c r="G375" i="91" s="1"/>
  <c r="C376" i="91"/>
  <c r="F376" i="91"/>
  <c r="C377" i="91"/>
  <c r="F377" i="91"/>
  <c r="G377" i="91" s="1"/>
  <c r="C378" i="91"/>
  <c r="F378" i="91"/>
  <c r="G378" i="91" s="1"/>
  <c r="C379" i="91"/>
  <c r="F379" i="91"/>
  <c r="G379" i="91" s="1"/>
  <c r="C380" i="91"/>
  <c r="F380" i="91"/>
  <c r="G380" i="91" s="1"/>
  <c r="F370" i="91"/>
  <c r="G370" i="91" s="1"/>
  <c r="C370" i="91"/>
  <c r="C368" i="91"/>
  <c r="F368" i="91"/>
  <c r="H368" i="91" s="1"/>
  <c r="C369" i="91"/>
  <c r="F369" i="91"/>
  <c r="G369" i="91" s="1"/>
  <c r="C360" i="91"/>
  <c r="F360" i="91"/>
  <c r="I360" i="91" s="1"/>
  <c r="C361" i="91"/>
  <c r="F361" i="91"/>
  <c r="G361" i="91" s="1"/>
  <c r="C362" i="91"/>
  <c r="F362" i="91"/>
  <c r="G362" i="91" s="1"/>
  <c r="C363" i="91"/>
  <c r="F363" i="91"/>
  <c r="I363" i="91" s="1"/>
  <c r="C364" i="91"/>
  <c r="F364" i="91"/>
  <c r="G364" i="91" s="1"/>
  <c r="C365" i="91"/>
  <c r="F365" i="91"/>
  <c r="G365" i="91" s="1"/>
  <c r="C366" i="91"/>
  <c r="F366" i="91"/>
  <c r="I366" i="91" s="1"/>
  <c r="C367" i="91"/>
  <c r="F367" i="91"/>
  <c r="G367" i="91" s="1"/>
  <c r="C349" i="91"/>
  <c r="F349" i="91"/>
  <c r="H349" i="91" s="1"/>
  <c r="C350" i="91"/>
  <c r="F350" i="91"/>
  <c r="H350" i="91" s="1"/>
  <c r="C351" i="91"/>
  <c r="F351" i="91"/>
  <c r="G351" i="91" s="1"/>
  <c r="C352" i="91"/>
  <c r="F352" i="91"/>
  <c r="H352" i="91" s="1"/>
  <c r="C353" i="91"/>
  <c r="F353" i="91"/>
  <c r="H353" i="91" s="1"/>
  <c r="C354" i="91"/>
  <c r="F354" i="91"/>
  <c r="G354" i="91" s="1"/>
  <c r="C355" i="91"/>
  <c r="F355" i="91"/>
  <c r="H355" i="91" s="1"/>
  <c r="C356" i="91"/>
  <c r="F356" i="91"/>
  <c r="I356" i="91" s="1"/>
  <c r="C357" i="91"/>
  <c r="F357" i="91"/>
  <c r="G357" i="91" s="1"/>
  <c r="C358" i="91"/>
  <c r="F358" i="91"/>
  <c r="H358" i="91" s="1"/>
  <c r="C359" i="91"/>
  <c r="F359" i="91"/>
  <c r="I359" i="91" s="1"/>
  <c r="F348" i="91"/>
  <c r="I348" i="91" s="1"/>
  <c r="C348" i="91"/>
  <c r="C337" i="91"/>
  <c r="F337" i="91"/>
  <c r="H337" i="91" s="1"/>
  <c r="C338" i="91"/>
  <c r="F338" i="91"/>
  <c r="H338" i="91" s="1"/>
  <c r="C339" i="91"/>
  <c r="F339" i="91"/>
  <c r="G339" i="91" s="1"/>
  <c r="C340" i="91"/>
  <c r="F340" i="91"/>
  <c r="I340" i="91" s="1"/>
  <c r="C341" i="91"/>
  <c r="F341" i="91"/>
  <c r="G341" i="91" s="1"/>
  <c r="C342" i="91"/>
  <c r="F342" i="91"/>
  <c r="H342" i="91" s="1"/>
  <c r="C343" i="91"/>
  <c r="F343" i="91"/>
  <c r="C344" i="91"/>
  <c r="F344" i="91"/>
  <c r="G344" i="91" s="1"/>
  <c r="C345" i="91"/>
  <c r="F345" i="91"/>
  <c r="H345" i="91" s="1"/>
  <c r="C346" i="91"/>
  <c r="F346" i="91"/>
  <c r="C347" i="91"/>
  <c r="F347" i="91"/>
  <c r="G347" i="91" s="1"/>
  <c r="F336" i="91"/>
  <c r="G336" i="91" s="1"/>
  <c r="C336" i="91"/>
  <c r="C333" i="91"/>
  <c r="F333" i="91"/>
  <c r="H333" i="91" s="1"/>
  <c r="C334" i="91"/>
  <c r="F334" i="91"/>
  <c r="G334" i="91" s="1"/>
  <c r="C335" i="91"/>
  <c r="F335" i="91"/>
  <c r="H335" i="91" s="1"/>
  <c r="F332" i="91"/>
  <c r="J332" i="91" s="1"/>
  <c r="C332" i="91"/>
  <c r="C327" i="91"/>
  <c r="F327" i="91"/>
  <c r="G327" i="91" s="1"/>
  <c r="C328" i="91"/>
  <c r="F328" i="91"/>
  <c r="G328" i="91" s="1"/>
  <c r="C329" i="91"/>
  <c r="F329" i="91"/>
  <c r="I329" i="91" s="1"/>
  <c r="C330" i="91"/>
  <c r="F330" i="91"/>
  <c r="G330" i="91" s="1"/>
  <c r="C331" i="91"/>
  <c r="F331" i="91"/>
  <c r="I331" i="91" s="1"/>
  <c r="F326" i="91"/>
  <c r="G326" i="91" s="1"/>
  <c r="C326" i="91"/>
  <c r="C324" i="91"/>
  <c r="F324" i="91"/>
  <c r="I324" i="91" s="1"/>
  <c r="C325" i="91"/>
  <c r="F325" i="91"/>
  <c r="G325" i="91" s="1"/>
  <c r="F323" i="91"/>
  <c r="G323" i="91" s="1"/>
  <c r="C323" i="91"/>
  <c r="C322" i="91"/>
  <c r="F322" i="91"/>
  <c r="H322" i="91" s="1"/>
  <c r="F321" i="91"/>
  <c r="G321" i="91" s="1"/>
  <c r="C321" i="91"/>
  <c r="C320" i="91"/>
  <c r="F320" i="91"/>
  <c r="H320" i="91" s="1"/>
  <c r="F319" i="91"/>
  <c r="G319" i="91" s="1"/>
  <c r="C319" i="91"/>
  <c r="C318" i="91"/>
  <c r="F318" i="91"/>
  <c r="H318" i="91" s="1"/>
  <c r="F317" i="91"/>
  <c r="I317" i="91" s="1"/>
  <c r="C317" i="91"/>
  <c r="C311" i="91"/>
  <c r="F311" i="91"/>
  <c r="H311" i="91" s="1"/>
  <c r="C312" i="91"/>
  <c r="F312" i="91"/>
  <c r="G312" i="91" s="1"/>
  <c r="C313" i="91"/>
  <c r="F313" i="91"/>
  <c r="H313" i="91" s="1"/>
  <c r="C314" i="91"/>
  <c r="F314" i="91"/>
  <c r="G314" i="91" s="1"/>
  <c r="C315" i="91"/>
  <c r="F315" i="91"/>
  <c r="C316" i="91"/>
  <c r="F316" i="91"/>
  <c r="I316" i="91" s="1"/>
  <c r="F310" i="91"/>
  <c r="G310" i="91" s="1"/>
  <c r="C310" i="91"/>
  <c r="C308" i="91"/>
  <c r="F308" i="91"/>
  <c r="G308" i="91" s="1"/>
  <c r="C309" i="91"/>
  <c r="F309" i="91"/>
  <c r="F307" i="91"/>
  <c r="I307" i="91" s="1"/>
  <c r="C307" i="91"/>
  <c r="C304" i="91"/>
  <c r="F304" i="91"/>
  <c r="H304" i="91" s="1"/>
  <c r="C305" i="91"/>
  <c r="F305" i="91"/>
  <c r="H305" i="91" s="1"/>
  <c r="C306" i="91"/>
  <c r="F306" i="91"/>
  <c r="G306" i="91" s="1"/>
  <c r="C302" i="91"/>
  <c r="F302" i="91"/>
  <c r="I302" i="91" s="1"/>
  <c r="C303" i="91"/>
  <c r="F303" i="91"/>
  <c r="I303" i="91" s="1"/>
  <c r="C296" i="91"/>
  <c r="F296" i="91"/>
  <c r="H296" i="91" s="1"/>
  <c r="C297" i="91"/>
  <c r="F297" i="91"/>
  <c r="G297" i="91" s="1"/>
  <c r="C298" i="91"/>
  <c r="F298" i="91"/>
  <c r="G298" i="91" s="1"/>
  <c r="C299" i="91"/>
  <c r="F299" i="91"/>
  <c r="H299" i="91" s="1"/>
  <c r="C300" i="91"/>
  <c r="F300" i="91"/>
  <c r="G300" i="91" s="1"/>
  <c r="C301" i="91"/>
  <c r="F301" i="91"/>
  <c r="G301" i="91" s="1"/>
  <c r="C292" i="91"/>
  <c r="F292" i="91"/>
  <c r="H292" i="91" s="1"/>
  <c r="C293" i="91"/>
  <c r="F293" i="91"/>
  <c r="G293" i="91" s="1"/>
  <c r="C294" i="91"/>
  <c r="F294" i="91"/>
  <c r="H294" i="91" s="1"/>
  <c r="C295" i="91"/>
  <c r="F295" i="91"/>
  <c r="C287" i="91"/>
  <c r="F287" i="91"/>
  <c r="H287" i="91" s="1"/>
  <c r="C288" i="91"/>
  <c r="F288" i="91"/>
  <c r="H288" i="91" s="1"/>
  <c r="C289" i="91"/>
  <c r="F289" i="91"/>
  <c r="H289" i="91" s="1"/>
  <c r="C290" i="91"/>
  <c r="F290" i="91"/>
  <c r="H290" i="91" s="1"/>
  <c r="C291" i="91"/>
  <c r="F291" i="91"/>
  <c r="H291" i="91" s="1"/>
  <c r="C284" i="91"/>
  <c r="F284" i="91"/>
  <c r="H284" i="91" s="1"/>
  <c r="C285" i="91"/>
  <c r="F285" i="91"/>
  <c r="H285" i="91" s="1"/>
  <c r="C286" i="91"/>
  <c r="F286" i="91"/>
  <c r="G286" i="91" s="1"/>
  <c r="C280" i="91"/>
  <c r="F280" i="91"/>
  <c r="H280" i="91" s="1"/>
  <c r="C281" i="91"/>
  <c r="F281" i="91"/>
  <c r="C282" i="91"/>
  <c r="F282" i="91"/>
  <c r="G282" i="91" s="1"/>
  <c r="C283" i="91"/>
  <c r="F283" i="91"/>
  <c r="H283" i="91" s="1"/>
  <c r="C276" i="91"/>
  <c r="F276" i="91"/>
  <c r="H276" i="91" s="1"/>
  <c r="C277" i="91"/>
  <c r="F277" i="91"/>
  <c r="G277" i="91" s="1"/>
  <c r="C278" i="91"/>
  <c r="F278" i="91"/>
  <c r="C279" i="91"/>
  <c r="F279" i="91"/>
  <c r="I279" i="91" s="1"/>
  <c r="C273" i="91"/>
  <c r="F273" i="91"/>
  <c r="I273" i="91" s="1"/>
  <c r="C274" i="91"/>
  <c r="F274" i="91"/>
  <c r="G274" i="91" s="1"/>
  <c r="C275" i="91"/>
  <c r="F275" i="91"/>
  <c r="H275" i="91" s="1"/>
  <c r="C268" i="91"/>
  <c r="F268" i="91"/>
  <c r="C269" i="91"/>
  <c r="F269" i="91"/>
  <c r="C270" i="91"/>
  <c r="F270" i="91"/>
  <c r="G270" i="91" s="1"/>
  <c r="C271" i="91"/>
  <c r="F271" i="91"/>
  <c r="H271" i="91" s="1"/>
  <c r="C272" i="91"/>
  <c r="F272" i="91"/>
  <c r="H272" i="91" s="1"/>
  <c r="C266" i="91"/>
  <c r="F266" i="91"/>
  <c r="G266" i="91" s="1"/>
  <c r="C267" i="91"/>
  <c r="F267" i="91"/>
  <c r="G267" i="91" s="1"/>
  <c r="C263" i="91"/>
  <c r="F263" i="91"/>
  <c r="H263" i="91" s="1"/>
  <c r="C264" i="91"/>
  <c r="F264" i="91"/>
  <c r="G264" i="91" s="1"/>
  <c r="C265" i="91"/>
  <c r="F265" i="91"/>
  <c r="G265" i="91" s="1"/>
  <c r="C259" i="91"/>
  <c r="F259" i="91"/>
  <c r="C260" i="91"/>
  <c r="F260" i="91"/>
  <c r="C261" i="91"/>
  <c r="F261" i="91"/>
  <c r="H261" i="91" s="1"/>
  <c r="C262" i="91"/>
  <c r="F262" i="91"/>
  <c r="H262" i="91" s="1"/>
  <c r="C252" i="91"/>
  <c r="F252" i="91"/>
  <c r="H252" i="91" s="1"/>
  <c r="C253" i="91"/>
  <c r="F253" i="91"/>
  <c r="I253" i="91" s="1"/>
  <c r="C254" i="91"/>
  <c r="F254" i="91"/>
  <c r="G254" i="91" s="1"/>
  <c r="C255" i="91"/>
  <c r="F255" i="91"/>
  <c r="H255" i="91" s="1"/>
  <c r="C256" i="91"/>
  <c r="F256" i="91"/>
  <c r="H256" i="91" s="1"/>
  <c r="C257" i="91"/>
  <c r="F257" i="91"/>
  <c r="G257" i="91" s="1"/>
  <c r="C258" i="91"/>
  <c r="F258" i="91"/>
  <c r="H258" i="91" s="1"/>
  <c r="C243" i="91"/>
  <c r="F243" i="91"/>
  <c r="I243" i="91" s="1"/>
  <c r="C244" i="91"/>
  <c r="F244" i="91"/>
  <c r="G244" i="91" s="1"/>
  <c r="C245" i="91"/>
  <c r="F245" i="91"/>
  <c r="H245" i="91" s="1"/>
  <c r="C246" i="91"/>
  <c r="F246" i="91"/>
  <c r="I246" i="91" s="1"/>
  <c r="C247" i="91"/>
  <c r="F247" i="91"/>
  <c r="H247" i="91" s="1"/>
  <c r="C248" i="91"/>
  <c r="F248" i="91"/>
  <c r="G248" i="91" s="1"/>
  <c r="C249" i="91"/>
  <c r="F249" i="91"/>
  <c r="G249" i="91" s="1"/>
  <c r="C250" i="91"/>
  <c r="F250" i="91"/>
  <c r="H250" i="91" s="1"/>
  <c r="C251" i="91"/>
  <c r="F251" i="91"/>
  <c r="G251" i="91" s="1"/>
  <c r="F242" i="91"/>
  <c r="G242" i="91" s="1"/>
  <c r="C242" i="91"/>
  <c r="C241" i="91"/>
  <c r="C240" i="91"/>
  <c r="F240" i="91"/>
  <c r="H240" i="91" s="1"/>
  <c r="C236" i="91"/>
  <c r="F236" i="91"/>
  <c r="H236" i="91" s="1"/>
  <c r="C237" i="91"/>
  <c r="F237" i="91"/>
  <c r="G237" i="91" s="1"/>
  <c r="C238" i="91"/>
  <c r="F238" i="91"/>
  <c r="G238" i="91" s="1"/>
  <c r="C239" i="91"/>
  <c r="F239" i="91"/>
  <c r="I239" i="91" s="1"/>
  <c r="C227" i="91"/>
  <c r="F227" i="91"/>
  <c r="I227" i="91" s="1"/>
  <c r="C228" i="91"/>
  <c r="F228" i="91"/>
  <c r="G228" i="91" s="1"/>
  <c r="C229" i="91"/>
  <c r="F229" i="91"/>
  <c r="I229" i="91" s="1"/>
  <c r="C230" i="91"/>
  <c r="F230" i="91"/>
  <c r="G230" i="91" s="1"/>
  <c r="C231" i="91"/>
  <c r="F231" i="91"/>
  <c r="H231" i="91" s="1"/>
  <c r="C232" i="91"/>
  <c r="F232" i="91"/>
  <c r="I232" i="91" s="1"/>
  <c r="C233" i="91"/>
  <c r="F233" i="91"/>
  <c r="G233" i="91" s="1"/>
  <c r="C234" i="91"/>
  <c r="F234" i="91"/>
  <c r="H234" i="91" s="1"/>
  <c r="C235" i="91"/>
  <c r="F235" i="91"/>
  <c r="I235" i="91" s="1"/>
  <c r="F226" i="91"/>
  <c r="G226" i="91" s="1"/>
  <c r="C226" i="91"/>
  <c r="C221" i="91"/>
  <c r="F221" i="91"/>
  <c r="G221" i="91" s="1"/>
  <c r="C222" i="91"/>
  <c r="F222" i="91"/>
  <c r="G222" i="91" s="1"/>
  <c r="C223" i="91"/>
  <c r="F223" i="91"/>
  <c r="G223" i="91" s="1"/>
  <c r="C224" i="91"/>
  <c r="F224" i="91"/>
  <c r="I224" i="91" s="1"/>
  <c r="C225" i="91"/>
  <c r="F225" i="91"/>
  <c r="H225" i="91" s="1"/>
  <c r="C215" i="91"/>
  <c r="F215" i="91"/>
  <c r="H215" i="91" s="1"/>
  <c r="C216" i="91"/>
  <c r="F216" i="91"/>
  <c r="G216" i="91" s="1"/>
  <c r="C217" i="91"/>
  <c r="F217" i="91"/>
  <c r="H217" i="91" s="1"/>
  <c r="C218" i="91"/>
  <c r="F218" i="91"/>
  <c r="I218" i="91" s="1"/>
  <c r="C219" i="91"/>
  <c r="F219" i="91"/>
  <c r="G219" i="91" s="1"/>
  <c r="C220" i="91"/>
  <c r="F220" i="91"/>
  <c r="H220" i="91" s="1"/>
  <c r="C206" i="91"/>
  <c r="F206" i="91"/>
  <c r="H206" i="91" s="1"/>
  <c r="C207" i="91"/>
  <c r="F207" i="91"/>
  <c r="G207" i="91" s="1"/>
  <c r="C208" i="91"/>
  <c r="F208" i="91"/>
  <c r="I208" i="91" s="1"/>
  <c r="C209" i="91"/>
  <c r="F209" i="91"/>
  <c r="G209" i="91" s="1"/>
  <c r="C210" i="91"/>
  <c r="F210" i="91"/>
  <c r="C211" i="91"/>
  <c r="F211" i="91"/>
  <c r="I211" i="91" s="1"/>
  <c r="C212" i="91"/>
  <c r="F212" i="91"/>
  <c r="H212" i="91" s="1"/>
  <c r="C213" i="91"/>
  <c r="F213" i="91"/>
  <c r="H213" i="91" s="1"/>
  <c r="C214" i="91"/>
  <c r="F214" i="91"/>
  <c r="I214" i="91" s="1"/>
  <c r="F205" i="91"/>
  <c r="G205" i="91" s="1"/>
  <c r="C205" i="91"/>
  <c r="C198" i="91"/>
  <c r="F198" i="91"/>
  <c r="H198" i="91" s="1"/>
  <c r="C199" i="91"/>
  <c r="F199" i="91"/>
  <c r="H199" i="91" s="1"/>
  <c r="C200" i="91"/>
  <c r="F200" i="91"/>
  <c r="G200" i="91" s="1"/>
  <c r="C201" i="91"/>
  <c r="F201" i="91"/>
  <c r="H201" i="91" s="1"/>
  <c r="C202" i="91"/>
  <c r="F202" i="91"/>
  <c r="G202" i="91" s="1"/>
  <c r="C203" i="91"/>
  <c r="F203" i="91"/>
  <c r="G203" i="91" s="1"/>
  <c r="C204" i="91"/>
  <c r="F204" i="91"/>
  <c r="H204" i="91" s="1"/>
  <c r="F197" i="91"/>
  <c r="I197" i="91" s="1"/>
  <c r="C197" i="91"/>
  <c r="C190" i="91"/>
  <c r="F190" i="91"/>
  <c r="I190" i="91" s="1"/>
  <c r="C191" i="91"/>
  <c r="F191" i="91"/>
  <c r="I191" i="91" s="1"/>
  <c r="C192" i="91"/>
  <c r="F192" i="91"/>
  <c r="J192" i="91" s="1"/>
  <c r="C193" i="91"/>
  <c r="F193" i="91"/>
  <c r="H193" i="91" s="1"/>
  <c r="C194" i="91"/>
  <c r="F194" i="91"/>
  <c r="J194" i="91" s="1"/>
  <c r="C195" i="91"/>
  <c r="F195" i="91"/>
  <c r="H195" i="91" s="1"/>
  <c r="C196" i="91"/>
  <c r="F196" i="91"/>
  <c r="G196" i="91" s="1"/>
  <c r="F189" i="91"/>
  <c r="G189" i="91" s="1"/>
  <c r="C189" i="91"/>
  <c r="C186" i="91"/>
  <c r="F186" i="91"/>
  <c r="C187" i="91"/>
  <c r="F187" i="91"/>
  <c r="G187" i="91" s="1"/>
  <c r="C188" i="91"/>
  <c r="F188" i="91"/>
  <c r="I188" i="91" s="1"/>
  <c r="C180" i="91"/>
  <c r="F180" i="91"/>
  <c r="H180" i="91" s="1"/>
  <c r="C181" i="91"/>
  <c r="F181" i="91"/>
  <c r="G181" i="91" s="1"/>
  <c r="C182" i="91"/>
  <c r="F182" i="91"/>
  <c r="G182" i="91" s="1"/>
  <c r="C183" i="91"/>
  <c r="F183" i="91"/>
  <c r="G183" i="91" s="1"/>
  <c r="C184" i="91"/>
  <c r="F184" i="91"/>
  <c r="G184" i="91" s="1"/>
  <c r="C185" i="91"/>
  <c r="F185" i="91"/>
  <c r="G185" i="91" s="1"/>
  <c r="F179" i="91"/>
  <c r="I179" i="91" s="1"/>
  <c r="C179" i="91"/>
  <c r="C175" i="91"/>
  <c r="F175" i="91"/>
  <c r="H175" i="91" s="1"/>
  <c r="C176" i="91"/>
  <c r="F176" i="91"/>
  <c r="H176" i="91" s="1"/>
  <c r="C177" i="91"/>
  <c r="F177" i="91"/>
  <c r="I177" i="91" s="1"/>
  <c r="C178" i="91"/>
  <c r="F178" i="91"/>
  <c r="G178" i="91" s="1"/>
  <c r="F174" i="91"/>
  <c r="J174" i="91" s="1"/>
  <c r="C174" i="91"/>
  <c r="C172" i="91"/>
  <c r="F172" i="91"/>
  <c r="H172" i="91" s="1"/>
  <c r="C173" i="91"/>
  <c r="F173" i="91"/>
  <c r="C166" i="91"/>
  <c r="F166" i="91"/>
  <c r="H166" i="91" s="1"/>
  <c r="C167" i="91"/>
  <c r="F167" i="91"/>
  <c r="C168" i="91"/>
  <c r="F168" i="91"/>
  <c r="H168" i="91" s="1"/>
  <c r="C169" i="91"/>
  <c r="F169" i="91"/>
  <c r="H169" i="91" s="1"/>
  <c r="C170" i="91"/>
  <c r="F170" i="91"/>
  <c r="G170" i="91" s="1"/>
  <c r="C171" i="91"/>
  <c r="F171" i="91"/>
  <c r="H171" i="91" s="1"/>
  <c r="C163" i="91"/>
  <c r="F163" i="91"/>
  <c r="H163" i="91" s="1"/>
  <c r="C164" i="91"/>
  <c r="F164" i="91"/>
  <c r="G164" i="91" s="1"/>
  <c r="C165" i="91"/>
  <c r="F165" i="91"/>
  <c r="C158" i="91"/>
  <c r="F158" i="91"/>
  <c r="H158" i="91" s="1"/>
  <c r="C159" i="91"/>
  <c r="F159" i="91"/>
  <c r="H159" i="91" s="1"/>
  <c r="C160" i="91"/>
  <c r="F160" i="91"/>
  <c r="G160" i="91" s="1"/>
  <c r="C161" i="91"/>
  <c r="F161" i="91"/>
  <c r="H161" i="91" s="1"/>
  <c r="C162" i="91"/>
  <c r="F162" i="91"/>
  <c r="G162" i="91" s="1"/>
  <c r="C154" i="91"/>
  <c r="F154" i="91"/>
  <c r="I154" i="91" s="1"/>
  <c r="C155" i="91"/>
  <c r="F155" i="91"/>
  <c r="H155" i="91" s="1"/>
  <c r="C156" i="91"/>
  <c r="F156" i="91"/>
  <c r="H156" i="91" s="1"/>
  <c r="C157" i="91"/>
  <c r="F157" i="91"/>
  <c r="C149" i="91"/>
  <c r="F149" i="91"/>
  <c r="C150" i="91"/>
  <c r="F150" i="91"/>
  <c r="G150" i="91" s="1"/>
  <c r="C151" i="91"/>
  <c r="F151" i="91"/>
  <c r="H151" i="91" s="1"/>
  <c r="C152" i="91"/>
  <c r="F152" i="91"/>
  <c r="G152" i="91" s="1"/>
  <c r="C153" i="91"/>
  <c r="F153" i="91"/>
  <c r="C141" i="91"/>
  <c r="F141" i="91"/>
  <c r="H141" i="91" s="1"/>
  <c r="C142" i="91"/>
  <c r="F142" i="91"/>
  <c r="H142" i="91" s="1"/>
  <c r="C143" i="91"/>
  <c r="F143" i="91"/>
  <c r="C144" i="91"/>
  <c r="F144" i="91"/>
  <c r="I144" i="91" s="1"/>
  <c r="C145" i="91"/>
  <c r="F145" i="91"/>
  <c r="H145" i="91" s="1"/>
  <c r="C146" i="91"/>
  <c r="F146" i="91"/>
  <c r="H146" i="91" s="1"/>
  <c r="C147" i="91"/>
  <c r="F147" i="91"/>
  <c r="I147" i="91" s="1"/>
  <c r="C148" i="91"/>
  <c r="F148" i="91"/>
  <c r="G148" i="91" s="1"/>
  <c r="C136" i="91"/>
  <c r="F136" i="91"/>
  <c r="H136" i="91" s="1"/>
  <c r="C137" i="91"/>
  <c r="F137" i="91"/>
  <c r="H137" i="91" s="1"/>
  <c r="C138" i="91"/>
  <c r="F138" i="91"/>
  <c r="G138" i="91" s="1"/>
  <c r="C139" i="91"/>
  <c r="F139" i="91"/>
  <c r="H139" i="91" s="1"/>
  <c r="C140" i="91"/>
  <c r="F140" i="91"/>
  <c r="G140" i="91" s="1"/>
  <c r="C127" i="91"/>
  <c r="F127" i="91"/>
  <c r="H127" i="91" s="1"/>
  <c r="C128" i="91"/>
  <c r="F128" i="91"/>
  <c r="G128" i="91" s="1"/>
  <c r="C129" i="91"/>
  <c r="F129" i="91"/>
  <c r="C130" i="91"/>
  <c r="F130" i="91"/>
  <c r="G130" i="91" s="1"/>
  <c r="C131" i="91"/>
  <c r="F131" i="91"/>
  <c r="C132" i="91"/>
  <c r="F132" i="91"/>
  <c r="H132" i="91" s="1"/>
  <c r="C133" i="91"/>
  <c r="F133" i="91"/>
  <c r="I133" i="91" s="1"/>
  <c r="C134" i="91"/>
  <c r="F134" i="91"/>
  <c r="G134" i="91" s="1"/>
  <c r="C135" i="91"/>
  <c r="F135" i="91"/>
  <c r="H135" i="91" s="1"/>
  <c r="F126" i="91"/>
  <c r="H126" i="91" s="1"/>
  <c r="C126" i="91"/>
  <c r="C125" i="91"/>
  <c r="F125" i="91"/>
  <c r="H125" i="91" s="1"/>
  <c r="C121" i="91"/>
  <c r="F121" i="91"/>
  <c r="H121" i="91" s="1"/>
  <c r="C122" i="91"/>
  <c r="F122" i="91"/>
  <c r="G122" i="91" s="1"/>
  <c r="C123" i="91"/>
  <c r="F123" i="91"/>
  <c r="C124" i="91"/>
  <c r="F124" i="91"/>
  <c r="H124" i="91" s="1"/>
  <c r="C118" i="91"/>
  <c r="F118" i="91"/>
  <c r="G118" i="91" s="1"/>
  <c r="C119" i="91"/>
  <c r="F119" i="91"/>
  <c r="C120" i="91"/>
  <c r="F120" i="91"/>
  <c r="H120" i="91" s="1"/>
  <c r="C114" i="91"/>
  <c r="F114" i="91"/>
  <c r="G114" i="91" s="1"/>
  <c r="C115" i="91"/>
  <c r="F115" i="91"/>
  <c r="C116" i="91"/>
  <c r="F116" i="91"/>
  <c r="H116" i="91" s="1"/>
  <c r="C117" i="91"/>
  <c r="F117" i="91"/>
  <c r="I117" i="91" s="1"/>
  <c r="C110" i="91"/>
  <c r="F110" i="91"/>
  <c r="H110" i="91" s="1"/>
  <c r="C111" i="91"/>
  <c r="F111" i="91"/>
  <c r="C112" i="91"/>
  <c r="F112" i="91"/>
  <c r="H112" i="91" s="1"/>
  <c r="C113" i="91"/>
  <c r="F113" i="91"/>
  <c r="H113" i="91" s="1"/>
  <c r="C107" i="91"/>
  <c r="F107" i="91"/>
  <c r="H107" i="91" s="1"/>
  <c r="C108" i="91"/>
  <c r="F108" i="91"/>
  <c r="G108" i="91" s="1"/>
  <c r="C109" i="91"/>
  <c r="F109" i="91"/>
  <c r="C104" i="91"/>
  <c r="F104" i="91"/>
  <c r="H104" i="91" s="1"/>
  <c r="C105" i="91"/>
  <c r="F105" i="91"/>
  <c r="C106" i="91"/>
  <c r="F106" i="91"/>
  <c r="H106" i="91" s="1"/>
  <c r="C98" i="91"/>
  <c r="F98" i="91"/>
  <c r="H98" i="91" s="1"/>
  <c r="C99" i="91"/>
  <c r="F99" i="91"/>
  <c r="G99" i="91" s="1"/>
  <c r="C100" i="91"/>
  <c r="F100" i="91"/>
  <c r="C101" i="91"/>
  <c r="F101" i="91"/>
  <c r="H101" i="91" s="1"/>
  <c r="C102" i="91"/>
  <c r="F102" i="91"/>
  <c r="C103" i="91"/>
  <c r="F103" i="91"/>
  <c r="F97" i="91"/>
  <c r="G97" i="91" s="1"/>
  <c r="C97" i="91"/>
  <c r="C95" i="91"/>
  <c r="F95" i="91"/>
  <c r="H95" i="91" s="1"/>
  <c r="C96" i="91"/>
  <c r="F96" i="91"/>
  <c r="G96" i="91" s="1"/>
  <c r="C92" i="91"/>
  <c r="F92" i="91"/>
  <c r="H92" i="91" s="1"/>
  <c r="C93" i="91"/>
  <c r="F93" i="91"/>
  <c r="G93" i="91" s="1"/>
  <c r="C94" i="91"/>
  <c r="F94" i="91"/>
  <c r="H94" i="91" s="1"/>
  <c r="C89" i="91"/>
  <c r="F89" i="91"/>
  <c r="I89" i="91" s="1"/>
  <c r="C90" i="91"/>
  <c r="F90" i="91"/>
  <c r="G90" i="91" s="1"/>
  <c r="C91" i="91"/>
  <c r="F91" i="91"/>
  <c r="C85" i="91"/>
  <c r="F85" i="91"/>
  <c r="H85" i="91" s="1"/>
  <c r="C86" i="91"/>
  <c r="F86" i="91"/>
  <c r="H86" i="91" s="1"/>
  <c r="C87" i="91"/>
  <c r="F87" i="91"/>
  <c r="G87" i="91" s="1"/>
  <c r="C88" i="91"/>
  <c r="F88" i="91"/>
  <c r="C80" i="91"/>
  <c r="F80" i="91"/>
  <c r="I80" i="91" s="1"/>
  <c r="C81" i="91"/>
  <c r="F81" i="91"/>
  <c r="H81" i="91" s="1"/>
  <c r="C82" i="91"/>
  <c r="F82" i="91"/>
  <c r="C83" i="91"/>
  <c r="F83" i="91"/>
  <c r="I83" i="91" s="1"/>
  <c r="C84" i="91"/>
  <c r="F84" i="91"/>
  <c r="H84" i="91" s="1"/>
  <c r="C78" i="91"/>
  <c r="F78" i="91"/>
  <c r="H78" i="91" s="1"/>
  <c r="C79" i="91"/>
  <c r="F79" i="91"/>
  <c r="G79" i="91" s="1"/>
  <c r="C73" i="91"/>
  <c r="F73" i="91"/>
  <c r="H73" i="91" s="1"/>
  <c r="C74" i="91"/>
  <c r="F74" i="91"/>
  <c r="G74" i="91" s="1"/>
  <c r="C75" i="91"/>
  <c r="F75" i="91"/>
  <c r="G75" i="91" s="1"/>
  <c r="C76" i="91"/>
  <c r="F76" i="91"/>
  <c r="H76" i="91" s="1"/>
  <c r="C77" i="91"/>
  <c r="F77" i="91"/>
  <c r="G77" i="91" s="1"/>
  <c r="C70" i="91"/>
  <c r="F70" i="91"/>
  <c r="I70" i="91" s="1"/>
  <c r="C71" i="91"/>
  <c r="F71" i="91"/>
  <c r="H71" i="91" s="1"/>
  <c r="C72" i="91"/>
  <c r="F72" i="91"/>
  <c r="G72" i="91" s="1"/>
  <c r="C66" i="91"/>
  <c r="F66" i="91"/>
  <c r="H66" i="91" s="1"/>
  <c r="C67" i="91"/>
  <c r="F67" i="91"/>
  <c r="G67" i="91" s="1"/>
  <c r="C68" i="91"/>
  <c r="F68" i="91"/>
  <c r="G68" i="91" s="1"/>
  <c r="C69" i="91"/>
  <c r="F69" i="91"/>
  <c r="H69" i="91" s="1"/>
  <c r="C62" i="91"/>
  <c r="F62" i="91"/>
  <c r="H62" i="91" s="1"/>
  <c r="C63" i="91"/>
  <c r="F63" i="91"/>
  <c r="G63" i="91" s="1"/>
  <c r="C64" i="91"/>
  <c r="F64" i="91"/>
  <c r="G64" i="91" s="1"/>
  <c r="C65" i="91"/>
  <c r="F65" i="91"/>
  <c r="H65" i="91" s="1"/>
  <c r="C59" i="91"/>
  <c r="F59" i="91"/>
  <c r="H59" i="91" s="1"/>
  <c r="C60" i="91"/>
  <c r="F60" i="91"/>
  <c r="G60" i="91" s="1"/>
  <c r="C61" i="91"/>
  <c r="F61" i="91"/>
  <c r="G61" i="91" s="1"/>
  <c r="C54" i="91"/>
  <c r="F54" i="91"/>
  <c r="I54" i="91" s="1"/>
  <c r="C55" i="91"/>
  <c r="F55" i="91"/>
  <c r="I55" i="91" s="1"/>
  <c r="C56" i="91"/>
  <c r="F56" i="91"/>
  <c r="G56" i="91" s="1"/>
  <c r="C57" i="91"/>
  <c r="F57" i="91"/>
  <c r="H57" i="91" s="1"/>
  <c r="C58" i="91"/>
  <c r="F58" i="91"/>
  <c r="I58" i="91" s="1"/>
  <c r="C51" i="91"/>
  <c r="F51" i="91"/>
  <c r="H51" i="91" s="1"/>
  <c r="C52" i="91"/>
  <c r="F52" i="91"/>
  <c r="I52" i="91" s="1"/>
  <c r="C53" i="91"/>
  <c r="F53" i="91"/>
  <c r="I53" i="91" s="1"/>
  <c r="C46" i="91"/>
  <c r="F46" i="91"/>
  <c r="H46" i="91" s="1"/>
  <c r="C47" i="91"/>
  <c r="F47" i="91"/>
  <c r="H47" i="91" s="1"/>
  <c r="C48" i="91"/>
  <c r="F48" i="91"/>
  <c r="G48" i="91" s="1"/>
  <c r="C49" i="91"/>
  <c r="F49" i="91"/>
  <c r="H49" i="91" s="1"/>
  <c r="C50" i="91"/>
  <c r="F50" i="91"/>
  <c r="I50" i="91" s="1"/>
  <c r="C36" i="91"/>
  <c r="F36" i="91"/>
  <c r="H36" i="91" s="1"/>
  <c r="C37" i="91"/>
  <c r="F37" i="91"/>
  <c r="G37" i="91" s="1"/>
  <c r="C38" i="91"/>
  <c r="F38" i="91"/>
  <c r="G38" i="91" s="1"/>
  <c r="C39" i="91"/>
  <c r="F39" i="91"/>
  <c r="H39" i="91" s="1"/>
  <c r="C40" i="91"/>
  <c r="F40" i="91"/>
  <c r="H40" i="91" s="1"/>
  <c r="C41" i="91"/>
  <c r="F41" i="91"/>
  <c r="G41" i="91" s="1"/>
  <c r="C42" i="91"/>
  <c r="F42" i="91"/>
  <c r="H42" i="91" s="1"/>
  <c r="C43" i="91"/>
  <c r="F43" i="91"/>
  <c r="H43" i="91" s="1"/>
  <c r="C44" i="91"/>
  <c r="F44" i="91"/>
  <c r="G44" i="91" s="1"/>
  <c r="C45" i="91"/>
  <c r="F45" i="91"/>
  <c r="H45" i="91" s="1"/>
  <c r="F35" i="91"/>
  <c r="J35" i="91" s="1"/>
  <c r="C35" i="91"/>
  <c r="C28" i="91"/>
  <c r="F28" i="91"/>
  <c r="H28" i="91" s="1"/>
  <c r="C29" i="91"/>
  <c r="F29" i="91"/>
  <c r="G29" i="91" s="1"/>
  <c r="C30" i="91"/>
  <c r="F30" i="91"/>
  <c r="G30" i="91" s="1"/>
  <c r="C31" i="91"/>
  <c r="F31" i="91"/>
  <c r="H31" i="91" s="1"/>
  <c r="C32" i="91"/>
  <c r="F32" i="91"/>
  <c r="C33" i="91"/>
  <c r="F33" i="91"/>
  <c r="H33" i="91" s="1"/>
  <c r="C34" i="91"/>
  <c r="F34" i="91"/>
  <c r="I34" i="91" s="1"/>
  <c r="F27" i="91"/>
  <c r="C27" i="91"/>
  <c r="C26" i="91"/>
  <c r="F26" i="91"/>
  <c r="H26" i="91" s="1"/>
  <c r="C18" i="91"/>
  <c r="F18" i="91"/>
  <c r="G18" i="91" s="1"/>
  <c r="C19" i="91"/>
  <c r="F19" i="91"/>
  <c r="G19" i="91" s="1"/>
  <c r="C20" i="91"/>
  <c r="F20" i="91"/>
  <c r="G20" i="91" s="1"/>
  <c r="C21" i="91"/>
  <c r="F21" i="91"/>
  <c r="I21" i="91" s="1"/>
  <c r="C22" i="91"/>
  <c r="F22" i="91"/>
  <c r="G22" i="91" s="1"/>
  <c r="C23" i="91"/>
  <c r="F23" i="91"/>
  <c r="G23" i="91" s="1"/>
  <c r="C24" i="91"/>
  <c r="F24" i="91"/>
  <c r="I24" i="91" s="1"/>
  <c r="C25" i="91"/>
  <c r="F25" i="91"/>
  <c r="H25" i="91" s="1"/>
  <c r="C16" i="91"/>
  <c r="F16" i="91"/>
  <c r="H16" i="91" s="1"/>
  <c r="C17" i="91"/>
  <c r="F17" i="91"/>
  <c r="H17" i="91" s="1"/>
  <c r="C6" i="91"/>
  <c r="F6" i="91"/>
  <c r="H6" i="91" s="1"/>
  <c r="C7" i="91"/>
  <c r="F7" i="91"/>
  <c r="H7" i="91" s="1"/>
  <c r="C8" i="91"/>
  <c r="F8" i="91"/>
  <c r="G8" i="91" s="1"/>
  <c r="C9" i="91"/>
  <c r="F9" i="91"/>
  <c r="I9" i="91" s="1"/>
  <c r="C10" i="91"/>
  <c r="F10" i="91"/>
  <c r="H10" i="91" s="1"/>
  <c r="C11" i="91"/>
  <c r="F11" i="91"/>
  <c r="G11" i="91" s="1"/>
  <c r="C12" i="91"/>
  <c r="F12" i="91"/>
  <c r="I12" i="91" s="1"/>
  <c r="C13" i="91"/>
  <c r="F13" i="91"/>
  <c r="G13" i="91" s="1"/>
  <c r="C14" i="91"/>
  <c r="F14" i="91"/>
  <c r="G14" i="91" s="1"/>
  <c r="C15" i="91"/>
  <c r="F15" i="91"/>
  <c r="I15" i="91" s="1"/>
  <c r="C3" i="91"/>
  <c r="F3" i="91"/>
  <c r="H3" i="91" s="1"/>
  <c r="C4" i="91"/>
  <c r="F4" i="91"/>
  <c r="G4" i="91" s="1"/>
  <c r="C5" i="91"/>
  <c r="F5" i="91"/>
  <c r="G5" i="91" s="1"/>
  <c r="F2" i="91"/>
  <c r="C2" i="91"/>
  <c r="H975" i="91" l="1"/>
  <c r="J979" i="91"/>
  <c r="J977" i="91"/>
  <c r="H979" i="91"/>
  <c r="H977" i="91"/>
  <c r="J976" i="91"/>
  <c r="G976" i="91"/>
  <c r="G975" i="91"/>
  <c r="J981" i="91"/>
  <c r="J974" i="91"/>
  <c r="J975" i="91"/>
  <c r="J980" i="91"/>
  <c r="J978" i="91"/>
  <c r="H981" i="91"/>
  <c r="H974" i="91"/>
  <c r="G973" i="91"/>
  <c r="H980" i="91"/>
  <c r="G981" i="91"/>
  <c r="G980" i="91"/>
  <c r="I978" i="91"/>
  <c r="G977" i="91"/>
  <c r="H978" i="91"/>
  <c r="I974" i="91"/>
  <c r="I973" i="91"/>
  <c r="J973" i="91"/>
  <c r="G968" i="91"/>
  <c r="G972" i="91"/>
  <c r="J966" i="91"/>
  <c r="J965" i="91"/>
  <c r="G967" i="91"/>
  <c r="I965" i="91"/>
  <c r="H965" i="91"/>
  <c r="G964" i="91"/>
  <c r="G963" i="91"/>
  <c r="J969" i="91"/>
  <c r="J970" i="91"/>
  <c r="J972" i="91"/>
  <c r="I963" i="91"/>
  <c r="I969" i="91"/>
  <c r="J971" i="91"/>
  <c r="H970" i="91"/>
  <c r="I972" i="91"/>
  <c r="J963" i="91"/>
  <c r="H969" i="91"/>
  <c r="I971" i="91"/>
  <c r="H971" i="91"/>
  <c r="I968" i="91"/>
  <c r="J968" i="91"/>
  <c r="I967" i="91"/>
  <c r="J967" i="91"/>
  <c r="H966" i="91"/>
  <c r="I964" i="91"/>
  <c r="I966" i="91"/>
  <c r="J964" i="91"/>
  <c r="G962" i="91"/>
  <c r="G961" i="91"/>
  <c r="J962" i="91"/>
  <c r="I962" i="91"/>
  <c r="I961" i="91"/>
  <c r="J961" i="91"/>
  <c r="J959" i="91"/>
  <c r="J960" i="91"/>
  <c r="H957" i="91"/>
  <c r="G960" i="91"/>
  <c r="J957" i="91"/>
  <c r="I959" i="91"/>
  <c r="I960" i="91"/>
  <c r="I957" i="91"/>
  <c r="H959" i="91"/>
  <c r="G958" i="91"/>
  <c r="J958" i="91"/>
  <c r="H958" i="91"/>
  <c r="G952" i="91"/>
  <c r="J951" i="91"/>
  <c r="J956" i="91"/>
  <c r="G951" i="91"/>
  <c r="I951" i="91"/>
  <c r="H956" i="91"/>
  <c r="J953" i="91"/>
  <c r="G955" i="91"/>
  <c r="J954" i="91"/>
  <c r="H953" i="91"/>
  <c r="J955" i="91"/>
  <c r="I954" i="91"/>
  <c r="I955" i="91"/>
  <c r="H954" i="91"/>
  <c r="I952" i="91"/>
  <c r="J952" i="91"/>
  <c r="G945" i="91"/>
  <c r="G944" i="91"/>
  <c r="J948" i="91"/>
  <c r="H948" i="91"/>
  <c r="I945" i="91"/>
  <c r="J945" i="91"/>
  <c r="G947" i="91"/>
  <c r="J946" i="91"/>
  <c r="J949" i="91"/>
  <c r="J950" i="91"/>
  <c r="I949" i="91"/>
  <c r="J947" i="91"/>
  <c r="I946" i="91"/>
  <c r="I950" i="91"/>
  <c r="H949" i="91"/>
  <c r="I947" i="91"/>
  <c r="H946" i="91"/>
  <c r="I944" i="91"/>
  <c r="J944" i="91"/>
  <c r="J943" i="91"/>
  <c r="I943" i="91"/>
  <c r="H943" i="91"/>
  <c r="I942" i="91"/>
  <c r="J942" i="91"/>
  <c r="J941" i="91"/>
  <c r="I941" i="91"/>
  <c r="H941" i="91"/>
  <c r="J937" i="91"/>
  <c r="H939" i="91"/>
  <c r="G937" i="91"/>
  <c r="I937" i="91"/>
  <c r="G939" i="91"/>
  <c r="J939" i="91"/>
  <c r="J936" i="91"/>
  <c r="J938" i="91"/>
  <c r="I940" i="91"/>
  <c r="J940" i="91"/>
  <c r="I938" i="91"/>
  <c r="H938" i="91"/>
  <c r="I936" i="91"/>
  <c r="J935" i="91"/>
  <c r="G934" i="91"/>
  <c r="J934" i="91"/>
  <c r="I935" i="91"/>
  <c r="I934" i="91"/>
  <c r="H935" i="91"/>
  <c r="I931" i="91"/>
  <c r="J933" i="91"/>
  <c r="I933" i="91"/>
  <c r="G932" i="91"/>
  <c r="G929" i="91"/>
  <c r="J931" i="91"/>
  <c r="I932" i="91"/>
  <c r="J932" i="91"/>
  <c r="J930" i="91"/>
  <c r="G926" i="91"/>
  <c r="H930" i="91"/>
  <c r="I929" i="91"/>
  <c r="J929" i="91"/>
  <c r="G921" i="91"/>
  <c r="J928" i="91"/>
  <c r="I928" i="91"/>
  <c r="H927" i="91"/>
  <c r="H928" i="91"/>
  <c r="J927" i="91"/>
  <c r="J920" i="91"/>
  <c r="I927" i="91"/>
  <c r="J926" i="91"/>
  <c r="I926" i="91"/>
  <c r="H925" i="91"/>
  <c r="J925" i="91"/>
  <c r="J917" i="91"/>
  <c r="G917" i="91"/>
  <c r="J923" i="91"/>
  <c r="I923" i="91"/>
  <c r="I917" i="91"/>
  <c r="J919" i="91"/>
  <c r="I922" i="91"/>
  <c r="I919" i="91"/>
  <c r="G922" i="91"/>
  <c r="J921" i="91"/>
  <c r="J924" i="91"/>
  <c r="I924" i="91"/>
  <c r="I921" i="91"/>
  <c r="G924" i="91"/>
  <c r="J922" i="91"/>
  <c r="G925" i="91"/>
  <c r="G920" i="91"/>
  <c r="G918" i="91"/>
  <c r="I918" i="91"/>
  <c r="I916" i="91"/>
  <c r="J918" i="91"/>
  <c r="J916" i="91"/>
  <c r="G908" i="91"/>
  <c r="I911" i="91"/>
  <c r="G913" i="91"/>
  <c r="J913" i="91"/>
  <c r="H913" i="91"/>
  <c r="I909" i="91"/>
  <c r="H911" i="91"/>
  <c r="H909" i="91"/>
  <c r="J915" i="91"/>
  <c r="J909" i="91"/>
  <c r="G915" i="91"/>
  <c r="J911" i="91"/>
  <c r="I914" i="91"/>
  <c r="J914" i="91"/>
  <c r="J908" i="91"/>
  <c r="H914" i="91"/>
  <c r="J912" i="91"/>
  <c r="I912" i="91"/>
  <c r="I915" i="91"/>
  <c r="H912" i="91"/>
  <c r="I910" i="91"/>
  <c r="J910" i="91"/>
  <c r="H901" i="91"/>
  <c r="G895" i="91"/>
  <c r="J894" i="91"/>
  <c r="H903" i="91"/>
  <c r="J903" i="91"/>
  <c r="I901" i="91"/>
  <c r="G903" i="91"/>
  <c r="J906" i="91"/>
  <c r="I899" i="91"/>
  <c r="H906" i="91"/>
  <c r="J899" i="91"/>
  <c r="J907" i="91"/>
  <c r="G905" i="91"/>
  <c r="J901" i="91"/>
  <c r="I896" i="91"/>
  <c r="H899" i="91"/>
  <c r="I904" i="91"/>
  <c r="J896" i="91"/>
  <c r="J904" i="91"/>
  <c r="H896" i="91"/>
  <c r="J895" i="91"/>
  <c r="H904" i="91"/>
  <c r="J902" i="91"/>
  <c r="J905" i="91"/>
  <c r="I902" i="91"/>
  <c r="H907" i="91"/>
  <c r="I905" i="91"/>
  <c r="H902" i="91"/>
  <c r="I900" i="91"/>
  <c r="I907" i="91"/>
  <c r="J900" i="91"/>
  <c r="G898" i="91"/>
  <c r="G897" i="91"/>
  <c r="I895" i="91"/>
  <c r="I893" i="91"/>
  <c r="J898" i="91"/>
  <c r="J893" i="91"/>
  <c r="J897" i="91"/>
  <c r="H893" i="91"/>
  <c r="I897" i="91"/>
  <c r="H894" i="91"/>
  <c r="I892" i="91"/>
  <c r="I894" i="91"/>
  <c r="J892" i="91"/>
  <c r="G887" i="91"/>
  <c r="J886" i="91"/>
  <c r="J891" i="91"/>
  <c r="I891" i="91"/>
  <c r="J885" i="91"/>
  <c r="I885" i="91"/>
  <c r="H891" i="91"/>
  <c r="H885" i="91"/>
  <c r="J890" i="91"/>
  <c r="I890" i="91"/>
  <c r="J888" i="91"/>
  <c r="J887" i="91"/>
  <c r="H883" i="91"/>
  <c r="I888" i="91"/>
  <c r="I886" i="91"/>
  <c r="J883" i="91"/>
  <c r="J889" i="91"/>
  <c r="H886" i="91"/>
  <c r="I883" i="91"/>
  <c r="J882" i="91"/>
  <c r="I889" i="91"/>
  <c r="I884" i="91"/>
  <c r="J884" i="91"/>
  <c r="H889" i="91"/>
  <c r="I887" i="91"/>
  <c r="H884" i="91"/>
  <c r="I882" i="91"/>
  <c r="H877" i="91"/>
  <c r="J881" i="91"/>
  <c r="I881" i="91"/>
  <c r="H881" i="91"/>
  <c r="H875" i="91"/>
  <c r="J877" i="91"/>
  <c r="J880" i="91"/>
  <c r="J879" i="91"/>
  <c r="I877" i="91"/>
  <c r="J871" i="91"/>
  <c r="J873" i="91"/>
  <c r="J875" i="91"/>
  <c r="H879" i="91"/>
  <c r="G875" i="91"/>
  <c r="I879" i="91"/>
  <c r="I871" i="91"/>
  <c r="I873" i="91"/>
  <c r="H880" i="91"/>
  <c r="H878" i="91"/>
  <c r="I876" i="91"/>
  <c r="J878" i="91"/>
  <c r="I880" i="91"/>
  <c r="I878" i="91"/>
  <c r="J876" i="91"/>
  <c r="I874" i="91"/>
  <c r="J874" i="91"/>
  <c r="I872" i="91"/>
  <c r="J872" i="91"/>
  <c r="G861" i="91"/>
  <c r="G866" i="91"/>
  <c r="I869" i="91"/>
  <c r="I862" i="91"/>
  <c r="H862" i="91"/>
  <c r="G869" i="91"/>
  <c r="J870" i="91"/>
  <c r="I870" i="91"/>
  <c r="G868" i="91"/>
  <c r="J864" i="91"/>
  <c r="J862" i="91"/>
  <c r="J867" i="91"/>
  <c r="I864" i="91"/>
  <c r="I867" i="91"/>
  <c r="J868" i="91"/>
  <c r="J865" i="91"/>
  <c r="H867" i="91"/>
  <c r="H868" i="91"/>
  <c r="I866" i="91"/>
  <c r="J866" i="91"/>
  <c r="J863" i="91"/>
  <c r="I865" i="91"/>
  <c r="H865" i="91"/>
  <c r="H863" i="91"/>
  <c r="I861" i="91"/>
  <c r="I863" i="91"/>
  <c r="J861" i="91"/>
  <c r="H855" i="91"/>
  <c r="J854" i="91"/>
  <c r="G859" i="91"/>
  <c r="J859" i="91"/>
  <c r="I859" i="91"/>
  <c r="J860" i="91"/>
  <c r="G856" i="91"/>
  <c r="I860" i="91"/>
  <c r="H860" i="91"/>
  <c r="H852" i="91"/>
  <c r="I854" i="91"/>
  <c r="J855" i="91"/>
  <c r="H854" i="91"/>
  <c r="J852" i="91"/>
  <c r="I857" i="91"/>
  <c r="J857" i="91"/>
  <c r="I855" i="91"/>
  <c r="I852" i="91"/>
  <c r="J858" i="91"/>
  <c r="H858" i="91"/>
  <c r="I856" i="91"/>
  <c r="I858" i="91"/>
  <c r="J856" i="91"/>
  <c r="J853" i="91"/>
  <c r="H853" i="91"/>
  <c r="I851" i="91"/>
  <c r="I853" i="91"/>
  <c r="J851" i="91"/>
  <c r="H840" i="91"/>
  <c r="J846" i="91"/>
  <c r="J848" i="91"/>
  <c r="H848" i="91"/>
  <c r="J850" i="91"/>
  <c r="J843" i="91"/>
  <c r="I846" i="91"/>
  <c r="I850" i="91"/>
  <c r="I843" i="91"/>
  <c r="H846" i="91"/>
  <c r="H845" i="91"/>
  <c r="H850" i="91"/>
  <c r="G849" i="91"/>
  <c r="H843" i="91"/>
  <c r="J842" i="91"/>
  <c r="J840" i="91"/>
  <c r="J845" i="91"/>
  <c r="G842" i="91"/>
  <c r="I840" i="91"/>
  <c r="I845" i="91"/>
  <c r="I842" i="91"/>
  <c r="J849" i="91"/>
  <c r="G844" i="91"/>
  <c r="J847" i="91"/>
  <c r="H849" i="91"/>
  <c r="G848" i="91"/>
  <c r="I847" i="91"/>
  <c r="H847" i="91"/>
  <c r="J844" i="91"/>
  <c r="I844" i="91"/>
  <c r="H841" i="91"/>
  <c r="I839" i="91"/>
  <c r="J841" i="91"/>
  <c r="I841" i="91"/>
  <c r="J839" i="91"/>
  <c r="J836" i="91"/>
  <c r="I836" i="91"/>
  <c r="H836" i="91"/>
  <c r="J838" i="91"/>
  <c r="I838" i="91"/>
  <c r="I830" i="91"/>
  <c r="H838" i="91"/>
  <c r="G837" i="91"/>
  <c r="I837" i="91"/>
  <c r="I835" i="91"/>
  <c r="J837" i="91"/>
  <c r="J835" i="91"/>
  <c r="J830" i="91"/>
  <c r="H832" i="91"/>
  <c r="G830" i="91"/>
  <c r="I828" i="91"/>
  <c r="G832" i="91"/>
  <c r="J828" i="91"/>
  <c r="J832" i="91"/>
  <c r="H828" i="91"/>
  <c r="G834" i="91"/>
  <c r="J833" i="91"/>
  <c r="I833" i="91"/>
  <c r="H833" i="91"/>
  <c r="J831" i="91"/>
  <c r="J834" i="91"/>
  <c r="J829" i="91"/>
  <c r="I831" i="91"/>
  <c r="I834" i="91"/>
  <c r="H831" i="91"/>
  <c r="I829" i="91"/>
  <c r="I825" i="91"/>
  <c r="H824" i="91"/>
  <c r="J825" i="91"/>
  <c r="G826" i="91"/>
  <c r="I822" i="91"/>
  <c r="J820" i="91"/>
  <c r="I820" i="91"/>
  <c r="H820" i="91"/>
  <c r="J826" i="91"/>
  <c r="G827" i="91"/>
  <c r="J821" i="91"/>
  <c r="J824" i="91"/>
  <c r="I821" i="91"/>
  <c r="I824" i="91"/>
  <c r="J823" i="91"/>
  <c r="J822" i="91"/>
  <c r="I827" i="91"/>
  <c r="J827" i="91"/>
  <c r="H825" i="91"/>
  <c r="I823" i="91"/>
  <c r="H822" i="91"/>
  <c r="H823" i="91"/>
  <c r="J814" i="91"/>
  <c r="I814" i="91"/>
  <c r="H819" i="91"/>
  <c r="J818" i="91"/>
  <c r="H814" i="91"/>
  <c r="J815" i="91"/>
  <c r="J819" i="91"/>
  <c r="I815" i="91"/>
  <c r="J817" i="91"/>
  <c r="J816" i="91"/>
  <c r="H817" i="91"/>
  <c r="G819" i="91"/>
  <c r="I818" i="91"/>
  <c r="G817" i="91"/>
  <c r="I816" i="91"/>
  <c r="H818" i="91"/>
  <c r="H816" i="91"/>
  <c r="G798" i="91"/>
  <c r="J805" i="91"/>
  <c r="J798" i="91"/>
  <c r="H805" i="91"/>
  <c r="J799" i="91"/>
  <c r="G794" i="91"/>
  <c r="H809" i="91"/>
  <c r="J808" i="91"/>
  <c r="G811" i="91"/>
  <c r="J795" i="91"/>
  <c r="I795" i="91"/>
  <c r="J812" i="91"/>
  <c r="J800" i="91"/>
  <c r="J794" i="91"/>
  <c r="H803" i="91"/>
  <c r="J802" i="91"/>
  <c r="I812" i="91"/>
  <c r="I798" i="91"/>
  <c r="J797" i="91"/>
  <c r="I806" i="91"/>
  <c r="G804" i="91"/>
  <c r="J803" i="91"/>
  <c r="H802" i="91"/>
  <c r="J809" i="91"/>
  <c r="H808" i="91"/>
  <c r="J806" i="91"/>
  <c r="J796" i="91"/>
  <c r="H806" i="91"/>
  <c r="I803" i="91"/>
  <c r="G801" i="91"/>
  <c r="G810" i="91"/>
  <c r="I809" i="91"/>
  <c r="G807" i="91"/>
  <c r="J813" i="91"/>
  <c r="H813" i="91"/>
  <c r="I811" i="91"/>
  <c r="I813" i="91"/>
  <c r="J811" i="91"/>
  <c r="J807" i="91"/>
  <c r="I810" i="91"/>
  <c r="I807" i="91"/>
  <c r="J810" i="91"/>
  <c r="I804" i="91"/>
  <c r="I801" i="91"/>
  <c r="J804" i="91"/>
  <c r="J801" i="91"/>
  <c r="I800" i="91"/>
  <c r="H799" i="91"/>
  <c r="I797" i="91"/>
  <c r="H796" i="91"/>
  <c r="J793" i="91"/>
  <c r="I793" i="91"/>
  <c r="H791" i="91"/>
  <c r="G789" i="91"/>
  <c r="J792" i="91"/>
  <c r="G792" i="91"/>
  <c r="J791" i="91"/>
  <c r="I789" i="91"/>
  <c r="I790" i="91"/>
  <c r="H790" i="91"/>
  <c r="J786" i="91"/>
  <c r="H786" i="91"/>
  <c r="J788" i="91"/>
  <c r="I786" i="91"/>
  <c r="I788" i="91"/>
  <c r="I787" i="91"/>
  <c r="H788" i="91"/>
  <c r="H787" i="91"/>
  <c r="J787" i="91"/>
  <c r="J780" i="91"/>
  <c r="G783" i="91"/>
  <c r="I780" i="91"/>
  <c r="G781" i="91"/>
  <c r="J778" i="91"/>
  <c r="I778" i="91"/>
  <c r="I782" i="91"/>
  <c r="H778" i="91"/>
  <c r="I784" i="91"/>
  <c r="H782" i="91"/>
  <c r="J781" i="91"/>
  <c r="H784" i="91"/>
  <c r="J783" i="91"/>
  <c r="J779" i="91"/>
  <c r="I781" i="91"/>
  <c r="I779" i="91"/>
  <c r="J785" i="91"/>
  <c r="I783" i="91"/>
  <c r="J782" i="91"/>
  <c r="H779" i="91"/>
  <c r="I785" i="91"/>
  <c r="J784" i="91"/>
  <c r="H785" i="91"/>
  <c r="H780" i="91"/>
  <c r="J772" i="91"/>
  <c r="H770" i="91"/>
  <c r="J769" i="91"/>
  <c r="G776" i="91"/>
  <c r="G775" i="91"/>
  <c r="J773" i="91"/>
  <c r="J776" i="91"/>
  <c r="I772" i="91"/>
  <c r="H772" i="91"/>
  <c r="I776" i="91"/>
  <c r="I769" i="91"/>
  <c r="J771" i="91"/>
  <c r="J770" i="91"/>
  <c r="H769" i="91"/>
  <c r="J777" i="91"/>
  <c r="J775" i="91"/>
  <c r="G771" i="91"/>
  <c r="I770" i="91"/>
  <c r="G777" i="91"/>
  <c r="H775" i="91"/>
  <c r="I777" i="91"/>
  <c r="J774" i="91"/>
  <c r="I774" i="91"/>
  <c r="H773" i="91"/>
  <c r="I771" i="91"/>
  <c r="I773" i="91"/>
  <c r="J760" i="91"/>
  <c r="H758" i="91"/>
  <c r="J768" i="91"/>
  <c r="J765" i="91"/>
  <c r="H768" i="91"/>
  <c r="G768" i="91"/>
  <c r="G767" i="91"/>
  <c r="J763" i="91"/>
  <c r="G760" i="91"/>
  <c r="I765" i="91"/>
  <c r="H763" i="91"/>
  <c r="I760" i="91"/>
  <c r="H765" i="91"/>
  <c r="G763" i="91"/>
  <c r="G758" i="91"/>
  <c r="J758" i="91"/>
  <c r="I766" i="91"/>
  <c r="H762" i="91"/>
  <c r="J766" i="91"/>
  <c r="J762" i="91"/>
  <c r="H766" i="91"/>
  <c r="G762" i="91"/>
  <c r="J767" i="91"/>
  <c r="I764" i="91"/>
  <c r="I761" i="91"/>
  <c r="I767" i="91"/>
  <c r="H764" i="91"/>
  <c r="H761" i="91"/>
  <c r="I759" i="91"/>
  <c r="J764" i="91"/>
  <c r="J761" i="91"/>
  <c r="J759" i="91"/>
  <c r="J740" i="91"/>
  <c r="H740" i="91"/>
  <c r="J749" i="91"/>
  <c r="H749" i="91"/>
  <c r="I756" i="91"/>
  <c r="J747" i="91"/>
  <c r="J746" i="91"/>
  <c r="G749" i="91"/>
  <c r="G748" i="91"/>
  <c r="G754" i="91"/>
  <c r="J753" i="91"/>
  <c r="J752" i="91"/>
  <c r="H756" i="91"/>
  <c r="J756" i="91"/>
  <c r="I746" i="91"/>
  <c r="H746" i="91"/>
  <c r="J744" i="91"/>
  <c r="J743" i="91"/>
  <c r="J741" i="91"/>
  <c r="J750" i="91"/>
  <c r="I752" i="91"/>
  <c r="J739" i="91"/>
  <c r="I750" i="91"/>
  <c r="H752" i="91"/>
  <c r="I743" i="91"/>
  <c r="G739" i="91"/>
  <c r="H750" i="91"/>
  <c r="G751" i="91"/>
  <c r="I757" i="91"/>
  <c r="J757" i="91"/>
  <c r="I755" i="91"/>
  <c r="J755" i="91"/>
  <c r="I751" i="91"/>
  <c r="J754" i="91"/>
  <c r="I753" i="91"/>
  <c r="J751" i="91"/>
  <c r="I748" i="91"/>
  <c r="J748" i="91"/>
  <c r="I747" i="91"/>
  <c r="H747" i="91"/>
  <c r="I745" i="91"/>
  <c r="J745" i="91"/>
  <c r="J742" i="91"/>
  <c r="I741" i="91"/>
  <c r="H744" i="91"/>
  <c r="I742" i="91"/>
  <c r="H741" i="91"/>
  <c r="J738" i="91"/>
  <c r="I738" i="91"/>
  <c r="G736" i="91"/>
  <c r="H734" i="91"/>
  <c r="G733" i="91"/>
  <c r="J734" i="91"/>
  <c r="J736" i="91"/>
  <c r="J733" i="91"/>
  <c r="H736" i="91"/>
  <c r="I737" i="91"/>
  <c r="J737" i="91"/>
  <c r="J735" i="91"/>
  <c r="H735" i="91"/>
  <c r="I735" i="91"/>
  <c r="H725" i="91"/>
  <c r="J730" i="91"/>
  <c r="J725" i="91"/>
  <c r="I725" i="91"/>
  <c r="J723" i="91"/>
  <c r="J726" i="91"/>
  <c r="I723" i="91"/>
  <c r="I730" i="91"/>
  <c r="J728" i="91"/>
  <c r="I728" i="91"/>
  <c r="G723" i="91"/>
  <c r="G729" i="91"/>
  <c r="G724" i="91"/>
  <c r="J731" i="91"/>
  <c r="J732" i="91"/>
  <c r="I731" i="91"/>
  <c r="I732" i="91"/>
  <c r="H731" i="91"/>
  <c r="J729" i="91"/>
  <c r="J727" i="91"/>
  <c r="I726" i="91"/>
  <c r="I727" i="91"/>
  <c r="H726" i="91"/>
  <c r="J724" i="91"/>
  <c r="G720" i="91"/>
  <c r="G719" i="91"/>
  <c r="J720" i="91"/>
  <c r="I720" i="91"/>
  <c r="J708" i="91"/>
  <c r="H707" i="91"/>
  <c r="G712" i="91"/>
  <c r="J711" i="91"/>
  <c r="H716" i="91"/>
  <c r="G722" i="91"/>
  <c r="J721" i="91"/>
  <c r="I721" i="91"/>
  <c r="I722" i="91"/>
  <c r="H721" i="91"/>
  <c r="I719" i="91"/>
  <c r="J722" i="91"/>
  <c r="J719" i="91"/>
  <c r="G709" i="91"/>
  <c r="J712" i="91"/>
  <c r="I718" i="91"/>
  <c r="G707" i="91"/>
  <c r="J706" i="91"/>
  <c r="H718" i="91"/>
  <c r="J710" i="91"/>
  <c r="H712" i="91"/>
  <c r="J718" i="91"/>
  <c r="I708" i="91"/>
  <c r="H708" i="91"/>
  <c r="J707" i="91"/>
  <c r="G714" i="91"/>
  <c r="J713" i="91"/>
  <c r="J702" i="91"/>
  <c r="G717" i="91"/>
  <c r="I702" i="91"/>
  <c r="I710" i="91"/>
  <c r="I705" i="91"/>
  <c r="G704" i="91"/>
  <c r="J703" i="91"/>
  <c r="H702" i="91"/>
  <c r="G711" i="91"/>
  <c r="J716" i="91"/>
  <c r="J705" i="91"/>
  <c r="H705" i="91"/>
  <c r="G701" i="91"/>
  <c r="J714" i="91"/>
  <c r="I716" i="91"/>
  <c r="G715" i="91"/>
  <c r="I717" i="91"/>
  <c r="J717" i="91"/>
  <c r="I715" i="91"/>
  <c r="J715" i="91"/>
  <c r="I713" i="91"/>
  <c r="I714" i="91"/>
  <c r="H713" i="91"/>
  <c r="I711" i="91"/>
  <c r="I709" i="91"/>
  <c r="H706" i="91"/>
  <c r="I704" i="91"/>
  <c r="H703" i="91"/>
  <c r="I701" i="91"/>
  <c r="J709" i="91"/>
  <c r="I706" i="91"/>
  <c r="J704" i="91"/>
  <c r="I703" i="91"/>
  <c r="J701" i="91"/>
  <c r="J697" i="91"/>
  <c r="I697" i="91"/>
  <c r="J694" i="91"/>
  <c r="J700" i="91"/>
  <c r="G693" i="91"/>
  <c r="I700" i="91"/>
  <c r="H700" i="91"/>
  <c r="H692" i="91"/>
  <c r="G692" i="91"/>
  <c r="J692" i="91"/>
  <c r="J696" i="91"/>
  <c r="I694" i="91"/>
  <c r="G696" i="91"/>
  <c r="J695" i="91"/>
  <c r="J698" i="91"/>
  <c r="J699" i="91"/>
  <c r="I698" i="91"/>
  <c r="I699" i="91"/>
  <c r="H698" i="91"/>
  <c r="I696" i="91"/>
  <c r="H695" i="91"/>
  <c r="I693" i="91"/>
  <c r="I695" i="91"/>
  <c r="J693" i="91"/>
  <c r="J685" i="91"/>
  <c r="G691" i="91"/>
  <c r="J690" i="91"/>
  <c r="H685" i="91"/>
  <c r="G687" i="91"/>
  <c r="I686" i="91"/>
  <c r="J686" i="91"/>
  <c r="H691" i="91"/>
  <c r="J689" i="91"/>
  <c r="H686" i="91"/>
  <c r="H689" i="91"/>
  <c r="I687" i="91"/>
  <c r="G689" i="91"/>
  <c r="J688" i="91"/>
  <c r="I688" i="91"/>
  <c r="H690" i="91"/>
  <c r="H688" i="91"/>
  <c r="I690" i="91"/>
  <c r="G684" i="91"/>
  <c r="G685" i="91"/>
  <c r="J684" i="91"/>
  <c r="I684" i="91"/>
  <c r="J683" i="91"/>
  <c r="G682" i="91"/>
  <c r="I683" i="91"/>
  <c r="G679" i="91"/>
  <c r="J663" i="91"/>
  <c r="G673" i="91"/>
  <c r="I680" i="91"/>
  <c r="H663" i="91"/>
  <c r="G663" i="91"/>
  <c r="H667" i="91"/>
  <c r="J674" i="91"/>
  <c r="I674" i="91"/>
  <c r="H668" i="91"/>
  <c r="G671" i="91"/>
  <c r="J680" i="91"/>
  <c r="I672" i="91"/>
  <c r="I678" i="91"/>
  <c r="G677" i="91"/>
  <c r="J676" i="91"/>
  <c r="J673" i="91"/>
  <c r="J682" i="91"/>
  <c r="G672" i="91"/>
  <c r="J672" i="91"/>
  <c r="J678" i="91"/>
  <c r="G665" i="91"/>
  <c r="J664" i="91"/>
  <c r="I668" i="91"/>
  <c r="I676" i="91"/>
  <c r="G675" i="91"/>
  <c r="H681" i="91"/>
  <c r="I679" i="91"/>
  <c r="J681" i="91"/>
  <c r="I681" i="91"/>
  <c r="J679" i="91"/>
  <c r="I677" i="91"/>
  <c r="I675" i="91"/>
  <c r="J677" i="91"/>
  <c r="J675" i="91"/>
  <c r="H670" i="91"/>
  <c r="J669" i="91"/>
  <c r="J668" i="91"/>
  <c r="G667" i="91"/>
  <c r="J665" i="91"/>
  <c r="J666" i="91"/>
  <c r="H665" i="91"/>
  <c r="J670" i="91"/>
  <c r="H671" i="91"/>
  <c r="I669" i="91"/>
  <c r="H669" i="91"/>
  <c r="I666" i="91"/>
  <c r="I664" i="91"/>
  <c r="H666" i="91"/>
  <c r="H664" i="91"/>
  <c r="H655" i="91"/>
  <c r="G660" i="91"/>
  <c r="J655" i="91"/>
  <c r="J661" i="91"/>
  <c r="I655" i="91"/>
  <c r="I659" i="91"/>
  <c r="G658" i="91"/>
  <c r="G657" i="91"/>
  <c r="I661" i="91"/>
  <c r="J662" i="91"/>
  <c r="J659" i="91"/>
  <c r="I662" i="91"/>
  <c r="H659" i="91"/>
  <c r="J658" i="91"/>
  <c r="H662" i="91"/>
  <c r="H651" i="91"/>
  <c r="H658" i="91"/>
  <c r="G652" i="91"/>
  <c r="G651" i="91"/>
  <c r="J656" i="91"/>
  <c r="J651" i="91"/>
  <c r="I656" i="91"/>
  <c r="I653" i="91"/>
  <c r="J653" i="91"/>
  <c r="H656" i="91"/>
  <c r="J654" i="91"/>
  <c r="I654" i="91"/>
  <c r="I660" i="91"/>
  <c r="I657" i="91"/>
  <c r="H654" i="91"/>
  <c r="I652" i="91"/>
  <c r="J660" i="91"/>
  <c r="J657" i="91"/>
  <c r="J652" i="91"/>
  <c r="J642" i="91"/>
  <c r="J631" i="91"/>
  <c r="G630" i="91"/>
  <c r="J650" i="91"/>
  <c r="J649" i="91"/>
  <c r="J647" i="91"/>
  <c r="G649" i="91"/>
  <c r="G647" i="91"/>
  <c r="G646" i="91"/>
  <c r="H645" i="91"/>
  <c r="J644" i="91"/>
  <c r="I633" i="91"/>
  <c r="I647" i="91"/>
  <c r="G641" i="91"/>
  <c r="J640" i="91"/>
  <c r="I644" i="91"/>
  <c r="I640" i="91"/>
  <c r="I650" i="91"/>
  <c r="I648" i="91"/>
  <c r="J645" i="91"/>
  <c r="H644" i="91"/>
  <c r="I642" i="91"/>
  <c r="G640" i="91"/>
  <c r="J648" i="91"/>
  <c r="I638" i="91"/>
  <c r="H648" i="91"/>
  <c r="I645" i="91"/>
  <c r="J643" i="91"/>
  <c r="J646" i="91"/>
  <c r="I643" i="91"/>
  <c r="I649" i="91"/>
  <c r="I646" i="91"/>
  <c r="H643" i="91"/>
  <c r="I641" i="91"/>
  <c r="J641" i="91"/>
  <c r="H633" i="91"/>
  <c r="H638" i="91"/>
  <c r="J633" i="91"/>
  <c r="J638" i="91"/>
  <c r="G635" i="91"/>
  <c r="J634" i="91"/>
  <c r="G637" i="91"/>
  <c r="J636" i="91"/>
  <c r="H636" i="91"/>
  <c r="H634" i="91"/>
  <c r="J632" i="91"/>
  <c r="H631" i="91"/>
  <c r="I634" i="91"/>
  <c r="I631" i="91"/>
  <c r="G636" i="91"/>
  <c r="J635" i="91"/>
  <c r="J630" i="91"/>
  <c r="H639" i="91"/>
  <c r="I637" i="91"/>
  <c r="J639" i="91"/>
  <c r="I639" i="91"/>
  <c r="J637" i="91"/>
  <c r="I632" i="91"/>
  <c r="I635" i="91"/>
  <c r="H632" i="91"/>
  <c r="I630" i="91"/>
  <c r="H627" i="91"/>
  <c r="G626" i="91"/>
  <c r="I629" i="91"/>
  <c r="J625" i="91"/>
  <c r="I627" i="91"/>
  <c r="H629" i="91"/>
  <c r="H620" i="91"/>
  <c r="J629" i="91"/>
  <c r="G619" i="91"/>
  <c r="I623" i="91"/>
  <c r="I625" i="91"/>
  <c r="J623" i="91"/>
  <c r="H623" i="91"/>
  <c r="J621" i="91"/>
  <c r="J620" i="91"/>
  <c r="J627" i="91"/>
  <c r="J624" i="91"/>
  <c r="G624" i="91"/>
  <c r="I628" i="91"/>
  <c r="J628" i="91"/>
  <c r="I626" i="91"/>
  <c r="J626" i="91"/>
  <c r="I624" i="91"/>
  <c r="I621" i="91"/>
  <c r="I622" i="91"/>
  <c r="H621" i="91"/>
  <c r="J622" i="91"/>
  <c r="J619" i="91"/>
  <c r="J618" i="91"/>
  <c r="I618" i="91"/>
  <c r="H618" i="91"/>
  <c r="H612" i="91"/>
  <c r="J611" i="91"/>
  <c r="H604" i="91"/>
  <c r="G601" i="91"/>
  <c r="H609" i="91"/>
  <c r="J608" i="91"/>
  <c r="G616" i="91"/>
  <c r="H607" i="91"/>
  <c r="I617" i="91"/>
  <c r="J617" i="91"/>
  <c r="H615" i="91"/>
  <c r="J614" i="91"/>
  <c r="H617" i="91"/>
  <c r="J616" i="91"/>
  <c r="I608" i="91"/>
  <c r="J601" i="91"/>
  <c r="J598" i="91"/>
  <c r="J606" i="91"/>
  <c r="J605" i="91"/>
  <c r="J604" i="91"/>
  <c r="J607" i="91"/>
  <c r="J615" i="91"/>
  <c r="H614" i="91"/>
  <c r="J612" i="91"/>
  <c r="H611" i="91"/>
  <c r="J609" i="91"/>
  <c r="H608" i="91"/>
  <c r="I616" i="91"/>
  <c r="G607" i="91"/>
  <c r="I611" i="91"/>
  <c r="I601" i="91"/>
  <c r="H598" i="91"/>
  <c r="I604" i="91"/>
  <c r="I615" i="91"/>
  <c r="G613" i="91"/>
  <c r="I612" i="91"/>
  <c r="G610" i="91"/>
  <c r="I609" i="91"/>
  <c r="J613" i="91"/>
  <c r="J610" i="91"/>
  <c r="I613" i="91"/>
  <c r="I610" i="91"/>
  <c r="G598" i="91"/>
  <c r="H606" i="91"/>
  <c r="J600" i="91"/>
  <c r="G600" i="91"/>
  <c r="J599" i="91"/>
  <c r="G603" i="91"/>
  <c r="J597" i="91"/>
  <c r="G605" i="91"/>
  <c r="J602" i="91"/>
  <c r="G597" i="91"/>
  <c r="J603" i="91"/>
  <c r="I605" i="91"/>
  <c r="I603" i="91"/>
  <c r="I602" i="91"/>
  <c r="I599" i="91"/>
  <c r="H602" i="91"/>
  <c r="I600" i="91"/>
  <c r="H599" i="91"/>
  <c r="I597" i="91"/>
  <c r="J596" i="91"/>
  <c r="J594" i="91"/>
  <c r="I594" i="91"/>
  <c r="I596" i="91"/>
  <c r="H594" i="91"/>
  <c r="H596" i="91"/>
  <c r="I591" i="91"/>
  <c r="G590" i="91"/>
  <c r="J589" i="91"/>
  <c r="G585" i="91"/>
  <c r="G584" i="91"/>
  <c r="G592" i="91"/>
  <c r="J591" i="91"/>
  <c r="H591" i="91"/>
  <c r="J585" i="91"/>
  <c r="I588" i="91"/>
  <c r="J587" i="91"/>
  <c r="I585" i="91"/>
  <c r="J588" i="91"/>
  <c r="J592" i="91"/>
  <c r="H588" i="91"/>
  <c r="G587" i="91"/>
  <c r="J586" i="91"/>
  <c r="J595" i="91"/>
  <c r="H595" i="91"/>
  <c r="I593" i="91"/>
  <c r="I595" i="91"/>
  <c r="J593" i="91"/>
  <c r="J590" i="91"/>
  <c r="I592" i="91"/>
  <c r="I590" i="91"/>
  <c r="H589" i="91"/>
  <c r="I587" i="91"/>
  <c r="H586" i="91"/>
  <c r="I584" i="91"/>
  <c r="I589" i="91"/>
  <c r="I586" i="91"/>
  <c r="J584" i="91"/>
  <c r="G578" i="91"/>
  <c r="J578" i="91"/>
  <c r="I578" i="91"/>
  <c r="J583" i="91"/>
  <c r="G581" i="91"/>
  <c r="I583" i="91"/>
  <c r="H583" i="91"/>
  <c r="J581" i="91"/>
  <c r="I581" i="91"/>
  <c r="J579" i="91"/>
  <c r="I579" i="91"/>
  <c r="H582" i="91"/>
  <c r="I580" i="91"/>
  <c r="H579" i="91"/>
  <c r="I577" i="91"/>
  <c r="J582" i="91"/>
  <c r="I582" i="91"/>
  <c r="J580" i="91"/>
  <c r="J577" i="91"/>
  <c r="I574" i="91"/>
  <c r="I563" i="91"/>
  <c r="J574" i="91"/>
  <c r="G565" i="91"/>
  <c r="H574" i="91"/>
  <c r="H563" i="91"/>
  <c r="H576" i="91"/>
  <c r="J571" i="91"/>
  <c r="J565" i="91"/>
  <c r="J563" i="91"/>
  <c r="G571" i="91"/>
  <c r="I571" i="91"/>
  <c r="J576" i="91"/>
  <c r="H567" i="91"/>
  <c r="I576" i="91"/>
  <c r="J564" i="91"/>
  <c r="J570" i="91"/>
  <c r="J573" i="91"/>
  <c r="I564" i="91"/>
  <c r="G562" i="91"/>
  <c r="J568" i="91"/>
  <c r="J567" i="91"/>
  <c r="H570" i="91"/>
  <c r="G575" i="91"/>
  <c r="H573" i="91"/>
  <c r="H564" i="91"/>
  <c r="I567" i="91"/>
  <c r="G570" i="91"/>
  <c r="G573" i="91"/>
  <c r="J575" i="91"/>
  <c r="I575" i="91"/>
  <c r="J572" i="91"/>
  <c r="I572" i="91"/>
  <c r="H572" i="91"/>
  <c r="J569" i="91"/>
  <c r="I568" i="91"/>
  <c r="I569" i="91"/>
  <c r="H568" i="91"/>
  <c r="I566" i="91"/>
  <c r="J566" i="91"/>
  <c r="I565" i="91"/>
  <c r="I562" i="91"/>
  <c r="J562" i="91"/>
  <c r="J558" i="91"/>
  <c r="J557" i="91"/>
  <c r="H556" i="91"/>
  <c r="J559" i="91"/>
  <c r="I553" i="91"/>
  <c r="J553" i="91"/>
  <c r="I559" i="91"/>
  <c r="J548" i="91"/>
  <c r="J547" i="91"/>
  <c r="I548" i="91"/>
  <c r="J545" i="91"/>
  <c r="H553" i="91"/>
  <c r="J552" i="91"/>
  <c r="J556" i="91"/>
  <c r="I545" i="91"/>
  <c r="I556" i="91"/>
  <c r="J549" i="91"/>
  <c r="G544" i="91"/>
  <c r="G554" i="91"/>
  <c r="H552" i="91"/>
  <c r="I560" i="91"/>
  <c r="G559" i="91"/>
  <c r="G552" i="91"/>
  <c r="G551" i="91"/>
  <c r="H560" i="91"/>
  <c r="G547" i="91"/>
  <c r="J546" i="91"/>
  <c r="G555" i="91"/>
  <c r="J560" i="91"/>
  <c r="J561" i="91"/>
  <c r="I561" i="91"/>
  <c r="H561" i="91"/>
  <c r="I558" i="91"/>
  <c r="H557" i="91"/>
  <c r="I555" i="91"/>
  <c r="I557" i="91"/>
  <c r="J555" i="91"/>
  <c r="I554" i="91"/>
  <c r="I551" i="91"/>
  <c r="J554" i="91"/>
  <c r="J551" i="91"/>
  <c r="J550" i="91"/>
  <c r="I549" i="91"/>
  <c r="I550" i="91"/>
  <c r="H549" i="91"/>
  <c r="I547" i="91"/>
  <c r="H546" i="91"/>
  <c r="I544" i="91"/>
  <c r="I546" i="91"/>
  <c r="J544" i="91"/>
  <c r="J543" i="91"/>
  <c r="I543" i="91"/>
  <c r="H541" i="91"/>
  <c r="G540" i="91"/>
  <c r="H543" i="91"/>
  <c r="H539" i="91"/>
  <c r="J539" i="91"/>
  <c r="G537" i="91"/>
  <c r="G542" i="91"/>
  <c r="G539" i="91"/>
  <c r="J538" i="91"/>
  <c r="J537" i="91"/>
  <c r="H537" i="91"/>
  <c r="I541" i="91"/>
  <c r="J536" i="91"/>
  <c r="H536" i="91"/>
  <c r="G536" i="91"/>
  <c r="J541" i="91"/>
  <c r="I542" i="91"/>
  <c r="J542" i="91"/>
  <c r="I540" i="91"/>
  <c r="J540" i="91"/>
  <c r="H538" i="91"/>
  <c r="I538" i="91"/>
  <c r="G531" i="91"/>
  <c r="H534" i="91"/>
  <c r="H528" i="91"/>
  <c r="G527" i="91"/>
  <c r="G525" i="91"/>
  <c r="H529" i="91"/>
  <c r="H523" i="91"/>
  <c r="G530" i="91"/>
  <c r="J531" i="91"/>
  <c r="J528" i="91"/>
  <c r="J529" i="91"/>
  <c r="G535" i="91"/>
  <c r="J534" i="91"/>
  <c r="I531" i="91"/>
  <c r="G529" i="91"/>
  <c r="I528" i="91"/>
  <c r="J525" i="91"/>
  <c r="I523" i="91"/>
  <c r="I534" i="91"/>
  <c r="G533" i="91"/>
  <c r="J532" i="91"/>
  <c r="J535" i="91"/>
  <c r="J533" i="91"/>
  <c r="I532" i="91"/>
  <c r="I535" i="91"/>
  <c r="H532" i="91"/>
  <c r="I530" i="91"/>
  <c r="J530" i="91"/>
  <c r="I525" i="91"/>
  <c r="J523" i="91"/>
  <c r="J526" i="91"/>
  <c r="I526" i="91"/>
  <c r="H526" i="91"/>
  <c r="J524" i="91"/>
  <c r="I527" i="91"/>
  <c r="H524" i="91"/>
  <c r="I522" i="91"/>
  <c r="J527" i="91"/>
  <c r="I524" i="91"/>
  <c r="J522" i="91"/>
  <c r="G520" i="91"/>
  <c r="J521" i="91"/>
  <c r="I515" i="91"/>
  <c r="I521" i="91"/>
  <c r="I517" i="91"/>
  <c r="H521" i="91"/>
  <c r="J517" i="91"/>
  <c r="J515" i="91"/>
  <c r="G519" i="91"/>
  <c r="J518" i="91"/>
  <c r="H517" i="91"/>
  <c r="H515" i="91"/>
  <c r="I518" i="91"/>
  <c r="H518" i="91"/>
  <c r="J516" i="91"/>
  <c r="I520" i="91"/>
  <c r="J520" i="91"/>
  <c r="I516" i="91"/>
  <c r="I519" i="91"/>
  <c r="H516" i="91"/>
  <c r="I514" i="91"/>
  <c r="J519" i="91"/>
  <c r="J514" i="91"/>
  <c r="H192" i="91"/>
  <c r="I507" i="91"/>
  <c r="J513" i="91"/>
  <c r="H513" i="91"/>
  <c r="G512" i="91"/>
  <c r="I513" i="91"/>
  <c r="I512" i="91"/>
  <c r="J512" i="91"/>
  <c r="J510" i="91"/>
  <c r="I510" i="91"/>
  <c r="H507" i="91"/>
  <c r="H510" i="91"/>
  <c r="J505" i="91"/>
  <c r="I505" i="91"/>
  <c r="J507" i="91"/>
  <c r="G506" i="91"/>
  <c r="J509" i="91"/>
  <c r="H505" i="91"/>
  <c r="G511" i="91"/>
  <c r="H509" i="91"/>
  <c r="G509" i="91"/>
  <c r="J508" i="91"/>
  <c r="I511" i="91"/>
  <c r="H508" i="91"/>
  <c r="I506" i="91"/>
  <c r="J511" i="91"/>
  <c r="I508" i="91"/>
  <c r="J506" i="91"/>
  <c r="H497" i="91"/>
  <c r="J500" i="91"/>
  <c r="J495" i="91"/>
  <c r="G497" i="91"/>
  <c r="I490" i="91"/>
  <c r="J497" i="91"/>
  <c r="J492" i="91"/>
  <c r="G493" i="91"/>
  <c r="I495" i="91"/>
  <c r="H500" i="91"/>
  <c r="G492" i="91"/>
  <c r="G486" i="91"/>
  <c r="J504" i="91"/>
  <c r="H504" i="91"/>
  <c r="J502" i="91"/>
  <c r="H502" i="91"/>
  <c r="G501" i="91"/>
  <c r="J499" i="91"/>
  <c r="I492" i="91"/>
  <c r="H487" i="91"/>
  <c r="H495" i="91"/>
  <c r="G504" i="91"/>
  <c r="G502" i="91"/>
  <c r="H499" i="91"/>
  <c r="J490" i="91"/>
  <c r="G499" i="91"/>
  <c r="J498" i="91"/>
  <c r="I503" i="91"/>
  <c r="J501" i="91"/>
  <c r="I501" i="91"/>
  <c r="H498" i="91"/>
  <c r="I496" i="91"/>
  <c r="J503" i="91"/>
  <c r="I498" i="91"/>
  <c r="J496" i="91"/>
  <c r="H490" i="91"/>
  <c r="J489" i="91"/>
  <c r="J487" i="91"/>
  <c r="G489" i="91"/>
  <c r="I487" i="91"/>
  <c r="J493" i="91"/>
  <c r="J491" i="91"/>
  <c r="I489" i="91"/>
  <c r="I493" i="91"/>
  <c r="G491" i="91"/>
  <c r="J494" i="91"/>
  <c r="I494" i="91"/>
  <c r="H494" i="91"/>
  <c r="J488" i="91"/>
  <c r="I491" i="91"/>
  <c r="H488" i="91"/>
  <c r="I486" i="91"/>
  <c r="I488" i="91"/>
  <c r="J486" i="91"/>
  <c r="I479" i="91"/>
  <c r="I484" i="91"/>
  <c r="H484" i="91"/>
  <c r="J484" i="91"/>
  <c r="J485" i="91"/>
  <c r="H479" i="91"/>
  <c r="I485" i="91"/>
  <c r="H485" i="91"/>
  <c r="J479" i="91"/>
  <c r="H482" i="91"/>
  <c r="J481" i="91"/>
  <c r="J483" i="91"/>
  <c r="J482" i="91"/>
  <c r="H481" i="91"/>
  <c r="I481" i="91"/>
  <c r="G483" i="91"/>
  <c r="I482" i="91"/>
  <c r="J480" i="91"/>
  <c r="I480" i="91"/>
  <c r="I483" i="91"/>
  <c r="H480" i="91"/>
  <c r="I478" i="91"/>
  <c r="J478" i="91"/>
  <c r="G468" i="91"/>
  <c r="H459" i="91"/>
  <c r="J477" i="91"/>
  <c r="H469" i="91"/>
  <c r="I477" i="91"/>
  <c r="J471" i="91"/>
  <c r="H477" i="91"/>
  <c r="J467" i="91"/>
  <c r="J474" i="91"/>
  <c r="I467" i="91"/>
  <c r="H474" i="91"/>
  <c r="G473" i="91"/>
  <c r="I471" i="91"/>
  <c r="H467" i="91"/>
  <c r="H471" i="91"/>
  <c r="J469" i="91"/>
  <c r="J475" i="91"/>
  <c r="I469" i="91"/>
  <c r="I472" i="91"/>
  <c r="J472" i="91"/>
  <c r="H472" i="91"/>
  <c r="J470" i="91"/>
  <c r="J476" i="91"/>
  <c r="I475" i="91"/>
  <c r="J473" i="91"/>
  <c r="I476" i="91"/>
  <c r="H475" i="91"/>
  <c r="I473" i="91"/>
  <c r="H470" i="91"/>
  <c r="I468" i="91"/>
  <c r="I470" i="91"/>
  <c r="J468" i="91"/>
  <c r="J464" i="91"/>
  <c r="J459" i="91"/>
  <c r="J462" i="91"/>
  <c r="I462" i="91"/>
  <c r="H457" i="91"/>
  <c r="H462" i="91"/>
  <c r="G461" i="91"/>
  <c r="I459" i="91"/>
  <c r="J457" i="91"/>
  <c r="J465" i="91"/>
  <c r="H464" i="91"/>
  <c r="J461" i="91"/>
  <c r="G457" i="91"/>
  <c r="I464" i="91"/>
  <c r="G463" i="91"/>
  <c r="H461" i="91"/>
  <c r="J466" i="91"/>
  <c r="I465" i="91"/>
  <c r="J463" i="91"/>
  <c r="I466" i="91"/>
  <c r="H465" i="91"/>
  <c r="H460" i="91"/>
  <c r="I458" i="91"/>
  <c r="J460" i="91"/>
  <c r="I460" i="91"/>
  <c r="J458" i="91"/>
  <c r="G449" i="91"/>
  <c r="G448" i="91"/>
  <c r="J433" i="91"/>
  <c r="G440" i="91"/>
  <c r="J439" i="91"/>
  <c r="G433" i="91"/>
  <c r="H447" i="91"/>
  <c r="H436" i="91"/>
  <c r="I433" i="91"/>
  <c r="J440" i="91"/>
  <c r="G436" i="91"/>
  <c r="J449" i="91"/>
  <c r="J455" i="91"/>
  <c r="J447" i="91"/>
  <c r="I455" i="91"/>
  <c r="I452" i="91"/>
  <c r="J451" i="91"/>
  <c r="I449" i="91"/>
  <c r="G447" i="91"/>
  <c r="J452" i="91"/>
  <c r="J436" i="91"/>
  <c r="G442" i="91"/>
  <c r="G441" i="91"/>
  <c r="G446" i="91"/>
  <c r="H455" i="91"/>
  <c r="H452" i="91"/>
  <c r="G451" i="91"/>
  <c r="J450" i="91"/>
  <c r="I456" i="91"/>
  <c r="J454" i="91"/>
  <c r="H456" i="91"/>
  <c r="I454" i="91"/>
  <c r="H453" i="91"/>
  <c r="I451" i="91"/>
  <c r="H450" i="91"/>
  <c r="I448" i="91"/>
  <c r="J456" i="91"/>
  <c r="J453" i="91"/>
  <c r="I453" i="91"/>
  <c r="I450" i="91"/>
  <c r="J448" i="91"/>
  <c r="H438" i="91"/>
  <c r="J438" i="91"/>
  <c r="G438" i="91"/>
  <c r="G437" i="91"/>
  <c r="J442" i="91"/>
  <c r="J435" i="91"/>
  <c r="H435" i="91"/>
  <c r="J445" i="91"/>
  <c r="I442" i="91"/>
  <c r="G435" i="91"/>
  <c r="G432" i="91"/>
  <c r="I445" i="91"/>
  <c r="G444" i="91"/>
  <c r="J443" i="91"/>
  <c r="I446" i="91"/>
  <c r="J446" i="91"/>
  <c r="J444" i="91"/>
  <c r="I443" i="91"/>
  <c r="I444" i="91"/>
  <c r="H443" i="91"/>
  <c r="I441" i="91"/>
  <c r="J441" i="91"/>
  <c r="J434" i="91"/>
  <c r="J437" i="91"/>
  <c r="I440" i="91"/>
  <c r="H439" i="91"/>
  <c r="I437" i="91"/>
  <c r="H434" i="91"/>
  <c r="I432" i="91"/>
  <c r="I439" i="91"/>
  <c r="I434" i="91"/>
  <c r="J432" i="91"/>
  <c r="J431" i="91"/>
  <c r="I431" i="91"/>
  <c r="H431" i="91"/>
  <c r="H423" i="91"/>
  <c r="G422" i="91"/>
  <c r="G429" i="91"/>
  <c r="J426" i="91"/>
  <c r="J428" i="91"/>
  <c r="G428" i="91"/>
  <c r="J427" i="91"/>
  <c r="I426" i="91"/>
  <c r="H426" i="91"/>
  <c r="J425" i="91"/>
  <c r="J429" i="91"/>
  <c r="G425" i="91"/>
  <c r="J430" i="91"/>
  <c r="I430" i="91"/>
  <c r="H430" i="91"/>
  <c r="I427" i="91"/>
  <c r="I428" i="91"/>
  <c r="H427" i="91"/>
  <c r="I425" i="91"/>
  <c r="H421" i="91"/>
  <c r="H418" i="91"/>
  <c r="J423" i="91"/>
  <c r="I423" i="91"/>
  <c r="J421" i="91"/>
  <c r="G421" i="91"/>
  <c r="G419" i="91"/>
  <c r="J424" i="91"/>
  <c r="H424" i="91"/>
  <c r="I422" i="91"/>
  <c r="I424" i="91"/>
  <c r="J422" i="91"/>
  <c r="J419" i="91"/>
  <c r="G418" i="91"/>
  <c r="I419" i="91"/>
  <c r="J420" i="91"/>
  <c r="I420" i="91"/>
  <c r="H420" i="91"/>
  <c r="G416" i="91"/>
  <c r="J413" i="91"/>
  <c r="I413" i="91"/>
  <c r="H413" i="91"/>
  <c r="J410" i="91"/>
  <c r="I410" i="91"/>
  <c r="J409" i="91"/>
  <c r="H408" i="91"/>
  <c r="G415" i="91"/>
  <c r="J414" i="91"/>
  <c r="H410" i="91"/>
  <c r="J411" i="91"/>
  <c r="G412" i="91"/>
  <c r="I411" i="91"/>
  <c r="J408" i="91"/>
  <c r="J416" i="91"/>
  <c r="H411" i="91"/>
  <c r="I408" i="91"/>
  <c r="G407" i="91"/>
  <c r="J417" i="91"/>
  <c r="I417" i="91"/>
  <c r="H417" i="91"/>
  <c r="J412" i="91"/>
  <c r="I409" i="91"/>
  <c r="I415" i="91"/>
  <c r="I412" i="91"/>
  <c r="H409" i="91"/>
  <c r="I407" i="91"/>
  <c r="J415" i="91"/>
  <c r="I414" i="91"/>
  <c r="J407" i="91"/>
  <c r="G403" i="91"/>
  <c r="J392" i="91"/>
  <c r="J391" i="91"/>
  <c r="H393" i="91"/>
  <c r="G397" i="91"/>
  <c r="J396" i="91"/>
  <c r="G401" i="91"/>
  <c r="J400" i="91"/>
  <c r="J403" i="91"/>
  <c r="J406" i="91"/>
  <c r="G400" i="91"/>
  <c r="J399" i="91"/>
  <c r="H403" i="91"/>
  <c r="G405" i="91"/>
  <c r="G404" i="91"/>
  <c r="I406" i="91"/>
  <c r="J395" i="91"/>
  <c r="I395" i="91"/>
  <c r="H406" i="91"/>
  <c r="H395" i="91"/>
  <c r="J390" i="91"/>
  <c r="G399" i="91"/>
  <c r="J398" i="91"/>
  <c r="J397" i="91"/>
  <c r="H390" i="91"/>
  <c r="J401" i="91"/>
  <c r="H398" i="91"/>
  <c r="J402" i="91"/>
  <c r="G394" i="91"/>
  <c r="J393" i="91"/>
  <c r="H392" i="91"/>
  <c r="I401" i="91"/>
  <c r="I399" i="91"/>
  <c r="G398" i="91"/>
  <c r="H402" i="91"/>
  <c r="I405" i="91"/>
  <c r="J405" i="91"/>
  <c r="I393" i="91"/>
  <c r="G402" i="91"/>
  <c r="I404" i="91"/>
  <c r="J404" i="91"/>
  <c r="I400" i="91"/>
  <c r="I396" i="91"/>
  <c r="J394" i="91"/>
  <c r="I397" i="91"/>
  <c r="H396" i="91"/>
  <c r="I394" i="91"/>
  <c r="H391" i="91"/>
  <c r="I389" i="91"/>
  <c r="I391" i="91"/>
  <c r="J389" i="91"/>
  <c r="J388" i="91"/>
  <c r="H388" i="91"/>
  <c r="H385" i="91"/>
  <c r="G381" i="91"/>
  <c r="I383" i="91"/>
  <c r="H387" i="91"/>
  <c r="J385" i="91"/>
  <c r="H383" i="91"/>
  <c r="G382" i="91"/>
  <c r="I377" i="91"/>
  <c r="I382" i="91"/>
  <c r="H380" i="91"/>
  <c r="J379" i="91"/>
  <c r="G376" i="91"/>
  <c r="G374" i="91"/>
  <c r="J373" i="91"/>
  <c r="J372" i="91"/>
  <c r="J387" i="91"/>
  <c r="G387" i="91"/>
  <c r="I386" i="91"/>
  <c r="I384" i="91"/>
  <c r="H386" i="91"/>
  <c r="H384" i="91"/>
  <c r="J375" i="91"/>
  <c r="I372" i="91"/>
  <c r="J380" i="91"/>
  <c r="H375" i="91"/>
  <c r="H372" i="91"/>
  <c r="J381" i="91"/>
  <c r="I379" i="91"/>
  <c r="I375" i="91"/>
  <c r="I380" i="91"/>
  <c r="J378" i="91"/>
  <c r="J377" i="91"/>
  <c r="J374" i="91"/>
  <c r="G371" i="91"/>
  <c r="I373" i="91"/>
  <c r="H378" i="91"/>
  <c r="I376" i="91"/>
  <c r="H373" i="91"/>
  <c r="I371" i="91"/>
  <c r="I378" i="91"/>
  <c r="J376" i="91"/>
  <c r="J371" i="91"/>
  <c r="I369" i="91"/>
  <c r="G368" i="91"/>
  <c r="H369" i="91"/>
  <c r="I370" i="91"/>
  <c r="J370" i="91"/>
  <c r="H370" i="91"/>
  <c r="J369" i="91"/>
  <c r="I368" i="91"/>
  <c r="J368" i="91"/>
  <c r="H361" i="91"/>
  <c r="G360" i="91"/>
  <c r="J367" i="91"/>
  <c r="J364" i="91"/>
  <c r="I367" i="91"/>
  <c r="I364" i="91"/>
  <c r="H367" i="91"/>
  <c r="H364" i="91"/>
  <c r="G352" i="91"/>
  <c r="J361" i="91"/>
  <c r="I361" i="91"/>
  <c r="J366" i="91"/>
  <c r="G350" i="91"/>
  <c r="G349" i="91"/>
  <c r="H366" i="91"/>
  <c r="J360" i="91"/>
  <c r="J363" i="91"/>
  <c r="G366" i="91"/>
  <c r="G363" i="91"/>
  <c r="J362" i="91"/>
  <c r="I362" i="91"/>
  <c r="H365" i="91"/>
  <c r="H362" i="91"/>
  <c r="J365" i="91"/>
  <c r="I365" i="91"/>
  <c r="J353" i="91"/>
  <c r="G353" i="91"/>
  <c r="H341" i="91"/>
  <c r="J340" i="91"/>
  <c r="H356" i="91"/>
  <c r="H340" i="91"/>
  <c r="H348" i="91"/>
  <c r="J359" i="91"/>
  <c r="H359" i="91"/>
  <c r="J347" i="91"/>
  <c r="H346" i="91"/>
  <c r="J345" i="91"/>
  <c r="J344" i="91"/>
  <c r="G340" i="91"/>
  <c r="J339" i="91"/>
  <c r="G359" i="91"/>
  <c r="G358" i="91"/>
  <c r="J357" i="91"/>
  <c r="J356" i="91"/>
  <c r="J350" i="91"/>
  <c r="J336" i="91"/>
  <c r="H344" i="91"/>
  <c r="G342" i="91"/>
  <c r="J341" i="91"/>
  <c r="J338" i="91"/>
  <c r="J348" i="91"/>
  <c r="G356" i="91"/>
  <c r="G355" i="91"/>
  <c r="J354" i="91"/>
  <c r="I353" i="91"/>
  <c r="I350" i="91"/>
  <c r="I344" i="91"/>
  <c r="G348" i="91"/>
  <c r="I336" i="91"/>
  <c r="I341" i="91"/>
  <c r="G338" i="91"/>
  <c r="G337" i="91"/>
  <c r="J351" i="91"/>
  <c r="J355" i="91"/>
  <c r="I351" i="91"/>
  <c r="I355" i="91"/>
  <c r="H354" i="91"/>
  <c r="I349" i="91"/>
  <c r="J358" i="91"/>
  <c r="I357" i="91"/>
  <c r="I354" i="91"/>
  <c r="J352" i="91"/>
  <c r="J349" i="91"/>
  <c r="G346" i="91"/>
  <c r="I338" i="91"/>
  <c r="I347" i="91"/>
  <c r="H336" i="91"/>
  <c r="H347" i="91"/>
  <c r="G345" i="91"/>
  <c r="H343" i="91"/>
  <c r="I337" i="91"/>
  <c r="J343" i="91"/>
  <c r="J337" i="91"/>
  <c r="J346" i="91"/>
  <c r="G343" i="91"/>
  <c r="J342" i="91"/>
  <c r="I345" i="91"/>
  <c r="I342" i="91"/>
  <c r="I339" i="91"/>
  <c r="H339" i="91"/>
  <c r="I332" i="91"/>
  <c r="J333" i="91"/>
  <c r="G333" i="91"/>
  <c r="G332" i="91"/>
  <c r="I333" i="91"/>
  <c r="G335" i="91"/>
  <c r="J334" i="91"/>
  <c r="I335" i="91"/>
  <c r="H334" i="91"/>
  <c r="J335" i="91"/>
  <c r="I334" i="91"/>
  <c r="J326" i="91"/>
  <c r="H326" i="91"/>
  <c r="H329" i="91"/>
  <c r="I326" i="91"/>
  <c r="J329" i="91"/>
  <c r="J327" i="91"/>
  <c r="J331" i="91"/>
  <c r="I327" i="91"/>
  <c r="H331" i="91"/>
  <c r="H327" i="91"/>
  <c r="G324" i="91"/>
  <c r="G331" i="91"/>
  <c r="I328" i="91"/>
  <c r="H330" i="91"/>
  <c r="H328" i="91"/>
  <c r="I330" i="91"/>
  <c r="J324" i="91"/>
  <c r="H324" i="91"/>
  <c r="J325" i="91"/>
  <c r="I325" i="91"/>
  <c r="J321" i="91"/>
  <c r="I321" i="91"/>
  <c r="J323" i="91"/>
  <c r="I323" i="91"/>
  <c r="H323" i="91"/>
  <c r="I322" i="91"/>
  <c r="J322" i="91"/>
  <c r="J320" i="91"/>
  <c r="I320" i="91"/>
  <c r="J319" i="91"/>
  <c r="I319" i="91"/>
  <c r="G317" i="91"/>
  <c r="J317" i="91"/>
  <c r="G311" i="91"/>
  <c r="I318" i="91"/>
  <c r="J318" i="91"/>
  <c r="J316" i="91"/>
  <c r="I312" i="91"/>
  <c r="J312" i="91"/>
  <c r="G316" i="91"/>
  <c r="J315" i="91"/>
  <c r="H312" i="91"/>
  <c r="J311" i="91"/>
  <c r="H314" i="91"/>
  <c r="I311" i="91"/>
  <c r="J314" i="91"/>
  <c r="I314" i="91"/>
  <c r="G313" i="91"/>
  <c r="H315" i="91"/>
  <c r="I313" i="91"/>
  <c r="I315" i="91"/>
  <c r="J313" i="91"/>
  <c r="H303" i="91"/>
  <c r="J300" i="91"/>
  <c r="I300" i="91"/>
  <c r="J310" i="91"/>
  <c r="J308" i="91"/>
  <c r="I310" i="91"/>
  <c r="H310" i="91"/>
  <c r="G299" i="91"/>
  <c r="J298" i="91"/>
  <c r="J297" i="91"/>
  <c r="J307" i="91"/>
  <c r="J309" i="91"/>
  <c r="G307" i="91"/>
  <c r="I308" i="91"/>
  <c r="G305" i="91"/>
  <c r="G304" i="91"/>
  <c r="I309" i="91"/>
  <c r="H309" i="91"/>
  <c r="G303" i="91"/>
  <c r="J296" i="91"/>
  <c r="G296" i="91"/>
  <c r="J303" i="91"/>
  <c r="J305" i="91"/>
  <c r="I297" i="91"/>
  <c r="J302" i="91"/>
  <c r="J301" i="91"/>
  <c r="H297" i="91"/>
  <c r="I305" i="91"/>
  <c r="J299" i="91"/>
  <c r="G302" i="91"/>
  <c r="J306" i="91"/>
  <c r="I304" i="91"/>
  <c r="I306" i="91"/>
  <c r="J304" i="91"/>
  <c r="I301" i="91"/>
  <c r="H301" i="91"/>
  <c r="I299" i="91"/>
  <c r="H298" i="91"/>
  <c r="I296" i="91"/>
  <c r="J288" i="91"/>
  <c r="J289" i="91"/>
  <c r="G290" i="91"/>
  <c r="G288" i="91"/>
  <c r="H295" i="91"/>
  <c r="H293" i="91"/>
  <c r="G292" i="91"/>
  <c r="J290" i="91"/>
  <c r="I288" i="91"/>
  <c r="J293" i="91"/>
  <c r="I290" i="91"/>
  <c r="J295" i="91"/>
  <c r="I293" i="91"/>
  <c r="J292" i="91"/>
  <c r="G289" i="91"/>
  <c r="G295" i="91"/>
  <c r="J294" i="91"/>
  <c r="J291" i="91"/>
  <c r="J287" i="91"/>
  <c r="G294" i="91"/>
  <c r="G291" i="91"/>
  <c r="G287" i="91"/>
  <c r="I294" i="91"/>
  <c r="I292" i="91"/>
  <c r="I291" i="91"/>
  <c r="I289" i="91"/>
  <c r="G276" i="91"/>
  <c r="G284" i="91"/>
  <c r="J256" i="91"/>
  <c r="J265" i="91"/>
  <c r="J253" i="91"/>
  <c r="G259" i="91"/>
  <c r="J272" i="91"/>
  <c r="H253" i="91"/>
  <c r="G272" i="91"/>
  <c r="G271" i="91"/>
  <c r="J270" i="91"/>
  <c r="J269" i="91"/>
  <c r="G273" i="91"/>
  <c r="J276" i="91"/>
  <c r="J282" i="91"/>
  <c r="J281" i="91"/>
  <c r="G255" i="91"/>
  <c r="J254" i="91"/>
  <c r="G253" i="91"/>
  <c r="G252" i="91"/>
  <c r="J262" i="91"/>
  <c r="G263" i="91"/>
  <c r="H267" i="91"/>
  <c r="J266" i="91"/>
  <c r="I272" i="91"/>
  <c r="G262" i="91"/>
  <c r="G261" i="91"/>
  <c r="J260" i="91"/>
  <c r="H259" i="91"/>
  <c r="G275" i="91"/>
  <c r="J274" i="91"/>
  <c r="J278" i="91"/>
  <c r="J277" i="91"/>
  <c r="J283" i="91"/>
  <c r="J285" i="91"/>
  <c r="I260" i="91"/>
  <c r="J264" i="91"/>
  <c r="I266" i="91"/>
  <c r="I269" i="91"/>
  <c r="I274" i="91"/>
  <c r="J279" i="91"/>
  <c r="I277" i="91"/>
  <c r="I281" i="91"/>
  <c r="J258" i="91"/>
  <c r="I256" i="91"/>
  <c r="H260" i="91"/>
  <c r="I264" i="91"/>
  <c r="J267" i="91"/>
  <c r="H266" i="91"/>
  <c r="H269" i="91"/>
  <c r="H274" i="91"/>
  <c r="H279" i="91"/>
  <c r="H281" i="91"/>
  <c r="I285" i="91"/>
  <c r="G258" i="91"/>
  <c r="J257" i="91"/>
  <c r="J259" i="91"/>
  <c r="I267" i="91"/>
  <c r="G268" i="91"/>
  <c r="J275" i="91"/>
  <c r="J273" i="91"/>
  <c r="G279" i="91"/>
  <c r="G280" i="91"/>
  <c r="J286" i="91"/>
  <c r="I286" i="91"/>
  <c r="H286" i="91"/>
  <c r="I284" i="91"/>
  <c r="J284" i="91"/>
  <c r="I283" i="91"/>
  <c r="I282" i="91"/>
  <c r="J280" i="91"/>
  <c r="I278" i="91"/>
  <c r="H278" i="91"/>
  <c r="I276" i="91"/>
  <c r="I275" i="91"/>
  <c r="H270" i="91"/>
  <c r="I268" i="91"/>
  <c r="J271" i="91"/>
  <c r="I270" i="91"/>
  <c r="J268" i="91"/>
  <c r="H265" i="91"/>
  <c r="I263" i="91"/>
  <c r="I265" i="91"/>
  <c r="J263" i="91"/>
  <c r="I261" i="91"/>
  <c r="J261" i="91"/>
  <c r="I257" i="91"/>
  <c r="J255" i="91"/>
  <c r="I254" i="91"/>
  <c r="H257" i="91"/>
  <c r="H254" i="91"/>
  <c r="I252" i="91"/>
  <c r="J252" i="91"/>
  <c r="J249" i="91"/>
  <c r="G243" i="91"/>
  <c r="J251" i="91"/>
  <c r="H251" i="91"/>
  <c r="J248" i="91"/>
  <c r="G250" i="91"/>
  <c r="G246" i="91"/>
  <c r="H248" i="91"/>
  <c r="G247" i="91"/>
  <c r="J246" i="91"/>
  <c r="J242" i="91"/>
  <c r="I241" i="91"/>
  <c r="I242" i="91"/>
  <c r="I249" i="91"/>
  <c r="J241" i="91"/>
  <c r="H241" i="91"/>
  <c r="H242" i="91"/>
  <c r="H249" i="91"/>
  <c r="J245" i="91"/>
  <c r="J243" i="91"/>
  <c r="G245" i="91"/>
  <c r="J244" i="91"/>
  <c r="I244" i="91"/>
  <c r="I250" i="91"/>
  <c r="I247" i="91"/>
  <c r="I245" i="91"/>
  <c r="J250" i="91"/>
  <c r="J247" i="91"/>
  <c r="H237" i="91"/>
  <c r="G236" i="91"/>
  <c r="G240" i="91"/>
  <c r="H232" i="91"/>
  <c r="G235" i="91"/>
  <c r="G229" i="91"/>
  <c r="J228" i="91"/>
  <c r="J234" i="91"/>
  <c r="J227" i="91"/>
  <c r="J237" i="91"/>
  <c r="G234" i="91"/>
  <c r="J233" i="91"/>
  <c r="J232" i="91"/>
  <c r="H227" i="91"/>
  <c r="G239" i="91"/>
  <c r="I237" i="91"/>
  <c r="J235" i="91"/>
  <c r="G232" i="91"/>
  <c r="J231" i="91"/>
  <c r="J229" i="91"/>
  <c r="G227" i="91"/>
  <c r="J239" i="91"/>
  <c r="I236" i="91"/>
  <c r="J236" i="91"/>
  <c r="H235" i="91"/>
  <c r="G231" i="91"/>
  <c r="J230" i="91"/>
  <c r="H239" i="91"/>
  <c r="I240" i="91"/>
  <c r="J240" i="91"/>
  <c r="J238" i="91"/>
  <c r="H238" i="91"/>
  <c r="I238" i="91"/>
  <c r="I233" i="91"/>
  <c r="I230" i="91"/>
  <c r="I228" i="91"/>
  <c r="I234" i="91"/>
  <c r="H233" i="91"/>
  <c r="I231" i="91"/>
  <c r="H230" i="91"/>
  <c r="H228" i="91"/>
  <c r="J221" i="91"/>
  <c r="J226" i="91"/>
  <c r="G225" i="91"/>
  <c r="J224" i="91"/>
  <c r="H222" i="91"/>
  <c r="I226" i="91"/>
  <c r="H224" i="91"/>
  <c r="H226" i="91"/>
  <c r="I225" i="91"/>
  <c r="G224" i="91"/>
  <c r="J222" i="91"/>
  <c r="H221" i="91"/>
  <c r="J225" i="91"/>
  <c r="I221" i="91"/>
  <c r="I222" i="91"/>
  <c r="J223" i="91"/>
  <c r="I223" i="91"/>
  <c r="H223" i="91"/>
  <c r="G215" i="91"/>
  <c r="J218" i="91"/>
  <c r="H218" i="91"/>
  <c r="J213" i="91"/>
  <c r="J212" i="91"/>
  <c r="G213" i="91"/>
  <c r="G212" i="91"/>
  <c r="J211" i="91"/>
  <c r="J209" i="91"/>
  <c r="J207" i="91"/>
  <c r="J206" i="91"/>
  <c r="H211" i="91"/>
  <c r="I209" i="91"/>
  <c r="G206" i="91"/>
  <c r="J220" i="91"/>
  <c r="G218" i="91"/>
  <c r="H214" i="91"/>
  <c r="G211" i="91"/>
  <c r="H209" i="91"/>
  <c r="G220" i="91"/>
  <c r="J219" i="91"/>
  <c r="G214" i="91"/>
  <c r="G208" i="91"/>
  <c r="J215" i="91"/>
  <c r="I212" i="91"/>
  <c r="J208" i="91"/>
  <c r="I206" i="91"/>
  <c r="J217" i="91"/>
  <c r="I215" i="91"/>
  <c r="J214" i="91"/>
  <c r="J210" i="91"/>
  <c r="H208" i="91"/>
  <c r="G217" i="91"/>
  <c r="J216" i="91"/>
  <c r="I219" i="91"/>
  <c r="I220" i="91"/>
  <c r="H219" i="91"/>
  <c r="I217" i="91"/>
  <c r="H216" i="91"/>
  <c r="I216" i="91"/>
  <c r="I210" i="91"/>
  <c r="I207" i="91"/>
  <c r="I213" i="91"/>
  <c r="H210" i="91"/>
  <c r="H207" i="91"/>
  <c r="J202" i="91"/>
  <c r="J205" i="91"/>
  <c r="G199" i="91"/>
  <c r="G198" i="91"/>
  <c r="I205" i="91"/>
  <c r="H205" i="91"/>
  <c r="J199" i="91"/>
  <c r="G197" i="91"/>
  <c r="J197" i="91"/>
  <c r="J204" i="91"/>
  <c r="H202" i="91"/>
  <c r="I199" i="91"/>
  <c r="I202" i="91"/>
  <c r="G204" i="91"/>
  <c r="G201" i="91"/>
  <c r="J200" i="91"/>
  <c r="I203" i="91"/>
  <c r="J201" i="91"/>
  <c r="I200" i="91"/>
  <c r="I204" i="91"/>
  <c r="H203" i="91"/>
  <c r="I201" i="91"/>
  <c r="H200" i="91"/>
  <c r="I198" i="91"/>
  <c r="J203" i="91"/>
  <c r="J198" i="91"/>
  <c r="J196" i="91"/>
  <c r="H196" i="91"/>
  <c r="J191" i="91"/>
  <c r="H190" i="91"/>
  <c r="I194" i="91"/>
  <c r="G190" i="91"/>
  <c r="J193" i="91"/>
  <c r="I193" i="91"/>
  <c r="I196" i="91"/>
  <c r="G195" i="91"/>
  <c r="G193" i="91"/>
  <c r="J190" i="91"/>
  <c r="J195" i="91"/>
  <c r="G192" i="91"/>
  <c r="H194" i="91"/>
  <c r="H191" i="91"/>
  <c r="I195" i="91"/>
  <c r="G194" i="91"/>
  <c r="I192" i="91"/>
  <c r="G191" i="91"/>
  <c r="G186" i="91"/>
  <c r="J189" i="91"/>
  <c r="I189" i="91"/>
  <c r="J181" i="91"/>
  <c r="I181" i="91"/>
  <c r="H181" i="91"/>
  <c r="G180" i="91"/>
  <c r="H179" i="91"/>
  <c r="G179" i="91"/>
  <c r="H184" i="91"/>
  <c r="J183" i="91"/>
  <c r="J182" i="91"/>
  <c r="J186" i="91"/>
  <c r="I183" i="91"/>
  <c r="J179" i="91"/>
  <c r="J185" i="91"/>
  <c r="J184" i="91"/>
  <c r="H183" i="91"/>
  <c r="H188" i="91"/>
  <c r="I186" i="91"/>
  <c r="J188" i="91"/>
  <c r="I184" i="91"/>
  <c r="G188" i="91"/>
  <c r="J187" i="91"/>
  <c r="I187" i="91"/>
  <c r="H187" i="91"/>
  <c r="I182" i="91"/>
  <c r="H185" i="91"/>
  <c r="H182" i="91"/>
  <c r="I180" i="91"/>
  <c r="I185" i="91"/>
  <c r="J180" i="91"/>
  <c r="G175" i="91"/>
  <c r="J177" i="91"/>
  <c r="J175" i="91"/>
  <c r="I174" i="91"/>
  <c r="I175" i="91"/>
  <c r="J172" i="91"/>
  <c r="G172" i="91"/>
  <c r="G177" i="91"/>
  <c r="J176" i="91"/>
  <c r="H174" i="91"/>
  <c r="G176" i="91"/>
  <c r="G174" i="91"/>
  <c r="J178" i="91"/>
  <c r="H177" i="91"/>
  <c r="I178" i="91"/>
  <c r="I176" i="91"/>
  <c r="I172" i="91"/>
  <c r="J173" i="91"/>
  <c r="H173" i="91"/>
  <c r="I173" i="91"/>
  <c r="J159" i="91"/>
  <c r="G166" i="91"/>
  <c r="H162" i="91"/>
  <c r="G158" i="91"/>
  <c r="J165" i="91"/>
  <c r="H164" i="91"/>
  <c r="J169" i="91"/>
  <c r="J170" i="91"/>
  <c r="J164" i="91"/>
  <c r="I169" i="91"/>
  <c r="I167" i="91"/>
  <c r="I164" i="91"/>
  <c r="H167" i="91"/>
  <c r="J166" i="91"/>
  <c r="J162" i="91"/>
  <c r="I159" i="91"/>
  <c r="J168" i="91"/>
  <c r="I166" i="91"/>
  <c r="I162" i="91"/>
  <c r="J160" i="91"/>
  <c r="G168" i="91"/>
  <c r="J167" i="91"/>
  <c r="I171" i="91"/>
  <c r="H170" i="91"/>
  <c r="I168" i="91"/>
  <c r="J171" i="91"/>
  <c r="I170" i="91"/>
  <c r="I165" i="91"/>
  <c r="H165" i="91"/>
  <c r="I163" i="91"/>
  <c r="J163" i="91"/>
  <c r="J161" i="91"/>
  <c r="I160" i="91"/>
  <c r="I161" i="91"/>
  <c r="H160" i="91"/>
  <c r="I158" i="91"/>
  <c r="J158" i="91"/>
  <c r="G154" i="91"/>
  <c r="G146" i="91"/>
  <c r="J145" i="91"/>
  <c r="J155" i="91"/>
  <c r="J150" i="91"/>
  <c r="J142" i="91"/>
  <c r="G142" i="91"/>
  <c r="J153" i="91"/>
  <c r="J152" i="91"/>
  <c r="J149" i="91"/>
  <c r="J144" i="91"/>
  <c r="I149" i="91"/>
  <c r="H144" i="91"/>
  <c r="I142" i="91"/>
  <c r="H149" i="91"/>
  <c r="I155" i="91"/>
  <c r="J148" i="91"/>
  <c r="H147" i="91"/>
  <c r="G144" i="91"/>
  <c r="J157" i="91"/>
  <c r="I152" i="91"/>
  <c r="I157" i="91"/>
  <c r="I145" i="91"/>
  <c r="H152" i="91"/>
  <c r="H157" i="91"/>
  <c r="J154" i="91"/>
  <c r="J147" i="91"/>
  <c r="J143" i="91"/>
  <c r="G156" i="91"/>
  <c r="H154" i="91"/>
  <c r="I156" i="91"/>
  <c r="J156" i="91"/>
  <c r="J151" i="91"/>
  <c r="I150" i="91"/>
  <c r="H153" i="91"/>
  <c r="I151" i="91"/>
  <c r="H150" i="91"/>
  <c r="I153" i="91"/>
  <c r="J146" i="91"/>
  <c r="I143" i="91"/>
  <c r="J141" i="91"/>
  <c r="H148" i="91"/>
  <c r="I146" i="91"/>
  <c r="H143" i="91"/>
  <c r="I141" i="91"/>
  <c r="I148" i="91"/>
  <c r="G136" i="91"/>
  <c r="J132" i="91"/>
  <c r="J134" i="91"/>
  <c r="G132" i="91"/>
  <c r="H131" i="91"/>
  <c r="J130" i="91"/>
  <c r="J129" i="91"/>
  <c r="H128" i="91"/>
  <c r="H133" i="91"/>
  <c r="J128" i="91"/>
  <c r="J133" i="91"/>
  <c r="I128" i="91"/>
  <c r="J137" i="91"/>
  <c r="G126" i="91"/>
  <c r="J126" i="91"/>
  <c r="I130" i="91"/>
  <c r="J140" i="91"/>
  <c r="I126" i="91"/>
  <c r="J131" i="91"/>
  <c r="H130" i="91"/>
  <c r="I140" i="91"/>
  <c r="J139" i="91"/>
  <c r="I137" i="91"/>
  <c r="I131" i="91"/>
  <c r="H140" i="91"/>
  <c r="J138" i="91"/>
  <c r="I138" i="91"/>
  <c r="I139" i="91"/>
  <c r="H138" i="91"/>
  <c r="I136" i="91"/>
  <c r="J136" i="91"/>
  <c r="J135" i="91"/>
  <c r="I134" i="91"/>
  <c r="I129" i="91"/>
  <c r="I135" i="91"/>
  <c r="H134" i="91"/>
  <c r="I132" i="91"/>
  <c r="H129" i="91"/>
  <c r="I127" i="91"/>
  <c r="J127" i="91"/>
  <c r="I125" i="91"/>
  <c r="J125" i="91"/>
  <c r="J109" i="91"/>
  <c r="J108" i="91"/>
  <c r="I101" i="91"/>
  <c r="J100" i="91"/>
  <c r="H99" i="91"/>
  <c r="J104" i="91"/>
  <c r="J112" i="91"/>
  <c r="G104" i="91"/>
  <c r="J124" i="91"/>
  <c r="I124" i="91"/>
  <c r="G110" i="91"/>
  <c r="J117" i="91"/>
  <c r="G124" i="91"/>
  <c r="J101" i="91"/>
  <c r="H108" i="91"/>
  <c r="J113" i="91"/>
  <c r="H117" i="91"/>
  <c r="I119" i="91"/>
  <c r="J122" i="91"/>
  <c r="I105" i="91"/>
  <c r="H119" i="91"/>
  <c r="J118" i="91"/>
  <c r="I122" i="91"/>
  <c r="G101" i="91"/>
  <c r="J99" i="91"/>
  <c r="I104" i="91"/>
  <c r="I113" i="91"/>
  <c r="J110" i="91"/>
  <c r="J114" i="91"/>
  <c r="I99" i="91"/>
  <c r="I110" i="91"/>
  <c r="I114" i="91"/>
  <c r="G120" i="91"/>
  <c r="J119" i="91"/>
  <c r="G103" i="91"/>
  <c r="J102" i="91"/>
  <c r="H105" i="91"/>
  <c r="I108" i="91"/>
  <c r="G112" i="91"/>
  <c r="J111" i="91"/>
  <c r="G116" i="91"/>
  <c r="J115" i="91"/>
  <c r="H114" i="91"/>
  <c r="I118" i="91"/>
  <c r="H122" i="91"/>
  <c r="I102" i="91"/>
  <c r="I111" i="91"/>
  <c r="I115" i="91"/>
  <c r="H118" i="91"/>
  <c r="H102" i="91"/>
  <c r="G106" i="91"/>
  <c r="J105" i="91"/>
  <c r="H111" i="91"/>
  <c r="H115" i="91"/>
  <c r="J123" i="91"/>
  <c r="H123" i="91"/>
  <c r="I121" i="91"/>
  <c r="I123" i="91"/>
  <c r="J121" i="91"/>
  <c r="I120" i="91"/>
  <c r="J120" i="91"/>
  <c r="J116" i="91"/>
  <c r="I116" i="91"/>
  <c r="I112" i="91"/>
  <c r="I109" i="91"/>
  <c r="H109" i="91"/>
  <c r="I107" i="91"/>
  <c r="J107" i="91"/>
  <c r="J106" i="91"/>
  <c r="I106" i="91"/>
  <c r="J103" i="91"/>
  <c r="I100" i="91"/>
  <c r="I103" i="91"/>
  <c r="H100" i="91"/>
  <c r="I98" i="91"/>
  <c r="J98" i="91"/>
  <c r="H80" i="91"/>
  <c r="J97" i="91"/>
  <c r="G95" i="91"/>
  <c r="I97" i="91"/>
  <c r="H97" i="91"/>
  <c r="H83" i="91"/>
  <c r="G89" i="91"/>
  <c r="J94" i="91"/>
  <c r="J85" i="91"/>
  <c r="J89" i="91"/>
  <c r="G85" i="91"/>
  <c r="J91" i="91"/>
  <c r="H89" i="91"/>
  <c r="H93" i="91"/>
  <c r="J84" i="91"/>
  <c r="J81" i="91"/>
  <c r="G84" i="91"/>
  <c r="J83" i="91"/>
  <c r="G81" i="91"/>
  <c r="J80" i="91"/>
  <c r="I88" i="91"/>
  <c r="I96" i="91"/>
  <c r="J88" i="91"/>
  <c r="J96" i="91"/>
  <c r="H88" i="91"/>
  <c r="J87" i="91"/>
  <c r="G86" i="91"/>
  <c r="H96" i="91"/>
  <c r="J95" i="91"/>
  <c r="I84" i="91"/>
  <c r="G83" i="91"/>
  <c r="I81" i="91"/>
  <c r="G80" i="91"/>
  <c r="J86" i="91"/>
  <c r="I85" i="91"/>
  <c r="H90" i="91"/>
  <c r="G94" i="91"/>
  <c r="J93" i="91"/>
  <c r="I95" i="91"/>
  <c r="J90" i="91"/>
  <c r="I90" i="91"/>
  <c r="I86" i="91"/>
  <c r="I93" i="91"/>
  <c r="G92" i="91"/>
  <c r="I94" i="91"/>
  <c r="I92" i="91"/>
  <c r="J92" i="91"/>
  <c r="H91" i="91"/>
  <c r="I91" i="91"/>
  <c r="I87" i="91"/>
  <c r="H87" i="91"/>
  <c r="J82" i="91"/>
  <c r="I82" i="91"/>
  <c r="H82" i="91"/>
  <c r="G33" i="91"/>
  <c r="H67" i="91"/>
  <c r="G46" i="91"/>
  <c r="G53" i="91"/>
  <c r="J52" i="91"/>
  <c r="J51" i="91"/>
  <c r="G70" i="91"/>
  <c r="G78" i="91"/>
  <c r="G43" i="91"/>
  <c r="G50" i="91"/>
  <c r="H70" i="91"/>
  <c r="G51" i="91"/>
  <c r="H54" i="91"/>
  <c r="G31" i="91"/>
  <c r="J56" i="91"/>
  <c r="G54" i="91"/>
  <c r="J61" i="91"/>
  <c r="H60" i="91"/>
  <c r="J66" i="91"/>
  <c r="J58" i="91"/>
  <c r="J67" i="91"/>
  <c r="J43" i="91"/>
  <c r="H58" i="91"/>
  <c r="I67" i="91"/>
  <c r="H35" i="91"/>
  <c r="J42" i="91"/>
  <c r="J40" i="91"/>
  <c r="J47" i="91"/>
  <c r="H63" i="91"/>
  <c r="H34" i="91"/>
  <c r="J31" i="91"/>
  <c r="H29" i="91"/>
  <c r="G28" i="91"/>
  <c r="G42" i="91"/>
  <c r="J41" i="91"/>
  <c r="G40" i="91"/>
  <c r="G39" i="91"/>
  <c r="J38" i="91"/>
  <c r="J37" i="91"/>
  <c r="G47" i="91"/>
  <c r="J46" i="91"/>
  <c r="J54" i="91"/>
  <c r="J70" i="91"/>
  <c r="J77" i="91"/>
  <c r="I77" i="91"/>
  <c r="I40" i="91"/>
  <c r="J50" i="91"/>
  <c r="I47" i="91"/>
  <c r="J53" i="91"/>
  <c r="H56" i="91"/>
  <c r="G66" i="91"/>
  <c r="J72" i="91"/>
  <c r="J71" i="91"/>
  <c r="H77" i="91"/>
  <c r="I79" i="91"/>
  <c r="I56" i="91"/>
  <c r="I35" i="91"/>
  <c r="H50" i="91"/>
  <c r="H53" i="91"/>
  <c r="G71" i="91"/>
  <c r="G76" i="91"/>
  <c r="H75" i="91"/>
  <c r="J74" i="91"/>
  <c r="H79" i="91"/>
  <c r="I37" i="91"/>
  <c r="J57" i="91"/>
  <c r="I74" i="91"/>
  <c r="G35" i="91"/>
  <c r="I43" i="91"/>
  <c r="H37" i="91"/>
  <c r="I51" i="91"/>
  <c r="I57" i="91"/>
  <c r="J55" i="91"/>
  <c r="J60" i="91"/>
  <c r="J65" i="91"/>
  <c r="J63" i="91"/>
  <c r="I71" i="91"/>
  <c r="J75" i="91"/>
  <c r="H74" i="91"/>
  <c r="J34" i="91"/>
  <c r="G45" i="91"/>
  <c r="J44" i="91"/>
  <c r="G36" i="91"/>
  <c r="G49" i="91"/>
  <c r="J48" i="91"/>
  <c r="G57" i="91"/>
  <c r="H55" i="91"/>
  <c r="I60" i="91"/>
  <c r="G59" i="91"/>
  <c r="G65" i="91"/>
  <c r="I63" i="91"/>
  <c r="G62" i="91"/>
  <c r="G69" i="91"/>
  <c r="J68" i="91"/>
  <c r="I75" i="91"/>
  <c r="G73" i="91"/>
  <c r="J79" i="91"/>
  <c r="I78" i="91"/>
  <c r="J78" i="91"/>
  <c r="I76" i="91"/>
  <c r="I73" i="91"/>
  <c r="J76" i="91"/>
  <c r="J73" i="91"/>
  <c r="H72" i="91"/>
  <c r="I72" i="91"/>
  <c r="J69" i="91"/>
  <c r="I68" i="91"/>
  <c r="I69" i="91"/>
  <c r="H68" i="91"/>
  <c r="I66" i="91"/>
  <c r="I64" i="91"/>
  <c r="I65" i="91"/>
  <c r="H64" i="91"/>
  <c r="I62" i="91"/>
  <c r="J64" i="91"/>
  <c r="J62" i="91"/>
  <c r="H61" i="91"/>
  <c r="I59" i="91"/>
  <c r="I61" i="91"/>
  <c r="J59" i="91"/>
  <c r="G58" i="91"/>
  <c r="G55" i="91"/>
  <c r="H52" i="91"/>
  <c r="G52" i="91"/>
  <c r="J49" i="91"/>
  <c r="I49" i="91"/>
  <c r="H48" i="91"/>
  <c r="I46" i="91"/>
  <c r="I48" i="91"/>
  <c r="J45" i="91"/>
  <c r="I44" i="91"/>
  <c r="I45" i="91"/>
  <c r="H44" i="91"/>
  <c r="I42" i="91"/>
  <c r="H41" i="91"/>
  <c r="I39" i="91"/>
  <c r="H38" i="91"/>
  <c r="I36" i="91"/>
  <c r="I41" i="91"/>
  <c r="J39" i="91"/>
  <c r="I38" i="91"/>
  <c r="J36" i="91"/>
  <c r="H27" i="91"/>
  <c r="J27" i="91"/>
  <c r="I32" i="91"/>
  <c r="G27" i="91"/>
  <c r="J32" i="91"/>
  <c r="H32" i="91"/>
  <c r="J30" i="91"/>
  <c r="J29" i="91"/>
  <c r="J33" i="91"/>
  <c r="H30" i="91"/>
  <c r="I28" i="91"/>
  <c r="I30" i="91"/>
  <c r="J28" i="91"/>
  <c r="G26" i="91"/>
  <c r="G25" i="91"/>
  <c r="J25" i="91"/>
  <c r="I25" i="91"/>
  <c r="H19" i="91"/>
  <c r="J23" i="91"/>
  <c r="J22" i="91"/>
  <c r="J21" i="91"/>
  <c r="G21" i="91"/>
  <c r="J18" i="91"/>
  <c r="J24" i="91"/>
  <c r="I22" i="91"/>
  <c r="G16" i="91"/>
  <c r="H24" i="91"/>
  <c r="H22" i="91"/>
  <c r="J20" i="91"/>
  <c r="J19" i="91"/>
  <c r="H18" i="91"/>
  <c r="I18" i="91"/>
  <c r="G24" i="91"/>
  <c r="I19" i="91"/>
  <c r="J26" i="91"/>
  <c r="I26" i="91"/>
  <c r="H23" i="91"/>
  <c r="H20" i="91"/>
  <c r="I23" i="91"/>
  <c r="I20" i="91"/>
  <c r="J9" i="91"/>
  <c r="G9" i="91"/>
  <c r="J6" i="91"/>
  <c r="G7" i="91"/>
  <c r="G6" i="91"/>
  <c r="J17" i="91"/>
  <c r="J14" i="91"/>
  <c r="J13" i="91"/>
  <c r="H12" i="91"/>
  <c r="H4" i="91"/>
  <c r="G3" i="91"/>
  <c r="G12" i="91"/>
  <c r="J11" i="91"/>
  <c r="J10" i="91"/>
  <c r="G17" i="91"/>
  <c r="G10" i="91"/>
  <c r="J16" i="91"/>
  <c r="J7" i="91"/>
  <c r="H13" i="91"/>
  <c r="I10" i="91"/>
  <c r="I7" i="91"/>
  <c r="I17" i="91"/>
  <c r="I16" i="91"/>
  <c r="J15" i="91"/>
  <c r="I13" i="91"/>
  <c r="H15" i="91"/>
  <c r="G15" i="91"/>
  <c r="J12" i="91"/>
  <c r="J8" i="91"/>
  <c r="I14" i="91"/>
  <c r="I11" i="91"/>
  <c r="H11" i="91"/>
  <c r="H8" i="91"/>
  <c r="I6" i="91"/>
  <c r="I8" i="91"/>
  <c r="H14" i="91"/>
  <c r="J5" i="91"/>
  <c r="J4" i="91"/>
  <c r="I4" i="91"/>
  <c r="J3" i="91"/>
  <c r="H5" i="91"/>
  <c r="I3" i="91"/>
  <c r="I5" i="91"/>
  <c r="E981" i="91" l="1"/>
  <c r="E978" i="91"/>
  <c r="E975" i="91"/>
  <c r="E977" i="91"/>
  <c r="E980" i="91"/>
  <c r="E979" i="91"/>
  <c r="I979" i="91" s="1"/>
  <c r="E976" i="91"/>
  <c r="I976" i="91" s="1"/>
  <c r="E639" i="91" l="1"/>
  <c r="E638" i="91"/>
  <c r="E637" i="91"/>
  <c r="E636" i="91"/>
  <c r="I636" i="91" s="1"/>
  <c r="E635" i="91"/>
  <c r="E634" i="91"/>
  <c r="E633" i="91"/>
  <c r="E632" i="91"/>
  <c r="E631" i="91"/>
  <c r="E630" i="91"/>
  <c r="E629" i="91"/>
  <c r="R24" i="266"/>
  <c r="E34" i="91" s="1"/>
  <c r="G34" i="91" s="1"/>
  <c r="L33" i="591" l="1"/>
  <c r="L31" i="591"/>
  <c r="L29" i="591"/>
  <c r="L27" i="591"/>
  <c r="L25" i="591"/>
  <c r="L23" i="591"/>
  <c r="L21" i="591"/>
  <c r="L19" i="591"/>
  <c r="AA19" i="591" s="1"/>
  <c r="L18" i="591"/>
  <c r="AA18" i="591" s="1"/>
  <c r="L16" i="591"/>
  <c r="AA16" i="591" s="1"/>
  <c r="L15" i="591"/>
  <c r="AA15" i="591" s="1"/>
  <c r="L14" i="591"/>
  <c r="AA14" i="591" s="1"/>
  <c r="H33" i="591"/>
  <c r="H31" i="591"/>
  <c r="H29" i="591"/>
  <c r="H27" i="591"/>
  <c r="H25" i="591"/>
  <c r="H23" i="591"/>
  <c r="H21" i="591"/>
  <c r="H19" i="591"/>
  <c r="H18" i="591"/>
  <c r="H16" i="591"/>
  <c r="H15" i="591"/>
  <c r="H14" i="591"/>
  <c r="V27" i="591" l="1"/>
  <c r="Y27" i="591"/>
  <c r="V21" i="591"/>
  <c r="Y21" i="591"/>
  <c r="V29" i="591"/>
  <c r="Y29" i="591"/>
  <c r="V16" i="591"/>
  <c r="Y16" i="591"/>
  <c r="V23" i="591"/>
  <c r="Y23" i="591"/>
  <c r="V31" i="591"/>
  <c r="Y31" i="591"/>
  <c r="V19" i="591"/>
  <c r="Y19" i="591"/>
  <c r="V25" i="591"/>
  <c r="Y25" i="591"/>
  <c r="V33" i="591"/>
  <c r="Y33" i="591"/>
  <c r="AA21" i="591"/>
  <c r="AA22" i="591" s="1"/>
  <c r="AA29" i="591"/>
  <c r="AA23" i="591"/>
  <c r="AB23" i="591" s="1"/>
  <c r="AA31" i="591"/>
  <c r="AA32" i="591" s="1"/>
  <c r="AA25" i="591"/>
  <c r="AB25" i="591" s="1"/>
  <c r="AA33" i="591"/>
  <c r="AA34" i="591" s="1"/>
  <c r="AA27" i="591"/>
  <c r="AA28" i="591" s="1"/>
  <c r="AA20" i="591"/>
  <c r="AA17" i="591"/>
  <c r="H28" i="591"/>
  <c r="S27" i="591"/>
  <c r="P27" i="591"/>
  <c r="H30" i="591"/>
  <c r="S29" i="591"/>
  <c r="P29" i="591"/>
  <c r="L20" i="591"/>
  <c r="E974" i="91"/>
  <c r="H32" i="591"/>
  <c r="S31" i="591"/>
  <c r="P31" i="591"/>
  <c r="E963" i="91"/>
  <c r="E967" i="91"/>
  <c r="AB19" i="591"/>
  <c r="E971" i="91"/>
  <c r="S19" i="591"/>
  <c r="P19" i="591"/>
  <c r="E965" i="91"/>
  <c r="AB16" i="591"/>
  <c r="E969" i="91"/>
  <c r="H22" i="591"/>
  <c r="S21" i="591"/>
  <c r="P21" i="591"/>
  <c r="E970" i="91"/>
  <c r="G970" i="91" s="1"/>
  <c r="S16" i="591"/>
  <c r="P16" i="591"/>
  <c r="H24" i="591"/>
  <c r="S23" i="591"/>
  <c r="P23" i="591"/>
  <c r="H26" i="591"/>
  <c r="S25" i="591"/>
  <c r="P25" i="591"/>
  <c r="H34" i="591"/>
  <c r="S33" i="591"/>
  <c r="P33" i="591"/>
  <c r="E964" i="91"/>
  <c r="E968" i="91"/>
  <c r="E972" i="91"/>
  <c r="H20" i="591"/>
  <c r="E973" i="91"/>
  <c r="M21" i="591"/>
  <c r="M29" i="591"/>
  <c r="L26" i="591"/>
  <c r="L34" i="591"/>
  <c r="M23" i="591"/>
  <c r="M31" i="591"/>
  <c r="L28" i="591"/>
  <c r="E966" i="91"/>
  <c r="M16" i="591"/>
  <c r="M25" i="591"/>
  <c r="M33" i="591"/>
  <c r="L22" i="591"/>
  <c r="L30" i="591"/>
  <c r="M19" i="591"/>
  <c r="M27" i="591"/>
  <c r="L17" i="591"/>
  <c r="L24" i="591"/>
  <c r="L32" i="591"/>
  <c r="H17" i="591"/>
  <c r="AB31" i="591" l="1"/>
  <c r="AB33" i="591"/>
  <c r="AB21" i="591"/>
  <c r="AA30" i="591"/>
  <c r="AB29" i="591"/>
  <c r="AB27" i="591"/>
  <c r="V28" i="591"/>
  <c r="Y28" i="591"/>
  <c r="AA26" i="591"/>
  <c r="AA24" i="591"/>
  <c r="V22" i="591"/>
  <c r="Y22" i="591"/>
  <c r="V30" i="591"/>
  <c r="Y30" i="591"/>
  <c r="V17" i="591"/>
  <c r="Y17" i="591"/>
  <c r="V26" i="591"/>
  <c r="Y26" i="591"/>
  <c r="V32" i="591"/>
  <c r="Y32" i="591"/>
  <c r="V20" i="591"/>
  <c r="Y20" i="591"/>
  <c r="V34" i="591"/>
  <c r="Y34" i="591"/>
  <c r="V24" i="591"/>
  <c r="Y24" i="591"/>
  <c r="AB20" i="591"/>
  <c r="S26" i="591"/>
  <c r="P26" i="591"/>
  <c r="S30" i="591"/>
  <c r="P30" i="591"/>
  <c r="AB22" i="591"/>
  <c r="S22" i="591"/>
  <c r="P22" i="591"/>
  <c r="M20" i="591"/>
  <c r="S20" i="591"/>
  <c r="P20" i="591"/>
  <c r="S34" i="591"/>
  <c r="P34" i="591"/>
  <c r="S32" i="591"/>
  <c r="P32" i="591"/>
  <c r="H35" i="591"/>
  <c r="Y39" i="591" s="1"/>
  <c r="Y48" i="591" s="1"/>
  <c r="E32" i="765" s="1"/>
  <c r="S17" i="591"/>
  <c r="P17" i="591"/>
  <c r="S24" i="591"/>
  <c r="P24" i="591"/>
  <c r="S28" i="591"/>
  <c r="P28" i="591"/>
  <c r="E961" i="91"/>
  <c r="M22" i="591"/>
  <c r="AB17" i="591"/>
  <c r="M17" i="591"/>
  <c r="E962" i="91"/>
  <c r="E960" i="91"/>
  <c r="H960" i="91" s="1"/>
  <c r="L35" i="591"/>
  <c r="M24" i="591"/>
  <c r="E957" i="91"/>
  <c r="E955" i="91"/>
  <c r="E954" i="91"/>
  <c r="E952" i="91"/>
  <c r="E951" i="91"/>
  <c r="E953" i="91"/>
  <c r="G953" i="91" s="1"/>
  <c r="AA35" i="591" l="1"/>
  <c r="AB24" i="591"/>
  <c r="U44" i="591"/>
  <c r="U49" i="591" s="1"/>
  <c r="X44" i="591"/>
  <c r="O83" i="261"/>
  <c r="S39" i="591"/>
  <c r="Y46" i="591" s="1"/>
  <c r="E30" i="765" s="1"/>
  <c r="V39" i="591"/>
  <c r="Y47" i="591" s="1"/>
  <c r="E31" i="765" s="1"/>
  <c r="H83" i="261"/>
  <c r="G9" i="765" s="1"/>
  <c r="P35" i="591"/>
  <c r="Y45" i="591" s="1"/>
  <c r="E29" i="765" s="1"/>
  <c r="H37" i="591"/>
  <c r="K83" i="261" s="1"/>
  <c r="R44" i="591"/>
  <c r="O44" i="591"/>
  <c r="O49" i="591" s="1"/>
  <c r="E959" i="91"/>
  <c r="G959" i="91" s="1"/>
  <c r="L37" i="591"/>
  <c r="M35" i="591"/>
  <c r="Y44" i="591" s="1"/>
  <c r="E28" i="765" s="1"/>
  <c r="E34" i="765" s="1"/>
  <c r="L44" i="591"/>
  <c r="E956" i="91"/>
  <c r="G956" i="91" s="1"/>
  <c r="E958" i="91"/>
  <c r="M26" i="591"/>
  <c r="E950" i="91"/>
  <c r="G950" i="91" s="1"/>
  <c r="E949" i="91"/>
  <c r="E948" i="91"/>
  <c r="G948" i="91" s="1"/>
  <c r="E947" i="91"/>
  <c r="E946" i="91"/>
  <c r="E945" i="91"/>
  <c r="E944" i="91"/>
  <c r="E943" i="91"/>
  <c r="X49" i="591" l="1"/>
  <c r="C28" i="765"/>
  <c r="C34" i="765" s="1"/>
  <c r="Y49" i="591"/>
  <c r="V45" i="591"/>
  <c r="V44" i="591"/>
  <c r="V46" i="591"/>
  <c r="V47" i="591"/>
  <c r="R49" i="591"/>
  <c r="S45" i="591"/>
  <c r="S44" i="591"/>
  <c r="P44" i="591"/>
  <c r="P45" i="591"/>
  <c r="S46" i="591"/>
  <c r="H40" i="591"/>
  <c r="L83" i="261" s="1"/>
  <c r="L40" i="591"/>
  <c r="L49" i="591"/>
  <c r="M44" i="591"/>
  <c r="AB26" i="591"/>
  <c r="AB28" i="591"/>
  <c r="M28" i="591"/>
  <c r="V49" i="591" l="1"/>
  <c r="H41" i="591"/>
  <c r="M83" i="261" s="1"/>
  <c r="P49" i="591"/>
  <c r="S49" i="591"/>
  <c r="M49" i="591"/>
  <c r="L41" i="591"/>
  <c r="M30" i="591"/>
  <c r="AB30" i="591" l="1"/>
  <c r="M32" i="591"/>
  <c r="AB32" i="591"/>
  <c r="M34" i="591" l="1"/>
  <c r="AB34" i="591"/>
  <c r="AA37" i="591" l="1"/>
  <c r="E941" i="91"/>
  <c r="AA39" i="591" l="1"/>
  <c r="AB39" i="591" s="1"/>
  <c r="E942" i="91"/>
  <c r="G942" i="91" s="1"/>
  <c r="AA40" i="591" l="1"/>
  <c r="AA41" i="591" s="1"/>
  <c r="E939" i="91"/>
  <c r="E937" i="91"/>
  <c r="E935" i="91"/>
  <c r="E938" i="91" l="1"/>
  <c r="G938" i="91" s="1"/>
  <c r="E936" i="91"/>
  <c r="G936" i="91" s="1"/>
  <c r="E940" i="91"/>
  <c r="G940" i="91" s="1"/>
  <c r="E933" i="91" l="1"/>
  <c r="H933" i="91" s="1"/>
  <c r="E932" i="91" l="1"/>
  <c r="E931" i="91"/>
  <c r="H931" i="91" s="1"/>
  <c r="E713" i="91"/>
  <c r="E708" i="91"/>
  <c r="E420" i="91"/>
  <c r="E419" i="91"/>
  <c r="E418" i="91"/>
  <c r="J418" i="91" s="1"/>
  <c r="E701" i="91" l="1"/>
  <c r="E703" i="91"/>
  <c r="E705" i="91"/>
  <c r="E715" i="91"/>
  <c r="E717" i="91"/>
  <c r="E719" i="91"/>
  <c r="E721" i="91"/>
  <c r="E707" i="91"/>
  <c r="E710" i="91"/>
  <c r="G710" i="91" s="1"/>
  <c r="E712" i="91"/>
  <c r="E702" i="91"/>
  <c r="E704" i="91"/>
  <c r="E714" i="91"/>
  <c r="E716" i="91"/>
  <c r="E718" i="91"/>
  <c r="E720" i="91"/>
  <c r="E722" i="91"/>
  <c r="E700" i="91"/>
  <c r="E706" i="91"/>
  <c r="E709" i="91"/>
  <c r="E711" i="91"/>
  <c r="E347" i="91" l="1"/>
  <c r="E345" i="91"/>
  <c r="E344" i="91"/>
  <c r="E343" i="91"/>
  <c r="I343" i="91" s="1"/>
  <c r="E342" i="91"/>
  <c r="E341" i="91"/>
  <c r="E340" i="91"/>
  <c r="E339" i="91"/>
  <c r="E338" i="91"/>
  <c r="E337" i="91"/>
  <c r="E336" i="91"/>
  <c r="E346" i="91" l="1"/>
  <c r="I346" i="91" s="1"/>
  <c r="E307" i="91" l="1"/>
  <c r="H307" i="91" s="1"/>
  <c r="E308" i="91"/>
  <c r="H308" i="91" s="1"/>
  <c r="E309" i="91"/>
  <c r="G309" i="91" s="1"/>
  <c r="E302" i="91"/>
  <c r="H302" i="91" s="1"/>
  <c r="E300" i="91"/>
  <c r="H300" i="91" s="1"/>
  <c r="E282" i="91"/>
  <c r="H282" i="91" s="1"/>
  <c r="E277" i="91"/>
  <c r="H277" i="91" s="1"/>
  <c r="E273" i="91"/>
  <c r="H273" i="91" s="1"/>
  <c r="E268" i="91"/>
  <c r="H268" i="91" s="1"/>
  <c r="E264" i="91"/>
  <c r="H264" i="91" s="1"/>
  <c r="R23" i="266"/>
  <c r="E33" i="91" s="1"/>
  <c r="I33" i="91" s="1"/>
  <c r="R21" i="266"/>
  <c r="E32" i="91" s="1"/>
  <c r="G32" i="91" s="1"/>
  <c r="R20" i="266"/>
  <c r="E31" i="91" s="1"/>
  <c r="I31" i="91" s="1"/>
  <c r="R18" i="266"/>
  <c r="E30" i="91" s="1"/>
  <c r="R17" i="266"/>
  <c r="E29" i="91" s="1"/>
  <c r="I29" i="91" s="1"/>
  <c r="R15" i="266"/>
  <c r="E28" i="91" s="1"/>
  <c r="R14" i="266"/>
  <c r="E27" i="91" s="1"/>
  <c r="I27" i="91" s="1"/>
  <c r="E934" i="91" l="1"/>
  <c r="H934" i="91" s="1"/>
  <c r="L14" i="575" l="1"/>
  <c r="J14" i="575"/>
  <c r="M14" i="575" s="1"/>
  <c r="G14" i="575"/>
  <c r="N14" i="575" l="1"/>
  <c r="J15" i="575"/>
  <c r="J16" i="575" s="1"/>
  <c r="G15" i="575"/>
  <c r="G16" i="575" s="1"/>
  <c r="K14" i="575"/>
  <c r="G18" i="575" l="1"/>
  <c r="J26" i="575"/>
  <c r="J27" i="575" s="1"/>
  <c r="J18" i="575"/>
  <c r="J19" i="575" s="1"/>
  <c r="M15" i="575"/>
  <c r="K15" i="575"/>
  <c r="L16" i="573"/>
  <c r="U16" i="573" s="1"/>
  <c r="L14" i="573"/>
  <c r="U14" i="573" s="1"/>
  <c r="H16" i="573"/>
  <c r="P16" i="573" s="1"/>
  <c r="H14" i="573"/>
  <c r="P14" i="573" s="1"/>
  <c r="U15" i="573" l="1"/>
  <c r="V14" i="573"/>
  <c r="V16" i="573"/>
  <c r="U17" i="573"/>
  <c r="H17" i="573"/>
  <c r="P17" i="573" s="1"/>
  <c r="M16" i="573"/>
  <c r="G21" i="575"/>
  <c r="J20" i="575"/>
  <c r="K20" i="575" s="1"/>
  <c r="M19" i="575"/>
  <c r="H15" i="573"/>
  <c r="P15" i="573" s="1"/>
  <c r="L15" i="573"/>
  <c r="N15" i="575"/>
  <c r="M16" i="575"/>
  <c r="M14" i="573"/>
  <c r="L17" i="573"/>
  <c r="L18" i="573" s="1"/>
  <c r="E928" i="91"/>
  <c r="H19" i="573" l="1"/>
  <c r="I67" i="261" s="1"/>
  <c r="K26" i="575"/>
  <c r="K27" i="575" s="1"/>
  <c r="G22" i="575"/>
  <c r="H18" i="573"/>
  <c r="J21" i="575"/>
  <c r="V17" i="573"/>
  <c r="M17" i="573"/>
  <c r="E929" i="91"/>
  <c r="E930" i="91"/>
  <c r="G930" i="91" s="1"/>
  <c r="M18" i="575"/>
  <c r="M20" i="575" s="1"/>
  <c r="M15" i="573"/>
  <c r="L19" i="573"/>
  <c r="L18" i="571"/>
  <c r="X18" i="571" s="1"/>
  <c r="L17" i="571"/>
  <c r="X17" i="571" s="1"/>
  <c r="L15" i="571"/>
  <c r="X15" i="571" s="1"/>
  <c r="L14" i="571"/>
  <c r="X14" i="571" s="1"/>
  <c r="H18" i="571"/>
  <c r="V18" i="571" s="1"/>
  <c r="H17" i="571"/>
  <c r="V17" i="571" s="1"/>
  <c r="H15" i="571"/>
  <c r="V15" i="571" s="1"/>
  <c r="H14" i="571"/>
  <c r="X19" i="571" l="1"/>
  <c r="P14" i="571"/>
  <c r="V14" i="571"/>
  <c r="X16" i="571"/>
  <c r="P15" i="571"/>
  <c r="S15" i="571"/>
  <c r="P17" i="571"/>
  <c r="S14" i="571"/>
  <c r="S17" i="571"/>
  <c r="P18" i="571"/>
  <c r="S18" i="571"/>
  <c r="M21" i="575"/>
  <c r="M22" i="575" s="1"/>
  <c r="N20" i="575"/>
  <c r="J22" i="575"/>
  <c r="M18" i="571"/>
  <c r="Y18" i="571"/>
  <c r="M15" i="571"/>
  <c r="Y15" i="571"/>
  <c r="M17" i="571"/>
  <c r="Y17" i="571"/>
  <c r="H20" i="573"/>
  <c r="H67" i="261"/>
  <c r="G9" i="738" s="1"/>
  <c r="L20" i="573"/>
  <c r="L21" i="573" s="1"/>
  <c r="U21" i="573" s="1"/>
  <c r="L16" i="571"/>
  <c r="V15" i="573"/>
  <c r="U19" i="573"/>
  <c r="H19" i="571"/>
  <c r="V19" i="571" s="1"/>
  <c r="L19" i="571"/>
  <c r="M14" i="571"/>
  <c r="U18" i="573"/>
  <c r="Y14" i="571"/>
  <c r="H16" i="571"/>
  <c r="V16" i="571" s="1"/>
  <c r="L22" i="570"/>
  <c r="X22" i="570" s="1"/>
  <c r="L21" i="570"/>
  <c r="X21" i="570" s="1"/>
  <c r="L19" i="570"/>
  <c r="X19" i="570" s="1"/>
  <c r="L18" i="570"/>
  <c r="X18" i="570" s="1"/>
  <c r="L16" i="570"/>
  <c r="X16" i="570" s="1"/>
  <c r="L15" i="570"/>
  <c r="X15" i="570" s="1"/>
  <c r="L14" i="570"/>
  <c r="X14" i="570" s="1"/>
  <c r="H22" i="570"/>
  <c r="H21" i="570"/>
  <c r="S21" i="570" s="1"/>
  <c r="H19" i="570"/>
  <c r="H18" i="570"/>
  <c r="S18" i="570" s="1"/>
  <c r="H16" i="570"/>
  <c r="H15" i="570"/>
  <c r="S15" i="570" s="1"/>
  <c r="H14" i="570"/>
  <c r="S14" i="570" s="1"/>
  <c r="P22" i="573" l="1"/>
  <c r="S29" i="573" s="1"/>
  <c r="E29" i="738" s="1"/>
  <c r="S22" i="573"/>
  <c r="Y19" i="571"/>
  <c r="Y16" i="571"/>
  <c r="P29" i="573"/>
  <c r="S16" i="571"/>
  <c r="P16" i="570"/>
  <c r="S16" i="570"/>
  <c r="P19" i="571"/>
  <c r="S19" i="571"/>
  <c r="P19" i="570"/>
  <c r="S19" i="570"/>
  <c r="P22" i="570"/>
  <c r="S22" i="570"/>
  <c r="H21" i="571"/>
  <c r="I66" i="261" s="1"/>
  <c r="Y19" i="570"/>
  <c r="K67" i="261"/>
  <c r="H23" i="573"/>
  <c r="Y21" i="570"/>
  <c r="P21" i="570"/>
  <c r="M19" i="571"/>
  <c r="X20" i="571"/>
  <c r="Y16" i="570"/>
  <c r="Y22" i="570"/>
  <c r="L22" i="573"/>
  <c r="R28" i="573" s="1"/>
  <c r="M14" i="570"/>
  <c r="P14" i="570"/>
  <c r="M15" i="570"/>
  <c r="Y15" i="570"/>
  <c r="P15" i="570"/>
  <c r="Y18" i="570"/>
  <c r="P18" i="570"/>
  <c r="P16" i="571"/>
  <c r="L21" i="571"/>
  <c r="X21" i="571" s="1"/>
  <c r="L20" i="571"/>
  <c r="L20" i="570"/>
  <c r="X20" i="570" s="1"/>
  <c r="H23" i="570"/>
  <c r="M22" i="570"/>
  <c r="H20" i="571"/>
  <c r="L23" i="570"/>
  <c r="X23" i="570" s="1"/>
  <c r="U20" i="573"/>
  <c r="M16" i="571"/>
  <c r="H20" i="570"/>
  <c r="M21" i="570"/>
  <c r="H17" i="570"/>
  <c r="M18" i="570"/>
  <c r="M19" i="570"/>
  <c r="L17" i="570"/>
  <c r="X17" i="570" s="1"/>
  <c r="M16" i="570"/>
  <c r="L18" i="569"/>
  <c r="AA18" i="569" s="1"/>
  <c r="L17" i="569"/>
  <c r="AA17" i="569" s="1"/>
  <c r="L15" i="569"/>
  <c r="AA15" i="569" s="1"/>
  <c r="L14" i="569"/>
  <c r="AA14" i="569" s="1"/>
  <c r="H18" i="569"/>
  <c r="V18" i="569" s="1"/>
  <c r="H17" i="569"/>
  <c r="H15" i="569"/>
  <c r="V15" i="569" s="1"/>
  <c r="H14" i="569"/>
  <c r="V14" i="569" s="1"/>
  <c r="S30" i="573" l="1"/>
  <c r="O67" i="261"/>
  <c r="C28" i="738"/>
  <c r="C34" i="738" s="1"/>
  <c r="R31" i="573"/>
  <c r="P17" i="569"/>
  <c r="V17" i="569"/>
  <c r="V17" i="570"/>
  <c r="O28" i="573"/>
  <c r="O30" i="573" s="1"/>
  <c r="M22" i="573"/>
  <c r="Y23" i="570"/>
  <c r="V23" i="570"/>
  <c r="V20" i="570"/>
  <c r="P18" i="569"/>
  <c r="S18" i="569"/>
  <c r="P14" i="569"/>
  <c r="S17" i="569"/>
  <c r="S14" i="569"/>
  <c r="S17" i="570"/>
  <c r="P17" i="570"/>
  <c r="P15" i="569"/>
  <c r="S15" i="569"/>
  <c r="S23" i="570"/>
  <c r="P23" i="570"/>
  <c r="S20" i="570"/>
  <c r="P20" i="570"/>
  <c r="U22" i="573"/>
  <c r="V22" i="573" s="1"/>
  <c r="H25" i="570"/>
  <c r="I65" i="261" s="1"/>
  <c r="L28" i="573"/>
  <c r="L21" i="569"/>
  <c r="AA21" i="569" s="1"/>
  <c r="H24" i="570"/>
  <c r="H65" i="261" s="1"/>
  <c r="G9" i="736" s="1"/>
  <c r="M23" i="570"/>
  <c r="M20" i="570"/>
  <c r="M17" i="569"/>
  <c r="AB17" i="569"/>
  <c r="H24" i="573"/>
  <c r="M67" i="261" s="1"/>
  <c r="L67" i="261"/>
  <c r="M18" i="569"/>
  <c r="AB18" i="569"/>
  <c r="H22" i="571"/>
  <c r="V24" i="571" s="1"/>
  <c r="H66" i="261"/>
  <c r="G9" i="737" s="1"/>
  <c r="L23" i="573"/>
  <c r="M15" i="569"/>
  <c r="Y20" i="570"/>
  <c r="X22" i="571"/>
  <c r="X24" i="571" s="1"/>
  <c r="L22" i="571"/>
  <c r="U29" i="571" s="1"/>
  <c r="L24" i="570"/>
  <c r="L19" i="569"/>
  <c r="AA19" i="569" s="1"/>
  <c r="M14" i="569"/>
  <c r="Y14" i="570"/>
  <c r="H16" i="569"/>
  <c r="V16" i="569" s="1"/>
  <c r="H19" i="569"/>
  <c r="V19" i="569" s="1"/>
  <c r="L25" i="570"/>
  <c r="X25" i="570" s="1"/>
  <c r="M17" i="570"/>
  <c r="L16" i="569"/>
  <c r="AA16" i="569" s="1"/>
  <c r="L18" i="568"/>
  <c r="X18" i="568" s="1"/>
  <c r="L17" i="568"/>
  <c r="X17" i="568" s="1"/>
  <c r="L15" i="568"/>
  <c r="X15" i="568" s="1"/>
  <c r="L14" i="568"/>
  <c r="X14" i="568" s="1"/>
  <c r="U34" i="570" l="1"/>
  <c r="M24" i="570"/>
  <c r="V34" i="570" s="1"/>
  <c r="E28" i="736" s="1"/>
  <c r="U33" i="571"/>
  <c r="C28" i="737"/>
  <c r="C34" i="737" s="1"/>
  <c r="Y24" i="571"/>
  <c r="E30" i="738"/>
  <c r="P28" i="573"/>
  <c r="P30" i="573" s="1"/>
  <c r="S28" i="573"/>
  <c r="E28" i="738" s="1"/>
  <c r="AA20" i="569"/>
  <c r="AA22" i="569" s="1"/>
  <c r="AA24" i="569" s="1"/>
  <c r="O66" i="261"/>
  <c r="V32" i="571"/>
  <c r="E31" i="737" s="1"/>
  <c r="S16" i="569"/>
  <c r="U23" i="573"/>
  <c r="U24" i="573" s="1"/>
  <c r="O34" i="570"/>
  <c r="O36" i="570" s="1"/>
  <c r="R34" i="570"/>
  <c r="O29" i="571"/>
  <c r="O31" i="571" s="1"/>
  <c r="R29" i="571"/>
  <c r="P24" i="571"/>
  <c r="V30" i="571" s="1"/>
  <c r="E29" i="737" s="1"/>
  <c r="S24" i="571"/>
  <c r="V31" i="571" s="1"/>
  <c r="E30" i="737" s="1"/>
  <c r="P19" i="569"/>
  <c r="S19" i="569"/>
  <c r="M28" i="573"/>
  <c r="L30" i="573"/>
  <c r="P16" i="569"/>
  <c r="H21" i="569"/>
  <c r="AB15" i="569"/>
  <c r="X25" i="571"/>
  <c r="X26" i="571" s="1"/>
  <c r="L26" i="570"/>
  <c r="L34" i="570"/>
  <c r="L36" i="570" s="1"/>
  <c r="X24" i="570"/>
  <c r="K66" i="261"/>
  <c r="H25" i="571"/>
  <c r="L24" i="573"/>
  <c r="H26" i="570"/>
  <c r="H20" i="569"/>
  <c r="S34" i="570"/>
  <c r="AB19" i="569"/>
  <c r="M22" i="571"/>
  <c r="L29" i="571"/>
  <c r="L31" i="571" s="1"/>
  <c r="L25" i="571"/>
  <c r="L26" i="571" s="1"/>
  <c r="L20" i="569"/>
  <c r="L16" i="568"/>
  <c r="X16" i="568" s="1"/>
  <c r="L19" i="568"/>
  <c r="X19" i="568" s="1"/>
  <c r="M19" i="569"/>
  <c r="AB14" i="569"/>
  <c r="AB16" i="569"/>
  <c r="M16" i="569"/>
  <c r="Y17" i="570"/>
  <c r="H18" i="568"/>
  <c r="S18" i="568" s="1"/>
  <c r="H17" i="568"/>
  <c r="S17" i="568" s="1"/>
  <c r="H15" i="568"/>
  <c r="S15" i="568" s="1"/>
  <c r="H14" i="568"/>
  <c r="S14" i="568" s="1"/>
  <c r="S31" i="573" l="1"/>
  <c r="K65" i="261"/>
  <c r="V28" i="570"/>
  <c r="O65" i="261" s="1"/>
  <c r="P28" i="570"/>
  <c r="V35" i="570" s="1"/>
  <c r="E29" i="736" s="1"/>
  <c r="E34" i="738"/>
  <c r="U38" i="570"/>
  <c r="C28" i="736"/>
  <c r="C34" i="736" s="1"/>
  <c r="X20" i="568"/>
  <c r="S29" i="571"/>
  <c r="V29" i="571"/>
  <c r="E28" i="737" s="1"/>
  <c r="E34" i="737" s="1"/>
  <c r="L29" i="570"/>
  <c r="L30" i="570" s="1"/>
  <c r="V37" i="570"/>
  <c r="E31" i="736" s="1"/>
  <c r="S30" i="571"/>
  <c r="P14" i="568"/>
  <c r="P17" i="568"/>
  <c r="S28" i="570"/>
  <c r="V36" i="570" s="1"/>
  <c r="E30" i="736" s="1"/>
  <c r="R33" i="571"/>
  <c r="S31" i="571"/>
  <c r="R38" i="570"/>
  <c r="M30" i="573"/>
  <c r="AA25" i="569"/>
  <c r="AA26" i="569" s="1"/>
  <c r="X26" i="570"/>
  <c r="X28" i="570" s="1"/>
  <c r="Y28" i="570" s="1"/>
  <c r="L20" i="568"/>
  <c r="M18" i="568"/>
  <c r="P18" i="568"/>
  <c r="M15" i="568"/>
  <c r="P15" i="568"/>
  <c r="L30" i="569"/>
  <c r="L32" i="569" s="1"/>
  <c r="O30" i="569"/>
  <c r="M34" i="570"/>
  <c r="M36" i="570" s="1"/>
  <c r="P34" i="570"/>
  <c r="P30" i="571"/>
  <c r="H29" i="570"/>
  <c r="L65" i="261" s="1"/>
  <c r="M29" i="571"/>
  <c r="M31" i="571" s="1"/>
  <c r="P29" i="571"/>
  <c r="H26" i="571"/>
  <c r="M66" i="261" s="1"/>
  <c r="L66" i="261"/>
  <c r="H22" i="569"/>
  <c r="I64" i="261"/>
  <c r="Y17" i="568"/>
  <c r="H64" i="261"/>
  <c r="G9" i="735" s="1"/>
  <c r="L22" i="569"/>
  <c r="X30" i="569" s="1"/>
  <c r="H16" i="568"/>
  <c r="S16" i="568" s="1"/>
  <c r="Y18" i="568"/>
  <c r="Y15" i="568"/>
  <c r="H19" i="568"/>
  <c r="S19" i="568" s="1"/>
  <c r="M14" i="568"/>
  <c r="M17" i="568"/>
  <c r="Y14" i="568"/>
  <c r="L24" i="567"/>
  <c r="X24" i="567" s="1"/>
  <c r="L23" i="567"/>
  <c r="X23" i="567" s="1"/>
  <c r="L21" i="567"/>
  <c r="X21" i="567" s="1"/>
  <c r="L20" i="567"/>
  <c r="X20" i="567" s="1"/>
  <c r="L18" i="567"/>
  <c r="X18" i="567" s="1"/>
  <c r="L17" i="567"/>
  <c r="X17" i="567" s="1"/>
  <c r="L15" i="567"/>
  <c r="X15" i="567" s="1"/>
  <c r="L14" i="567"/>
  <c r="X14" i="567" s="1"/>
  <c r="H24" i="567"/>
  <c r="S24" i="567" s="1"/>
  <c r="H23" i="567"/>
  <c r="S23" i="567" s="1"/>
  <c r="H21" i="567"/>
  <c r="S21" i="567" s="1"/>
  <c r="H20" i="567"/>
  <c r="S20" i="567" s="1"/>
  <c r="H18" i="567"/>
  <c r="S18" i="567" s="1"/>
  <c r="H17" i="567"/>
  <c r="S17" i="567" s="1"/>
  <c r="H15" i="567"/>
  <c r="S15" i="567" s="1"/>
  <c r="H14" i="567"/>
  <c r="S14" i="567" s="1"/>
  <c r="E34" i="736" l="1"/>
  <c r="V33" i="571"/>
  <c r="S35" i="570"/>
  <c r="C28" i="735"/>
  <c r="C34" i="735" s="1"/>
  <c r="X35" i="569"/>
  <c r="AB24" i="569"/>
  <c r="Y24" i="569"/>
  <c r="Y14" i="567"/>
  <c r="M24" i="569"/>
  <c r="Y30" i="569" s="1"/>
  <c r="E28" i="735" s="1"/>
  <c r="U30" i="569"/>
  <c r="U34" i="569" s="1"/>
  <c r="S24" i="569"/>
  <c r="V24" i="569"/>
  <c r="Y33" i="569" s="1"/>
  <c r="E31" i="735" s="1"/>
  <c r="P24" i="569"/>
  <c r="P19" i="568"/>
  <c r="P35" i="570"/>
  <c r="P36" i="570" s="1"/>
  <c r="H21" i="568"/>
  <c r="O21" i="568" s="1"/>
  <c r="P14" i="567"/>
  <c r="L25" i="569"/>
  <c r="L26" i="569" s="1"/>
  <c r="R30" i="569"/>
  <c r="S33" i="571"/>
  <c r="S36" i="570"/>
  <c r="P15" i="567"/>
  <c r="P21" i="567"/>
  <c r="P18" i="567"/>
  <c r="P24" i="567"/>
  <c r="X29" i="570"/>
  <c r="X30" i="570" s="1"/>
  <c r="Y21" i="567"/>
  <c r="L27" i="567"/>
  <c r="M19" i="568"/>
  <c r="L22" i="568"/>
  <c r="Y19" i="568"/>
  <c r="H25" i="567"/>
  <c r="S25" i="567" s="1"/>
  <c r="P23" i="567"/>
  <c r="M23" i="567"/>
  <c r="Y23" i="567"/>
  <c r="M18" i="567"/>
  <c r="Y18" i="567"/>
  <c r="H25" i="569"/>
  <c r="K64" i="261"/>
  <c r="H22" i="567"/>
  <c r="S22" i="567" s="1"/>
  <c r="P20" i="567"/>
  <c r="H19" i="567"/>
  <c r="S19" i="567" s="1"/>
  <c r="P17" i="567"/>
  <c r="M17" i="567"/>
  <c r="Y17" i="567"/>
  <c r="P31" i="571"/>
  <c r="O32" i="569"/>
  <c r="M24" i="567"/>
  <c r="Y24" i="567"/>
  <c r="M15" i="567"/>
  <c r="Y15" i="567"/>
  <c r="H20" i="568"/>
  <c r="P16" i="568"/>
  <c r="H30" i="570"/>
  <c r="M65" i="261" s="1"/>
  <c r="H16" i="567"/>
  <c r="S16" i="567" s="1"/>
  <c r="L25" i="567"/>
  <c r="X25" i="567" s="1"/>
  <c r="M14" i="567"/>
  <c r="M20" i="567"/>
  <c r="L19" i="567"/>
  <c r="X19" i="567" s="1"/>
  <c r="Y20" i="567"/>
  <c r="L16" i="567"/>
  <c r="X16" i="567" s="1"/>
  <c r="M21" i="567"/>
  <c r="L22" i="567"/>
  <c r="X22" i="567" s="1"/>
  <c r="Y16" i="568"/>
  <c r="M16" i="568"/>
  <c r="L18" i="566"/>
  <c r="U18" i="566" s="1"/>
  <c r="L17" i="566"/>
  <c r="U17" i="566" s="1"/>
  <c r="L15" i="566"/>
  <c r="U15" i="566" s="1"/>
  <c r="L14" i="566"/>
  <c r="U14" i="566" s="1"/>
  <c r="H18" i="566"/>
  <c r="H17" i="566"/>
  <c r="S17" i="566" s="1"/>
  <c r="H15" i="566"/>
  <c r="H14" i="566"/>
  <c r="S14" i="566" s="1"/>
  <c r="M30" i="569" l="1"/>
  <c r="M32" i="569" s="1"/>
  <c r="Y34" i="569"/>
  <c r="O64" i="261"/>
  <c r="V31" i="569"/>
  <c r="Y31" i="569"/>
  <c r="E29" i="735" s="1"/>
  <c r="V32" i="569"/>
  <c r="Y32" i="569"/>
  <c r="E30" i="735" s="1"/>
  <c r="P30" i="569"/>
  <c r="R30" i="568"/>
  <c r="U30" i="568"/>
  <c r="V38" i="570"/>
  <c r="V33" i="569"/>
  <c r="U16" i="566"/>
  <c r="P15" i="566"/>
  <c r="S15" i="566"/>
  <c r="U19" i="566"/>
  <c r="V30" i="569"/>
  <c r="S30" i="569"/>
  <c r="P18" i="566"/>
  <c r="S18" i="566"/>
  <c r="S31" i="569"/>
  <c r="R22" i="568"/>
  <c r="R23" i="568" s="1"/>
  <c r="X21" i="568"/>
  <c r="X22" i="568" s="1"/>
  <c r="O22" i="568"/>
  <c r="O23" i="568" s="1"/>
  <c r="I63" i="261"/>
  <c r="R34" i="569"/>
  <c r="P31" i="569"/>
  <c r="L25" i="568"/>
  <c r="L26" i="568" s="1"/>
  <c r="O30" i="568"/>
  <c r="L30" i="568"/>
  <c r="L33" i="568" s="1"/>
  <c r="S38" i="570"/>
  <c r="S32" i="569"/>
  <c r="P14" i="566"/>
  <c r="P17" i="566"/>
  <c r="H27" i="567"/>
  <c r="O27" i="567" s="1"/>
  <c r="L26" i="567"/>
  <c r="O35" i="567" s="1"/>
  <c r="H26" i="567"/>
  <c r="H62" i="261" s="1"/>
  <c r="G9" i="733" s="1"/>
  <c r="M15" i="566"/>
  <c r="V15" i="566"/>
  <c r="M18" i="566"/>
  <c r="V18" i="566"/>
  <c r="P16" i="567"/>
  <c r="M25" i="567"/>
  <c r="Y25" i="567"/>
  <c r="P25" i="567"/>
  <c r="Y22" i="567"/>
  <c r="P22" i="567"/>
  <c r="M19" i="567"/>
  <c r="Y19" i="567"/>
  <c r="P19" i="567"/>
  <c r="H22" i="568"/>
  <c r="H63" i="261"/>
  <c r="G9" i="734" s="1"/>
  <c r="H26" i="569"/>
  <c r="M64" i="261" s="1"/>
  <c r="L64" i="261"/>
  <c r="L19" i="566"/>
  <c r="L16" i="566"/>
  <c r="H16" i="566"/>
  <c r="S16" i="566" s="1"/>
  <c r="M14" i="566"/>
  <c r="V14" i="566"/>
  <c r="M22" i="567"/>
  <c r="V17" i="566"/>
  <c r="M17" i="566"/>
  <c r="H19" i="566"/>
  <c r="S19" i="566" s="1"/>
  <c r="M16" i="567"/>
  <c r="V34" i="569" l="1"/>
  <c r="P32" i="569"/>
  <c r="C28" i="734"/>
  <c r="Y35" i="569"/>
  <c r="E32" i="735"/>
  <c r="E34" i="735" s="1"/>
  <c r="M22" i="568"/>
  <c r="M30" i="568" s="1"/>
  <c r="M33" i="568" s="1"/>
  <c r="V24" i="568"/>
  <c r="X23" i="568"/>
  <c r="X24" i="568" s="1"/>
  <c r="R24" i="568"/>
  <c r="O24" i="568"/>
  <c r="O31" i="568" s="1"/>
  <c r="P19" i="566"/>
  <c r="S34" i="569"/>
  <c r="I62" i="261"/>
  <c r="X27" i="567"/>
  <c r="L28" i="567"/>
  <c r="U35" i="567" s="1"/>
  <c r="P16" i="566"/>
  <c r="H21" i="566"/>
  <c r="O21" i="566" s="1"/>
  <c r="U21" i="566" s="1"/>
  <c r="O28" i="567"/>
  <c r="O29" i="567" s="1"/>
  <c r="X29" i="567" s="1"/>
  <c r="H28" i="567"/>
  <c r="V30" i="567" s="1"/>
  <c r="H25" i="568"/>
  <c r="K63" i="261"/>
  <c r="H20" i="566"/>
  <c r="M19" i="566"/>
  <c r="M16" i="566"/>
  <c r="L20" i="566"/>
  <c r="L35" i="567"/>
  <c r="L37" i="567" s="1"/>
  <c r="Y16" i="567"/>
  <c r="X26" i="567"/>
  <c r="V16" i="566"/>
  <c r="L18" i="565"/>
  <c r="X18" i="565" s="1"/>
  <c r="L17" i="565"/>
  <c r="X17" i="565" s="1"/>
  <c r="L15" i="565"/>
  <c r="X15" i="565" s="1"/>
  <c r="L14" i="565"/>
  <c r="X14" i="565" s="1"/>
  <c r="H18" i="565"/>
  <c r="S18" i="565" s="1"/>
  <c r="H17" i="565"/>
  <c r="S17" i="565" s="1"/>
  <c r="H15" i="565"/>
  <c r="S15" i="565" s="1"/>
  <c r="H14" i="565"/>
  <c r="S14" i="565" s="1"/>
  <c r="P30" i="568" l="1"/>
  <c r="X19" i="565"/>
  <c r="S30" i="568"/>
  <c r="V30" i="568"/>
  <c r="E28" i="734" s="1"/>
  <c r="V33" i="568"/>
  <c r="O63" i="261"/>
  <c r="V38" i="567"/>
  <c r="O62" i="261"/>
  <c r="C28" i="733"/>
  <c r="R31" i="568"/>
  <c r="U31" i="568"/>
  <c r="S24" i="568"/>
  <c r="V32" i="568" s="1"/>
  <c r="E30" i="734" s="1"/>
  <c r="U32" i="568"/>
  <c r="C30" i="734" s="1"/>
  <c r="R25" i="568"/>
  <c r="O25" i="568"/>
  <c r="O26" i="568" s="1"/>
  <c r="P24" i="568"/>
  <c r="V31" i="568" s="1"/>
  <c r="E29" i="734" s="1"/>
  <c r="L31" i="567"/>
  <c r="L32" i="567" s="1"/>
  <c r="R35" i="567"/>
  <c r="R32" i="568"/>
  <c r="P17" i="565"/>
  <c r="P14" i="565"/>
  <c r="P15" i="565"/>
  <c r="O33" i="568"/>
  <c r="Y24" i="568"/>
  <c r="X25" i="568"/>
  <c r="X26" i="568" s="1"/>
  <c r="O22" i="566"/>
  <c r="H31" i="567"/>
  <c r="H32" i="567" s="1"/>
  <c r="M62" i="261" s="1"/>
  <c r="S30" i="567"/>
  <c r="O30" i="567"/>
  <c r="U36" i="567" s="1"/>
  <c r="C29" i="733" s="1"/>
  <c r="M26" i="567"/>
  <c r="K62" i="261"/>
  <c r="H19" i="565"/>
  <c r="Y18" i="565"/>
  <c r="U20" i="566"/>
  <c r="V19" i="566"/>
  <c r="H22" i="566"/>
  <c r="S24" i="566" s="1"/>
  <c r="I61" i="261"/>
  <c r="H61" i="261"/>
  <c r="G9" i="732" s="1"/>
  <c r="H26" i="568"/>
  <c r="M63" i="261" s="1"/>
  <c r="L63" i="261"/>
  <c r="P18" i="565"/>
  <c r="L22" i="566"/>
  <c r="R30" i="566" s="1"/>
  <c r="C28" i="732" s="1"/>
  <c r="X28" i="567"/>
  <c r="M18" i="565"/>
  <c r="M15" i="565"/>
  <c r="Y14" i="565"/>
  <c r="L16" i="565"/>
  <c r="X16" i="565" s="1"/>
  <c r="L19" i="565"/>
  <c r="Y17" i="565"/>
  <c r="Y15" i="565"/>
  <c r="M17" i="565"/>
  <c r="M14" i="565"/>
  <c r="H16" i="565"/>
  <c r="C34" i="733" l="1"/>
  <c r="E31" i="733"/>
  <c r="C29" i="734"/>
  <c r="C34" i="734" s="1"/>
  <c r="U34" i="568"/>
  <c r="V34" i="568"/>
  <c r="E31" i="734"/>
  <c r="E34" i="734" s="1"/>
  <c r="U39" i="567"/>
  <c r="P31" i="568"/>
  <c r="S31" i="568"/>
  <c r="R26" i="568"/>
  <c r="S32" i="568"/>
  <c r="S35" i="567"/>
  <c r="V35" i="567"/>
  <c r="E28" i="733" s="1"/>
  <c r="V37" i="567"/>
  <c r="E30" i="733" s="1"/>
  <c r="P16" i="565"/>
  <c r="S16" i="565"/>
  <c r="R33" i="568"/>
  <c r="S32" i="566"/>
  <c r="E30" i="732" s="1"/>
  <c r="O61" i="261"/>
  <c r="L21" i="565"/>
  <c r="P19" i="565"/>
  <c r="S19" i="565"/>
  <c r="R36" i="567"/>
  <c r="R38" i="567" s="1"/>
  <c r="O36" i="567"/>
  <c r="O37" i="567" s="1"/>
  <c r="P35" i="567"/>
  <c r="M35" i="567"/>
  <c r="M37" i="567" s="1"/>
  <c r="L62" i="261"/>
  <c r="P30" i="567"/>
  <c r="L30" i="566"/>
  <c r="L33" i="566" s="1"/>
  <c r="M20" i="566"/>
  <c r="O31" i="567"/>
  <c r="O32" i="567" s="1"/>
  <c r="S37" i="567"/>
  <c r="O23" i="566"/>
  <c r="U23" i="566" s="1"/>
  <c r="L25" i="566"/>
  <c r="L26" i="566" s="1"/>
  <c r="O30" i="566"/>
  <c r="X30" i="567"/>
  <c r="Y30" i="567" s="1"/>
  <c r="H21" i="565"/>
  <c r="U22" i="566"/>
  <c r="E925" i="91"/>
  <c r="Y19" i="565"/>
  <c r="H25" i="566"/>
  <c r="K61" i="261"/>
  <c r="E921" i="91"/>
  <c r="M19" i="565"/>
  <c r="E919" i="91"/>
  <c r="H919" i="91" s="1"/>
  <c r="L20" i="565"/>
  <c r="E922" i="91"/>
  <c r="H922" i="91" s="1"/>
  <c r="E923" i="91"/>
  <c r="H923" i="91" s="1"/>
  <c r="E926" i="91"/>
  <c r="H926" i="91" s="1"/>
  <c r="E927" i="91"/>
  <c r="E920" i="91"/>
  <c r="H920" i="91" s="1"/>
  <c r="E924" i="91"/>
  <c r="H924" i="91" s="1"/>
  <c r="M16" i="565"/>
  <c r="H20" i="565"/>
  <c r="L14" i="563"/>
  <c r="J14" i="563"/>
  <c r="G14" i="563"/>
  <c r="S33" i="568" l="1"/>
  <c r="P33" i="568"/>
  <c r="S36" i="567"/>
  <c r="S38" i="567" s="1"/>
  <c r="V36" i="567"/>
  <c r="E29" i="733" s="1"/>
  <c r="E34" i="733" s="1"/>
  <c r="I60" i="261"/>
  <c r="R21" i="565"/>
  <c r="P30" i="566"/>
  <c r="S30" i="566"/>
  <c r="E28" i="732" s="1"/>
  <c r="P36" i="567"/>
  <c r="P37" i="567" s="1"/>
  <c r="M30" i="566"/>
  <c r="M33" i="566" s="1"/>
  <c r="U24" i="566"/>
  <c r="U25" i="566" s="1"/>
  <c r="U26" i="566" s="1"/>
  <c r="O24" i="566"/>
  <c r="R31" i="566" s="1"/>
  <c r="X31" i="567"/>
  <c r="X32" i="567" s="1"/>
  <c r="H22" i="565"/>
  <c r="V24" i="565" s="1"/>
  <c r="H60" i="261"/>
  <c r="G9" i="731" s="1"/>
  <c r="L29" i="565"/>
  <c r="L32" i="565" s="1"/>
  <c r="H26" i="566"/>
  <c r="M61" i="261" s="1"/>
  <c r="L61" i="261"/>
  <c r="L22" i="565"/>
  <c r="G15" i="563"/>
  <c r="G16" i="563" s="1"/>
  <c r="H59" i="261" s="1"/>
  <c r="G9" i="729" s="1"/>
  <c r="M14" i="563"/>
  <c r="M20" i="565"/>
  <c r="Y16" i="565"/>
  <c r="X20" i="565"/>
  <c r="J15" i="563"/>
  <c r="J16" i="563" s="1"/>
  <c r="N59" i="261" s="1"/>
  <c r="E19" i="729" s="1"/>
  <c r="K14" i="563"/>
  <c r="L28" i="562"/>
  <c r="AA28" i="562" s="1"/>
  <c r="L26" i="562"/>
  <c r="AA26" i="562" s="1"/>
  <c r="L24" i="562"/>
  <c r="AA24" i="562" s="1"/>
  <c r="L23" i="562"/>
  <c r="AA23" i="562" s="1"/>
  <c r="L21" i="562"/>
  <c r="AA21" i="562" s="1"/>
  <c r="L20" i="562"/>
  <c r="AA20" i="562" s="1"/>
  <c r="L18" i="562"/>
  <c r="AA18" i="562" s="1"/>
  <c r="L17" i="562"/>
  <c r="AA17" i="562" s="1"/>
  <c r="L15" i="562"/>
  <c r="AA15" i="562" s="1"/>
  <c r="L14" i="562"/>
  <c r="AA14" i="562" s="1"/>
  <c r="H28" i="562"/>
  <c r="H26" i="562"/>
  <c r="V26" i="562" s="1"/>
  <c r="H24" i="562"/>
  <c r="H23" i="562"/>
  <c r="H21" i="562"/>
  <c r="H20" i="562"/>
  <c r="H18" i="562"/>
  <c r="H17" i="562"/>
  <c r="H15" i="562"/>
  <c r="H14" i="562"/>
  <c r="R33" i="566" l="1"/>
  <c r="C29" i="732"/>
  <c r="C34" i="732" s="1"/>
  <c r="V39" i="567"/>
  <c r="V32" i="565"/>
  <c r="O60" i="261"/>
  <c r="S29" i="565"/>
  <c r="V29" i="565"/>
  <c r="E28" i="731" s="1"/>
  <c r="R29" i="565"/>
  <c r="U29" i="565"/>
  <c r="X21" i="565"/>
  <c r="R22" i="565"/>
  <c r="P24" i="565"/>
  <c r="V24" i="566"/>
  <c r="L25" i="565"/>
  <c r="L26" i="565" s="1"/>
  <c r="O29" i="565"/>
  <c r="O31" i="566"/>
  <c r="O25" i="566"/>
  <c r="P24" i="566"/>
  <c r="S31" i="566" s="1"/>
  <c r="H16" i="562"/>
  <c r="H22" i="562"/>
  <c r="S18" i="562"/>
  <c r="P18" i="562"/>
  <c r="H25" i="565"/>
  <c r="K60" i="261"/>
  <c r="H27" i="562"/>
  <c r="V27" i="562" s="1"/>
  <c r="S26" i="562"/>
  <c r="P26" i="562"/>
  <c r="S15" i="562"/>
  <c r="P15" i="562"/>
  <c r="S21" i="562"/>
  <c r="P21" i="562"/>
  <c r="H29" i="562"/>
  <c r="V29" i="562" s="1"/>
  <c r="S28" i="562"/>
  <c r="P28" i="562"/>
  <c r="E911" i="91"/>
  <c r="E915" i="91"/>
  <c r="G18" i="563"/>
  <c r="K59" i="261" s="1"/>
  <c r="S24" i="562"/>
  <c r="P24" i="562"/>
  <c r="E909" i="91"/>
  <c r="E913" i="91"/>
  <c r="E918" i="91"/>
  <c r="AB28" i="562"/>
  <c r="L29" i="562"/>
  <c r="AA29" i="562" s="1"/>
  <c r="M29" i="565"/>
  <c r="M32" i="565" s="1"/>
  <c r="P29" i="565"/>
  <c r="J26" i="563"/>
  <c r="C28" i="729" s="1"/>
  <c r="C34" i="729" s="1"/>
  <c r="K16" i="563"/>
  <c r="O59" i="261" s="1"/>
  <c r="J18" i="563"/>
  <c r="J19" i="563" s="1"/>
  <c r="Q59" i="261" s="1"/>
  <c r="E21" i="729" s="1"/>
  <c r="AB18" i="562"/>
  <c r="E912" i="91"/>
  <c r="G912" i="91" s="1"/>
  <c r="M26" i="562"/>
  <c r="E917" i="91"/>
  <c r="M24" i="562"/>
  <c r="E916" i="91"/>
  <c r="G916" i="91" s="1"/>
  <c r="K15" i="563"/>
  <c r="M15" i="563"/>
  <c r="N15" i="563" s="1"/>
  <c r="M15" i="562"/>
  <c r="E910" i="91"/>
  <c r="G910" i="91" s="1"/>
  <c r="M21" i="562"/>
  <c r="E914" i="91"/>
  <c r="G914" i="91" s="1"/>
  <c r="N14" i="563"/>
  <c r="L19" i="562"/>
  <c r="AA19" i="562" s="1"/>
  <c r="M28" i="562"/>
  <c r="X22" i="565"/>
  <c r="AB21" i="562"/>
  <c r="L22" i="562"/>
  <c r="AA22" i="562" s="1"/>
  <c r="L16" i="562"/>
  <c r="AA16" i="562" s="1"/>
  <c r="M18" i="562"/>
  <c r="AB15" i="562"/>
  <c r="AB24" i="562"/>
  <c r="L25" i="562"/>
  <c r="AA25" i="562" s="1"/>
  <c r="AB26" i="562"/>
  <c r="H25" i="562"/>
  <c r="V25" i="562" s="1"/>
  <c r="L27" i="562"/>
  <c r="AA27" i="562" s="1"/>
  <c r="H19" i="562"/>
  <c r="V19" i="562" s="1"/>
  <c r="E31" i="731" l="1"/>
  <c r="S33" i="566"/>
  <c r="E29" i="732"/>
  <c r="E34" i="732" s="1"/>
  <c r="C28" i="731"/>
  <c r="S30" i="565"/>
  <c r="V30" i="565"/>
  <c r="E29" i="731" s="1"/>
  <c r="P30" i="565"/>
  <c r="R23" i="565"/>
  <c r="S22" i="562"/>
  <c r="V22" i="562"/>
  <c r="P16" i="562"/>
  <c r="V16" i="562"/>
  <c r="S16" i="562"/>
  <c r="O32" i="565"/>
  <c r="P31" i="566"/>
  <c r="O33" i="566"/>
  <c r="O26" i="566"/>
  <c r="P22" i="562"/>
  <c r="M16" i="563"/>
  <c r="N16" i="563" s="1"/>
  <c r="E905" i="91"/>
  <c r="J27" i="563"/>
  <c r="S29" i="562"/>
  <c r="P29" i="562"/>
  <c r="P32" i="565"/>
  <c r="E899" i="91"/>
  <c r="E903" i="91"/>
  <c r="E907" i="91"/>
  <c r="M27" i="562"/>
  <c r="AB27" i="562"/>
  <c r="M16" i="562"/>
  <c r="AB16" i="562"/>
  <c r="J20" i="563"/>
  <c r="R59" i="261" s="1"/>
  <c r="M19" i="563"/>
  <c r="E901" i="91"/>
  <c r="E902" i="91"/>
  <c r="G902" i="91" s="1"/>
  <c r="H31" i="562"/>
  <c r="I58" i="261" s="1"/>
  <c r="S19" i="562"/>
  <c r="P19" i="562"/>
  <c r="M25" i="562"/>
  <c r="AB25" i="562"/>
  <c r="G21" i="563"/>
  <c r="L59" i="261" s="1"/>
  <c r="H26" i="565"/>
  <c r="M60" i="261" s="1"/>
  <c r="L60" i="261"/>
  <c r="E900" i="91"/>
  <c r="G900" i="91" s="1"/>
  <c r="S25" i="562"/>
  <c r="P25" i="562"/>
  <c r="M22" i="562"/>
  <c r="AB22" i="562"/>
  <c r="K26" i="563"/>
  <c r="E28" i="729" s="1"/>
  <c r="E34" i="729" s="1"/>
  <c r="M29" i="562"/>
  <c r="AB29" i="562"/>
  <c r="S27" i="562"/>
  <c r="P27" i="562"/>
  <c r="E904" i="91"/>
  <c r="G904" i="91" s="1"/>
  <c r="E908" i="91"/>
  <c r="H908" i="91" s="1"/>
  <c r="E906" i="91"/>
  <c r="G906" i="91" s="1"/>
  <c r="L30" i="562"/>
  <c r="L31" i="562"/>
  <c r="AA31" i="562" s="1"/>
  <c r="H30" i="562"/>
  <c r="H58" i="261" s="1"/>
  <c r="G9" i="728" s="1"/>
  <c r="M19" i="562"/>
  <c r="AB19" i="562"/>
  <c r="G10" i="729" l="1"/>
  <c r="E22" i="729"/>
  <c r="R24" i="565"/>
  <c r="U31" i="565" s="1"/>
  <c r="X23" i="565"/>
  <c r="X24" i="565" s="1"/>
  <c r="R25" i="565"/>
  <c r="S24" i="565"/>
  <c r="V31" i="565" s="1"/>
  <c r="E30" i="731" s="1"/>
  <c r="E34" i="731" s="1"/>
  <c r="P33" i="566"/>
  <c r="M18" i="563"/>
  <c r="M20" i="563" s="1"/>
  <c r="M21" i="563" s="1"/>
  <c r="M22" i="563" s="1"/>
  <c r="AA30" i="562"/>
  <c r="G22" i="563"/>
  <c r="M59" i="261" s="1"/>
  <c r="K27" i="563"/>
  <c r="J21" i="563"/>
  <c r="S59" i="261" s="1"/>
  <c r="E23" i="729" s="1"/>
  <c r="L32" i="562"/>
  <c r="H32" i="562"/>
  <c r="Y34" i="562" s="1"/>
  <c r="O58" i="261" s="1"/>
  <c r="C30" i="731" l="1"/>
  <c r="C34" i="731" s="1"/>
  <c r="U33" i="565"/>
  <c r="V33" i="565"/>
  <c r="R31" i="565"/>
  <c r="U39" i="562"/>
  <c r="U43" i="562" s="1"/>
  <c r="X39" i="562"/>
  <c r="V34" i="562"/>
  <c r="Y42" i="562" s="1"/>
  <c r="E31" i="728" s="1"/>
  <c r="Y43" i="562"/>
  <c r="Y24" i="565"/>
  <c r="X25" i="565"/>
  <c r="X26" i="565" s="1"/>
  <c r="R26" i="565"/>
  <c r="S31" i="565"/>
  <c r="R32" i="565"/>
  <c r="S34" i="562"/>
  <c r="AA32" i="562"/>
  <c r="AA34" i="562" s="1"/>
  <c r="K58" i="261"/>
  <c r="P32" i="562"/>
  <c r="J22" i="563"/>
  <c r="T59" i="261" s="1"/>
  <c r="E24" i="729" s="1"/>
  <c r="E891" i="91"/>
  <c r="E895" i="91"/>
  <c r="L35" i="562"/>
  <c r="L36" i="562" s="1"/>
  <c r="R39" i="562"/>
  <c r="R43" i="562" s="1"/>
  <c r="O39" i="562"/>
  <c r="O43" i="562" s="1"/>
  <c r="E893" i="91"/>
  <c r="E897" i="91"/>
  <c r="E896" i="91"/>
  <c r="G896" i="91" s="1"/>
  <c r="E894" i="91"/>
  <c r="G894" i="91" s="1"/>
  <c r="E898" i="91"/>
  <c r="H898" i="91" s="1"/>
  <c r="L39" i="562"/>
  <c r="E892" i="91"/>
  <c r="G892" i="91" s="1"/>
  <c r="H35" i="562"/>
  <c r="L58" i="261" s="1"/>
  <c r="M32" i="562"/>
  <c r="Y39" i="562" s="1"/>
  <c r="E28" i="728" s="1"/>
  <c r="V42" i="562" l="1"/>
  <c r="E32" i="728"/>
  <c r="C28" i="728"/>
  <c r="C34" i="728" s="1"/>
  <c r="X44" i="562"/>
  <c r="V41" i="562"/>
  <c r="Y41" i="562"/>
  <c r="E30" i="728" s="1"/>
  <c r="V40" i="562"/>
  <c r="Y40" i="562"/>
  <c r="E29" i="728" s="1"/>
  <c r="S32" i="565"/>
  <c r="S39" i="562"/>
  <c r="V39" i="562"/>
  <c r="AA35" i="562"/>
  <c r="AA36" i="562" s="1"/>
  <c r="AB34" i="562"/>
  <c r="E885" i="91"/>
  <c r="S41" i="562"/>
  <c r="E881" i="91"/>
  <c r="E883" i="91"/>
  <c r="S40" i="562"/>
  <c r="P40" i="562"/>
  <c r="P39" i="562"/>
  <c r="E884" i="91"/>
  <c r="G884" i="91" s="1"/>
  <c r="E888" i="91"/>
  <c r="G888" i="91" s="1"/>
  <c r="H36" i="562"/>
  <c r="M58" i="261" s="1"/>
  <c r="E889" i="91"/>
  <c r="L43" i="562"/>
  <c r="E886" i="91"/>
  <c r="G886" i="91" s="1"/>
  <c r="E882" i="91"/>
  <c r="G882" i="91" s="1"/>
  <c r="E890" i="91"/>
  <c r="H890" i="91" s="1"/>
  <c r="M39" i="562"/>
  <c r="E887" i="91"/>
  <c r="E34" i="728" l="1"/>
  <c r="Y44" i="562"/>
  <c r="V43" i="562"/>
  <c r="S43" i="562"/>
  <c r="P43" i="562"/>
  <c r="M43" i="562"/>
  <c r="L15" i="555" l="1"/>
  <c r="R15" i="555" s="1"/>
  <c r="L14" i="555"/>
  <c r="R14" i="555" s="1"/>
  <c r="H15" i="555"/>
  <c r="P15" i="555" s="1"/>
  <c r="H14" i="555"/>
  <c r="P14" i="555" s="1"/>
  <c r="H16" i="555" l="1"/>
  <c r="H17" i="555" s="1"/>
  <c r="E873" i="91"/>
  <c r="H873" i="91" s="1"/>
  <c r="E874" i="91"/>
  <c r="G874" i="91" s="1"/>
  <c r="L16" i="555"/>
  <c r="M15" i="555"/>
  <c r="S15" i="555" s="1"/>
  <c r="M14" i="555"/>
  <c r="S14" i="555" s="1"/>
  <c r="L15" i="554"/>
  <c r="R15" i="554" s="1"/>
  <c r="L14" i="554"/>
  <c r="R14" i="554" s="1"/>
  <c r="H15" i="554"/>
  <c r="P15" i="554" s="1"/>
  <c r="H14" i="554"/>
  <c r="P14" i="554" s="1"/>
  <c r="S15" i="554" l="1"/>
  <c r="S14" i="554"/>
  <c r="H57" i="261"/>
  <c r="G9" i="721" s="1"/>
  <c r="H19" i="555"/>
  <c r="P21" i="555" s="1"/>
  <c r="L17" i="555"/>
  <c r="M17" i="555" s="1"/>
  <c r="R16" i="555"/>
  <c r="S16" i="555" s="1"/>
  <c r="P16" i="555"/>
  <c r="M15" i="554"/>
  <c r="E872" i="91"/>
  <c r="G872" i="91" s="1"/>
  <c r="M14" i="554"/>
  <c r="E871" i="91"/>
  <c r="H871" i="91" s="1"/>
  <c r="M16" i="555"/>
  <c r="L16" i="554"/>
  <c r="H16" i="554"/>
  <c r="H17" i="554" l="1"/>
  <c r="H56" i="261" s="1"/>
  <c r="G9" i="720" s="1"/>
  <c r="P16" i="554"/>
  <c r="P27" i="555"/>
  <c r="E28" i="721" s="1"/>
  <c r="L19" i="555"/>
  <c r="L22" i="555" s="1"/>
  <c r="O27" i="555"/>
  <c r="C28" i="721" s="1"/>
  <c r="C34" i="721" s="1"/>
  <c r="L27" i="555"/>
  <c r="L29" i="555" s="1"/>
  <c r="O57" i="261"/>
  <c r="P28" i="555"/>
  <c r="E29" i="721" s="1"/>
  <c r="R16" i="554"/>
  <c r="S16" i="554" s="1"/>
  <c r="K57" i="261"/>
  <c r="H22" i="555"/>
  <c r="M27" i="555"/>
  <c r="R17" i="555"/>
  <c r="M16" i="554"/>
  <c r="L17" i="554"/>
  <c r="O27" i="554" s="1"/>
  <c r="C28" i="720" s="1"/>
  <c r="C34" i="720" s="1"/>
  <c r="E34" i="721" l="1"/>
  <c r="H19" i="554"/>
  <c r="P21" i="554" s="1"/>
  <c r="O29" i="555"/>
  <c r="P29" i="555"/>
  <c r="E870" i="91"/>
  <c r="G870" i="91" s="1"/>
  <c r="L57" i="261"/>
  <c r="H23" i="555"/>
  <c r="M57" i="261" s="1"/>
  <c r="E869" i="91"/>
  <c r="H869" i="91" s="1"/>
  <c r="M29" i="555"/>
  <c r="L23" i="555"/>
  <c r="R17" i="554"/>
  <c r="R19" i="555"/>
  <c r="R21" i="555" s="1"/>
  <c r="S21" i="555" s="1"/>
  <c r="L19" i="554"/>
  <c r="M17" i="554"/>
  <c r="P27" i="554" s="1"/>
  <c r="E28" i="720" s="1"/>
  <c r="L27" i="554"/>
  <c r="H22" i="554" l="1"/>
  <c r="L56" i="261" s="1"/>
  <c r="K56" i="261"/>
  <c r="R22" i="555"/>
  <c r="R23" i="555" s="1"/>
  <c r="P28" i="554"/>
  <c r="E29" i="720" s="1"/>
  <c r="E34" i="720" s="1"/>
  <c r="O56" i="261"/>
  <c r="O29" i="554"/>
  <c r="R19" i="554"/>
  <c r="R21" i="554" s="1"/>
  <c r="S21" i="554" s="1"/>
  <c r="M27" i="554"/>
  <c r="L22" i="554"/>
  <c r="L29" i="554"/>
  <c r="J28" i="551"/>
  <c r="J26" i="551"/>
  <c r="V26" i="551" s="1"/>
  <c r="J24" i="551"/>
  <c r="V24" i="551" s="1"/>
  <c r="J22" i="551"/>
  <c r="J20" i="551"/>
  <c r="V20" i="551" s="1"/>
  <c r="J18" i="551"/>
  <c r="V18" i="551" s="1"/>
  <c r="J17" i="551"/>
  <c r="V17" i="551" s="1"/>
  <c r="J15" i="551"/>
  <c r="V15" i="551" s="1"/>
  <c r="J14" i="551"/>
  <c r="V14" i="551" s="1"/>
  <c r="G28" i="551"/>
  <c r="T28" i="551" s="1"/>
  <c r="G26" i="551"/>
  <c r="T26" i="551" s="1"/>
  <c r="G24" i="551"/>
  <c r="T24" i="551" s="1"/>
  <c r="G22" i="551"/>
  <c r="T22" i="551" s="1"/>
  <c r="G20" i="551"/>
  <c r="T20" i="551" s="1"/>
  <c r="G18" i="551"/>
  <c r="T18" i="551" s="1"/>
  <c r="G17" i="551"/>
  <c r="G15" i="551"/>
  <c r="T15" i="551" s="1"/>
  <c r="G14" i="551"/>
  <c r="J23" i="551" l="1"/>
  <c r="V23" i="551" s="1"/>
  <c r="V22" i="551"/>
  <c r="J29" i="551"/>
  <c r="V29" i="551" s="1"/>
  <c r="V28" i="551"/>
  <c r="W28" i="551" s="1"/>
  <c r="H23" i="554"/>
  <c r="M56" i="261" s="1"/>
  <c r="R22" i="554"/>
  <c r="R23" i="554" s="1"/>
  <c r="J16" i="551"/>
  <c r="V16" i="551" s="1"/>
  <c r="G19" i="551"/>
  <c r="E867" i="91"/>
  <c r="W26" i="551"/>
  <c r="Q18" i="551"/>
  <c r="N18" i="551"/>
  <c r="G21" i="551"/>
  <c r="T21" i="551" s="1"/>
  <c r="Q20" i="551"/>
  <c r="N20" i="551"/>
  <c r="G29" i="551"/>
  <c r="Q28" i="551"/>
  <c r="N28" i="551"/>
  <c r="E861" i="91"/>
  <c r="W15" i="551"/>
  <c r="E865" i="91"/>
  <c r="W22" i="551"/>
  <c r="P29" i="554"/>
  <c r="G25" i="551"/>
  <c r="T25" i="551" s="1"/>
  <c r="Q24" i="551"/>
  <c r="N24" i="551"/>
  <c r="E863" i="91"/>
  <c r="W18" i="551"/>
  <c r="G27" i="551"/>
  <c r="T27" i="551" s="1"/>
  <c r="Q26" i="551"/>
  <c r="N26" i="551"/>
  <c r="E860" i="91"/>
  <c r="E868" i="91"/>
  <c r="Q15" i="551"/>
  <c r="N15" i="551"/>
  <c r="G23" i="551"/>
  <c r="T23" i="551" s="1"/>
  <c r="Q22" i="551"/>
  <c r="N22" i="551"/>
  <c r="J27" i="551"/>
  <c r="E862" i="91"/>
  <c r="J25" i="551"/>
  <c r="V25" i="551" s="1"/>
  <c r="E866" i="91"/>
  <c r="H866" i="91" s="1"/>
  <c r="K18" i="551"/>
  <c r="K26" i="551"/>
  <c r="M29" i="554"/>
  <c r="J19" i="551"/>
  <c r="V19" i="551" s="1"/>
  <c r="J21" i="551"/>
  <c r="V21" i="551" s="1"/>
  <c r="E864" i="91"/>
  <c r="G864" i="91" s="1"/>
  <c r="K15" i="551"/>
  <c r="K22" i="551"/>
  <c r="K28" i="551"/>
  <c r="L23" i="554"/>
  <c r="W24" i="551"/>
  <c r="K24" i="551"/>
  <c r="K20" i="551"/>
  <c r="W20" i="551"/>
  <c r="G16" i="551"/>
  <c r="T16" i="551" s="1"/>
  <c r="L28" i="550"/>
  <c r="U28" i="550" s="1"/>
  <c r="L26" i="550"/>
  <c r="U26" i="550" s="1"/>
  <c r="L25" i="550"/>
  <c r="U25" i="550" s="1"/>
  <c r="L23" i="550"/>
  <c r="U23" i="550" s="1"/>
  <c r="L22" i="550"/>
  <c r="U22" i="550" s="1"/>
  <c r="L21" i="550"/>
  <c r="U21" i="550" s="1"/>
  <c r="L19" i="550"/>
  <c r="U19" i="550" s="1"/>
  <c r="L18" i="550"/>
  <c r="U18" i="550" s="1"/>
  <c r="L16" i="550"/>
  <c r="U16" i="550" s="1"/>
  <c r="L15" i="550"/>
  <c r="U15" i="550" s="1"/>
  <c r="L14" i="550"/>
  <c r="U14" i="550" s="1"/>
  <c r="H28" i="550"/>
  <c r="H26" i="550"/>
  <c r="H25" i="550"/>
  <c r="H23" i="550"/>
  <c r="H22" i="550"/>
  <c r="H21" i="550"/>
  <c r="H19" i="550"/>
  <c r="H18" i="550"/>
  <c r="P16" i="550"/>
  <c r="H15" i="550"/>
  <c r="H14" i="550"/>
  <c r="V27" i="551" l="1"/>
  <c r="W27" i="551" s="1"/>
  <c r="K29" i="551"/>
  <c r="T29" i="551"/>
  <c r="Q19" i="551"/>
  <c r="T19" i="551"/>
  <c r="P21" i="550"/>
  <c r="P26" i="550"/>
  <c r="P15" i="550"/>
  <c r="P22" i="550"/>
  <c r="P23" i="550"/>
  <c r="P19" i="550"/>
  <c r="W25" i="551"/>
  <c r="W16" i="551"/>
  <c r="N19" i="551"/>
  <c r="M19" i="550"/>
  <c r="V19" i="550"/>
  <c r="Q23" i="551"/>
  <c r="N23" i="551"/>
  <c r="M15" i="550"/>
  <c r="V15" i="550"/>
  <c r="M26" i="550"/>
  <c r="V26" i="550"/>
  <c r="Q27" i="551"/>
  <c r="N27" i="551"/>
  <c r="Q21" i="551"/>
  <c r="N21" i="551"/>
  <c r="M16" i="550"/>
  <c r="V16" i="550"/>
  <c r="V28" i="550"/>
  <c r="W23" i="551"/>
  <c r="Q29" i="551"/>
  <c r="N29" i="551"/>
  <c r="H17" i="550"/>
  <c r="P14" i="550"/>
  <c r="M14" i="550"/>
  <c r="V14" i="550"/>
  <c r="Q25" i="551"/>
  <c r="N25" i="551"/>
  <c r="M21" i="550"/>
  <c r="V21" i="550"/>
  <c r="H29" i="550"/>
  <c r="P28" i="550"/>
  <c r="L24" i="550"/>
  <c r="U24" i="550" s="1"/>
  <c r="V22" i="550"/>
  <c r="L20" i="550"/>
  <c r="U20" i="550" s="1"/>
  <c r="M23" i="550"/>
  <c r="V23" i="550"/>
  <c r="Q16" i="551"/>
  <c r="N16" i="551"/>
  <c r="K25" i="551"/>
  <c r="K21" i="551"/>
  <c r="W21" i="551"/>
  <c r="K27" i="551"/>
  <c r="K23" i="551"/>
  <c r="M22" i="550"/>
  <c r="L17" i="550"/>
  <c r="U17" i="550" s="1"/>
  <c r="L29" i="550"/>
  <c r="U29" i="550" s="1"/>
  <c r="M28" i="550"/>
  <c r="K16" i="551"/>
  <c r="G30" i="551"/>
  <c r="H55" i="261" s="1"/>
  <c r="G9" i="716" s="1"/>
  <c r="W19" i="551"/>
  <c r="K19" i="551"/>
  <c r="H20" i="550"/>
  <c r="L27" i="550"/>
  <c r="U27" i="550" s="1"/>
  <c r="H27" i="550"/>
  <c r="H24" i="550"/>
  <c r="Q34" i="551" l="1"/>
  <c r="T41" i="551" s="1"/>
  <c r="E30" i="716" s="1"/>
  <c r="T34" i="551"/>
  <c r="P20" i="550"/>
  <c r="P29" i="550"/>
  <c r="P17" i="550"/>
  <c r="V30" i="551"/>
  <c r="V32" i="551" s="1"/>
  <c r="V34" i="551" s="1"/>
  <c r="V24" i="550"/>
  <c r="V20" i="550"/>
  <c r="H30" i="550"/>
  <c r="H54" i="261" s="1"/>
  <c r="G9" i="714" s="1"/>
  <c r="P27" i="550"/>
  <c r="M24" i="550"/>
  <c r="P24" i="550"/>
  <c r="M20" i="550"/>
  <c r="N30" i="551"/>
  <c r="T40" i="551" s="1"/>
  <c r="E29" i="716" s="1"/>
  <c r="M17" i="550"/>
  <c r="V17" i="550"/>
  <c r="L30" i="550"/>
  <c r="R40" i="550" s="1"/>
  <c r="V29" i="550"/>
  <c r="M29" i="550"/>
  <c r="V27" i="550"/>
  <c r="M27" i="550"/>
  <c r="G32" i="551"/>
  <c r="K55" i="261" s="1"/>
  <c r="J30" i="551"/>
  <c r="S39" i="551" s="1"/>
  <c r="C28" i="716" l="1"/>
  <c r="C34" i="716" s="1"/>
  <c r="S43" i="551"/>
  <c r="R43" i="550"/>
  <c r="C28" i="714"/>
  <c r="C34" i="714" s="1"/>
  <c r="T42" i="551"/>
  <c r="O55" i="261"/>
  <c r="P34" i="550"/>
  <c r="S41" i="550" s="1"/>
  <c r="E29" i="714" s="1"/>
  <c r="S34" i="550"/>
  <c r="V35" i="551"/>
  <c r="V36" i="551" s="1"/>
  <c r="Q41" i="551"/>
  <c r="L40" i="550"/>
  <c r="L43" i="550" s="1"/>
  <c r="O40" i="550"/>
  <c r="N40" i="551"/>
  <c r="Q40" i="551"/>
  <c r="P39" i="551"/>
  <c r="M39" i="551"/>
  <c r="M42" i="551" s="1"/>
  <c r="H32" i="550"/>
  <c r="K54" i="261" s="1"/>
  <c r="M30" i="550"/>
  <c r="S40" i="550" s="1"/>
  <c r="E28" i="714" s="1"/>
  <c r="L32" i="550"/>
  <c r="L35" i="550" s="1"/>
  <c r="L36" i="550" s="1"/>
  <c r="U30" i="550"/>
  <c r="G35" i="551"/>
  <c r="L55" i="261" s="1"/>
  <c r="K30" i="551"/>
  <c r="T39" i="551" s="1"/>
  <c r="E28" i="716" s="1"/>
  <c r="J32" i="551"/>
  <c r="J39" i="551"/>
  <c r="W29" i="551"/>
  <c r="L28" i="548"/>
  <c r="U28" i="548" s="1"/>
  <c r="L27" i="548"/>
  <c r="U27" i="548" s="1"/>
  <c r="L25" i="548"/>
  <c r="U25" i="548" s="1"/>
  <c r="L24" i="548"/>
  <c r="U24" i="548" s="1"/>
  <c r="L23" i="548"/>
  <c r="U23" i="548" s="1"/>
  <c r="L21" i="548"/>
  <c r="U21" i="548" s="1"/>
  <c r="L20" i="548"/>
  <c r="U20" i="548" s="1"/>
  <c r="L18" i="548"/>
  <c r="U18" i="548" s="1"/>
  <c r="L16" i="548"/>
  <c r="U16" i="548" s="1"/>
  <c r="L15" i="548"/>
  <c r="U15" i="548" s="1"/>
  <c r="L14" i="548"/>
  <c r="U14" i="548" s="1"/>
  <c r="H28" i="548"/>
  <c r="H27" i="548"/>
  <c r="H25" i="548"/>
  <c r="H24" i="548"/>
  <c r="H23" i="548"/>
  <c r="H21" i="548"/>
  <c r="H20" i="548"/>
  <c r="H18" i="548"/>
  <c r="H16" i="548"/>
  <c r="H15" i="548"/>
  <c r="H14" i="548"/>
  <c r="T43" i="551" l="1"/>
  <c r="E31" i="716"/>
  <c r="E34" i="716" s="1"/>
  <c r="S42" i="550"/>
  <c r="E30" i="714" s="1"/>
  <c r="E34" i="714" s="1"/>
  <c r="O54" i="261"/>
  <c r="S43" i="550"/>
  <c r="P25" i="548"/>
  <c r="P21" i="548"/>
  <c r="P28" i="548"/>
  <c r="P16" i="548"/>
  <c r="S16" i="548"/>
  <c r="I19" i="548"/>
  <c r="P24" i="548"/>
  <c r="H19" i="548"/>
  <c r="P18" i="548"/>
  <c r="L19" i="548"/>
  <c r="U19" i="548" s="1"/>
  <c r="M25" i="548"/>
  <c r="M16" i="548"/>
  <c r="V28" i="548"/>
  <c r="V16" i="548"/>
  <c r="M18" i="548"/>
  <c r="M24" i="548"/>
  <c r="Q39" i="551"/>
  <c r="N39" i="551"/>
  <c r="N42" i="551" s="1"/>
  <c r="M21" i="548"/>
  <c r="M40" i="550"/>
  <c r="M43" i="550" s="1"/>
  <c r="P40" i="550"/>
  <c r="O43" i="550"/>
  <c r="P41" i="550"/>
  <c r="P42" i="551"/>
  <c r="L22" i="548"/>
  <c r="U22" i="548" s="1"/>
  <c r="H35" i="550"/>
  <c r="L54" i="261" s="1"/>
  <c r="U32" i="550"/>
  <c r="U34" i="550" s="1"/>
  <c r="J35" i="551"/>
  <c r="G36" i="551"/>
  <c r="M55" i="261" s="1"/>
  <c r="V18" i="548"/>
  <c r="V21" i="548"/>
  <c r="V24" i="548"/>
  <c r="L26" i="548"/>
  <c r="U26" i="548" s="1"/>
  <c r="M28" i="548"/>
  <c r="J42" i="551"/>
  <c r="K39" i="551"/>
  <c r="L29" i="548"/>
  <c r="U29" i="548" s="1"/>
  <c r="V25" i="548"/>
  <c r="L17" i="548"/>
  <c r="U17" i="548" s="1"/>
  <c r="H22" i="548"/>
  <c r="H29" i="548"/>
  <c r="H26" i="548"/>
  <c r="H17" i="548"/>
  <c r="U30" i="548" l="1"/>
  <c r="I31" i="548"/>
  <c r="S19" i="548"/>
  <c r="P22" i="548"/>
  <c r="P17" i="548"/>
  <c r="I29" i="548"/>
  <c r="S29" i="548" s="1"/>
  <c r="I22" i="548"/>
  <c r="S22" i="548" s="1"/>
  <c r="I17" i="548"/>
  <c r="S17" i="548" s="1"/>
  <c r="P26" i="548"/>
  <c r="I26" i="548"/>
  <c r="S26" i="548" s="1"/>
  <c r="M19" i="548"/>
  <c r="L31" i="548"/>
  <c r="V19" i="548"/>
  <c r="P29" i="548"/>
  <c r="V29" i="548"/>
  <c r="H31" i="548"/>
  <c r="I51" i="261" s="1"/>
  <c r="P19" i="548"/>
  <c r="U35" i="550"/>
  <c r="U36" i="550" s="1"/>
  <c r="V34" i="550"/>
  <c r="W34" i="551"/>
  <c r="M29" i="548"/>
  <c r="M22" i="548"/>
  <c r="Q42" i="551"/>
  <c r="H36" i="550"/>
  <c r="M54" i="261" s="1"/>
  <c r="P43" i="550"/>
  <c r="H30" i="548"/>
  <c r="V26" i="548"/>
  <c r="M26" i="548"/>
  <c r="V17" i="548"/>
  <c r="M17" i="548"/>
  <c r="J36" i="551"/>
  <c r="K42" i="551"/>
  <c r="V22" i="548"/>
  <c r="L30" i="548"/>
  <c r="H51" i="261" l="1"/>
  <c r="G9" i="710" s="1"/>
  <c r="S34" i="548"/>
  <c r="O51" i="261" s="1"/>
  <c r="I30" i="548"/>
  <c r="I32" i="548" s="1"/>
  <c r="I35" i="548" s="1"/>
  <c r="I36" i="548" s="1"/>
  <c r="U31" i="548"/>
  <c r="L32" i="548"/>
  <c r="L33" i="548" s="1"/>
  <c r="U33" i="548" s="1"/>
  <c r="H32" i="548"/>
  <c r="K51" i="261" s="1"/>
  <c r="P34" i="548" l="1"/>
  <c r="P41" i="548" s="1"/>
  <c r="S42" i="548"/>
  <c r="E30" i="710" s="1"/>
  <c r="U32" i="548"/>
  <c r="U34" i="548" s="1"/>
  <c r="V34" i="548" s="1"/>
  <c r="L34" i="548"/>
  <c r="H35" i="548"/>
  <c r="L51" i="261" s="1"/>
  <c r="S40" i="548" l="1"/>
  <c r="S41" i="548"/>
  <c r="E29" i="710" s="1"/>
  <c r="M34" i="548"/>
  <c r="P40" i="548" s="1"/>
  <c r="O40" i="548"/>
  <c r="L40" i="548"/>
  <c r="U35" i="548"/>
  <c r="U36" i="548" s="1"/>
  <c r="L35" i="548"/>
  <c r="H36" i="548"/>
  <c r="M51" i="261" s="1"/>
  <c r="E28" i="710" l="1"/>
  <c r="E34" i="710" s="1"/>
  <c r="S43" i="548"/>
  <c r="P43" i="548"/>
  <c r="O43" i="548"/>
  <c r="L41" i="548"/>
  <c r="M40" i="548"/>
  <c r="L36" i="548"/>
  <c r="M41" i="548" l="1"/>
  <c r="E852" i="91"/>
  <c r="E856" i="91"/>
  <c r="E850" i="91"/>
  <c r="E854" i="91"/>
  <c r="E858" i="91"/>
  <c r="E853" i="91"/>
  <c r="G853" i="91" s="1"/>
  <c r="E857" i="91"/>
  <c r="G857" i="91" s="1"/>
  <c r="E851" i="91"/>
  <c r="G851" i="91" s="1"/>
  <c r="E855" i="91"/>
  <c r="G855" i="91" s="1"/>
  <c r="E859" i="91"/>
  <c r="H859" i="91" s="1"/>
  <c r="E828" i="91" l="1"/>
  <c r="E837" i="91"/>
  <c r="E832" i="91"/>
  <c r="E836" i="91"/>
  <c r="E829" i="91"/>
  <c r="G829" i="91" s="1"/>
  <c r="E830" i="91"/>
  <c r="E834" i="91"/>
  <c r="E831" i="91"/>
  <c r="G831" i="91" s="1"/>
  <c r="E835" i="91"/>
  <c r="G835" i="91" s="1"/>
  <c r="E833" i="91"/>
  <c r="G833" i="91" s="1"/>
  <c r="E814" i="91" l="1"/>
  <c r="E815" i="91"/>
  <c r="H815" i="91" s="1"/>
  <c r="E817" i="91"/>
  <c r="E819" i="91"/>
  <c r="E816" i="91"/>
  <c r="G816" i="91" s="1"/>
  <c r="E818" i="91"/>
  <c r="L41" i="542"/>
  <c r="L40" i="542"/>
  <c r="L38" i="542"/>
  <c r="L37" i="542"/>
  <c r="L35" i="542"/>
  <c r="L34" i="542"/>
  <c r="L33" i="542"/>
  <c r="L31" i="542"/>
  <c r="L30" i="542"/>
  <c r="L29" i="542"/>
  <c r="L27" i="542"/>
  <c r="L26" i="542"/>
  <c r="L25" i="542"/>
  <c r="L23" i="542"/>
  <c r="L22" i="542"/>
  <c r="L21" i="542"/>
  <c r="L19" i="542"/>
  <c r="L18" i="542"/>
  <c r="L17" i="542"/>
  <c r="L15" i="542"/>
  <c r="L14" i="542"/>
  <c r="H41" i="542"/>
  <c r="H40" i="542"/>
  <c r="H38" i="542"/>
  <c r="H37" i="542"/>
  <c r="H35" i="542"/>
  <c r="H34" i="542"/>
  <c r="H33" i="542"/>
  <c r="H31" i="542"/>
  <c r="H30" i="542"/>
  <c r="H29" i="542"/>
  <c r="H27" i="542"/>
  <c r="H26" i="542"/>
  <c r="H25" i="542"/>
  <c r="H23" i="542"/>
  <c r="H22" i="542"/>
  <c r="H21" i="542"/>
  <c r="H19" i="542"/>
  <c r="H18" i="542"/>
  <c r="H17" i="542"/>
  <c r="H15" i="542"/>
  <c r="H14" i="542"/>
  <c r="U19" i="542" l="1"/>
  <c r="X19" i="542" s="1"/>
  <c r="Y19" i="542" s="1"/>
  <c r="U35" i="542"/>
  <c r="X35" i="542" s="1"/>
  <c r="Y35" i="542" s="1"/>
  <c r="U41" i="542"/>
  <c r="X41" i="542" s="1"/>
  <c r="Y41" i="542" s="1"/>
  <c r="U14" i="542"/>
  <c r="X14" i="542" s="1"/>
  <c r="U15" i="542"/>
  <c r="X15" i="542" s="1"/>
  <c r="Y15" i="542" s="1"/>
  <c r="U21" i="542"/>
  <c r="X21" i="542" s="1"/>
  <c r="Y21" i="542" s="1"/>
  <c r="U26" i="542"/>
  <c r="X26" i="542" s="1"/>
  <c r="Y26" i="542" s="1"/>
  <c r="U31" i="542"/>
  <c r="X31" i="542" s="1"/>
  <c r="Y31" i="542" s="1"/>
  <c r="U37" i="542"/>
  <c r="X37" i="542" s="1"/>
  <c r="Y37" i="542" s="1"/>
  <c r="U25" i="542"/>
  <c r="U17" i="542"/>
  <c r="X17" i="542" s="1"/>
  <c r="U22" i="542"/>
  <c r="X22" i="542" s="1"/>
  <c r="Y22" i="542" s="1"/>
  <c r="U27" i="542"/>
  <c r="X27" i="542" s="1"/>
  <c r="Y27" i="542" s="1"/>
  <c r="U33" i="542"/>
  <c r="X33" i="542" s="1"/>
  <c r="Y33" i="542" s="1"/>
  <c r="U38" i="542"/>
  <c r="X38" i="542" s="1"/>
  <c r="Y38" i="542" s="1"/>
  <c r="U30" i="542"/>
  <c r="U18" i="542"/>
  <c r="X18" i="542" s="1"/>
  <c r="Y18" i="542" s="1"/>
  <c r="U23" i="542"/>
  <c r="U29" i="542"/>
  <c r="U34" i="542"/>
  <c r="U40" i="542"/>
  <c r="X40" i="542" s="1"/>
  <c r="Y40" i="542" s="1"/>
  <c r="I42" i="542"/>
  <c r="S19" i="542"/>
  <c r="P19" i="542"/>
  <c r="S30" i="542"/>
  <c r="P30" i="542"/>
  <c r="M41" i="542"/>
  <c r="S41" i="542"/>
  <c r="P41" i="542"/>
  <c r="S21" i="542"/>
  <c r="P21" i="542"/>
  <c r="S31" i="542"/>
  <c r="P31" i="542"/>
  <c r="E793" i="91"/>
  <c r="H793" i="91" s="1"/>
  <c r="E801" i="91"/>
  <c r="H801" i="91" s="1"/>
  <c r="E813" i="91"/>
  <c r="S17" i="542"/>
  <c r="P17" i="542"/>
  <c r="S22" i="542"/>
  <c r="P22" i="542"/>
  <c r="M27" i="542"/>
  <c r="S27" i="542"/>
  <c r="P27" i="542"/>
  <c r="S33" i="542"/>
  <c r="P33" i="542"/>
  <c r="S38" i="542"/>
  <c r="P38" i="542"/>
  <c r="E802" i="91"/>
  <c r="I802" i="91" s="1"/>
  <c r="M14" i="542"/>
  <c r="S14" i="542"/>
  <c r="P14" i="542"/>
  <c r="M25" i="542"/>
  <c r="S25" i="542"/>
  <c r="P25" i="542"/>
  <c r="S35" i="542"/>
  <c r="P35" i="542"/>
  <c r="E796" i="91"/>
  <c r="I796" i="91" s="1"/>
  <c r="E808" i="91"/>
  <c r="I808" i="91" s="1"/>
  <c r="S15" i="542"/>
  <c r="P15" i="542"/>
  <c r="S26" i="542"/>
  <c r="P26" i="542"/>
  <c r="S37" i="542"/>
  <c r="P37" i="542"/>
  <c r="S18" i="542"/>
  <c r="P18" i="542"/>
  <c r="S23" i="542"/>
  <c r="P23" i="542"/>
  <c r="S29" i="542"/>
  <c r="P29" i="542"/>
  <c r="S34" i="542"/>
  <c r="P34" i="542"/>
  <c r="S40" i="542"/>
  <c r="P40" i="542"/>
  <c r="E795" i="91"/>
  <c r="H795" i="91" s="1"/>
  <c r="E799" i="91"/>
  <c r="I799" i="91" s="1"/>
  <c r="E800" i="91"/>
  <c r="G800" i="91" s="1"/>
  <c r="E804" i="91"/>
  <c r="H804" i="91" s="1"/>
  <c r="E812" i="91"/>
  <c r="H812" i="91" s="1"/>
  <c r="E797" i="91"/>
  <c r="G797" i="91" s="1"/>
  <c r="E805" i="91"/>
  <c r="I805" i="91" s="1"/>
  <c r="E809" i="91"/>
  <c r="G809" i="91" s="1"/>
  <c r="L16" i="542"/>
  <c r="E794" i="91"/>
  <c r="I794" i="91" s="1"/>
  <c r="E798" i="91"/>
  <c r="H798" i="91" s="1"/>
  <c r="M31" i="542"/>
  <c r="E806" i="91"/>
  <c r="E810" i="91"/>
  <c r="H810" i="91" s="1"/>
  <c r="E803" i="91"/>
  <c r="G803" i="91" s="1"/>
  <c r="E807" i="91"/>
  <c r="H807" i="91" s="1"/>
  <c r="E811" i="91"/>
  <c r="M35" i="542"/>
  <c r="M30" i="542"/>
  <c r="L28" i="542"/>
  <c r="M19" i="542"/>
  <c r="M18" i="542"/>
  <c r="M29" i="542"/>
  <c r="M34" i="542"/>
  <c r="M15" i="542"/>
  <c r="L24" i="542"/>
  <c r="M26" i="542"/>
  <c r="L39" i="542"/>
  <c r="M17" i="542"/>
  <c r="M22" i="542"/>
  <c r="M33" i="542"/>
  <c r="M23" i="542"/>
  <c r="H39" i="542"/>
  <c r="L42" i="542"/>
  <c r="L32" i="542"/>
  <c r="M40" i="542"/>
  <c r="L20" i="542"/>
  <c r="L36" i="542"/>
  <c r="M21" i="542"/>
  <c r="M37" i="542"/>
  <c r="H32" i="542"/>
  <c r="H42" i="542"/>
  <c r="M38" i="542"/>
  <c r="H24" i="542"/>
  <c r="H20" i="542"/>
  <c r="H36" i="542"/>
  <c r="H16" i="542"/>
  <c r="H28" i="542"/>
  <c r="X39" i="542" l="1"/>
  <c r="I32" i="542"/>
  <c r="V26" i="542"/>
  <c r="V15" i="542"/>
  <c r="V34" i="542"/>
  <c r="V23" i="542"/>
  <c r="V30" i="542"/>
  <c r="V19" i="542"/>
  <c r="V38" i="542"/>
  <c r="V27" i="542"/>
  <c r="V17" i="542"/>
  <c r="U20" i="542"/>
  <c r="V20" i="542" s="1"/>
  <c r="I24" i="542"/>
  <c r="I16" i="542"/>
  <c r="X23" i="542"/>
  <c r="Y23" i="542" s="1"/>
  <c r="I36" i="542"/>
  <c r="I28" i="542"/>
  <c r="X30" i="542"/>
  <c r="Y30" i="542" s="1"/>
  <c r="V37" i="542"/>
  <c r="U39" i="542"/>
  <c r="V35" i="542"/>
  <c r="V18" i="542"/>
  <c r="U36" i="542"/>
  <c r="V36" i="542" s="1"/>
  <c r="V33" i="542"/>
  <c r="V22" i="542"/>
  <c r="U28" i="542"/>
  <c r="V28" i="542" s="1"/>
  <c r="V25" i="542"/>
  <c r="X25" i="542"/>
  <c r="X28" i="542" s="1"/>
  <c r="Y28" i="542" s="1"/>
  <c r="I39" i="542"/>
  <c r="I44" i="542" s="1"/>
  <c r="X34" i="542"/>
  <c r="Y34" i="542" s="1"/>
  <c r="V41" i="542"/>
  <c r="V40" i="542"/>
  <c r="U42" i="542"/>
  <c r="V42" i="542" s="1"/>
  <c r="V29" i="542"/>
  <c r="U32" i="542"/>
  <c r="V32" i="542" s="1"/>
  <c r="I20" i="542"/>
  <c r="V31" i="542"/>
  <c r="V21" i="542"/>
  <c r="U24" i="542"/>
  <c r="V24" i="542" s="1"/>
  <c r="V14" i="542"/>
  <c r="U16" i="542"/>
  <c r="V16" i="542" s="1"/>
  <c r="X29" i="542"/>
  <c r="Y14" i="542"/>
  <c r="X16" i="542"/>
  <c r="Y16" i="542" s="1"/>
  <c r="X42" i="542"/>
  <c r="Y42" i="542" s="1"/>
  <c r="Y17" i="542"/>
  <c r="X20" i="542"/>
  <c r="X24" i="542"/>
  <c r="Y24" i="542" s="1"/>
  <c r="H44" i="542"/>
  <c r="I49" i="261" s="1"/>
  <c r="S39" i="542"/>
  <c r="P39" i="542"/>
  <c r="S24" i="542"/>
  <c r="P24" i="542"/>
  <c r="M16" i="542"/>
  <c r="S16" i="542"/>
  <c r="P16" i="542"/>
  <c r="S42" i="542"/>
  <c r="P42" i="542"/>
  <c r="L44" i="542"/>
  <c r="X44" i="542"/>
  <c r="S20" i="542"/>
  <c r="P20" i="542"/>
  <c r="S28" i="542"/>
  <c r="P28" i="542"/>
  <c r="S36" i="542"/>
  <c r="P36" i="542"/>
  <c r="S32" i="542"/>
  <c r="P32" i="542"/>
  <c r="M39" i="542"/>
  <c r="M24" i="542"/>
  <c r="M32" i="542"/>
  <c r="M28" i="542"/>
  <c r="M36" i="542"/>
  <c r="H43" i="542"/>
  <c r="H49" i="261" s="1"/>
  <c r="G9" i="698" s="1"/>
  <c r="M42" i="542"/>
  <c r="L43" i="542"/>
  <c r="M20" i="542"/>
  <c r="Y25" i="542" l="1"/>
  <c r="X36" i="542"/>
  <c r="Y36" i="542" s="1"/>
  <c r="I43" i="542"/>
  <c r="I45" i="542" s="1"/>
  <c r="I48" i="542" s="1"/>
  <c r="I49" i="542" s="1"/>
  <c r="Y29" i="542"/>
  <c r="X32" i="542"/>
  <c r="Y32" i="542" s="1"/>
  <c r="U43" i="542"/>
  <c r="N49" i="261" s="1"/>
  <c r="E19" i="698" s="1"/>
  <c r="U44" i="542"/>
  <c r="P49" i="261" s="1"/>
  <c r="E20" i="698" s="1"/>
  <c r="V39" i="542"/>
  <c r="Y39" i="542"/>
  <c r="E792" i="91"/>
  <c r="H792" i="91" s="1"/>
  <c r="H45" i="542"/>
  <c r="K49" i="261" s="1"/>
  <c r="Y20" i="542"/>
  <c r="L45" i="542"/>
  <c r="U52" i="542" s="1"/>
  <c r="C28" i="698" s="1"/>
  <c r="L14" i="540"/>
  <c r="R14" i="540" s="1"/>
  <c r="H14" i="540"/>
  <c r="X43" i="542" l="1"/>
  <c r="X45" i="542" s="1"/>
  <c r="X47" i="542" s="1"/>
  <c r="U45" i="542"/>
  <c r="U46" i="542" s="1"/>
  <c r="S14" i="540"/>
  <c r="H15" i="540"/>
  <c r="H16" i="540" s="1"/>
  <c r="H48" i="261" s="1"/>
  <c r="G9" i="695" s="1"/>
  <c r="P14" i="540"/>
  <c r="S47" i="542"/>
  <c r="V54" i="542" s="1"/>
  <c r="E30" i="698" s="1"/>
  <c r="P45" i="542"/>
  <c r="V53" i="542" s="1"/>
  <c r="E29" i="698" s="1"/>
  <c r="M45" i="542"/>
  <c r="V52" i="542" s="1"/>
  <c r="E28" i="698" s="1"/>
  <c r="R52" i="542"/>
  <c r="O52" i="542"/>
  <c r="O56" i="542" s="1"/>
  <c r="H48" i="542"/>
  <c r="L49" i="261" s="1"/>
  <c r="L48" i="542"/>
  <c r="L52" i="542"/>
  <c r="L15" i="540"/>
  <c r="L16" i="540" s="1"/>
  <c r="L18" i="540" s="1"/>
  <c r="L19" i="540" s="1"/>
  <c r="M14" i="540"/>
  <c r="U47" i="542" l="1"/>
  <c r="U55" i="542" s="1"/>
  <c r="Q49" i="261"/>
  <c r="E21" i="698" s="1"/>
  <c r="I15" i="540"/>
  <c r="P15" i="540" s="1"/>
  <c r="S54" i="542"/>
  <c r="X48" i="542"/>
  <c r="X49" i="542" s="1"/>
  <c r="Y47" i="542"/>
  <c r="E742" i="91"/>
  <c r="G742" i="91" s="1"/>
  <c r="R56" i="542"/>
  <c r="E751" i="91"/>
  <c r="H18" i="540"/>
  <c r="K48" i="261" s="1"/>
  <c r="S52" i="542"/>
  <c r="P52" i="542"/>
  <c r="E741" i="91"/>
  <c r="E746" i="91"/>
  <c r="E740" i="91"/>
  <c r="G740" i="91" s="1"/>
  <c r="E756" i="91"/>
  <c r="P53" i="542"/>
  <c r="S53" i="542"/>
  <c r="E738" i="91"/>
  <c r="H738" i="91" s="1"/>
  <c r="E750" i="91"/>
  <c r="G750" i="91" s="1"/>
  <c r="E754" i="91"/>
  <c r="I754" i="91" s="1"/>
  <c r="L56" i="542"/>
  <c r="E739" i="91"/>
  <c r="I739" i="91" s="1"/>
  <c r="E743" i="91"/>
  <c r="H743" i="91" s="1"/>
  <c r="E747" i="91"/>
  <c r="G747" i="91" s="1"/>
  <c r="E755" i="91"/>
  <c r="G755" i="91" s="1"/>
  <c r="L49" i="542"/>
  <c r="E744" i="91"/>
  <c r="I744" i="91" s="1"/>
  <c r="E748" i="91"/>
  <c r="H748" i="91" s="1"/>
  <c r="E752" i="91"/>
  <c r="G752" i="91" s="1"/>
  <c r="E745" i="91"/>
  <c r="G745" i="91" s="1"/>
  <c r="E749" i="91"/>
  <c r="I749" i="91" s="1"/>
  <c r="E753" i="91"/>
  <c r="H753" i="91" s="1"/>
  <c r="E757" i="91"/>
  <c r="G757" i="91" s="1"/>
  <c r="M52" i="542"/>
  <c r="H49" i="542"/>
  <c r="M49" i="261" s="1"/>
  <c r="R15" i="540"/>
  <c r="M15" i="540"/>
  <c r="U48" i="542" l="1"/>
  <c r="U49" i="542" s="1"/>
  <c r="T49" i="261" s="1"/>
  <c r="E24" i="698" s="1"/>
  <c r="S49" i="261"/>
  <c r="E23" i="698" s="1"/>
  <c r="U56" i="542"/>
  <c r="C31" i="698"/>
  <c r="C34" i="698" s="1"/>
  <c r="V47" i="542"/>
  <c r="R49" i="261"/>
  <c r="I16" i="540"/>
  <c r="P20" i="540" s="1"/>
  <c r="O48" i="261" s="1"/>
  <c r="S56" i="542"/>
  <c r="E737" i="91"/>
  <c r="G737" i="91" s="1"/>
  <c r="P56" i="542"/>
  <c r="E726" i="91"/>
  <c r="L20" i="540"/>
  <c r="O26" i="540" s="1"/>
  <c r="E731" i="91"/>
  <c r="E736" i="91"/>
  <c r="H21" i="540"/>
  <c r="L48" i="261" s="1"/>
  <c r="E730" i="91"/>
  <c r="G730" i="91" s="1"/>
  <c r="E734" i="91"/>
  <c r="I734" i="91" s="1"/>
  <c r="M56" i="542"/>
  <c r="E723" i="91"/>
  <c r="H723" i="91" s="1"/>
  <c r="E727" i="91"/>
  <c r="G727" i="91" s="1"/>
  <c r="E735" i="91"/>
  <c r="G735" i="91" s="1"/>
  <c r="E724" i="91"/>
  <c r="I724" i="91" s="1"/>
  <c r="E728" i="91"/>
  <c r="H728" i="91" s="1"/>
  <c r="E732" i="91"/>
  <c r="G732" i="91" s="1"/>
  <c r="E725" i="91"/>
  <c r="G725" i="91" s="1"/>
  <c r="E729" i="91"/>
  <c r="I729" i="91" s="1"/>
  <c r="E733" i="91"/>
  <c r="H733" i="91" s="1"/>
  <c r="S15" i="540"/>
  <c r="R16" i="540"/>
  <c r="E22" i="698" l="1"/>
  <c r="G10" i="698"/>
  <c r="V55" i="542"/>
  <c r="O49" i="261"/>
  <c r="O28" i="540"/>
  <c r="C28" i="695"/>
  <c r="C34" i="695" s="1"/>
  <c r="I18" i="540"/>
  <c r="I21" i="540" s="1"/>
  <c r="I22" i="540" s="1"/>
  <c r="P27" i="540"/>
  <c r="E29" i="695" s="1"/>
  <c r="L26" i="540"/>
  <c r="M20" i="540"/>
  <c r="P26" i="540" s="1"/>
  <c r="L21" i="540"/>
  <c r="R19" i="540"/>
  <c r="H22" i="540"/>
  <c r="M48" i="261" s="1"/>
  <c r="R18" i="540"/>
  <c r="E31" i="698" l="1"/>
  <c r="E34" i="698" s="1"/>
  <c r="V56" i="542"/>
  <c r="P28" i="540"/>
  <c r="E28" i="695"/>
  <c r="E34" i="695" s="1"/>
  <c r="M26" i="540"/>
  <c r="L28" i="540"/>
  <c r="R20" i="540"/>
  <c r="L22" i="540"/>
  <c r="E698" i="91"/>
  <c r="E696" i="91"/>
  <c r="E695" i="91"/>
  <c r="E692" i="91"/>
  <c r="R21" i="540" l="1"/>
  <c r="R22" i="540" s="1"/>
  <c r="S20" i="540"/>
  <c r="M28" i="540"/>
  <c r="E697" i="91"/>
  <c r="G697" i="91" s="1"/>
  <c r="E693" i="91"/>
  <c r="E694" i="91"/>
  <c r="G694" i="91" s="1"/>
  <c r="E699" i="91"/>
  <c r="G699" i="91" s="1"/>
  <c r="E649" i="91"/>
  <c r="E647" i="91"/>
  <c r="E646" i="91"/>
  <c r="E644" i="91"/>
  <c r="E643" i="91"/>
  <c r="E641" i="91"/>
  <c r="E640" i="91"/>
  <c r="E651" i="91" l="1"/>
  <c r="E655" i="91"/>
  <c r="E659" i="91"/>
  <c r="G659" i="91" s="1"/>
  <c r="E652" i="91"/>
  <c r="E660" i="91"/>
  <c r="E657" i="91"/>
  <c r="E656" i="91"/>
  <c r="E654" i="91"/>
  <c r="E658" i="91"/>
  <c r="E645" i="91"/>
  <c r="G645" i="91" s="1"/>
  <c r="E642" i="91"/>
  <c r="G642" i="91" s="1"/>
  <c r="E650" i="91"/>
  <c r="G650" i="91" s="1"/>
  <c r="E653" i="91"/>
  <c r="G653" i="91" s="1"/>
  <c r="E661" i="91"/>
  <c r="G661" i="91" s="1"/>
  <c r="E648" i="91"/>
  <c r="G648" i="91" s="1"/>
  <c r="E620" i="91" l="1"/>
  <c r="G620" i="91" s="1"/>
  <c r="E622" i="91"/>
  <c r="G622" i="91" s="1"/>
  <c r="E624" i="91"/>
  <c r="E626" i="91"/>
  <c r="E628" i="91"/>
  <c r="G628" i="91" s="1"/>
  <c r="E618" i="91"/>
  <c r="E619" i="91"/>
  <c r="I619" i="91" s="1"/>
  <c r="E621" i="91"/>
  <c r="E623" i="91"/>
  <c r="E625" i="91"/>
  <c r="G625" i="91" s="1"/>
  <c r="E627" i="91"/>
  <c r="E581" i="91" l="1"/>
  <c r="E579" i="91"/>
  <c r="E578" i="91"/>
  <c r="E575" i="91"/>
  <c r="E573" i="91"/>
  <c r="E571" i="91"/>
  <c r="E570" i="91"/>
  <c r="E568" i="91"/>
  <c r="E567" i="91"/>
  <c r="E565" i="91"/>
  <c r="E562" i="91"/>
  <c r="E560" i="91"/>
  <c r="E557" i="91"/>
  <c r="E554" i="91"/>
  <c r="E551" i="91"/>
  <c r="E549" i="91"/>
  <c r="E547" i="91"/>
  <c r="E546" i="91"/>
  <c r="E543" i="91"/>
  <c r="E545" i="91" l="1"/>
  <c r="G545" i="91" s="1"/>
  <c r="E556" i="91"/>
  <c r="G556" i="91" s="1"/>
  <c r="E558" i="91"/>
  <c r="G558" i="91" s="1"/>
  <c r="E564" i="91"/>
  <c r="G564" i="91" s="1"/>
  <c r="E569" i="91"/>
  <c r="G569" i="91" s="1"/>
  <c r="E580" i="91"/>
  <c r="G580" i="91" s="1"/>
  <c r="E582" i="91"/>
  <c r="G582" i="91" s="1"/>
  <c r="E553" i="91"/>
  <c r="G553" i="91" s="1"/>
  <c r="E566" i="91"/>
  <c r="G566" i="91" s="1"/>
  <c r="E577" i="91"/>
  <c r="G577" i="91" s="1"/>
  <c r="E544" i="91"/>
  <c r="E555" i="91"/>
  <c r="E559" i="91"/>
  <c r="E561" i="91"/>
  <c r="G561" i="91" s="1"/>
  <c r="E563" i="91"/>
  <c r="E548" i="91"/>
  <c r="G548" i="91" s="1"/>
  <c r="E550" i="91"/>
  <c r="G550" i="91" s="1"/>
  <c r="E552" i="91"/>
  <c r="E572" i="91"/>
  <c r="G572" i="91" s="1"/>
  <c r="E574" i="91"/>
  <c r="G574" i="91" s="1"/>
  <c r="E576" i="91"/>
  <c r="L16" i="529"/>
  <c r="U16" i="529" s="1"/>
  <c r="V16" i="529" s="1"/>
  <c r="L14" i="531"/>
  <c r="R14" i="531" s="1"/>
  <c r="S14" i="531" s="1"/>
  <c r="H18" i="531"/>
  <c r="P18" i="531" s="1"/>
  <c r="H17" i="531"/>
  <c r="P17" i="531" s="1"/>
  <c r="H15" i="531"/>
  <c r="H14" i="531"/>
  <c r="P14" i="531" s="1"/>
  <c r="P15" i="531" l="1"/>
  <c r="M18" i="531"/>
  <c r="M15" i="531"/>
  <c r="M17" i="531"/>
  <c r="H16" i="531"/>
  <c r="P16" i="531" s="1"/>
  <c r="L16" i="531"/>
  <c r="R16" i="531" s="1"/>
  <c r="S16" i="531" s="1"/>
  <c r="L19" i="531"/>
  <c r="R19" i="531" s="1"/>
  <c r="S19" i="531" s="1"/>
  <c r="H19" i="531"/>
  <c r="S18" i="531"/>
  <c r="M14" i="531"/>
  <c r="H20" i="531" l="1"/>
  <c r="H36" i="261" s="1"/>
  <c r="G9" i="668" s="1"/>
  <c r="P19" i="531"/>
  <c r="M19" i="531"/>
  <c r="M16" i="531"/>
  <c r="L20" i="531"/>
  <c r="O30" i="531" s="1"/>
  <c r="C28" i="668" s="1"/>
  <c r="C34" i="668" s="1"/>
  <c r="L17" i="529"/>
  <c r="U17" i="529" s="1"/>
  <c r="V17" i="529" s="1"/>
  <c r="H16" i="529"/>
  <c r="H14" i="529"/>
  <c r="P16" i="529" l="1"/>
  <c r="H15" i="529"/>
  <c r="S15" i="529" s="1"/>
  <c r="P14" i="529"/>
  <c r="O32" i="531"/>
  <c r="H22" i="531"/>
  <c r="K36" i="261" s="1"/>
  <c r="P20" i="531"/>
  <c r="O36" i="261" s="1"/>
  <c r="L22" i="531"/>
  <c r="L25" i="531" s="1"/>
  <c r="L26" i="531" s="1"/>
  <c r="L30" i="531"/>
  <c r="L32" i="531" s="1"/>
  <c r="V14" i="529"/>
  <c r="M14" i="529"/>
  <c r="L15" i="529"/>
  <c r="U15" i="529" s="1"/>
  <c r="H17" i="529"/>
  <c r="S17" i="529" s="1"/>
  <c r="M16" i="529"/>
  <c r="R20" i="531"/>
  <c r="M20" i="531"/>
  <c r="P15" i="529" l="1"/>
  <c r="L18" i="529"/>
  <c r="L20" i="529" s="1"/>
  <c r="P31" i="531"/>
  <c r="E29" i="668" s="1"/>
  <c r="M30" i="531"/>
  <c r="M32" i="531" s="1"/>
  <c r="P30" i="531"/>
  <c r="E28" i="668" s="1"/>
  <c r="E34" i="668" s="1"/>
  <c r="H18" i="529"/>
  <c r="H30" i="261" s="1"/>
  <c r="G9" i="660" s="1"/>
  <c r="P17" i="529"/>
  <c r="H25" i="531"/>
  <c r="L36" i="261" s="1"/>
  <c r="E241" i="91"/>
  <c r="G241" i="91" s="1"/>
  <c r="M17" i="529"/>
  <c r="M15" i="529"/>
  <c r="R22" i="531"/>
  <c r="R24" i="531" s="1"/>
  <c r="R25" i="531" s="1"/>
  <c r="R26" i="531" s="1"/>
  <c r="S20" i="531"/>
  <c r="L84" i="527"/>
  <c r="R84" i="527" s="1"/>
  <c r="L83" i="527"/>
  <c r="L81" i="527"/>
  <c r="R81" i="527" s="1"/>
  <c r="L80" i="527"/>
  <c r="R80" i="527" s="1"/>
  <c r="S80" i="527" s="1"/>
  <c r="L78" i="527"/>
  <c r="R78" i="527" s="1"/>
  <c r="L77" i="527"/>
  <c r="L75" i="527"/>
  <c r="R75" i="527" s="1"/>
  <c r="L74" i="527"/>
  <c r="L72" i="527"/>
  <c r="R72" i="527" s="1"/>
  <c r="L71" i="527"/>
  <c r="L69" i="527"/>
  <c r="R69" i="527" s="1"/>
  <c r="L68" i="527"/>
  <c r="L66" i="527"/>
  <c r="R66" i="527" s="1"/>
  <c r="L65" i="527"/>
  <c r="L63" i="527"/>
  <c r="L62" i="527"/>
  <c r="L60" i="527"/>
  <c r="R60" i="527" s="1"/>
  <c r="L59" i="527"/>
  <c r="L57" i="527"/>
  <c r="R57" i="527" s="1"/>
  <c r="L56" i="527"/>
  <c r="L54" i="527"/>
  <c r="R54" i="527" s="1"/>
  <c r="L53" i="527"/>
  <c r="L51" i="527"/>
  <c r="R51" i="527" s="1"/>
  <c r="L50" i="527"/>
  <c r="L48" i="527"/>
  <c r="R48" i="527" s="1"/>
  <c r="L47" i="527"/>
  <c r="L45" i="527"/>
  <c r="R45" i="527" s="1"/>
  <c r="L44" i="527"/>
  <c r="L42" i="527"/>
  <c r="R42" i="527" s="1"/>
  <c r="L41" i="527"/>
  <c r="L39" i="527"/>
  <c r="R39" i="527" s="1"/>
  <c r="L38" i="527"/>
  <c r="L36" i="527"/>
  <c r="R36" i="527" s="1"/>
  <c r="L35" i="527"/>
  <c r="L33" i="527"/>
  <c r="R33" i="527" s="1"/>
  <c r="L32" i="527"/>
  <c r="L30" i="527"/>
  <c r="R30" i="527" s="1"/>
  <c r="L29" i="527"/>
  <c r="L27" i="527"/>
  <c r="R27" i="527" s="1"/>
  <c r="L26" i="527"/>
  <c r="L24" i="527"/>
  <c r="R24" i="527" s="1"/>
  <c r="L23" i="527"/>
  <c r="L21" i="527"/>
  <c r="R21" i="527" s="1"/>
  <c r="L20" i="527"/>
  <c r="L18" i="527"/>
  <c r="R18" i="527" s="1"/>
  <c r="L17" i="527"/>
  <c r="L15" i="527"/>
  <c r="L14" i="527"/>
  <c r="H84" i="527"/>
  <c r="H83" i="527"/>
  <c r="H81" i="527"/>
  <c r="H80" i="527"/>
  <c r="H78" i="527"/>
  <c r="H77" i="527"/>
  <c r="H75" i="527"/>
  <c r="H74" i="527"/>
  <c r="H72" i="527"/>
  <c r="H71" i="527"/>
  <c r="H69" i="527"/>
  <c r="H68" i="527"/>
  <c r="H66" i="527"/>
  <c r="H65" i="527"/>
  <c r="H63" i="527"/>
  <c r="H62" i="527"/>
  <c r="H60" i="527"/>
  <c r="H59" i="527"/>
  <c r="H57" i="527"/>
  <c r="H56" i="527"/>
  <c r="H54" i="527"/>
  <c r="H53" i="527"/>
  <c r="H51" i="527"/>
  <c r="H50" i="527"/>
  <c r="H48" i="527"/>
  <c r="H47" i="527"/>
  <c r="H45" i="527"/>
  <c r="H44" i="527"/>
  <c r="H42" i="527"/>
  <c r="H41" i="527"/>
  <c r="H39" i="527"/>
  <c r="H38" i="527"/>
  <c r="H36" i="527"/>
  <c r="H35" i="527"/>
  <c r="H33" i="527"/>
  <c r="H32" i="527"/>
  <c r="H30" i="527"/>
  <c r="H29" i="527"/>
  <c r="H27" i="527"/>
  <c r="H26" i="527"/>
  <c r="H24" i="527"/>
  <c r="H23" i="527"/>
  <c r="H21" i="527"/>
  <c r="H20" i="527"/>
  <c r="H18" i="527"/>
  <c r="H17" i="527"/>
  <c r="H15" i="527"/>
  <c r="H14" i="527"/>
  <c r="P32" i="531" l="1"/>
  <c r="L28" i="529"/>
  <c r="L30" i="529" s="1"/>
  <c r="R28" i="529"/>
  <c r="C28" i="660" s="1"/>
  <c r="C34" i="660" s="1"/>
  <c r="L23" i="529"/>
  <c r="L24" i="529" s="1"/>
  <c r="O28" i="529"/>
  <c r="O30" i="529" s="1"/>
  <c r="L55" i="527"/>
  <c r="R55" i="527" s="1"/>
  <c r="L61" i="527"/>
  <c r="R61" i="527" s="1"/>
  <c r="E127" i="91"/>
  <c r="G127" i="91" s="1"/>
  <c r="R15" i="527"/>
  <c r="M63" i="527"/>
  <c r="R63" i="527"/>
  <c r="S63" i="527" s="1"/>
  <c r="E128" i="91"/>
  <c r="R17" i="527"/>
  <c r="S17" i="527" s="1"/>
  <c r="E136" i="91"/>
  <c r="R29" i="527"/>
  <c r="S29" i="527" s="1"/>
  <c r="E144" i="91"/>
  <c r="R41" i="527"/>
  <c r="S41" i="527" s="1"/>
  <c r="E156" i="91"/>
  <c r="R59" i="527"/>
  <c r="S59" i="527" s="1"/>
  <c r="E164" i="91"/>
  <c r="R71" i="527"/>
  <c r="S71" i="527" s="1"/>
  <c r="E172" i="91"/>
  <c r="R83" i="527"/>
  <c r="S83" i="527" s="1"/>
  <c r="L85" i="527"/>
  <c r="R85" i="527" s="1"/>
  <c r="H26" i="531"/>
  <c r="M36" i="261" s="1"/>
  <c r="M65" i="527"/>
  <c r="M77" i="527"/>
  <c r="L70" i="527"/>
  <c r="R70" i="527" s="1"/>
  <c r="M23" i="527"/>
  <c r="R23" i="527"/>
  <c r="S23" i="527" s="1"/>
  <c r="E140" i="91"/>
  <c r="R35" i="527"/>
  <c r="S35" i="527" s="1"/>
  <c r="E148" i="91"/>
  <c r="R47" i="527"/>
  <c r="S47" i="527" s="1"/>
  <c r="E152" i="91"/>
  <c r="R53" i="527"/>
  <c r="S53" i="527" s="1"/>
  <c r="E160" i="91"/>
  <c r="R65" i="527"/>
  <c r="S65" i="527" s="1"/>
  <c r="E168" i="91"/>
  <c r="R77" i="527"/>
  <c r="S77" i="527" s="1"/>
  <c r="L58" i="527"/>
  <c r="R58" i="527" s="1"/>
  <c r="E126" i="91"/>
  <c r="R14" i="527"/>
  <c r="S14" i="527" s="1"/>
  <c r="E130" i="91"/>
  <c r="R20" i="527"/>
  <c r="S20" i="527" s="1"/>
  <c r="E134" i="91"/>
  <c r="R26" i="527"/>
  <c r="S26" i="527" s="1"/>
  <c r="E138" i="91"/>
  <c r="R32" i="527"/>
  <c r="S32" i="527" s="1"/>
  <c r="E142" i="91"/>
  <c r="R38" i="527"/>
  <c r="S38" i="527" s="1"/>
  <c r="E146" i="91"/>
  <c r="R44" i="527"/>
  <c r="S44" i="527" s="1"/>
  <c r="E150" i="91"/>
  <c r="R50" i="527"/>
  <c r="S50" i="527" s="1"/>
  <c r="E154" i="91"/>
  <c r="R56" i="527"/>
  <c r="S56" i="527" s="1"/>
  <c r="E158" i="91"/>
  <c r="R62" i="527"/>
  <c r="S62" i="527" s="1"/>
  <c r="E162" i="91"/>
  <c r="R68" i="527"/>
  <c r="S68" i="527" s="1"/>
  <c r="E166" i="91"/>
  <c r="R74" i="527"/>
  <c r="S74" i="527" s="1"/>
  <c r="H19" i="527"/>
  <c r="P19" i="527" s="1"/>
  <c r="L19" i="527"/>
  <c r="R19" i="527" s="1"/>
  <c r="E129" i="91"/>
  <c r="G129" i="91" s="1"/>
  <c r="L25" i="527"/>
  <c r="R25" i="527" s="1"/>
  <c r="E133" i="91"/>
  <c r="G133" i="91" s="1"/>
  <c r="S30" i="527"/>
  <c r="E137" i="91"/>
  <c r="G137" i="91" s="1"/>
  <c r="S36" i="527"/>
  <c r="E141" i="91"/>
  <c r="G141" i="91" s="1"/>
  <c r="S42" i="527"/>
  <c r="E145" i="91"/>
  <c r="G145" i="91" s="1"/>
  <c r="L49" i="527"/>
  <c r="R49" i="527" s="1"/>
  <c r="E149" i="91"/>
  <c r="G149" i="91" s="1"/>
  <c r="M54" i="527"/>
  <c r="E153" i="91"/>
  <c r="G153" i="91" s="1"/>
  <c r="M60" i="527"/>
  <c r="E157" i="91"/>
  <c r="G157" i="91" s="1"/>
  <c r="S66" i="527"/>
  <c r="E161" i="91"/>
  <c r="G161" i="91" s="1"/>
  <c r="L73" i="527"/>
  <c r="R73" i="527" s="1"/>
  <c r="E165" i="91"/>
  <c r="G165" i="91" s="1"/>
  <c r="S78" i="527"/>
  <c r="E169" i="91"/>
  <c r="G169" i="91" s="1"/>
  <c r="S84" i="527"/>
  <c r="E173" i="91"/>
  <c r="G173" i="91" s="1"/>
  <c r="M20" i="527"/>
  <c r="M32" i="527"/>
  <c r="M44" i="527"/>
  <c r="M62" i="527"/>
  <c r="M71" i="527"/>
  <c r="M83" i="527"/>
  <c r="S54" i="527"/>
  <c r="E170" i="91"/>
  <c r="M14" i="527"/>
  <c r="M35" i="527"/>
  <c r="M47" i="527"/>
  <c r="M56" i="527"/>
  <c r="M74" i="527"/>
  <c r="M21" i="527"/>
  <c r="E131" i="91"/>
  <c r="G131" i="91" s="1"/>
  <c r="M27" i="527"/>
  <c r="E135" i="91"/>
  <c r="G135" i="91" s="1"/>
  <c r="M33" i="527"/>
  <c r="E139" i="91"/>
  <c r="G139" i="91" s="1"/>
  <c r="M39" i="527"/>
  <c r="E143" i="91"/>
  <c r="G143" i="91" s="1"/>
  <c r="M45" i="527"/>
  <c r="E147" i="91"/>
  <c r="G147" i="91" s="1"/>
  <c r="M51" i="527"/>
  <c r="E151" i="91"/>
  <c r="G151" i="91" s="1"/>
  <c r="M57" i="527"/>
  <c r="E155" i="91"/>
  <c r="G155" i="91" s="1"/>
  <c r="L64" i="527"/>
  <c r="R64" i="527" s="1"/>
  <c r="E159" i="91"/>
  <c r="G159" i="91" s="1"/>
  <c r="M69" i="527"/>
  <c r="E163" i="91"/>
  <c r="G163" i="91" s="1"/>
  <c r="M75" i="527"/>
  <c r="E167" i="91"/>
  <c r="G167" i="91" s="1"/>
  <c r="M81" i="527"/>
  <c r="E171" i="91"/>
  <c r="G171" i="91" s="1"/>
  <c r="M17" i="527"/>
  <c r="M26" i="527"/>
  <c r="M38" i="527"/>
  <c r="M50" i="527"/>
  <c r="S33" i="527"/>
  <c r="S57" i="527"/>
  <c r="S81" i="527"/>
  <c r="E132" i="91"/>
  <c r="M18" i="527"/>
  <c r="M29" i="527"/>
  <c r="M41" i="527"/>
  <c r="M53" i="527"/>
  <c r="M59" i="527"/>
  <c r="M68" i="527"/>
  <c r="M80" i="527"/>
  <c r="V15" i="529"/>
  <c r="U18" i="529"/>
  <c r="U20" i="529" s="1"/>
  <c r="U22" i="529" s="1"/>
  <c r="M84" i="527"/>
  <c r="L79" i="527"/>
  <c r="R79" i="527" s="1"/>
  <c r="M78" i="527"/>
  <c r="L76" i="527"/>
  <c r="R76" i="527" s="1"/>
  <c r="M72" i="527"/>
  <c r="S69" i="527"/>
  <c r="M66" i="527"/>
  <c r="L67" i="527"/>
  <c r="L52" i="527"/>
  <c r="R52" i="527" s="1"/>
  <c r="S51" i="527"/>
  <c r="S48" i="527"/>
  <c r="M48" i="527"/>
  <c r="S45" i="527"/>
  <c r="L43" i="527"/>
  <c r="R43" i="527" s="1"/>
  <c r="M42" i="527"/>
  <c r="L40" i="527"/>
  <c r="R40" i="527" s="1"/>
  <c r="S39" i="527"/>
  <c r="L37" i="527"/>
  <c r="R37" i="527" s="1"/>
  <c r="M36" i="527"/>
  <c r="L34" i="527"/>
  <c r="R34" i="527" s="1"/>
  <c r="M30" i="527"/>
  <c r="L31" i="527"/>
  <c r="R31" i="527" s="1"/>
  <c r="L28" i="527"/>
  <c r="M24" i="527"/>
  <c r="L22" i="527"/>
  <c r="R22" i="527" s="1"/>
  <c r="S21" i="527"/>
  <c r="S18" i="527"/>
  <c r="L16" i="527"/>
  <c r="R16" i="527" s="1"/>
  <c r="M15" i="527"/>
  <c r="L82" i="527"/>
  <c r="R82" i="527" s="1"/>
  <c r="S72" i="527"/>
  <c r="L46" i="527"/>
  <c r="R46" i="527" s="1"/>
  <c r="S24" i="527"/>
  <c r="S75" i="527"/>
  <c r="S60" i="527"/>
  <c r="S27" i="527"/>
  <c r="H25" i="527"/>
  <c r="P25" i="527" s="1"/>
  <c r="H31" i="527"/>
  <c r="P31" i="527" s="1"/>
  <c r="H37" i="527"/>
  <c r="P37" i="527" s="1"/>
  <c r="H43" i="527"/>
  <c r="P43" i="527" s="1"/>
  <c r="H49" i="527"/>
  <c r="P49" i="527" s="1"/>
  <c r="H55" i="527"/>
  <c r="H61" i="527"/>
  <c r="H67" i="527"/>
  <c r="P67" i="527" s="1"/>
  <c r="H73" i="527"/>
  <c r="H79" i="527"/>
  <c r="P79" i="527" s="1"/>
  <c r="H85" i="527"/>
  <c r="H16" i="527"/>
  <c r="H22" i="527"/>
  <c r="P22" i="527" s="1"/>
  <c r="H28" i="527"/>
  <c r="P28" i="527" s="1"/>
  <c r="H34" i="527"/>
  <c r="P34" i="527" s="1"/>
  <c r="H40" i="527"/>
  <c r="P40" i="527" s="1"/>
  <c r="H46" i="527"/>
  <c r="P46" i="527" s="1"/>
  <c r="H52" i="527"/>
  <c r="P52" i="527" s="1"/>
  <c r="H58" i="527"/>
  <c r="H64" i="527"/>
  <c r="P64" i="527" s="1"/>
  <c r="H70" i="527"/>
  <c r="H76" i="527"/>
  <c r="P76" i="527" s="1"/>
  <c r="H82" i="527"/>
  <c r="P82" i="527" s="1"/>
  <c r="L56" i="526"/>
  <c r="R56" i="526" s="1"/>
  <c r="L55" i="526"/>
  <c r="R55" i="526" s="1"/>
  <c r="S55" i="526" s="1"/>
  <c r="L53" i="526"/>
  <c r="R53" i="526" s="1"/>
  <c r="L52" i="526"/>
  <c r="R52" i="526" s="1"/>
  <c r="S52" i="526" s="1"/>
  <c r="L50" i="526"/>
  <c r="R50" i="526" s="1"/>
  <c r="L49" i="526"/>
  <c r="R49" i="526" s="1"/>
  <c r="S49" i="526" s="1"/>
  <c r="L47" i="526"/>
  <c r="R47" i="526" s="1"/>
  <c r="L46" i="526"/>
  <c r="R46" i="526" s="1"/>
  <c r="S46" i="526" s="1"/>
  <c r="L44" i="526"/>
  <c r="R44" i="526" s="1"/>
  <c r="L43" i="526"/>
  <c r="R43" i="526" s="1"/>
  <c r="S43" i="526" s="1"/>
  <c r="L41" i="526"/>
  <c r="R41" i="526" s="1"/>
  <c r="L40" i="526"/>
  <c r="R40" i="526" s="1"/>
  <c r="S40" i="526" s="1"/>
  <c r="L38" i="526"/>
  <c r="R38" i="526" s="1"/>
  <c r="L37" i="526"/>
  <c r="R37" i="526" s="1"/>
  <c r="S37" i="526" s="1"/>
  <c r="L35" i="526"/>
  <c r="R35" i="526" s="1"/>
  <c r="L34" i="526"/>
  <c r="R34" i="526" s="1"/>
  <c r="S34" i="526" s="1"/>
  <c r="L32" i="526"/>
  <c r="L31" i="526"/>
  <c r="R31" i="526" s="1"/>
  <c r="S31" i="526" s="1"/>
  <c r="L29" i="526"/>
  <c r="R29" i="526" s="1"/>
  <c r="L28" i="526"/>
  <c r="R28" i="526" s="1"/>
  <c r="S28" i="526" s="1"/>
  <c r="L26" i="526"/>
  <c r="R26" i="526" s="1"/>
  <c r="L25" i="526"/>
  <c r="R25" i="526" s="1"/>
  <c r="S25" i="526" s="1"/>
  <c r="L23" i="526"/>
  <c r="R23" i="526" s="1"/>
  <c r="L21" i="526"/>
  <c r="R21" i="526" s="1"/>
  <c r="L20" i="526"/>
  <c r="L18" i="526"/>
  <c r="R18" i="526" s="1"/>
  <c r="L17" i="526"/>
  <c r="R17" i="526" s="1"/>
  <c r="S17" i="526" s="1"/>
  <c r="H56" i="526"/>
  <c r="H55" i="526"/>
  <c r="H53" i="526"/>
  <c r="H52" i="526"/>
  <c r="H50" i="526"/>
  <c r="H49" i="526"/>
  <c r="H47" i="526"/>
  <c r="H46" i="526"/>
  <c r="H44" i="526"/>
  <c r="H43" i="526"/>
  <c r="H41" i="526"/>
  <c r="H40" i="526"/>
  <c r="H38" i="526"/>
  <c r="H37" i="526"/>
  <c r="H35" i="526"/>
  <c r="H34" i="526"/>
  <c r="H32" i="526"/>
  <c r="H31" i="526"/>
  <c r="H29" i="526"/>
  <c r="H28" i="526"/>
  <c r="H26" i="526"/>
  <c r="H25" i="526"/>
  <c r="H23" i="526"/>
  <c r="H21" i="526"/>
  <c r="H20" i="526"/>
  <c r="H18" i="526"/>
  <c r="H17" i="526"/>
  <c r="H15" i="526"/>
  <c r="H14" i="526"/>
  <c r="R31" i="529" l="1"/>
  <c r="U23" i="529"/>
  <c r="U24" i="529" s="1"/>
  <c r="S70" i="527"/>
  <c r="S37" i="527"/>
  <c r="L19" i="526"/>
  <c r="R19" i="526" s="1"/>
  <c r="S19" i="527"/>
  <c r="M15" i="526"/>
  <c r="H30" i="526"/>
  <c r="P30" i="526" s="1"/>
  <c r="H54" i="526"/>
  <c r="P54" i="526" s="1"/>
  <c r="H24" i="526"/>
  <c r="P24" i="526" s="1"/>
  <c r="M58" i="527"/>
  <c r="P58" i="527"/>
  <c r="S55" i="527"/>
  <c r="P55" i="527"/>
  <c r="M19" i="527"/>
  <c r="R67" i="527"/>
  <c r="S67" i="527" s="1"/>
  <c r="L22" i="526"/>
  <c r="R22" i="526" s="1"/>
  <c r="R20" i="526"/>
  <c r="S20" i="526" s="1"/>
  <c r="L33" i="526"/>
  <c r="R33" i="526" s="1"/>
  <c r="R32" i="526"/>
  <c r="S32" i="526" s="1"/>
  <c r="H86" i="527"/>
  <c r="P16" i="527"/>
  <c r="M85" i="527"/>
  <c r="P85" i="527"/>
  <c r="M61" i="527"/>
  <c r="P61" i="527"/>
  <c r="M14" i="526"/>
  <c r="M70" i="527"/>
  <c r="P70" i="527"/>
  <c r="M73" i="527"/>
  <c r="P73" i="527"/>
  <c r="M28" i="527"/>
  <c r="R28" i="527"/>
  <c r="S28" i="527" s="1"/>
  <c r="H20" i="529"/>
  <c r="K30" i="261" s="1"/>
  <c r="E99" i="91"/>
  <c r="M17" i="526"/>
  <c r="S23" i="526"/>
  <c r="E103" i="91"/>
  <c r="H103" i="91" s="1"/>
  <c r="M23" i="526"/>
  <c r="L30" i="526"/>
  <c r="E107" i="91"/>
  <c r="G107" i="91" s="1"/>
  <c r="M29" i="526"/>
  <c r="S35" i="526"/>
  <c r="E111" i="91"/>
  <c r="G111" i="91" s="1"/>
  <c r="M35" i="526"/>
  <c r="S41" i="526"/>
  <c r="E115" i="91"/>
  <c r="G115" i="91" s="1"/>
  <c r="M41" i="526"/>
  <c r="E119" i="91"/>
  <c r="G119" i="91" s="1"/>
  <c r="M47" i="526"/>
  <c r="E123" i="91"/>
  <c r="G123" i="91" s="1"/>
  <c r="M53" i="526"/>
  <c r="S25" i="527"/>
  <c r="S79" i="527"/>
  <c r="S61" i="527"/>
  <c r="H33" i="526"/>
  <c r="H39" i="526"/>
  <c r="P39" i="526" s="1"/>
  <c r="H45" i="526"/>
  <c r="P45" i="526" s="1"/>
  <c r="H51" i="526"/>
  <c r="P51" i="526" s="1"/>
  <c r="H57" i="526"/>
  <c r="P57" i="526" s="1"/>
  <c r="S18" i="526"/>
  <c r="E100" i="91"/>
  <c r="G100" i="91" s="1"/>
  <c r="M18" i="526"/>
  <c r="L27" i="526"/>
  <c r="R27" i="526" s="1"/>
  <c r="E104" i="91"/>
  <c r="M25" i="526"/>
  <c r="E108" i="91"/>
  <c r="M31" i="526"/>
  <c r="E112" i="91"/>
  <c r="M37" i="526"/>
  <c r="E116" i="91"/>
  <c r="M43" i="526"/>
  <c r="L51" i="526"/>
  <c r="R51" i="526" s="1"/>
  <c r="E120" i="91"/>
  <c r="M49" i="526"/>
  <c r="E124" i="91"/>
  <c r="M55" i="526"/>
  <c r="S49" i="527"/>
  <c r="M79" i="527"/>
  <c r="M64" i="527"/>
  <c r="M55" i="527"/>
  <c r="S85" i="527"/>
  <c r="L16" i="526"/>
  <c r="R16" i="526" s="1"/>
  <c r="E97" i="91"/>
  <c r="E101" i="91"/>
  <c r="M20" i="526"/>
  <c r="E105" i="91"/>
  <c r="G105" i="91" s="1"/>
  <c r="M26" i="526"/>
  <c r="E109" i="91"/>
  <c r="G109" i="91" s="1"/>
  <c r="M32" i="526"/>
  <c r="E113" i="91"/>
  <c r="G113" i="91" s="1"/>
  <c r="M38" i="526"/>
  <c r="E117" i="91"/>
  <c r="G117" i="91" s="1"/>
  <c r="M44" i="526"/>
  <c r="E121" i="91"/>
  <c r="G121" i="91" s="1"/>
  <c r="M50" i="526"/>
  <c r="L57" i="526"/>
  <c r="E125" i="91"/>
  <c r="G125" i="91" s="1"/>
  <c r="M56" i="526"/>
  <c r="S58" i="527"/>
  <c r="M16" i="527"/>
  <c r="M67" i="527"/>
  <c r="S73" i="527"/>
  <c r="M49" i="527"/>
  <c r="M25" i="527"/>
  <c r="E98" i="91"/>
  <c r="G98" i="91" s="1"/>
  <c r="E102" i="91"/>
  <c r="G102" i="91" s="1"/>
  <c r="M21" i="526"/>
  <c r="E106" i="91"/>
  <c r="M28" i="526"/>
  <c r="E110" i="91"/>
  <c r="M34" i="526"/>
  <c r="E114" i="91"/>
  <c r="M40" i="526"/>
  <c r="E118" i="91"/>
  <c r="M46" i="526"/>
  <c r="E122" i="91"/>
  <c r="M52" i="526"/>
  <c r="S16" i="527"/>
  <c r="S64" i="527"/>
  <c r="M37" i="527"/>
  <c r="S82" i="527"/>
  <c r="M82" i="527"/>
  <c r="S76" i="527"/>
  <c r="M76" i="527"/>
  <c r="S52" i="527"/>
  <c r="M52" i="527"/>
  <c r="S46" i="527"/>
  <c r="M46" i="527"/>
  <c r="S43" i="527"/>
  <c r="M43" i="527"/>
  <c r="S40" i="527"/>
  <c r="M40" i="527"/>
  <c r="S34" i="527"/>
  <c r="M34" i="527"/>
  <c r="S31" i="527"/>
  <c r="M31" i="527"/>
  <c r="S22" i="527"/>
  <c r="M22" i="527"/>
  <c r="S15" i="527"/>
  <c r="L86" i="527"/>
  <c r="O95" i="527" s="1"/>
  <c r="C28" i="639" s="1"/>
  <c r="C34" i="639" s="1"/>
  <c r="S53" i="526"/>
  <c r="S56" i="526"/>
  <c r="L54" i="526"/>
  <c r="R54" i="526" s="1"/>
  <c r="S38" i="526"/>
  <c r="L42" i="526"/>
  <c r="R42" i="526" s="1"/>
  <c r="L24" i="526"/>
  <c r="R24" i="526" s="1"/>
  <c r="H16" i="526"/>
  <c r="P16" i="526" s="1"/>
  <c r="L48" i="526"/>
  <c r="R48" i="526" s="1"/>
  <c r="S29" i="526"/>
  <c r="S47" i="526"/>
  <c r="L36" i="526"/>
  <c r="R36" i="526" s="1"/>
  <c r="L45" i="526"/>
  <c r="L39" i="526"/>
  <c r="R39" i="526" s="1"/>
  <c r="S50" i="526"/>
  <c r="S44" i="526"/>
  <c r="S26" i="526"/>
  <c r="S21" i="526"/>
  <c r="H19" i="526"/>
  <c r="H36" i="526"/>
  <c r="H48" i="526"/>
  <c r="P48" i="526" s="1"/>
  <c r="H22" i="526"/>
  <c r="H27" i="526"/>
  <c r="P27" i="526" s="1"/>
  <c r="H42" i="526"/>
  <c r="P42" i="526" s="1"/>
  <c r="P90" i="527" l="1"/>
  <c r="O16" i="261" s="1"/>
  <c r="H16" i="261"/>
  <c r="G9" i="639" s="1"/>
  <c r="P22" i="529"/>
  <c r="S22" i="529"/>
  <c r="O30" i="261" s="1"/>
  <c r="V22" i="529"/>
  <c r="S33" i="526"/>
  <c r="M57" i="526"/>
  <c r="R57" i="526"/>
  <c r="S57" i="526" s="1"/>
  <c r="M33" i="526"/>
  <c r="P33" i="526"/>
  <c r="S22" i="526"/>
  <c r="P22" i="526"/>
  <c r="M45" i="526"/>
  <c r="R45" i="526"/>
  <c r="S45" i="526" s="1"/>
  <c r="H23" i="529"/>
  <c r="L30" i="261" s="1"/>
  <c r="M20" i="529"/>
  <c r="S28" i="529" s="1"/>
  <c r="E28" i="660" s="1"/>
  <c r="M19" i="526"/>
  <c r="P19" i="526"/>
  <c r="M30" i="526"/>
  <c r="R30" i="526"/>
  <c r="S30" i="526" s="1"/>
  <c r="O97" i="527"/>
  <c r="H58" i="526"/>
  <c r="H15" i="261" s="1"/>
  <c r="G9" i="638" s="1"/>
  <c r="P36" i="526"/>
  <c r="S27" i="526"/>
  <c r="H88" i="527"/>
  <c r="K16" i="261" s="1"/>
  <c r="M16" i="526"/>
  <c r="S24" i="526"/>
  <c r="M24" i="526"/>
  <c r="S16" i="526"/>
  <c r="S39" i="526"/>
  <c r="M39" i="526"/>
  <c r="S48" i="526"/>
  <c r="M48" i="526"/>
  <c r="M42" i="526"/>
  <c r="S54" i="526"/>
  <c r="M54" i="526"/>
  <c r="S51" i="526"/>
  <c r="M51" i="526"/>
  <c r="M36" i="526"/>
  <c r="M27" i="526"/>
  <c r="M22" i="526"/>
  <c r="R86" i="527"/>
  <c r="S90" i="527" s="1"/>
  <c r="L88" i="527"/>
  <c r="M86" i="527"/>
  <c r="P95" i="527" s="1"/>
  <c r="E28" i="639" s="1"/>
  <c r="L95" i="527"/>
  <c r="S36" i="526"/>
  <c r="S42" i="526"/>
  <c r="S19" i="526"/>
  <c r="L58" i="526"/>
  <c r="O68" i="526" s="1"/>
  <c r="C28" i="638" s="1"/>
  <c r="C34" i="638" s="1"/>
  <c r="S15" i="526"/>
  <c r="E880" i="91"/>
  <c r="E877" i="91"/>
  <c r="E875" i="91"/>
  <c r="E846" i="91"/>
  <c r="E844" i="91"/>
  <c r="E842" i="91"/>
  <c r="E838" i="91"/>
  <c r="E822" i="91"/>
  <c r="E820" i="91"/>
  <c r="O28" i="455"/>
  <c r="O26" i="455"/>
  <c r="O24" i="455"/>
  <c r="O23" i="455"/>
  <c r="O21" i="455"/>
  <c r="O20" i="455"/>
  <c r="O18" i="455"/>
  <c r="O17" i="455"/>
  <c r="O15" i="455"/>
  <c r="O14" i="455"/>
  <c r="L26" i="455"/>
  <c r="L24" i="455"/>
  <c r="L23" i="455"/>
  <c r="L21" i="455"/>
  <c r="L20" i="455"/>
  <c r="L18" i="455"/>
  <c r="L17" i="455"/>
  <c r="L15" i="455"/>
  <c r="L14" i="455"/>
  <c r="E791" i="91"/>
  <c r="G791" i="91" s="1"/>
  <c r="E788" i="91"/>
  <c r="Q51" i="400"/>
  <c r="Q50" i="400"/>
  <c r="Q48" i="400"/>
  <c r="Q47" i="400"/>
  <c r="Q46" i="400"/>
  <c r="Q44" i="400"/>
  <c r="Q43" i="400"/>
  <c r="Q41" i="400"/>
  <c r="Q40" i="400"/>
  <c r="Q39" i="400"/>
  <c r="Q37" i="400"/>
  <c r="Q36" i="400"/>
  <c r="Q34" i="400"/>
  <c r="Q33" i="400"/>
  <c r="Q32" i="400"/>
  <c r="Q30" i="400"/>
  <c r="Q29" i="400"/>
  <c r="Q27" i="400"/>
  <c r="Q26" i="400"/>
  <c r="Q25" i="400"/>
  <c r="Q23" i="400"/>
  <c r="Q22" i="400"/>
  <c r="Q20" i="400"/>
  <c r="Q18" i="400"/>
  <c r="Q16" i="400"/>
  <c r="Q15" i="400"/>
  <c r="Q14" i="400"/>
  <c r="Q44" i="447"/>
  <c r="Q43" i="447"/>
  <c r="Q41" i="447"/>
  <c r="Q40" i="447"/>
  <c r="Q39" i="447"/>
  <c r="Q37" i="447"/>
  <c r="Q36" i="447"/>
  <c r="Q34" i="447"/>
  <c r="Q33" i="447"/>
  <c r="Q32" i="447"/>
  <c r="Q30" i="447"/>
  <c r="Q29" i="447"/>
  <c r="Q27" i="447"/>
  <c r="Q26" i="447"/>
  <c r="Q25" i="447"/>
  <c r="Q23" i="447"/>
  <c r="Q22" i="447"/>
  <c r="Q20" i="447"/>
  <c r="Q19" i="447"/>
  <c r="Q18" i="447"/>
  <c r="Q16" i="447"/>
  <c r="Q15" i="447"/>
  <c r="S30" i="529" l="1"/>
  <c r="E30" i="660" s="1"/>
  <c r="P29" i="529"/>
  <c r="S29" i="529"/>
  <c r="E29" i="660" s="1"/>
  <c r="H60" i="526"/>
  <c r="P62" i="526"/>
  <c r="O15" i="261" s="1"/>
  <c r="O27" i="455"/>
  <c r="H91" i="527"/>
  <c r="L16" i="261" s="1"/>
  <c r="O70" i="526"/>
  <c r="P28" i="529"/>
  <c r="M28" i="529"/>
  <c r="M30" i="529" s="1"/>
  <c r="O31" i="400"/>
  <c r="O16" i="455"/>
  <c r="H24" i="529"/>
  <c r="P96" i="527"/>
  <c r="E29" i="639" s="1"/>
  <c r="E34" i="639" s="1"/>
  <c r="O45" i="400"/>
  <c r="O19" i="455"/>
  <c r="O25" i="455"/>
  <c r="E843" i="91"/>
  <c r="G843" i="91" s="1"/>
  <c r="E823" i="91"/>
  <c r="G823" i="91" s="1"/>
  <c r="E827" i="91"/>
  <c r="E840" i="91"/>
  <c r="E848" i="91"/>
  <c r="E878" i="91"/>
  <c r="L97" i="527"/>
  <c r="E847" i="91"/>
  <c r="G847" i="91" s="1"/>
  <c r="R88" i="527"/>
  <c r="R90" i="527" s="1"/>
  <c r="O24" i="447"/>
  <c r="E789" i="91"/>
  <c r="J789" i="91" s="1"/>
  <c r="E824" i="91"/>
  <c r="E841" i="91"/>
  <c r="G841" i="91" s="1"/>
  <c r="E845" i="91"/>
  <c r="G845" i="91" s="1"/>
  <c r="E879" i="91"/>
  <c r="M95" i="527"/>
  <c r="E826" i="91"/>
  <c r="H826" i="91" s="1"/>
  <c r="E839" i="91"/>
  <c r="G839" i="91" s="1"/>
  <c r="O38" i="447"/>
  <c r="O45" i="447"/>
  <c r="E790" i="91"/>
  <c r="J790" i="91" s="1"/>
  <c r="E821" i="91"/>
  <c r="G821" i="91" s="1"/>
  <c r="E825" i="91"/>
  <c r="E849" i="91"/>
  <c r="E876" i="91"/>
  <c r="G876" i="91" s="1"/>
  <c r="L91" i="527"/>
  <c r="M58" i="526"/>
  <c r="P68" i="526" s="1"/>
  <c r="E28" i="638" s="1"/>
  <c r="L68" i="526"/>
  <c r="L60" i="526"/>
  <c r="R58" i="526"/>
  <c r="R60" i="526" s="1"/>
  <c r="R62" i="526" s="1"/>
  <c r="S62" i="526" s="1"/>
  <c r="O29" i="455"/>
  <c r="O22" i="455"/>
  <c r="O52" i="400"/>
  <c r="O49" i="400"/>
  <c r="O42" i="400"/>
  <c r="O38" i="400"/>
  <c r="O35" i="400"/>
  <c r="O28" i="400"/>
  <c r="O24" i="400"/>
  <c r="O21" i="400"/>
  <c r="O17" i="400"/>
  <c r="O42" i="447"/>
  <c r="O31" i="447"/>
  <c r="O28" i="447"/>
  <c r="O21" i="447"/>
  <c r="O17" i="447"/>
  <c r="O35" i="447"/>
  <c r="E783" i="91"/>
  <c r="E781" i="91"/>
  <c r="E778" i="91"/>
  <c r="E776" i="91"/>
  <c r="E773" i="91"/>
  <c r="E769" i="91"/>
  <c r="E762" i="91"/>
  <c r="E760" i="91"/>
  <c r="E758" i="91"/>
  <c r="O22" i="399"/>
  <c r="O21" i="399"/>
  <c r="O20" i="399"/>
  <c r="O14" i="399"/>
  <c r="O15" i="399" s="1"/>
  <c r="O16" i="445"/>
  <c r="O15" i="445"/>
  <c r="O14" i="445"/>
  <c r="E673" i="91"/>
  <c r="H673" i="91" s="1"/>
  <c r="O32" i="398"/>
  <c r="O30" i="398"/>
  <c r="O28" i="398"/>
  <c r="O26" i="398"/>
  <c r="O24" i="398"/>
  <c r="O22" i="398"/>
  <c r="O20" i="398"/>
  <c r="O18" i="398"/>
  <c r="O16" i="398"/>
  <c r="O14" i="398"/>
  <c r="E616" i="91"/>
  <c r="E613" i="91"/>
  <c r="E610" i="91"/>
  <c r="E609" i="91"/>
  <c r="G609" i="91" s="1"/>
  <c r="E608" i="91"/>
  <c r="E607" i="91"/>
  <c r="E34" i="660" l="1"/>
  <c r="H63" i="526"/>
  <c r="L15" i="261" s="1"/>
  <c r="K15" i="261"/>
  <c r="S31" i="529"/>
  <c r="P30" i="529"/>
  <c r="U31" i="455"/>
  <c r="U32" i="455" s="1"/>
  <c r="U33" i="455" s="1"/>
  <c r="U34" i="455" s="1"/>
  <c r="AA43" i="455" s="1"/>
  <c r="C31" i="703" s="1"/>
  <c r="O30" i="455"/>
  <c r="H92" i="527"/>
  <c r="M16" i="261" s="1"/>
  <c r="R63" i="526"/>
  <c r="R64" i="526" s="1"/>
  <c r="R91" i="527"/>
  <c r="R92" i="527" s="1"/>
  <c r="P69" i="526"/>
  <c r="E29" i="638" s="1"/>
  <c r="E34" i="638" s="1"/>
  <c r="P97" i="527"/>
  <c r="E668" i="91"/>
  <c r="E679" i="91"/>
  <c r="E691" i="91"/>
  <c r="J691" i="91" s="1"/>
  <c r="E774" i="91"/>
  <c r="G774" i="91" s="1"/>
  <c r="E786" i="91"/>
  <c r="E614" i="91"/>
  <c r="I614" i="91" s="1"/>
  <c r="E665" i="91"/>
  <c r="E669" i="91"/>
  <c r="E675" i="91"/>
  <c r="H675" i="91" s="1"/>
  <c r="E680" i="91"/>
  <c r="H680" i="91" s="1"/>
  <c r="E683" i="91"/>
  <c r="H683" i="91" s="1"/>
  <c r="E688" i="91"/>
  <c r="G688" i="91" s="1"/>
  <c r="E759" i="91"/>
  <c r="G759" i="91" s="1"/>
  <c r="E763" i="91"/>
  <c r="I763" i="91" s="1"/>
  <c r="E767" i="91"/>
  <c r="E771" i="91"/>
  <c r="E775" i="91"/>
  <c r="E779" i="91"/>
  <c r="E787" i="91"/>
  <c r="M68" i="526"/>
  <c r="H64" i="526"/>
  <c r="M15" i="261" s="1"/>
  <c r="L92" i="527"/>
  <c r="M97" i="527"/>
  <c r="E664" i="91"/>
  <c r="E687" i="91"/>
  <c r="J687" i="91" s="1"/>
  <c r="E615" i="91"/>
  <c r="E662" i="91"/>
  <c r="E666" i="91"/>
  <c r="E670" i="91"/>
  <c r="G670" i="91" s="1"/>
  <c r="E672" i="91"/>
  <c r="H672" i="91" s="1"/>
  <c r="E676" i="91"/>
  <c r="H676" i="91" s="1"/>
  <c r="E681" i="91"/>
  <c r="E684" i="91"/>
  <c r="E689" i="91"/>
  <c r="E764" i="91"/>
  <c r="G764" i="91" s="1"/>
  <c r="E768" i="91"/>
  <c r="E772" i="91"/>
  <c r="E780" i="91"/>
  <c r="E784" i="91"/>
  <c r="E617" i="91"/>
  <c r="E674" i="91"/>
  <c r="G674" i="91" s="1"/>
  <c r="E766" i="91"/>
  <c r="G766" i="91" s="1"/>
  <c r="E770" i="91"/>
  <c r="E782" i="91"/>
  <c r="L63" i="526"/>
  <c r="E611" i="91"/>
  <c r="E612" i="91"/>
  <c r="E663" i="91"/>
  <c r="E667" i="91"/>
  <c r="J667" i="91" s="1"/>
  <c r="E671" i="91"/>
  <c r="J671" i="91" s="1"/>
  <c r="E678" i="91"/>
  <c r="H678" i="91" s="1"/>
  <c r="E682" i="91"/>
  <c r="H682" i="91" s="1"/>
  <c r="E677" i="91"/>
  <c r="H677" i="91" s="1"/>
  <c r="E685" i="91"/>
  <c r="E686" i="91"/>
  <c r="E690" i="91"/>
  <c r="E761" i="91"/>
  <c r="G761" i="91" s="1"/>
  <c r="E765" i="91"/>
  <c r="E777" i="91"/>
  <c r="E785" i="91"/>
  <c r="L70" i="526"/>
  <c r="O53" i="400"/>
  <c r="N47" i="261" s="1"/>
  <c r="E19" i="694" s="1"/>
  <c r="O46" i="447"/>
  <c r="N46" i="261" s="1"/>
  <c r="E19" i="693" s="1"/>
  <c r="O23" i="399"/>
  <c r="O17" i="445"/>
  <c r="O33" i="398"/>
  <c r="O31" i="398"/>
  <c r="O29" i="398"/>
  <c r="O27" i="398"/>
  <c r="O25" i="398"/>
  <c r="O23" i="398"/>
  <c r="O21" i="398"/>
  <c r="O19" i="398"/>
  <c r="O17" i="398"/>
  <c r="O15" i="398"/>
  <c r="O35" i="398"/>
  <c r="E605" i="91"/>
  <c r="E602" i="91"/>
  <c r="E599" i="91"/>
  <c r="E596" i="91"/>
  <c r="E592" i="91"/>
  <c r="E591" i="91"/>
  <c r="E590" i="91"/>
  <c r="E589" i="91"/>
  <c r="E586" i="91"/>
  <c r="E583" i="91"/>
  <c r="R33" i="259"/>
  <c r="R32" i="259"/>
  <c r="R30" i="259"/>
  <c r="R29" i="259"/>
  <c r="E539" i="91" s="1"/>
  <c r="R27" i="259"/>
  <c r="R26" i="259"/>
  <c r="R25" i="259"/>
  <c r="E536" i="91" s="1"/>
  <c r="R23" i="259"/>
  <c r="R21" i="259"/>
  <c r="R19" i="259"/>
  <c r="R18" i="259"/>
  <c r="E532" i="91" s="1"/>
  <c r="R16" i="259"/>
  <c r="E531" i="91" s="1"/>
  <c r="R15" i="259"/>
  <c r="R14" i="259"/>
  <c r="E529" i="91" s="1"/>
  <c r="E525" i="91"/>
  <c r="E524" i="91"/>
  <c r="G524" i="91" s="1"/>
  <c r="E523" i="91"/>
  <c r="E521" i="91"/>
  <c r="E518" i="91"/>
  <c r="E517" i="91"/>
  <c r="E515" i="91"/>
  <c r="E513" i="91"/>
  <c r="E509" i="91"/>
  <c r="E508" i="91"/>
  <c r="E506" i="91"/>
  <c r="E505" i="91"/>
  <c r="E499" i="91"/>
  <c r="E497" i="91"/>
  <c r="E495" i="91"/>
  <c r="E491" i="91"/>
  <c r="E490" i="91"/>
  <c r="E489" i="91"/>
  <c r="E485" i="91"/>
  <c r="E483" i="91"/>
  <c r="E479" i="91"/>
  <c r="E477" i="91"/>
  <c r="O27" i="434"/>
  <c r="O26" i="434"/>
  <c r="E475" i="91" s="1"/>
  <c r="O24" i="434"/>
  <c r="O23" i="434"/>
  <c r="O21" i="434"/>
  <c r="E472" i="91" s="1"/>
  <c r="G472" i="91" s="1"/>
  <c r="O20" i="434"/>
  <c r="E471" i="91" s="1"/>
  <c r="O18" i="434"/>
  <c r="O17" i="434"/>
  <c r="E469" i="91" s="1"/>
  <c r="O15" i="434"/>
  <c r="O14" i="434"/>
  <c r="O27" i="432"/>
  <c r="O26" i="432"/>
  <c r="E465" i="91" s="1"/>
  <c r="O24" i="432"/>
  <c r="O23" i="432"/>
  <c r="E463" i="91" s="1"/>
  <c r="I463" i="91" s="1"/>
  <c r="O21" i="432"/>
  <c r="O20" i="432"/>
  <c r="E461" i="91" s="1"/>
  <c r="O18" i="432"/>
  <c r="O17" i="432"/>
  <c r="E459" i="91" s="1"/>
  <c r="O15" i="432"/>
  <c r="O14" i="432"/>
  <c r="E457" i="91" s="1"/>
  <c r="I457" i="91" s="1"/>
  <c r="E455" i="91"/>
  <c r="E453" i="91"/>
  <c r="E451" i="91"/>
  <c r="E450" i="91"/>
  <c r="E448" i="91"/>
  <c r="E447" i="91"/>
  <c r="E441" i="91"/>
  <c r="E439" i="91"/>
  <c r="E438" i="91"/>
  <c r="E437" i="91"/>
  <c r="E436" i="91"/>
  <c r="E433" i="91"/>
  <c r="E431" i="91"/>
  <c r="E428" i="91"/>
  <c r="E426" i="91"/>
  <c r="E425" i="91"/>
  <c r="E424" i="91"/>
  <c r="E423" i="91"/>
  <c r="E415" i="91"/>
  <c r="E414" i="91"/>
  <c r="H414" i="91" s="1"/>
  <c r="E408" i="91"/>
  <c r="O20" i="516"/>
  <c r="O19" i="516"/>
  <c r="O18" i="516"/>
  <c r="E985" i="91" s="1"/>
  <c r="O16" i="516"/>
  <c r="O15" i="516"/>
  <c r="O14" i="516"/>
  <c r="E982" i="91" s="1"/>
  <c r="L20" i="516"/>
  <c r="L19" i="516"/>
  <c r="L18" i="516"/>
  <c r="L16" i="516"/>
  <c r="L15" i="516"/>
  <c r="L14" i="516"/>
  <c r="O39" i="393"/>
  <c r="O38" i="393"/>
  <c r="O36" i="393"/>
  <c r="O35" i="393"/>
  <c r="O33" i="393"/>
  <c r="E401" i="91" s="1"/>
  <c r="O32" i="393"/>
  <c r="O30" i="393"/>
  <c r="O29" i="393"/>
  <c r="O27" i="393"/>
  <c r="O26" i="393"/>
  <c r="O24" i="393"/>
  <c r="O23" i="393"/>
  <c r="E394" i="91" s="1"/>
  <c r="O21" i="393"/>
  <c r="O20" i="393"/>
  <c r="O18" i="393"/>
  <c r="O17" i="393"/>
  <c r="O15" i="393"/>
  <c r="O14" i="393"/>
  <c r="X43" i="455" l="1"/>
  <c r="U43" i="455"/>
  <c r="U35" i="455"/>
  <c r="U36" i="455" s="1"/>
  <c r="U18" i="516"/>
  <c r="U16" i="516"/>
  <c r="U15" i="516"/>
  <c r="U20" i="516"/>
  <c r="P70" i="526"/>
  <c r="U14" i="516"/>
  <c r="U19" i="516"/>
  <c r="V19" i="516" s="1"/>
  <c r="O37" i="393"/>
  <c r="E402" i="91"/>
  <c r="I402" i="91" s="1"/>
  <c r="E413" i="91"/>
  <c r="E458" i="91"/>
  <c r="G458" i="91" s="1"/>
  <c r="E476" i="91"/>
  <c r="G476" i="91" s="1"/>
  <c r="E484" i="91"/>
  <c r="G484" i="91" s="1"/>
  <c r="E502" i="91"/>
  <c r="E595" i="91"/>
  <c r="L64" i="526"/>
  <c r="E388" i="91"/>
  <c r="I388" i="91" s="1"/>
  <c r="E392" i="91"/>
  <c r="I392" i="91" s="1"/>
  <c r="E396" i="91"/>
  <c r="E400" i="91"/>
  <c r="E403" i="91"/>
  <c r="E986" i="91"/>
  <c r="E406" i="91"/>
  <c r="E410" i="91"/>
  <c r="E421" i="91"/>
  <c r="E429" i="91"/>
  <c r="H429" i="91" s="1"/>
  <c r="E440" i="91"/>
  <c r="E443" i="91"/>
  <c r="E452" i="91"/>
  <c r="E456" i="91"/>
  <c r="G456" i="91" s="1"/>
  <c r="E466" i="91"/>
  <c r="G466" i="91" s="1"/>
  <c r="E473" i="91"/>
  <c r="E481" i="91"/>
  <c r="E487" i="91"/>
  <c r="E503" i="91"/>
  <c r="H503" i="91" s="1"/>
  <c r="E507" i="91"/>
  <c r="E510" i="91"/>
  <c r="E528" i="91"/>
  <c r="R31" i="259"/>
  <c r="E540" i="91"/>
  <c r="E587" i="91"/>
  <c r="E600" i="91"/>
  <c r="E604" i="91"/>
  <c r="O48" i="447"/>
  <c r="O57" i="447"/>
  <c r="C29" i="693" s="1"/>
  <c r="E395" i="91"/>
  <c r="E432" i="91"/>
  <c r="E446" i="91"/>
  <c r="E486" i="91"/>
  <c r="E516" i="91"/>
  <c r="G516" i="91" s="1"/>
  <c r="E603" i="91"/>
  <c r="E389" i="91"/>
  <c r="G389" i="91" s="1"/>
  <c r="E393" i="91"/>
  <c r="G393" i="91" s="1"/>
  <c r="E397" i="91"/>
  <c r="E404" i="91"/>
  <c r="E983" i="91"/>
  <c r="E987" i="91"/>
  <c r="G987" i="91" s="1"/>
  <c r="E407" i="91"/>
  <c r="E411" i="91"/>
  <c r="E422" i="91"/>
  <c r="E430" i="91"/>
  <c r="E434" i="91"/>
  <c r="E444" i="91"/>
  <c r="E449" i="91"/>
  <c r="O19" i="432"/>
  <c r="E460" i="91"/>
  <c r="G460" i="91" s="1"/>
  <c r="E470" i="91"/>
  <c r="G470" i="91" s="1"/>
  <c r="E474" i="91"/>
  <c r="G474" i="91" s="1"/>
  <c r="E478" i="91"/>
  <c r="G478" i="91" s="1"/>
  <c r="E482" i="91"/>
  <c r="G482" i="91" s="1"/>
  <c r="E488" i="91"/>
  <c r="G488" i="91" s="1"/>
  <c r="E492" i="91"/>
  <c r="E496" i="91"/>
  <c r="G496" i="91" s="1"/>
  <c r="E500" i="91"/>
  <c r="G500" i="91" s="1"/>
  <c r="E504" i="91"/>
  <c r="E511" i="91"/>
  <c r="H511" i="91" s="1"/>
  <c r="E514" i="91"/>
  <c r="G514" i="91" s="1"/>
  <c r="E522" i="91"/>
  <c r="G522" i="91" s="1"/>
  <c r="E526" i="91"/>
  <c r="E533" i="91"/>
  <c r="I533" i="91" s="1"/>
  <c r="E537" i="91"/>
  <c r="R34" i="259"/>
  <c r="E541" i="91"/>
  <c r="E584" i="91"/>
  <c r="E588" i="91"/>
  <c r="E593" i="91"/>
  <c r="G593" i="91" s="1"/>
  <c r="E597" i="91"/>
  <c r="E601" i="91"/>
  <c r="E391" i="91"/>
  <c r="G391" i="91" s="1"/>
  <c r="E399" i="91"/>
  <c r="E409" i="91"/>
  <c r="O22" i="432"/>
  <c r="E462" i="91"/>
  <c r="G462" i="91" s="1"/>
  <c r="E468" i="91"/>
  <c r="E480" i="91"/>
  <c r="G480" i="91" s="1"/>
  <c r="E494" i="91"/>
  <c r="E498" i="91"/>
  <c r="G498" i="91" s="1"/>
  <c r="E520" i="91"/>
  <c r="E535" i="91"/>
  <c r="M70" i="526"/>
  <c r="E390" i="91"/>
  <c r="I390" i="91" s="1"/>
  <c r="E398" i="91"/>
  <c r="I398" i="91" s="1"/>
  <c r="E405" i="91"/>
  <c r="E984" i="91"/>
  <c r="E412" i="91"/>
  <c r="E417" i="91"/>
  <c r="E427" i="91"/>
  <c r="E435" i="91"/>
  <c r="E442" i="91"/>
  <c r="E445" i="91"/>
  <c r="H445" i="91" s="1"/>
  <c r="E454" i="91"/>
  <c r="G454" i="91" s="1"/>
  <c r="E464" i="91"/>
  <c r="G464" i="91" s="1"/>
  <c r="E467" i="91"/>
  <c r="E493" i="91"/>
  <c r="H493" i="91" s="1"/>
  <c r="E501" i="91"/>
  <c r="E512" i="91"/>
  <c r="E519" i="91"/>
  <c r="H519" i="91" s="1"/>
  <c r="E527" i="91"/>
  <c r="E530" i="91"/>
  <c r="R22" i="259"/>
  <c r="E534" i="91"/>
  <c r="E538" i="91"/>
  <c r="E542" i="91"/>
  <c r="E585" i="91"/>
  <c r="E594" i="91"/>
  <c r="E598" i="91"/>
  <c r="E606" i="91"/>
  <c r="G606" i="91" s="1"/>
  <c r="R20" i="259"/>
  <c r="O28" i="432"/>
  <c r="O55" i="400"/>
  <c r="O64" i="400"/>
  <c r="C29" i="694" s="1"/>
  <c r="O18" i="445"/>
  <c r="R29" i="445" s="1"/>
  <c r="C29" i="689" s="1"/>
  <c r="O34" i="398"/>
  <c r="R28" i="259"/>
  <c r="R24" i="259"/>
  <c r="R17" i="259"/>
  <c r="O28" i="434"/>
  <c r="O25" i="434"/>
  <c r="O22" i="434"/>
  <c r="O19" i="434"/>
  <c r="O16" i="434"/>
  <c r="O25" i="432"/>
  <c r="O16" i="432"/>
  <c r="O17" i="516"/>
  <c r="O23" i="516" s="1"/>
  <c r="O21" i="516"/>
  <c r="O25" i="393"/>
  <c r="O31" i="393"/>
  <c r="O19" i="393"/>
  <c r="O16" i="393"/>
  <c r="O22" i="393"/>
  <c r="O28" i="393"/>
  <c r="O34" i="393"/>
  <c r="O40" i="393"/>
  <c r="P24" i="303"/>
  <c r="P22" i="303"/>
  <c r="P20" i="303"/>
  <c r="P18" i="303"/>
  <c r="P16" i="303"/>
  <c r="P14" i="303"/>
  <c r="E372" i="91"/>
  <c r="E370" i="91"/>
  <c r="O20" i="430"/>
  <c r="O21" i="430" s="1"/>
  <c r="O18" i="430"/>
  <c r="O16" i="430"/>
  <c r="O14" i="430"/>
  <c r="E366" i="91"/>
  <c r="E363" i="91"/>
  <c r="H363" i="91" s="1"/>
  <c r="E355" i="91"/>
  <c r="E349" i="91"/>
  <c r="E348" i="91"/>
  <c r="T16" i="330"/>
  <c r="R17" i="330"/>
  <c r="Q16" i="514"/>
  <c r="O17" i="514"/>
  <c r="P17" i="514" s="1"/>
  <c r="T23" i="512"/>
  <c r="T22" i="512"/>
  <c r="T21" i="512"/>
  <c r="T19" i="512"/>
  <c r="T17" i="512"/>
  <c r="T16" i="512"/>
  <c r="R15" i="512"/>
  <c r="S15" i="512" s="1"/>
  <c r="O23" i="512"/>
  <c r="O22" i="512"/>
  <c r="O21" i="512"/>
  <c r="O19" i="512"/>
  <c r="O17" i="512"/>
  <c r="O16" i="512"/>
  <c r="O14" i="512"/>
  <c r="E334" i="91"/>
  <c r="R21" i="509"/>
  <c r="R20" i="509"/>
  <c r="R18" i="509"/>
  <c r="R17" i="509"/>
  <c r="R15" i="509"/>
  <c r="R14" i="509"/>
  <c r="R24" i="508"/>
  <c r="R22" i="508"/>
  <c r="R20" i="508"/>
  <c r="E314" i="91" s="1"/>
  <c r="R19" i="508"/>
  <c r="R17" i="508"/>
  <c r="R16" i="508"/>
  <c r="R14" i="508"/>
  <c r="O25" i="504"/>
  <c r="O22" i="504"/>
  <c r="O23" i="504" s="1"/>
  <c r="P23" i="504" s="1"/>
  <c r="O20" i="504"/>
  <c r="O19" i="504"/>
  <c r="O17" i="504"/>
  <c r="O16" i="504"/>
  <c r="O14" i="504"/>
  <c r="O15" i="504" s="1"/>
  <c r="R16" i="509" l="1"/>
  <c r="O56" i="400"/>
  <c r="Q47" i="261" s="1"/>
  <c r="E21" i="694" s="1"/>
  <c r="O49" i="447"/>
  <c r="E333" i="91"/>
  <c r="E373" i="91"/>
  <c r="P17" i="303"/>
  <c r="E383" i="91"/>
  <c r="J383" i="91" s="1"/>
  <c r="E312" i="91"/>
  <c r="R25" i="508"/>
  <c r="E316" i="91"/>
  <c r="H316" i="91" s="1"/>
  <c r="E323" i="91"/>
  <c r="E326" i="91"/>
  <c r="E330" i="91"/>
  <c r="J330" i="91" s="1"/>
  <c r="E352" i="91"/>
  <c r="I352" i="91" s="1"/>
  <c r="E356" i="91"/>
  <c r="E360" i="91"/>
  <c r="H360" i="91" s="1"/>
  <c r="E364" i="91"/>
  <c r="E368" i="91"/>
  <c r="E374" i="91"/>
  <c r="H374" i="91" s="1"/>
  <c r="E378" i="91"/>
  <c r="P19" i="303"/>
  <c r="E384" i="91"/>
  <c r="J384" i="91" s="1"/>
  <c r="O36" i="398"/>
  <c r="X48" i="398" s="1"/>
  <c r="C29" i="687" s="1"/>
  <c r="E311" i="91"/>
  <c r="E351" i="91"/>
  <c r="H351" i="91" s="1"/>
  <c r="E367" i="91"/>
  <c r="E377" i="91"/>
  <c r="H377" i="91" s="1"/>
  <c r="E327" i="91"/>
  <c r="E331" i="91"/>
  <c r="E335" i="91"/>
  <c r="E353" i="91"/>
  <c r="E357" i="91"/>
  <c r="H357" i="91" s="1"/>
  <c r="E361" i="91"/>
  <c r="E365" i="91"/>
  <c r="E369" i="91"/>
  <c r="E371" i="91"/>
  <c r="E375" i="91"/>
  <c r="E379" i="91"/>
  <c r="H379" i="91" s="1"/>
  <c r="P21" i="303"/>
  <c r="E385" i="91"/>
  <c r="G385" i="91" s="1"/>
  <c r="R23" i="508"/>
  <c r="S23" i="508" s="1"/>
  <c r="E315" i="91"/>
  <c r="G315" i="91" s="1"/>
  <c r="E329" i="91"/>
  <c r="G329" i="91" s="1"/>
  <c r="E359" i="91"/>
  <c r="E381" i="91"/>
  <c r="H381" i="91" s="1"/>
  <c r="P25" i="303"/>
  <c r="E387" i="91"/>
  <c r="R21" i="508"/>
  <c r="E313" i="91"/>
  <c r="E324" i="91"/>
  <c r="E310" i="91"/>
  <c r="E325" i="91"/>
  <c r="H325" i="91" s="1"/>
  <c r="E328" i="91"/>
  <c r="J328" i="91" s="1"/>
  <c r="E332" i="91"/>
  <c r="H332" i="91" s="1"/>
  <c r="E350" i="91"/>
  <c r="E354" i="91"/>
  <c r="E358" i="91"/>
  <c r="I358" i="91" s="1"/>
  <c r="E362" i="91"/>
  <c r="E376" i="91"/>
  <c r="H376" i="91" s="1"/>
  <c r="E380" i="91"/>
  <c r="P15" i="303"/>
  <c r="E382" i="91"/>
  <c r="J382" i="91" s="1"/>
  <c r="P23" i="303"/>
  <c r="E386" i="91"/>
  <c r="J386" i="91" s="1"/>
  <c r="O29" i="445"/>
  <c r="O29" i="432"/>
  <c r="R18" i="512"/>
  <c r="S18" i="512" s="1"/>
  <c r="O20" i="445"/>
  <c r="R35" i="259"/>
  <c r="O29" i="434"/>
  <c r="O22" i="516"/>
  <c r="O41" i="393"/>
  <c r="R52" i="393" s="1"/>
  <c r="C29" i="669" s="1"/>
  <c r="O17" i="430"/>
  <c r="O19" i="430"/>
  <c r="O15" i="430"/>
  <c r="R15" i="330"/>
  <c r="R18" i="330" s="1"/>
  <c r="N33" i="261" s="1"/>
  <c r="E19" i="663" s="1"/>
  <c r="O15" i="514"/>
  <c r="P15" i="514" s="1"/>
  <c r="R24" i="512"/>
  <c r="S24" i="512" s="1"/>
  <c r="R20" i="512"/>
  <c r="S20" i="512" s="1"/>
  <c r="R19" i="509"/>
  <c r="R22" i="509"/>
  <c r="R15" i="508"/>
  <c r="R18" i="508"/>
  <c r="S22" i="508"/>
  <c r="O18" i="504"/>
  <c r="P22" i="504"/>
  <c r="O21" i="504"/>
  <c r="X24" i="283"/>
  <c r="X25" i="283" s="1"/>
  <c r="X22" i="283"/>
  <c r="X23" i="283" s="1"/>
  <c r="X20" i="283"/>
  <c r="X21" i="283" s="1"/>
  <c r="X18" i="283"/>
  <c r="X19" i="283" s="1"/>
  <c r="X16" i="283"/>
  <c r="X17" i="283" s="1"/>
  <c r="X14" i="283"/>
  <c r="X15" i="283" s="1"/>
  <c r="R71" i="282"/>
  <c r="R70" i="282"/>
  <c r="R69" i="282"/>
  <c r="R67" i="282"/>
  <c r="R66" i="282"/>
  <c r="R65" i="282"/>
  <c r="R63" i="282"/>
  <c r="R62" i="282"/>
  <c r="R61" i="282"/>
  <c r="R59" i="282"/>
  <c r="R58" i="282"/>
  <c r="R57" i="282"/>
  <c r="R55" i="282"/>
  <c r="R54" i="282"/>
  <c r="R53" i="282"/>
  <c r="R51" i="282"/>
  <c r="R52" i="282" s="1"/>
  <c r="R49" i="282"/>
  <c r="R48" i="282"/>
  <c r="R47" i="282"/>
  <c r="R45" i="282"/>
  <c r="R44" i="282"/>
  <c r="R43" i="282"/>
  <c r="R41" i="282"/>
  <c r="R40" i="282"/>
  <c r="R39" i="282"/>
  <c r="R37" i="282"/>
  <c r="R36" i="282"/>
  <c r="R35" i="282"/>
  <c r="R33" i="282"/>
  <c r="R32" i="282"/>
  <c r="R31" i="282"/>
  <c r="R29" i="282"/>
  <c r="R28" i="282"/>
  <c r="R27" i="282"/>
  <c r="R25" i="282"/>
  <c r="R24" i="282"/>
  <c r="R23" i="282"/>
  <c r="R21" i="282"/>
  <c r="R20" i="282"/>
  <c r="R19" i="282"/>
  <c r="R17" i="282"/>
  <c r="R16" i="282"/>
  <c r="R14" i="282"/>
  <c r="R15" i="282" s="1"/>
  <c r="R39" i="502"/>
  <c r="R40" i="502" s="1"/>
  <c r="R36" i="502"/>
  <c r="R37" i="502" s="1"/>
  <c r="R32" i="502"/>
  <c r="R33" i="502" s="1"/>
  <c r="R29" i="502"/>
  <c r="R30" i="502" s="1"/>
  <c r="R24" i="502"/>
  <c r="R26" i="502" s="1"/>
  <c r="R23" i="502"/>
  <c r="R20" i="502"/>
  <c r="R16" i="502"/>
  <c r="R17" i="502" s="1"/>
  <c r="Q44" i="501"/>
  <c r="Q42" i="501"/>
  <c r="Q41" i="501"/>
  <c r="Q40" i="501"/>
  <c r="Q38" i="501"/>
  <c r="Q37" i="501"/>
  <c r="Q36" i="501"/>
  <c r="Q34" i="501"/>
  <c r="Q33" i="501"/>
  <c r="Q32" i="501"/>
  <c r="Q30" i="501"/>
  <c r="Q29" i="501"/>
  <c r="Q28" i="501"/>
  <c r="Q26" i="501"/>
  <c r="Q24" i="501"/>
  <c r="Q23" i="501"/>
  <c r="Q22" i="501"/>
  <c r="Q20" i="501"/>
  <c r="Q19" i="501"/>
  <c r="Q18" i="501"/>
  <c r="Q16" i="501"/>
  <c r="Q15" i="501"/>
  <c r="Q14" i="501"/>
  <c r="O45" i="501"/>
  <c r="O27" i="501"/>
  <c r="E306" i="91"/>
  <c r="H306" i="91" s="1"/>
  <c r="E304" i="91"/>
  <c r="E297" i="91"/>
  <c r="E296" i="91"/>
  <c r="E283" i="91"/>
  <c r="G283" i="91" s="1"/>
  <c r="E281" i="91"/>
  <c r="G281" i="91" s="1"/>
  <c r="E279" i="91"/>
  <c r="E275" i="91"/>
  <c r="E270" i="91"/>
  <c r="E269" i="91"/>
  <c r="G269" i="91" s="1"/>
  <c r="E266" i="91"/>
  <c r="E261" i="91"/>
  <c r="E254" i="91"/>
  <c r="E247" i="91"/>
  <c r="E245" i="91"/>
  <c r="R36" i="497"/>
  <c r="R35" i="497"/>
  <c r="R33" i="497"/>
  <c r="R32" i="497"/>
  <c r="R31" i="497"/>
  <c r="R29" i="497"/>
  <c r="R28" i="497"/>
  <c r="R26" i="497"/>
  <c r="R25" i="497"/>
  <c r="R24" i="497"/>
  <c r="R22" i="497"/>
  <c r="R21" i="497"/>
  <c r="R19" i="497"/>
  <c r="R18" i="497"/>
  <c r="R16" i="497"/>
  <c r="R15" i="497"/>
  <c r="R14" i="497"/>
  <c r="O36" i="497"/>
  <c r="O35" i="497"/>
  <c r="O33" i="497"/>
  <c r="O32" i="497"/>
  <c r="O31" i="497"/>
  <c r="O29" i="497"/>
  <c r="O28" i="497"/>
  <c r="O26" i="497"/>
  <c r="O25" i="497"/>
  <c r="O24" i="497"/>
  <c r="O22" i="497"/>
  <c r="O21" i="497"/>
  <c r="O19" i="497"/>
  <c r="O18" i="497"/>
  <c r="O16" i="497"/>
  <c r="O15" i="497"/>
  <c r="O14" i="497"/>
  <c r="U36" i="495"/>
  <c r="U34" i="495"/>
  <c r="U32" i="495"/>
  <c r="E238" i="91" s="1"/>
  <c r="U31" i="495"/>
  <c r="E237" i="91" s="1"/>
  <c r="U30" i="495"/>
  <c r="E236" i="91" s="1"/>
  <c r="U28" i="495"/>
  <c r="U27" i="495"/>
  <c r="U26" i="495"/>
  <c r="E233" i="91" s="1"/>
  <c r="U24" i="495"/>
  <c r="U23" i="495"/>
  <c r="E231" i="91" s="1"/>
  <c r="U22" i="495"/>
  <c r="E230" i="91" s="1"/>
  <c r="U20" i="495"/>
  <c r="U18" i="495"/>
  <c r="U16" i="495"/>
  <c r="U14" i="495"/>
  <c r="E226" i="91" s="1"/>
  <c r="R36" i="495"/>
  <c r="R34" i="495"/>
  <c r="R32" i="495"/>
  <c r="R31" i="495"/>
  <c r="R30" i="495"/>
  <c r="R28" i="495"/>
  <c r="R27" i="495"/>
  <c r="R26" i="495"/>
  <c r="R24" i="495"/>
  <c r="R23" i="495"/>
  <c r="R22" i="495"/>
  <c r="R20" i="495"/>
  <c r="R18" i="495"/>
  <c r="R16" i="495"/>
  <c r="R14" i="495"/>
  <c r="U48" i="259" l="1"/>
  <c r="X48" i="259"/>
  <c r="C30" i="681" s="1"/>
  <c r="O50" i="447"/>
  <c r="R46" i="261" s="1"/>
  <c r="Q46" i="261"/>
  <c r="E21" i="693" s="1"/>
  <c r="U48" i="398"/>
  <c r="R18" i="282"/>
  <c r="R34" i="497"/>
  <c r="R72" i="282"/>
  <c r="R25" i="512"/>
  <c r="N29" i="261" s="1"/>
  <c r="E19" i="659" s="1"/>
  <c r="R30" i="330"/>
  <c r="C30" i="663" s="1"/>
  <c r="R48" i="398"/>
  <c r="R56" i="400"/>
  <c r="O51" i="447"/>
  <c r="S46" i="261" s="1"/>
  <c r="E23" i="693" s="1"/>
  <c r="O57" i="400"/>
  <c r="R47" i="261" s="1"/>
  <c r="R32" i="516"/>
  <c r="C29" i="670" s="1"/>
  <c r="U39" i="434"/>
  <c r="C29" i="675" s="1"/>
  <c r="R39" i="434"/>
  <c r="R37" i="497"/>
  <c r="R30" i="497"/>
  <c r="R26" i="282"/>
  <c r="R42" i="282"/>
  <c r="O39" i="398"/>
  <c r="O40" i="398" s="1"/>
  <c r="R49" i="447"/>
  <c r="P26" i="303"/>
  <c r="AB39" i="303" s="1"/>
  <c r="C30" i="667" s="1"/>
  <c r="U21" i="495"/>
  <c r="E229" i="91"/>
  <c r="H229" i="91" s="1"/>
  <c r="E232" i="91"/>
  <c r="E239" i="91"/>
  <c r="E244" i="91"/>
  <c r="H244" i="91" s="1"/>
  <c r="E251" i="91"/>
  <c r="I251" i="91" s="1"/>
  <c r="E255" i="91"/>
  <c r="I255" i="91" s="1"/>
  <c r="E259" i="91"/>
  <c r="I259" i="91" s="1"/>
  <c r="E263" i="91"/>
  <c r="E267" i="91"/>
  <c r="E274" i="91"/>
  <c r="E278" i="91"/>
  <c r="G278" i="91" s="1"/>
  <c r="E284" i="91"/>
  <c r="E288" i="91"/>
  <c r="E292" i="91"/>
  <c r="E299" i="91"/>
  <c r="E303" i="91"/>
  <c r="U37" i="495"/>
  <c r="E240" i="91"/>
  <c r="E248" i="91"/>
  <c r="I248" i="91" s="1"/>
  <c r="E252" i="91"/>
  <c r="E256" i="91"/>
  <c r="G256" i="91" s="1"/>
  <c r="E260" i="91"/>
  <c r="G260" i="91" s="1"/>
  <c r="E271" i="91"/>
  <c r="I271" i="91" s="1"/>
  <c r="E285" i="91"/>
  <c r="G285" i="91" s="1"/>
  <c r="E289" i="91"/>
  <c r="E293" i="91"/>
  <c r="U17" i="495"/>
  <c r="E227" i="91"/>
  <c r="E234" i="91"/>
  <c r="R27" i="497"/>
  <c r="E242" i="91"/>
  <c r="E249" i="91"/>
  <c r="E253" i="91"/>
  <c r="E257" i="91"/>
  <c r="E265" i="91"/>
  <c r="E272" i="91"/>
  <c r="E276" i="91"/>
  <c r="E280" i="91"/>
  <c r="I280" i="91" s="1"/>
  <c r="E286" i="91"/>
  <c r="E290" i="91"/>
  <c r="E294" i="91"/>
  <c r="E301" i="91"/>
  <c r="E305" i="91"/>
  <c r="U19" i="495"/>
  <c r="E228" i="91"/>
  <c r="E235" i="91"/>
  <c r="E243" i="91"/>
  <c r="H243" i="91" s="1"/>
  <c r="E246" i="91"/>
  <c r="H246" i="91" s="1"/>
  <c r="E250" i="91"/>
  <c r="E258" i="91"/>
  <c r="I258" i="91" s="1"/>
  <c r="E262" i="91"/>
  <c r="I262" i="91" s="1"/>
  <c r="E287" i="91"/>
  <c r="I287" i="91" s="1"/>
  <c r="E291" i="91"/>
  <c r="E295" i="91"/>
  <c r="I295" i="91" s="1"/>
  <c r="E298" i="91"/>
  <c r="I298" i="91" s="1"/>
  <c r="R60" i="282"/>
  <c r="O39" i="434"/>
  <c r="O48" i="398"/>
  <c r="R34" i="282"/>
  <c r="O52" i="393"/>
  <c r="O32" i="516"/>
  <c r="O23" i="445"/>
  <c r="R37" i="259"/>
  <c r="R48" i="259"/>
  <c r="O31" i="434"/>
  <c r="O24" i="516"/>
  <c r="O43" i="393"/>
  <c r="O22" i="430"/>
  <c r="R20" i="330"/>
  <c r="O18" i="514"/>
  <c r="N32" i="261" s="1"/>
  <c r="E19" i="662" s="1"/>
  <c r="R23" i="509"/>
  <c r="R26" i="508"/>
  <c r="AA37" i="508" s="1"/>
  <c r="C30" i="652" s="1"/>
  <c r="O26" i="504"/>
  <c r="AA37" i="504" s="1"/>
  <c r="X26" i="283"/>
  <c r="R68" i="282"/>
  <c r="R64" i="282"/>
  <c r="R56" i="282"/>
  <c r="R50" i="282"/>
  <c r="R38" i="282"/>
  <c r="R30" i="282"/>
  <c r="R22" i="282"/>
  <c r="R46" i="282"/>
  <c r="R41" i="502"/>
  <c r="O43" i="501"/>
  <c r="O39" i="501"/>
  <c r="O35" i="501"/>
  <c r="O25" i="501"/>
  <c r="O21" i="501"/>
  <c r="O31" i="501"/>
  <c r="O17" i="501"/>
  <c r="R17" i="497"/>
  <c r="R20" i="497"/>
  <c r="R23" i="497"/>
  <c r="U35" i="495"/>
  <c r="U33" i="495"/>
  <c r="U29" i="495"/>
  <c r="U25" i="495"/>
  <c r="U15" i="495"/>
  <c r="E221" i="91"/>
  <c r="E219" i="91"/>
  <c r="E217" i="91"/>
  <c r="E216" i="91"/>
  <c r="E208" i="91"/>
  <c r="E205" i="91"/>
  <c r="X23" i="209"/>
  <c r="X22" i="209"/>
  <c r="X20" i="209"/>
  <c r="X19" i="209"/>
  <c r="X18" i="209"/>
  <c r="X16" i="209"/>
  <c r="X15" i="209"/>
  <c r="X14" i="209"/>
  <c r="U99" i="488"/>
  <c r="U98" i="488"/>
  <c r="U96" i="488"/>
  <c r="U94" i="488"/>
  <c r="U92" i="488"/>
  <c r="U90" i="488"/>
  <c r="U89" i="488"/>
  <c r="E90" i="91" s="1"/>
  <c r="U88" i="488"/>
  <c r="U86" i="488"/>
  <c r="U85" i="488"/>
  <c r="E87" i="91" s="1"/>
  <c r="U84" i="488"/>
  <c r="U82" i="488"/>
  <c r="U81" i="488"/>
  <c r="E84" i="91" s="1"/>
  <c r="U80" i="488"/>
  <c r="U78" i="488"/>
  <c r="U77" i="488"/>
  <c r="E81" i="91" s="1"/>
  <c r="U76" i="488"/>
  <c r="U74" i="488"/>
  <c r="U72" i="488"/>
  <c r="U71" i="488"/>
  <c r="U70" i="488"/>
  <c r="U68" i="488"/>
  <c r="U67" i="488"/>
  <c r="U66" i="488"/>
  <c r="U64" i="488"/>
  <c r="U63" i="488"/>
  <c r="E71" i="91" s="1"/>
  <c r="U62" i="488"/>
  <c r="U60" i="488"/>
  <c r="U59" i="488"/>
  <c r="U58" i="488"/>
  <c r="U56" i="488"/>
  <c r="U54" i="488"/>
  <c r="U53" i="488"/>
  <c r="U52" i="488"/>
  <c r="U50" i="488"/>
  <c r="U49" i="488"/>
  <c r="E61" i="91" s="1"/>
  <c r="U48" i="488"/>
  <c r="E60" i="91" s="1"/>
  <c r="U46" i="488"/>
  <c r="U45" i="488"/>
  <c r="U44" i="488"/>
  <c r="U42" i="488"/>
  <c r="E56" i="91" s="1"/>
  <c r="U41" i="488"/>
  <c r="E55" i="91" s="1"/>
  <c r="U40" i="488"/>
  <c r="U38" i="488"/>
  <c r="E53" i="91" s="1"/>
  <c r="U37" i="488"/>
  <c r="U36" i="488"/>
  <c r="U34" i="488"/>
  <c r="U32" i="488"/>
  <c r="E49" i="91" s="1"/>
  <c r="U31" i="488"/>
  <c r="E48" i="91" s="1"/>
  <c r="U30" i="488"/>
  <c r="U28" i="488"/>
  <c r="U27" i="488"/>
  <c r="E45" i="91" s="1"/>
  <c r="U26" i="488"/>
  <c r="E44" i="91" s="1"/>
  <c r="U24" i="488"/>
  <c r="U23" i="488"/>
  <c r="U22" i="488"/>
  <c r="E41" i="91" s="1"/>
  <c r="U20" i="488"/>
  <c r="U19" i="488"/>
  <c r="U18" i="488"/>
  <c r="E38" i="91" s="1"/>
  <c r="U16" i="488"/>
  <c r="U15" i="488"/>
  <c r="U14" i="488"/>
  <c r="R99" i="488"/>
  <c r="AD99" i="488" s="1"/>
  <c r="R98" i="488"/>
  <c r="S98" i="488" s="1"/>
  <c r="R96" i="488"/>
  <c r="S96" i="488" s="1"/>
  <c r="R94" i="488"/>
  <c r="S94" i="488" s="1"/>
  <c r="R92" i="488"/>
  <c r="R90" i="488"/>
  <c r="R89" i="488"/>
  <c r="R88" i="488"/>
  <c r="R86" i="488"/>
  <c r="AD86" i="488" s="1"/>
  <c r="R85" i="488"/>
  <c r="R84" i="488"/>
  <c r="R82" i="488"/>
  <c r="R81" i="488"/>
  <c r="R80" i="488"/>
  <c r="R78" i="488"/>
  <c r="R77" i="488"/>
  <c r="R76" i="488"/>
  <c r="R74" i="488"/>
  <c r="R72" i="488"/>
  <c r="R71" i="488"/>
  <c r="R70" i="488"/>
  <c r="R68" i="488"/>
  <c r="R67" i="488"/>
  <c r="R66" i="488"/>
  <c r="R64" i="488"/>
  <c r="R63" i="488"/>
  <c r="R62" i="488"/>
  <c r="R60" i="488"/>
  <c r="R59" i="488"/>
  <c r="R58" i="488"/>
  <c r="R56" i="488"/>
  <c r="R54" i="488"/>
  <c r="R53" i="488"/>
  <c r="R52" i="488"/>
  <c r="R50" i="488"/>
  <c r="R49" i="488"/>
  <c r="R48" i="488"/>
  <c r="AD48" i="488" s="1"/>
  <c r="R46" i="488"/>
  <c r="R45" i="488"/>
  <c r="R44" i="488"/>
  <c r="R42" i="488"/>
  <c r="R41" i="488"/>
  <c r="R40" i="488"/>
  <c r="R38" i="488"/>
  <c r="R37" i="488"/>
  <c r="R36" i="488"/>
  <c r="R34" i="488"/>
  <c r="R32" i="488"/>
  <c r="R31" i="488"/>
  <c r="R30" i="488"/>
  <c r="R28" i="488"/>
  <c r="R27" i="488"/>
  <c r="R26" i="488"/>
  <c r="AD26" i="488" s="1"/>
  <c r="R24" i="488"/>
  <c r="R23" i="488"/>
  <c r="R22" i="488"/>
  <c r="R20" i="488"/>
  <c r="R19" i="488"/>
  <c r="R18" i="488"/>
  <c r="AD78" i="488" l="1"/>
  <c r="AD90" i="488"/>
  <c r="E22" i="694"/>
  <c r="G10" i="694"/>
  <c r="G10" i="693"/>
  <c r="E22" i="693"/>
  <c r="C29" i="651"/>
  <c r="U37" i="504"/>
  <c r="X37" i="504"/>
  <c r="Y39" i="303"/>
  <c r="P28" i="303"/>
  <c r="P31" i="303" s="1"/>
  <c r="V39" i="303"/>
  <c r="R26" i="512"/>
  <c r="P29" i="261" s="1"/>
  <c r="E20" i="659" s="1"/>
  <c r="O52" i="447"/>
  <c r="T46" i="261" s="1"/>
  <c r="E24" i="693" s="1"/>
  <c r="X37" i="508"/>
  <c r="U37" i="508"/>
  <c r="O32" i="430"/>
  <c r="R32" i="430"/>
  <c r="C29" i="664" s="1"/>
  <c r="S99" i="488"/>
  <c r="R25" i="509"/>
  <c r="O37" i="504"/>
  <c r="R37" i="504"/>
  <c r="R21" i="330"/>
  <c r="O58" i="400"/>
  <c r="S47" i="261" s="1"/>
  <c r="E23" i="694" s="1"/>
  <c r="S39" i="303"/>
  <c r="P39" i="303"/>
  <c r="E37" i="91"/>
  <c r="E51" i="91"/>
  <c r="E54" i="91"/>
  <c r="E58" i="91"/>
  <c r="E62" i="91"/>
  <c r="E66" i="91"/>
  <c r="E70" i="91"/>
  <c r="U69" i="488"/>
  <c r="E74" i="91"/>
  <c r="E78" i="91"/>
  <c r="V96" i="488"/>
  <c r="E94" i="91"/>
  <c r="E174" i="91"/>
  <c r="E178" i="91"/>
  <c r="H178" i="91" s="1"/>
  <c r="E198" i="91"/>
  <c r="E190" i="91"/>
  <c r="E202" i="91"/>
  <c r="E194" i="91"/>
  <c r="E209" i="91"/>
  <c r="E213" i="91"/>
  <c r="E222" i="91"/>
  <c r="R37" i="508"/>
  <c r="O24" i="445"/>
  <c r="U39" i="488"/>
  <c r="E52" i="91"/>
  <c r="E59" i="91"/>
  <c r="E63" i="91"/>
  <c r="E67" i="91"/>
  <c r="E75" i="91"/>
  <c r="E79" i="91"/>
  <c r="E82" i="91"/>
  <c r="G82" i="91" s="1"/>
  <c r="E85" i="91"/>
  <c r="E88" i="91"/>
  <c r="G88" i="91" s="1"/>
  <c r="E91" i="91"/>
  <c r="G91" i="91" s="1"/>
  <c r="V98" i="488"/>
  <c r="E95" i="91"/>
  <c r="E175" i="91"/>
  <c r="E199" i="91"/>
  <c r="E191" i="91"/>
  <c r="E203" i="91"/>
  <c r="E195" i="91"/>
  <c r="E206" i="91"/>
  <c r="E210" i="91"/>
  <c r="G210" i="91" s="1"/>
  <c r="E214" i="91"/>
  <c r="E220" i="91"/>
  <c r="E223" i="91"/>
  <c r="E35" i="91"/>
  <c r="E39" i="91"/>
  <c r="E42" i="91"/>
  <c r="E46" i="91"/>
  <c r="E64" i="91"/>
  <c r="U61" i="488"/>
  <c r="E68" i="91"/>
  <c r="E72" i="91"/>
  <c r="E76" i="91"/>
  <c r="E80" i="91"/>
  <c r="E83" i="91"/>
  <c r="E86" i="91"/>
  <c r="E89" i="91"/>
  <c r="E92" i="91"/>
  <c r="V99" i="488"/>
  <c r="E96" i="91"/>
  <c r="E176" i="91"/>
  <c r="X21" i="209"/>
  <c r="E200" i="91"/>
  <c r="E192" i="91"/>
  <c r="E204" i="91"/>
  <c r="E196" i="91"/>
  <c r="E207" i="91"/>
  <c r="E211" i="91"/>
  <c r="E215" i="91"/>
  <c r="E224" i="91"/>
  <c r="R40" i="259"/>
  <c r="E36" i="91"/>
  <c r="E40" i="91"/>
  <c r="E43" i="91"/>
  <c r="E47" i="91"/>
  <c r="U35" i="488"/>
  <c r="E50" i="91"/>
  <c r="U47" i="488"/>
  <c r="E57" i="91"/>
  <c r="E65" i="91"/>
  <c r="E69" i="91"/>
  <c r="E73" i="91"/>
  <c r="U73" i="488"/>
  <c r="E77" i="91"/>
  <c r="V94" i="488"/>
  <c r="E93" i="91"/>
  <c r="E177" i="91"/>
  <c r="E197" i="91"/>
  <c r="H197" i="91" s="1"/>
  <c r="E189" i="91"/>
  <c r="H189" i="91" s="1"/>
  <c r="E201" i="91"/>
  <c r="E193" i="91"/>
  <c r="E212" i="91"/>
  <c r="E218" i="91"/>
  <c r="E225" i="91"/>
  <c r="O34" i="434"/>
  <c r="O27" i="516"/>
  <c r="O46" i="393"/>
  <c r="O24" i="430"/>
  <c r="O20" i="514"/>
  <c r="R28" i="508"/>
  <c r="O28" i="504"/>
  <c r="X28" i="283"/>
  <c r="R73" i="282"/>
  <c r="R43" i="502"/>
  <c r="O46" i="501"/>
  <c r="N20" i="261" s="1"/>
  <c r="E19" i="645" s="1"/>
  <c r="R38" i="497"/>
  <c r="U38" i="495"/>
  <c r="AD51" i="495" s="1"/>
  <c r="C31" i="642" s="1"/>
  <c r="X24" i="209"/>
  <c r="X17" i="209"/>
  <c r="U65" i="488"/>
  <c r="U97" i="488"/>
  <c r="V97" i="488" s="1"/>
  <c r="U95" i="488"/>
  <c r="V95" i="488" s="1"/>
  <c r="U93" i="488"/>
  <c r="U91" i="488"/>
  <c r="U87" i="488"/>
  <c r="U83" i="488"/>
  <c r="U79" i="488"/>
  <c r="U75" i="488"/>
  <c r="U57" i="488"/>
  <c r="U55" i="488"/>
  <c r="U51" i="488"/>
  <c r="U43" i="488"/>
  <c r="U33" i="488"/>
  <c r="U29" i="488"/>
  <c r="U25" i="488"/>
  <c r="U21" i="488"/>
  <c r="U17" i="488"/>
  <c r="U100" i="488"/>
  <c r="R25" i="266"/>
  <c r="R19" i="266"/>
  <c r="T18" i="484"/>
  <c r="T17" i="484"/>
  <c r="T15" i="484"/>
  <c r="T14" i="484"/>
  <c r="S14" i="484"/>
  <c r="AA23" i="263"/>
  <c r="AA21" i="263"/>
  <c r="AA17" i="263"/>
  <c r="R22" i="330" l="1"/>
  <c r="R33" i="261" s="1"/>
  <c r="Q33" i="261"/>
  <c r="E21" i="663" s="1"/>
  <c r="R19" i="484"/>
  <c r="S18" i="484"/>
  <c r="X51" i="495"/>
  <c r="AA51" i="495"/>
  <c r="R27" i="512"/>
  <c r="R23" i="330"/>
  <c r="S33" i="261" s="1"/>
  <c r="E23" i="663" s="1"/>
  <c r="O59" i="400"/>
  <c r="T47" i="261" s="1"/>
  <c r="E24" i="694" s="1"/>
  <c r="R26" i="509"/>
  <c r="X26" i="509" s="1"/>
  <c r="R44" i="502"/>
  <c r="O21" i="514"/>
  <c r="U21" i="330"/>
  <c r="X29" i="283"/>
  <c r="R50" i="497"/>
  <c r="U50" i="497"/>
  <c r="C30" i="644" s="1"/>
  <c r="O28" i="516"/>
  <c r="P32" i="303"/>
  <c r="O47" i="393"/>
  <c r="O35" i="434"/>
  <c r="U51" i="495"/>
  <c r="R41" i="259"/>
  <c r="O27" i="430"/>
  <c r="O28" i="430" s="1"/>
  <c r="R31" i="508"/>
  <c r="O31" i="504"/>
  <c r="O32" i="504" s="1"/>
  <c r="R75" i="282"/>
  <c r="O48" i="501"/>
  <c r="R40" i="497"/>
  <c r="U40" i="495"/>
  <c r="X25" i="209"/>
  <c r="AA39" i="209" s="1"/>
  <c r="C32" i="641" s="1"/>
  <c r="V100" i="488"/>
  <c r="U101" i="488"/>
  <c r="R16" i="266"/>
  <c r="R22" i="266"/>
  <c r="R20" i="486"/>
  <c r="R17" i="486"/>
  <c r="R16" i="484"/>
  <c r="AA15" i="263"/>
  <c r="AA19" i="263"/>
  <c r="L21" i="516"/>
  <c r="U21" i="516" s="1"/>
  <c r="V21" i="516" s="1"/>
  <c r="H20" i="516"/>
  <c r="H19" i="516"/>
  <c r="H18" i="516"/>
  <c r="L17" i="516"/>
  <c r="U17" i="516" s="1"/>
  <c r="H16" i="516"/>
  <c r="H15" i="516"/>
  <c r="H14" i="516"/>
  <c r="L16" i="514"/>
  <c r="L14" i="514"/>
  <c r="R14" i="514" s="1"/>
  <c r="S14" i="514" s="1"/>
  <c r="H16" i="514"/>
  <c r="H14" i="514"/>
  <c r="O24" i="512"/>
  <c r="L23" i="512"/>
  <c r="U23" i="512" s="1"/>
  <c r="V23" i="512" s="1"/>
  <c r="H23" i="512"/>
  <c r="L22" i="512"/>
  <c r="U22" i="512" s="1"/>
  <c r="H22" i="512"/>
  <c r="L21" i="512"/>
  <c r="U21" i="512" s="1"/>
  <c r="H21" i="512"/>
  <c r="O20" i="512"/>
  <c r="L19" i="512"/>
  <c r="U19" i="512" s="1"/>
  <c r="H19" i="512"/>
  <c r="O18" i="512"/>
  <c r="L17" i="512"/>
  <c r="U17" i="512" s="1"/>
  <c r="H17" i="512"/>
  <c r="L16" i="512"/>
  <c r="U16" i="512" s="1"/>
  <c r="H16" i="512"/>
  <c r="O15" i="512"/>
  <c r="L14" i="512"/>
  <c r="U14" i="512" s="1"/>
  <c r="H14" i="512"/>
  <c r="O21" i="509"/>
  <c r="O20" i="509"/>
  <c r="O18" i="509"/>
  <c r="O17" i="509"/>
  <c r="O15" i="509"/>
  <c r="O14" i="509"/>
  <c r="L21" i="509"/>
  <c r="H21" i="509"/>
  <c r="S21" i="509" s="1"/>
  <c r="L20" i="509"/>
  <c r="H20" i="509"/>
  <c r="S20" i="509" s="1"/>
  <c r="L18" i="509"/>
  <c r="H18" i="509"/>
  <c r="S18" i="509" s="1"/>
  <c r="L17" i="509"/>
  <c r="H17" i="509"/>
  <c r="S17" i="509" s="1"/>
  <c r="L15" i="509"/>
  <c r="X15" i="509" s="1"/>
  <c r="Y15" i="509" s="1"/>
  <c r="H15" i="509"/>
  <c r="S15" i="509" s="1"/>
  <c r="L14" i="509"/>
  <c r="X14" i="509" s="1"/>
  <c r="H14" i="509"/>
  <c r="S14" i="509" s="1"/>
  <c r="O24" i="508"/>
  <c r="O22" i="508"/>
  <c r="O23" i="508" s="1"/>
  <c r="P23" i="508" s="1"/>
  <c r="O20" i="508"/>
  <c r="O19" i="508"/>
  <c r="O17" i="508"/>
  <c r="O16" i="508"/>
  <c r="O14" i="508"/>
  <c r="O15" i="508" s="1"/>
  <c r="L24" i="508"/>
  <c r="H24" i="508"/>
  <c r="L22" i="508"/>
  <c r="L20" i="508"/>
  <c r="AD20" i="508" s="1"/>
  <c r="H20" i="508"/>
  <c r="L19" i="508"/>
  <c r="H19" i="508"/>
  <c r="L17" i="508"/>
  <c r="H17" i="508"/>
  <c r="L16" i="508"/>
  <c r="H16" i="508"/>
  <c r="L14" i="508"/>
  <c r="H14" i="508"/>
  <c r="X20" i="509" l="1"/>
  <c r="X18" i="509"/>
  <c r="X21" i="509"/>
  <c r="X30" i="283"/>
  <c r="AA41" i="283" s="1"/>
  <c r="C32" i="650" s="1"/>
  <c r="AD29" i="283"/>
  <c r="O22" i="514"/>
  <c r="Q32" i="261"/>
  <c r="E21" i="662" s="1"/>
  <c r="AD14" i="508"/>
  <c r="X17" i="509"/>
  <c r="Y17" i="509" s="1"/>
  <c r="G10" i="663"/>
  <c r="E22" i="663"/>
  <c r="R20" i="484"/>
  <c r="N11" i="261" s="1"/>
  <c r="E19" i="634" s="1"/>
  <c r="AD22" i="508"/>
  <c r="AD19" i="508"/>
  <c r="AE19" i="508" s="1"/>
  <c r="AD16" i="508"/>
  <c r="AE16" i="508" s="1"/>
  <c r="AD17" i="508"/>
  <c r="AE17" i="508" s="1"/>
  <c r="AA24" i="263"/>
  <c r="N10" i="261" s="1"/>
  <c r="E19" i="633" s="1"/>
  <c r="AD24" i="508"/>
  <c r="AE24" i="508" s="1"/>
  <c r="X114" i="488"/>
  <c r="AA114" i="488"/>
  <c r="C31" i="637" s="1"/>
  <c r="R28" i="512"/>
  <c r="Q29" i="261" s="1"/>
  <c r="E21" i="659" s="1"/>
  <c r="O23" i="514"/>
  <c r="O21" i="508"/>
  <c r="R24" i="330"/>
  <c r="T33" i="261" s="1"/>
  <c r="E24" i="663" s="1"/>
  <c r="Y21" i="509"/>
  <c r="V14" i="512"/>
  <c r="M14" i="509"/>
  <c r="P14" i="509"/>
  <c r="H16" i="509"/>
  <c r="S16" i="509" s="1"/>
  <c r="P18" i="509"/>
  <c r="L21" i="508"/>
  <c r="AD21" i="508" s="1"/>
  <c r="P16" i="508"/>
  <c r="V20" i="516"/>
  <c r="L15" i="514"/>
  <c r="R15" i="514" s="1"/>
  <c r="S15" i="514" s="1"/>
  <c r="H17" i="516"/>
  <c r="S17" i="516" s="1"/>
  <c r="H21" i="516"/>
  <c r="M21" i="516" s="1"/>
  <c r="S24" i="508"/>
  <c r="Y24" i="508"/>
  <c r="V24" i="508"/>
  <c r="S17" i="508"/>
  <c r="Y17" i="508"/>
  <c r="V17" i="508"/>
  <c r="P24" i="508"/>
  <c r="V17" i="512"/>
  <c r="R76" i="282"/>
  <c r="S16" i="508"/>
  <c r="Y16" i="508"/>
  <c r="V16" i="508"/>
  <c r="S19" i="508"/>
  <c r="Y19" i="508"/>
  <c r="V19" i="508"/>
  <c r="P14" i="508"/>
  <c r="Y14" i="509"/>
  <c r="M15" i="509"/>
  <c r="P17" i="509"/>
  <c r="M16" i="514"/>
  <c r="O49" i="501"/>
  <c r="X44" i="502"/>
  <c r="S14" i="508"/>
  <c r="Y14" i="508"/>
  <c r="V14" i="508"/>
  <c r="X31" i="283"/>
  <c r="AE22" i="508"/>
  <c r="P17" i="508"/>
  <c r="H17" i="514"/>
  <c r="R21" i="514"/>
  <c r="M22" i="508"/>
  <c r="O25" i="508"/>
  <c r="P19" i="508"/>
  <c r="Y20" i="509"/>
  <c r="P21" i="509"/>
  <c r="H24" i="512"/>
  <c r="M23" i="512"/>
  <c r="H15" i="514"/>
  <c r="R45" i="502"/>
  <c r="U52" i="502" s="1"/>
  <c r="C30" i="647" s="1"/>
  <c r="R27" i="509"/>
  <c r="M14" i="508"/>
  <c r="H18" i="508"/>
  <c r="AB18" i="508" s="1"/>
  <c r="M19" i="508"/>
  <c r="H21" i="508"/>
  <c r="AB21" i="508" s="1"/>
  <c r="H25" i="508"/>
  <c r="AB25" i="508" s="1"/>
  <c r="L19" i="509"/>
  <c r="O22" i="509"/>
  <c r="P20" i="509"/>
  <c r="M14" i="514"/>
  <c r="M15" i="516"/>
  <c r="P15" i="516"/>
  <c r="M20" i="516"/>
  <c r="P20" i="516"/>
  <c r="U114" i="488"/>
  <c r="R32" i="508"/>
  <c r="L18" i="508"/>
  <c r="L25" i="508"/>
  <c r="AD25" i="508" s="1"/>
  <c r="H22" i="509"/>
  <c r="S22" i="509" s="1"/>
  <c r="P16" i="516"/>
  <c r="M16" i="516"/>
  <c r="H15" i="508"/>
  <c r="AB15" i="508" s="1"/>
  <c r="M17" i="508"/>
  <c r="L23" i="508"/>
  <c r="AD23" i="508" s="1"/>
  <c r="M24" i="508"/>
  <c r="P22" i="508"/>
  <c r="M18" i="509"/>
  <c r="L22" i="509"/>
  <c r="X22" i="509" s="1"/>
  <c r="V19" i="512"/>
  <c r="V16" i="516"/>
  <c r="M19" i="516"/>
  <c r="P19" i="516"/>
  <c r="X39" i="209"/>
  <c r="L15" i="508"/>
  <c r="M16" i="508"/>
  <c r="L16" i="509"/>
  <c r="M17" i="509"/>
  <c r="H19" i="509"/>
  <c r="S19" i="509" s="1"/>
  <c r="M20" i="509"/>
  <c r="M21" i="509"/>
  <c r="Y18" i="509"/>
  <c r="P15" i="509"/>
  <c r="L17" i="514"/>
  <c r="R16" i="514"/>
  <c r="S16" i="514" s="1"/>
  <c r="P17" i="512"/>
  <c r="H18" i="512"/>
  <c r="L20" i="512"/>
  <c r="M14" i="512"/>
  <c r="L18" i="512"/>
  <c r="M19" i="512"/>
  <c r="L15" i="512"/>
  <c r="M17" i="512"/>
  <c r="P23" i="512"/>
  <c r="P14" i="512"/>
  <c r="H15" i="512"/>
  <c r="P15" i="512" s="1"/>
  <c r="P19" i="512"/>
  <c r="H20" i="512"/>
  <c r="L24" i="512"/>
  <c r="L22" i="516"/>
  <c r="R31" i="516" s="1"/>
  <c r="C28" i="670" s="1"/>
  <c r="C34" i="670" s="1"/>
  <c r="L23" i="516"/>
  <c r="U23" i="516" s="1"/>
  <c r="O25" i="512"/>
  <c r="O26" i="512" s="1"/>
  <c r="O27" i="512" s="1"/>
  <c r="R43" i="497"/>
  <c r="R44" i="497" s="1"/>
  <c r="U43" i="495"/>
  <c r="X27" i="209"/>
  <c r="U103" i="488"/>
  <c r="R26" i="266"/>
  <c r="U37" i="266" s="1"/>
  <c r="R21" i="486"/>
  <c r="V15" i="516"/>
  <c r="O19" i="509"/>
  <c r="O16" i="509"/>
  <c r="O18" i="508"/>
  <c r="X16" i="509" l="1"/>
  <c r="Y16" i="509" s="1"/>
  <c r="AD18" i="508"/>
  <c r="U35" i="509"/>
  <c r="C30" i="653" s="1"/>
  <c r="R35" i="509"/>
  <c r="X41" i="283"/>
  <c r="C30" i="636"/>
  <c r="O24" i="514"/>
  <c r="T32" i="261" s="1"/>
  <c r="E24" i="662" s="1"/>
  <c r="S32" i="261"/>
  <c r="E23" i="662" s="1"/>
  <c r="O29" i="514"/>
  <c r="C29" i="662" s="1"/>
  <c r="R32" i="261"/>
  <c r="X19" i="509"/>
  <c r="Q20" i="261"/>
  <c r="E21" i="645" s="1"/>
  <c r="R49" i="501"/>
  <c r="R29" i="512"/>
  <c r="R29" i="261" s="1"/>
  <c r="U28" i="512"/>
  <c r="AE14" i="508"/>
  <c r="AD15" i="508"/>
  <c r="AE15" i="508" s="1"/>
  <c r="R52" i="502"/>
  <c r="V17" i="516"/>
  <c r="S21" i="516"/>
  <c r="AE21" i="508"/>
  <c r="P21" i="516"/>
  <c r="O26" i="508"/>
  <c r="M17" i="516"/>
  <c r="H23" i="516"/>
  <c r="I38" i="261" s="1"/>
  <c r="P17" i="516"/>
  <c r="M15" i="514"/>
  <c r="L25" i="512"/>
  <c r="L26" i="512" s="1"/>
  <c r="L27" i="512" s="1"/>
  <c r="P20" i="512"/>
  <c r="P24" i="512"/>
  <c r="H22" i="516"/>
  <c r="P19" i="509"/>
  <c r="M21" i="508"/>
  <c r="AE25" i="508"/>
  <c r="L18" i="514"/>
  <c r="L28" i="514" s="1"/>
  <c r="L30" i="514" s="1"/>
  <c r="L26" i="508"/>
  <c r="S25" i="508"/>
  <c r="Y25" i="508"/>
  <c r="V25" i="508"/>
  <c r="P25" i="508"/>
  <c r="R46" i="502"/>
  <c r="R77" i="282"/>
  <c r="R34" i="516"/>
  <c r="Y15" i="508"/>
  <c r="V15" i="508"/>
  <c r="S18" i="508"/>
  <c r="Y18" i="508"/>
  <c r="V18" i="508"/>
  <c r="R28" i="509"/>
  <c r="M15" i="508"/>
  <c r="M18" i="508"/>
  <c r="H18" i="514"/>
  <c r="H32" i="261" s="1"/>
  <c r="G9" i="662" s="1"/>
  <c r="AE18" i="508"/>
  <c r="S21" i="508"/>
  <c r="Y21" i="508"/>
  <c r="V21" i="508"/>
  <c r="X32" i="283"/>
  <c r="O50" i="501"/>
  <c r="P18" i="508"/>
  <c r="R37" i="266"/>
  <c r="R17" i="514"/>
  <c r="S17" i="514" s="1"/>
  <c r="M17" i="514"/>
  <c r="M16" i="509"/>
  <c r="H23" i="509"/>
  <c r="O31" i="516"/>
  <c r="L31" i="516"/>
  <c r="L34" i="516" s="1"/>
  <c r="M22" i="509"/>
  <c r="Y22" i="509"/>
  <c r="H26" i="508"/>
  <c r="H25" i="261" s="1"/>
  <c r="G9" i="652" s="1"/>
  <c r="S15" i="508"/>
  <c r="O23" i="509"/>
  <c r="P16" i="509"/>
  <c r="M25" i="508"/>
  <c r="P22" i="509"/>
  <c r="P21" i="508"/>
  <c r="U44" i="495"/>
  <c r="L23" i="509"/>
  <c r="AE23" i="508"/>
  <c r="M23" i="508"/>
  <c r="M19" i="509"/>
  <c r="Y19" i="509"/>
  <c r="P15" i="508"/>
  <c r="M20" i="512"/>
  <c r="U20" i="512"/>
  <c r="V20" i="512" s="1"/>
  <c r="M24" i="512"/>
  <c r="U24" i="512"/>
  <c r="V24" i="512" s="1"/>
  <c r="H25" i="512"/>
  <c r="O35" i="512"/>
  <c r="R35" i="512"/>
  <c r="C29" i="659" s="1"/>
  <c r="M18" i="512"/>
  <c r="U18" i="512"/>
  <c r="V18" i="512" s="1"/>
  <c r="M15" i="512"/>
  <c r="U15" i="512"/>
  <c r="V15" i="512" s="1"/>
  <c r="P18" i="512"/>
  <c r="U22" i="516"/>
  <c r="L24" i="516"/>
  <c r="X30" i="209"/>
  <c r="U106" i="488"/>
  <c r="R28" i="266"/>
  <c r="R23" i="486"/>
  <c r="R22" i="484"/>
  <c r="AA26" i="263"/>
  <c r="O30" i="512"/>
  <c r="O31" i="512" s="1"/>
  <c r="S22" i="516" l="1"/>
  <c r="O38" i="261" s="1"/>
  <c r="H38" i="261"/>
  <c r="G9" i="670" s="1"/>
  <c r="E22" i="659"/>
  <c r="G10" i="659"/>
  <c r="I29" i="261"/>
  <c r="H29" i="261"/>
  <c r="G9" i="659" s="1"/>
  <c r="U85" i="282"/>
  <c r="X85" i="282"/>
  <c r="C30" i="648" s="1"/>
  <c r="E22" i="662"/>
  <c r="G10" i="662"/>
  <c r="H26" i="261"/>
  <c r="G9" i="653" s="1"/>
  <c r="V27" i="509"/>
  <c r="R20" i="261"/>
  <c r="R29" i="509"/>
  <c r="P22" i="514"/>
  <c r="R30" i="512"/>
  <c r="S29" i="261" s="1"/>
  <c r="E23" i="659" s="1"/>
  <c r="R36" i="512"/>
  <c r="C30" i="659" s="1"/>
  <c r="R36" i="508"/>
  <c r="AA36" i="508"/>
  <c r="C29" i="652" s="1"/>
  <c r="Y30" i="508"/>
  <c r="AB39" i="508" s="1"/>
  <c r="E32" i="652" s="1"/>
  <c r="AB30" i="508"/>
  <c r="L35" i="508"/>
  <c r="L41" i="508" s="1"/>
  <c r="AA35" i="508"/>
  <c r="O28" i="508"/>
  <c r="O31" i="508" s="1"/>
  <c r="O32" i="508" s="1"/>
  <c r="O36" i="508"/>
  <c r="U36" i="508"/>
  <c r="X36" i="508"/>
  <c r="O57" i="501"/>
  <c r="C29" i="645" s="1"/>
  <c r="R85" i="282"/>
  <c r="S27" i="509"/>
  <c r="AD26" i="508"/>
  <c r="AD28" i="508" s="1"/>
  <c r="AD30" i="508" s="1"/>
  <c r="O35" i="508"/>
  <c r="M18" i="514"/>
  <c r="M28" i="514" s="1"/>
  <c r="M30" i="514" s="1"/>
  <c r="P23" i="509"/>
  <c r="M22" i="516"/>
  <c r="S31" i="516" s="1"/>
  <c r="E28" i="670" s="1"/>
  <c r="H24" i="516"/>
  <c r="K38" i="261" s="1"/>
  <c r="P22" i="516"/>
  <c r="S32" i="516" s="1"/>
  <c r="E29" i="670" s="1"/>
  <c r="X23" i="509"/>
  <c r="L20" i="514"/>
  <c r="L23" i="514" s="1"/>
  <c r="L24" i="514" s="1"/>
  <c r="O28" i="514"/>
  <c r="X35" i="508"/>
  <c r="L28" i="508"/>
  <c r="L31" i="508" s="1"/>
  <c r="L32" i="508" s="1"/>
  <c r="O25" i="509"/>
  <c r="R18" i="514"/>
  <c r="R20" i="514" s="1"/>
  <c r="R22" i="514" s="1"/>
  <c r="R35" i="508"/>
  <c r="R41" i="508" s="1"/>
  <c r="U35" i="508"/>
  <c r="H20" i="514"/>
  <c r="K32" i="261" s="1"/>
  <c r="R24" i="486"/>
  <c r="X24" i="486" s="1"/>
  <c r="V26" i="508"/>
  <c r="AB38" i="508" s="1"/>
  <c r="E31" i="652" s="1"/>
  <c r="R78" i="282"/>
  <c r="AA27" i="263"/>
  <c r="AG27" i="263" s="1"/>
  <c r="H26" i="512"/>
  <c r="J29" i="261" s="1"/>
  <c r="P26" i="508"/>
  <c r="O51" i="501"/>
  <c r="R23" i="484"/>
  <c r="R47" i="502"/>
  <c r="U107" i="488"/>
  <c r="H25" i="509"/>
  <c r="K26" i="261" s="1"/>
  <c r="U25" i="512"/>
  <c r="U26" i="512" s="1"/>
  <c r="U27" i="512" s="1"/>
  <c r="U29" i="512" s="1"/>
  <c r="U30" i="512" s="1"/>
  <c r="U31" i="512" s="1"/>
  <c r="X31" i="209"/>
  <c r="L25" i="509"/>
  <c r="U33" i="509" s="1"/>
  <c r="M23" i="509"/>
  <c r="V33" i="509" s="1"/>
  <c r="E28" i="653" s="1"/>
  <c r="L33" i="509"/>
  <c r="L37" i="509" s="1"/>
  <c r="H28" i="508"/>
  <c r="K25" i="261" s="1"/>
  <c r="S26" i="508"/>
  <c r="AB37" i="508" s="1"/>
  <c r="E30" i="652" s="1"/>
  <c r="M26" i="508"/>
  <c r="AB35" i="508" s="1"/>
  <c r="E28" i="652" s="1"/>
  <c r="O34" i="516"/>
  <c r="R34" i="512"/>
  <c r="C28" i="659" s="1"/>
  <c r="C34" i="659" s="1"/>
  <c r="O34" i="512"/>
  <c r="L27" i="516"/>
  <c r="L28" i="516" s="1"/>
  <c r="V22" i="516"/>
  <c r="U24" i="516"/>
  <c r="U26" i="516" s="1"/>
  <c r="U27" i="516" s="1"/>
  <c r="U28" i="516" s="1"/>
  <c r="R31" i="266"/>
  <c r="L30" i="512"/>
  <c r="L31" i="512" s="1"/>
  <c r="L34" i="512"/>
  <c r="L37" i="512" s="1"/>
  <c r="AA41" i="508" l="1"/>
  <c r="C28" i="652"/>
  <c r="C37" i="652" s="1"/>
  <c r="C28" i="653"/>
  <c r="V35" i="509"/>
  <c r="E30" i="653" s="1"/>
  <c r="S35" i="509"/>
  <c r="AB40" i="508"/>
  <c r="E33" i="652" s="1"/>
  <c r="O25" i="261"/>
  <c r="O26" i="261"/>
  <c r="V36" i="509"/>
  <c r="P29" i="514"/>
  <c r="E29" i="662" s="1"/>
  <c r="O32" i="261"/>
  <c r="O28" i="509"/>
  <c r="O29" i="509" s="1"/>
  <c r="U34" i="509"/>
  <c r="C29" i="653" s="1"/>
  <c r="P34" i="509"/>
  <c r="V34" i="509"/>
  <c r="E29" i="653" s="1"/>
  <c r="S33" i="516"/>
  <c r="E30" i="670" s="1"/>
  <c r="E34" i="670" s="1"/>
  <c r="U23" i="484"/>
  <c r="Q11" i="261"/>
  <c r="E21" i="634" s="1"/>
  <c r="O30" i="514"/>
  <c r="C28" i="662"/>
  <c r="C34" i="662" s="1"/>
  <c r="R23" i="514"/>
  <c r="R24" i="514" s="1"/>
  <c r="S18" i="514"/>
  <c r="Q10" i="261"/>
  <c r="E21" i="633" s="1"/>
  <c r="E22" i="645"/>
  <c r="G10" i="645"/>
  <c r="S20" i="261"/>
  <c r="E23" i="645" s="1"/>
  <c r="R31" i="512"/>
  <c r="T29" i="261" s="1"/>
  <c r="E24" i="659" s="1"/>
  <c r="S36" i="508"/>
  <c r="AB36" i="508"/>
  <c r="AA28" i="263"/>
  <c r="AD39" i="263" s="1"/>
  <c r="C33" i="633" s="1"/>
  <c r="O41" i="508"/>
  <c r="U41" i="508"/>
  <c r="AD31" i="508"/>
  <c r="AD32" i="508" s="1"/>
  <c r="AE30" i="508"/>
  <c r="S34" i="509"/>
  <c r="X25" i="509"/>
  <c r="X27" i="509" s="1"/>
  <c r="P28" i="514"/>
  <c r="E28" i="662" s="1"/>
  <c r="X41" i="508"/>
  <c r="H27" i="516"/>
  <c r="L38" i="261" s="1"/>
  <c r="R34" i="509"/>
  <c r="P32" i="516"/>
  <c r="M31" i="516"/>
  <c r="M34" i="516" s="1"/>
  <c r="P31" i="516"/>
  <c r="O34" i="509"/>
  <c r="R79" i="282"/>
  <c r="P36" i="508"/>
  <c r="H23" i="514"/>
  <c r="L32" i="261" s="1"/>
  <c r="R24" i="484"/>
  <c r="O52" i="501"/>
  <c r="V38" i="508"/>
  <c r="Y38" i="508"/>
  <c r="Y35" i="508"/>
  <c r="V35" i="508"/>
  <c r="H28" i="509"/>
  <c r="L26" i="261" s="1"/>
  <c r="Y39" i="508"/>
  <c r="R37" i="512"/>
  <c r="Y36" i="508"/>
  <c r="V36" i="508"/>
  <c r="Y37" i="508"/>
  <c r="V37" i="508"/>
  <c r="H27" i="512"/>
  <c r="R25" i="486"/>
  <c r="U34" i="486" s="1"/>
  <c r="C30" i="635" s="1"/>
  <c r="S35" i="508"/>
  <c r="P35" i="508"/>
  <c r="M35" i="508"/>
  <c r="M41" i="508" s="1"/>
  <c r="S37" i="508"/>
  <c r="S33" i="509"/>
  <c r="P33" i="509"/>
  <c r="M33" i="509"/>
  <c r="M37" i="509" s="1"/>
  <c r="R33" i="509"/>
  <c r="O33" i="509"/>
  <c r="L28" i="509"/>
  <c r="L29" i="509" s="1"/>
  <c r="R32" i="266"/>
  <c r="H31" i="508"/>
  <c r="L25" i="261" s="1"/>
  <c r="O37" i="512"/>
  <c r="P37" i="509" l="1"/>
  <c r="S34" i="516"/>
  <c r="V27" i="512"/>
  <c r="K29" i="261"/>
  <c r="AB41" i="508"/>
  <c r="E29" i="652"/>
  <c r="E37" i="652" s="1"/>
  <c r="E34" i="662"/>
  <c r="U37" i="509"/>
  <c r="V37" i="509"/>
  <c r="E31" i="653"/>
  <c r="E34" i="653" s="1"/>
  <c r="C34" i="653"/>
  <c r="R11" i="261"/>
  <c r="T20" i="261"/>
  <c r="E24" i="645" s="1"/>
  <c r="R34" i="486"/>
  <c r="R10" i="261"/>
  <c r="AA39" i="263"/>
  <c r="R32" i="484"/>
  <c r="C30" i="634" s="1"/>
  <c r="X28" i="509"/>
  <c r="X29" i="509" s="1"/>
  <c r="Y27" i="509"/>
  <c r="AA29" i="263"/>
  <c r="S10" i="261" s="1"/>
  <c r="E23" i="633" s="1"/>
  <c r="O37" i="509"/>
  <c r="P30" i="514"/>
  <c r="H28" i="516"/>
  <c r="M38" i="261" s="1"/>
  <c r="P34" i="516"/>
  <c r="H24" i="514"/>
  <c r="M32" i="261" s="1"/>
  <c r="P41" i="508"/>
  <c r="R25" i="484"/>
  <c r="S11" i="261" s="1"/>
  <c r="E23" i="634" s="1"/>
  <c r="Y41" i="508"/>
  <c r="S27" i="512"/>
  <c r="H30" i="512"/>
  <c r="L29" i="261" s="1"/>
  <c r="P27" i="512"/>
  <c r="M27" i="512"/>
  <c r="V41" i="508"/>
  <c r="R37" i="509"/>
  <c r="S37" i="509"/>
  <c r="R26" i="486"/>
  <c r="H29" i="509"/>
  <c r="M26" i="261" s="1"/>
  <c r="S41" i="508"/>
  <c r="H32" i="508"/>
  <c r="M25" i="261" s="1"/>
  <c r="S36" i="512" l="1"/>
  <c r="E30" i="659" s="1"/>
  <c r="O29" i="261"/>
  <c r="G10" i="634"/>
  <c r="E22" i="634"/>
  <c r="E22" i="633"/>
  <c r="G10" i="633"/>
  <c r="AA30" i="263"/>
  <c r="T10" i="261" s="1"/>
  <c r="E24" i="633" s="1"/>
  <c r="R27" i="486"/>
  <c r="R26" i="484"/>
  <c r="T11" i="261" s="1"/>
  <c r="E24" i="634" s="1"/>
  <c r="S35" i="512"/>
  <c r="E29" i="659" s="1"/>
  <c r="E34" i="659" s="1"/>
  <c r="P35" i="512"/>
  <c r="H31" i="512"/>
  <c r="M29" i="261" s="1"/>
  <c r="M34" i="512"/>
  <c r="M37" i="512" s="1"/>
  <c r="P34" i="512"/>
  <c r="S34" i="512"/>
  <c r="E28" i="659" s="1"/>
  <c r="L22" i="504"/>
  <c r="AD22" i="504" s="1"/>
  <c r="AE22" i="504" s="1"/>
  <c r="L20" i="504"/>
  <c r="AD20" i="504" s="1"/>
  <c r="L19" i="504"/>
  <c r="AD19" i="504" s="1"/>
  <c r="AE19" i="504" s="1"/>
  <c r="L17" i="504"/>
  <c r="AD17" i="504" s="1"/>
  <c r="L16" i="504"/>
  <c r="L14" i="504"/>
  <c r="AD14" i="504" s="1"/>
  <c r="AE14" i="504" s="1"/>
  <c r="H24" i="504"/>
  <c r="Y24" i="504" s="1"/>
  <c r="H20" i="504"/>
  <c r="H19" i="504"/>
  <c r="Y19" i="504" s="1"/>
  <c r="H17" i="504"/>
  <c r="H16" i="504"/>
  <c r="Y16" i="504" s="1"/>
  <c r="H14" i="504"/>
  <c r="Y14" i="504" s="1"/>
  <c r="AE17" i="504" l="1"/>
  <c r="AD16" i="504"/>
  <c r="AE16" i="504" s="1"/>
  <c r="Y17" i="504"/>
  <c r="V17" i="504"/>
  <c r="P37" i="512"/>
  <c r="V16" i="504"/>
  <c r="S19" i="504"/>
  <c r="V19" i="504"/>
  <c r="S14" i="504"/>
  <c r="V14" i="504"/>
  <c r="L18" i="504"/>
  <c r="AD18" i="504" s="1"/>
  <c r="AE18" i="504" s="1"/>
  <c r="L25" i="504"/>
  <c r="AD25" i="504" s="1"/>
  <c r="AE25" i="504" s="1"/>
  <c r="S16" i="504"/>
  <c r="L21" i="504"/>
  <c r="AD21" i="504" s="1"/>
  <c r="AE21" i="504" s="1"/>
  <c r="M22" i="504"/>
  <c r="S37" i="512"/>
  <c r="M14" i="504"/>
  <c r="P17" i="504"/>
  <c r="S17" i="504"/>
  <c r="H15" i="504"/>
  <c r="P14" i="504"/>
  <c r="H21" i="504"/>
  <c r="P19" i="504"/>
  <c r="M17" i="504"/>
  <c r="L15" i="504"/>
  <c r="AD15" i="504" s="1"/>
  <c r="AE15" i="504" s="1"/>
  <c r="M19" i="504"/>
  <c r="M24" i="504"/>
  <c r="H18" i="504"/>
  <c r="P16" i="504"/>
  <c r="H25" i="504"/>
  <c r="P24" i="504"/>
  <c r="L23" i="504"/>
  <c r="AD23" i="504" s="1"/>
  <c r="M16" i="504"/>
  <c r="V25" i="504" l="1"/>
  <c r="Y25" i="504"/>
  <c r="V21" i="504"/>
  <c r="Y21" i="504"/>
  <c r="V18" i="504"/>
  <c r="V15" i="504"/>
  <c r="Y15" i="504"/>
  <c r="L26" i="504"/>
  <c r="AA36" i="504" s="1"/>
  <c r="M18" i="504"/>
  <c r="P25" i="504"/>
  <c r="S25" i="504"/>
  <c r="P15" i="504"/>
  <c r="S15" i="504"/>
  <c r="P18" i="504"/>
  <c r="S18" i="504"/>
  <c r="P21" i="504"/>
  <c r="S21" i="504"/>
  <c r="H26" i="504"/>
  <c r="H24" i="261" s="1"/>
  <c r="G9" i="651" s="1"/>
  <c r="M25" i="504"/>
  <c r="AE23" i="504"/>
  <c r="M23" i="504"/>
  <c r="M21" i="504"/>
  <c r="M15" i="504"/>
  <c r="C28" i="651" l="1"/>
  <c r="C37" i="651" s="1"/>
  <c r="AA42" i="504"/>
  <c r="Y30" i="504"/>
  <c r="AB30" i="504"/>
  <c r="L28" i="504"/>
  <c r="L31" i="504" s="1"/>
  <c r="L32" i="504" s="1"/>
  <c r="X36" i="504"/>
  <c r="X42" i="504" s="1"/>
  <c r="R36" i="504"/>
  <c r="U36" i="504"/>
  <c r="U41" i="504" s="1"/>
  <c r="S30" i="504"/>
  <c r="AB38" i="504" s="1"/>
  <c r="V30" i="504"/>
  <c r="Y39" i="504" s="1"/>
  <c r="L36" i="504"/>
  <c r="L41" i="504" s="1"/>
  <c r="O36" i="504"/>
  <c r="O41" i="504" s="1"/>
  <c r="M26" i="504"/>
  <c r="AD26" i="504"/>
  <c r="AD28" i="504" s="1"/>
  <c r="AD30" i="504" s="1"/>
  <c r="AE30" i="504" s="1"/>
  <c r="H28" i="504"/>
  <c r="K24" i="261" s="1"/>
  <c r="P26" i="504"/>
  <c r="AB37" i="504" s="1"/>
  <c r="E29" i="651" s="1"/>
  <c r="Y36" i="504" l="1"/>
  <c r="AB36" i="504"/>
  <c r="E28" i="651" s="1"/>
  <c r="E30" i="651"/>
  <c r="Y40" i="504"/>
  <c r="AB40" i="504"/>
  <c r="E32" i="651" s="1"/>
  <c r="AB39" i="504"/>
  <c r="E31" i="651" s="1"/>
  <c r="Y41" i="504"/>
  <c r="O24" i="261"/>
  <c r="AB41" i="504"/>
  <c r="E33" i="651" s="1"/>
  <c r="R41" i="504"/>
  <c r="V37" i="504"/>
  <c r="Y37" i="504"/>
  <c r="V38" i="504"/>
  <c r="Y38" i="504"/>
  <c r="V39" i="504"/>
  <c r="S36" i="504"/>
  <c r="V36" i="504"/>
  <c r="P37" i="504"/>
  <c r="S37" i="504"/>
  <c r="M36" i="504"/>
  <c r="M41" i="504" s="1"/>
  <c r="AD31" i="504"/>
  <c r="AD32" i="504" s="1"/>
  <c r="S38" i="504"/>
  <c r="P36" i="504"/>
  <c r="H31" i="504"/>
  <c r="L24" i="261" s="1"/>
  <c r="E37" i="651" l="1"/>
  <c r="AB42" i="504"/>
  <c r="Y42" i="504"/>
  <c r="V41" i="504"/>
  <c r="P41" i="504"/>
  <c r="S41" i="504"/>
  <c r="H32" i="504"/>
  <c r="M24" i="261" s="1"/>
  <c r="O39" i="502"/>
  <c r="O40" i="502" s="1"/>
  <c r="O36" i="502"/>
  <c r="O32" i="502"/>
  <c r="O33" i="502" s="1"/>
  <c r="O29" i="502"/>
  <c r="O30" i="502" s="1"/>
  <c r="O24" i="502"/>
  <c r="O26" i="502" s="1"/>
  <c r="O16" i="502"/>
  <c r="L39" i="502"/>
  <c r="H39" i="502"/>
  <c r="S39" i="502" s="1"/>
  <c r="L38" i="502"/>
  <c r="X38" i="502" s="1"/>
  <c r="H38" i="502"/>
  <c r="L36" i="502"/>
  <c r="H36" i="502"/>
  <c r="S36" i="502" s="1"/>
  <c r="L35" i="502"/>
  <c r="X35" i="502" s="1"/>
  <c r="H35" i="502"/>
  <c r="L34" i="502"/>
  <c r="X34" i="502" s="1"/>
  <c r="H34" i="502"/>
  <c r="L32" i="502"/>
  <c r="H32" i="502"/>
  <c r="S32" i="502" s="1"/>
  <c r="L31" i="502"/>
  <c r="X31" i="502" s="1"/>
  <c r="H31" i="502"/>
  <c r="L29" i="502"/>
  <c r="H29" i="502"/>
  <c r="S29" i="502" s="1"/>
  <c r="L28" i="502"/>
  <c r="X28" i="502" s="1"/>
  <c r="H28" i="502"/>
  <c r="L27" i="502"/>
  <c r="X27" i="502" s="1"/>
  <c r="H27" i="502"/>
  <c r="L25" i="502"/>
  <c r="X25" i="502" s="1"/>
  <c r="H25" i="502"/>
  <c r="L24" i="502"/>
  <c r="X24" i="502" s="1"/>
  <c r="H24" i="502"/>
  <c r="S24" i="502" s="1"/>
  <c r="O23" i="502"/>
  <c r="L22" i="502"/>
  <c r="X22" i="502" s="1"/>
  <c r="H22" i="502"/>
  <c r="L21" i="502"/>
  <c r="X21" i="502" s="1"/>
  <c r="H21" i="502"/>
  <c r="O20" i="502"/>
  <c r="L19" i="502"/>
  <c r="X19" i="502" s="1"/>
  <c r="H19" i="502"/>
  <c r="L18" i="502"/>
  <c r="X18" i="502" s="1"/>
  <c r="H18" i="502"/>
  <c r="L16" i="502"/>
  <c r="H16" i="502"/>
  <c r="S16" i="502" s="1"/>
  <c r="L15" i="502"/>
  <c r="X15" i="502" s="1"/>
  <c r="H15" i="502"/>
  <c r="S15" i="502" s="1"/>
  <c r="L14" i="502"/>
  <c r="X14" i="502" s="1"/>
  <c r="H14" i="502"/>
  <c r="S14" i="502" s="1"/>
  <c r="X39" i="502" l="1"/>
  <c r="X29" i="502"/>
  <c r="X36" i="502"/>
  <c r="X32" i="502"/>
  <c r="X16" i="502"/>
  <c r="H40" i="502"/>
  <c r="P36" i="502"/>
  <c r="H23" i="502"/>
  <c r="H17" i="502"/>
  <c r="H26" i="502"/>
  <c r="M16" i="502"/>
  <c r="H33" i="502"/>
  <c r="H37" i="502"/>
  <c r="P24" i="502"/>
  <c r="H20" i="502"/>
  <c r="P16" i="502"/>
  <c r="M22" i="502"/>
  <c r="Y22" i="502" s="1"/>
  <c r="H30" i="502"/>
  <c r="M24" i="502"/>
  <c r="O17" i="502"/>
  <c r="O37" i="502"/>
  <c r="L17" i="502"/>
  <c r="L23" i="502"/>
  <c r="M36" i="502"/>
  <c r="M39" i="502"/>
  <c r="P32" i="502"/>
  <c r="M14" i="502"/>
  <c r="Y14" i="502" s="1"/>
  <c r="L20" i="502"/>
  <c r="L30" i="502"/>
  <c r="X30" i="502" s="1"/>
  <c r="L33" i="502"/>
  <c r="M15" i="502"/>
  <c r="Y15" i="502" s="1"/>
  <c r="M19" i="502"/>
  <c r="Y19" i="502" s="1"/>
  <c r="L37" i="502"/>
  <c r="L40" i="502"/>
  <c r="P39" i="502"/>
  <c r="L26" i="502"/>
  <c r="M29" i="502"/>
  <c r="M32" i="502"/>
  <c r="Y32" i="502" s="1"/>
  <c r="P29" i="502"/>
  <c r="L44" i="501"/>
  <c r="L42" i="501"/>
  <c r="L41" i="501"/>
  <c r="L40" i="501"/>
  <c r="R40" i="501" s="1"/>
  <c r="L38" i="501"/>
  <c r="R38" i="501" s="1"/>
  <c r="L37" i="501"/>
  <c r="R37" i="501" s="1"/>
  <c r="L36" i="501"/>
  <c r="R36" i="501" s="1"/>
  <c r="L34" i="501"/>
  <c r="L33" i="501"/>
  <c r="R33" i="501" s="1"/>
  <c r="L32" i="501"/>
  <c r="R32" i="501" s="1"/>
  <c r="L30" i="501"/>
  <c r="R30" i="501" s="1"/>
  <c r="L29" i="501"/>
  <c r="L28" i="501"/>
  <c r="R28" i="501" s="1"/>
  <c r="L26" i="501"/>
  <c r="R26" i="501" s="1"/>
  <c r="L24" i="501"/>
  <c r="R24" i="501" s="1"/>
  <c r="L23" i="501"/>
  <c r="L22" i="501"/>
  <c r="R22" i="501" s="1"/>
  <c r="L20" i="501"/>
  <c r="R20" i="501" s="1"/>
  <c r="L19" i="501"/>
  <c r="R19" i="501" s="1"/>
  <c r="L18" i="501"/>
  <c r="R18" i="501" s="1"/>
  <c r="L16" i="501"/>
  <c r="R16" i="501" s="1"/>
  <c r="L15" i="501"/>
  <c r="R15" i="501" s="1"/>
  <c r="L14" i="501"/>
  <c r="R14" i="501" s="1"/>
  <c r="H44" i="501"/>
  <c r="H42" i="501"/>
  <c r="P42" i="501" s="1"/>
  <c r="H41" i="501"/>
  <c r="P41" i="501" s="1"/>
  <c r="H40" i="501"/>
  <c r="H38" i="501"/>
  <c r="P38" i="501" s="1"/>
  <c r="H37" i="501"/>
  <c r="P37" i="501" s="1"/>
  <c r="H36" i="501"/>
  <c r="H34" i="501"/>
  <c r="P34" i="501" s="1"/>
  <c r="H33" i="501"/>
  <c r="P33" i="501" s="1"/>
  <c r="H32" i="501"/>
  <c r="H30" i="501"/>
  <c r="P30" i="501" s="1"/>
  <c r="H29" i="501"/>
  <c r="P29" i="501" s="1"/>
  <c r="H28" i="501"/>
  <c r="H26" i="501"/>
  <c r="P26" i="501" s="1"/>
  <c r="H24" i="501"/>
  <c r="P24" i="501" s="1"/>
  <c r="H23" i="501"/>
  <c r="P23" i="501" s="1"/>
  <c r="H22" i="501"/>
  <c r="H20" i="501"/>
  <c r="H19" i="501"/>
  <c r="P19" i="501" s="1"/>
  <c r="H18" i="501"/>
  <c r="P18" i="501" s="1"/>
  <c r="H16" i="501"/>
  <c r="H15" i="501"/>
  <c r="P15" i="501" s="1"/>
  <c r="H14" i="501"/>
  <c r="P14" i="501" s="1"/>
  <c r="R23" i="501" l="1"/>
  <c r="S23" i="501" s="1"/>
  <c r="M23" i="501"/>
  <c r="H45" i="501"/>
  <c r="P45" i="501" s="1"/>
  <c r="P44" i="501"/>
  <c r="Y29" i="502"/>
  <c r="Y36" i="502"/>
  <c r="Y24" i="502"/>
  <c r="Y39" i="502"/>
  <c r="S40" i="502"/>
  <c r="V40" i="502"/>
  <c r="V23" i="502"/>
  <c r="V20" i="502"/>
  <c r="V17" i="502"/>
  <c r="V30" i="502"/>
  <c r="V37" i="502"/>
  <c r="V33" i="502"/>
  <c r="V26" i="502"/>
  <c r="Y16" i="502"/>
  <c r="P23" i="502"/>
  <c r="P17" i="502"/>
  <c r="S38" i="501"/>
  <c r="H25" i="501"/>
  <c r="P25" i="501" s="1"/>
  <c r="P40" i="502"/>
  <c r="P20" i="502"/>
  <c r="P33" i="502"/>
  <c r="S23" i="502"/>
  <c r="S17" i="502"/>
  <c r="M37" i="502"/>
  <c r="P26" i="502"/>
  <c r="S30" i="502"/>
  <c r="S33" i="502"/>
  <c r="S26" i="502"/>
  <c r="S20" i="502"/>
  <c r="X17" i="502"/>
  <c r="Y17" i="502" s="1"/>
  <c r="H41" i="502"/>
  <c r="S18" i="501"/>
  <c r="P30" i="502"/>
  <c r="S37" i="502"/>
  <c r="P37" i="502"/>
  <c r="X37" i="502"/>
  <c r="Y37" i="502" s="1"/>
  <c r="L27" i="501"/>
  <c r="R27" i="501" s="1"/>
  <c r="Y30" i="502"/>
  <c r="S24" i="501"/>
  <c r="M17" i="502"/>
  <c r="M29" i="501"/>
  <c r="S30" i="501"/>
  <c r="M30" i="502"/>
  <c r="O41" i="502"/>
  <c r="S14" i="501"/>
  <c r="M34" i="501"/>
  <c r="M42" i="501"/>
  <c r="H21" i="501"/>
  <c r="P21" i="501" s="1"/>
  <c r="H31" i="501"/>
  <c r="P31" i="501" s="1"/>
  <c r="H35" i="501"/>
  <c r="P35" i="501" s="1"/>
  <c r="H39" i="501"/>
  <c r="P39" i="501" s="1"/>
  <c r="H43" i="501"/>
  <c r="P43" i="501" s="1"/>
  <c r="R41" i="501"/>
  <c r="S41" i="501" s="1"/>
  <c r="M15" i="501"/>
  <c r="M26" i="501"/>
  <c r="M37" i="501"/>
  <c r="L41" i="502"/>
  <c r="R42" i="501"/>
  <c r="S42" i="501" s="1"/>
  <c r="M33" i="501"/>
  <c r="M38" i="501"/>
  <c r="M33" i="502"/>
  <c r="X33" i="502"/>
  <c r="Y33" i="502" s="1"/>
  <c r="S15" i="501"/>
  <c r="H27" i="501"/>
  <c r="P27" i="501" s="1"/>
  <c r="L45" i="501"/>
  <c r="R44" i="501"/>
  <c r="S44" i="501" s="1"/>
  <c r="M18" i="501"/>
  <c r="M24" i="501"/>
  <c r="M44" i="501"/>
  <c r="M40" i="502"/>
  <c r="X40" i="502"/>
  <c r="Y40" i="502" s="1"/>
  <c r="X23" i="502"/>
  <c r="Y23" i="502" s="1"/>
  <c r="M23" i="502"/>
  <c r="S19" i="501"/>
  <c r="R29" i="501"/>
  <c r="S29" i="501" s="1"/>
  <c r="L35" i="501"/>
  <c r="R34" i="501"/>
  <c r="S34" i="501" s="1"/>
  <c r="M14" i="501"/>
  <c r="M19" i="501"/>
  <c r="M30" i="501"/>
  <c r="M41" i="501"/>
  <c r="M26" i="502"/>
  <c r="X26" i="502"/>
  <c r="Y26" i="502" s="1"/>
  <c r="X20" i="502"/>
  <c r="Y20" i="502" s="1"/>
  <c r="M20" i="502"/>
  <c r="S37" i="501"/>
  <c r="L39" i="501"/>
  <c r="L43" i="501"/>
  <c r="L25" i="501"/>
  <c r="S26" i="501"/>
  <c r="L31" i="501"/>
  <c r="S33" i="501"/>
  <c r="L21" i="501"/>
  <c r="H17" i="501"/>
  <c r="P17" i="501" s="1"/>
  <c r="L17" i="501"/>
  <c r="H46" i="501" l="1"/>
  <c r="L43" i="502"/>
  <c r="L46" i="502" s="1"/>
  <c r="L47" i="502" s="1"/>
  <c r="U50" i="502"/>
  <c r="C28" i="647" s="1"/>
  <c r="O51" i="502"/>
  <c r="U51" i="502"/>
  <c r="C29" i="647" s="1"/>
  <c r="C34" i="647" s="1"/>
  <c r="L50" i="502"/>
  <c r="L54" i="502" s="1"/>
  <c r="H43" i="502"/>
  <c r="V45" i="502" s="1"/>
  <c r="V53" i="502" s="1"/>
  <c r="E31" i="647" s="1"/>
  <c r="R51" i="502"/>
  <c r="M41" i="502"/>
  <c r="P41" i="502"/>
  <c r="M27" i="501"/>
  <c r="O43" i="502"/>
  <c r="O46" i="502" s="1"/>
  <c r="O47" i="502" s="1"/>
  <c r="S27" i="501"/>
  <c r="R21" i="501"/>
  <c r="S21" i="501" s="1"/>
  <c r="M21" i="501"/>
  <c r="R25" i="501"/>
  <c r="S25" i="501" s="1"/>
  <c r="M25" i="501"/>
  <c r="R43" i="501"/>
  <c r="S43" i="501" s="1"/>
  <c r="M43" i="501"/>
  <c r="R35" i="501"/>
  <c r="S35" i="501" s="1"/>
  <c r="M35" i="501"/>
  <c r="R17" i="501"/>
  <c r="M17" i="501"/>
  <c r="R31" i="501"/>
  <c r="S31" i="501" s="1"/>
  <c r="M31" i="501"/>
  <c r="R39" i="501"/>
  <c r="S39" i="501" s="1"/>
  <c r="M39" i="501"/>
  <c r="R45" i="501"/>
  <c r="S45" i="501" s="1"/>
  <c r="M45" i="501"/>
  <c r="R50" i="502"/>
  <c r="O50" i="502"/>
  <c r="X41" i="502"/>
  <c r="L46" i="501"/>
  <c r="O54" i="502" l="1"/>
  <c r="S51" i="502"/>
  <c r="V51" i="502"/>
  <c r="E29" i="647" s="1"/>
  <c r="U54" i="502"/>
  <c r="S50" i="502"/>
  <c r="V50" i="502"/>
  <c r="E28" i="647" s="1"/>
  <c r="S45" i="502"/>
  <c r="H20" i="261"/>
  <c r="P50" i="502"/>
  <c r="M50" i="502"/>
  <c r="M54" i="502" s="1"/>
  <c r="H46" i="502"/>
  <c r="H47" i="502" s="1"/>
  <c r="P51" i="502"/>
  <c r="R54" i="502"/>
  <c r="X43" i="502"/>
  <c r="X45" i="502" s="1"/>
  <c r="H48" i="501"/>
  <c r="P50" i="501" s="1"/>
  <c r="O20" i="261" s="1"/>
  <c r="O56" i="501"/>
  <c r="L56" i="501"/>
  <c r="L58" i="501" s="1"/>
  <c r="M46" i="501"/>
  <c r="L48" i="501"/>
  <c r="L51" i="501" s="1"/>
  <c r="L52" i="501" s="1"/>
  <c r="S17" i="501"/>
  <c r="R46" i="501"/>
  <c r="G9" i="645" l="1"/>
  <c r="V52" i="502"/>
  <c r="S52" i="502"/>
  <c r="X46" i="502"/>
  <c r="X47" i="502" s="1"/>
  <c r="Y45" i="502"/>
  <c r="P54" i="502"/>
  <c r="O58" i="501"/>
  <c r="C28" i="645"/>
  <c r="C33" i="645" s="1"/>
  <c r="P57" i="501"/>
  <c r="H51" i="501"/>
  <c r="K20" i="261"/>
  <c r="P56" i="501"/>
  <c r="M56" i="501"/>
  <c r="M58" i="501" s="1"/>
  <c r="R48" i="501"/>
  <c r="R50" i="501" s="1"/>
  <c r="S50" i="501" s="1"/>
  <c r="V54" i="502" l="1"/>
  <c r="E30" i="647"/>
  <c r="E34" i="647" s="1"/>
  <c r="E29" i="645"/>
  <c r="P58" i="501"/>
  <c r="S54" i="502"/>
  <c r="E28" i="645"/>
  <c r="E33" i="645" s="1"/>
  <c r="R51" i="501"/>
  <c r="R52" i="501" s="1"/>
  <c r="H52" i="501"/>
  <c r="M20" i="261" s="1"/>
  <c r="L20" i="261"/>
  <c r="O37" i="497"/>
  <c r="L36" i="497"/>
  <c r="H36" i="497"/>
  <c r="L35" i="497"/>
  <c r="X35" i="497" s="1"/>
  <c r="H35" i="497"/>
  <c r="O34" i="497"/>
  <c r="L33" i="497"/>
  <c r="X33" i="497" s="1"/>
  <c r="H33" i="497"/>
  <c r="L32" i="497"/>
  <c r="X32" i="497" s="1"/>
  <c r="H32" i="497"/>
  <c r="L31" i="497"/>
  <c r="X31" i="497" s="1"/>
  <c r="H31" i="497"/>
  <c r="O30" i="497"/>
  <c r="L29" i="497"/>
  <c r="H29" i="497"/>
  <c r="L28" i="497"/>
  <c r="X28" i="497" s="1"/>
  <c r="H28" i="497"/>
  <c r="O27" i="497"/>
  <c r="L26" i="497"/>
  <c r="H26" i="497"/>
  <c r="L25" i="497"/>
  <c r="X25" i="497" s="1"/>
  <c r="H25" i="497"/>
  <c r="L24" i="497"/>
  <c r="X24" i="497" s="1"/>
  <c r="H24" i="497"/>
  <c r="O23" i="497"/>
  <c r="L22" i="497"/>
  <c r="H22" i="497"/>
  <c r="L21" i="497"/>
  <c r="H21" i="497"/>
  <c r="O20" i="497"/>
  <c r="L19" i="497"/>
  <c r="X19" i="497" s="1"/>
  <c r="H19" i="497"/>
  <c r="L18" i="497"/>
  <c r="X18" i="497" s="1"/>
  <c r="H18" i="497"/>
  <c r="O17" i="497"/>
  <c r="L16" i="497"/>
  <c r="H16" i="497"/>
  <c r="L15" i="497"/>
  <c r="X15" i="497" s="1"/>
  <c r="H15" i="497"/>
  <c r="L14" i="497"/>
  <c r="X14" i="497" s="1"/>
  <c r="H14" i="497"/>
  <c r="M36" i="497" l="1"/>
  <c r="H37" i="497"/>
  <c r="P37" i="497" s="1"/>
  <c r="H27" i="497"/>
  <c r="S27" i="497" s="1"/>
  <c r="H34" i="497"/>
  <c r="S34" i="497" s="1"/>
  <c r="Y33" i="497"/>
  <c r="Y19" i="497"/>
  <c r="X26" i="497"/>
  <c r="Y26" i="497" s="1"/>
  <c r="H20" i="497"/>
  <c r="P20" i="497" s="1"/>
  <c r="X22" i="497"/>
  <c r="Y22" i="497" s="1"/>
  <c r="X29" i="497"/>
  <c r="Y29" i="497" s="1"/>
  <c r="X16" i="497"/>
  <c r="Y16" i="497" s="1"/>
  <c r="X21" i="497"/>
  <c r="Y21" i="497" s="1"/>
  <c r="M29" i="497"/>
  <c r="H17" i="497"/>
  <c r="H30" i="497"/>
  <c r="X36" i="497"/>
  <c r="Y36" i="497" s="1"/>
  <c r="L17" i="497"/>
  <c r="X17" i="497" s="1"/>
  <c r="M16" i="497"/>
  <c r="L20" i="497"/>
  <c r="X20" i="497" s="1"/>
  <c r="M21" i="497"/>
  <c r="M22" i="497"/>
  <c r="M26" i="497"/>
  <c r="L30" i="497"/>
  <c r="M33" i="497"/>
  <c r="L37" i="497"/>
  <c r="X37" i="497" s="1"/>
  <c r="M19" i="497"/>
  <c r="P16" i="497"/>
  <c r="S16" i="497"/>
  <c r="P21" i="497"/>
  <c r="S21" i="497"/>
  <c r="S22" i="497"/>
  <c r="P22" i="497"/>
  <c r="H23" i="497"/>
  <c r="P26" i="497"/>
  <c r="S26" i="497"/>
  <c r="P33" i="497"/>
  <c r="S33" i="497"/>
  <c r="P19" i="497"/>
  <c r="S19" i="497"/>
  <c r="L23" i="497"/>
  <c r="X23" i="497" s="1"/>
  <c r="L27" i="497"/>
  <c r="X27" i="497" s="1"/>
  <c r="S29" i="497"/>
  <c r="P29" i="497"/>
  <c r="L34" i="497"/>
  <c r="X34" i="497" s="1"/>
  <c r="S36" i="497"/>
  <c r="P36" i="497"/>
  <c r="O38" i="497"/>
  <c r="U49" i="497" s="1"/>
  <c r="C29" i="644" s="1"/>
  <c r="S37" i="497" l="1"/>
  <c r="P27" i="497"/>
  <c r="Y37" i="497"/>
  <c r="Y34" i="497"/>
  <c r="P34" i="497"/>
  <c r="M37" i="497"/>
  <c r="S17" i="497"/>
  <c r="M34" i="497"/>
  <c r="X30" i="497"/>
  <c r="Y30" i="497" s="1"/>
  <c r="S30" i="497"/>
  <c r="S20" i="497"/>
  <c r="M30" i="497"/>
  <c r="L38" i="497"/>
  <c r="U48" i="497" s="1"/>
  <c r="C28" i="644" s="1"/>
  <c r="C34" i="644" s="1"/>
  <c r="S23" i="497"/>
  <c r="P30" i="497"/>
  <c r="P17" i="497"/>
  <c r="Y27" i="497"/>
  <c r="Y23" i="497"/>
  <c r="M23" i="497"/>
  <c r="M17" i="497"/>
  <c r="Y17" i="497"/>
  <c r="P23" i="497"/>
  <c r="R49" i="497"/>
  <c r="O49" i="497"/>
  <c r="M27" i="497"/>
  <c r="M20" i="497"/>
  <c r="Y20" i="497"/>
  <c r="H38" i="497"/>
  <c r="O40" i="497"/>
  <c r="V42" i="497" l="1"/>
  <c r="O19" i="261" s="1"/>
  <c r="H19" i="261"/>
  <c r="G9" i="644" s="1"/>
  <c r="X38" i="497"/>
  <c r="X40" i="497" s="1"/>
  <c r="X42" i="497" s="1"/>
  <c r="Y42" i="497" s="1"/>
  <c r="M38" i="497"/>
  <c r="V48" i="497" s="1"/>
  <c r="E28" i="644" s="1"/>
  <c r="L48" i="497"/>
  <c r="L52" i="497" s="1"/>
  <c r="R48" i="497"/>
  <c r="R52" i="497" s="1"/>
  <c r="L40" i="497"/>
  <c r="L43" i="497" s="1"/>
  <c r="L44" i="497" s="1"/>
  <c r="O48" i="497"/>
  <c r="O52" i="497" s="1"/>
  <c r="U52" i="497"/>
  <c r="H40" i="497"/>
  <c r="K19" i="261" s="1"/>
  <c r="S38" i="497"/>
  <c r="P38" i="497"/>
  <c r="V49" i="497" s="1"/>
  <c r="E29" i="644" s="1"/>
  <c r="O43" i="497"/>
  <c r="O44" i="497" s="1"/>
  <c r="P48" i="497" l="1"/>
  <c r="M48" i="497"/>
  <c r="M52" i="497" s="1"/>
  <c r="S48" i="497"/>
  <c r="X43" i="497"/>
  <c r="X44" i="497" s="1"/>
  <c r="V51" i="497"/>
  <c r="E31" i="644" s="1"/>
  <c r="S50" i="497"/>
  <c r="V50" i="497"/>
  <c r="E30" i="644" s="1"/>
  <c r="E34" i="644" s="1"/>
  <c r="H43" i="497"/>
  <c r="L19" i="261" s="1"/>
  <c r="P49" i="497"/>
  <c r="S49" i="497"/>
  <c r="P52" i="497" l="1"/>
  <c r="S52" i="497"/>
  <c r="V52" i="497"/>
  <c r="H44" i="497"/>
  <c r="M19" i="261" s="1"/>
  <c r="R37" i="495"/>
  <c r="O36" i="495"/>
  <c r="L36" i="495"/>
  <c r="AG36" i="495" s="1"/>
  <c r="H36" i="495"/>
  <c r="R35" i="495"/>
  <c r="O34" i="495"/>
  <c r="O35" i="495" s="1"/>
  <c r="L34" i="495"/>
  <c r="AG34" i="495" s="1"/>
  <c r="H34" i="495"/>
  <c r="R33" i="495"/>
  <c r="O32" i="495"/>
  <c r="L32" i="495"/>
  <c r="AG32" i="495" s="1"/>
  <c r="H32" i="495"/>
  <c r="O31" i="495"/>
  <c r="L31" i="495"/>
  <c r="H31" i="495"/>
  <c r="O30" i="495"/>
  <c r="L30" i="495"/>
  <c r="H30" i="495"/>
  <c r="R29" i="495"/>
  <c r="O28" i="495"/>
  <c r="L28" i="495"/>
  <c r="H28" i="495"/>
  <c r="O27" i="495"/>
  <c r="L27" i="495"/>
  <c r="H27" i="495"/>
  <c r="O26" i="495"/>
  <c r="L26" i="495"/>
  <c r="AG26" i="495" s="1"/>
  <c r="H26" i="495"/>
  <c r="AB26" i="495" s="1"/>
  <c r="R25" i="495"/>
  <c r="O24" i="495"/>
  <c r="L24" i="495"/>
  <c r="AG24" i="495" s="1"/>
  <c r="H24" i="495"/>
  <c r="O23" i="495"/>
  <c r="L23" i="495"/>
  <c r="AG23" i="495" s="1"/>
  <c r="H23" i="495"/>
  <c r="O22" i="495"/>
  <c r="L22" i="495"/>
  <c r="H22" i="495"/>
  <c r="R21" i="495"/>
  <c r="O20" i="495"/>
  <c r="O21" i="495" s="1"/>
  <c r="L20" i="495"/>
  <c r="H20" i="495"/>
  <c r="R19" i="495"/>
  <c r="O18" i="495"/>
  <c r="O19" i="495" s="1"/>
  <c r="L18" i="495"/>
  <c r="H18" i="495"/>
  <c r="R17" i="495"/>
  <c r="O16" i="495"/>
  <c r="O17" i="495" s="1"/>
  <c r="L16" i="495"/>
  <c r="H16" i="495"/>
  <c r="R15" i="495"/>
  <c r="O14" i="495"/>
  <c r="O15" i="495" s="1"/>
  <c r="L14" i="495"/>
  <c r="H14" i="495"/>
  <c r="AG31" i="495" l="1"/>
  <c r="AH31" i="495" s="1"/>
  <c r="AG16" i="495"/>
  <c r="AG20" i="495"/>
  <c r="AG27" i="495"/>
  <c r="AG30" i="495"/>
  <c r="AG14" i="495"/>
  <c r="AG18" i="495"/>
  <c r="AG22" i="495"/>
  <c r="AG28" i="495"/>
  <c r="AH28" i="495" s="1"/>
  <c r="Y23" i="495"/>
  <c r="AB23" i="495"/>
  <c r="Y31" i="495"/>
  <c r="AB31" i="495"/>
  <c r="Y16" i="495"/>
  <c r="AB16" i="495"/>
  <c r="Y20" i="495"/>
  <c r="AB20" i="495"/>
  <c r="Y22" i="495"/>
  <c r="AB22" i="495"/>
  <c r="Y28" i="495"/>
  <c r="AB28" i="495"/>
  <c r="Y18" i="495"/>
  <c r="AB18" i="495"/>
  <c r="Y27" i="495"/>
  <c r="AB27" i="495"/>
  <c r="Y14" i="495"/>
  <c r="AB14" i="495"/>
  <c r="Y24" i="495"/>
  <c r="AB24" i="495"/>
  <c r="Y34" i="495"/>
  <c r="AB34" i="495"/>
  <c r="Y36" i="495"/>
  <c r="AB36" i="495"/>
  <c r="AH24" i="495"/>
  <c r="AH23" i="495"/>
  <c r="AH27" i="495"/>
  <c r="M28" i="495"/>
  <c r="L15" i="495"/>
  <c r="AG15" i="495" s="1"/>
  <c r="P31" i="495"/>
  <c r="L35" i="495"/>
  <c r="AG35" i="495" s="1"/>
  <c r="P36" i="495"/>
  <c r="P27" i="495"/>
  <c r="P28" i="495"/>
  <c r="L19" i="495"/>
  <c r="AG19" i="495" s="1"/>
  <c r="M23" i="495"/>
  <c r="O29" i="495"/>
  <c r="H29" i="495"/>
  <c r="Y26" i="495"/>
  <c r="O33" i="495"/>
  <c r="O37" i="495"/>
  <c r="L21" i="495"/>
  <c r="AG21" i="495" s="1"/>
  <c r="O25" i="495"/>
  <c r="P23" i="495"/>
  <c r="H33" i="495"/>
  <c r="AE33" i="495" s="1"/>
  <c r="S16" i="495"/>
  <c r="V16" i="495"/>
  <c r="P16" i="495"/>
  <c r="S22" i="495"/>
  <c r="V22" i="495"/>
  <c r="P22" i="495"/>
  <c r="S24" i="495"/>
  <c r="V24" i="495"/>
  <c r="P24" i="495"/>
  <c r="V31" i="495"/>
  <c r="S31" i="495"/>
  <c r="S36" i="495"/>
  <c r="V36" i="495"/>
  <c r="S14" i="495"/>
  <c r="V14" i="495"/>
  <c r="P14" i="495"/>
  <c r="V18" i="495"/>
  <c r="S18" i="495"/>
  <c r="P18" i="495"/>
  <c r="S20" i="495"/>
  <c r="V20" i="495"/>
  <c r="P20" i="495"/>
  <c r="M26" i="495"/>
  <c r="S27" i="495"/>
  <c r="V27" i="495"/>
  <c r="S34" i="495"/>
  <c r="V34" i="495"/>
  <c r="P34" i="495"/>
  <c r="M16" i="495"/>
  <c r="H17" i="495"/>
  <c r="M22" i="495"/>
  <c r="V23" i="495"/>
  <c r="S23" i="495"/>
  <c r="M24" i="495"/>
  <c r="H25" i="495"/>
  <c r="L29" i="495"/>
  <c r="M31" i="495"/>
  <c r="L33" i="495"/>
  <c r="M36" i="495"/>
  <c r="H37" i="495"/>
  <c r="M14" i="495"/>
  <c r="H15" i="495"/>
  <c r="L17" i="495"/>
  <c r="AG17" i="495" s="1"/>
  <c r="M18" i="495"/>
  <c r="H19" i="495"/>
  <c r="M20" i="495"/>
  <c r="H21" i="495"/>
  <c r="L25" i="495"/>
  <c r="S26" i="495"/>
  <c r="V26" i="495"/>
  <c r="P26" i="495"/>
  <c r="M27" i="495"/>
  <c r="S28" i="495"/>
  <c r="V28" i="495"/>
  <c r="M34" i="495"/>
  <c r="H35" i="495"/>
  <c r="L37" i="495"/>
  <c r="R38" i="495"/>
  <c r="AD50" i="495" s="1"/>
  <c r="C30" i="642" s="1"/>
  <c r="AG29" i="495" l="1"/>
  <c r="AG33" i="495"/>
  <c r="AG37" i="495"/>
  <c r="AG25" i="495"/>
  <c r="AH25" i="495" s="1"/>
  <c r="AB19" i="495"/>
  <c r="AB25" i="495"/>
  <c r="AB29" i="495"/>
  <c r="AB21" i="495"/>
  <c r="AB35" i="495"/>
  <c r="AH20" i="495"/>
  <c r="AH21" i="495"/>
  <c r="AH36" i="495"/>
  <c r="AH37" i="495"/>
  <c r="AH18" i="495"/>
  <c r="AH19" i="495"/>
  <c r="AH16" i="495"/>
  <c r="AH26" i="495"/>
  <c r="AH14" i="495"/>
  <c r="AH15" i="495"/>
  <c r="AH22" i="495"/>
  <c r="AH34" i="495"/>
  <c r="S15" i="495"/>
  <c r="AB15" i="495"/>
  <c r="Y37" i="495"/>
  <c r="AB37" i="495"/>
  <c r="S17" i="495"/>
  <c r="AB17" i="495"/>
  <c r="X50" i="495"/>
  <c r="AA50" i="495"/>
  <c r="Y33" i="495"/>
  <c r="AB33" i="495"/>
  <c r="P33" i="495"/>
  <c r="P29" i="495"/>
  <c r="S33" i="495"/>
  <c r="M33" i="495"/>
  <c r="R40" i="495"/>
  <c r="R43" i="495" s="1"/>
  <c r="R44" i="495" s="1"/>
  <c r="V33" i="495"/>
  <c r="P15" i="495"/>
  <c r="AH29" i="495"/>
  <c r="V29" i="495"/>
  <c r="Y29" i="495"/>
  <c r="O38" i="495"/>
  <c r="AD49" i="495" s="1"/>
  <c r="C29" i="642" s="1"/>
  <c r="M15" i="495"/>
  <c r="Y15" i="495"/>
  <c r="S21" i="495"/>
  <c r="Y21" i="495"/>
  <c r="V17" i="495"/>
  <c r="Y17" i="495"/>
  <c r="S35" i="495"/>
  <c r="Y35" i="495"/>
  <c r="V19" i="495"/>
  <c r="Y19" i="495"/>
  <c r="S29" i="495"/>
  <c r="AH35" i="495"/>
  <c r="L38" i="495"/>
  <c r="AD48" i="495" s="1"/>
  <c r="S37" i="495"/>
  <c r="V25" i="495"/>
  <c r="Y25" i="495"/>
  <c r="M25" i="495"/>
  <c r="AH17" i="495"/>
  <c r="M17" i="495"/>
  <c r="M29" i="495"/>
  <c r="P35" i="495"/>
  <c r="M21" i="495"/>
  <c r="M19" i="495"/>
  <c r="P19" i="495"/>
  <c r="M37" i="495"/>
  <c r="H38" i="495"/>
  <c r="H18" i="261" s="1"/>
  <c r="G9" i="642" s="1"/>
  <c r="V15" i="495"/>
  <c r="S25" i="495"/>
  <c r="S19" i="495"/>
  <c r="U50" i="495"/>
  <c r="R50" i="495"/>
  <c r="V35" i="495"/>
  <c r="M35" i="495"/>
  <c r="P21" i="495"/>
  <c r="V21" i="495"/>
  <c r="P37" i="495"/>
  <c r="V37" i="495"/>
  <c r="P17" i="495"/>
  <c r="P25" i="495"/>
  <c r="AD55" i="495" l="1"/>
  <c r="C28" i="642"/>
  <c r="C37" i="642" s="1"/>
  <c r="AB42" i="495"/>
  <c r="AE53" i="495" s="1"/>
  <c r="E33" i="642" s="1"/>
  <c r="AE42" i="495"/>
  <c r="AB53" i="495"/>
  <c r="X49" i="495"/>
  <c r="AA49" i="495"/>
  <c r="X48" i="495"/>
  <c r="AA48" i="495"/>
  <c r="S38" i="495"/>
  <c r="Y42" i="495"/>
  <c r="L40" i="495"/>
  <c r="P38" i="495"/>
  <c r="AE49" i="495" s="1"/>
  <c r="E29" i="642" s="1"/>
  <c r="U48" i="495"/>
  <c r="R49" i="495"/>
  <c r="O40" i="495"/>
  <c r="O43" i="495" s="1"/>
  <c r="O44" i="495" s="1"/>
  <c r="R48" i="495"/>
  <c r="AG38" i="495"/>
  <c r="AH33" i="495"/>
  <c r="O49" i="495"/>
  <c r="U49" i="495"/>
  <c r="M38" i="495"/>
  <c r="AE48" i="495" s="1"/>
  <c r="H40" i="495"/>
  <c r="K18" i="261" s="1"/>
  <c r="V38" i="495"/>
  <c r="AE51" i="495" s="1"/>
  <c r="E31" i="642" s="1"/>
  <c r="AE54" i="495" l="1"/>
  <c r="E34" i="642" s="1"/>
  <c r="O18" i="261"/>
  <c r="E28" i="642"/>
  <c r="AB52" i="495"/>
  <c r="AE52" i="495"/>
  <c r="E32" i="642" s="1"/>
  <c r="V50" i="495"/>
  <c r="AE50" i="495"/>
  <c r="E30" i="642" s="1"/>
  <c r="AA55" i="495"/>
  <c r="X54" i="495"/>
  <c r="Y51" i="495"/>
  <c r="AB51" i="495"/>
  <c r="Y48" i="495"/>
  <c r="AB48" i="495"/>
  <c r="Y50" i="495"/>
  <c r="AB50" i="495"/>
  <c r="Y49" i="495"/>
  <c r="AB49" i="495"/>
  <c r="S50" i="495"/>
  <c r="P49" i="495"/>
  <c r="S49" i="495"/>
  <c r="R54" i="495"/>
  <c r="U54" i="495"/>
  <c r="V49" i="495"/>
  <c r="L43" i="495"/>
  <c r="L44" i="495" s="1"/>
  <c r="O48" i="495"/>
  <c r="O54" i="495" s="1"/>
  <c r="S48" i="495"/>
  <c r="P48" i="495"/>
  <c r="P54" i="495" s="1"/>
  <c r="AG40" i="495"/>
  <c r="V48" i="495"/>
  <c r="Y52" i="495"/>
  <c r="V51" i="495"/>
  <c r="H43" i="495"/>
  <c r="L18" i="261" s="1"/>
  <c r="E37" i="642" l="1"/>
  <c r="AB55" i="495"/>
  <c r="AE55" i="495"/>
  <c r="AG42" i="495"/>
  <c r="AH42" i="495" s="1"/>
  <c r="S54" i="495"/>
  <c r="Y54" i="495"/>
  <c r="H44" i="495"/>
  <c r="M18" i="261" s="1"/>
  <c r="V54" i="495"/>
  <c r="AG43" i="495" l="1"/>
  <c r="AG44" i="495" s="1"/>
  <c r="L100" i="488"/>
  <c r="P99" i="488"/>
  <c r="M99" i="488"/>
  <c r="R100" i="488"/>
  <c r="S100" i="488" s="1"/>
  <c r="O98" i="488"/>
  <c r="AD98" i="488" s="1"/>
  <c r="M98" i="488"/>
  <c r="R97" i="488"/>
  <c r="S97" i="488" s="1"/>
  <c r="L97" i="488"/>
  <c r="O96" i="488"/>
  <c r="AD96" i="488" s="1"/>
  <c r="M96" i="488"/>
  <c r="R95" i="488"/>
  <c r="S95" i="488" s="1"/>
  <c r="L95" i="488"/>
  <c r="O94" i="488"/>
  <c r="AD94" i="488" s="1"/>
  <c r="M94" i="488"/>
  <c r="L93" i="488"/>
  <c r="R93" i="488"/>
  <c r="O92" i="488"/>
  <c r="AD92" i="488" s="1"/>
  <c r="H92" i="488"/>
  <c r="R91" i="488"/>
  <c r="L91" i="488"/>
  <c r="H90" i="488"/>
  <c r="O89" i="488"/>
  <c r="AD89" i="488" s="1"/>
  <c r="H89" i="488"/>
  <c r="O88" i="488"/>
  <c r="AD88" i="488" s="1"/>
  <c r="H88" i="488"/>
  <c r="L87" i="488"/>
  <c r="H86" i="488"/>
  <c r="O85" i="488"/>
  <c r="AD85" i="488" s="1"/>
  <c r="H85" i="488"/>
  <c r="R87" i="488"/>
  <c r="O84" i="488"/>
  <c r="AD84" i="488" s="1"/>
  <c r="H84" i="488"/>
  <c r="L82" i="488"/>
  <c r="AD82" i="488" s="1"/>
  <c r="H82" i="488"/>
  <c r="O81" i="488"/>
  <c r="AD81" i="488" s="1"/>
  <c r="H81" i="488"/>
  <c r="R83" i="488"/>
  <c r="O80" i="488"/>
  <c r="AD80" i="488" s="1"/>
  <c r="H80" i="488"/>
  <c r="L79" i="488"/>
  <c r="H78" i="488"/>
  <c r="R79" i="488"/>
  <c r="O77" i="488"/>
  <c r="AD77" i="488" s="1"/>
  <c r="H77" i="488"/>
  <c r="O76" i="488"/>
  <c r="AD76" i="488" s="1"/>
  <c r="H76" i="488"/>
  <c r="L75" i="488"/>
  <c r="R75" i="488"/>
  <c r="O74" i="488"/>
  <c r="AD74" i="488" s="1"/>
  <c r="H74" i="488"/>
  <c r="L72" i="488"/>
  <c r="AD72" i="488" s="1"/>
  <c r="H72" i="488"/>
  <c r="O71" i="488"/>
  <c r="AD71" i="488" s="1"/>
  <c r="H71" i="488"/>
  <c r="R73" i="488"/>
  <c r="O70" i="488"/>
  <c r="AD70" i="488" s="1"/>
  <c r="H70" i="488"/>
  <c r="L68" i="488"/>
  <c r="AD68" i="488" s="1"/>
  <c r="H68" i="488"/>
  <c r="O67" i="488"/>
  <c r="AD67" i="488" s="1"/>
  <c r="H67" i="488"/>
  <c r="R69" i="488"/>
  <c r="O66" i="488"/>
  <c r="AD66" i="488" s="1"/>
  <c r="H66" i="488"/>
  <c r="L64" i="488"/>
  <c r="AD64" i="488" s="1"/>
  <c r="H64" i="488"/>
  <c r="O63" i="488"/>
  <c r="AD63" i="488" s="1"/>
  <c r="H63" i="488"/>
  <c r="R65" i="488"/>
  <c r="O62" i="488"/>
  <c r="AD62" i="488" s="1"/>
  <c r="H62" i="488"/>
  <c r="L60" i="488"/>
  <c r="AD60" i="488" s="1"/>
  <c r="H60" i="488"/>
  <c r="O59" i="488"/>
  <c r="AD59" i="488" s="1"/>
  <c r="H59" i="488"/>
  <c r="R61" i="488"/>
  <c r="O58" i="488"/>
  <c r="AD58" i="488" s="1"/>
  <c r="H58" i="488"/>
  <c r="R57" i="488"/>
  <c r="L57" i="488"/>
  <c r="O56" i="488"/>
  <c r="AD56" i="488" s="1"/>
  <c r="H56" i="488"/>
  <c r="L55" i="488"/>
  <c r="O54" i="488"/>
  <c r="AD54" i="488" s="1"/>
  <c r="H54" i="488"/>
  <c r="O53" i="488"/>
  <c r="AD53" i="488" s="1"/>
  <c r="H53" i="488"/>
  <c r="O52" i="488"/>
  <c r="AD52" i="488" s="1"/>
  <c r="H52" i="488"/>
  <c r="L51" i="488"/>
  <c r="O50" i="488"/>
  <c r="AD50" i="488" s="1"/>
  <c r="H50" i="488"/>
  <c r="O49" i="488"/>
  <c r="AD49" i="488" s="1"/>
  <c r="H49" i="488"/>
  <c r="H48" i="488"/>
  <c r="L47" i="488"/>
  <c r="O46" i="488"/>
  <c r="AD46" i="488" s="1"/>
  <c r="H46" i="488"/>
  <c r="O45" i="488"/>
  <c r="AD45" i="488" s="1"/>
  <c r="H45" i="488"/>
  <c r="O44" i="488"/>
  <c r="AD44" i="488" s="1"/>
  <c r="H44" i="488"/>
  <c r="L43" i="488"/>
  <c r="H42" i="488"/>
  <c r="O42" i="488" s="1"/>
  <c r="AD42" i="488" s="1"/>
  <c r="O41" i="488"/>
  <c r="AD41" i="488" s="1"/>
  <c r="H41" i="488"/>
  <c r="O40" i="488"/>
  <c r="AD40" i="488" s="1"/>
  <c r="H40" i="488"/>
  <c r="L39" i="488"/>
  <c r="O38" i="488"/>
  <c r="AD38" i="488" s="1"/>
  <c r="H38" i="488"/>
  <c r="O37" i="488"/>
  <c r="AD37" i="488" s="1"/>
  <c r="H37" i="488"/>
  <c r="O36" i="488"/>
  <c r="AD36" i="488" s="1"/>
  <c r="H36" i="488"/>
  <c r="R35" i="488"/>
  <c r="L35" i="488"/>
  <c r="O34" i="488"/>
  <c r="AD34" i="488" s="1"/>
  <c r="H34" i="488"/>
  <c r="L32" i="488"/>
  <c r="AD32" i="488" s="1"/>
  <c r="H32" i="488"/>
  <c r="O31" i="488"/>
  <c r="AD31" i="488" s="1"/>
  <c r="H31" i="488"/>
  <c r="O30" i="488"/>
  <c r="AD30" i="488" s="1"/>
  <c r="H30" i="488"/>
  <c r="L28" i="488"/>
  <c r="AD28" i="488" s="1"/>
  <c r="H28" i="488"/>
  <c r="O27" i="488"/>
  <c r="AD27" i="488" s="1"/>
  <c r="H27" i="488"/>
  <c r="R29" i="488"/>
  <c r="H26" i="488"/>
  <c r="L24" i="488"/>
  <c r="AD24" i="488" s="1"/>
  <c r="H24" i="488"/>
  <c r="O23" i="488"/>
  <c r="AD23" i="488" s="1"/>
  <c r="H23" i="488"/>
  <c r="R25" i="488"/>
  <c r="O22" i="488"/>
  <c r="AD22" i="488" s="1"/>
  <c r="H22" i="488"/>
  <c r="L20" i="488"/>
  <c r="AD20" i="488" s="1"/>
  <c r="H20" i="488"/>
  <c r="O19" i="488"/>
  <c r="AD19" i="488" s="1"/>
  <c r="H19" i="488"/>
  <c r="R21" i="488"/>
  <c r="O18" i="488"/>
  <c r="AD18" i="488" s="1"/>
  <c r="H18" i="488"/>
  <c r="Y18" i="488" s="1"/>
  <c r="R16" i="488"/>
  <c r="L16" i="488"/>
  <c r="AD16" i="488" s="1"/>
  <c r="H16" i="488"/>
  <c r="R15" i="488"/>
  <c r="O15" i="488"/>
  <c r="AD15" i="488" s="1"/>
  <c r="H15" i="488"/>
  <c r="R14" i="488"/>
  <c r="O14" i="488"/>
  <c r="AD14" i="488" s="1"/>
  <c r="H14" i="488"/>
  <c r="AE14" i="488" l="1"/>
  <c r="Y20" i="488"/>
  <c r="Y40" i="488"/>
  <c r="Y45" i="488"/>
  <c r="Y50" i="488"/>
  <c r="Y63" i="488"/>
  <c r="Y72" i="488"/>
  <c r="Y77" i="488"/>
  <c r="Y81" i="488"/>
  <c r="Y84" i="488"/>
  <c r="M14" i="488"/>
  <c r="Y15" i="488"/>
  <c r="AE16" i="488"/>
  <c r="Y23" i="488"/>
  <c r="Y28" i="488"/>
  <c r="Y31" i="488"/>
  <c r="Y34" i="488"/>
  <c r="Y36" i="488"/>
  <c r="Y38" i="488"/>
  <c r="Y53" i="488"/>
  <c r="Y59" i="488"/>
  <c r="Y68" i="488"/>
  <c r="Y80" i="488"/>
  <c r="Y86" i="488"/>
  <c r="Y89" i="488"/>
  <c r="AE15" i="488"/>
  <c r="Y19" i="488"/>
  <c r="Y22" i="488"/>
  <c r="Y41" i="488"/>
  <c r="Y44" i="488"/>
  <c r="Y46" i="488"/>
  <c r="Y49" i="488"/>
  <c r="Y56" i="488"/>
  <c r="Y64" i="488"/>
  <c r="Y71" i="488"/>
  <c r="Y74" i="488"/>
  <c r="Y76" i="488"/>
  <c r="Y82" i="488"/>
  <c r="Y92" i="488"/>
  <c r="Y24" i="488"/>
  <c r="Y27" i="488"/>
  <c r="Y30" i="488"/>
  <c r="Y32" i="488"/>
  <c r="Y37" i="488"/>
  <c r="Y52" i="488"/>
  <c r="Y54" i="488"/>
  <c r="Y60" i="488"/>
  <c r="Y67" i="488"/>
  <c r="Y78" i="488"/>
  <c r="Y85" i="488"/>
  <c r="Y88" i="488"/>
  <c r="Y90" i="488"/>
  <c r="AE96" i="488"/>
  <c r="M81" i="488"/>
  <c r="M27" i="488"/>
  <c r="P27" i="488"/>
  <c r="M52" i="488"/>
  <c r="M18" i="488"/>
  <c r="V16" i="488"/>
  <c r="Y16" i="488"/>
  <c r="O93" i="488"/>
  <c r="AD93" i="488" s="1"/>
  <c r="AE92" i="488"/>
  <c r="AE31" i="488"/>
  <c r="AE62" i="488"/>
  <c r="AE74" i="488"/>
  <c r="AE81" i="488"/>
  <c r="P96" i="488"/>
  <c r="P18" i="488"/>
  <c r="AE41" i="488"/>
  <c r="P52" i="488"/>
  <c r="AE86" i="488"/>
  <c r="H61" i="488"/>
  <c r="Y58" i="488"/>
  <c r="H65" i="488"/>
  <c r="AB65" i="488" s="1"/>
  <c r="Y62" i="488"/>
  <c r="H69" i="488"/>
  <c r="Y66" i="488"/>
  <c r="H73" i="488"/>
  <c r="AB73" i="488" s="1"/>
  <c r="Y70" i="488"/>
  <c r="AE85" i="488"/>
  <c r="AE94" i="488"/>
  <c r="V14" i="488"/>
  <c r="Y14" i="488"/>
  <c r="M22" i="488"/>
  <c r="AE27" i="488"/>
  <c r="L29" i="488"/>
  <c r="AE88" i="488"/>
  <c r="P22" i="488"/>
  <c r="AE37" i="488"/>
  <c r="P60" i="488"/>
  <c r="P64" i="488"/>
  <c r="P68" i="488"/>
  <c r="P72" i="488"/>
  <c r="H75" i="488"/>
  <c r="M100" i="488"/>
  <c r="AE19" i="488"/>
  <c r="AE23" i="488"/>
  <c r="H29" i="488"/>
  <c r="V28" i="488"/>
  <c r="S28" i="488"/>
  <c r="H33" i="488"/>
  <c r="AB33" i="488" s="1"/>
  <c r="S30" i="488"/>
  <c r="V30" i="488"/>
  <c r="AE32" i="488"/>
  <c r="S37" i="488"/>
  <c r="V37" i="488"/>
  <c r="M40" i="488"/>
  <c r="S40" i="488"/>
  <c r="V40" i="488"/>
  <c r="AE42" i="488"/>
  <c r="M45" i="488"/>
  <c r="S45" i="488"/>
  <c r="V45" i="488"/>
  <c r="O51" i="488"/>
  <c r="S56" i="488"/>
  <c r="V56" i="488"/>
  <c r="O61" i="488"/>
  <c r="AE58" i="488"/>
  <c r="M59" i="488"/>
  <c r="S59" i="488"/>
  <c r="V59" i="488"/>
  <c r="M63" i="488"/>
  <c r="V63" i="488"/>
  <c r="S63" i="488"/>
  <c r="O69" i="488"/>
  <c r="AE66" i="488"/>
  <c r="M67" i="488"/>
  <c r="V67" i="488"/>
  <c r="S67" i="488"/>
  <c r="O73" i="488"/>
  <c r="AE70" i="488"/>
  <c r="M71" i="488"/>
  <c r="S71" i="488"/>
  <c r="V71" i="488"/>
  <c r="V76" i="488"/>
  <c r="S76" i="488"/>
  <c r="AE76" i="488"/>
  <c r="P78" i="488"/>
  <c r="S78" i="488"/>
  <c r="V78" i="488"/>
  <c r="H83" i="488"/>
  <c r="S80" i="488"/>
  <c r="V80" i="488"/>
  <c r="M82" i="488"/>
  <c r="V82" i="488"/>
  <c r="S82" i="488"/>
  <c r="AE84" i="488"/>
  <c r="O91" i="488"/>
  <c r="AD91" i="488" s="1"/>
  <c r="O95" i="488"/>
  <c r="P95" i="488" s="1"/>
  <c r="M15" i="488"/>
  <c r="V15" i="488"/>
  <c r="S18" i="488"/>
  <c r="V18" i="488"/>
  <c r="S20" i="488"/>
  <c r="V20" i="488"/>
  <c r="V22" i="488"/>
  <c r="S22" i="488"/>
  <c r="S24" i="488"/>
  <c r="V24" i="488"/>
  <c r="AE28" i="488"/>
  <c r="AE30" i="488"/>
  <c r="P31" i="488"/>
  <c r="L33" i="488"/>
  <c r="M37" i="488"/>
  <c r="M38" i="488"/>
  <c r="V38" i="488"/>
  <c r="S38" i="488"/>
  <c r="O43" i="488"/>
  <c r="P41" i="488"/>
  <c r="H51" i="488"/>
  <c r="M50" i="488"/>
  <c r="V50" i="488"/>
  <c r="S50" i="488"/>
  <c r="S52" i="488"/>
  <c r="V52" i="488"/>
  <c r="M54" i="488"/>
  <c r="S54" i="488"/>
  <c r="V54" i="488"/>
  <c r="M56" i="488"/>
  <c r="H57" i="488"/>
  <c r="P58" i="488"/>
  <c r="P62" i="488"/>
  <c r="P66" i="488"/>
  <c r="P70" i="488"/>
  <c r="AE71" i="488"/>
  <c r="P74" i="488"/>
  <c r="M76" i="488"/>
  <c r="H79" i="488"/>
  <c r="S77" i="488"/>
  <c r="V77" i="488"/>
  <c r="M78" i="488"/>
  <c r="AE80" i="488"/>
  <c r="AE82" i="488"/>
  <c r="P85" i="488"/>
  <c r="P88" i="488"/>
  <c r="P90" i="488"/>
  <c r="S90" i="488"/>
  <c r="V90" i="488"/>
  <c r="P94" i="488"/>
  <c r="L21" i="488"/>
  <c r="AD21" i="488" s="1"/>
  <c r="AE20" i="488"/>
  <c r="L25" i="488"/>
  <c r="AE24" i="488"/>
  <c r="S31" i="488"/>
  <c r="V31" i="488"/>
  <c r="H35" i="488"/>
  <c r="S34" i="488"/>
  <c r="V34" i="488"/>
  <c r="M36" i="488"/>
  <c r="S36" i="488"/>
  <c r="V36" i="488"/>
  <c r="AE38" i="488"/>
  <c r="S41" i="488"/>
  <c r="V41" i="488"/>
  <c r="H47" i="488"/>
  <c r="S44" i="488"/>
  <c r="V44" i="488"/>
  <c r="M46" i="488"/>
  <c r="S46" i="488"/>
  <c r="V46" i="488"/>
  <c r="S49" i="488"/>
  <c r="V49" i="488"/>
  <c r="H55" i="488"/>
  <c r="S53" i="488"/>
  <c r="V53" i="488"/>
  <c r="O57" i="488"/>
  <c r="AD57" i="488" s="1"/>
  <c r="AE56" i="488"/>
  <c r="V58" i="488"/>
  <c r="S58" i="488"/>
  <c r="S60" i="488"/>
  <c r="V60" i="488"/>
  <c r="S62" i="488"/>
  <c r="V62" i="488"/>
  <c r="V64" i="488"/>
  <c r="S64" i="488"/>
  <c r="V66" i="488"/>
  <c r="S66" i="488"/>
  <c r="S68" i="488"/>
  <c r="V68" i="488"/>
  <c r="V70" i="488"/>
  <c r="S70" i="488"/>
  <c r="V72" i="488"/>
  <c r="S72" i="488"/>
  <c r="S74" i="488"/>
  <c r="V74" i="488"/>
  <c r="M75" i="488"/>
  <c r="AE77" i="488"/>
  <c r="P81" i="488"/>
  <c r="L83" i="488"/>
  <c r="V85" i="488"/>
  <c r="S85" i="488"/>
  <c r="H91" i="488"/>
  <c r="S88" i="488"/>
  <c r="V88" i="488"/>
  <c r="M90" i="488"/>
  <c r="H93" i="488"/>
  <c r="AB93" i="488" s="1"/>
  <c r="V92" i="488"/>
  <c r="S92" i="488"/>
  <c r="M97" i="488"/>
  <c r="O100" i="488"/>
  <c r="P100" i="488" s="1"/>
  <c r="AE98" i="488"/>
  <c r="P14" i="488"/>
  <c r="P16" i="488"/>
  <c r="S14" i="488"/>
  <c r="S15" i="488"/>
  <c r="S16" i="488"/>
  <c r="O21" i="488"/>
  <c r="AE18" i="488"/>
  <c r="M19" i="488"/>
  <c r="V19" i="488"/>
  <c r="S19" i="488"/>
  <c r="P20" i="488"/>
  <c r="O25" i="488"/>
  <c r="AE22" i="488"/>
  <c r="H25" i="488"/>
  <c r="AB25" i="488" s="1"/>
  <c r="S23" i="488"/>
  <c r="V23" i="488"/>
  <c r="P24" i="488"/>
  <c r="V27" i="488"/>
  <c r="S27" i="488"/>
  <c r="O29" i="488"/>
  <c r="M31" i="488"/>
  <c r="M32" i="488"/>
  <c r="S32" i="488"/>
  <c r="V32" i="488"/>
  <c r="AE34" i="488"/>
  <c r="O39" i="488"/>
  <c r="P37" i="488"/>
  <c r="M41" i="488"/>
  <c r="M42" i="488"/>
  <c r="S42" i="488"/>
  <c r="P44" i="488"/>
  <c r="AE46" i="488"/>
  <c r="M49" i="488"/>
  <c r="O55" i="488"/>
  <c r="AE52" i="488"/>
  <c r="M53" i="488"/>
  <c r="P56" i="488"/>
  <c r="M58" i="488"/>
  <c r="M62" i="488"/>
  <c r="M66" i="488"/>
  <c r="AE68" i="488"/>
  <c r="M70" i="488"/>
  <c r="AE72" i="488"/>
  <c r="M74" i="488"/>
  <c r="O75" i="488"/>
  <c r="AD75" i="488" s="1"/>
  <c r="P76" i="488"/>
  <c r="O79" i="488"/>
  <c r="AD79" i="488" s="1"/>
  <c r="V81" i="488"/>
  <c r="S81" i="488"/>
  <c r="M84" i="488"/>
  <c r="V84" i="488"/>
  <c r="S84" i="488"/>
  <c r="M85" i="488"/>
  <c r="P86" i="488"/>
  <c r="S86" i="488"/>
  <c r="V86" i="488"/>
  <c r="M88" i="488"/>
  <c r="M89" i="488"/>
  <c r="S89" i="488"/>
  <c r="V89" i="488"/>
  <c r="AE90" i="488"/>
  <c r="M95" i="488"/>
  <c r="O97" i="488"/>
  <c r="P97" i="488" s="1"/>
  <c r="P98" i="488"/>
  <c r="H17" i="488"/>
  <c r="AB17" i="488" s="1"/>
  <c r="H21" i="488"/>
  <c r="AB21" i="488" s="1"/>
  <c r="M28" i="488"/>
  <c r="R33" i="488"/>
  <c r="O35" i="488"/>
  <c r="AD35" i="488" s="1"/>
  <c r="P15" i="488"/>
  <c r="M16" i="488"/>
  <c r="L17" i="488"/>
  <c r="R17" i="488"/>
  <c r="P19" i="488"/>
  <c r="M20" i="488"/>
  <c r="P23" i="488"/>
  <c r="M24" i="488"/>
  <c r="P28" i="488"/>
  <c r="M30" i="488"/>
  <c r="P32" i="488"/>
  <c r="M34" i="488"/>
  <c r="P36" i="488"/>
  <c r="AE36" i="488"/>
  <c r="H39" i="488"/>
  <c r="P40" i="488"/>
  <c r="AE40" i="488"/>
  <c r="H43" i="488"/>
  <c r="P45" i="488"/>
  <c r="AE45" i="488"/>
  <c r="P46" i="488"/>
  <c r="R47" i="488"/>
  <c r="R51" i="488"/>
  <c r="AE49" i="488"/>
  <c r="P49" i="488"/>
  <c r="P50" i="488"/>
  <c r="AE50" i="488"/>
  <c r="AE53" i="488"/>
  <c r="P53" i="488"/>
  <c r="P54" i="488"/>
  <c r="AE54" i="488"/>
  <c r="AE59" i="488"/>
  <c r="P59" i="488"/>
  <c r="AE60" i="488"/>
  <c r="L61" i="488"/>
  <c r="AD61" i="488" s="1"/>
  <c r="M60" i="488"/>
  <c r="O33" i="488"/>
  <c r="R39" i="488"/>
  <c r="R43" i="488"/>
  <c r="AE63" i="488"/>
  <c r="P63" i="488"/>
  <c r="AE64" i="488"/>
  <c r="L65" i="488"/>
  <c r="M64" i="488"/>
  <c r="O17" i="488"/>
  <c r="M23" i="488"/>
  <c r="P30" i="488"/>
  <c r="P34" i="488"/>
  <c r="P38" i="488"/>
  <c r="P42" i="488"/>
  <c r="M44" i="488"/>
  <c r="R55" i="488"/>
  <c r="O65" i="488"/>
  <c r="AE67" i="488"/>
  <c r="P67" i="488"/>
  <c r="AE44" i="488"/>
  <c r="O47" i="488"/>
  <c r="P77" i="488"/>
  <c r="AE78" i="488"/>
  <c r="M80" i="488"/>
  <c r="P82" i="488"/>
  <c r="O87" i="488"/>
  <c r="AD87" i="488" s="1"/>
  <c r="P92" i="488"/>
  <c r="AE99" i="488"/>
  <c r="O83" i="488"/>
  <c r="H87" i="488"/>
  <c r="M68" i="488"/>
  <c r="L69" i="488"/>
  <c r="AD69" i="488" s="1"/>
  <c r="P71" i="488"/>
  <c r="M72" i="488"/>
  <c r="L73" i="488"/>
  <c r="AD73" i="488" s="1"/>
  <c r="M77" i="488"/>
  <c r="P80" i="488"/>
  <c r="P84" i="488"/>
  <c r="M86" i="488"/>
  <c r="P89" i="488"/>
  <c r="AE89" i="488"/>
  <c r="M92" i="488"/>
  <c r="P47" i="488" l="1"/>
  <c r="AD43" i="488"/>
  <c r="AD55" i="488"/>
  <c r="AD39" i="488"/>
  <c r="AD51" i="488"/>
  <c r="AD83" i="488"/>
  <c r="AD97" i="488"/>
  <c r="AE97" i="488" s="1"/>
  <c r="AD95" i="488"/>
  <c r="AE95" i="488" s="1"/>
  <c r="AD29" i="488"/>
  <c r="AE29" i="488" s="1"/>
  <c r="AD65" i="488"/>
  <c r="AE65" i="488" s="1"/>
  <c r="AD17" i="488"/>
  <c r="AD47" i="488"/>
  <c r="AD100" i="488"/>
  <c r="AD33" i="488"/>
  <c r="AE33" i="488" s="1"/>
  <c r="AD25" i="488"/>
  <c r="AE25" i="488" s="1"/>
  <c r="M35" i="488"/>
  <c r="AB35" i="488"/>
  <c r="Y51" i="488"/>
  <c r="AB51" i="488"/>
  <c r="S29" i="488"/>
  <c r="AB29" i="488"/>
  <c r="Y75" i="488"/>
  <c r="AB75" i="488"/>
  <c r="Y39" i="488"/>
  <c r="AB39" i="488"/>
  <c r="S83" i="488"/>
  <c r="AB83" i="488"/>
  <c r="Y87" i="488"/>
  <c r="AB87" i="488"/>
  <c r="Y43" i="488"/>
  <c r="AB43" i="488"/>
  <c r="M91" i="488"/>
  <c r="AB91" i="488"/>
  <c r="S79" i="488"/>
  <c r="AB79" i="488"/>
  <c r="M57" i="488"/>
  <c r="AB57" i="488"/>
  <c r="M55" i="488"/>
  <c r="AB55" i="488"/>
  <c r="M47" i="488"/>
  <c r="AB47" i="488"/>
  <c r="S69" i="488"/>
  <c r="AB69" i="488"/>
  <c r="S61" i="488"/>
  <c r="AB61" i="488"/>
  <c r="S55" i="488"/>
  <c r="AE73" i="488"/>
  <c r="M33" i="488"/>
  <c r="S47" i="488"/>
  <c r="V75" i="488"/>
  <c r="S75" i="488"/>
  <c r="M79" i="488"/>
  <c r="P75" i="488"/>
  <c r="P55" i="488"/>
  <c r="M83" i="488"/>
  <c r="P69" i="488"/>
  <c r="P61" i="488"/>
  <c r="AE69" i="488"/>
  <c r="AE39" i="488"/>
  <c r="AE43" i="488"/>
  <c r="P29" i="488"/>
  <c r="P65" i="488"/>
  <c r="M43" i="488"/>
  <c r="P79" i="488"/>
  <c r="P91" i="488"/>
  <c r="S43" i="488"/>
  <c r="P57" i="488"/>
  <c r="P17" i="488"/>
  <c r="AE61" i="488"/>
  <c r="S51" i="488"/>
  <c r="S33" i="488"/>
  <c r="AE93" i="488"/>
  <c r="P93" i="488"/>
  <c r="V21" i="488"/>
  <c r="Y21" i="488"/>
  <c r="V25" i="488"/>
  <c r="Y25" i="488"/>
  <c r="V93" i="488"/>
  <c r="Y93" i="488"/>
  <c r="V91" i="488"/>
  <c r="Y91" i="488"/>
  <c r="V35" i="488"/>
  <c r="Y35" i="488"/>
  <c r="V57" i="488"/>
  <c r="Y57" i="488"/>
  <c r="V33" i="488"/>
  <c r="Y33" i="488"/>
  <c r="AE55" i="488"/>
  <c r="V73" i="488"/>
  <c r="Y73" i="488"/>
  <c r="V65" i="488"/>
  <c r="Y65" i="488"/>
  <c r="AE51" i="488"/>
  <c r="M93" i="488"/>
  <c r="P35" i="488"/>
  <c r="V17" i="488"/>
  <c r="Y17" i="488"/>
  <c r="P51" i="488"/>
  <c r="M25" i="488"/>
  <c r="AE79" i="488"/>
  <c r="S73" i="488"/>
  <c r="AE91" i="488"/>
  <c r="AE47" i="488"/>
  <c r="AE21" i="488"/>
  <c r="AE75" i="488"/>
  <c r="V69" i="488"/>
  <c r="Y69" i="488"/>
  <c r="V61" i="488"/>
  <c r="Y61" i="488"/>
  <c r="AE57" i="488"/>
  <c r="M29" i="488"/>
  <c r="AE83" i="488"/>
  <c r="S65" i="488"/>
  <c r="V55" i="488"/>
  <c r="Y55" i="488"/>
  <c r="V47" i="488"/>
  <c r="Y47" i="488"/>
  <c r="V79" i="488"/>
  <c r="Y79" i="488"/>
  <c r="S57" i="488"/>
  <c r="V83" i="488"/>
  <c r="Y83" i="488"/>
  <c r="P73" i="488"/>
  <c r="V29" i="488"/>
  <c r="Y29" i="488"/>
  <c r="AE100" i="488"/>
  <c r="M87" i="488"/>
  <c r="V87" i="488"/>
  <c r="S17" i="488"/>
  <c r="S91" i="488"/>
  <c r="M51" i="488"/>
  <c r="V51" i="488"/>
  <c r="H101" i="488"/>
  <c r="H14" i="261" s="1"/>
  <c r="G9" i="637" s="1"/>
  <c r="V39" i="488"/>
  <c r="L101" i="488"/>
  <c r="S35" i="488"/>
  <c r="S39" i="488"/>
  <c r="P43" i="488"/>
  <c r="V43" i="488"/>
  <c r="S25" i="488"/>
  <c r="S93" i="488"/>
  <c r="AE35" i="488"/>
  <c r="P25" i="488"/>
  <c r="S87" i="488"/>
  <c r="S21" i="488"/>
  <c r="P33" i="488"/>
  <c r="M61" i="488"/>
  <c r="P39" i="488"/>
  <c r="P21" i="488"/>
  <c r="P83" i="488"/>
  <c r="M69" i="488"/>
  <c r="P87" i="488"/>
  <c r="O101" i="488"/>
  <c r="M65" i="488"/>
  <c r="R101" i="488"/>
  <c r="M39" i="488"/>
  <c r="M73" i="488"/>
  <c r="AE87" i="488"/>
  <c r="M17" i="488"/>
  <c r="M21" i="488"/>
  <c r="X111" i="488" l="1"/>
  <c r="AA111" i="488"/>
  <c r="C28" i="637" s="1"/>
  <c r="X113" i="488"/>
  <c r="AA113" i="488"/>
  <c r="C30" i="637" s="1"/>
  <c r="X112" i="488"/>
  <c r="AA112" i="488"/>
  <c r="C29" i="637" s="1"/>
  <c r="Y105" i="488"/>
  <c r="AB115" i="488" s="1"/>
  <c r="E32" i="637" s="1"/>
  <c r="AB105" i="488"/>
  <c r="L111" i="488"/>
  <c r="L117" i="488" s="1"/>
  <c r="L103" i="488"/>
  <c r="L106" i="488" s="1"/>
  <c r="L107" i="488" s="1"/>
  <c r="O111" i="488"/>
  <c r="M101" i="488"/>
  <c r="U113" i="488"/>
  <c r="S101" i="488"/>
  <c r="R113" i="488"/>
  <c r="U111" i="488"/>
  <c r="R111" i="488"/>
  <c r="H103" i="488"/>
  <c r="K14" i="261" s="1"/>
  <c r="V101" i="488"/>
  <c r="U112" i="488"/>
  <c r="R112" i="488"/>
  <c r="AE17" i="488"/>
  <c r="AD101" i="488"/>
  <c r="P101" i="488"/>
  <c r="O103" i="488"/>
  <c r="O112" i="488"/>
  <c r="R103" i="488"/>
  <c r="AB116" i="488" l="1"/>
  <c r="E33" i="637" s="1"/>
  <c r="O14" i="261"/>
  <c r="C37" i="637"/>
  <c r="X117" i="488"/>
  <c r="Y112" i="488"/>
  <c r="AB112" i="488"/>
  <c r="E29" i="637" s="1"/>
  <c r="Y111" i="488"/>
  <c r="AB111" i="488"/>
  <c r="E28" i="637" s="1"/>
  <c r="E37" i="637" s="1"/>
  <c r="Y114" i="488"/>
  <c r="AB114" i="488"/>
  <c r="E31" i="637" s="1"/>
  <c r="AA117" i="488"/>
  <c r="Y113" i="488"/>
  <c r="AB113" i="488"/>
  <c r="E30" i="637" s="1"/>
  <c r="M111" i="488"/>
  <c r="M117" i="488" s="1"/>
  <c r="S111" i="488"/>
  <c r="O117" i="488"/>
  <c r="Y115" i="488"/>
  <c r="P111" i="488"/>
  <c r="V111" i="488"/>
  <c r="H106" i="488"/>
  <c r="L14" i="261" s="1"/>
  <c r="U117" i="488"/>
  <c r="V114" i="488"/>
  <c r="S113" i="488"/>
  <c r="V113" i="488"/>
  <c r="V112" i="488"/>
  <c r="S112" i="488"/>
  <c r="O106" i="488"/>
  <c r="O107" i="488" s="1"/>
  <c r="AD103" i="488"/>
  <c r="AD105" i="488" s="1"/>
  <c r="AE105" i="488" s="1"/>
  <c r="R106" i="488"/>
  <c r="R107" i="488" s="1"/>
  <c r="R117" i="488"/>
  <c r="P112" i="488"/>
  <c r="AB117" i="488" l="1"/>
  <c r="P117" i="488"/>
  <c r="AD106" i="488"/>
  <c r="AD107" i="488" s="1"/>
  <c r="Y117" i="488"/>
  <c r="V117" i="488"/>
  <c r="H107" i="488"/>
  <c r="M14" i="261" s="1"/>
  <c r="S117" i="488"/>
  <c r="O19" i="486" l="1"/>
  <c r="O18" i="486"/>
  <c r="O16" i="486"/>
  <c r="O15" i="486"/>
  <c r="O14" i="486"/>
  <c r="L19" i="486"/>
  <c r="H19" i="486"/>
  <c r="S19" i="486" s="1"/>
  <c r="L18" i="486"/>
  <c r="X18" i="486" s="1"/>
  <c r="H18" i="486"/>
  <c r="S18" i="486" s="1"/>
  <c r="L16" i="486"/>
  <c r="H16" i="486"/>
  <c r="S16" i="486" s="1"/>
  <c r="L15" i="486"/>
  <c r="H15" i="486"/>
  <c r="S15" i="486" s="1"/>
  <c r="L14" i="486"/>
  <c r="H14" i="486"/>
  <c r="S14" i="486" s="1"/>
  <c r="Y18" i="486" l="1"/>
  <c r="X19" i="486"/>
  <c r="X14" i="486"/>
  <c r="X15" i="486"/>
  <c r="Y15" i="486" s="1"/>
  <c r="X16" i="486"/>
  <c r="Y16" i="486" s="1"/>
  <c r="Y14" i="486"/>
  <c r="Y19" i="486"/>
  <c r="P15" i="486"/>
  <c r="L17" i="486"/>
  <c r="H20" i="486"/>
  <c r="M19" i="486"/>
  <c r="P16" i="486"/>
  <c r="M14" i="486"/>
  <c r="M15" i="486"/>
  <c r="H17" i="486"/>
  <c r="V17" i="486" s="1"/>
  <c r="M18" i="486"/>
  <c r="P14" i="486"/>
  <c r="P19" i="486"/>
  <c r="L20" i="486"/>
  <c r="M16" i="486"/>
  <c r="P18" i="486"/>
  <c r="O20" i="486"/>
  <c r="O17" i="486"/>
  <c r="X17" i="486" l="1"/>
  <c r="X20" i="486"/>
  <c r="X21" i="486" s="1"/>
  <c r="X23" i="486" s="1"/>
  <c r="S20" i="486"/>
  <c r="V20" i="486"/>
  <c r="Y17" i="486"/>
  <c r="M17" i="486"/>
  <c r="P17" i="486"/>
  <c r="L21" i="486"/>
  <c r="H21" i="486"/>
  <c r="S17" i="486"/>
  <c r="P20" i="486"/>
  <c r="M20" i="486"/>
  <c r="Y20" i="486"/>
  <c r="O21" i="486"/>
  <c r="H12" i="261" l="1"/>
  <c r="G9" i="635" s="1"/>
  <c r="V25" i="486"/>
  <c r="R33" i="486"/>
  <c r="U33" i="486"/>
  <c r="C29" i="635" s="1"/>
  <c r="L32" i="486"/>
  <c r="L35" i="486" s="1"/>
  <c r="U32" i="486"/>
  <c r="S25" i="486"/>
  <c r="R32" i="486"/>
  <c r="R36" i="486" s="1"/>
  <c r="L23" i="486"/>
  <c r="L26" i="486" s="1"/>
  <c r="L27" i="486" s="1"/>
  <c r="O32" i="486"/>
  <c r="H23" i="486"/>
  <c r="K12" i="261" s="1"/>
  <c r="M21" i="486"/>
  <c r="V32" i="486" s="1"/>
  <c r="E28" i="635" s="1"/>
  <c r="P21" i="486"/>
  <c r="V33" i="486" s="1"/>
  <c r="E29" i="635" s="1"/>
  <c r="O33" i="486"/>
  <c r="O23" i="486"/>
  <c r="O26" i="486" s="1"/>
  <c r="O27" i="486" s="1"/>
  <c r="V34" i="486" l="1"/>
  <c r="E30" i="635" s="1"/>
  <c r="S34" i="486"/>
  <c r="O12" i="261"/>
  <c r="V35" i="486"/>
  <c r="C28" i="635"/>
  <c r="C34" i="635" s="1"/>
  <c r="U36" i="486"/>
  <c r="O35" i="486"/>
  <c r="H26" i="486"/>
  <c r="L12" i="261" s="1"/>
  <c r="X26" i="486"/>
  <c r="X25" i="486"/>
  <c r="Y25" i="486" s="1"/>
  <c r="P33" i="486"/>
  <c r="S33" i="486"/>
  <c r="S32" i="486"/>
  <c r="S36" i="486" s="1"/>
  <c r="P32" i="486"/>
  <c r="M32" i="486"/>
  <c r="M35" i="486" s="1"/>
  <c r="V36" i="486" l="1"/>
  <c r="E31" i="635"/>
  <c r="E34" i="635" s="1"/>
  <c r="X27" i="486"/>
  <c r="P35" i="486"/>
  <c r="H27" i="486"/>
  <c r="M12" i="261" s="1"/>
  <c r="O18" i="484"/>
  <c r="O17" i="484"/>
  <c r="O15" i="484"/>
  <c r="O14" i="484"/>
  <c r="L18" i="484"/>
  <c r="H18" i="484"/>
  <c r="L17" i="484"/>
  <c r="L15" i="484"/>
  <c r="H15" i="484"/>
  <c r="L14" i="484"/>
  <c r="H14" i="484"/>
  <c r="U14" i="484" l="1"/>
  <c r="U17" i="484"/>
  <c r="O16" i="484"/>
  <c r="P18" i="484"/>
  <c r="P14" i="484"/>
  <c r="P15" i="484"/>
  <c r="H19" i="484"/>
  <c r="S19" i="484" s="1"/>
  <c r="O19" i="484"/>
  <c r="L19" i="484"/>
  <c r="U18" i="484"/>
  <c r="V18" i="484" s="1"/>
  <c r="U15" i="484"/>
  <c r="V15" i="484" s="1"/>
  <c r="H16" i="484"/>
  <c r="L16" i="484"/>
  <c r="U16" i="484" s="1"/>
  <c r="M18" i="484"/>
  <c r="M14" i="484"/>
  <c r="M15" i="484"/>
  <c r="V16" i="484" l="1"/>
  <c r="O20" i="484"/>
  <c r="R31" i="484" s="1"/>
  <c r="C29" i="634" s="1"/>
  <c r="M19" i="484"/>
  <c r="L20" i="484"/>
  <c r="L22" i="484" s="1"/>
  <c r="H20" i="484"/>
  <c r="S16" i="484"/>
  <c r="U19" i="484"/>
  <c r="V19" i="484" s="1"/>
  <c r="P19" i="484"/>
  <c r="P16" i="484"/>
  <c r="V14" i="484"/>
  <c r="M16" i="484"/>
  <c r="H11" i="261" l="1"/>
  <c r="G9" i="634" s="1"/>
  <c r="S24" i="484"/>
  <c r="O11" i="261" s="1"/>
  <c r="U20" i="484"/>
  <c r="U22" i="484" s="1"/>
  <c r="U24" i="484" s="1"/>
  <c r="P20" i="484"/>
  <c r="P31" i="484" s="1"/>
  <c r="O22" i="484"/>
  <c r="O25" i="484" s="1"/>
  <c r="O26" i="484" s="1"/>
  <c r="O31" i="484"/>
  <c r="M20" i="484"/>
  <c r="S30" i="484" s="1"/>
  <c r="E28" i="634" s="1"/>
  <c r="R30" i="484"/>
  <c r="C28" i="634" s="1"/>
  <c r="C34" i="634" s="1"/>
  <c r="O30" i="484"/>
  <c r="H22" i="484"/>
  <c r="K11" i="261" s="1"/>
  <c r="L25" i="484"/>
  <c r="L26" i="484" s="1"/>
  <c r="V24" i="484" l="1"/>
  <c r="S31" i="484"/>
  <c r="E29" i="634" s="1"/>
  <c r="O33" i="484"/>
  <c r="P30" i="484"/>
  <c r="P33" i="484" s="1"/>
  <c r="H25" i="484"/>
  <c r="L11" i="261" s="1"/>
  <c r="R33" i="484"/>
  <c r="U25" i="484"/>
  <c r="U26" i="484" s="1"/>
  <c r="S32" i="484"/>
  <c r="E30" i="634" s="1"/>
  <c r="E34" i="634" l="1"/>
  <c r="S33" i="484"/>
  <c r="H26" i="484"/>
  <c r="M11" i="261" s="1"/>
  <c r="N14" i="330"/>
  <c r="T14" i="330" s="1"/>
  <c r="K18" i="430"/>
  <c r="T18" i="430" s="1"/>
  <c r="K16" i="430"/>
  <c r="T16" i="430" s="1"/>
  <c r="K14" i="430"/>
  <c r="T14" i="430" s="1"/>
  <c r="K28" i="455" l="1"/>
  <c r="AC28" i="455" s="1"/>
  <c r="L28" i="455" l="1"/>
  <c r="L17" i="434"/>
  <c r="X17" i="434" s="1"/>
  <c r="V28" i="455" l="1"/>
  <c r="O23" i="259"/>
  <c r="K18" i="399"/>
  <c r="K16" i="399"/>
  <c r="T14" i="209"/>
  <c r="AC14" i="209" s="1"/>
  <c r="N18" i="399" l="1"/>
  <c r="O18" i="399" s="1"/>
  <c r="O19" i="399" s="1"/>
  <c r="N16" i="399"/>
  <c r="O16" i="399" s="1"/>
  <c r="W18" i="399" l="1"/>
  <c r="W16" i="399"/>
  <c r="O17" i="399"/>
  <c r="O24" i="399" s="1"/>
  <c r="O32" i="282"/>
  <c r="O31" i="282"/>
  <c r="O26" i="399" l="1"/>
  <c r="B9" i="90"/>
  <c r="E9" i="90" s="1"/>
  <c r="O27" i="399" l="1"/>
  <c r="X27" i="399" s="1"/>
  <c r="O28" i="399" l="1"/>
  <c r="R35" i="399" l="1"/>
  <c r="U35" i="399"/>
  <c r="C29" i="690" s="1"/>
  <c r="O35" i="399"/>
  <c r="O29" i="399"/>
  <c r="O30" i="399" l="1"/>
  <c r="L16" i="461"/>
  <c r="R16" i="461" s="1"/>
  <c r="L15" i="461"/>
  <c r="R15" i="461" s="1"/>
  <c r="L14" i="461"/>
  <c r="R14" i="461" s="1"/>
  <c r="E989" i="91" l="1"/>
  <c r="L17" i="461"/>
  <c r="R17" i="461" s="1"/>
  <c r="E988" i="91"/>
  <c r="H988" i="91" s="1"/>
  <c r="E990" i="91"/>
  <c r="H16" i="461"/>
  <c r="H15" i="461"/>
  <c r="H14" i="461"/>
  <c r="I17" i="461" l="1"/>
  <c r="I18" i="461" s="1"/>
  <c r="I20" i="461" s="1"/>
  <c r="I23" i="461" s="1"/>
  <c r="I24" i="461" s="1"/>
  <c r="P14" i="461"/>
  <c r="L18" i="461"/>
  <c r="S14" i="461"/>
  <c r="R18" i="461"/>
  <c r="H17" i="461"/>
  <c r="M14" i="461"/>
  <c r="H18" i="461" l="1"/>
  <c r="P17" i="461"/>
  <c r="L20" i="461"/>
  <c r="M17" i="461"/>
  <c r="R20" i="461"/>
  <c r="S17" i="461"/>
  <c r="H52" i="261" l="1"/>
  <c r="G9" i="711" s="1"/>
  <c r="P22" i="461"/>
  <c r="O52" i="261" s="1"/>
  <c r="H20" i="461"/>
  <c r="L23" i="461"/>
  <c r="L21" i="461"/>
  <c r="R21" i="461" s="1"/>
  <c r="H23" i="461" l="1"/>
  <c r="L52" i="261" s="1"/>
  <c r="K52" i="261"/>
  <c r="P29" i="461"/>
  <c r="E29" i="711" s="1"/>
  <c r="L24" i="461"/>
  <c r="L22" i="461"/>
  <c r="O28" i="461" s="1"/>
  <c r="R22" i="461"/>
  <c r="H24" i="461" l="1"/>
  <c r="M52" i="261" s="1"/>
  <c r="O30" i="461"/>
  <c r="C28" i="711"/>
  <c r="C34" i="711" s="1"/>
  <c r="M22" i="461"/>
  <c r="P28" i="461" s="1"/>
  <c r="L28" i="461"/>
  <c r="S22" i="461"/>
  <c r="R23" i="461"/>
  <c r="R24" i="461" s="1"/>
  <c r="L27" i="455"/>
  <c r="L29" i="455"/>
  <c r="L19" i="455"/>
  <c r="H28" i="455"/>
  <c r="X28" i="455" s="1"/>
  <c r="H26" i="455"/>
  <c r="H24" i="455"/>
  <c r="H23" i="455"/>
  <c r="H21" i="455"/>
  <c r="X21" i="455" s="1"/>
  <c r="H20" i="455"/>
  <c r="H18" i="455"/>
  <c r="X18" i="455" s="1"/>
  <c r="H17" i="455"/>
  <c r="H15" i="455"/>
  <c r="X15" i="455" s="1"/>
  <c r="H14" i="455"/>
  <c r="P30" i="461" l="1"/>
  <c r="E28" i="711"/>
  <c r="E34" i="711" s="1"/>
  <c r="Y28" i="455"/>
  <c r="AD28" i="455"/>
  <c r="Y18" i="455"/>
  <c r="AD18" i="455"/>
  <c r="Y21" i="455"/>
  <c r="AD21" i="455"/>
  <c r="Y15" i="455"/>
  <c r="AD15" i="455"/>
  <c r="X14" i="455"/>
  <c r="AD14" i="455" s="1"/>
  <c r="X20" i="455"/>
  <c r="AD20" i="455" s="1"/>
  <c r="X26" i="455"/>
  <c r="AD26" i="455" s="1"/>
  <c r="I27" i="455"/>
  <c r="AB27" i="455" s="1"/>
  <c r="S15" i="455"/>
  <c r="S28" i="455"/>
  <c r="S21" i="455"/>
  <c r="X17" i="455"/>
  <c r="AD17" i="455" s="1"/>
  <c r="X23" i="455"/>
  <c r="AD23" i="455" s="1"/>
  <c r="S18" i="455"/>
  <c r="S24" i="455"/>
  <c r="X24" i="455"/>
  <c r="AD24" i="455" s="1"/>
  <c r="S26" i="455"/>
  <c r="V26" i="455"/>
  <c r="L30" i="461"/>
  <c r="M28" i="461"/>
  <c r="P18" i="455"/>
  <c r="M18" i="455"/>
  <c r="P24" i="455"/>
  <c r="M24" i="455"/>
  <c r="H27" i="455"/>
  <c r="V27" i="455" s="1"/>
  <c r="M26" i="455"/>
  <c r="P26" i="455"/>
  <c r="M15" i="455"/>
  <c r="P15" i="455"/>
  <c r="M21" i="455"/>
  <c r="P21" i="455"/>
  <c r="H29" i="455"/>
  <c r="V29" i="455" s="1"/>
  <c r="P28" i="455"/>
  <c r="M28" i="455"/>
  <c r="H25" i="455"/>
  <c r="V25" i="455" s="1"/>
  <c r="L16" i="455"/>
  <c r="L22" i="455"/>
  <c r="L25" i="455"/>
  <c r="H16" i="455"/>
  <c r="V16" i="455" s="1"/>
  <c r="H22" i="455"/>
  <c r="V22" i="455" s="1"/>
  <c r="H19" i="455"/>
  <c r="X25" i="455" l="1"/>
  <c r="Y25" i="455" s="1"/>
  <c r="I22" i="455"/>
  <c r="AB22" i="455" s="1"/>
  <c r="AE18" i="455"/>
  <c r="I19" i="455"/>
  <c r="AB19" i="455" s="1"/>
  <c r="I29" i="455"/>
  <c r="AB29" i="455" s="1"/>
  <c r="X16" i="455"/>
  <c r="Y16" i="455" s="1"/>
  <c r="X19" i="455"/>
  <c r="Y26" i="455"/>
  <c r="X27" i="455"/>
  <c r="I16" i="455"/>
  <c r="AB16" i="455" s="1"/>
  <c r="Y24" i="455"/>
  <c r="AE24" i="455"/>
  <c r="I25" i="455"/>
  <c r="AB25" i="455" s="1"/>
  <c r="AE21" i="455"/>
  <c r="X22" i="455"/>
  <c r="Y22" i="455" s="1"/>
  <c r="S19" i="455"/>
  <c r="V19" i="455"/>
  <c r="M30" i="461"/>
  <c r="R31" i="455"/>
  <c r="P25" i="455"/>
  <c r="S25" i="455"/>
  <c r="P16" i="455"/>
  <c r="S16" i="455"/>
  <c r="P29" i="455"/>
  <c r="S29" i="455"/>
  <c r="L31" i="455"/>
  <c r="P22" i="455"/>
  <c r="S22" i="455"/>
  <c r="P27" i="455"/>
  <c r="S27" i="455"/>
  <c r="P19" i="455"/>
  <c r="H31" i="455"/>
  <c r="I50" i="261" s="1"/>
  <c r="O31" i="455"/>
  <c r="M27" i="455"/>
  <c r="M25" i="455"/>
  <c r="M22" i="455"/>
  <c r="M29" i="455"/>
  <c r="M16" i="455"/>
  <c r="M19" i="455"/>
  <c r="H30" i="455"/>
  <c r="H50" i="261" s="1"/>
  <c r="G9" i="703" s="1"/>
  <c r="L30" i="455"/>
  <c r="AD25" i="455" l="1"/>
  <c r="AE25" i="455" s="1"/>
  <c r="AD16" i="455"/>
  <c r="AE16" i="455" s="1"/>
  <c r="Y27" i="455"/>
  <c r="AD27" i="455"/>
  <c r="AE27" i="455" s="1"/>
  <c r="Y19" i="455"/>
  <c r="AD19" i="455"/>
  <c r="AE19" i="455" s="1"/>
  <c r="AD22" i="455"/>
  <c r="AE22" i="455" s="1"/>
  <c r="AE15" i="455"/>
  <c r="I30" i="455"/>
  <c r="AE26" i="455"/>
  <c r="X29" i="455"/>
  <c r="AD29" i="455" s="1"/>
  <c r="I31" i="455"/>
  <c r="R32" i="455"/>
  <c r="R33" i="455" s="1"/>
  <c r="O32" i="455"/>
  <c r="M30" i="455"/>
  <c r="H32" i="455"/>
  <c r="L32" i="455"/>
  <c r="K50" i="261" l="1"/>
  <c r="AB34" i="455"/>
  <c r="O50" i="261" s="1"/>
  <c r="V34" i="455"/>
  <c r="AB43" i="455" s="1"/>
  <c r="E31" i="703" s="1"/>
  <c r="AB45" i="455"/>
  <c r="X40" i="455"/>
  <c r="AA40" i="455"/>
  <c r="Y40" i="455"/>
  <c r="AB40" i="455"/>
  <c r="E28" i="703" s="1"/>
  <c r="X30" i="455"/>
  <c r="G9" i="992"/>
  <c r="I32" i="455"/>
  <c r="I35" i="455" s="1"/>
  <c r="I36" i="455" s="1"/>
  <c r="V43" i="455"/>
  <c r="Y43" i="455"/>
  <c r="V40" i="455"/>
  <c r="AE28" i="455"/>
  <c r="Y29" i="455"/>
  <c r="X31" i="455"/>
  <c r="AD31" i="455" s="1"/>
  <c r="R40" i="455"/>
  <c r="U40" i="455"/>
  <c r="R34" i="455"/>
  <c r="AA42" i="455" s="1"/>
  <c r="C30" i="703" s="1"/>
  <c r="P40" i="455"/>
  <c r="S40" i="455"/>
  <c r="O33" i="455"/>
  <c r="H35" i="455"/>
  <c r="L50" i="261" s="1"/>
  <c r="L40" i="455"/>
  <c r="O40" i="455"/>
  <c r="M40" i="455"/>
  <c r="L35" i="455"/>
  <c r="E33" i="703" l="1"/>
  <c r="C28" i="703"/>
  <c r="E19" i="992"/>
  <c r="N214" i="261"/>
  <c r="U42" i="455"/>
  <c r="X42" i="455"/>
  <c r="X32" i="455"/>
  <c r="X33" i="455" s="1"/>
  <c r="Q214" i="261" s="1"/>
  <c r="AE29" i="455"/>
  <c r="AD30" i="455"/>
  <c r="R35" i="455"/>
  <c r="R42" i="455"/>
  <c r="S34" i="455"/>
  <c r="AB42" i="455" s="1"/>
  <c r="E30" i="703" s="1"/>
  <c r="O34" i="455"/>
  <c r="H36" i="455"/>
  <c r="M50" i="261" s="1"/>
  <c r="L36" i="455"/>
  <c r="L44" i="447"/>
  <c r="R44" i="447" s="1"/>
  <c r="L43" i="447"/>
  <c r="R43" i="447" s="1"/>
  <c r="L41" i="447"/>
  <c r="R41" i="447" s="1"/>
  <c r="L40" i="447"/>
  <c r="R40" i="447" s="1"/>
  <c r="L39" i="447"/>
  <c r="R39" i="447" s="1"/>
  <c r="L37" i="447"/>
  <c r="R37" i="447" s="1"/>
  <c r="L36" i="447"/>
  <c r="R36" i="447" s="1"/>
  <c r="L34" i="447"/>
  <c r="R34" i="447" s="1"/>
  <c r="L33" i="447"/>
  <c r="R33" i="447" s="1"/>
  <c r="L32" i="447"/>
  <c r="R32" i="447" s="1"/>
  <c r="L30" i="447"/>
  <c r="R30" i="447" s="1"/>
  <c r="L29" i="447"/>
  <c r="R29" i="447" s="1"/>
  <c r="L27" i="447"/>
  <c r="R27" i="447" s="1"/>
  <c r="L26" i="447"/>
  <c r="R26" i="447" s="1"/>
  <c r="L25" i="447"/>
  <c r="R25" i="447" s="1"/>
  <c r="L23" i="447"/>
  <c r="R23" i="447" s="1"/>
  <c r="L22" i="447"/>
  <c r="R22" i="447" s="1"/>
  <c r="L20" i="447"/>
  <c r="R20" i="447" s="1"/>
  <c r="L19" i="447"/>
  <c r="R19" i="447" s="1"/>
  <c r="L18" i="447"/>
  <c r="R18" i="447" s="1"/>
  <c r="L16" i="447"/>
  <c r="R16" i="447" s="1"/>
  <c r="L15" i="447"/>
  <c r="R15" i="447" s="1"/>
  <c r="L14" i="447"/>
  <c r="R14" i="447" s="1"/>
  <c r="H44" i="447"/>
  <c r="P44" i="447" s="1"/>
  <c r="H43" i="447"/>
  <c r="H41" i="447"/>
  <c r="P41" i="447" s="1"/>
  <c r="H40" i="447"/>
  <c r="P40" i="447" s="1"/>
  <c r="H39" i="447"/>
  <c r="P39" i="447" s="1"/>
  <c r="H37" i="447"/>
  <c r="P37" i="447" s="1"/>
  <c r="H36" i="447"/>
  <c r="H34" i="447"/>
  <c r="P34" i="447" s="1"/>
  <c r="H33" i="447"/>
  <c r="P33" i="447" s="1"/>
  <c r="H32" i="447"/>
  <c r="P32" i="447" s="1"/>
  <c r="H30" i="447"/>
  <c r="P30" i="447" s="1"/>
  <c r="H29" i="447"/>
  <c r="H27" i="447"/>
  <c r="P27" i="447" s="1"/>
  <c r="H26" i="447"/>
  <c r="H25" i="447"/>
  <c r="H23" i="447"/>
  <c r="P23" i="447" s="1"/>
  <c r="H22" i="447"/>
  <c r="H20" i="447"/>
  <c r="P20" i="447" s="1"/>
  <c r="H19" i="447"/>
  <c r="H18" i="447"/>
  <c r="H16" i="447"/>
  <c r="P16" i="447" s="1"/>
  <c r="H15" i="447"/>
  <c r="P15" i="447" s="1"/>
  <c r="H14" i="447"/>
  <c r="AD33" i="455" l="1"/>
  <c r="AD32" i="455"/>
  <c r="AD34" i="455" s="1"/>
  <c r="AE34" i="455" s="1"/>
  <c r="X41" i="455"/>
  <c r="AA41" i="455"/>
  <c r="V42" i="455"/>
  <c r="Y42" i="455"/>
  <c r="P214" i="261"/>
  <c r="N215" i="261" s="1"/>
  <c r="E20" i="992"/>
  <c r="X34" i="455"/>
  <c r="AA44" i="455" s="1"/>
  <c r="C32" i="703" s="1"/>
  <c r="R214" i="261"/>
  <c r="S14" i="447"/>
  <c r="I46" i="447"/>
  <c r="I48" i="447" s="1"/>
  <c r="P14" i="447"/>
  <c r="R41" i="455"/>
  <c r="U41" i="455"/>
  <c r="U45" i="455" s="1"/>
  <c r="O41" i="455"/>
  <c r="R36" i="455"/>
  <c r="P34" i="455"/>
  <c r="S42" i="455"/>
  <c r="O35" i="455"/>
  <c r="M30" i="447"/>
  <c r="S30" i="447"/>
  <c r="M14" i="447"/>
  <c r="M39" i="447"/>
  <c r="H45" i="447"/>
  <c r="P45" i="447" s="1"/>
  <c r="M32" i="447"/>
  <c r="M37" i="447"/>
  <c r="L45" i="447"/>
  <c r="R45" i="447" s="1"/>
  <c r="M40" i="447"/>
  <c r="S39" i="447"/>
  <c r="M44" i="447"/>
  <c r="M15" i="447"/>
  <c r="S15" i="447"/>
  <c r="S16" i="447"/>
  <c r="M33" i="447"/>
  <c r="S37" i="447"/>
  <c r="S23" i="447"/>
  <c r="M34" i="447"/>
  <c r="S40" i="447"/>
  <c r="M41" i="447"/>
  <c r="S32" i="447"/>
  <c r="S20" i="447"/>
  <c r="S44" i="447"/>
  <c r="L28" i="447"/>
  <c r="R28" i="447" s="1"/>
  <c r="S41" i="447"/>
  <c r="M20" i="447"/>
  <c r="S33" i="447"/>
  <c r="M27" i="447"/>
  <c r="M23" i="447"/>
  <c r="L24" i="447"/>
  <c r="R24" i="447" s="1"/>
  <c r="L17" i="447"/>
  <c r="R17" i="447" s="1"/>
  <c r="M16" i="447"/>
  <c r="L42" i="447"/>
  <c r="R42" i="447" s="1"/>
  <c r="L38" i="447"/>
  <c r="R38" i="447" s="1"/>
  <c r="L35" i="447"/>
  <c r="R35" i="447" s="1"/>
  <c r="L31" i="447"/>
  <c r="R31" i="447" s="1"/>
  <c r="S27" i="447"/>
  <c r="L21" i="447"/>
  <c r="R21" i="447" s="1"/>
  <c r="S34" i="447"/>
  <c r="H28" i="447"/>
  <c r="P28" i="447" s="1"/>
  <c r="H38" i="447"/>
  <c r="P38" i="447" s="1"/>
  <c r="H17" i="447"/>
  <c r="P17" i="447" s="1"/>
  <c r="H31" i="447"/>
  <c r="P31" i="447" s="1"/>
  <c r="H24" i="447"/>
  <c r="P24" i="447" s="1"/>
  <c r="H35" i="447"/>
  <c r="P35" i="447" s="1"/>
  <c r="H21" i="447"/>
  <c r="P21" i="447" s="1"/>
  <c r="H42" i="447"/>
  <c r="P42" i="447" s="1"/>
  <c r="L16" i="445"/>
  <c r="U16" i="445" s="1"/>
  <c r="L15" i="445"/>
  <c r="U15" i="445" s="1"/>
  <c r="L14" i="445"/>
  <c r="U14" i="445" s="1"/>
  <c r="H16" i="445"/>
  <c r="S16" i="445" s="1"/>
  <c r="H15" i="445"/>
  <c r="S15" i="445" s="1"/>
  <c r="H14" i="445"/>
  <c r="S14" i="445" s="1"/>
  <c r="C29" i="703" l="1"/>
  <c r="C34" i="703" s="1"/>
  <c r="AA46" i="455"/>
  <c r="Y41" i="455"/>
  <c r="AB41" i="455"/>
  <c r="P41" i="455"/>
  <c r="E22" i="992"/>
  <c r="G10" i="992"/>
  <c r="X35" i="455"/>
  <c r="X36" i="455" s="1"/>
  <c r="X44" i="455"/>
  <c r="Y34" i="455"/>
  <c r="AB44" i="455" s="1"/>
  <c r="E32" i="703" s="1"/>
  <c r="AD35" i="455"/>
  <c r="AD36" i="455" s="1"/>
  <c r="I51" i="447"/>
  <c r="I52" i="447" s="1"/>
  <c r="S41" i="455"/>
  <c r="S45" i="455" s="1"/>
  <c r="V41" i="455"/>
  <c r="V45" i="455" s="1"/>
  <c r="O36" i="455"/>
  <c r="P16" i="445"/>
  <c r="P14" i="445"/>
  <c r="P15" i="445"/>
  <c r="S45" i="447"/>
  <c r="V14" i="445"/>
  <c r="M15" i="445"/>
  <c r="V16" i="445"/>
  <c r="H46" i="447"/>
  <c r="H46" i="261" s="1"/>
  <c r="G9" i="693" s="1"/>
  <c r="M14" i="445"/>
  <c r="M38" i="447"/>
  <c r="M45" i="447"/>
  <c r="S42" i="447"/>
  <c r="M35" i="447"/>
  <c r="M42" i="447"/>
  <c r="M28" i="447"/>
  <c r="S28" i="447"/>
  <c r="S38" i="447"/>
  <c r="S35" i="447"/>
  <c r="S21" i="447"/>
  <c r="M21" i="447"/>
  <c r="S31" i="447"/>
  <c r="M31" i="447"/>
  <c r="L46" i="447"/>
  <c r="S24" i="447"/>
  <c r="M24" i="447"/>
  <c r="M17" i="447"/>
  <c r="M16" i="445"/>
  <c r="L17" i="445"/>
  <c r="U17" i="445" s="1"/>
  <c r="H17" i="445"/>
  <c r="E29" i="703" l="1"/>
  <c r="E34" i="703" s="1"/>
  <c r="AB46" i="455"/>
  <c r="Y44" i="455"/>
  <c r="E23" i="992"/>
  <c r="E24" i="992"/>
  <c r="E21" i="992"/>
  <c r="X45" i="455"/>
  <c r="Y45" i="455"/>
  <c r="P17" i="445"/>
  <c r="S17" i="445"/>
  <c r="P46" i="447"/>
  <c r="O46" i="261" s="1"/>
  <c r="O56" i="447"/>
  <c r="C28" i="693" s="1"/>
  <c r="C34" i="693" s="1"/>
  <c r="M46" i="447"/>
  <c r="P56" i="447" s="1"/>
  <c r="E28" i="693" s="1"/>
  <c r="M17" i="445"/>
  <c r="H48" i="447"/>
  <c r="K46" i="261" s="1"/>
  <c r="L48" i="447"/>
  <c r="L56" i="447"/>
  <c r="H18" i="445"/>
  <c r="H44" i="261" s="1"/>
  <c r="G9" i="689" s="1"/>
  <c r="S17" i="447"/>
  <c r="R46" i="447"/>
  <c r="L18" i="445"/>
  <c r="V17" i="445"/>
  <c r="V15" i="445"/>
  <c r="O28" i="445" l="1"/>
  <c r="O31" i="445" s="1"/>
  <c r="R28" i="445"/>
  <c r="C28" i="689" s="1"/>
  <c r="C34" i="689" s="1"/>
  <c r="O58" i="447"/>
  <c r="P57" i="447"/>
  <c r="E29" i="693" s="1"/>
  <c r="E34" i="693" s="1"/>
  <c r="S18" i="445"/>
  <c r="O44" i="261" s="1"/>
  <c r="P18" i="445"/>
  <c r="S29" i="445" s="1"/>
  <c r="E29" i="689" s="1"/>
  <c r="L20" i="445"/>
  <c r="L23" i="445" s="1"/>
  <c r="M18" i="445"/>
  <c r="L58" i="447"/>
  <c r="R48" i="447"/>
  <c r="R50" i="447" s="1"/>
  <c r="R51" i="447" s="1"/>
  <c r="R52" i="447" s="1"/>
  <c r="S46" i="447"/>
  <c r="L51" i="447"/>
  <c r="L28" i="445"/>
  <c r="M56" i="447"/>
  <c r="H51" i="447"/>
  <c r="L46" i="261" s="1"/>
  <c r="H20" i="445"/>
  <c r="K44" i="261" s="1"/>
  <c r="U18" i="445"/>
  <c r="V18" i="445" s="1"/>
  <c r="S30" i="445" l="1"/>
  <c r="E30" i="689" s="1"/>
  <c r="R31" i="445"/>
  <c r="P28" i="445"/>
  <c r="S28" i="445"/>
  <c r="E28" i="689" s="1"/>
  <c r="P58" i="447"/>
  <c r="P29" i="445"/>
  <c r="U20" i="445"/>
  <c r="U22" i="445" s="1"/>
  <c r="U23" i="445" s="1"/>
  <c r="U24" i="445" s="1"/>
  <c r="H23" i="445"/>
  <c r="L44" i="261" s="1"/>
  <c r="M28" i="445"/>
  <c r="M58" i="447"/>
  <c r="L52" i="447"/>
  <c r="H52" i="447"/>
  <c r="M46" i="261" s="1"/>
  <c r="L24" i="445"/>
  <c r="L31" i="445"/>
  <c r="E34" i="689" l="1"/>
  <c r="S31" i="445"/>
  <c r="P31" i="445"/>
  <c r="M31" i="445"/>
  <c r="H24" i="445"/>
  <c r="M44" i="261" s="1"/>
  <c r="L27" i="434" l="1"/>
  <c r="X27" i="434" s="1"/>
  <c r="L26" i="434"/>
  <c r="X26" i="434" s="1"/>
  <c r="L24" i="434"/>
  <c r="X24" i="434" s="1"/>
  <c r="L23" i="434"/>
  <c r="X23" i="434" s="1"/>
  <c r="L21" i="434"/>
  <c r="X21" i="434" s="1"/>
  <c r="L20" i="434"/>
  <c r="X20" i="434" s="1"/>
  <c r="L18" i="434"/>
  <c r="X18" i="434" s="1"/>
  <c r="L15" i="434"/>
  <c r="X15" i="434" s="1"/>
  <c r="L14" i="434"/>
  <c r="X14" i="434" s="1"/>
  <c r="L27" i="432"/>
  <c r="AA27" i="432" s="1"/>
  <c r="L26" i="432"/>
  <c r="AA26" i="432" s="1"/>
  <c r="L24" i="432"/>
  <c r="AA24" i="432" s="1"/>
  <c r="L23" i="432"/>
  <c r="AA23" i="432" s="1"/>
  <c r="L21" i="432"/>
  <c r="AA21" i="432" s="1"/>
  <c r="L20" i="432"/>
  <c r="AA20" i="432" s="1"/>
  <c r="L18" i="432"/>
  <c r="AA18" i="432" s="1"/>
  <c r="L17" i="432"/>
  <c r="AA17" i="432" s="1"/>
  <c r="L15" i="432"/>
  <c r="AA15" i="432" s="1"/>
  <c r="L14" i="432"/>
  <c r="AA14" i="432" s="1"/>
  <c r="H27" i="434"/>
  <c r="V27" i="434" s="1"/>
  <c r="H26" i="434"/>
  <c r="H24" i="434"/>
  <c r="V24" i="434" s="1"/>
  <c r="H23" i="434"/>
  <c r="H21" i="434"/>
  <c r="V21" i="434" s="1"/>
  <c r="H20" i="434"/>
  <c r="H18" i="434"/>
  <c r="V18" i="434" s="1"/>
  <c r="H17" i="434"/>
  <c r="H15" i="434"/>
  <c r="V15" i="434" s="1"/>
  <c r="H14" i="434"/>
  <c r="I28" i="434" l="1"/>
  <c r="I19" i="434"/>
  <c r="V17" i="434"/>
  <c r="I25" i="434"/>
  <c r="V23" i="434"/>
  <c r="I16" i="434"/>
  <c r="V14" i="434"/>
  <c r="I22" i="434"/>
  <c r="P21" i="434"/>
  <c r="S21" i="434"/>
  <c r="P18" i="434"/>
  <c r="S18" i="434"/>
  <c r="P24" i="434"/>
  <c r="S24" i="434"/>
  <c r="P15" i="434"/>
  <c r="S15" i="434"/>
  <c r="P27" i="434"/>
  <c r="S27" i="434"/>
  <c r="S17" i="434"/>
  <c r="P23" i="434"/>
  <c r="S23" i="434"/>
  <c r="P14" i="434"/>
  <c r="S14" i="434"/>
  <c r="M14" i="434"/>
  <c r="M21" i="434"/>
  <c r="M27" i="434"/>
  <c r="M15" i="434"/>
  <c r="M23" i="434"/>
  <c r="P17" i="434"/>
  <c r="M17" i="434"/>
  <c r="M18" i="434"/>
  <c r="M24" i="434"/>
  <c r="Y23" i="434"/>
  <c r="L16" i="434"/>
  <c r="X16" i="434" s="1"/>
  <c r="L22" i="434"/>
  <c r="X22" i="434" s="1"/>
  <c r="Y15" i="434"/>
  <c r="Y17" i="434"/>
  <c r="L25" i="434"/>
  <c r="X25" i="434" s="1"/>
  <c r="L28" i="434"/>
  <c r="X28" i="434" s="1"/>
  <c r="Y21" i="434"/>
  <c r="H22" i="434"/>
  <c r="Y14" i="434"/>
  <c r="Y18" i="434"/>
  <c r="Y24" i="434"/>
  <c r="Y27" i="434"/>
  <c r="L19" i="434"/>
  <c r="X19" i="434" s="1"/>
  <c r="H19" i="434"/>
  <c r="H16" i="434"/>
  <c r="H28" i="434"/>
  <c r="H25" i="434"/>
  <c r="L28" i="432"/>
  <c r="AA28" i="432" s="1"/>
  <c r="L25" i="432"/>
  <c r="AA25" i="432" s="1"/>
  <c r="L22" i="432"/>
  <c r="AA22" i="432" s="1"/>
  <c r="L19" i="432"/>
  <c r="AA19" i="432" s="1"/>
  <c r="L16" i="432"/>
  <c r="AA16" i="432" s="1"/>
  <c r="H27" i="432"/>
  <c r="H26" i="432"/>
  <c r="H24" i="432"/>
  <c r="Y24" i="432" s="1"/>
  <c r="H23" i="432"/>
  <c r="H21" i="432"/>
  <c r="Y21" i="432" s="1"/>
  <c r="H20" i="432"/>
  <c r="H18" i="432"/>
  <c r="Y18" i="432" s="1"/>
  <c r="H17" i="432"/>
  <c r="H15" i="432"/>
  <c r="Y15" i="432" s="1"/>
  <c r="V27" i="432" l="1"/>
  <c r="Y27" i="432"/>
  <c r="V23" i="432"/>
  <c r="Y23" i="432"/>
  <c r="I29" i="434"/>
  <c r="I31" i="434" s="1"/>
  <c r="I34" i="434" s="1"/>
  <c r="I35" i="434" s="1"/>
  <c r="S23" i="432"/>
  <c r="S18" i="432"/>
  <c r="V18" i="432"/>
  <c r="S24" i="432"/>
  <c r="V24" i="432"/>
  <c r="AB14" i="432"/>
  <c r="V15" i="432"/>
  <c r="S21" i="432"/>
  <c r="I22" i="432"/>
  <c r="V21" i="432"/>
  <c r="S27" i="432"/>
  <c r="I28" i="432"/>
  <c r="I19" i="432"/>
  <c r="S15" i="432"/>
  <c r="O30" i="432"/>
  <c r="O31" i="432" s="1"/>
  <c r="X40" i="432" s="1"/>
  <c r="C29" i="674" s="1"/>
  <c r="P16" i="434"/>
  <c r="V16" i="434"/>
  <c r="S16" i="434"/>
  <c r="P25" i="434"/>
  <c r="V25" i="434"/>
  <c r="S25" i="434"/>
  <c r="P19" i="434"/>
  <c r="V19" i="434"/>
  <c r="S19" i="434"/>
  <c r="P14" i="432"/>
  <c r="S14" i="432"/>
  <c r="P28" i="434"/>
  <c r="V28" i="434"/>
  <c r="S28" i="434"/>
  <c r="P22" i="434"/>
  <c r="V22" i="434"/>
  <c r="S22" i="434"/>
  <c r="M18" i="432"/>
  <c r="P18" i="432"/>
  <c r="M24" i="432"/>
  <c r="P24" i="432"/>
  <c r="M19" i="434"/>
  <c r="Y19" i="434"/>
  <c r="M25" i="434"/>
  <c r="Y25" i="434"/>
  <c r="L29" i="434"/>
  <c r="M16" i="434"/>
  <c r="Y16" i="434"/>
  <c r="M21" i="432"/>
  <c r="P21" i="432"/>
  <c r="M27" i="432"/>
  <c r="P27" i="432"/>
  <c r="M15" i="432"/>
  <c r="P15" i="432"/>
  <c r="M23" i="432"/>
  <c r="P23" i="432"/>
  <c r="M28" i="434"/>
  <c r="M22" i="434"/>
  <c r="L30" i="432"/>
  <c r="H29" i="434"/>
  <c r="H41" i="261" s="1"/>
  <c r="G9" i="675" s="1"/>
  <c r="Y22" i="434"/>
  <c r="M14" i="432"/>
  <c r="X29" i="434"/>
  <c r="Y28" i="434"/>
  <c r="AB23" i="432"/>
  <c r="AB15" i="432"/>
  <c r="AB18" i="432"/>
  <c r="AB21" i="432"/>
  <c r="AB24" i="432"/>
  <c r="AB27" i="432"/>
  <c r="L29" i="432"/>
  <c r="H25" i="432"/>
  <c r="H16" i="432"/>
  <c r="Y16" i="432" s="1"/>
  <c r="H22" i="432"/>
  <c r="H28" i="432"/>
  <c r="Y28" i="432" s="1"/>
  <c r="H19" i="432"/>
  <c r="V25" i="432" l="1"/>
  <c r="Y25" i="432"/>
  <c r="V19" i="432"/>
  <c r="Y19" i="432"/>
  <c r="V22" i="432"/>
  <c r="Y22" i="432"/>
  <c r="U40" i="432"/>
  <c r="AA30" i="432"/>
  <c r="S28" i="432"/>
  <c r="V28" i="432"/>
  <c r="I16" i="432"/>
  <c r="I25" i="432"/>
  <c r="S16" i="432"/>
  <c r="V16" i="432"/>
  <c r="R40" i="432"/>
  <c r="M28" i="432"/>
  <c r="M16" i="432"/>
  <c r="P25" i="432"/>
  <c r="S25" i="432"/>
  <c r="U38" i="434"/>
  <c r="C28" i="675" s="1"/>
  <c r="C34" i="675" s="1"/>
  <c r="R38" i="434"/>
  <c r="R42" i="434" s="1"/>
  <c r="P22" i="432"/>
  <c r="S22" i="432"/>
  <c r="P19" i="432"/>
  <c r="S19" i="432"/>
  <c r="V29" i="434"/>
  <c r="O41" i="261" s="1"/>
  <c r="S29" i="434"/>
  <c r="AB22" i="432"/>
  <c r="AB28" i="432"/>
  <c r="P28" i="432"/>
  <c r="M22" i="432"/>
  <c r="O38" i="434"/>
  <c r="M29" i="434"/>
  <c r="O40" i="432"/>
  <c r="O34" i="432"/>
  <c r="H30" i="432"/>
  <c r="I40" i="261" s="1"/>
  <c r="P16" i="432"/>
  <c r="P29" i="434"/>
  <c r="M25" i="432"/>
  <c r="AB19" i="432"/>
  <c r="M19" i="432"/>
  <c r="H31" i="434"/>
  <c r="K41" i="261" s="1"/>
  <c r="AB25" i="432"/>
  <c r="X31" i="434"/>
  <c r="X33" i="434" s="1"/>
  <c r="X34" i="434" s="1"/>
  <c r="X35" i="434" s="1"/>
  <c r="Y29" i="434"/>
  <c r="H29" i="432"/>
  <c r="AB16" i="432"/>
  <c r="L31" i="434"/>
  <c r="L38" i="434"/>
  <c r="AA29" i="432"/>
  <c r="L20" i="430"/>
  <c r="U20" i="430" s="1"/>
  <c r="L18" i="430"/>
  <c r="U18" i="430" s="1"/>
  <c r="V18" i="430" s="1"/>
  <c r="L16" i="430"/>
  <c r="U16" i="430" s="1"/>
  <c r="V16" i="430" s="1"/>
  <c r="L14" i="430"/>
  <c r="U14" i="430" s="1"/>
  <c r="V14" i="430" s="1"/>
  <c r="H20" i="430"/>
  <c r="H18" i="430"/>
  <c r="H16" i="430"/>
  <c r="H14" i="430"/>
  <c r="P31" i="432" l="1"/>
  <c r="V40" i="432" s="1"/>
  <c r="H40" i="261"/>
  <c r="G9" i="674" s="1"/>
  <c r="I30" i="432"/>
  <c r="I29" i="432"/>
  <c r="I31" i="432" s="1"/>
  <c r="I34" i="432" s="1"/>
  <c r="I35" i="432" s="1"/>
  <c r="S40" i="434"/>
  <c r="V40" i="434"/>
  <c r="E30" i="675" s="1"/>
  <c r="V41" i="434"/>
  <c r="E31" i="675" s="1"/>
  <c r="V39" i="434"/>
  <c r="E29" i="675" s="1"/>
  <c r="S39" i="434"/>
  <c r="P38" i="434"/>
  <c r="V38" i="434"/>
  <c r="E28" i="675" s="1"/>
  <c r="S38" i="434"/>
  <c r="U42" i="434"/>
  <c r="L21" i="430"/>
  <c r="U21" i="430" s="1"/>
  <c r="H15" i="430"/>
  <c r="P15" i="430" s="1"/>
  <c r="P14" i="430"/>
  <c r="L15" i="430"/>
  <c r="H17" i="430"/>
  <c r="P17" i="430" s="1"/>
  <c r="P16" i="430"/>
  <c r="H19" i="430"/>
  <c r="P19" i="430" s="1"/>
  <c r="P18" i="430"/>
  <c r="M18" i="430"/>
  <c r="P39" i="434"/>
  <c r="O35" i="432"/>
  <c r="O42" i="434"/>
  <c r="H21" i="430"/>
  <c r="P20" i="430"/>
  <c r="M16" i="430"/>
  <c r="M38" i="434"/>
  <c r="M20" i="430"/>
  <c r="H34" i="434"/>
  <c r="L41" i="261" s="1"/>
  <c r="H31" i="432"/>
  <c r="L42" i="434"/>
  <c r="L34" i="434"/>
  <c r="L31" i="432"/>
  <c r="AA31" i="432"/>
  <c r="AA33" i="432" s="1"/>
  <c r="M14" i="430"/>
  <c r="V20" i="430"/>
  <c r="L17" i="430"/>
  <c r="L19" i="430"/>
  <c r="AB33" i="432" l="1"/>
  <c r="Y40" i="432"/>
  <c r="E29" i="674" s="1"/>
  <c r="E34" i="675"/>
  <c r="Y33" i="432"/>
  <c r="K40" i="261"/>
  <c r="M31" i="432"/>
  <c r="M39" i="432" s="1"/>
  <c r="M43" i="432" s="1"/>
  <c r="X39" i="432"/>
  <c r="V33" i="432"/>
  <c r="S33" i="432"/>
  <c r="R39" i="432"/>
  <c r="U39" i="432"/>
  <c r="U43" i="432" s="1"/>
  <c r="S40" i="432"/>
  <c r="AA34" i="432"/>
  <c r="AA35" i="432" s="1"/>
  <c r="S21" i="430"/>
  <c r="P21" i="430"/>
  <c r="U19" i="430"/>
  <c r="V19" i="430" s="1"/>
  <c r="S19" i="430"/>
  <c r="S15" i="430"/>
  <c r="U15" i="430"/>
  <c r="V15" i="430" s="1"/>
  <c r="V42" i="434"/>
  <c r="U17" i="430"/>
  <c r="V17" i="430" s="1"/>
  <c r="S17" i="430"/>
  <c r="P39" i="432"/>
  <c r="S39" i="432"/>
  <c r="S42" i="434"/>
  <c r="P42" i="434"/>
  <c r="H22" i="430"/>
  <c r="H34" i="261" s="1"/>
  <c r="G9" i="664" s="1"/>
  <c r="L39" i="432"/>
  <c r="L43" i="432" s="1"/>
  <c r="O39" i="432"/>
  <c r="M17" i="430"/>
  <c r="M19" i="430"/>
  <c r="P40" i="432"/>
  <c r="M15" i="430"/>
  <c r="V21" i="430"/>
  <c r="M21" i="430"/>
  <c r="H35" i="434"/>
  <c r="M41" i="261" s="1"/>
  <c r="M42" i="434"/>
  <c r="H34" i="432"/>
  <c r="L40" i="261" s="1"/>
  <c r="L35" i="434"/>
  <c r="L34" i="432"/>
  <c r="L22" i="430"/>
  <c r="R31" i="430" s="1"/>
  <c r="R34" i="430" l="1"/>
  <c r="C28" i="664"/>
  <c r="C34" i="664" s="1"/>
  <c r="C28" i="674"/>
  <c r="C34" i="674" s="1"/>
  <c r="X44" i="432"/>
  <c r="Y43" i="432"/>
  <c r="O40" i="261"/>
  <c r="V41" i="432"/>
  <c r="Y41" i="432"/>
  <c r="E30" i="674" s="1"/>
  <c r="V42" i="432"/>
  <c r="Y42" i="432"/>
  <c r="E31" i="674" s="1"/>
  <c r="V39" i="432"/>
  <c r="Y39" i="432"/>
  <c r="E28" i="674" s="1"/>
  <c r="R43" i="432"/>
  <c r="S41" i="432"/>
  <c r="P22" i="430"/>
  <c r="S32" i="430" s="1"/>
  <c r="E29" i="664" s="1"/>
  <c r="H24" i="430"/>
  <c r="K34" i="261" s="1"/>
  <c r="P43" i="432"/>
  <c r="M22" i="430"/>
  <c r="O31" i="430"/>
  <c r="O34" i="430" s="1"/>
  <c r="O43" i="432"/>
  <c r="H35" i="432"/>
  <c r="M40" i="261" s="1"/>
  <c r="L35" i="432"/>
  <c r="L24" i="430"/>
  <c r="L31" i="430"/>
  <c r="U22" i="430"/>
  <c r="Y44" i="432" l="1"/>
  <c r="E32" i="674"/>
  <c r="E34" i="674" s="1"/>
  <c r="V43" i="432"/>
  <c r="S43" i="432"/>
  <c r="S26" i="430"/>
  <c r="O34" i="261" s="1"/>
  <c r="P32" i="430"/>
  <c r="H27" i="430"/>
  <c r="L34" i="261" s="1"/>
  <c r="P31" i="430"/>
  <c r="S31" i="430"/>
  <c r="E28" i="664" s="1"/>
  <c r="M31" i="430"/>
  <c r="L34" i="430"/>
  <c r="L27" i="430"/>
  <c r="U24" i="430"/>
  <c r="U26" i="430" s="1"/>
  <c r="P34" i="430" l="1"/>
  <c r="S33" i="430"/>
  <c r="U27" i="430"/>
  <c r="U28" i="430" s="1"/>
  <c r="V26" i="430"/>
  <c r="H28" i="430"/>
  <c r="M34" i="261" s="1"/>
  <c r="L28" i="430"/>
  <c r="M34" i="430"/>
  <c r="S34" i="430" l="1"/>
  <c r="E30" i="664"/>
  <c r="E34" i="664" s="1"/>
  <c r="C4" i="90"/>
  <c r="L51" i="400" l="1"/>
  <c r="R51" i="400" s="1"/>
  <c r="L50" i="400"/>
  <c r="R50" i="400" s="1"/>
  <c r="L48" i="400"/>
  <c r="R48" i="400" s="1"/>
  <c r="L47" i="400"/>
  <c r="R47" i="400" s="1"/>
  <c r="L46" i="400"/>
  <c r="R46" i="400" s="1"/>
  <c r="L44" i="400"/>
  <c r="R44" i="400" s="1"/>
  <c r="L43" i="400"/>
  <c r="R43" i="400" s="1"/>
  <c r="L41" i="400"/>
  <c r="R41" i="400" s="1"/>
  <c r="L40" i="400"/>
  <c r="R40" i="400" s="1"/>
  <c r="L39" i="400"/>
  <c r="R39" i="400" s="1"/>
  <c r="L37" i="400"/>
  <c r="R37" i="400" s="1"/>
  <c r="L36" i="400"/>
  <c r="R36" i="400" s="1"/>
  <c r="L34" i="400"/>
  <c r="R34" i="400" s="1"/>
  <c r="L33" i="400"/>
  <c r="R33" i="400" s="1"/>
  <c r="L32" i="400"/>
  <c r="R32" i="400" s="1"/>
  <c r="L30" i="400"/>
  <c r="R30" i="400" s="1"/>
  <c r="L29" i="400"/>
  <c r="R29" i="400" s="1"/>
  <c r="L27" i="400"/>
  <c r="R27" i="400" s="1"/>
  <c r="L26" i="400"/>
  <c r="R26" i="400" s="1"/>
  <c r="L25" i="400"/>
  <c r="R25" i="400" s="1"/>
  <c r="L23" i="400"/>
  <c r="R23" i="400" s="1"/>
  <c r="L22" i="400"/>
  <c r="R22" i="400" s="1"/>
  <c r="L20" i="400"/>
  <c r="R20" i="400" s="1"/>
  <c r="L19" i="400"/>
  <c r="R19" i="400" s="1"/>
  <c r="L18" i="400"/>
  <c r="R18" i="400" s="1"/>
  <c r="L16" i="400"/>
  <c r="R16" i="400" s="1"/>
  <c r="L15" i="400"/>
  <c r="R15" i="400" s="1"/>
  <c r="L14" i="400"/>
  <c r="R14" i="400" s="1"/>
  <c r="H51" i="400"/>
  <c r="P51" i="400" s="1"/>
  <c r="H50" i="400"/>
  <c r="H48" i="400"/>
  <c r="P48" i="400" s="1"/>
  <c r="H47" i="400"/>
  <c r="P47" i="400" s="1"/>
  <c r="H46" i="400"/>
  <c r="H44" i="400"/>
  <c r="P44" i="400" s="1"/>
  <c r="H43" i="400"/>
  <c r="H41" i="400"/>
  <c r="P41" i="400" s="1"/>
  <c r="H40" i="400"/>
  <c r="P40" i="400" s="1"/>
  <c r="H39" i="400"/>
  <c r="H37" i="400"/>
  <c r="P37" i="400" s="1"/>
  <c r="H36" i="400"/>
  <c r="H34" i="400"/>
  <c r="P34" i="400" s="1"/>
  <c r="H33" i="400"/>
  <c r="P33" i="400" s="1"/>
  <c r="H32" i="400"/>
  <c r="H30" i="400"/>
  <c r="P30" i="400" s="1"/>
  <c r="H29" i="400"/>
  <c r="I31" i="400" s="1"/>
  <c r="H27" i="400"/>
  <c r="P27" i="400" s="1"/>
  <c r="H26" i="400"/>
  <c r="P26" i="400" s="1"/>
  <c r="H25" i="400"/>
  <c r="H23" i="400"/>
  <c r="P23" i="400" s="1"/>
  <c r="H22" i="400"/>
  <c r="H20" i="400"/>
  <c r="P20" i="400" s="1"/>
  <c r="H19" i="400"/>
  <c r="P19" i="400" s="1"/>
  <c r="H18" i="400"/>
  <c r="H16" i="400"/>
  <c r="P16" i="400" s="1"/>
  <c r="H15" i="400"/>
  <c r="P15" i="400" s="1"/>
  <c r="H14" i="400"/>
  <c r="I38" i="400" l="1"/>
  <c r="I45" i="400"/>
  <c r="I24" i="400"/>
  <c r="I52" i="400"/>
  <c r="I21" i="400"/>
  <c r="I28" i="400"/>
  <c r="I35" i="400"/>
  <c r="I17" i="400"/>
  <c r="H52" i="400"/>
  <c r="P52" i="400" s="1"/>
  <c r="H45" i="400"/>
  <c r="P45" i="400" s="1"/>
  <c r="H42" i="400"/>
  <c r="P42" i="400" s="1"/>
  <c r="M15" i="400"/>
  <c r="S20" i="400"/>
  <c r="S48" i="400"/>
  <c r="S15" i="400"/>
  <c r="M16" i="400"/>
  <c r="S44" i="400"/>
  <c r="H21" i="400"/>
  <c r="P21" i="400" s="1"/>
  <c r="S16" i="400"/>
  <c r="H38" i="400"/>
  <c r="P38" i="400" s="1"/>
  <c r="M20" i="400"/>
  <c r="S19" i="400"/>
  <c r="M19" i="400"/>
  <c r="S47" i="400"/>
  <c r="M47" i="400"/>
  <c r="M48" i="400"/>
  <c r="S51" i="400"/>
  <c r="M51" i="400"/>
  <c r="L52" i="400"/>
  <c r="S40" i="400"/>
  <c r="M40" i="400"/>
  <c r="S41" i="400"/>
  <c r="M41" i="400"/>
  <c r="L45" i="400"/>
  <c r="M44" i="400"/>
  <c r="M33" i="400"/>
  <c r="S33" i="400"/>
  <c r="L38" i="400"/>
  <c r="M37" i="400"/>
  <c r="S37" i="400"/>
  <c r="S34" i="400"/>
  <c r="M34" i="400"/>
  <c r="M30" i="400"/>
  <c r="M26" i="400"/>
  <c r="S26" i="400"/>
  <c r="L28" i="400"/>
  <c r="S27" i="400"/>
  <c r="M27" i="400"/>
  <c r="S23" i="400"/>
  <c r="M23" i="400"/>
  <c r="L24" i="400"/>
  <c r="L42" i="400"/>
  <c r="L17" i="400"/>
  <c r="L49" i="400"/>
  <c r="S30" i="400"/>
  <c r="L31" i="400"/>
  <c r="L35" i="400"/>
  <c r="L21" i="400"/>
  <c r="H24" i="400"/>
  <c r="P24" i="400" s="1"/>
  <c r="H17" i="400"/>
  <c r="H31" i="400"/>
  <c r="P31" i="400" s="1"/>
  <c r="H28" i="400"/>
  <c r="P28" i="400" s="1"/>
  <c r="H35" i="400"/>
  <c r="P35" i="400" s="1"/>
  <c r="H49" i="400"/>
  <c r="P49" i="400" s="1"/>
  <c r="L22" i="399"/>
  <c r="X22" i="399" s="1"/>
  <c r="L21" i="399"/>
  <c r="X21" i="399" s="1"/>
  <c r="L20" i="399"/>
  <c r="X20" i="399" s="1"/>
  <c r="L18" i="399"/>
  <c r="X18" i="399" s="1"/>
  <c r="L16" i="399"/>
  <c r="X16" i="399" s="1"/>
  <c r="L14" i="399"/>
  <c r="X14" i="399" s="1"/>
  <c r="H22" i="399"/>
  <c r="H21" i="399"/>
  <c r="S21" i="399" s="1"/>
  <c r="H20" i="399"/>
  <c r="H18" i="399"/>
  <c r="H16" i="399"/>
  <c r="H14" i="399"/>
  <c r="I53" i="400" l="1"/>
  <c r="I55" i="400" s="1"/>
  <c r="I58" i="400" s="1"/>
  <c r="I59" i="400" s="1"/>
  <c r="I17" i="399"/>
  <c r="V17" i="399" s="1"/>
  <c r="S16" i="399"/>
  <c r="I19" i="399"/>
  <c r="V19" i="399" s="1"/>
  <c r="S18" i="399"/>
  <c r="S20" i="399"/>
  <c r="I15" i="399"/>
  <c r="V15" i="399" s="1"/>
  <c r="S14" i="399"/>
  <c r="P21" i="399"/>
  <c r="Y16" i="399"/>
  <c r="H15" i="399"/>
  <c r="P14" i="399"/>
  <c r="H17" i="399"/>
  <c r="P16" i="399"/>
  <c r="Y20" i="399"/>
  <c r="M35" i="400"/>
  <c r="R35" i="400"/>
  <c r="S35" i="400" s="1"/>
  <c r="R17" i="400"/>
  <c r="S17" i="400" s="1"/>
  <c r="M17" i="400"/>
  <c r="R28" i="400"/>
  <c r="S28" i="400" s="1"/>
  <c r="M28" i="400"/>
  <c r="R38" i="400"/>
  <c r="S38" i="400" s="1"/>
  <c r="M38" i="400"/>
  <c r="M45" i="400"/>
  <c r="R45" i="400"/>
  <c r="S45" i="400" s="1"/>
  <c r="H19" i="399"/>
  <c r="P18" i="399"/>
  <c r="M14" i="399"/>
  <c r="Y14" i="399"/>
  <c r="Y21" i="399"/>
  <c r="R31" i="400"/>
  <c r="S31" i="400" s="1"/>
  <c r="M31" i="400"/>
  <c r="R42" i="400"/>
  <c r="S42" i="400" s="1"/>
  <c r="M42" i="400"/>
  <c r="R52" i="400"/>
  <c r="S52" i="400" s="1"/>
  <c r="M52" i="400"/>
  <c r="M20" i="399"/>
  <c r="P20" i="399"/>
  <c r="Y18" i="399"/>
  <c r="H53" i="400"/>
  <c r="H47" i="261" s="1"/>
  <c r="G9" i="694" s="1"/>
  <c r="P17" i="400"/>
  <c r="M21" i="400"/>
  <c r="R21" i="400"/>
  <c r="S21" i="400" s="1"/>
  <c r="M49" i="400"/>
  <c r="R49" i="400"/>
  <c r="S49" i="400" s="1"/>
  <c r="M24" i="400"/>
  <c r="R24" i="400"/>
  <c r="S24" i="400" s="1"/>
  <c r="M21" i="399"/>
  <c r="M18" i="399"/>
  <c r="L19" i="399"/>
  <c r="X19" i="399" s="1"/>
  <c r="M16" i="399"/>
  <c r="L17" i="399"/>
  <c r="X17" i="399" s="1"/>
  <c r="L53" i="400"/>
  <c r="L23" i="399"/>
  <c r="X23" i="399" s="1"/>
  <c r="L15" i="399"/>
  <c r="X15" i="399" s="1"/>
  <c r="H23" i="399"/>
  <c r="S23" i="399" s="1"/>
  <c r="P15" i="399" l="1"/>
  <c r="S15" i="399"/>
  <c r="P19" i="399"/>
  <c r="S19" i="399"/>
  <c r="P17" i="399"/>
  <c r="S17" i="399"/>
  <c r="I24" i="399"/>
  <c r="I26" i="399" s="1"/>
  <c r="P53" i="400"/>
  <c r="O47" i="261" s="1"/>
  <c r="Y19" i="399"/>
  <c r="M19" i="399"/>
  <c r="H24" i="399"/>
  <c r="H26" i="399" s="1"/>
  <c r="P23" i="399"/>
  <c r="Y17" i="399"/>
  <c r="M17" i="399"/>
  <c r="M15" i="399"/>
  <c r="Y23" i="399"/>
  <c r="M23" i="399"/>
  <c r="O63" i="400"/>
  <c r="C28" i="694" s="1"/>
  <c r="C34" i="694" s="1"/>
  <c r="M53" i="400"/>
  <c r="P63" i="400" s="1"/>
  <c r="E28" i="694" s="1"/>
  <c r="H55" i="400"/>
  <c r="K47" i="261" s="1"/>
  <c r="L55" i="400"/>
  <c r="L63" i="400"/>
  <c r="R53" i="400"/>
  <c r="L24" i="399"/>
  <c r="U34" i="399" s="1"/>
  <c r="L32" i="398"/>
  <c r="AA32" i="398" s="1"/>
  <c r="L30" i="398"/>
  <c r="AA30" i="398" s="1"/>
  <c r="L28" i="398"/>
  <c r="AA28" i="398" s="1"/>
  <c r="L26" i="398"/>
  <c r="AA26" i="398" s="1"/>
  <c r="L24" i="398"/>
  <c r="AA24" i="398" s="1"/>
  <c r="L22" i="398"/>
  <c r="AA22" i="398" s="1"/>
  <c r="L20" i="398"/>
  <c r="AA20" i="398" s="1"/>
  <c r="L18" i="398"/>
  <c r="AA18" i="398" s="1"/>
  <c r="L16" i="398"/>
  <c r="AA16" i="398" s="1"/>
  <c r="L14" i="398"/>
  <c r="AA14" i="398" s="1"/>
  <c r="H32" i="398"/>
  <c r="H30" i="398"/>
  <c r="H28" i="398"/>
  <c r="H26" i="398"/>
  <c r="H24" i="398"/>
  <c r="H22" i="398"/>
  <c r="H20" i="398"/>
  <c r="H18" i="398"/>
  <c r="H16" i="398"/>
  <c r="H14" i="398"/>
  <c r="C28" i="690" l="1"/>
  <c r="C34" i="690" s="1"/>
  <c r="U38" i="399"/>
  <c r="S28" i="399"/>
  <c r="V28" i="399"/>
  <c r="O34" i="399"/>
  <c r="O37" i="399" s="1"/>
  <c r="R34" i="399"/>
  <c r="R37" i="399" s="1"/>
  <c r="I29" i="399"/>
  <c r="I30" i="399" s="1"/>
  <c r="I21" i="398"/>
  <c r="Y21" i="398" s="1"/>
  <c r="I23" i="398"/>
  <c r="Y23" i="398" s="1"/>
  <c r="I31" i="398"/>
  <c r="Y31" i="398" s="1"/>
  <c r="I17" i="398"/>
  <c r="Y17" i="398" s="1"/>
  <c r="I25" i="398"/>
  <c r="Y25" i="398" s="1"/>
  <c r="I33" i="398"/>
  <c r="Y33" i="398" s="1"/>
  <c r="I19" i="398"/>
  <c r="Y19" i="398" s="1"/>
  <c r="I27" i="398"/>
  <c r="Y27" i="398" s="1"/>
  <c r="K45" i="261"/>
  <c r="P28" i="399"/>
  <c r="L17" i="398"/>
  <c r="AA17" i="398" s="1"/>
  <c r="L33" i="398"/>
  <c r="AA33" i="398" s="1"/>
  <c r="L25" i="398"/>
  <c r="AA25" i="398" s="1"/>
  <c r="V18" i="398"/>
  <c r="S18" i="398"/>
  <c r="V26" i="398"/>
  <c r="S26" i="398"/>
  <c r="V20" i="398"/>
  <c r="S20" i="398"/>
  <c r="V22" i="398"/>
  <c r="S22" i="398"/>
  <c r="V30" i="398"/>
  <c r="S30" i="398"/>
  <c r="V28" i="398"/>
  <c r="S28" i="398"/>
  <c r="L21" i="398"/>
  <c r="AA21" i="398" s="1"/>
  <c r="P14" i="398"/>
  <c r="V14" i="398"/>
  <c r="S14" i="398"/>
  <c r="V16" i="398"/>
  <c r="S16" i="398"/>
  <c r="V24" i="398"/>
  <c r="S24" i="398"/>
  <c r="V32" i="398"/>
  <c r="S32" i="398"/>
  <c r="L31" i="398"/>
  <c r="AA31" i="398" s="1"/>
  <c r="H58" i="400"/>
  <c r="L47" i="261" s="1"/>
  <c r="O65" i="400"/>
  <c r="H45" i="261"/>
  <c r="G9" i="690" s="1"/>
  <c r="P64" i="400"/>
  <c r="E29" i="694" s="1"/>
  <c r="E34" i="694" s="1"/>
  <c r="H19" i="398"/>
  <c r="P18" i="398"/>
  <c r="H27" i="398"/>
  <c r="P26" i="398"/>
  <c r="H21" i="398"/>
  <c r="P20" i="398"/>
  <c r="H29" i="398"/>
  <c r="P28" i="398"/>
  <c r="AB16" i="398"/>
  <c r="H23" i="398"/>
  <c r="P22" i="398"/>
  <c r="H31" i="398"/>
  <c r="P30" i="398"/>
  <c r="H15" i="398"/>
  <c r="H17" i="398"/>
  <c r="P16" i="398"/>
  <c r="H25" i="398"/>
  <c r="P24" i="398"/>
  <c r="H33" i="398"/>
  <c r="P32" i="398"/>
  <c r="H35" i="398"/>
  <c r="I43" i="261" s="1"/>
  <c r="L19" i="398"/>
  <c r="AA19" i="398" s="1"/>
  <c r="L27" i="398"/>
  <c r="AA27" i="398" s="1"/>
  <c r="M22" i="398"/>
  <c r="M30" i="398"/>
  <c r="M16" i="398"/>
  <c r="M24" i="398"/>
  <c r="M32" i="398"/>
  <c r="AB24" i="398"/>
  <c r="L23" i="398"/>
  <c r="L29" i="398"/>
  <c r="AA29" i="398" s="1"/>
  <c r="AB29" i="398" s="1"/>
  <c r="M18" i="398"/>
  <c r="M26" i="398"/>
  <c r="L35" i="398"/>
  <c r="AA35" i="398" s="1"/>
  <c r="M20" i="398"/>
  <c r="M28" i="398"/>
  <c r="H29" i="399"/>
  <c r="L45" i="261" s="1"/>
  <c r="L65" i="400"/>
  <c r="M63" i="400"/>
  <c r="R55" i="400"/>
  <c r="R57" i="400" s="1"/>
  <c r="R58" i="400" s="1"/>
  <c r="R59" i="400" s="1"/>
  <c r="S53" i="400"/>
  <c r="L58" i="400"/>
  <c r="L15" i="398"/>
  <c r="AA15" i="398" s="1"/>
  <c r="M14" i="398"/>
  <c r="L26" i="399"/>
  <c r="M24" i="399"/>
  <c r="V34" i="399" s="1"/>
  <c r="E28" i="690" s="1"/>
  <c r="L34" i="399"/>
  <c r="Y15" i="399"/>
  <c r="X24" i="399"/>
  <c r="AB18" i="398"/>
  <c r="AB26" i="398"/>
  <c r="AB32" i="398"/>
  <c r="AB14" i="398"/>
  <c r="AB22" i="398"/>
  <c r="AB20" i="398"/>
  <c r="AB28" i="398"/>
  <c r="V37" i="399" l="1"/>
  <c r="O45" i="261"/>
  <c r="S36" i="399"/>
  <c r="V36" i="399"/>
  <c r="E30" i="690" s="1"/>
  <c r="S35" i="399"/>
  <c r="V35" i="399"/>
  <c r="E29" i="690" s="1"/>
  <c r="P34" i="399"/>
  <c r="S34" i="399"/>
  <c r="S37" i="399" s="1"/>
  <c r="I35" i="398"/>
  <c r="I15" i="398"/>
  <c r="M17" i="398"/>
  <c r="AB25" i="398"/>
  <c r="H59" i="400"/>
  <c r="M47" i="261" s="1"/>
  <c r="AB15" i="398"/>
  <c r="AB31" i="398"/>
  <c r="P33" i="398"/>
  <c r="V33" i="398"/>
  <c r="S33" i="398"/>
  <c r="M33" i="398"/>
  <c r="P15" i="398"/>
  <c r="V15" i="398"/>
  <c r="S15" i="398"/>
  <c r="H34" i="398"/>
  <c r="AB27" i="398"/>
  <c r="P25" i="398"/>
  <c r="V25" i="398"/>
  <c r="S25" i="398"/>
  <c r="P21" i="398"/>
  <c r="V21" i="398"/>
  <c r="S21" i="398"/>
  <c r="P19" i="398"/>
  <c r="V19" i="398"/>
  <c r="S19" i="398"/>
  <c r="P35" i="399"/>
  <c r="AB21" i="398"/>
  <c r="P17" i="398"/>
  <c r="V17" i="398"/>
  <c r="S17" i="398"/>
  <c r="P29" i="398"/>
  <c r="V29" i="398"/>
  <c r="S29" i="398"/>
  <c r="P27" i="398"/>
  <c r="V27" i="398"/>
  <c r="S27" i="398"/>
  <c r="L34" i="398"/>
  <c r="L36" i="398" s="1"/>
  <c r="X47" i="398" s="1"/>
  <c r="AA23" i="398"/>
  <c r="AB23" i="398" s="1"/>
  <c r="P23" i="398"/>
  <c r="V23" i="398"/>
  <c r="S23" i="398"/>
  <c r="AB17" i="398"/>
  <c r="AB19" i="398"/>
  <c r="P31" i="398"/>
  <c r="V31" i="398"/>
  <c r="S31" i="398"/>
  <c r="P65" i="400"/>
  <c r="AB33" i="398"/>
  <c r="M15" i="398"/>
  <c r="M31" i="398"/>
  <c r="M29" i="398"/>
  <c r="M27" i="398"/>
  <c r="M21" i="398"/>
  <c r="M19" i="398"/>
  <c r="M25" i="398"/>
  <c r="M23" i="398"/>
  <c r="H30" i="399"/>
  <c r="M45" i="261" s="1"/>
  <c r="M65" i="400"/>
  <c r="L37" i="399"/>
  <c r="L59" i="400"/>
  <c r="M34" i="399"/>
  <c r="L29" i="399"/>
  <c r="X26" i="399"/>
  <c r="X28" i="399" s="1"/>
  <c r="AB30" i="398"/>
  <c r="H36" i="398" l="1"/>
  <c r="M34" i="398" s="1"/>
  <c r="H43" i="261"/>
  <c r="G9" i="687" s="1"/>
  <c r="X52" i="398"/>
  <c r="C28" i="687"/>
  <c r="C34" i="687" s="1"/>
  <c r="I34" i="398"/>
  <c r="I36" i="398" s="1"/>
  <c r="I39" i="398" s="1"/>
  <c r="I40" i="398" s="1"/>
  <c r="Y15" i="398"/>
  <c r="V38" i="399"/>
  <c r="E31" i="690"/>
  <c r="E34" i="690" s="1"/>
  <c r="U47" i="398"/>
  <c r="U52" i="398" s="1"/>
  <c r="X29" i="399"/>
  <c r="X30" i="399" s="1"/>
  <c r="Y28" i="399"/>
  <c r="AA34" i="398"/>
  <c r="AA36" i="398" s="1"/>
  <c r="AA38" i="398" s="1"/>
  <c r="P37" i="399"/>
  <c r="R47" i="398"/>
  <c r="R52" i="398" s="1"/>
  <c r="L47" i="398"/>
  <c r="L52" i="398" s="1"/>
  <c r="O47" i="398"/>
  <c r="M37" i="399"/>
  <c r="L30" i="399"/>
  <c r="L39" i="398"/>
  <c r="AB38" i="398" l="1"/>
  <c r="P34" i="398"/>
  <c r="Y48" i="398" s="1"/>
  <c r="E29" i="687" s="1"/>
  <c r="H39" i="398"/>
  <c r="L43" i="261" s="1"/>
  <c r="S34" i="398"/>
  <c r="Y49" i="398" s="1"/>
  <c r="E30" i="687" s="1"/>
  <c r="V38" i="398"/>
  <c r="Y50" i="398" s="1"/>
  <c r="E31" i="687" s="1"/>
  <c r="Y38" i="398"/>
  <c r="K43" i="261"/>
  <c r="M47" i="398"/>
  <c r="M52" i="398" s="1"/>
  <c r="Y47" i="398"/>
  <c r="AA39" i="398"/>
  <c r="AA40" i="398" s="1"/>
  <c r="V48" i="398"/>
  <c r="S48" i="398"/>
  <c r="P47" i="398"/>
  <c r="V47" i="398"/>
  <c r="S47" i="398"/>
  <c r="V50" i="398"/>
  <c r="O52" i="398"/>
  <c r="L40" i="398"/>
  <c r="H40" i="398" l="1"/>
  <c r="M43" i="261" s="1"/>
  <c r="P48" i="398"/>
  <c r="S49" i="398"/>
  <c r="V49" i="398"/>
  <c r="V52" i="398" s="1"/>
  <c r="E28" i="687"/>
  <c r="Y51" i="398"/>
  <c r="E32" i="687" s="1"/>
  <c r="O43" i="261"/>
  <c r="P52" i="398"/>
  <c r="S52" i="398"/>
  <c r="E34" i="687" l="1"/>
  <c r="Y52" i="398"/>
  <c r="L18" i="393"/>
  <c r="U18" i="393" s="1"/>
  <c r="L39" i="393"/>
  <c r="U39" i="393" s="1"/>
  <c r="L38" i="393"/>
  <c r="U38" i="393" s="1"/>
  <c r="L36" i="393"/>
  <c r="U36" i="393" s="1"/>
  <c r="L35" i="393"/>
  <c r="U35" i="393" s="1"/>
  <c r="L33" i="393"/>
  <c r="U33" i="393" s="1"/>
  <c r="L32" i="393"/>
  <c r="U32" i="393" s="1"/>
  <c r="L30" i="393"/>
  <c r="U30" i="393" s="1"/>
  <c r="L29" i="393"/>
  <c r="U29" i="393" s="1"/>
  <c r="L27" i="393"/>
  <c r="U27" i="393" s="1"/>
  <c r="L26" i="393"/>
  <c r="U26" i="393" s="1"/>
  <c r="L24" i="393"/>
  <c r="U24" i="393" s="1"/>
  <c r="L23" i="393"/>
  <c r="U23" i="393" s="1"/>
  <c r="L21" i="393"/>
  <c r="U21" i="393" s="1"/>
  <c r="L20" i="393"/>
  <c r="U20" i="393" s="1"/>
  <c r="L17" i="393"/>
  <c r="U17" i="393" s="1"/>
  <c r="L15" i="393"/>
  <c r="U15" i="393" s="1"/>
  <c r="L14" i="393"/>
  <c r="U14" i="393" s="1"/>
  <c r="H39" i="393"/>
  <c r="S39" i="393" s="1"/>
  <c r="H38" i="393"/>
  <c r="S38" i="393" s="1"/>
  <c r="H36" i="393"/>
  <c r="S36" i="393" s="1"/>
  <c r="H35" i="393"/>
  <c r="S35" i="393" s="1"/>
  <c r="H33" i="393"/>
  <c r="S33" i="393" s="1"/>
  <c r="H32" i="393"/>
  <c r="S32" i="393" s="1"/>
  <c r="H30" i="393"/>
  <c r="S30" i="393" s="1"/>
  <c r="H29" i="393"/>
  <c r="S29" i="393" s="1"/>
  <c r="H27" i="393"/>
  <c r="S27" i="393" s="1"/>
  <c r="H26" i="393"/>
  <c r="S26" i="393" s="1"/>
  <c r="H24" i="393"/>
  <c r="S24" i="393" s="1"/>
  <c r="H23" i="393"/>
  <c r="S23" i="393" s="1"/>
  <c r="H21" i="393"/>
  <c r="S21" i="393" s="1"/>
  <c r="H20" i="393"/>
  <c r="S20" i="393" s="1"/>
  <c r="H18" i="393"/>
  <c r="S18" i="393" s="1"/>
  <c r="H17" i="393"/>
  <c r="S17" i="393" s="1"/>
  <c r="H15" i="393"/>
  <c r="S15" i="393" s="1"/>
  <c r="H14" i="393"/>
  <c r="S14" i="393" s="1"/>
  <c r="P26" i="393" l="1"/>
  <c r="P38" i="393"/>
  <c r="P15" i="393"/>
  <c r="P27" i="393"/>
  <c r="P39" i="393"/>
  <c r="P23" i="393"/>
  <c r="P29" i="393"/>
  <c r="P35" i="393"/>
  <c r="P14" i="393"/>
  <c r="P20" i="393"/>
  <c r="P32" i="393"/>
  <c r="P21" i="393"/>
  <c r="P33" i="393"/>
  <c r="P17" i="393"/>
  <c r="P18" i="393"/>
  <c r="P24" i="393"/>
  <c r="P30" i="393"/>
  <c r="P36" i="393"/>
  <c r="V20" i="393"/>
  <c r="L28" i="393"/>
  <c r="U28" i="393" s="1"/>
  <c r="M18" i="393"/>
  <c r="M14" i="393"/>
  <c r="V21" i="393"/>
  <c r="H22" i="393"/>
  <c r="H28" i="393"/>
  <c r="H34" i="393"/>
  <c r="H40" i="393"/>
  <c r="V15" i="393"/>
  <c r="V23" i="393"/>
  <c r="V29" i="393"/>
  <c r="V35" i="393"/>
  <c r="V17" i="393"/>
  <c r="M24" i="393"/>
  <c r="V38" i="393"/>
  <c r="M39" i="393"/>
  <c r="M36" i="393"/>
  <c r="V32" i="393"/>
  <c r="V26" i="393"/>
  <c r="V27" i="393"/>
  <c r="V33" i="393"/>
  <c r="M30" i="393"/>
  <c r="M21" i="393"/>
  <c r="M33" i="393"/>
  <c r="L40" i="393"/>
  <c r="U40" i="393" s="1"/>
  <c r="M15" i="393"/>
  <c r="M29" i="393"/>
  <c r="L16" i="393"/>
  <c r="U16" i="393" s="1"/>
  <c r="L31" i="393"/>
  <c r="U31" i="393" s="1"/>
  <c r="V24" i="393"/>
  <c r="V39" i="393"/>
  <c r="H16" i="393"/>
  <c r="S16" i="393" s="1"/>
  <c r="M17" i="393"/>
  <c r="L22" i="393"/>
  <c r="U22" i="393" s="1"/>
  <c r="L34" i="393"/>
  <c r="U34" i="393" s="1"/>
  <c r="V14" i="393"/>
  <c r="M27" i="393"/>
  <c r="M23" i="393"/>
  <c r="M35" i="393"/>
  <c r="L19" i="393"/>
  <c r="U19" i="393" s="1"/>
  <c r="V18" i="393"/>
  <c r="V36" i="393"/>
  <c r="H19" i="393"/>
  <c r="H25" i="393"/>
  <c r="M20" i="393"/>
  <c r="M26" i="393"/>
  <c r="M32" i="393"/>
  <c r="M38" i="393"/>
  <c r="L25" i="393"/>
  <c r="U25" i="393" s="1"/>
  <c r="L37" i="393"/>
  <c r="U37" i="393" s="1"/>
  <c r="H31" i="393"/>
  <c r="H37" i="393"/>
  <c r="P22" i="393" l="1"/>
  <c r="S22" i="393"/>
  <c r="P25" i="393"/>
  <c r="S25" i="393"/>
  <c r="P40" i="393"/>
  <c r="S40" i="393"/>
  <c r="P34" i="393"/>
  <c r="S34" i="393"/>
  <c r="P37" i="393"/>
  <c r="S37" i="393"/>
  <c r="P31" i="393"/>
  <c r="S31" i="393"/>
  <c r="P19" i="393"/>
  <c r="S19" i="393"/>
  <c r="P28" i="393"/>
  <c r="S28" i="393"/>
  <c r="M37" i="393"/>
  <c r="M34" i="393"/>
  <c r="M22" i="393"/>
  <c r="M25" i="393"/>
  <c r="M31" i="393"/>
  <c r="M40" i="393"/>
  <c r="M28" i="393"/>
  <c r="M19" i="393"/>
  <c r="H41" i="393"/>
  <c r="P16" i="393"/>
  <c r="M16" i="393"/>
  <c r="L41" i="393"/>
  <c r="V30" i="393"/>
  <c r="V19" i="393"/>
  <c r="V40" i="393"/>
  <c r="V37" i="393"/>
  <c r="V34" i="393"/>
  <c r="V16" i="393"/>
  <c r="V31" i="393"/>
  <c r="V25" i="393"/>
  <c r="V28" i="393"/>
  <c r="V22" i="393"/>
  <c r="H43" i="393" l="1"/>
  <c r="K37" i="261" s="1"/>
  <c r="H37" i="261"/>
  <c r="G9" i="669" s="1"/>
  <c r="O51" i="393"/>
  <c r="O54" i="393" s="1"/>
  <c r="R51" i="393"/>
  <c r="C28" i="669" s="1"/>
  <c r="C34" i="669" s="1"/>
  <c r="S41" i="393"/>
  <c r="P41" i="393"/>
  <c r="S52" i="393" s="1"/>
  <c r="E29" i="669" s="1"/>
  <c r="M41" i="393"/>
  <c r="M51" i="393" s="1"/>
  <c r="L43" i="393"/>
  <c r="L51" i="393"/>
  <c r="U41" i="393"/>
  <c r="U43" i="393" s="1"/>
  <c r="U45" i="393" s="1"/>
  <c r="U46" i="393" s="1"/>
  <c r="U47" i="393" s="1"/>
  <c r="H46" i="393" l="1"/>
  <c r="L37" i="261" s="1"/>
  <c r="S53" i="393"/>
  <c r="E30" i="669" s="1"/>
  <c r="O37" i="261"/>
  <c r="H47" i="393"/>
  <c r="M37" i="261" s="1"/>
  <c r="R54" i="393"/>
  <c r="S51" i="393"/>
  <c r="E28" i="669" s="1"/>
  <c r="E34" i="669" s="1"/>
  <c r="P51" i="393"/>
  <c r="P52" i="393"/>
  <c r="V41" i="393"/>
  <c r="M54" i="393"/>
  <c r="L46" i="393"/>
  <c r="L47" i="393" s="1"/>
  <c r="L54" i="393"/>
  <c r="P54" i="393" l="1"/>
  <c r="S54" i="393"/>
  <c r="O33" i="259" l="1"/>
  <c r="O32" i="259"/>
  <c r="O30" i="259"/>
  <c r="O29" i="259"/>
  <c r="O27" i="259"/>
  <c r="O26" i="259"/>
  <c r="O25" i="259"/>
  <c r="O21" i="259"/>
  <c r="O19" i="259"/>
  <c r="O18" i="259"/>
  <c r="O16" i="259"/>
  <c r="O15" i="259"/>
  <c r="O14" i="259"/>
  <c r="L33" i="259"/>
  <c r="AA33" i="259" s="1"/>
  <c r="L32" i="259"/>
  <c r="AA32" i="259" s="1"/>
  <c r="L30" i="259"/>
  <c r="AA30" i="259" s="1"/>
  <c r="L29" i="259"/>
  <c r="L27" i="259"/>
  <c r="L26" i="259"/>
  <c r="L25" i="259"/>
  <c r="L23" i="259"/>
  <c r="AA23" i="259" s="1"/>
  <c r="L21" i="259"/>
  <c r="L19" i="259"/>
  <c r="AA19" i="259" s="1"/>
  <c r="L18" i="259"/>
  <c r="AA18" i="259" s="1"/>
  <c r="L16" i="259"/>
  <c r="L15" i="259"/>
  <c r="L14" i="259"/>
  <c r="AA16" i="259" l="1"/>
  <c r="AA21" i="259"/>
  <c r="AA25" i="259"/>
  <c r="AA26" i="259"/>
  <c r="AA14" i="259"/>
  <c r="AA15" i="259"/>
  <c r="AA27" i="259"/>
  <c r="AA29" i="259"/>
  <c r="O34" i="259"/>
  <c r="O22" i="259"/>
  <c r="O24" i="259"/>
  <c r="O31" i="259"/>
  <c r="O20" i="259"/>
  <c r="O28" i="259"/>
  <c r="O17" i="259"/>
  <c r="O35" i="259" l="1"/>
  <c r="X47" i="259" s="1"/>
  <c r="C29" i="681" s="1"/>
  <c r="M16" i="303"/>
  <c r="M24" i="303"/>
  <c r="M25" i="303" s="1"/>
  <c r="M22" i="303"/>
  <c r="M23" i="303" s="1"/>
  <c r="M20" i="303"/>
  <c r="M21" i="303" s="1"/>
  <c r="M18" i="303"/>
  <c r="M19" i="303" s="1"/>
  <c r="M14" i="303"/>
  <c r="J24" i="303"/>
  <c r="AE24" i="303" s="1"/>
  <c r="J22" i="303"/>
  <c r="J20" i="303"/>
  <c r="J18" i="303"/>
  <c r="J16" i="303"/>
  <c r="AE16" i="303" s="1"/>
  <c r="J14" i="303"/>
  <c r="AE20" i="303" l="1"/>
  <c r="AE14" i="303"/>
  <c r="AE18" i="303"/>
  <c r="AE22" i="303"/>
  <c r="R47" i="259"/>
  <c r="U47" i="259"/>
  <c r="O47" i="259"/>
  <c r="O37" i="259"/>
  <c r="M17" i="303"/>
  <c r="M15" i="303"/>
  <c r="O16" i="330"/>
  <c r="O14" i="330"/>
  <c r="L16" i="330"/>
  <c r="L14" i="330"/>
  <c r="E322" i="91"/>
  <c r="G322" i="91" s="1"/>
  <c r="E321" i="91"/>
  <c r="H321" i="91" s="1"/>
  <c r="E320" i="91"/>
  <c r="G320" i="91" s="1"/>
  <c r="E319" i="91"/>
  <c r="H319" i="91" s="1"/>
  <c r="E317" i="91"/>
  <c r="H317" i="91" s="1"/>
  <c r="E318" i="91"/>
  <c r="G318" i="91" s="1"/>
  <c r="U16" i="330" l="1"/>
  <c r="U14" i="330"/>
  <c r="O17" i="330"/>
  <c r="O40" i="259"/>
  <c r="M26" i="303"/>
  <c r="AB38" i="303" s="1"/>
  <c r="C29" i="667" s="1"/>
  <c r="O15" i="330"/>
  <c r="U24" i="283"/>
  <c r="U22" i="283"/>
  <c r="U20" i="283"/>
  <c r="U18" i="283"/>
  <c r="U16" i="283"/>
  <c r="U14" i="283"/>
  <c r="R24" i="283"/>
  <c r="R22" i="283"/>
  <c r="R20" i="283"/>
  <c r="R18" i="283"/>
  <c r="R16" i="283"/>
  <c r="R14" i="283"/>
  <c r="O71" i="282"/>
  <c r="O70" i="282"/>
  <c r="O69" i="282"/>
  <c r="O67" i="282"/>
  <c r="O66" i="282"/>
  <c r="O65" i="282"/>
  <c r="O63" i="282"/>
  <c r="O62" i="282"/>
  <c r="O61" i="282"/>
  <c r="O59" i="282"/>
  <c r="O58" i="282"/>
  <c r="O57" i="282"/>
  <c r="O55" i="282"/>
  <c r="O54" i="282"/>
  <c r="O53" i="282"/>
  <c r="O51" i="282"/>
  <c r="O49" i="282"/>
  <c r="O48" i="282"/>
  <c r="O47" i="282"/>
  <c r="O45" i="282"/>
  <c r="O44" i="282"/>
  <c r="O43" i="282"/>
  <c r="O41" i="282"/>
  <c r="O40" i="282"/>
  <c r="O39" i="282"/>
  <c r="O37" i="282"/>
  <c r="O36" i="282"/>
  <c r="O35" i="282"/>
  <c r="O33" i="282"/>
  <c r="O29" i="282"/>
  <c r="O28" i="282"/>
  <c r="O27" i="282"/>
  <c r="O25" i="282"/>
  <c r="O24" i="282"/>
  <c r="O23" i="282"/>
  <c r="O21" i="282"/>
  <c r="O20" i="282"/>
  <c r="O19" i="282"/>
  <c r="O17" i="282"/>
  <c r="O16" i="282"/>
  <c r="O14" i="282"/>
  <c r="V38" i="303" l="1"/>
  <c r="Y38" i="303"/>
  <c r="O18" i="330"/>
  <c r="O20" i="330" s="1"/>
  <c r="O42" i="282"/>
  <c r="U17" i="283"/>
  <c r="U25" i="283"/>
  <c r="M39" i="303"/>
  <c r="O41" i="259"/>
  <c r="U23" i="283"/>
  <c r="U21" i="283"/>
  <c r="U19" i="283"/>
  <c r="M28" i="303"/>
  <c r="U15" i="283"/>
  <c r="R29" i="330" l="1"/>
  <c r="C29" i="663" s="1"/>
  <c r="O29" i="330"/>
  <c r="M31" i="303"/>
  <c r="O23" i="330"/>
  <c r="U26" i="283"/>
  <c r="U23" i="209"/>
  <c r="U22" i="209"/>
  <c r="U20" i="209"/>
  <c r="U19" i="209"/>
  <c r="U18" i="209"/>
  <c r="U16" i="209"/>
  <c r="U15" i="209"/>
  <c r="U14" i="209"/>
  <c r="E188" i="91"/>
  <c r="E187" i="91"/>
  <c r="E186" i="91"/>
  <c r="H186" i="91" s="1"/>
  <c r="E185" i="91"/>
  <c r="E184" i="91"/>
  <c r="E183" i="91"/>
  <c r="E182" i="91"/>
  <c r="E181" i="91"/>
  <c r="E180" i="91"/>
  <c r="E179" i="91"/>
  <c r="X40" i="283" l="1"/>
  <c r="AA40" i="283"/>
  <c r="C31" i="650" s="1"/>
  <c r="M32" i="303"/>
  <c r="O24" i="330"/>
  <c r="U40" i="283"/>
  <c r="U28" i="283"/>
  <c r="U31" i="283" l="1"/>
  <c r="O24" i="266"/>
  <c r="X24" i="266" s="1"/>
  <c r="O23" i="266"/>
  <c r="O21" i="266"/>
  <c r="O20" i="266"/>
  <c r="O18" i="266"/>
  <c r="O17" i="266"/>
  <c r="O15" i="266"/>
  <c r="O14" i="266"/>
  <c r="X22" i="263"/>
  <c r="X23" i="263" s="1"/>
  <c r="X20" i="263"/>
  <c r="X21" i="263" s="1"/>
  <c r="X18" i="263"/>
  <c r="X19" i="263" s="1"/>
  <c r="X16" i="263"/>
  <c r="X17" i="263" s="1"/>
  <c r="X14" i="263"/>
  <c r="X15" i="263" s="1"/>
  <c r="U22" i="263"/>
  <c r="U20" i="263"/>
  <c r="U18" i="263"/>
  <c r="U16" i="263"/>
  <c r="U14" i="263"/>
  <c r="U49" i="187"/>
  <c r="E26" i="91" s="1"/>
  <c r="U47" i="187"/>
  <c r="E25" i="91" s="1"/>
  <c r="U46" i="187"/>
  <c r="E24" i="91" s="1"/>
  <c r="U44" i="187"/>
  <c r="E23" i="91" s="1"/>
  <c r="U43" i="187"/>
  <c r="E22" i="91" s="1"/>
  <c r="U42" i="187"/>
  <c r="E21" i="91" s="1"/>
  <c r="H21" i="91" s="1"/>
  <c r="U40" i="187"/>
  <c r="E20" i="91" s="1"/>
  <c r="U39" i="187"/>
  <c r="E19" i="91" s="1"/>
  <c r="U38" i="187"/>
  <c r="E18" i="91" s="1"/>
  <c r="U36" i="187"/>
  <c r="E17" i="91" s="1"/>
  <c r="U34" i="187"/>
  <c r="E16" i="91" s="1"/>
  <c r="U33" i="187"/>
  <c r="E15" i="91" s="1"/>
  <c r="U31" i="187"/>
  <c r="E14" i="91" s="1"/>
  <c r="U30" i="187"/>
  <c r="E13" i="91" s="1"/>
  <c r="U29" i="187"/>
  <c r="E12" i="91" s="1"/>
  <c r="U27" i="187"/>
  <c r="E11" i="91" s="1"/>
  <c r="U26" i="187"/>
  <c r="E10" i="91" s="1"/>
  <c r="U25" i="187"/>
  <c r="E9" i="91" s="1"/>
  <c r="H9" i="91" s="1"/>
  <c r="U23" i="187"/>
  <c r="E8" i="91" s="1"/>
  <c r="U21" i="187"/>
  <c r="E7" i="91" s="1"/>
  <c r="U20" i="187"/>
  <c r="E6" i="91" s="1"/>
  <c r="U18" i="187"/>
  <c r="E5" i="91" s="1"/>
  <c r="U17" i="187"/>
  <c r="E4" i="91" s="1"/>
  <c r="U15" i="187"/>
  <c r="E3" i="91" s="1"/>
  <c r="U14" i="187"/>
  <c r="E2" i="91" s="1"/>
  <c r="R49" i="187"/>
  <c r="R47" i="187"/>
  <c r="R46" i="187"/>
  <c r="R44" i="187"/>
  <c r="R43" i="187"/>
  <c r="R42" i="187"/>
  <c r="R40" i="187"/>
  <c r="R39" i="187"/>
  <c r="R38" i="187"/>
  <c r="R36" i="187"/>
  <c r="R34" i="187"/>
  <c r="R33" i="187"/>
  <c r="R31" i="187"/>
  <c r="R30" i="187"/>
  <c r="R29" i="187"/>
  <c r="R27" i="187"/>
  <c r="R26" i="187"/>
  <c r="R25" i="187"/>
  <c r="R23" i="187"/>
  <c r="R21" i="187"/>
  <c r="R20" i="187"/>
  <c r="R18" i="187"/>
  <c r="R17" i="187"/>
  <c r="R15" i="187"/>
  <c r="R14" i="187"/>
  <c r="O14" i="187"/>
  <c r="L14" i="187"/>
  <c r="H14" i="187"/>
  <c r="AD14" i="187" l="1"/>
  <c r="AE14" i="187" s="1"/>
  <c r="Y14" i="187"/>
  <c r="S14" i="187"/>
  <c r="U24" i="187"/>
  <c r="U37" i="187"/>
  <c r="U50" i="187"/>
  <c r="U22" i="187"/>
  <c r="U32" i="283"/>
  <c r="X24" i="263"/>
  <c r="AD38" i="263" s="1"/>
  <c r="C32" i="633" s="1"/>
  <c r="V14" i="187"/>
  <c r="U45" i="187"/>
  <c r="U41" i="187"/>
  <c r="U35" i="187"/>
  <c r="U32" i="187"/>
  <c r="U28" i="187"/>
  <c r="U19" i="187"/>
  <c r="U48" i="187"/>
  <c r="U16" i="187"/>
  <c r="X38" i="263" l="1"/>
  <c r="AA38" i="263"/>
  <c r="X26" i="263"/>
  <c r="U51" i="187"/>
  <c r="X64" i="187" l="1"/>
  <c r="AA64" i="187"/>
  <c r="U64" i="187"/>
  <c r="X29" i="263"/>
  <c r="U53" i="187"/>
  <c r="C31" i="317" l="1"/>
  <c r="X30" i="263"/>
  <c r="U56" i="187"/>
  <c r="U57" i="187" l="1"/>
  <c r="L15" i="330" l="1"/>
  <c r="U15" i="330" s="1"/>
  <c r="H16" i="330"/>
  <c r="S16" i="330" s="1"/>
  <c r="H14" i="330"/>
  <c r="S14" i="330" s="1"/>
  <c r="H15" i="330" l="1"/>
  <c r="V15" i="330" s="1"/>
  <c r="M14" i="330"/>
  <c r="P14" i="330"/>
  <c r="V14" i="330"/>
  <c r="H17" i="330"/>
  <c r="M16" i="330"/>
  <c r="P16" i="330"/>
  <c r="V16" i="330"/>
  <c r="L17" i="330"/>
  <c r="U17" i="330" s="1"/>
  <c r="H18" i="330" l="1"/>
  <c r="H33" i="261" s="1"/>
  <c r="G9" i="663" s="1"/>
  <c r="P17" i="330"/>
  <c r="S17" i="330"/>
  <c r="P15" i="330"/>
  <c r="S15" i="330"/>
  <c r="M17" i="330"/>
  <c r="M15" i="330"/>
  <c r="L18" i="330"/>
  <c r="R28" i="330" s="1"/>
  <c r="C28" i="663" s="1"/>
  <c r="C34" i="663" s="1"/>
  <c r="S22" i="330" l="1"/>
  <c r="H20" i="330"/>
  <c r="K33" i="261" s="1"/>
  <c r="P18" i="330"/>
  <c r="S29" i="330" s="1"/>
  <c r="E29" i="663" s="1"/>
  <c r="R31" i="330"/>
  <c r="L28" i="330"/>
  <c r="O28" i="330"/>
  <c r="M18" i="330"/>
  <c r="S28" i="330" s="1"/>
  <c r="E28" i="663" s="1"/>
  <c r="L20" i="330"/>
  <c r="V17" i="330"/>
  <c r="U18" i="330"/>
  <c r="S30" i="330" l="1"/>
  <c r="E30" i="663" s="1"/>
  <c r="E34" i="663" s="1"/>
  <c r="O33" i="261"/>
  <c r="H23" i="330"/>
  <c r="L33" i="261" s="1"/>
  <c r="P29" i="330"/>
  <c r="S31" i="330"/>
  <c r="O31" i="330"/>
  <c r="P28" i="330"/>
  <c r="M28" i="330"/>
  <c r="L31" i="330"/>
  <c r="U20" i="330"/>
  <c r="U22" i="330" s="1"/>
  <c r="L23" i="330"/>
  <c r="G14" i="303"/>
  <c r="AC14" i="303" s="1"/>
  <c r="G16" i="303"/>
  <c r="AC16" i="303" s="1"/>
  <c r="G18" i="303"/>
  <c r="AC18" i="303" s="1"/>
  <c r="G20" i="303"/>
  <c r="AC20" i="303" s="1"/>
  <c r="G22" i="303"/>
  <c r="AC22" i="303" s="1"/>
  <c r="G24" i="303"/>
  <c r="AC24" i="303" s="1"/>
  <c r="R25" i="283"/>
  <c r="R23" i="283"/>
  <c r="R19" i="283"/>
  <c r="L71" i="282"/>
  <c r="AA71" i="282" s="1"/>
  <c r="L67" i="282"/>
  <c r="AA67" i="282" s="1"/>
  <c r="L63" i="282"/>
  <c r="AA63" i="282" s="1"/>
  <c r="L59" i="282"/>
  <c r="AA59" i="282" s="1"/>
  <c r="L55" i="282"/>
  <c r="AA55" i="282" s="1"/>
  <c r="L51" i="282"/>
  <c r="L49" i="282"/>
  <c r="AA49" i="282" s="1"/>
  <c r="L45" i="282"/>
  <c r="AA45" i="282" s="1"/>
  <c r="L41" i="282"/>
  <c r="AA41" i="282" s="1"/>
  <c r="L37" i="282"/>
  <c r="AA37" i="282" s="1"/>
  <c r="L33" i="282"/>
  <c r="AA33" i="282" s="1"/>
  <c r="L29" i="282"/>
  <c r="AA29" i="282" s="1"/>
  <c r="L25" i="282"/>
  <c r="AA25" i="282" s="1"/>
  <c r="L21" i="282"/>
  <c r="AA21" i="282" s="1"/>
  <c r="L17" i="282"/>
  <c r="AA17" i="282" s="1"/>
  <c r="AB17" i="282" s="1"/>
  <c r="O52" i="282"/>
  <c r="O19" i="266"/>
  <c r="U19" i="263"/>
  <c r="L14" i="283"/>
  <c r="L16" i="283"/>
  <c r="L18" i="283"/>
  <c r="L20" i="283"/>
  <c r="L22" i="283"/>
  <c r="L24" i="283"/>
  <c r="H14" i="283"/>
  <c r="Y14" i="283" s="1"/>
  <c r="H16" i="283"/>
  <c r="Y16" i="283" s="1"/>
  <c r="H18" i="283"/>
  <c r="Y18" i="283" s="1"/>
  <c r="H20" i="283"/>
  <c r="Y20" i="283" s="1"/>
  <c r="H22" i="283"/>
  <c r="Y22" i="283" s="1"/>
  <c r="H24" i="283"/>
  <c r="Y24" i="283" s="1"/>
  <c r="O14" i="283"/>
  <c r="O15" i="283" s="1"/>
  <c r="O16" i="283"/>
  <c r="O18" i="283"/>
  <c r="O19" i="283" s="1"/>
  <c r="O20" i="283"/>
  <c r="O21" i="283" s="1"/>
  <c r="O22" i="283"/>
  <c r="O24" i="283"/>
  <c r="O25" i="283" s="1"/>
  <c r="L14" i="282"/>
  <c r="AA14" i="282" s="1"/>
  <c r="AB14" i="282" s="1"/>
  <c r="L16" i="282"/>
  <c r="AA16" i="282" s="1"/>
  <c r="AB16" i="282" s="1"/>
  <c r="L19" i="282"/>
  <c r="AA19" i="282" s="1"/>
  <c r="L20" i="282"/>
  <c r="AA20" i="282" s="1"/>
  <c r="L23" i="282"/>
  <c r="AA23" i="282" s="1"/>
  <c r="L24" i="282"/>
  <c r="AA24" i="282" s="1"/>
  <c r="L27" i="282"/>
  <c r="AA27" i="282" s="1"/>
  <c r="L28" i="282"/>
  <c r="AA28" i="282" s="1"/>
  <c r="L31" i="282"/>
  <c r="AA31" i="282" s="1"/>
  <c r="AB31" i="282" s="1"/>
  <c r="L32" i="282"/>
  <c r="AA32" i="282" s="1"/>
  <c r="AB32" i="282" s="1"/>
  <c r="L35" i="282"/>
  <c r="AA35" i="282" s="1"/>
  <c r="L36" i="282"/>
  <c r="AA36" i="282" s="1"/>
  <c r="L39" i="282"/>
  <c r="AA39" i="282" s="1"/>
  <c r="L40" i="282"/>
  <c r="AA40" i="282" s="1"/>
  <c r="L43" i="282"/>
  <c r="AA43" i="282" s="1"/>
  <c r="AB43" i="282" s="1"/>
  <c r="L44" i="282"/>
  <c r="AA44" i="282" s="1"/>
  <c r="AB44" i="282" s="1"/>
  <c r="L47" i="282"/>
  <c r="AA47" i="282" s="1"/>
  <c r="L48" i="282"/>
  <c r="AA48" i="282" s="1"/>
  <c r="L53" i="282"/>
  <c r="AA53" i="282" s="1"/>
  <c r="AB53" i="282" s="1"/>
  <c r="L54" i="282"/>
  <c r="AA54" i="282" s="1"/>
  <c r="AB54" i="282" s="1"/>
  <c r="L57" i="282"/>
  <c r="AA57" i="282" s="1"/>
  <c r="L58" i="282"/>
  <c r="AA58" i="282" s="1"/>
  <c r="L61" i="282"/>
  <c r="AA61" i="282" s="1"/>
  <c r="AB61" i="282" s="1"/>
  <c r="L62" i="282"/>
  <c r="AA62" i="282" s="1"/>
  <c r="AB62" i="282" s="1"/>
  <c r="L65" i="282"/>
  <c r="AA65" i="282" s="1"/>
  <c r="L66" i="282"/>
  <c r="AA66" i="282" s="1"/>
  <c r="AB66" i="282" s="1"/>
  <c r="L69" i="282"/>
  <c r="AA69" i="282" s="1"/>
  <c r="L70" i="282"/>
  <c r="AA70" i="282" s="1"/>
  <c r="AB70" i="282" s="1"/>
  <c r="H14" i="282"/>
  <c r="H16" i="282"/>
  <c r="V16" i="282" s="1"/>
  <c r="H17" i="282"/>
  <c r="V17" i="282" s="1"/>
  <c r="H19" i="282"/>
  <c r="V19" i="282" s="1"/>
  <c r="H20" i="282"/>
  <c r="V20" i="282" s="1"/>
  <c r="H21" i="282"/>
  <c r="H23" i="282"/>
  <c r="V23" i="282" s="1"/>
  <c r="H24" i="282"/>
  <c r="V24" i="282" s="1"/>
  <c r="H25" i="282"/>
  <c r="H27" i="282"/>
  <c r="V27" i="282" s="1"/>
  <c r="H28" i="282"/>
  <c r="H29" i="282"/>
  <c r="H31" i="282"/>
  <c r="V31" i="282" s="1"/>
  <c r="H32" i="282"/>
  <c r="V32" i="282" s="1"/>
  <c r="H33" i="282"/>
  <c r="H35" i="282"/>
  <c r="V35" i="282" s="1"/>
  <c r="H36" i="282"/>
  <c r="V36" i="282" s="1"/>
  <c r="H37" i="282"/>
  <c r="H39" i="282"/>
  <c r="V39" i="282" s="1"/>
  <c r="H40" i="282"/>
  <c r="H41" i="282"/>
  <c r="H43" i="282"/>
  <c r="V43" i="282" s="1"/>
  <c r="H44" i="282"/>
  <c r="H45" i="282"/>
  <c r="H47" i="282"/>
  <c r="V47" i="282" s="1"/>
  <c r="H48" i="282"/>
  <c r="H49" i="282"/>
  <c r="H51" i="282"/>
  <c r="H53" i="282"/>
  <c r="V53" i="282" s="1"/>
  <c r="H54" i="282"/>
  <c r="V54" i="282" s="1"/>
  <c r="H55" i="282"/>
  <c r="H57" i="282"/>
  <c r="V57" i="282" s="1"/>
  <c r="H58" i="282"/>
  <c r="V58" i="282" s="1"/>
  <c r="H59" i="282"/>
  <c r="H61" i="282"/>
  <c r="H62" i="282"/>
  <c r="H63" i="282"/>
  <c r="H65" i="282"/>
  <c r="H66" i="282"/>
  <c r="V66" i="282" s="1"/>
  <c r="H67" i="282"/>
  <c r="H69" i="282"/>
  <c r="V69" i="282" s="1"/>
  <c r="H70" i="282"/>
  <c r="H71" i="282"/>
  <c r="H14" i="266"/>
  <c r="H15" i="266"/>
  <c r="H17" i="266"/>
  <c r="H18" i="266"/>
  <c r="H20" i="266"/>
  <c r="H21" i="266"/>
  <c r="H23" i="266"/>
  <c r="H24" i="266"/>
  <c r="Y24" i="266" s="1"/>
  <c r="L16" i="263"/>
  <c r="L18" i="263"/>
  <c r="L20" i="263"/>
  <c r="L22" i="263"/>
  <c r="H14" i="263"/>
  <c r="H16" i="263"/>
  <c r="H18" i="263"/>
  <c r="H20" i="263"/>
  <c r="H22" i="263"/>
  <c r="O14" i="263"/>
  <c r="O15" i="263" s="1"/>
  <c r="O16" i="263"/>
  <c r="O17" i="263" s="1"/>
  <c r="O18" i="263"/>
  <c r="O19" i="263" s="1"/>
  <c r="O20" i="263"/>
  <c r="O22" i="263"/>
  <c r="O23" i="263" s="1"/>
  <c r="R14" i="263"/>
  <c r="R16" i="263"/>
  <c r="R18" i="263"/>
  <c r="R19" i="263" s="1"/>
  <c r="R20" i="263"/>
  <c r="R22" i="263"/>
  <c r="H14" i="259"/>
  <c r="V15" i="259"/>
  <c r="H16" i="259"/>
  <c r="H18" i="259"/>
  <c r="H19" i="259"/>
  <c r="V19" i="259" s="1"/>
  <c r="H21" i="259"/>
  <c r="H23" i="259"/>
  <c r="H25" i="259"/>
  <c r="V25" i="259" s="1"/>
  <c r="H26" i="259"/>
  <c r="V26" i="259" s="1"/>
  <c r="H27" i="259"/>
  <c r="V27" i="259" s="1"/>
  <c r="H29" i="259"/>
  <c r="H30" i="259"/>
  <c r="V30" i="259" s="1"/>
  <c r="H32" i="259"/>
  <c r="H33" i="259"/>
  <c r="V33" i="259" s="1"/>
  <c r="AH10" i="261"/>
  <c r="AG10" i="261"/>
  <c r="AE10" i="261"/>
  <c r="AD10" i="261"/>
  <c r="AC10" i="261"/>
  <c r="AB10" i="261"/>
  <c r="Z10" i="261"/>
  <c r="Y10" i="261"/>
  <c r="X10" i="261"/>
  <c r="W10" i="261"/>
  <c r="U24" i="209"/>
  <c r="H14" i="209"/>
  <c r="H15" i="209"/>
  <c r="H16" i="209"/>
  <c r="H18" i="209"/>
  <c r="H19" i="209"/>
  <c r="H20" i="209"/>
  <c r="H22" i="209"/>
  <c r="H23" i="209"/>
  <c r="R14" i="209"/>
  <c r="S14" i="209" s="1"/>
  <c r="R15" i="209"/>
  <c r="R16" i="209"/>
  <c r="R18" i="209"/>
  <c r="R19" i="209"/>
  <c r="R20" i="209"/>
  <c r="R22" i="209"/>
  <c r="R23" i="209"/>
  <c r="O14" i="209"/>
  <c r="P14" i="209" s="1"/>
  <c r="O15" i="209"/>
  <c r="O16" i="209"/>
  <c r="P16" i="209" s="1"/>
  <c r="O18" i="209"/>
  <c r="P18" i="209" s="1"/>
  <c r="O19" i="209"/>
  <c r="O20" i="209"/>
  <c r="O22" i="209"/>
  <c r="P22" i="209" s="1"/>
  <c r="O23" i="209"/>
  <c r="P23" i="209" s="1"/>
  <c r="L14" i="209"/>
  <c r="AD14" i="209" s="1"/>
  <c r="L15" i="209"/>
  <c r="L16" i="209"/>
  <c r="L18" i="209"/>
  <c r="AD18" i="209" s="1"/>
  <c r="AE18" i="209" s="1"/>
  <c r="L19" i="209"/>
  <c r="L20" i="209"/>
  <c r="AD20" i="209" s="1"/>
  <c r="L22" i="209"/>
  <c r="M22" i="209" s="1"/>
  <c r="L23" i="209"/>
  <c r="L49" i="187"/>
  <c r="O49" i="187"/>
  <c r="O50" i="187" s="1"/>
  <c r="L46" i="187"/>
  <c r="L47" i="187"/>
  <c r="AD47" i="187" s="1"/>
  <c r="O46" i="187"/>
  <c r="O47" i="187"/>
  <c r="L42" i="187"/>
  <c r="L43" i="187"/>
  <c r="L44" i="187"/>
  <c r="O42" i="187"/>
  <c r="O43" i="187"/>
  <c r="O44" i="187"/>
  <c r="L38" i="187"/>
  <c r="L39" i="187"/>
  <c r="L40" i="187"/>
  <c r="O38" i="187"/>
  <c r="O39" i="187"/>
  <c r="O40" i="187"/>
  <c r="L36" i="187"/>
  <c r="O36" i="187"/>
  <c r="O37" i="187" s="1"/>
  <c r="L33" i="187"/>
  <c r="L34" i="187"/>
  <c r="O33" i="187"/>
  <c r="O34" i="187"/>
  <c r="L29" i="187"/>
  <c r="L30" i="187"/>
  <c r="L31" i="187"/>
  <c r="O29" i="187"/>
  <c r="O30" i="187"/>
  <c r="O31" i="187"/>
  <c r="L25" i="187"/>
  <c r="L26" i="187"/>
  <c r="L27" i="187"/>
  <c r="O25" i="187"/>
  <c r="O26" i="187"/>
  <c r="O27" i="187"/>
  <c r="L23" i="187"/>
  <c r="O23" i="187"/>
  <c r="O24" i="187" s="1"/>
  <c r="L20" i="187"/>
  <c r="L21" i="187"/>
  <c r="O20" i="187"/>
  <c r="O21" i="187"/>
  <c r="L17" i="187"/>
  <c r="L18" i="187"/>
  <c r="AD18" i="187" s="1"/>
  <c r="O17" i="187"/>
  <c r="O18" i="187"/>
  <c r="L15" i="187"/>
  <c r="P14" i="187"/>
  <c r="O15" i="187"/>
  <c r="R16" i="187"/>
  <c r="H15" i="187"/>
  <c r="H17" i="187"/>
  <c r="H18" i="187"/>
  <c r="H20" i="187"/>
  <c r="H21" i="187"/>
  <c r="H23" i="187"/>
  <c r="H25" i="187"/>
  <c r="H26" i="187"/>
  <c r="H27" i="187"/>
  <c r="H29" i="187"/>
  <c r="H30" i="187"/>
  <c r="H31" i="187"/>
  <c r="H33" i="187"/>
  <c r="H34" i="187"/>
  <c r="H36" i="187"/>
  <c r="H38" i="187"/>
  <c r="H39" i="187"/>
  <c r="H40" i="187"/>
  <c r="H42" i="187"/>
  <c r="H43" i="187"/>
  <c r="H44" i="187"/>
  <c r="H46" i="187"/>
  <c r="H47" i="187"/>
  <c r="H49" i="187"/>
  <c r="M14" i="187"/>
  <c r="E6" i="90"/>
  <c r="P19" i="209" l="1"/>
  <c r="AD49" i="187"/>
  <c r="AD25" i="187"/>
  <c r="AD40" i="187"/>
  <c r="AD42" i="187"/>
  <c r="AD34" i="187"/>
  <c r="AG18" i="263"/>
  <c r="AD31" i="187"/>
  <c r="AE31" i="187" s="1"/>
  <c r="AD36" i="187"/>
  <c r="AD46" i="187"/>
  <c r="AD30" i="187"/>
  <c r="AD27" i="187"/>
  <c r="AD29" i="187"/>
  <c r="AE29" i="187" s="1"/>
  <c r="AD44" i="187"/>
  <c r="AE44" i="187" s="1"/>
  <c r="AD21" i="187"/>
  <c r="AD26" i="187"/>
  <c r="AE26" i="187" s="1"/>
  <c r="AD43" i="187"/>
  <c r="AG22" i="263"/>
  <c r="AA51" i="282"/>
  <c r="AB51" i="282" s="1"/>
  <c r="AD39" i="187"/>
  <c r="AD23" i="187"/>
  <c r="AE23" i="187" s="1"/>
  <c r="AD33" i="187"/>
  <c r="AE33" i="187" s="1"/>
  <c r="AD38" i="187"/>
  <c r="AE38" i="187" s="1"/>
  <c r="AG16" i="263"/>
  <c r="U23" i="330"/>
  <c r="U24" i="330" s="1"/>
  <c r="V18" i="330"/>
  <c r="X73" i="282"/>
  <c r="X75" i="282" s="1"/>
  <c r="X76" i="282" s="1"/>
  <c r="AB22" i="263"/>
  <c r="AB20" i="263"/>
  <c r="R15" i="263"/>
  <c r="AG14" i="263"/>
  <c r="AH14" i="263" s="1"/>
  <c r="AB18" i="263"/>
  <c r="AB16" i="263"/>
  <c r="AB14" i="263"/>
  <c r="AG20" i="263"/>
  <c r="S62" i="282"/>
  <c r="V62" i="282"/>
  <c r="S40" i="282"/>
  <c r="V40" i="282"/>
  <c r="S61" i="282"/>
  <c r="V61" i="282"/>
  <c r="S44" i="282"/>
  <c r="V44" i="282"/>
  <c r="S28" i="282"/>
  <c r="V28" i="282"/>
  <c r="S70" i="282"/>
  <c r="V70" i="282"/>
  <c r="S65" i="282"/>
  <c r="V65" i="282"/>
  <c r="S48" i="282"/>
  <c r="V48" i="282"/>
  <c r="H15" i="282"/>
  <c r="V15" i="282" s="1"/>
  <c r="V14" i="282"/>
  <c r="I22" i="259"/>
  <c r="Y22" i="259" s="1"/>
  <c r="V21" i="259"/>
  <c r="I28" i="259"/>
  <c r="Y28" i="259" s="1"/>
  <c r="I34" i="259"/>
  <c r="Y34" i="259" s="1"/>
  <c r="I17" i="259"/>
  <c r="Y17" i="259" s="1"/>
  <c r="I20" i="259"/>
  <c r="Y20" i="259" s="1"/>
  <c r="I31" i="259"/>
  <c r="Y31" i="259" s="1"/>
  <c r="AD22" i="283"/>
  <c r="AD14" i="283"/>
  <c r="AD15" i="283" s="1"/>
  <c r="AD20" i="283"/>
  <c r="AD18" i="283"/>
  <c r="AD24" i="283"/>
  <c r="L17" i="283"/>
  <c r="AD16" i="283"/>
  <c r="Y47" i="187"/>
  <c r="Y42" i="187"/>
  <c r="Y36" i="187"/>
  <c r="Y30" i="187"/>
  <c r="Y25" i="187"/>
  <c r="Y18" i="187"/>
  <c r="Y46" i="187"/>
  <c r="Y40" i="187"/>
  <c r="Y34" i="187"/>
  <c r="Y29" i="187"/>
  <c r="Y23" i="187"/>
  <c r="Y17" i="187"/>
  <c r="AE18" i="187"/>
  <c r="AE43" i="187"/>
  <c r="Y44" i="187"/>
  <c r="Y39" i="187"/>
  <c r="Y33" i="187"/>
  <c r="Y27" i="187"/>
  <c r="AD15" i="187"/>
  <c r="AD17" i="187"/>
  <c r="AE17" i="187" s="1"/>
  <c r="AD20" i="187"/>
  <c r="AE20" i="187" s="1"/>
  <c r="AE36" i="187"/>
  <c r="AE40" i="187"/>
  <c r="AE42" i="187"/>
  <c r="AE46" i="187"/>
  <c r="Y38" i="187"/>
  <c r="Y31" i="187"/>
  <c r="Y26" i="187"/>
  <c r="Y20" i="187"/>
  <c r="AE30" i="187"/>
  <c r="AE34" i="187"/>
  <c r="AE39" i="187"/>
  <c r="Z20" i="303"/>
  <c r="Z16" i="303"/>
  <c r="Z14" i="303"/>
  <c r="Z18" i="303"/>
  <c r="Z22" i="303"/>
  <c r="Z24" i="303"/>
  <c r="H24" i="330"/>
  <c r="M33" i="261" s="1"/>
  <c r="W18" i="303"/>
  <c r="W22" i="303"/>
  <c r="W16" i="303"/>
  <c r="W20" i="303"/>
  <c r="AD23" i="209"/>
  <c r="AE23" i="209" s="1"/>
  <c r="AD16" i="209"/>
  <c r="AE16" i="209" s="1"/>
  <c r="S18" i="209"/>
  <c r="AD15" i="209"/>
  <c r="AE15" i="209" s="1"/>
  <c r="AD19" i="209"/>
  <c r="AE19" i="209" s="1"/>
  <c r="P15" i="187"/>
  <c r="S22" i="209"/>
  <c r="M39" i="187"/>
  <c r="M24" i="282"/>
  <c r="M23" i="209"/>
  <c r="M15" i="187"/>
  <c r="L52" i="282"/>
  <c r="AA52" i="282" s="1"/>
  <c r="AB52" i="282" s="1"/>
  <c r="P18" i="283"/>
  <c r="M23" i="187"/>
  <c r="S18" i="263"/>
  <c r="M54" i="282"/>
  <c r="AE27" i="187"/>
  <c r="P46" i="187"/>
  <c r="M14" i="282"/>
  <c r="P43" i="187"/>
  <c r="Y43" i="187"/>
  <c r="S27" i="259"/>
  <c r="S15" i="259"/>
  <c r="S17" i="266"/>
  <c r="M20" i="209"/>
  <c r="M18" i="187"/>
  <c r="AE47" i="187"/>
  <c r="S26" i="259"/>
  <c r="S19" i="259"/>
  <c r="M49" i="187"/>
  <c r="Y49" i="187"/>
  <c r="M43" i="187"/>
  <c r="S33" i="259"/>
  <c r="S21" i="259"/>
  <c r="L23" i="266"/>
  <c r="X23" i="266" s="1"/>
  <c r="Y23" i="266" s="1"/>
  <c r="M30" i="187"/>
  <c r="M38" i="187"/>
  <c r="P49" i="187"/>
  <c r="H16" i="187"/>
  <c r="Y15" i="187"/>
  <c r="AE25" i="187"/>
  <c r="AD22" i="209"/>
  <c r="AE22" i="209" s="1"/>
  <c r="Y16" i="209"/>
  <c r="S30" i="259"/>
  <c r="S14" i="263"/>
  <c r="H19" i="263"/>
  <c r="M65" i="282"/>
  <c r="Q18" i="303"/>
  <c r="T18" i="303"/>
  <c r="Q24" i="303"/>
  <c r="W24" i="303"/>
  <c r="T24" i="303"/>
  <c r="Q16" i="303"/>
  <c r="T16" i="303"/>
  <c r="Q20" i="303"/>
  <c r="T20" i="303"/>
  <c r="Q22" i="303"/>
  <c r="T22" i="303"/>
  <c r="Q14" i="303"/>
  <c r="W14" i="303"/>
  <c r="T14" i="303"/>
  <c r="P30" i="187"/>
  <c r="V23" i="209"/>
  <c r="Y23" i="209"/>
  <c r="V18" i="209"/>
  <c r="Y18" i="209"/>
  <c r="P18" i="266"/>
  <c r="S18" i="266"/>
  <c r="P69" i="282"/>
  <c r="S69" i="282"/>
  <c r="P58" i="282"/>
  <c r="S58" i="282"/>
  <c r="P53" i="282"/>
  <c r="S53" i="282"/>
  <c r="P47" i="282"/>
  <c r="S47" i="282"/>
  <c r="P36" i="282"/>
  <c r="S36" i="282"/>
  <c r="P20" i="282"/>
  <c r="S20" i="282"/>
  <c r="M14" i="283"/>
  <c r="V22" i="209"/>
  <c r="Y22" i="209"/>
  <c r="P23" i="259"/>
  <c r="S25" i="259"/>
  <c r="S23" i="259"/>
  <c r="P23" i="266"/>
  <c r="S23" i="266"/>
  <c r="P57" i="282"/>
  <c r="S57" i="282"/>
  <c r="P51" i="282"/>
  <c r="S51" i="282"/>
  <c r="P35" i="282"/>
  <c r="S35" i="282"/>
  <c r="P24" i="282"/>
  <c r="S24" i="282"/>
  <c r="P19" i="282"/>
  <c r="S19" i="282"/>
  <c r="P14" i="282"/>
  <c r="S14" i="282"/>
  <c r="O35" i="187"/>
  <c r="M15" i="209"/>
  <c r="V20" i="209"/>
  <c r="Y20" i="209"/>
  <c r="V15" i="209"/>
  <c r="Y15" i="209"/>
  <c r="H25" i="266"/>
  <c r="P21" i="266"/>
  <c r="S21" i="266"/>
  <c r="P15" i="266"/>
  <c r="S15" i="266"/>
  <c r="P66" i="282"/>
  <c r="S66" i="282"/>
  <c r="P39" i="282"/>
  <c r="S39" i="282"/>
  <c r="P23" i="282"/>
  <c r="S23" i="282"/>
  <c r="P17" i="282"/>
  <c r="S17" i="282"/>
  <c r="L15" i="282"/>
  <c r="M22" i="283"/>
  <c r="H23" i="283"/>
  <c r="M19" i="209"/>
  <c r="V19" i="209"/>
  <c r="Y19" i="209"/>
  <c r="V14" i="209"/>
  <c r="Y14" i="209"/>
  <c r="P24" i="266"/>
  <c r="S24" i="266"/>
  <c r="P20" i="266"/>
  <c r="S20" i="266"/>
  <c r="P14" i="266"/>
  <c r="S14" i="266"/>
  <c r="P54" i="282"/>
  <c r="S54" i="282"/>
  <c r="P43" i="282"/>
  <c r="S43" i="282"/>
  <c r="P27" i="282"/>
  <c r="S27" i="282"/>
  <c r="P16" i="282"/>
  <c r="S16" i="282"/>
  <c r="V14" i="263"/>
  <c r="Y14" i="263"/>
  <c r="L17" i="263"/>
  <c r="P61" i="282"/>
  <c r="P44" i="282"/>
  <c r="AB28" i="282"/>
  <c r="P28" i="282"/>
  <c r="L42" i="282"/>
  <c r="AA42" i="282" s="1"/>
  <c r="H21" i="283"/>
  <c r="S20" i="283"/>
  <c r="V20" i="283"/>
  <c r="S14" i="283"/>
  <c r="V14" i="283"/>
  <c r="L15" i="283"/>
  <c r="G19" i="303"/>
  <c r="AC19" i="303" s="1"/>
  <c r="N18" i="303"/>
  <c r="K18" i="303"/>
  <c r="P39" i="187"/>
  <c r="P44" i="187"/>
  <c r="O24" i="209"/>
  <c r="M16" i="209"/>
  <c r="V16" i="209"/>
  <c r="P18" i="263"/>
  <c r="P14" i="263"/>
  <c r="Y18" i="263"/>
  <c r="V18" i="263"/>
  <c r="L23" i="263"/>
  <c r="M20" i="282"/>
  <c r="M58" i="282"/>
  <c r="P70" i="282"/>
  <c r="AB65" i="282"/>
  <c r="P65" i="282"/>
  <c r="AB48" i="282"/>
  <c r="P48" i="282"/>
  <c r="M53" i="282"/>
  <c r="M44" i="282"/>
  <c r="M36" i="282"/>
  <c r="AB20" i="282"/>
  <c r="P20" i="283"/>
  <c r="S24" i="283"/>
  <c r="V24" i="283"/>
  <c r="H19" i="283"/>
  <c r="S18" i="283"/>
  <c r="V18" i="283"/>
  <c r="L25" i="283"/>
  <c r="G25" i="303"/>
  <c r="K24" i="303"/>
  <c r="N24" i="303"/>
  <c r="G17" i="303"/>
  <c r="N16" i="303"/>
  <c r="K16" i="303"/>
  <c r="P31" i="330"/>
  <c r="H23" i="263"/>
  <c r="V22" i="263"/>
  <c r="Y22" i="263"/>
  <c r="H17" i="263"/>
  <c r="Y16" i="263"/>
  <c r="V16" i="263"/>
  <c r="L21" i="263"/>
  <c r="L17" i="266"/>
  <c r="X17" i="266" s="1"/>
  <c r="Y17" i="266" s="1"/>
  <c r="P17" i="266"/>
  <c r="M66" i="282"/>
  <c r="L22" i="282"/>
  <c r="AB19" i="282"/>
  <c r="H17" i="283"/>
  <c r="S16" i="283"/>
  <c r="V16" i="283"/>
  <c r="G23" i="303"/>
  <c r="K22" i="303"/>
  <c r="N22" i="303"/>
  <c r="G15" i="303"/>
  <c r="K14" i="303"/>
  <c r="N14" i="303"/>
  <c r="P18" i="187"/>
  <c r="O22" i="187"/>
  <c r="O41" i="187"/>
  <c r="H21" i="263"/>
  <c r="Y20" i="263"/>
  <c r="V20" i="263"/>
  <c r="H15" i="263"/>
  <c r="L20" i="266"/>
  <c r="X20" i="266" s="1"/>
  <c r="L15" i="266"/>
  <c r="X15" i="266" s="1"/>
  <c r="M28" i="282"/>
  <c r="M70" i="282"/>
  <c r="M62" i="282"/>
  <c r="P62" i="282"/>
  <c r="M40" i="282"/>
  <c r="P40" i="282"/>
  <c r="P14" i="283"/>
  <c r="S22" i="283"/>
  <c r="V22" i="283"/>
  <c r="H15" i="283"/>
  <c r="L23" i="283"/>
  <c r="G21" i="303"/>
  <c r="AC21" i="303" s="1"/>
  <c r="K20" i="303"/>
  <c r="N20" i="303"/>
  <c r="P33" i="259"/>
  <c r="M33" i="259"/>
  <c r="AB33" i="259"/>
  <c r="M15" i="259"/>
  <c r="P15" i="259"/>
  <c r="AB15" i="259"/>
  <c r="H34" i="259"/>
  <c r="V34" i="259" s="1"/>
  <c r="M26" i="259"/>
  <c r="P26" i="259"/>
  <c r="AB26" i="259"/>
  <c r="P19" i="259"/>
  <c r="M19" i="259"/>
  <c r="AB19" i="259"/>
  <c r="M27" i="259"/>
  <c r="P27" i="259"/>
  <c r="AB27" i="259"/>
  <c r="M30" i="259"/>
  <c r="P30" i="259"/>
  <c r="AB30" i="259"/>
  <c r="M25" i="259"/>
  <c r="P25" i="259"/>
  <c r="AB25" i="259"/>
  <c r="H22" i="259"/>
  <c r="V22" i="259" s="1"/>
  <c r="P21" i="259"/>
  <c r="M21" i="259"/>
  <c r="AB23" i="259"/>
  <c r="M23" i="259"/>
  <c r="V46" i="187"/>
  <c r="S46" i="187"/>
  <c r="S34" i="187"/>
  <c r="V34" i="187"/>
  <c r="H24" i="187"/>
  <c r="S23" i="187"/>
  <c r="V23" i="187"/>
  <c r="L48" i="187"/>
  <c r="P33" i="187"/>
  <c r="M44" i="187"/>
  <c r="V44" i="187"/>
  <c r="S44" i="187"/>
  <c r="S33" i="187"/>
  <c r="V33" i="187"/>
  <c r="M29" i="187"/>
  <c r="M26" i="187"/>
  <c r="M34" i="187"/>
  <c r="H50" i="187"/>
  <c r="S49" i="187"/>
  <c r="V49" i="187"/>
  <c r="S43" i="187"/>
  <c r="V43" i="187"/>
  <c r="S38" i="187"/>
  <c r="V38" i="187"/>
  <c r="H32" i="187"/>
  <c r="AB32" i="187" s="1"/>
  <c r="S31" i="187"/>
  <c r="V31" i="187"/>
  <c r="S26" i="187"/>
  <c r="V26" i="187"/>
  <c r="P20" i="187"/>
  <c r="S20" i="187"/>
  <c r="V20" i="187"/>
  <c r="S15" i="187"/>
  <c r="V15" i="187"/>
  <c r="P25" i="187"/>
  <c r="O48" i="187"/>
  <c r="V40" i="187"/>
  <c r="S40" i="187"/>
  <c r="S29" i="187"/>
  <c r="V29" i="187"/>
  <c r="S17" i="187"/>
  <c r="V17" i="187"/>
  <c r="M20" i="187"/>
  <c r="P23" i="187"/>
  <c r="V39" i="187"/>
  <c r="S39" i="187"/>
  <c r="P27" i="187"/>
  <c r="V27" i="187"/>
  <c r="S27" i="187"/>
  <c r="L37" i="187"/>
  <c r="P29" i="187"/>
  <c r="M36" i="187"/>
  <c r="P40" i="187"/>
  <c r="M46" i="187"/>
  <c r="V47" i="187"/>
  <c r="S47" i="187"/>
  <c r="S42" i="187"/>
  <c r="V42" i="187"/>
  <c r="S36" i="187"/>
  <c r="V36" i="187"/>
  <c r="S30" i="187"/>
  <c r="V30" i="187"/>
  <c r="S25" i="187"/>
  <c r="V25" i="187"/>
  <c r="S18" i="187"/>
  <c r="V18" i="187"/>
  <c r="P34" i="187"/>
  <c r="AB21" i="259"/>
  <c r="H20" i="259"/>
  <c r="V20" i="259" s="1"/>
  <c r="L24" i="259"/>
  <c r="AA24" i="259" s="1"/>
  <c r="L22" i="259"/>
  <c r="AA22" i="259" s="1"/>
  <c r="P17" i="187"/>
  <c r="H19" i="187"/>
  <c r="AB19" i="187" s="1"/>
  <c r="R22" i="187"/>
  <c r="O45" i="187"/>
  <c r="P42" i="187"/>
  <c r="H35" i="187"/>
  <c r="M22" i="263"/>
  <c r="H16" i="266"/>
  <c r="M27" i="187"/>
  <c r="L19" i="187"/>
  <c r="M17" i="187"/>
  <c r="P47" i="187"/>
  <c r="AE20" i="209"/>
  <c r="P20" i="209"/>
  <c r="P15" i="209"/>
  <c r="H24" i="259"/>
  <c r="V24" i="259" s="1"/>
  <c r="P22" i="263"/>
  <c r="L18" i="266"/>
  <c r="X18" i="266" s="1"/>
  <c r="H19" i="266"/>
  <c r="V19" i="266" s="1"/>
  <c r="M33" i="187"/>
  <c r="H37" i="187"/>
  <c r="P36" i="187"/>
  <c r="P26" i="187"/>
  <c r="M25" i="187"/>
  <c r="P31" i="187"/>
  <c r="R41" i="187"/>
  <c r="L41" i="187"/>
  <c r="M42" i="187"/>
  <c r="L28" i="187"/>
  <c r="O32" i="187"/>
  <c r="M47" i="187"/>
  <c r="S22" i="263"/>
  <c r="R23" i="263"/>
  <c r="R17" i="263"/>
  <c r="S16" i="263"/>
  <c r="O21" i="263"/>
  <c r="P20" i="263"/>
  <c r="O16" i="187"/>
  <c r="O28" i="187"/>
  <c r="L35" i="187"/>
  <c r="P38" i="187"/>
  <c r="O17" i="209"/>
  <c r="H24" i="209"/>
  <c r="AB24" i="209" s="1"/>
  <c r="R21" i="263"/>
  <c r="S20" i="263"/>
  <c r="L15" i="263"/>
  <c r="H22" i="266"/>
  <c r="M18" i="209"/>
  <c r="M19" i="282"/>
  <c r="L18" i="282"/>
  <c r="M16" i="282"/>
  <c r="O17" i="283"/>
  <c r="P16" i="283"/>
  <c r="L24" i="209"/>
  <c r="H17" i="259"/>
  <c r="V17" i="259" s="1"/>
  <c r="L26" i="282"/>
  <c r="P22" i="283"/>
  <c r="O23" i="283"/>
  <c r="L64" i="282"/>
  <c r="M61" i="282"/>
  <c r="L19" i="283"/>
  <c r="M18" i="283"/>
  <c r="H18" i="282"/>
  <c r="L68" i="282"/>
  <c r="L60" i="282"/>
  <c r="P24" i="283"/>
  <c r="L21" i="283"/>
  <c r="U15" i="263"/>
  <c r="M57" i="282"/>
  <c r="M48" i="282"/>
  <c r="O30" i="282"/>
  <c r="O46" i="282"/>
  <c r="O64" i="282"/>
  <c r="R17" i="283"/>
  <c r="R21" i="283"/>
  <c r="M32" i="282"/>
  <c r="O60" i="282"/>
  <c r="J25" i="303"/>
  <c r="AE25" i="303" s="1"/>
  <c r="J21" i="303"/>
  <c r="AE21" i="303" s="1"/>
  <c r="J17" i="303"/>
  <c r="AE17" i="303" s="1"/>
  <c r="J23" i="303"/>
  <c r="AE23" i="303" s="1"/>
  <c r="J19" i="303"/>
  <c r="AE19" i="303" s="1"/>
  <c r="AF14" i="303"/>
  <c r="R32" i="187"/>
  <c r="AE14" i="209"/>
  <c r="R19" i="187"/>
  <c r="E8" i="90"/>
  <c r="M14" i="209"/>
  <c r="H48" i="187"/>
  <c r="H41" i="187"/>
  <c r="H22" i="187"/>
  <c r="AB22" i="187" s="1"/>
  <c r="L45" i="187"/>
  <c r="R50" i="187"/>
  <c r="R21" i="209"/>
  <c r="S19" i="209"/>
  <c r="H21" i="209"/>
  <c r="AB21" i="209" s="1"/>
  <c r="S20" i="209"/>
  <c r="U17" i="209"/>
  <c r="E7" i="90"/>
  <c r="E5" i="90"/>
  <c r="M31" i="187"/>
  <c r="M40" i="187"/>
  <c r="H45" i="187"/>
  <c r="H28" i="187"/>
  <c r="L16" i="187"/>
  <c r="O19" i="187"/>
  <c r="L22" i="187"/>
  <c r="L24" i="187"/>
  <c r="L32" i="187"/>
  <c r="R24" i="209"/>
  <c r="S23" i="209"/>
  <c r="U21" i="209"/>
  <c r="R24" i="187"/>
  <c r="R35" i="187"/>
  <c r="R45" i="187"/>
  <c r="L17" i="209"/>
  <c r="L50" i="187"/>
  <c r="AD50" i="187" s="1"/>
  <c r="L21" i="209"/>
  <c r="R17" i="209"/>
  <c r="S15" i="209"/>
  <c r="H17" i="209"/>
  <c r="AB17" i="209" s="1"/>
  <c r="S16" i="209"/>
  <c r="R37" i="187"/>
  <c r="L28" i="259"/>
  <c r="AA28" i="259" s="1"/>
  <c r="M14" i="263"/>
  <c r="M16" i="263"/>
  <c r="R28" i="187"/>
  <c r="H28" i="259"/>
  <c r="V28" i="259" s="1"/>
  <c r="L31" i="259"/>
  <c r="AA31" i="259" s="1"/>
  <c r="L17" i="259"/>
  <c r="AA17" i="259" s="1"/>
  <c r="P16" i="263"/>
  <c r="M20" i="263"/>
  <c r="L21" i="266"/>
  <c r="X21" i="266" s="1"/>
  <c r="H31" i="259"/>
  <c r="V31" i="259" s="1"/>
  <c r="L34" i="259"/>
  <c r="AA34" i="259" s="1"/>
  <c r="L20" i="259"/>
  <c r="AA20" i="259" s="1"/>
  <c r="M18" i="263"/>
  <c r="L19" i="263"/>
  <c r="AG19" i="263" s="1"/>
  <c r="L14" i="266"/>
  <c r="X14" i="266" s="1"/>
  <c r="H56" i="282"/>
  <c r="L46" i="282"/>
  <c r="M43" i="282"/>
  <c r="L38" i="282"/>
  <c r="L34" i="282"/>
  <c r="M31" i="282"/>
  <c r="AB58" i="282"/>
  <c r="H60" i="282"/>
  <c r="L72" i="282"/>
  <c r="M69" i="282"/>
  <c r="H25" i="283"/>
  <c r="H64" i="282"/>
  <c r="M51" i="282"/>
  <c r="H52" i="282"/>
  <c r="V52" i="282" s="1"/>
  <c r="AB47" i="282"/>
  <c r="AB39" i="282"/>
  <c r="M39" i="282"/>
  <c r="AB35" i="282"/>
  <c r="M35" i="282"/>
  <c r="AB27" i="282"/>
  <c r="AB23" i="282"/>
  <c r="M23" i="282"/>
  <c r="L50" i="282"/>
  <c r="M47" i="282"/>
  <c r="L30" i="282"/>
  <c r="AA30" i="282" s="1"/>
  <c r="M27" i="282"/>
  <c r="H50" i="282"/>
  <c r="H46" i="282"/>
  <c r="H42" i="282"/>
  <c r="H38" i="282"/>
  <c r="H34" i="282"/>
  <c r="H30" i="282"/>
  <c r="H26" i="282"/>
  <c r="H22" i="282"/>
  <c r="L56" i="282"/>
  <c r="M16" i="283"/>
  <c r="M20" i="283"/>
  <c r="M24" i="283"/>
  <c r="AB69" i="282"/>
  <c r="AB57" i="282"/>
  <c r="O22" i="266"/>
  <c r="H72" i="282"/>
  <c r="H68" i="282"/>
  <c r="AB40" i="282"/>
  <c r="AB36" i="282"/>
  <c r="AB24" i="282"/>
  <c r="U17" i="263"/>
  <c r="O16" i="266"/>
  <c r="O25" i="266"/>
  <c r="M17" i="282"/>
  <c r="O72" i="282"/>
  <c r="O56" i="282"/>
  <c r="O26" i="282"/>
  <c r="O68" i="282"/>
  <c r="O38" i="282"/>
  <c r="O18" i="282"/>
  <c r="O50" i="282"/>
  <c r="O34" i="282"/>
  <c r="O15" i="282"/>
  <c r="R15" i="283"/>
  <c r="AF24" i="303"/>
  <c r="AF22" i="303"/>
  <c r="AF20" i="303"/>
  <c r="AF18" i="303"/>
  <c r="AF16" i="303"/>
  <c r="J15" i="303"/>
  <c r="L24" i="330"/>
  <c r="M31" i="330"/>
  <c r="J2" i="91"/>
  <c r="J995" i="91" s="1"/>
  <c r="G2" i="91"/>
  <c r="G995" i="91" s="1"/>
  <c r="H2" i="91"/>
  <c r="I2" i="91"/>
  <c r="I995" i="91" s="1"/>
  <c r="O22" i="282"/>
  <c r="R48" i="187"/>
  <c r="U23" i="263"/>
  <c r="U21" i="263"/>
  <c r="AA46" i="282" l="1"/>
  <c r="AD16" i="187"/>
  <c r="AD22" i="187"/>
  <c r="AD32" i="187"/>
  <c r="AD28" i="187"/>
  <c r="AA22" i="282"/>
  <c r="AA72" i="282"/>
  <c r="AB72" i="282" s="1"/>
  <c r="H26" i="266"/>
  <c r="V30" i="266" s="1"/>
  <c r="O13" i="261" s="1"/>
  <c r="H51" i="187"/>
  <c r="AB55" i="187" s="1"/>
  <c r="O9" i="261" s="1"/>
  <c r="S15" i="282"/>
  <c r="AD24" i="187"/>
  <c r="AD45" i="187"/>
  <c r="AE45" i="187" s="1"/>
  <c r="AA64" i="282"/>
  <c r="AB64" i="282" s="1"/>
  <c r="AD41" i="187"/>
  <c r="AD37" i="187"/>
  <c r="AE37" i="187" s="1"/>
  <c r="AA50" i="282"/>
  <c r="AB50" i="282" s="1"/>
  <c r="AA18" i="282"/>
  <c r="AB18" i="282" s="1"/>
  <c r="AD19" i="187"/>
  <c r="AA60" i="282"/>
  <c r="AD48" i="187"/>
  <c r="AE48" i="187" s="1"/>
  <c r="AG21" i="263"/>
  <c r="AH21" i="263" s="1"/>
  <c r="AG23" i="263"/>
  <c r="AH23" i="263" s="1"/>
  <c r="AG17" i="263"/>
  <c r="AH17" i="263" s="1"/>
  <c r="M15" i="282"/>
  <c r="AA15" i="282"/>
  <c r="AB15" i="282" s="1"/>
  <c r="AE15" i="303"/>
  <c r="AE26" i="303" s="1"/>
  <c r="AA34" i="282"/>
  <c r="AA68" i="282"/>
  <c r="AB68" i="282" s="1"/>
  <c r="AA26" i="282"/>
  <c r="AD35" i="187"/>
  <c r="AA38" i="282"/>
  <c r="AA56" i="282"/>
  <c r="AB56" i="282" s="1"/>
  <c r="AG15" i="263"/>
  <c r="AH15" i="263" s="1"/>
  <c r="Z17" i="303"/>
  <c r="AC17" i="303"/>
  <c r="Z15" i="303"/>
  <c r="AC15" i="303"/>
  <c r="Z25" i="303"/>
  <c r="AC25" i="303"/>
  <c r="Z23" i="303"/>
  <c r="AC23" i="303"/>
  <c r="X77" i="282"/>
  <c r="X87" i="282" s="1"/>
  <c r="C32" i="648" s="1"/>
  <c r="AA76" i="282"/>
  <c r="V22" i="282"/>
  <c r="AE49" i="187"/>
  <c r="S15" i="263"/>
  <c r="AH18" i="263"/>
  <c r="AH19" i="263"/>
  <c r="AH22" i="263"/>
  <c r="P23" i="263"/>
  <c r="S19" i="263"/>
  <c r="AH20" i="263"/>
  <c r="AH16" i="263"/>
  <c r="P17" i="263"/>
  <c r="AB17" i="263"/>
  <c r="I24" i="259"/>
  <c r="V23" i="259"/>
  <c r="S23" i="283"/>
  <c r="P15" i="283"/>
  <c r="M17" i="283"/>
  <c r="P21" i="283"/>
  <c r="P19" i="283"/>
  <c r="S42" i="282"/>
  <c r="V42" i="282"/>
  <c r="S30" i="282"/>
  <c r="V30" i="282"/>
  <c r="S46" i="282"/>
  <c r="V46" i="282"/>
  <c r="S56" i="282"/>
  <c r="V56" i="282"/>
  <c r="S26" i="282"/>
  <c r="V26" i="282"/>
  <c r="S64" i="282"/>
  <c r="V64" i="282"/>
  <c r="S18" i="282"/>
  <c r="V18" i="282"/>
  <c r="S68" i="282"/>
  <c r="V68" i="282"/>
  <c r="S34" i="282"/>
  <c r="V34" i="282"/>
  <c r="S50" i="282"/>
  <c r="V50" i="282"/>
  <c r="S60" i="282"/>
  <c r="V60" i="282"/>
  <c r="S72" i="282"/>
  <c r="V72" i="282"/>
  <c r="S38" i="282"/>
  <c r="V38" i="282"/>
  <c r="P18" i="282"/>
  <c r="Y41" i="187"/>
  <c r="AB41" i="187"/>
  <c r="S16" i="187"/>
  <c r="AB16" i="187"/>
  <c r="Y28" i="187"/>
  <c r="AB28" i="187"/>
  <c r="Y48" i="187"/>
  <c r="AB48" i="187"/>
  <c r="Y35" i="187"/>
  <c r="AB35" i="187"/>
  <c r="P50" i="187"/>
  <c r="AB50" i="187"/>
  <c r="Y45" i="187"/>
  <c r="AB45" i="187"/>
  <c r="Y37" i="187"/>
  <c r="AB37" i="187"/>
  <c r="P24" i="187"/>
  <c r="AB24" i="187"/>
  <c r="AE14" i="283"/>
  <c r="AE18" i="283"/>
  <c r="AD19" i="283"/>
  <c r="AE19" i="283" s="1"/>
  <c r="AE20" i="283"/>
  <c r="AD21" i="283"/>
  <c r="AE21" i="283" s="1"/>
  <c r="AE16" i="283"/>
  <c r="AD17" i="283"/>
  <c r="AE17" i="283" s="1"/>
  <c r="AE24" i="283"/>
  <c r="AD25" i="283"/>
  <c r="AE25" i="283" s="1"/>
  <c r="AE22" i="283"/>
  <c r="AD23" i="283"/>
  <c r="AE23" i="283" s="1"/>
  <c r="Z21" i="303"/>
  <c r="AF21" i="303"/>
  <c r="Z19" i="303"/>
  <c r="AF19" i="303"/>
  <c r="M21" i="283"/>
  <c r="AB30" i="282"/>
  <c r="V21" i="263"/>
  <c r="S17" i="283"/>
  <c r="P23" i="283"/>
  <c r="S32" i="187"/>
  <c r="M25" i="283"/>
  <c r="P16" i="187"/>
  <c r="V19" i="263"/>
  <c r="AB19" i="263"/>
  <c r="M23" i="283"/>
  <c r="M17" i="263"/>
  <c r="M15" i="283"/>
  <c r="S21" i="263"/>
  <c r="P21" i="263"/>
  <c r="P15" i="263"/>
  <c r="V15" i="263"/>
  <c r="S17" i="263"/>
  <c r="M21" i="263"/>
  <c r="S24" i="187"/>
  <c r="Y19" i="263"/>
  <c r="V17" i="263"/>
  <c r="S50" i="187"/>
  <c r="S21" i="283"/>
  <c r="S23" i="263"/>
  <c r="P56" i="282"/>
  <c r="AE22" i="187"/>
  <c r="AE50" i="187"/>
  <c r="S48" i="187"/>
  <c r="M19" i="283"/>
  <c r="L19" i="266"/>
  <c r="X19" i="266" s="1"/>
  <c r="Y19" i="266" s="1"/>
  <c r="S28" i="187"/>
  <c r="AE41" i="187"/>
  <c r="S37" i="187"/>
  <c r="S24" i="209"/>
  <c r="P19" i="187"/>
  <c r="O25" i="209"/>
  <c r="AA36" i="209" s="1"/>
  <c r="C29" i="641" s="1"/>
  <c r="M23" i="263"/>
  <c r="AB46" i="282"/>
  <c r="S17" i="209"/>
  <c r="P37" i="187"/>
  <c r="O24" i="263"/>
  <c r="AE28" i="187"/>
  <c r="P25" i="266"/>
  <c r="AD24" i="209"/>
  <c r="AE24" i="209" s="1"/>
  <c r="AE35" i="187"/>
  <c r="S16" i="266"/>
  <c r="V16" i="266"/>
  <c r="P22" i="266"/>
  <c r="L25" i="266"/>
  <c r="AD21" i="209"/>
  <c r="AE21" i="209" s="1"/>
  <c r="AD17" i="209"/>
  <c r="AE17" i="209" s="1"/>
  <c r="AE32" i="187"/>
  <c r="AE16" i="187"/>
  <c r="V50" i="187"/>
  <c r="Y50" i="187"/>
  <c r="V24" i="187"/>
  <c r="Y24" i="187"/>
  <c r="P19" i="263"/>
  <c r="V22" i="187"/>
  <c r="Y22" i="187"/>
  <c r="S25" i="266"/>
  <c r="V25" i="266"/>
  <c r="P17" i="283"/>
  <c r="S22" i="266"/>
  <c r="V22" i="266"/>
  <c r="V23" i="263"/>
  <c r="S15" i="283"/>
  <c r="P16" i="266"/>
  <c r="L26" i="283"/>
  <c r="O26" i="283"/>
  <c r="H24" i="263"/>
  <c r="S45" i="187"/>
  <c r="AE24" i="187"/>
  <c r="R24" i="263"/>
  <c r="AE19" i="187"/>
  <c r="V19" i="187"/>
  <c r="Y19" i="187"/>
  <c r="V32" i="187"/>
  <c r="Y32" i="187"/>
  <c r="V16" i="187"/>
  <c r="Y16" i="187"/>
  <c r="W23" i="303"/>
  <c r="T23" i="303"/>
  <c r="W15" i="303"/>
  <c r="T15" i="303"/>
  <c r="W19" i="303"/>
  <c r="T19" i="303"/>
  <c r="W25" i="303"/>
  <c r="T25" i="303"/>
  <c r="G26" i="303"/>
  <c r="H35" i="261" s="1"/>
  <c r="G9" i="667" s="1"/>
  <c r="W21" i="303"/>
  <c r="T21" i="303"/>
  <c r="W17" i="303"/>
  <c r="T17" i="303"/>
  <c r="P31" i="259"/>
  <c r="S31" i="259"/>
  <c r="M24" i="209"/>
  <c r="P19" i="266"/>
  <c r="S19" i="266"/>
  <c r="V15" i="283"/>
  <c r="Y15" i="283"/>
  <c r="Y20" i="266"/>
  <c r="N23" i="303"/>
  <c r="Q23" i="303"/>
  <c r="N17" i="303"/>
  <c r="Q17" i="303"/>
  <c r="V21" i="283"/>
  <c r="Y21" i="283"/>
  <c r="AB60" i="282"/>
  <c r="AB26" i="282"/>
  <c r="P24" i="209"/>
  <c r="Y24" i="209"/>
  <c r="Y18" i="266"/>
  <c r="P24" i="259"/>
  <c r="S24" i="259"/>
  <c r="P20" i="259"/>
  <c r="S20" i="259"/>
  <c r="P22" i="259"/>
  <c r="S22" i="259"/>
  <c r="P34" i="259"/>
  <c r="S34" i="259"/>
  <c r="N21" i="303"/>
  <c r="Q21" i="303"/>
  <c r="Y21" i="263"/>
  <c r="AB21" i="263"/>
  <c r="N15" i="303"/>
  <c r="Q15" i="303"/>
  <c r="V17" i="283"/>
  <c r="Y17" i="283"/>
  <c r="Y23" i="263"/>
  <c r="AB23" i="263"/>
  <c r="V23" i="283"/>
  <c r="Y23" i="283"/>
  <c r="M22" i="282"/>
  <c r="S22" i="282"/>
  <c r="P52" i="282"/>
  <c r="S52" i="282"/>
  <c r="AB34" i="282"/>
  <c r="Y21" i="266"/>
  <c r="P28" i="259"/>
  <c r="S28" i="259"/>
  <c r="Y15" i="263"/>
  <c r="AB15" i="263"/>
  <c r="Y17" i="263"/>
  <c r="N19" i="303"/>
  <c r="Q19" i="303"/>
  <c r="V25" i="283"/>
  <c r="Y25" i="283"/>
  <c r="AB38" i="282"/>
  <c r="P17" i="209"/>
  <c r="Y17" i="209"/>
  <c r="P21" i="209"/>
  <c r="Y21" i="209"/>
  <c r="P17" i="259"/>
  <c r="S17" i="259"/>
  <c r="Y15" i="266"/>
  <c r="AB22" i="282"/>
  <c r="N25" i="303"/>
  <c r="Q25" i="303"/>
  <c r="V19" i="283"/>
  <c r="Y19" i="283"/>
  <c r="L24" i="263"/>
  <c r="H25" i="209"/>
  <c r="H17" i="261" s="1"/>
  <c r="G9" i="641" s="1"/>
  <c r="V21" i="209"/>
  <c r="K19" i="303"/>
  <c r="K21" i="303"/>
  <c r="P32" i="187"/>
  <c r="S25" i="283"/>
  <c r="K15" i="303"/>
  <c r="V17" i="209"/>
  <c r="AF23" i="303"/>
  <c r="K23" i="303"/>
  <c r="AF25" i="303"/>
  <c r="K25" i="303"/>
  <c r="P64" i="282"/>
  <c r="S19" i="283"/>
  <c r="V24" i="209"/>
  <c r="P46" i="282"/>
  <c r="M15" i="263"/>
  <c r="M56" i="282"/>
  <c r="K17" i="303"/>
  <c r="AF17" i="303"/>
  <c r="P15" i="282"/>
  <c r="M24" i="259"/>
  <c r="M17" i="259"/>
  <c r="M20" i="259"/>
  <c r="M31" i="259"/>
  <c r="M34" i="259"/>
  <c r="M28" i="259"/>
  <c r="M22" i="259"/>
  <c r="P72" i="282"/>
  <c r="P68" i="282"/>
  <c r="P60" i="282"/>
  <c r="P50" i="282"/>
  <c r="P42" i="282"/>
  <c r="P38" i="282"/>
  <c r="P34" i="282"/>
  <c r="P30" i="282"/>
  <c r="P26" i="282"/>
  <c r="P22" i="282"/>
  <c r="C8" i="90"/>
  <c r="D8" i="90" s="1"/>
  <c r="C7" i="90"/>
  <c r="D7" i="90" s="1"/>
  <c r="C5" i="90"/>
  <c r="O73" i="282"/>
  <c r="X84" i="282" s="1"/>
  <c r="C29" i="648" s="1"/>
  <c r="U24" i="263"/>
  <c r="P35" i="187"/>
  <c r="V35" i="187"/>
  <c r="S35" i="187"/>
  <c r="M32" i="187"/>
  <c r="S19" i="187"/>
  <c r="P28" i="187"/>
  <c r="V28" i="187"/>
  <c r="M41" i="187"/>
  <c r="V41" i="187"/>
  <c r="M37" i="187"/>
  <c r="V37" i="187"/>
  <c r="S22" i="187"/>
  <c r="AE15" i="187"/>
  <c r="P45" i="187"/>
  <c r="V45" i="187"/>
  <c r="P48" i="187"/>
  <c r="V48" i="187"/>
  <c r="P41" i="187"/>
  <c r="S41" i="187"/>
  <c r="M19" i="187"/>
  <c r="AB24" i="259"/>
  <c r="H35" i="259"/>
  <c r="M48" i="187"/>
  <c r="M28" i="187"/>
  <c r="M35" i="187"/>
  <c r="O51" i="187"/>
  <c r="L51" i="187"/>
  <c r="AA61" i="187" s="1"/>
  <c r="U25" i="209"/>
  <c r="R26" i="283"/>
  <c r="S21" i="209"/>
  <c r="M18" i="282"/>
  <c r="M30" i="282"/>
  <c r="M46" i="282"/>
  <c r="M60" i="282"/>
  <c r="AB28" i="259"/>
  <c r="R25" i="209"/>
  <c r="AA37" i="209" s="1"/>
  <c r="C30" i="641" s="1"/>
  <c r="M50" i="187"/>
  <c r="M17" i="209"/>
  <c r="J26" i="303"/>
  <c r="AB37" i="303" s="1"/>
  <c r="M34" i="282"/>
  <c r="M64" i="282"/>
  <c r="AB31" i="259"/>
  <c r="M21" i="209"/>
  <c r="M24" i="187"/>
  <c r="O26" i="266"/>
  <c r="L73" i="282"/>
  <c r="M50" i="282"/>
  <c r="M52" i="282"/>
  <c r="M72" i="282"/>
  <c r="H26" i="283"/>
  <c r="AB30" i="283" s="1"/>
  <c r="M38" i="282"/>
  <c r="M19" i="263"/>
  <c r="AB20" i="259"/>
  <c r="AB34" i="259"/>
  <c r="P25" i="283"/>
  <c r="L35" i="259"/>
  <c r="L22" i="266"/>
  <c r="X22" i="266" s="1"/>
  <c r="AB22" i="259"/>
  <c r="H73" i="282"/>
  <c r="V77" i="282" s="1"/>
  <c r="M26" i="282"/>
  <c r="AB42" i="282"/>
  <c r="M42" i="282"/>
  <c r="Y14" i="266"/>
  <c r="L16" i="266"/>
  <c r="X16" i="266" s="1"/>
  <c r="L25" i="209"/>
  <c r="AA35" i="209" s="1"/>
  <c r="C28" i="641" s="1"/>
  <c r="M22" i="187"/>
  <c r="M16" i="187"/>
  <c r="M45" i="187"/>
  <c r="P22" i="187"/>
  <c r="R51" i="187"/>
  <c r="AA63" i="187" s="1"/>
  <c r="H9" i="261" l="1"/>
  <c r="G9" i="317" s="1"/>
  <c r="AD51" i="187"/>
  <c r="AD53" i="187" s="1"/>
  <c r="AD55" i="187" s="1"/>
  <c r="AE55" i="187" s="1"/>
  <c r="H13" i="261"/>
  <c r="U46" i="259"/>
  <c r="U51" i="259" s="1"/>
  <c r="X46" i="259"/>
  <c r="C28" i="667"/>
  <c r="AB44" i="303"/>
  <c r="U83" i="282"/>
  <c r="U88" i="282" s="1"/>
  <c r="X83" i="282"/>
  <c r="V35" i="259"/>
  <c r="Y49" i="259" s="1"/>
  <c r="E31" i="681" s="1"/>
  <c r="H42" i="261"/>
  <c r="G9" i="681" s="1"/>
  <c r="Y35" i="259"/>
  <c r="X25" i="266"/>
  <c r="Y25" i="266" s="1"/>
  <c r="I35" i="259"/>
  <c r="I37" i="259" s="1"/>
  <c r="I40" i="259" s="1"/>
  <c r="I41" i="259" s="1"/>
  <c r="Y24" i="259"/>
  <c r="H10" i="261"/>
  <c r="G9" i="633" s="1"/>
  <c r="AE28" i="263"/>
  <c r="AE40" i="263" s="1"/>
  <c r="G9" i="636"/>
  <c r="V86" i="282"/>
  <c r="Y86" i="282"/>
  <c r="E31" i="648" s="1"/>
  <c r="X78" i="282"/>
  <c r="X79" i="282" s="1"/>
  <c r="Y77" i="282"/>
  <c r="AA36" i="263"/>
  <c r="AD36" i="263"/>
  <c r="C30" i="633" s="1"/>
  <c r="AA34" i="263"/>
  <c r="AD34" i="263"/>
  <c r="C28" i="633" s="1"/>
  <c r="AA35" i="263"/>
  <c r="AD35" i="263"/>
  <c r="C29" i="633" s="1"/>
  <c r="AG24" i="263"/>
  <c r="AA37" i="263"/>
  <c r="AD37" i="263"/>
  <c r="C31" i="633" s="1"/>
  <c r="X39" i="283"/>
  <c r="AA39" i="283"/>
  <c r="C30" i="650" s="1"/>
  <c r="Y30" i="283"/>
  <c r="AB42" i="283"/>
  <c r="E33" i="650" s="1"/>
  <c r="X37" i="283"/>
  <c r="AA37" i="283"/>
  <c r="C28" i="650" s="1"/>
  <c r="X38" i="283"/>
  <c r="AA38" i="283"/>
  <c r="C29" i="650" s="1"/>
  <c r="R84" i="282"/>
  <c r="U84" i="282"/>
  <c r="S77" i="282"/>
  <c r="U36" i="209"/>
  <c r="Y55" i="187"/>
  <c r="AB65" i="187" s="1"/>
  <c r="AB66" i="187"/>
  <c r="X62" i="187"/>
  <c r="AA62" i="187"/>
  <c r="AA67" i="187" s="1"/>
  <c r="X36" i="209"/>
  <c r="V37" i="303"/>
  <c r="K26" i="303"/>
  <c r="Y37" i="303"/>
  <c r="Y43" i="303" s="1"/>
  <c r="T26" i="303"/>
  <c r="Q26" i="303"/>
  <c r="N26" i="303"/>
  <c r="H27" i="209"/>
  <c r="K17" i="261" s="1"/>
  <c r="AB29" i="209"/>
  <c r="O17" i="261" s="1"/>
  <c r="H26" i="263"/>
  <c r="K10" i="261" s="1"/>
  <c r="AB28" i="263"/>
  <c r="AE39" i="263" s="1"/>
  <c r="E33" i="633" s="1"/>
  <c r="S24" i="263"/>
  <c r="M24" i="263"/>
  <c r="O28" i="283"/>
  <c r="O31" i="283" s="1"/>
  <c r="O32" i="283" s="1"/>
  <c r="R36" i="209"/>
  <c r="R38" i="283"/>
  <c r="M19" i="266"/>
  <c r="O38" i="283"/>
  <c r="O27" i="209"/>
  <c r="O30" i="209" s="1"/>
  <c r="O31" i="209" s="1"/>
  <c r="U38" i="283"/>
  <c r="X36" i="263"/>
  <c r="P25" i="209"/>
  <c r="AB36" i="209" s="1"/>
  <c r="E29" i="641" s="1"/>
  <c r="U37" i="283"/>
  <c r="O26" i="263"/>
  <c r="O29" i="263" s="1"/>
  <c r="O30" i="263" s="1"/>
  <c r="U35" i="263"/>
  <c r="R26" i="263"/>
  <c r="R29" i="263" s="1"/>
  <c r="R30" i="263" s="1"/>
  <c r="P24" i="263"/>
  <c r="L28" i="283"/>
  <c r="L31" i="283" s="1"/>
  <c r="L32" i="283" s="1"/>
  <c r="X35" i="263"/>
  <c r="O37" i="283"/>
  <c r="R37" i="283"/>
  <c r="U36" i="263"/>
  <c r="U63" i="187"/>
  <c r="X63" i="187"/>
  <c r="R36" i="266"/>
  <c r="U36" i="266"/>
  <c r="L26" i="263"/>
  <c r="L29" i="263" s="1"/>
  <c r="L30" i="263" s="1"/>
  <c r="X38" i="209"/>
  <c r="AA38" i="209"/>
  <c r="C31" i="641" s="1"/>
  <c r="C37" i="641" s="1"/>
  <c r="O75" i="282"/>
  <c r="O78" i="282" s="1"/>
  <c r="O62" i="187"/>
  <c r="U61" i="187"/>
  <c r="X61" i="187"/>
  <c r="H28" i="266"/>
  <c r="K13" i="261" s="1"/>
  <c r="Y24" i="263"/>
  <c r="P37" i="303"/>
  <c r="P43" i="303" s="1"/>
  <c r="S37" i="303"/>
  <c r="S43" i="303" s="1"/>
  <c r="G28" i="303"/>
  <c r="L26" i="266"/>
  <c r="U35" i="266" s="1"/>
  <c r="H37" i="259"/>
  <c r="K42" i="261" s="1"/>
  <c r="S35" i="259"/>
  <c r="O46" i="259"/>
  <c r="O51" i="259" s="1"/>
  <c r="R46" i="259"/>
  <c r="S26" i="266"/>
  <c r="V37" i="266" s="1"/>
  <c r="U35" i="209"/>
  <c r="X35" i="209"/>
  <c r="Y25" i="209"/>
  <c r="AB39" i="209" s="1"/>
  <c r="E32" i="641" s="1"/>
  <c r="O83" i="282"/>
  <c r="R83" i="282"/>
  <c r="U37" i="209"/>
  <c r="X37" i="209"/>
  <c r="M26" i="283"/>
  <c r="AB37" i="283" s="1"/>
  <c r="E28" i="650" s="1"/>
  <c r="V26" i="283"/>
  <c r="AB40" i="283" s="1"/>
  <c r="E31" i="650" s="1"/>
  <c r="X37" i="263"/>
  <c r="U37" i="263"/>
  <c r="V24" i="263"/>
  <c r="R62" i="187"/>
  <c r="U62" i="187"/>
  <c r="U34" i="263"/>
  <c r="X34" i="263"/>
  <c r="M37" i="303"/>
  <c r="J37" i="303"/>
  <c r="U39" i="283"/>
  <c r="S26" i="283"/>
  <c r="AB39" i="283" s="1"/>
  <c r="E30" i="650" s="1"/>
  <c r="R39" i="283"/>
  <c r="M35" i="259"/>
  <c r="Y46" i="259" s="1"/>
  <c r="E28" i="681" s="1"/>
  <c r="P35" i="259"/>
  <c r="Y47" i="259" s="1"/>
  <c r="E29" i="681" s="1"/>
  <c r="O84" i="282"/>
  <c r="P73" i="282"/>
  <c r="Y84" i="282" s="1"/>
  <c r="U27" i="209"/>
  <c r="U30" i="209" s="1"/>
  <c r="U38" i="209"/>
  <c r="V25" i="209"/>
  <c r="D5" i="90"/>
  <c r="P26" i="266"/>
  <c r="O36" i="266"/>
  <c r="U26" i="263"/>
  <c r="U29" i="263" s="1"/>
  <c r="O53" i="187"/>
  <c r="O56" i="187" s="1"/>
  <c r="O57" i="187" s="1"/>
  <c r="R63" i="187"/>
  <c r="S51" i="187"/>
  <c r="P51" i="187"/>
  <c r="V51" i="187"/>
  <c r="O61" i="187"/>
  <c r="R61" i="187"/>
  <c r="H53" i="187"/>
  <c r="K9" i="261" s="1"/>
  <c r="M51" i="187"/>
  <c r="AB61" i="187" s="1"/>
  <c r="L53" i="187"/>
  <c r="L56" i="187" s="1"/>
  <c r="L57" i="187" s="1"/>
  <c r="R28" i="283"/>
  <c r="L37" i="259"/>
  <c r="L46" i="259" s="1"/>
  <c r="Y22" i="266"/>
  <c r="M22" i="266"/>
  <c r="AE15" i="283"/>
  <c r="AD26" i="283"/>
  <c r="O28" i="266"/>
  <c r="AB17" i="259"/>
  <c r="AA35" i="259"/>
  <c r="AB35" i="259" s="1"/>
  <c r="J28" i="303"/>
  <c r="AF15" i="303"/>
  <c r="AD25" i="209"/>
  <c r="L27" i="209"/>
  <c r="M25" i="209"/>
  <c r="AB35" i="209" s="1"/>
  <c r="E28" i="641" s="1"/>
  <c r="R35" i="209"/>
  <c r="H28" i="283"/>
  <c r="L83" i="282"/>
  <c r="L87" i="282" s="1"/>
  <c r="L75" i="282"/>
  <c r="M73" i="282"/>
  <c r="P26" i="283"/>
  <c r="AB38" i="283" s="1"/>
  <c r="E29" i="650" s="1"/>
  <c r="Y16" i="266"/>
  <c r="M16" i="266"/>
  <c r="H75" i="282"/>
  <c r="S25" i="209"/>
  <c r="AB37" i="209" s="1"/>
  <c r="E30" i="641" s="1"/>
  <c r="R37" i="209"/>
  <c r="R27" i="209"/>
  <c r="AA73" i="282"/>
  <c r="R53" i="187"/>
  <c r="R56" i="187" s="1"/>
  <c r="AD56" i="187" l="1"/>
  <c r="AD57" i="187" s="1"/>
  <c r="AA41" i="263"/>
  <c r="C38" i="633"/>
  <c r="C34" i="650"/>
  <c r="C29" i="636"/>
  <c r="V48" i="259"/>
  <c r="Y48" i="259"/>
  <c r="E30" i="681" s="1"/>
  <c r="V85" i="282"/>
  <c r="Y85" i="282"/>
  <c r="E30" i="648" s="1"/>
  <c r="E34" i="633"/>
  <c r="X88" i="282"/>
  <c r="C28" i="648"/>
  <c r="C34" i="648" s="1"/>
  <c r="V83" i="282"/>
  <c r="Y83" i="282"/>
  <c r="E28" i="648" s="1"/>
  <c r="C30" i="317"/>
  <c r="C28" i="636"/>
  <c r="U39" i="266"/>
  <c r="E29" i="648"/>
  <c r="AC30" i="303"/>
  <c r="K35" i="261"/>
  <c r="C29" i="317"/>
  <c r="X26" i="266"/>
  <c r="X28" i="266" s="1"/>
  <c r="X30" i="266" s="1"/>
  <c r="Y30" i="266" s="1"/>
  <c r="C28" i="681"/>
  <c r="C34" i="681" s="1"/>
  <c r="X51" i="259"/>
  <c r="E30" i="636"/>
  <c r="O42" i="261"/>
  <c r="Y50" i="259"/>
  <c r="Y87" i="282"/>
  <c r="E32" i="648" s="1"/>
  <c r="Z38" i="303"/>
  <c r="AC38" i="303"/>
  <c r="E29" i="667" s="1"/>
  <c r="Z39" i="303"/>
  <c r="AC39" i="303"/>
  <c r="E30" i="667" s="1"/>
  <c r="Z40" i="303"/>
  <c r="AC40" i="303"/>
  <c r="E31" i="667" s="1"/>
  <c r="Z37" i="303"/>
  <c r="AC37" i="303"/>
  <c r="E28" i="667" s="1"/>
  <c r="X31" i="266"/>
  <c r="X32" i="266" s="1"/>
  <c r="E33" i="317"/>
  <c r="AB38" i="263"/>
  <c r="AE38" i="263"/>
  <c r="E32" i="633" s="1"/>
  <c r="AB34" i="263"/>
  <c r="AE34" i="263"/>
  <c r="E28" i="633" s="1"/>
  <c r="AB37" i="263"/>
  <c r="AE37" i="263"/>
  <c r="E31" i="633" s="1"/>
  <c r="AB36" i="263"/>
  <c r="AE36" i="263"/>
  <c r="E30" i="633" s="1"/>
  <c r="AD41" i="263"/>
  <c r="AB35" i="263"/>
  <c r="AE35" i="263"/>
  <c r="E29" i="633" s="1"/>
  <c r="H29" i="263"/>
  <c r="L10" i="261" s="1"/>
  <c r="X43" i="283"/>
  <c r="H30" i="209"/>
  <c r="Y41" i="283"/>
  <c r="AB41" i="283"/>
  <c r="AA43" i="283"/>
  <c r="S84" i="282"/>
  <c r="V84" i="282"/>
  <c r="Y61" i="187"/>
  <c r="Y64" i="187"/>
  <c r="AB64" i="187"/>
  <c r="Y62" i="187"/>
  <c r="AB62" i="187"/>
  <c r="Y63" i="187"/>
  <c r="AB63" i="187"/>
  <c r="Q39" i="303"/>
  <c r="Y34" i="263"/>
  <c r="Y40" i="283"/>
  <c r="Y37" i="283"/>
  <c r="Y39" i="283"/>
  <c r="Y38" i="283"/>
  <c r="Z30" i="303"/>
  <c r="W30" i="303"/>
  <c r="N39" i="303"/>
  <c r="W38" i="303"/>
  <c r="V34" i="263"/>
  <c r="V36" i="263"/>
  <c r="Y38" i="263"/>
  <c r="W39" i="303"/>
  <c r="Y36" i="263"/>
  <c r="O43" i="283"/>
  <c r="Y36" i="209"/>
  <c r="V36" i="209"/>
  <c r="T39" i="303"/>
  <c r="S36" i="209"/>
  <c r="Y35" i="263"/>
  <c r="H56" i="187"/>
  <c r="L9" i="261" s="1"/>
  <c r="V35" i="263"/>
  <c r="P61" i="187"/>
  <c r="L37" i="283"/>
  <c r="L43" i="283" s="1"/>
  <c r="M37" i="283"/>
  <c r="M43" i="283" s="1"/>
  <c r="O67" i="187"/>
  <c r="H40" i="259"/>
  <c r="L42" i="261" s="1"/>
  <c r="L28" i="266"/>
  <c r="L31" i="266" s="1"/>
  <c r="L32" i="266" s="1"/>
  <c r="R43" i="283"/>
  <c r="M26" i="266"/>
  <c r="V35" i="266" s="1"/>
  <c r="S36" i="266"/>
  <c r="V36" i="266"/>
  <c r="G31" i="303"/>
  <c r="L35" i="261" s="1"/>
  <c r="V43" i="303"/>
  <c r="C37" i="667"/>
  <c r="C28" i="317"/>
  <c r="X67" i="187"/>
  <c r="S85" i="282"/>
  <c r="L35" i="266"/>
  <c r="L39" i="266" s="1"/>
  <c r="S47" i="259"/>
  <c r="V47" i="259"/>
  <c r="X41" i="263"/>
  <c r="AA41" i="209"/>
  <c r="AB39" i="263"/>
  <c r="O10" i="261"/>
  <c r="V49" i="259"/>
  <c r="V38" i="266"/>
  <c r="H31" i="266"/>
  <c r="L13" i="261" s="1"/>
  <c r="AB40" i="209"/>
  <c r="E33" i="641" s="1"/>
  <c r="Y65" i="187"/>
  <c r="P37" i="283"/>
  <c r="R87" i="282"/>
  <c r="Y38" i="209"/>
  <c r="AB38" i="209"/>
  <c r="E31" i="641" s="1"/>
  <c r="S46" i="259"/>
  <c r="V46" i="259"/>
  <c r="Q37" i="303"/>
  <c r="W37" i="303"/>
  <c r="T37" i="303"/>
  <c r="T40" i="303"/>
  <c r="W40" i="303"/>
  <c r="R67" i="187"/>
  <c r="X41" i="209"/>
  <c r="S37" i="266"/>
  <c r="V37" i="209"/>
  <c r="Y37" i="209"/>
  <c r="P83" i="282"/>
  <c r="S83" i="282"/>
  <c r="V35" i="209"/>
  <c r="Y35" i="209"/>
  <c r="Y39" i="209"/>
  <c r="R51" i="259"/>
  <c r="S48" i="259"/>
  <c r="O35" i="266"/>
  <c r="O39" i="266" s="1"/>
  <c r="R35" i="266"/>
  <c r="S63" i="187"/>
  <c r="V63" i="187"/>
  <c r="K37" i="303"/>
  <c r="N37" i="303"/>
  <c r="V40" i="283"/>
  <c r="V39" i="283"/>
  <c r="S39" i="283"/>
  <c r="M43" i="303"/>
  <c r="S37" i="283"/>
  <c r="V37" i="283"/>
  <c r="S38" i="283"/>
  <c r="V38" i="283"/>
  <c r="S61" i="187"/>
  <c r="V61" i="187"/>
  <c r="V64" i="187"/>
  <c r="U43" i="283"/>
  <c r="U67" i="187"/>
  <c r="S62" i="187"/>
  <c r="V62" i="187"/>
  <c r="P36" i="266"/>
  <c r="U41" i="263"/>
  <c r="V37" i="263"/>
  <c r="Y37" i="263"/>
  <c r="P84" i="282"/>
  <c r="O87" i="282"/>
  <c r="V38" i="209"/>
  <c r="U31" i="209"/>
  <c r="P47" i="259"/>
  <c r="P46" i="259"/>
  <c r="M46" i="259"/>
  <c r="U30" i="263"/>
  <c r="P62" i="187"/>
  <c r="U41" i="209"/>
  <c r="R31" i="283"/>
  <c r="P38" i="283"/>
  <c r="S37" i="209"/>
  <c r="L78" i="282"/>
  <c r="L79" i="282" s="1"/>
  <c r="S35" i="209"/>
  <c r="AD27" i="209"/>
  <c r="AD29" i="209" s="1"/>
  <c r="AE29" i="209" s="1"/>
  <c r="J43" i="303"/>
  <c r="AA37" i="259"/>
  <c r="AA39" i="259" s="1"/>
  <c r="AA40" i="259" s="1"/>
  <c r="AA41" i="259" s="1"/>
  <c r="O31" i="266"/>
  <c r="O79" i="282"/>
  <c r="M83" i="282"/>
  <c r="M87" i="282" s="1"/>
  <c r="R41" i="209"/>
  <c r="L30" i="209"/>
  <c r="L31" i="209" s="1"/>
  <c r="AE28" i="303"/>
  <c r="AE30" i="303" s="1"/>
  <c r="AF30" i="303" s="1"/>
  <c r="J31" i="303"/>
  <c r="R30" i="209"/>
  <c r="R31" i="209" s="1"/>
  <c r="H31" i="283"/>
  <c r="AD28" i="283"/>
  <c r="AD30" i="283" s="1"/>
  <c r="AE30" i="283" s="1"/>
  <c r="L40" i="259"/>
  <c r="H78" i="282"/>
  <c r="AA75" i="282"/>
  <c r="R57" i="187"/>
  <c r="AG26" i="263"/>
  <c r="AG28" i="263" s="1"/>
  <c r="AH28" i="263" s="1"/>
  <c r="C34" i="317" l="1"/>
  <c r="V88" i="282"/>
  <c r="E37" i="641"/>
  <c r="C34" i="636"/>
  <c r="V51" i="259"/>
  <c r="E29" i="636"/>
  <c r="E31" i="636"/>
  <c r="AC43" i="303"/>
  <c r="O35" i="261"/>
  <c r="AA77" i="282"/>
  <c r="AB77" i="282" s="1"/>
  <c r="E28" i="317"/>
  <c r="E28" i="636"/>
  <c r="E30" i="317"/>
  <c r="E34" i="648"/>
  <c r="H30" i="263"/>
  <c r="M10" i="261" s="1"/>
  <c r="AB67" i="187"/>
  <c r="AB43" i="283"/>
  <c r="E32" i="650"/>
  <c r="E34" i="650" s="1"/>
  <c r="Y88" i="282"/>
  <c r="E32" i="317"/>
  <c r="E31" i="317"/>
  <c r="AE41" i="263"/>
  <c r="E29" i="317"/>
  <c r="E38" i="633"/>
  <c r="H31" i="209"/>
  <c r="M17" i="261" s="1"/>
  <c r="L17" i="261"/>
  <c r="Y51" i="259"/>
  <c r="E32" i="681"/>
  <c r="E34" i="681" s="1"/>
  <c r="Z41" i="303"/>
  <c r="AC41" i="303"/>
  <c r="E32" i="667" s="1"/>
  <c r="Z42" i="303"/>
  <c r="AC42" i="303"/>
  <c r="E33" i="667" s="1"/>
  <c r="V39" i="266"/>
  <c r="W41" i="303"/>
  <c r="Q43" i="303"/>
  <c r="N43" i="303"/>
  <c r="Y41" i="263"/>
  <c r="H41" i="259"/>
  <c r="M42" i="261" s="1"/>
  <c r="S35" i="266"/>
  <c r="S39" i="266" s="1"/>
  <c r="G32" i="303"/>
  <c r="M35" i="261" s="1"/>
  <c r="M35" i="266"/>
  <c r="M39" i="266" s="1"/>
  <c r="P35" i="266"/>
  <c r="P39" i="266" s="1"/>
  <c r="P43" i="283"/>
  <c r="P67" i="187"/>
  <c r="H57" i="187"/>
  <c r="M9" i="261" s="1"/>
  <c r="T43" i="303"/>
  <c r="P87" i="282"/>
  <c r="S67" i="187"/>
  <c r="AB41" i="209"/>
  <c r="S87" i="282"/>
  <c r="AD30" i="209"/>
  <c r="AD31" i="209" s="1"/>
  <c r="Y67" i="187"/>
  <c r="AA78" i="282"/>
  <c r="AA79" i="282" s="1"/>
  <c r="H32" i="266"/>
  <c r="M13" i="261" s="1"/>
  <c r="AB41" i="263"/>
  <c r="AG29" i="263"/>
  <c r="AG30" i="263" s="1"/>
  <c r="AD31" i="283"/>
  <c r="AD32" i="283" s="1"/>
  <c r="Y43" i="283"/>
  <c r="S51" i="259"/>
  <c r="R39" i="266"/>
  <c r="Y41" i="209"/>
  <c r="V43" i="283"/>
  <c r="V67" i="187"/>
  <c r="S41" i="209"/>
  <c r="V41" i="263"/>
  <c r="V41" i="209"/>
  <c r="P51" i="259"/>
  <c r="L51" i="259"/>
  <c r="L41" i="259"/>
  <c r="M51" i="259"/>
  <c r="R32" i="283"/>
  <c r="J32" i="303"/>
  <c r="O32" i="266"/>
  <c r="AE31" i="303"/>
  <c r="AE32" i="303" s="1"/>
  <c r="K43" i="303"/>
  <c r="H79" i="282"/>
  <c r="H32" i="283"/>
  <c r="S43" i="283"/>
  <c r="Z43" i="303" l="1"/>
  <c r="E34" i="636"/>
  <c r="E34" i="317"/>
  <c r="AC44" i="303"/>
  <c r="E34" i="667"/>
  <c r="E37" i="667" s="1"/>
  <c r="W43" i="303"/>
  <c r="E416" i="91" l="1"/>
  <c r="H416" i="91" l="1"/>
  <c r="H995" i="91" s="1"/>
  <c r="E995" i="91"/>
  <c r="C6" i="90" l="1"/>
  <c r="G997" i="91"/>
  <c r="D6" i="90" l="1"/>
  <c r="C9" i="90"/>
  <c r="D9" i="90" l="1"/>
  <c r="D10" i="90"/>
</calcChain>
</file>

<file path=xl/comments1.xml><?xml version="1.0" encoding="utf-8"?>
<comments xmlns="http://schemas.openxmlformats.org/spreadsheetml/2006/main">
  <authors>
    <author>fvargas</author>
  </authors>
  <commentList>
    <comment ref="N44" authorId="0" shapeId="0">
      <text>
        <r>
          <rPr>
            <b/>
            <sz val="9"/>
            <color indexed="81"/>
            <rFont val="Tahoma"/>
            <family val="2"/>
          </rPr>
          <t>fvargas:
Pendiente legalizar portada</t>
        </r>
      </text>
    </comment>
  </commentList>
</comments>
</file>

<file path=xl/comments2.xml><?xml version="1.0" encoding="utf-8"?>
<comments xmlns="http://schemas.openxmlformats.org/spreadsheetml/2006/main">
  <authors>
    <author>Leidy</author>
  </authors>
  <commentList>
    <comment ref="E16" authorId="0" shapeId="0">
      <text>
        <r>
          <rPr>
            <b/>
            <sz val="9"/>
            <color indexed="81"/>
            <rFont val="Tahoma"/>
            <family val="2"/>
          </rPr>
          <t>Leidy:</t>
        </r>
        <r>
          <rPr>
            <sz val="9"/>
            <color indexed="81"/>
            <rFont val="Tahoma"/>
            <family val="2"/>
          </rPr>
          <t xml:space="preserve">
</t>
        </r>
        <r>
          <rPr>
            <b/>
            <sz val="9"/>
            <color indexed="81"/>
            <rFont val="Tahoma"/>
            <family val="2"/>
          </rPr>
          <t>17 AGOSTO 17 PTE VALORACIÓN ESTRUCTURAL</t>
        </r>
      </text>
    </comment>
    <comment ref="W16" authorId="0" shapeId="0">
      <text>
        <r>
          <rPr>
            <b/>
            <sz val="9"/>
            <color indexed="81"/>
            <rFont val="Tahoma"/>
            <family val="2"/>
          </rPr>
          <t>Leidy:</t>
        </r>
        <r>
          <rPr>
            <sz val="9"/>
            <color indexed="81"/>
            <rFont val="Tahoma"/>
            <family val="2"/>
          </rPr>
          <t xml:space="preserve">
</t>
        </r>
        <r>
          <rPr>
            <b/>
            <sz val="9"/>
            <color indexed="81"/>
            <rFont val="Tahoma"/>
            <family val="2"/>
          </rPr>
          <t>19 SEPTIEMBRE 17 PTE VALORACIÓN ESTRUCTURAL</t>
        </r>
      </text>
    </comment>
  </commentList>
</comments>
</file>

<file path=xl/comments3.xml><?xml version="1.0" encoding="utf-8"?>
<comments xmlns="http://schemas.openxmlformats.org/spreadsheetml/2006/main">
  <authors>
    <author>Leidy</author>
  </authors>
  <commentList>
    <comment ref="E18" authorId="0" shapeId="0">
      <text>
        <r>
          <rPr>
            <b/>
            <sz val="9"/>
            <color indexed="81"/>
            <rFont val="Tahoma"/>
            <family val="2"/>
          </rPr>
          <t>Leidy: No se realiza cobro de esta labor, se debe hacer un ptto adicional por el lev tablero línea San Fasón</t>
        </r>
        <r>
          <rPr>
            <sz val="9"/>
            <color indexed="81"/>
            <rFont val="Tahoma"/>
            <family val="2"/>
          </rPr>
          <t xml:space="preserve">
</t>
        </r>
      </text>
    </comment>
  </commentList>
</comments>
</file>

<file path=xl/comments4.xml><?xml version="1.0" encoding="utf-8"?>
<comments xmlns="http://schemas.openxmlformats.org/spreadsheetml/2006/main">
  <authors>
    <author>Leidy</author>
  </authors>
  <commentList>
    <comment ref="T14" authorId="0" shapeId="0">
      <text>
        <r>
          <rPr>
            <b/>
            <sz val="9"/>
            <color indexed="81"/>
            <rFont val="Tahoma"/>
            <family val="2"/>
          </rPr>
          <t>Leidy:</t>
        </r>
        <r>
          <rPr>
            <sz val="9"/>
            <color indexed="81"/>
            <rFont val="Tahoma"/>
            <family val="2"/>
          </rPr>
          <t xml:space="preserve">
pte AC ENVIAR CORRECCIONES</t>
        </r>
      </text>
    </comment>
  </commentList>
</comments>
</file>

<file path=xl/comments5.xml><?xml version="1.0" encoding="utf-8"?>
<comments xmlns="http://schemas.openxmlformats.org/spreadsheetml/2006/main">
  <authors>
    <author>Dania Marquez</author>
  </authors>
  <commentList>
    <comment ref="T20" authorId="0" shapeId="0">
      <text>
        <r>
          <rPr>
            <b/>
            <sz val="9"/>
            <color indexed="81"/>
            <rFont val="Tahoma"/>
            <family val="2"/>
          </rPr>
          <t>Dania Marquez:</t>
        </r>
        <r>
          <rPr>
            <sz val="9"/>
            <color indexed="81"/>
            <rFont val="Tahoma"/>
            <family val="2"/>
          </rPr>
          <t xml:space="preserve">
No se han respndido comentarios por parte de Ac </t>
        </r>
      </text>
    </comment>
  </commentList>
</comments>
</file>

<file path=xl/comments6.xml><?xml version="1.0" encoding="utf-8"?>
<comments xmlns="http://schemas.openxmlformats.org/spreadsheetml/2006/main">
  <authors>
    <author>Dania Marquez</author>
    <author>Leidy</author>
  </authors>
  <commentList>
    <comment ref="K14" authorId="0" shapeId="0">
      <text>
        <r>
          <rPr>
            <b/>
            <sz val="9"/>
            <color indexed="81"/>
            <rFont val="Tahoma"/>
            <family val="2"/>
          </rPr>
          <t>Dania Marquez:</t>
        </r>
        <r>
          <rPr>
            <sz val="9"/>
            <color indexed="81"/>
            <rFont val="Tahoma"/>
            <family val="2"/>
          </rPr>
          <t xml:space="preserve">
se realizaron 1,36km</t>
        </r>
      </text>
    </comment>
    <comment ref="T18" authorId="1" shapeId="0">
      <text>
        <r>
          <rPr>
            <b/>
            <sz val="9"/>
            <color indexed="81"/>
            <rFont val="Tahoma"/>
            <family val="2"/>
          </rPr>
          <t>Leidy:</t>
        </r>
        <r>
          <rPr>
            <sz val="9"/>
            <color indexed="81"/>
            <rFont val="Tahoma"/>
            <family val="2"/>
          </rPr>
          <t xml:space="preserve">
PTE AC ENVIAR CORRECCIONES</t>
        </r>
      </text>
    </comment>
    <comment ref="T20" authorId="1" shapeId="0">
      <text>
        <r>
          <rPr>
            <b/>
            <sz val="9"/>
            <color indexed="81"/>
            <rFont val="Tahoma"/>
            <family val="2"/>
          </rPr>
          <t>Leidy:</t>
        </r>
        <r>
          <rPr>
            <sz val="9"/>
            <color indexed="81"/>
            <rFont val="Tahoma"/>
            <family val="2"/>
          </rPr>
          <t xml:space="preserve">
PTE AC ENVIAR CORRECCIONES</t>
        </r>
      </text>
    </comment>
    <comment ref="T22" authorId="1" shapeId="0">
      <text>
        <r>
          <rPr>
            <b/>
            <sz val="9"/>
            <color indexed="81"/>
            <rFont val="Tahoma"/>
            <family val="2"/>
          </rPr>
          <t>Leidy:</t>
        </r>
        <r>
          <rPr>
            <sz val="9"/>
            <color indexed="81"/>
            <rFont val="Tahoma"/>
            <family val="2"/>
          </rPr>
          <t xml:space="preserve">
PTE AC ENVIAR CORRECCIONES</t>
        </r>
      </text>
    </comment>
  </commentList>
</comments>
</file>

<file path=xl/comments7.xml><?xml version="1.0" encoding="utf-8"?>
<comments xmlns="http://schemas.openxmlformats.org/spreadsheetml/2006/main">
  <authors>
    <author>Leidy</author>
  </authors>
  <commentList>
    <comment ref="O38" authorId="0" shapeId="0">
      <text>
        <r>
          <rPr>
            <b/>
            <sz val="9"/>
            <color indexed="81"/>
            <rFont val="Tahoma"/>
            <family val="2"/>
          </rPr>
          <t>Leidy:</t>
        </r>
        <r>
          <rPr>
            <sz val="9"/>
            <color indexed="81"/>
            <rFont val="Tahoma"/>
            <family val="2"/>
          </rPr>
          <t xml:space="preserve">
COMENTARIOS</t>
        </r>
      </text>
    </comment>
  </commentList>
</comments>
</file>

<file path=xl/comments8.xml><?xml version="1.0" encoding="utf-8"?>
<comments xmlns="http://schemas.openxmlformats.org/spreadsheetml/2006/main">
  <authors>
    <author>Leidy</author>
    <author>Dania Marquez</author>
  </authors>
  <commentList>
    <comment ref="L14" authorId="0" shapeId="0">
      <text>
        <r>
          <rPr>
            <b/>
            <sz val="9"/>
            <color indexed="81"/>
            <rFont val="Tahoma"/>
            <family val="2"/>
          </rPr>
          <t>Leidy:</t>
        </r>
        <r>
          <rPr>
            <sz val="9"/>
            <color indexed="81"/>
            <rFont val="Tahoma"/>
            <family val="2"/>
          </rPr>
          <t xml:space="preserve">
PTE AC ENVIAR CORRECCIONES</t>
        </r>
      </text>
    </comment>
    <comment ref="R18" authorId="1" shapeId="0">
      <text>
        <r>
          <rPr>
            <b/>
            <sz val="9"/>
            <color indexed="81"/>
            <rFont val="Tahoma"/>
            <family val="2"/>
          </rPr>
          <t>Dania Marquez:</t>
        </r>
        <r>
          <rPr>
            <sz val="9"/>
            <color indexed="81"/>
            <rFont val="Tahoma"/>
            <family val="2"/>
          </rPr>
          <t xml:space="preserve">
Se relizó solo el diseño de una estrcutura
</t>
        </r>
      </text>
    </comment>
    <comment ref="R22" authorId="1" shapeId="0">
      <text>
        <r>
          <rPr>
            <b/>
            <sz val="9"/>
            <color indexed="81"/>
            <rFont val="Tahoma"/>
            <family val="2"/>
          </rPr>
          <t>Dania Marquez:</t>
        </r>
        <r>
          <rPr>
            <sz val="9"/>
            <color indexed="81"/>
            <rFont val="Tahoma"/>
            <family val="2"/>
          </rPr>
          <t xml:space="preserve">
Se relizó solo un apique </t>
        </r>
      </text>
    </comment>
  </commentList>
</comments>
</file>

<file path=xl/comments9.xml><?xml version="1.0" encoding="utf-8"?>
<comments xmlns="http://schemas.openxmlformats.org/spreadsheetml/2006/main">
  <authors>
    <author>Leidy</author>
  </authors>
  <commentList>
    <comment ref="K16" authorId="0" shapeId="0">
      <text>
        <r>
          <rPr>
            <b/>
            <sz val="9"/>
            <color indexed="81"/>
            <rFont val="Tahoma"/>
            <family val="2"/>
          </rPr>
          <t>Leidy:</t>
        </r>
        <r>
          <rPr>
            <sz val="9"/>
            <color indexed="81"/>
            <rFont val="Tahoma"/>
            <family val="2"/>
          </rPr>
          <t xml:space="preserve">
PTE AC ENVIAR CORRECCIONES</t>
        </r>
      </text>
    </comment>
    <comment ref="K18" authorId="0" shapeId="0">
      <text>
        <r>
          <rPr>
            <b/>
            <sz val="9"/>
            <color indexed="81"/>
            <rFont val="Tahoma"/>
            <family val="2"/>
          </rPr>
          <t>Leidy:</t>
        </r>
        <r>
          <rPr>
            <sz val="9"/>
            <color indexed="81"/>
            <rFont val="Tahoma"/>
            <family val="2"/>
          </rPr>
          <t xml:space="preserve">
PTE AC ENVIAR CORRECCIONES</t>
        </r>
      </text>
    </comment>
  </commentList>
</comments>
</file>

<file path=xl/comments10.xml><?xml version="1.0" encoding="utf-8"?>
<comments xmlns="http://schemas.openxmlformats.org/spreadsheetml/2006/main">
  <authors>
    <author>Leidy</author>
  </authors>
  <commentList>
    <comment ref="N26" authorId="0" shapeId="0">
      <text>
        <r>
          <rPr>
            <b/>
            <sz val="9"/>
            <color indexed="81"/>
            <rFont val="Tahoma"/>
            <family val="2"/>
          </rPr>
          <t>Leidy:</t>
        </r>
        <r>
          <rPr>
            <sz val="9"/>
            <color indexed="81"/>
            <rFont val="Tahoma"/>
            <family val="2"/>
          </rPr>
          <t xml:space="preserve">
canalizaciones civiles</t>
        </r>
      </text>
    </comment>
  </commentList>
</comments>
</file>

<file path=xl/comments11.xml><?xml version="1.0" encoding="utf-8"?>
<comments xmlns="http://schemas.openxmlformats.org/spreadsheetml/2006/main">
  <authors>
    <author>Leidy</author>
  </authors>
  <commentList>
    <comment ref="K14" authorId="0" shapeId="0">
      <text>
        <r>
          <rPr>
            <b/>
            <sz val="9"/>
            <color indexed="81"/>
            <rFont val="Tahoma"/>
            <family val="2"/>
          </rPr>
          <t>Leidy:</t>
        </r>
        <r>
          <rPr>
            <sz val="9"/>
            <color indexed="81"/>
            <rFont val="Tahoma"/>
            <family val="2"/>
          </rPr>
          <t xml:space="preserve">
EN COMENTARIOS</t>
        </r>
      </text>
    </comment>
    <comment ref="N20" authorId="0" shapeId="0">
      <text>
        <r>
          <rPr>
            <b/>
            <sz val="9"/>
            <color indexed="81"/>
            <rFont val="Tahoma"/>
            <family val="2"/>
          </rPr>
          <t>Leidy:</t>
        </r>
        <r>
          <rPr>
            <sz val="9"/>
            <color indexed="81"/>
            <rFont val="Tahoma"/>
            <family val="2"/>
          </rPr>
          <t xml:space="preserve">
PTE ENVIAR ENTREGABLES COMPLETOS</t>
        </r>
      </text>
    </comment>
  </commentList>
</comments>
</file>

<file path=xl/comments12.xml><?xml version="1.0" encoding="utf-8"?>
<comments xmlns="http://schemas.openxmlformats.org/spreadsheetml/2006/main">
  <authors>
    <author>Leidy</author>
  </authors>
  <commentList>
    <comment ref="E24" authorId="0" shapeId="0">
      <text>
        <r>
          <rPr>
            <b/>
            <sz val="9"/>
            <color indexed="81"/>
            <rFont val="Tahoma"/>
            <family val="2"/>
          </rPr>
          <t>Leidy:</t>
        </r>
        <r>
          <rPr>
            <sz val="9"/>
            <color indexed="81"/>
            <rFont val="Tahoma"/>
            <family val="2"/>
          </rPr>
          <t xml:space="preserve">
,3 codificación + ,7 para el diseño - modificar portada</t>
        </r>
      </text>
    </comment>
    <comment ref="E26" authorId="0" shapeId="0">
      <text>
        <r>
          <rPr>
            <b/>
            <sz val="9"/>
            <color indexed="81"/>
            <rFont val="Tahoma"/>
            <family val="2"/>
          </rPr>
          <t>Leidy:</t>
        </r>
        <r>
          <rPr>
            <sz val="9"/>
            <color indexed="81"/>
            <rFont val="Tahoma"/>
            <family val="2"/>
          </rPr>
          <t xml:space="preserve">
1 Unid para codificación 
1 Unid para medida de resistividad terreno</t>
        </r>
      </text>
    </comment>
    <comment ref="P28" authorId="0" shapeId="0">
      <text>
        <r>
          <rPr>
            <b/>
            <sz val="9"/>
            <color indexed="81"/>
            <rFont val="Tahoma"/>
            <family val="2"/>
          </rPr>
          <t>Leidy:</t>
        </r>
        <r>
          <rPr>
            <sz val="9"/>
            <color indexed="81"/>
            <rFont val="Tahoma"/>
            <family val="2"/>
          </rPr>
          <t xml:space="preserve">
por cobro doble labor 56</t>
        </r>
      </text>
    </comment>
    <comment ref="S28" authorId="0" shapeId="0">
      <text>
        <r>
          <rPr>
            <b/>
            <sz val="9"/>
            <color indexed="81"/>
            <rFont val="Tahoma"/>
            <family val="2"/>
          </rPr>
          <t>Leidy:</t>
        </r>
        <r>
          <rPr>
            <sz val="9"/>
            <color indexed="81"/>
            <rFont val="Tahoma"/>
            <family val="2"/>
          </rPr>
          <t xml:space="preserve">
por cobro doble labor 56</t>
        </r>
      </text>
    </comment>
  </commentList>
</comments>
</file>

<file path=xl/comments13.xml><?xml version="1.0" encoding="utf-8"?>
<comments xmlns="http://schemas.openxmlformats.org/spreadsheetml/2006/main">
  <authors>
    <author>Dania Marquez</author>
  </authors>
  <commentList>
    <comment ref="Q26" authorId="0" shapeId="0">
      <text>
        <r>
          <rPr>
            <b/>
            <sz val="9"/>
            <color indexed="81"/>
            <rFont val="Tahoma"/>
            <family val="2"/>
          </rPr>
          <t>Dania Marquez:</t>
        </r>
        <r>
          <rPr>
            <sz val="9"/>
            <color indexed="81"/>
            <rFont val="Tahoma"/>
            <family val="2"/>
          </rPr>
          <t xml:space="preserve">
CANALIZACIONES CIV</t>
        </r>
      </text>
    </comment>
  </commentList>
</comments>
</file>

<file path=xl/comments14.xml><?xml version="1.0" encoding="utf-8"?>
<comments xmlns="http://schemas.openxmlformats.org/spreadsheetml/2006/main">
  <authors>
    <author>Leidy</author>
  </authors>
  <commentList>
    <comment ref="N14" authorId="0" shapeId="0">
      <text>
        <r>
          <rPr>
            <b/>
            <sz val="9"/>
            <color indexed="81"/>
            <rFont val="Tahoma"/>
            <family val="2"/>
          </rPr>
          <t>Leidy:</t>
        </r>
        <r>
          <rPr>
            <sz val="9"/>
            <color indexed="81"/>
            <rFont val="Tahoma"/>
            <family val="2"/>
          </rPr>
          <t xml:space="preserve">
revisión codensa</t>
        </r>
      </text>
    </comment>
    <comment ref="N15" authorId="0" shapeId="0">
      <text>
        <r>
          <rPr>
            <b/>
            <sz val="9"/>
            <color indexed="81"/>
            <rFont val="Tahoma"/>
            <family val="2"/>
          </rPr>
          <t>Leidy:</t>
        </r>
        <r>
          <rPr>
            <sz val="9"/>
            <color indexed="81"/>
            <rFont val="Tahoma"/>
            <family val="2"/>
          </rPr>
          <t xml:space="preserve">
revisión codensa</t>
        </r>
      </text>
    </comment>
    <comment ref="N17" authorId="0" shapeId="0">
      <text>
        <r>
          <rPr>
            <b/>
            <sz val="9"/>
            <color indexed="81"/>
            <rFont val="Tahoma"/>
            <family val="2"/>
          </rPr>
          <t>Leidy:</t>
        </r>
        <r>
          <rPr>
            <sz val="9"/>
            <color indexed="81"/>
            <rFont val="Tahoma"/>
            <family val="2"/>
          </rPr>
          <t xml:space="preserve">
revisión codensa</t>
        </r>
      </text>
    </comment>
    <comment ref="N20" authorId="0" shapeId="0">
      <text>
        <r>
          <rPr>
            <b/>
            <sz val="9"/>
            <color indexed="81"/>
            <rFont val="Tahoma"/>
            <family val="2"/>
          </rPr>
          <t>Leidy:</t>
        </r>
        <r>
          <rPr>
            <sz val="9"/>
            <color indexed="81"/>
            <rFont val="Tahoma"/>
            <family val="2"/>
          </rPr>
          <t xml:space="preserve">
revisión codensa</t>
        </r>
      </text>
    </comment>
    <comment ref="N23" authorId="0" shapeId="0">
      <text>
        <r>
          <rPr>
            <b/>
            <sz val="9"/>
            <color indexed="81"/>
            <rFont val="Tahoma"/>
            <family val="2"/>
          </rPr>
          <t>Leidy:</t>
        </r>
        <r>
          <rPr>
            <sz val="9"/>
            <color indexed="81"/>
            <rFont val="Tahoma"/>
            <family val="2"/>
          </rPr>
          <t xml:space="preserve">
revisión codensa</t>
        </r>
      </text>
    </comment>
  </commentList>
</comments>
</file>

<file path=xl/comments15.xml><?xml version="1.0" encoding="utf-8"?>
<comments xmlns="http://schemas.openxmlformats.org/spreadsheetml/2006/main">
  <authors>
    <author>Leidy</author>
  </authors>
  <commentList>
    <comment ref="N15" authorId="0" shapeId="0">
      <text>
        <r>
          <rPr>
            <b/>
            <sz val="9"/>
            <color indexed="81"/>
            <rFont val="Tahoma"/>
            <family val="2"/>
          </rPr>
          <t>Leidy:</t>
        </r>
        <r>
          <rPr>
            <sz val="9"/>
            <color indexed="81"/>
            <rFont val="Tahoma"/>
            <family val="2"/>
          </rPr>
          <t xml:space="preserve">
pte corrrecciones AC</t>
        </r>
      </text>
    </comment>
    <comment ref="Q15" authorId="0" shapeId="0">
      <text>
        <r>
          <rPr>
            <b/>
            <sz val="9"/>
            <color indexed="81"/>
            <rFont val="Tahoma"/>
            <family val="2"/>
          </rPr>
          <t>Leidy:</t>
        </r>
        <r>
          <rPr>
            <sz val="9"/>
            <color indexed="81"/>
            <rFont val="Tahoma"/>
            <family val="2"/>
          </rPr>
          <t xml:space="preserve">
pte corrrecciones AC</t>
        </r>
      </text>
    </comment>
    <comment ref="K18" authorId="0" shapeId="0">
      <text>
        <r>
          <rPr>
            <b/>
            <sz val="9"/>
            <color indexed="81"/>
            <rFont val="Tahoma"/>
            <family val="2"/>
          </rPr>
          <t>Leidy:</t>
        </r>
        <r>
          <rPr>
            <sz val="9"/>
            <color indexed="81"/>
            <rFont val="Tahoma"/>
            <family val="2"/>
          </rPr>
          <t xml:space="preserve">
PTE CORRECCIONES</t>
        </r>
      </text>
    </comment>
  </commentList>
</comments>
</file>

<file path=xl/comments16.xml><?xml version="1.0" encoding="utf-8"?>
<comments xmlns="http://schemas.openxmlformats.org/spreadsheetml/2006/main">
  <authors>
    <author>Leidy</author>
  </authors>
  <commentList>
    <comment ref="N16" authorId="0" shapeId="0">
      <text>
        <r>
          <rPr>
            <b/>
            <sz val="9"/>
            <color indexed="81"/>
            <rFont val="Tahoma"/>
            <family val="2"/>
          </rPr>
          <t>Leidy:</t>
        </r>
        <r>
          <rPr>
            <sz val="9"/>
            <color indexed="81"/>
            <rFont val="Tahoma"/>
            <family val="2"/>
          </rPr>
          <t xml:space="preserve">
PTE AC ENVIAR CORRECCIONES</t>
        </r>
      </text>
    </comment>
    <comment ref="Q16" authorId="0" shapeId="0">
      <text>
        <r>
          <rPr>
            <b/>
            <sz val="9"/>
            <color indexed="81"/>
            <rFont val="Tahoma"/>
            <family val="2"/>
          </rPr>
          <t>Leidy:</t>
        </r>
        <r>
          <rPr>
            <sz val="9"/>
            <color indexed="81"/>
            <rFont val="Tahoma"/>
            <family val="2"/>
          </rPr>
          <t xml:space="preserve">
PTE AC ENVIAR CORRECCIONES</t>
        </r>
      </text>
    </comment>
    <comment ref="N19" authorId="0" shapeId="0">
      <text>
        <r>
          <rPr>
            <b/>
            <sz val="9"/>
            <color indexed="81"/>
            <rFont val="Tahoma"/>
            <family val="2"/>
          </rPr>
          <t>Leidy:</t>
        </r>
        <r>
          <rPr>
            <sz val="9"/>
            <color indexed="81"/>
            <rFont val="Tahoma"/>
            <family val="2"/>
          </rPr>
          <t xml:space="preserve">
PTE AC ENVIAR CORRECCIONES</t>
        </r>
      </text>
    </comment>
    <comment ref="Q19" authorId="0" shapeId="0">
      <text>
        <r>
          <rPr>
            <b/>
            <sz val="9"/>
            <color indexed="81"/>
            <rFont val="Tahoma"/>
            <family val="2"/>
          </rPr>
          <t>Leidy:</t>
        </r>
        <r>
          <rPr>
            <sz val="9"/>
            <color indexed="81"/>
            <rFont val="Tahoma"/>
            <family val="2"/>
          </rPr>
          <t xml:space="preserve">
PTE AC ENVIAR CORRECCIONES</t>
        </r>
      </text>
    </comment>
    <comment ref="N22" authorId="0" shapeId="0">
      <text>
        <r>
          <rPr>
            <b/>
            <sz val="9"/>
            <color indexed="81"/>
            <rFont val="Tahoma"/>
            <family val="2"/>
          </rPr>
          <t>Leidy:</t>
        </r>
        <r>
          <rPr>
            <sz val="9"/>
            <color indexed="81"/>
            <rFont val="Tahoma"/>
            <family val="2"/>
          </rPr>
          <t xml:space="preserve">
PTE AC ENVIAR CORRECCIONES</t>
        </r>
      </text>
    </comment>
    <comment ref="Q22" authorId="0" shapeId="0">
      <text>
        <r>
          <rPr>
            <b/>
            <sz val="9"/>
            <color indexed="81"/>
            <rFont val="Tahoma"/>
            <family val="2"/>
          </rPr>
          <t>Leidy:</t>
        </r>
        <r>
          <rPr>
            <sz val="9"/>
            <color indexed="81"/>
            <rFont val="Tahoma"/>
            <family val="2"/>
          </rPr>
          <t xml:space="preserve">
PTE AC ENVIAR CORRECCIONES</t>
        </r>
      </text>
    </comment>
  </commentList>
</comments>
</file>

<file path=xl/comments17.xml><?xml version="1.0" encoding="utf-8"?>
<comments xmlns="http://schemas.openxmlformats.org/spreadsheetml/2006/main">
  <authors>
    <author>Leidy</author>
  </authors>
  <commentList>
    <comment ref="N14" authorId="0" shapeId="0">
      <text>
        <r>
          <rPr>
            <b/>
            <sz val="9"/>
            <color indexed="81"/>
            <rFont val="Tahoma"/>
            <family val="2"/>
          </rPr>
          <t>Leidy:</t>
        </r>
        <r>
          <rPr>
            <sz val="9"/>
            <color indexed="81"/>
            <rFont val="Tahoma"/>
            <family val="2"/>
          </rPr>
          <t xml:space="preserve">
PTE AC ENVIAR COMENTARIOS</t>
        </r>
      </text>
    </comment>
    <comment ref="N15" authorId="0" shapeId="0">
      <text>
        <r>
          <rPr>
            <b/>
            <sz val="9"/>
            <color indexed="81"/>
            <rFont val="Tahoma"/>
            <family val="2"/>
          </rPr>
          <t>Leidy:</t>
        </r>
        <r>
          <rPr>
            <sz val="9"/>
            <color indexed="81"/>
            <rFont val="Tahoma"/>
            <family val="2"/>
          </rPr>
          <t xml:space="preserve">
PTE AC ENVIAR COMENTARIOS</t>
        </r>
      </text>
    </comment>
    <comment ref="Q15" authorId="0" shapeId="0">
      <text>
        <r>
          <rPr>
            <b/>
            <sz val="9"/>
            <color indexed="81"/>
            <rFont val="Tahoma"/>
            <family val="2"/>
          </rPr>
          <t>Leidy:</t>
        </r>
        <r>
          <rPr>
            <sz val="9"/>
            <color indexed="81"/>
            <rFont val="Tahoma"/>
            <family val="2"/>
          </rPr>
          <t xml:space="preserve">
PTE AC ENVIAR COMENTARIOS</t>
        </r>
      </text>
    </comment>
    <comment ref="N17" authorId="0" shapeId="0">
      <text>
        <r>
          <rPr>
            <b/>
            <sz val="9"/>
            <color indexed="81"/>
            <rFont val="Tahoma"/>
            <family val="2"/>
          </rPr>
          <t>Leidy:</t>
        </r>
        <r>
          <rPr>
            <sz val="9"/>
            <color indexed="81"/>
            <rFont val="Tahoma"/>
            <family val="2"/>
          </rPr>
          <t xml:space="preserve">
PTE AC ENVIAR COMENTARIOS</t>
        </r>
      </text>
    </comment>
    <comment ref="N18" authorId="0" shapeId="0">
      <text>
        <r>
          <rPr>
            <b/>
            <sz val="9"/>
            <color indexed="81"/>
            <rFont val="Tahoma"/>
            <family val="2"/>
          </rPr>
          <t>Leidy:</t>
        </r>
        <r>
          <rPr>
            <sz val="9"/>
            <color indexed="81"/>
            <rFont val="Tahoma"/>
            <family val="2"/>
          </rPr>
          <t xml:space="preserve">
PTE AC ENVIAR COMENTARIOS</t>
        </r>
      </text>
    </comment>
    <comment ref="Q18" authorId="0" shapeId="0">
      <text>
        <r>
          <rPr>
            <b/>
            <sz val="9"/>
            <color indexed="81"/>
            <rFont val="Tahoma"/>
            <family val="2"/>
          </rPr>
          <t>Leidy:</t>
        </r>
        <r>
          <rPr>
            <sz val="9"/>
            <color indexed="81"/>
            <rFont val="Tahoma"/>
            <family val="2"/>
          </rPr>
          <t xml:space="preserve">
PTE AC ENVIAR COMENTARIOS</t>
        </r>
      </text>
    </comment>
  </commentList>
</comments>
</file>

<file path=xl/comments18.xml><?xml version="1.0" encoding="utf-8"?>
<comments xmlns="http://schemas.openxmlformats.org/spreadsheetml/2006/main">
  <authors>
    <author>Dania Marquez</author>
  </authors>
  <commentList>
    <comment ref="K17" authorId="0" shapeId="0">
      <text>
        <r>
          <rPr>
            <b/>
            <sz val="9"/>
            <color indexed="81"/>
            <rFont val="Tahoma"/>
            <family val="2"/>
          </rPr>
          <t>Dania Marquez:</t>
        </r>
        <r>
          <rPr>
            <sz val="9"/>
            <color indexed="81"/>
            <rFont val="Tahoma"/>
            <family val="2"/>
          </rPr>
          <t xml:space="preserve">
CANALIZACIONES CIV</t>
        </r>
      </text>
    </comment>
  </commentList>
</comments>
</file>

<file path=xl/comments19.xml><?xml version="1.0" encoding="utf-8"?>
<comments xmlns="http://schemas.openxmlformats.org/spreadsheetml/2006/main">
  <authors>
    <author>Leidy</author>
  </authors>
  <commentList>
    <comment ref="N26" authorId="0" shapeId="0">
      <text>
        <r>
          <rPr>
            <b/>
            <sz val="9"/>
            <color indexed="81"/>
            <rFont val="Tahoma"/>
            <family val="2"/>
          </rPr>
          <t>Leidy:</t>
        </r>
        <r>
          <rPr>
            <sz val="9"/>
            <color indexed="81"/>
            <rFont val="Tahoma"/>
            <family val="2"/>
          </rPr>
          <t xml:space="preserve">
Comentarios Codensa</t>
        </r>
      </text>
    </comment>
  </commentList>
</comments>
</file>

<file path=xl/comments20.xml><?xml version="1.0" encoding="utf-8"?>
<comments xmlns="http://schemas.openxmlformats.org/spreadsheetml/2006/main">
  <authors>
    <author>Leidy</author>
    <author>Dania Marquez</author>
  </authors>
  <commentList>
    <comment ref="Q14" authorId="0" shapeId="0">
      <text>
        <r>
          <rPr>
            <b/>
            <sz val="9"/>
            <color indexed="81"/>
            <rFont val="Tahoma"/>
            <family val="2"/>
          </rPr>
          <t>Leidy:</t>
        </r>
        <r>
          <rPr>
            <sz val="9"/>
            <color indexed="81"/>
            <rFont val="Tahoma"/>
            <family val="2"/>
          </rPr>
          <t xml:space="preserve">
EN REVISIÓN
</t>
        </r>
      </text>
    </comment>
    <comment ref="K16" authorId="1" shapeId="0">
      <text>
        <r>
          <rPr>
            <b/>
            <sz val="9"/>
            <color indexed="81"/>
            <rFont val="Tahoma"/>
            <family val="2"/>
          </rPr>
          <t>Dania Marquez:</t>
        </r>
        <r>
          <rPr>
            <sz val="9"/>
            <color indexed="81"/>
            <rFont val="Tahoma"/>
            <family val="2"/>
          </rPr>
          <t xml:space="preserve">
informe vulnerabiliadad</t>
        </r>
      </text>
    </comment>
    <comment ref="N16" authorId="1" shapeId="0">
      <text>
        <r>
          <rPr>
            <b/>
            <sz val="9"/>
            <color indexed="81"/>
            <rFont val="Tahoma"/>
            <family val="2"/>
          </rPr>
          <t>Dania Marquez:</t>
        </r>
        <r>
          <rPr>
            <sz val="9"/>
            <color indexed="81"/>
            <rFont val="Tahoma"/>
            <family val="2"/>
          </rPr>
          <t xml:space="preserve">
Reforzamento estructural</t>
        </r>
      </text>
    </comment>
    <comment ref="Q16" authorId="0" shapeId="0">
      <text>
        <r>
          <rPr>
            <b/>
            <sz val="9"/>
            <color indexed="81"/>
            <rFont val="Tahoma"/>
            <family val="2"/>
          </rPr>
          <t>Leidy:</t>
        </r>
        <r>
          <rPr>
            <sz val="9"/>
            <color indexed="81"/>
            <rFont val="Tahoma"/>
            <family val="2"/>
          </rPr>
          <t xml:space="preserve">
PTE DIS PLAN EJECUCIÓN OBRA</t>
        </r>
      </text>
    </comment>
  </commentList>
</comments>
</file>

<file path=xl/comments21.xml><?xml version="1.0" encoding="utf-8"?>
<comments xmlns="http://schemas.openxmlformats.org/spreadsheetml/2006/main">
  <authors>
    <author>Leidy</author>
  </authors>
  <commentList>
    <comment ref="N33" authorId="0" shapeId="0">
      <text>
        <r>
          <rPr>
            <b/>
            <sz val="9"/>
            <color indexed="81"/>
            <rFont val="Tahoma"/>
            <family val="2"/>
          </rPr>
          <t>Leidy:</t>
        </r>
        <r>
          <rPr>
            <sz val="9"/>
            <color indexed="81"/>
            <rFont val="Tahoma"/>
            <family val="2"/>
          </rPr>
          <t xml:space="preserve">
EN REVISIÓN</t>
        </r>
      </text>
    </comment>
  </commentList>
</comments>
</file>

<file path=xl/comments22.xml><?xml version="1.0" encoding="utf-8"?>
<comments xmlns="http://schemas.openxmlformats.org/spreadsheetml/2006/main">
  <authors>
    <author>Leidy</author>
  </authors>
  <commentList>
    <comment ref="K14" authorId="0" shapeId="0">
      <text>
        <r>
          <rPr>
            <b/>
            <sz val="9"/>
            <color indexed="81"/>
            <rFont val="Tahoma"/>
            <family val="2"/>
          </rPr>
          <t>Leidy:</t>
        </r>
        <r>
          <rPr>
            <sz val="9"/>
            <color indexed="81"/>
            <rFont val="Tahoma"/>
            <family val="2"/>
          </rPr>
          <t xml:space="preserve">
COMENTARIOS</t>
        </r>
      </text>
    </comment>
  </commentList>
</comments>
</file>

<file path=xl/comments23.xml><?xml version="1.0" encoding="utf-8"?>
<comments xmlns="http://schemas.openxmlformats.org/spreadsheetml/2006/main">
  <authors>
    <author>Dania Marquez</author>
  </authors>
  <commentList>
    <comment ref="K27" authorId="0" shapeId="0">
      <text>
        <r>
          <rPr>
            <b/>
            <sz val="9"/>
            <color indexed="81"/>
            <rFont val="Tahoma"/>
            <family val="2"/>
          </rPr>
          <t>Dania Marquez:</t>
        </r>
        <r>
          <rPr>
            <sz val="9"/>
            <color indexed="81"/>
            <rFont val="Tahoma"/>
            <family val="2"/>
          </rPr>
          <t xml:space="preserve">
DIS CIV CANALIZACIONES</t>
        </r>
      </text>
    </comment>
    <comment ref="N27" authorId="0" shapeId="0">
      <text>
        <r>
          <rPr>
            <b/>
            <sz val="9"/>
            <color indexed="81"/>
            <rFont val="Tahoma"/>
            <family val="2"/>
          </rPr>
          <t>Dania Marquez:</t>
        </r>
        <r>
          <rPr>
            <sz val="9"/>
            <color indexed="81"/>
            <rFont val="Tahoma"/>
            <family val="2"/>
          </rPr>
          <t xml:space="preserve">
DIS Cimec CANALIZACIONES</t>
        </r>
      </text>
    </comment>
    <comment ref="K29" authorId="0" shapeId="0">
      <text>
        <r>
          <rPr>
            <b/>
            <sz val="9"/>
            <color indexed="81"/>
            <rFont val="Tahoma"/>
            <family val="2"/>
          </rPr>
          <t>Dania Marquez:</t>
        </r>
        <r>
          <rPr>
            <sz val="9"/>
            <color indexed="81"/>
            <rFont val="Tahoma"/>
            <family val="2"/>
          </rPr>
          <t xml:space="preserve">
DIS CIV CANALIZACIONES</t>
        </r>
      </text>
    </comment>
    <comment ref="N29" authorId="0" shapeId="0">
      <text>
        <r>
          <rPr>
            <b/>
            <sz val="9"/>
            <color indexed="81"/>
            <rFont val="Tahoma"/>
            <family val="2"/>
          </rPr>
          <t>Dania Marquez:</t>
        </r>
        <r>
          <rPr>
            <sz val="9"/>
            <color indexed="81"/>
            <rFont val="Tahoma"/>
            <family val="2"/>
          </rPr>
          <t xml:space="preserve">
Canalizaciones mecánicas</t>
        </r>
      </text>
    </comment>
  </commentList>
</comments>
</file>

<file path=xl/comments24.xml><?xml version="1.0" encoding="utf-8"?>
<comments xmlns="http://schemas.openxmlformats.org/spreadsheetml/2006/main">
  <authors>
    <author>Leidy</author>
  </authors>
  <commentList>
    <comment ref="K14" authorId="0" shapeId="0">
      <text>
        <r>
          <rPr>
            <b/>
            <sz val="9"/>
            <color indexed="81"/>
            <rFont val="Tahoma"/>
            <family val="2"/>
          </rPr>
          <t>Leidy:</t>
        </r>
        <r>
          <rPr>
            <sz val="9"/>
            <color indexed="81"/>
            <rFont val="Tahoma"/>
            <family val="2"/>
          </rPr>
          <t xml:space="preserve">
REVISIONES</t>
        </r>
      </text>
    </comment>
    <comment ref="N14" authorId="0" shapeId="0">
      <text>
        <r>
          <rPr>
            <b/>
            <sz val="9"/>
            <color indexed="81"/>
            <rFont val="Tahoma"/>
            <family val="2"/>
          </rPr>
          <t>Leidy:</t>
        </r>
        <r>
          <rPr>
            <sz val="9"/>
            <color indexed="81"/>
            <rFont val="Tahoma"/>
            <family val="2"/>
          </rPr>
          <t xml:space="preserve">
REVISIONES</t>
        </r>
      </text>
    </comment>
    <comment ref="K18" authorId="0" shapeId="0">
      <text>
        <r>
          <rPr>
            <b/>
            <sz val="9"/>
            <color indexed="81"/>
            <rFont val="Tahoma"/>
            <family val="2"/>
          </rPr>
          <t>Leidy:</t>
        </r>
        <r>
          <rPr>
            <sz val="9"/>
            <color indexed="81"/>
            <rFont val="Tahoma"/>
            <family val="2"/>
          </rPr>
          <t xml:space="preserve">
REVISIONES</t>
        </r>
      </text>
    </comment>
    <comment ref="N18" authorId="0" shapeId="0">
      <text>
        <r>
          <rPr>
            <b/>
            <sz val="9"/>
            <color indexed="81"/>
            <rFont val="Tahoma"/>
            <family val="2"/>
          </rPr>
          <t>Leidy:</t>
        </r>
        <r>
          <rPr>
            <sz val="9"/>
            <color indexed="81"/>
            <rFont val="Tahoma"/>
            <family val="2"/>
          </rPr>
          <t xml:space="preserve">
REVISIONES</t>
        </r>
      </text>
    </comment>
  </commentList>
</comments>
</file>

<file path=xl/comments25.xml><?xml version="1.0" encoding="utf-8"?>
<comments xmlns="http://schemas.openxmlformats.org/spreadsheetml/2006/main">
  <authors>
    <author>Leidy</author>
  </authors>
  <commentList>
    <comment ref="I14" authorId="0" shapeId="0">
      <text>
        <r>
          <rPr>
            <b/>
            <sz val="9"/>
            <color indexed="81"/>
            <rFont val="Tahoma"/>
            <family val="2"/>
          </rPr>
          <t>Leidy:</t>
        </r>
        <r>
          <rPr>
            <sz val="9"/>
            <color indexed="81"/>
            <rFont val="Tahoma"/>
            <family val="2"/>
          </rPr>
          <t xml:space="preserve">
NO SE REALIZA</t>
        </r>
      </text>
    </comment>
  </commentList>
</comments>
</file>

<file path=xl/comments26.xml><?xml version="1.0" encoding="utf-8"?>
<comments xmlns="http://schemas.openxmlformats.org/spreadsheetml/2006/main">
  <authors>
    <author>Dania Marquez</author>
  </authors>
  <commentList>
    <comment ref="K27" authorId="0" shapeId="0">
      <text>
        <r>
          <rPr>
            <b/>
            <sz val="9"/>
            <color indexed="81"/>
            <rFont val="Tahoma"/>
            <family val="2"/>
          </rPr>
          <t>Dania Marquez:</t>
        </r>
        <r>
          <rPr>
            <sz val="9"/>
            <color indexed="81"/>
            <rFont val="Tahoma"/>
            <family val="2"/>
          </rPr>
          <t xml:space="preserve">
DIS CIV CANALIZACIONES</t>
        </r>
      </text>
    </comment>
    <comment ref="K29" authorId="0" shapeId="0">
      <text>
        <r>
          <rPr>
            <b/>
            <sz val="9"/>
            <color indexed="81"/>
            <rFont val="Tahoma"/>
            <family val="2"/>
          </rPr>
          <t>Dania Marquez:</t>
        </r>
        <r>
          <rPr>
            <sz val="9"/>
            <color indexed="81"/>
            <rFont val="Tahoma"/>
            <family val="2"/>
          </rPr>
          <t xml:space="preserve">
DIS CIV CANALIZACIONES</t>
        </r>
      </text>
    </comment>
  </commentList>
</comments>
</file>

<file path=xl/comments27.xml><?xml version="1.0" encoding="utf-8"?>
<comments xmlns="http://schemas.openxmlformats.org/spreadsheetml/2006/main">
  <authors>
    <author>Dania Marquez</author>
  </authors>
  <commentList>
    <comment ref="K27" authorId="0" shapeId="0">
      <text>
        <r>
          <rPr>
            <b/>
            <sz val="9"/>
            <color indexed="81"/>
            <rFont val="Tahoma"/>
            <family val="2"/>
          </rPr>
          <t>Dania Marquez:DIS CIV CANALIZACIONES</t>
        </r>
      </text>
    </comment>
    <comment ref="K29" authorId="0" shapeId="0">
      <text>
        <r>
          <rPr>
            <b/>
            <sz val="9"/>
            <color indexed="81"/>
            <rFont val="Tahoma"/>
            <family val="2"/>
          </rPr>
          <t>Dania Marquez:DIS CIV CANALIZACIONES</t>
        </r>
      </text>
    </comment>
  </commentList>
</comments>
</file>

<file path=xl/comments28.xml><?xml version="1.0" encoding="utf-8"?>
<comments xmlns="http://schemas.openxmlformats.org/spreadsheetml/2006/main">
  <authors>
    <author>Dania Marquez</author>
  </authors>
  <commentList>
    <comment ref="K27" authorId="0" shapeId="0">
      <text>
        <r>
          <rPr>
            <b/>
            <sz val="9"/>
            <color indexed="81"/>
            <rFont val="Tahoma"/>
            <family val="2"/>
          </rPr>
          <t>Dania Marquez:</t>
        </r>
        <r>
          <rPr>
            <sz val="9"/>
            <color indexed="81"/>
            <rFont val="Tahoma"/>
            <family val="2"/>
          </rPr>
          <t xml:space="preserve">
DISEÑO CANALIZACIONES</t>
        </r>
      </text>
    </comment>
    <comment ref="K29" authorId="0" shapeId="0">
      <text>
        <r>
          <rPr>
            <b/>
            <sz val="9"/>
            <color indexed="81"/>
            <rFont val="Tahoma"/>
            <family val="2"/>
          </rPr>
          <t>Dania Marquez:</t>
        </r>
        <r>
          <rPr>
            <sz val="9"/>
            <color indexed="81"/>
            <rFont val="Tahoma"/>
            <family val="2"/>
          </rPr>
          <t xml:space="preserve">
DISEÑO CANALIZACIONES</t>
        </r>
      </text>
    </comment>
  </commentList>
</comments>
</file>

<file path=xl/comments29.xml><?xml version="1.0" encoding="utf-8"?>
<comments xmlns="http://schemas.openxmlformats.org/spreadsheetml/2006/main">
  <authors>
    <author>Dania Marquez</author>
  </authors>
  <commentList>
    <comment ref="K14" authorId="0" shapeId="0">
      <text>
        <r>
          <rPr>
            <b/>
            <sz val="9"/>
            <color indexed="81"/>
            <rFont val="Tahoma"/>
            <family val="2"/>
          </rPr>
          <t>Dania Marquez:</t>
        </r>
        <r>
          <rPr>
            <sz val="9"/>
            <color indexed="81"/>
            <rFont val="Tahoma"/>
            <family val="2"/>
          </rPr>
          <t xml:space="preserve">
Se entregó completo Tamarindo, JM, El Hobal, parte civil de la mesa y parte mec de Tocaima</t>
        </r>
      </text>
    </comment>
  </commentList>
</comments>
</file>

<file path=xl/comments30.xml><?xml version="1.0" encoding="utf-8"?>
<comments xmlns="http://schemas.openxmlformats.org/spreadsheetml/2006/main">
  <authors>
    <author>Dania Marquez</author>
  </authors>
  <commentList>
    <comment ref="K14" authorId="0" shapeId="0">
      <text>
        <r>
          <rPr>
            <b/>
            <sz val="9"/>
            <color indexed="81"/>
            <rFont val="Tahoma"/>
            <family val="2"/>
          </rPr>
          <t>Dania Marquez:</t>
        </r>
        <r>
          <rPr>
            <sz val="9"/>
            <color indexed="81"/>
            <rFont val="Tahoma"/>
            <family val="2"/>
          </rPr>
          <t xml:space="preserve">
Se entregó Anolaima DIS MEC / Puerto Salgar Dis Civ</t>
        </r>
      </text>
    </comment>
  </commentList>
</comments>
</file>

<file path=xl/sharedStrings.xml><?xml version="1.0" encoding="utf-8"?>
<sst xmlns="http://schemas.openxmlformats.org/spreadsheetml/2006/main" count="38363" uniqueCount="2873">
  <si>
    <t>PEP</t>
  </si>
  <si>
    <t>TOTAL</t>
  </si>
  <si>
    <t>REGISTRO</t>
  </si>
  <si>
    <t>Versión 2</t>
  </si>
  <si>
    <t>RESUMEN FACTURACIÓN</t>
  </si>
  <si>
    <t xml:space="preserve">AC ENERGY SAS </t>
  </si>
  <si>
    <t>ORDEN PRESUPUESTAL</t>
  </si>
  <si>
    <t>SUBESTACIÓN</t>
  </si>
  <si>
    <t>ORDEN</t>
  </si>
  <si>
    <t>CÓDIGO GOM</t>
  </si>
  <si>
    <t>PROYECTO</t>
  </si>
  <si>
    <t xml:space="preserve">Valor SubTotal OT (antes de IVA) </t>
  </si>
  <si>
    <t>UBICACIÓN 3 %</t>
  </si>
  <si>
    <t>Valor Subtotal a facturar (antes de IVA)</t>
  </si>
  <si>
    <t>% a Facturar</t>
  </si>
  <si>
    <t>Ubicación 3 %</t>
  </si>
  <si>
    <t xml:space="preserve">ACTA N° </t>
  </si>
  <si>
    <t>OBSERVACIONES</t>
  </si>
  <si>
    <t>SUB + 3%</t>
  </si>
  <si>
    <t>IVA (19%)</t>
  </si>
  <si>
    <t>Area</t>
  </si>
  <si>
    <t>PROYECTADO 27/02/17</t>
  </si>
  <si>
    <t>EJECUTADO A</t>
  </si>
  <si>
    <t>% CUMPLIMIENTO EJECUCION</t>
  </si>
  <si>
    <t xml:space="preserve">% APORTE </t>
  </si>
  <si>
    <t>ELÉCTRICO</t>
  </si>
  <si>
    <t>CIVIL</t>
  </si>
  <si>
    <t xml:space="preserve">MECÁNICO </t>
  </si>
  <si>
    <t>LINEAS</t>
  </si>
  <si>
    <t>OT</t>
  </si>
  <si>
    <t>TIPO</t>
  </si>
  <si>
    <t>VALOR</t>
  </si>
  <si>
    <t>ELECTRICÁ A HOY</t>
  </si>
  <si>
    <t>CIVIL A HOY</t>
  </si>
  <si>
    <t>MEC A HOY</t>
  </si>
  <si>
    <t>LINEAS A HOY</t>
  </si>
  <si>
    <t>TIPO ACTUAL</t>
  </si>
  <si>
    <t>17-096</t>
  </si>
  <si>
    <t>17-100</t>
  </si>
  <si>
    <t>17-142</t>
  </si>
  <si>
    <t xml:space="preserve">ACTA DE AVANCE DE OBRA </t>
  </si>
  <si>
    <t>PAG 1 DE 1</t>
  </si>
  <si>
    <t xml:space="preserve"> MEDICION PARCIAL DE AVANCE DE OBRA CODENSA SA ESP  </t>
  </si>
  <si>
    <t>DEPARTAMENTO DE PROYECTOS DE REDES ALTA TENSIÓN</t>
  </si>
  <si>
    <t>CONTRATO NO. 5700014501</t>
  </si>
  <si>
    <t xml:space="preserve">Nombre Empresa Contratista: AC Energy SAS - NIT: 900114323-9    </t>
  </si>
  <si>
    <t>valor ejecutado Acta No. 1</t>
  </si>
  <si>
    <t>valor ejecutado Acta No. 2</t>
  </si>
  <si>
    <t>valor ejecutado Acta No. 3</t>
  </si>
  <si>
    <t>Valor acumulado</t>
  </si>
  <si>
    <t>Módulo</t>
  </si>
  <si>
    <t>Labor</t>
  </si>
  <si>
    <t>Actividad</t>
  </si>
  <si>
    <t>Código GOM</t>
  </si>
  <si>
    <t>Cantidad</t>
  </si>
  <si>
    <t>Vr. Unitario
(2017)</t>
  </si>
  <si>
    <t>Vr. Total</t>
  </si>
  <si>
    <t>Observaciones</t>
  </si>
  <si>
    <t>%</t>
  </si>
  <si>
    <t>Ingeniería civil y mecánico (Levantamiento e ingeniería de detalle)</t>
  </si>
  <si>
    <t>SM22CIM</t>
  </si>
  <si>
    <t>Ingeniería eléctrica (Levantamiento e ingeniería de detalle)</t>
  </si>
  <si>
    <t>SM22ELE</t>
  </si>
  <si>
    <t>Subtotal labores No. 22:</t>
  </si>
  <si>
    <t>SUBTOTAL</t>
  </si>
  <si>
    <t>UBICACIÓN 3%</t>
  </si>
  <si>
    <t>IVA 19%</t>
  </si>
  <si>
    <t>Entregado por:</t>
  </si>
  <si>
    <t>Recibido por:</t>
  </si>
  <si>
    <t xml:space="preserve">TOTAL </t>
  </si>
  <si>
    <t>ACTAS</t>
  </si>
  <si>
    <t>VALOR SIN IVA</t>
  </si>
  <si>
    <t>ACTA 1</t>
  </si>
  <si>
    <t>ACTA 2</t>
  </si>
  <si>
    <t>ACTA 3</t>
  </si>
  <si>
    <t>Coordinador Operativo</t>
  </si>
  <si>
    <t>Delegado</t>
  </si>
  <si>
    <t>No Asignado</t>
  </si>
  <si>
    <t xml:space="preserve">PEP </t>
  </si>
  <si>
    <t>Empresa Contratista</t>
  </si>
  <si>
    <t>Codensa SA ESP</t>
  </si>
  <si>
    <t>Ingeniería civil (Levantamiento e ingeniería de detalle)</t>
  </si>
  <si>
    <t>SL04CIV</t>
  </si>
  <si>
    <t>Ingeniería mecánica (Levantamiento e ingeniería de detalle)</t>
  </si>
  <si>
    <t>SL04MEC</t>
  </si>
  <si>
    <t>SL04ELE</t>
  </si>
  <si>
    <t>Subtotal labores No. 4:</t>
  </si>
  <si>
    <r>
      <rPr>
        <b/>
        <sz val="11"/>
        <color indexed="10"/>
        <rFont val="Calibri"/>
        <family val="2"/>
      </rPr>
      <t xml:space="preserve">L-61 </t>
    </r>
    <r>
      <rPr>
        <sz val="11"/>
        <color indexed="8"/>
        <rFont val="Calibri"/>
        <family val="2"/>
      </rPr>
      <t>Elaboración de estudio de suelos (hasta 3 sondeos de 6 m de profundidad) - UNIDAD DE MEDIDA: Estudio</t>
    </r>
  </si>
  <si>
    <t xml:space="preserve"> </t>
  </si>
  <si>
    <t>SL61ESP</t>
  </si>
  <si>
    <t>Subtotal labores No. 61:</t>
  </si>
  <si>
    <t>SL22MEC</t>
  </si>
  <si>
    <t>SL22ELE</t>
  </si>
  <si>
    <t xml:space="preserve">Ampliación de capacidad en la subestación CHÍA. </t>
  </si>
  <si>
    <t>Proyecto: Ampliación de capacidad en la subestación CHÍA.</t>
  </si>
  <si>
    <t>OT: 17-013</t>
  </si>
  <si>
    <t>Ingeniería para montaje de un tren de celdas en el espacio dispuesto por la ingeniería conceptual con un máximo de 8 celdas ( una celda de medida, seis celdas de salida y una celda de entrada).</t>
  </si>
  <si>
    <t>FILA R2 34.5 kV</t>
  </si>
  <si>
    <r>
      <rPr>
        <b/>
        <sz val="11"/>
        <color indexed="10"/>
        <rFont val="Calibri"/>
        <family val="2"/>
      </rPr>
      <t xml:space="preserve">M-21 </t>
    </r>
    <r>
      <rPr>
        <sz val="11"/>
        <color indexed="8"/>
        <rFont val="Calibri"/>
        <family val="2"/>
      </rPr>
      <t>Ingeniería para el montaje y/o reemplazo de un tren de celdas Metal Clad 34,5 kV , tipo interior o exterior. - UNIDAD DE MEDIDA : Global por fila (Hasta 6 Celdas de Salida+Hasta 2 Celdas de Entrada+1 Celda de Medida+1 Celda de Acople+1 Celda de Compe</t>
    </r>
  </si>
  <si>
    <t>SM21CIM</t>
  </si>
  <si>
    <t>Ingeniería para el montaje de un tren de celdas de acuerdo a la ingeniería conceptual, un máximo de 10 celdas ( una celda de remonte, una celda de acople, una celda de medida, seis celdas de salida y una celda de entrada).</t>
  </si>
  <si>
    <t>SM21ELE</t>
  </si>
  <si>
    <t>Subtotal labores No. 21:</t>
  </si>
  <si>
    <t>SUBESTACIÓN 115/11.4/34.5 kV</t>
  </si>
  <si>
    <r>
      <rPr>
        <b/>
        <sz val="11"/>
        <color indexed="10"/>
        <rFont val="Calibri"/>
        <family val="2"/>
      </rPr>
      <t xml:space="preserve">L-39 </t>
    </r>
    <r>
      <rPr>
        <sz val="11"/>
        <color indexed="8"/>
        <rFont val="Calibri"/>
        <family val="2"/>
      </rPr>
      <t>Diseño de nuevo tablero de medida para subestaciones AT/AT, AT/MT o MT/MT - UNIDAD DE MEDIDA: C/U</t>
    </r>
  </si>
  <si>
    <t>SL39CIV</t>
  </si>
  <si>
    <t>Diseño de cimentación para construcción de nuevo tablero de medida para dar cumplimiento a la resolución CREG 038 de 2014.</t>
  </si>
  <si>
    <t>SL39MEC</t>
  </si>
  <si>
    <t>Subtotal labores No. 39:</t>
  </si>
  <si>
    <t>TRANSFORMADOR D2 115/11.4 kV</t>
  </si>
  <si>
    <r>
      <rPr>
        <b/>
        <sz val="11"/>
        <color indexed="10"/>
        <rFont val="Calibri"/>
        <family val="2"/>
      </rPr>
      <t xml:space="preserve">M-1 </t>
    </r>
    <r>
      <rPr>
        <sz val="11"/>
        <color indexed="8"/>
        <rFont val="Calibri"/>
        <family val="2"/>
      </rPr>
      <t>Ingeniería para el montaje de un nuevo modulo de transformador a nivel de tensión  230 kV o 115 kV - Configuración Barra Sencilla  - UNIDAD DE MEDIDA : C/U</t>
    </r>
  </si>
  <si>
    <t>SM01CIV</t>
  </si>
  <si>
    <t>Realizar la ingeniería de detalle para la construcción de un nuevo modulo de transformador 115/11.4 kV teniendo en cuenta concentrar el control las protecciones y la regulación del transformador en un único tablero tipo Rack.</t>
  </si>
  <si>
    <t>SM01MEC</t>
  </si>
  <si>
    <t>Ingeniería eléctrica (Levantamiento y Ingeniería  detallado)</t>
  </si>
  <si>
    <t>SM01ELE</t>
  </si>
  <si>
    <t>Subtotal labores No. 1:</t>
  </si>
  <si>
    <r>
      <rPr>
        <b/>
        <sz val="11"/>
        <color indexed="10"/>
        <rFont val="Calibri"/>
        <family val="2"/>
      </rPr>
      <t xml:space="preserve">L-1 </t>
    </r>
    <r>
      <rPr>
        <sz val="11"/>
        <color indexed="8"/>
        <rFont val="Calibri"/>
        <family val="2"/>
      </rPr>
      <t>Ingeniería para el reemplazo de Transformador de Potencia Trifásico 230, 115, 57.5 / 34.5, 11.4 kV - UNIDAD DE MEDIDA: C/U</t>
    </r>
  </si>
  <si>
    <t>Diseño civil (Levantamiento e ingeniería de detalle)</t>
  </si>
  <si>
    <t>SL01CIV</t>
  </si>
  <si>
    <t>SL01MEC</t>
  </si>
  <si>
    <t>SL01ELE</t>
  </si>
  <si>
    <r>
      <rPr>
        <b/>
        <sz val="11"/>
        <color indexed="10"/>
        <rFont val="Calibri"/>
        <family val="2"/>
      </rPr>
      <t xml:space="preserve">L-36 </t>
    </r>
    <r>
      <rPr>
        <sz val="11"/>
        <color indexed="8"/>
        <rFont val="Calibri"/>
        <family val="2"/>
      </rPr>
      <t>Ingeniería para el reemplazo/instalación de una Unidad de Medida (UDM), equipo registrador de calidad de potencia o medidor de energía - UNIDAD DE MEDIDA: Grupo x 2 (equipos del mismo módulo)</t>
    </r>
  </si>
  <si>
    <t>SL36MEC</t>
  </si>
  <si>
    <t>Ingeniería para montaje de dos unidades de medida para el transformador con el fin de dar cumplimiento a resolución CREG 038 de 2014.</t>
  </si>
  <si>
    <t>SL36ELE</t>
  </si>
  <si>
    <t>Subtotal labores No. 36:</t>
  </si>
  <si>
    <r>
      <rPr>
        <b/>
        <sz val="11"/>
        <color indexed="10"/>
        <rFont val="Calibri"/>
        <family val="2"/>
      </rPr>
      <t xml:space="preserve">L-49 </t>
    </r>
    <r>
      <rPr>
        <sz val="11"/>
        <color indexed="8"/>
        <rFont val="Calibri"/>
        <family val="2"/>
      </rPr>
      <t>Ingeniería para construcción de Muro cortafuego - UNIDAD DE MEDIDA: C/U</t>
    </r>
  </si>
  <si>
    <t>SL49CIV</t>
  </si>
  <si>
    <t>Ingeniería para construcción de muro cortafuegos entre transformadores D2 y R1.</t>
  </si>
  <si>
    <t>Subtotal labores No. 49:</t>
  </si>
  <si>
    <t>TRANSFORMADOR R2 115/34.5 kV</t>
  </si>
  <si>
    <r>
      <rPr>
        <b/>
        <sz val="11"/>
        <color indexed="10"/>
        <rFont val="Calibri"/>
        <family val="2"/>
      </rPr>
      <t xml:space="preserve">M-10 </t>
    </r>
    <r>
      <rPr>
        <sz val="11"/>
        <color indexed="8"/>
        <rFont val="Calibri"/>
        <family val="2"/>
      </rPr>
      <t>Ingeniería para el montaje de un nuevo transformador de potencia trifásico con tensiones AT (230/115/57,5 kV) y tensiones MT (34,5/13,8/11,4 kV) - UNIDAD DE MEDIDA : C/U</t>
    </r>
  </si>
  <si>
    <t>SM10CIV</t>
  </si>
  <si>
    <t>SM10MEC</t>
  </si>
  <si>
    <t>SM10ELE</t>
  </si>
  <si>
    <t>Subtotal labores No. 10:</t>
  </si>
  <si>
    <r>
      <rPr>
        <b/>
        <sz val="11"/>
        <color indexed="10"/>
        <rFont val="Calibri"/>
        <family val="2"/>
      </rPr>
      <t xml:space="preserve">L-73 </t>
    </r>
    <r>
      <rPr>
        <sz val="11"/>
        <color indexed="8"/>
        <rFont val="Calibri"/>
        <family val="2"/>
      </rPr>
      <t>Ingeniería para construcción de vías de circulación vehicular en el interior de la subestación - UNIDAD DE MEDIDA: Global</t>
    </r>
  </si>
  <si>
    <t>SL73CEM</t>
  </si>
  <si>
    <t>Labor asimilada para la adecuación de la vía de circulación interior de la subestación.</t>
  </si>
  <si>
    <t>Subtotal labores No. 73:</t>
  </si>
  <si>
    <t>SL18CIM</t>
  </si>
  <si>
    <t>SL18ELE</t>
  </si>
  <si>
    <t>Subtotal labores No. 18:</t>
  </si>
  <si>
    <t>AUXILIARES DC 125 VDC</t>
  </si>
  <si>
    <t>SL20CIM</t>
  </si>
  <si>
    <t>SL20ELE</t>
  </si>
  <si>
    <t>Subtotal labores No. 20:</t>
  </si>
  <si>
    <t>Ingeniería civil y electromecánica (Levantamiento e ingeniería de detalle)</t>
  </si>
  <si>
    <t>SL70CEM</t>
  </si>
  <si>
    <t>Subtotal labores No. 70:</t>
  </si>
  <si>
    <t>TRANSFORMADOR D1 115/11.4 kV</t>
  </si>
  <si>
    <t>Ingeniería civil y mecánica (Levantamiento e ingeniería de detalle)</t>
  </si>
  <si>
    <t>SL74CIV</t>
  </si>
  <si>
    <t>Subtotal labores No. 74:</t>
  </si>
  <si>
    <t>ACTA 4</t>
  </si>
  <si>
    <t>SUBESTACIÓN 115/34.5/11.4 kV</t>
  </si>
  <si>
    <t>Ingeniería civil, mecánico y eléctrico (Levantamiento e ingeniería de detalle)</t>
  </si>
  <si>
    <t>SL46CEM</t>
  </si>
  <si>
    <t>Subtotal labores No. 46:</t>
  </si>
  <si>
    <t>Ingenierías o estudios especiales</t>
  </si>
  <si>
    <t>SL59ESP</t>
  </si>
  <si>
    <t>Subtotal labores No. 59:</t>
  </si>
  <si>
    <t>CDIM_CAOLIG_R0078</t>
  </si>
  <si>
    <t>Codigo GOM</t>
  </si>
  <si>
    <r>
      <rPr>
        <b/>
        <sz val="11"/>
        <color rgb="FFFF0000"/>
        <rFont val="Calibri"/>
        <family val="2"/>
      </rPr>
      <t xml:space="preserve">L-9 </t>
    </r>
    <r>
      <rPr>
        <sz val="11"/>
        <color rgb="FF000000"/>
        <rFont val="Calibri"/>
        <family val="2"/>
      </rPr>
      <t>Ingeniería para el reemplazo de transformadores de tensión (Grupo de 3) de 500, 230, 115 o 57,5kV - UNIDAD DE MEDIDA: Grupo x 3</t>
    </r>
  </si>
  <si>
    <t>SL09CIV</t>
  </si>
  <si>
    <t>SL09MEC</t>
  </si>
  <si>
    <t>SL09ELE</t>
  </si>
  <si>
    <t>Subtotal labores No. 9:</t>
  </si>
  <si>
    <r>
      <rPr>
        <b/>
        <sz val="11"/>
        <color rgb="FFFF0000"/>
        <rFont val="Calibri"/>
        <family val="2"/>
      </rPr>
      <t xml:space="preserve">L-36 </t>
    </r>
    <r>
      <rPr>
        <sz val="11"/>
        <color rgb="FF000000"/>
        <rFont val="Calibri"/>
        <family val="2"/>
      </rPr>
      <t>Ingeniería para el reemplazo/instalación de una Unidad de Medida (UDM), equipo registrador de calidad de potencia o medidor de energía - UNIDAD DE MEDIDA: Grupo x 2 (equipos del mismo módulo)</t>
    </r>
  </si>
  <si>
    <t>CDIM_CBSGSM_R0120.</t>
  </si>
  <si>
    <t>Proyecto: SE Concordia - CDIM_CBSGSM_R0120.</t>
  </si>
  <si>
    <t>OT: 17-021</t>
  </si>
  <si>
    <t xml:space="preserve">valor ejecutado Acta No. 2 </t>
  </si>
  <si>
    <t>SUBESTACIÓN 115/57.5/11.4 kV</t>
  </si>
  <si>
    <r>
      <rPr>
        <b/>
        <sz val="11"/>
        <color indexed="10"/>
        <rFont val="Calibri"/>
        <family val="2"/>
      </rPr>
      <t xml:space="preserve">L-59 </t>
    </r>
    <r>
      <rPr>
        <sz val="11"/>
        <color rgb="FF000000"/>
        <rFont val="Calibri"/>
        <family val="2"/>
      </rPr>
      <t>Elaboración de ingenierías conceptuales o estudios especiales en S/E AT/AT, AT/MT o MT/MT - UNIDAD DE MEDIDA: HH</t>
    </r>
  </si>
  <si>
    <t xml:space="preserve">Labor asimimilada para diseño de canalizaciones de control, desde la sala de control hacia patio de conexiones. 
Factor: 8 HH X 2 HH X 5 dias de trabajo: 80 HH </t>
  </si>
  <si>
    <t>Labor asimilada para realizar el diseño de las cimentaciones de los tableros de control y protecciones dentro de la sala de control.
Factor: 8 HH X 2 Hombres X 5 dias de trabajo: 80 HH</t>
  </si>
  <si>
    <t>Labor asimilada para el diseño de las barandas de restricción del patio y caseta de vigilancia.
Factor: 8 HH X 2 Hombres X 2 dias de trabajo: 32 HH</t>
  </si>
  <si>
    <r>
      <rPr>
        <b/>
        <sz val="11"/>
        <color indexed="10"/>
        <rFont val="Calibri"/>
        <family val="2"/>
      </rPr>
      <t xml:space="preserve">L-66 </t>
    </r>
    <r>
      <rPr>
        <sz val="11"/>
        <color rgb="FF000000"/>
        <rFont val="Calibri"/>
        <family val="2"/>
      </rPr>
      <t>Levantamiento topográfico de subestación - UNIDAD DE MEDIDA: Global por lote de área hasta 2000 m2</t>
    </r>
  </si>
  <si>
    <t>SL66CEM</t>
  </si>
  <si>
    <t>Realizar el levantamiento Topográfico de la subestación 4000 m2.</t>
  </si>
  <si>
    <t>Subtotal labores No. 66:</t>
  </si>
  <si>
    <r>
      <rPr>
        <b/>
        <sz val="11"/>
        <color indexed="10"/>
        <rFont val="Calibri"/>
        <family val="2"/>
      </rPr>
      <t xml:space="preserve">L-75 </t>
    </r>
    <r>
      <rPr>
        <sz val="11"/>
        <color rgb="FF000000"/>
        <rFont val="Calibri"/>
        <family val="2"/>
      </rPr>
      <t>Ingeniería para construcción del sistema de suministro y distribución de agua, drenaje y alcantarillado de la subestación - UNIDAD DE MEDIDA: Global</t>
    </r>
  </si>
  <si>
    <t>SL75CIV</t>
  </si>
  <si>
    <t>Labor asimilada para la adeacuación de drenajes de la vía de circulación vehicular dentro de la subestación.</t>
  </si>
  <si>
    <t>Subtotal labores No. 75:</t>
  </si>
  <si>
    <t>D00235089</t>
  </si>
  <si>
    <t>D00235089000</t>
  </si>
  <si>
    <r>
      <rPr>
        <b/>
        <sz val="11"/>
        <color rgb="FFFF0000"/>
        <rFont val="Calibri"/>
        <family val="2"/>
      </rPr>
      <t xml:space="preserve">L-28 </t>
    </r>
    <r>
      <rPr>
        <sz val="11"/>
        <color rgb="FF000000"/>
        <rFont val="Calibri"/>
        <family val="2"/>
      </rPr>
      <t>Ingeniería para el reemplazo o instalación de protección diferencial de barras  87B  Tipo II (&amp;gt; 6 Módulos) - UNIDAD DE MEDIDA: C/U</t>
    </r>
  </si>
  <si>
    <t>SL28MEC</t>
  </si>
  <si>
    <t>SL28ELE</t>
  </si>
  <si>
    <t>Subtotal labores No. 28:</t>
  </si>
  <si>
    <r>
      <rPr>
        <b/>
        <sz val="11"/>
        <color rgb="FFFF0000"/>
        <rFont val="Calibri"/>
        <family val="2"/>
      </rPr>
      <t xml:space="preserve">L-59 </t>
    </r>
    <r>
      <rPr>
        <sz val="11"/>
        <color rgb="FF000000"/>
        <rFont val="Calibri"/>
        <family val="2"/>
      </rPr>
      <t>Elaboración de ingenierías conceptuales o estudios especiales en S/E AT/AT, AT/MT o MT/MT - UNIDAD DE MEDIDA: HH</t>
    </r>
  </si>
  <si>
    <r>
      <rPr>
        <b/>
        <sz val="11"/>
        <color rgb="FFFF0000"/>
        <rFont val="Calibri"/>
        <family val="2"/>
      </rPr>
      <t xml:space="preserve">L-22 </t>
    </r>
    <r>
      <rPr>
        <sz val="11"/>
        <color rgb="FF000000"/>
        <rFont val="Calibri"/>
        <family val="2"/>
      </rPr>
      <t>Ingeniería para normalización del tablero de control y protección de módulo línea, transformador, compensación o acople de 115/57,5/34,5 kV - UNIDAD DE MEDIDA: C/U</t>
    </r>
  </si>
  <si>
    <r>
      <rPr>
        <b/>
        <sz val="11"/>
        <color rgb="FFFF0000"/>
        <rFont val="Calibri"/>
        <family val="2"/>
      </rPr>
      <t xml:space="preserve">L-34 </t>
    </r>
    <r>
      <rPr>
        <sz val="11"/>
        <color rgb="FF000000"/>
        <rFont val="Calibri"/>
        <family val="2"/>
      </rPr>
      <t>Ingeniería para el reemplazo/instalación de protección de sobrecorriente  50/51, 67  en módulos de línea o de transformación AT - UNIDAD DE MEDIDA: C/U</t>
    </r>
  </si>
  <si>
    <t>SL34MEC</t>
  </si>
  <si>
    <t>SL34ELE</t>
  </si>
  <si>
    <t>Subtotal labores No. 34:</t>
  </si>
  <si>
    <t>TRANSFORMADOR R1 115/34.5 kV</t>
  </si>
  <si>
    <t>BARRA 115 kV</t>
  </si>
  <si>
    <t>D00234809</t>
  </si>
  <si>
    <t>TRANSFORMADOR D1 34.5/11.4 kV</t>
  </si>
  <si>
    <t>SL53CIM</t>
  </si>
  <si>
    <t>SL53ELE</t>
  </si>
  <si>
    <t>Subtotal labores No. 53:</t>
  </si>
  <si>
    <t>SL10CIV</t>
  </si>
  <si>
    <t>SL10MEC</t>
  </si>
  <si>
    <t>SL10ELE</t>
  </si>
  <si>
    <r>
      <rPr>
        <b/>
        <sz val="11"/>
        <color rgb="FFFF0000"/>
        <rFont val="Calibri"/>
        <family val="2"/>
      </rPr>
      <t xml:space="preserve">L-10 </t>
    </r>
    <r>
      <rPr>
        <sz val="11"/>
        <color rgb="FF000000"/>
        <rFont val="Calibri"/>
        <family val="2"/>
      </rPr>
      <t>Ingeniería para el reemplazo de transformadores de tensión de barra o de línea (Grupo de 3) de 34.5 kV - UNIDAD DE MEDIDA: Grupo x 3</t>
    </r>
  </si>
  <si>
    <r>
      <rPr>
        <b/>
        <sz val="11"/>
        <color rgb="FFFF0000"/>
        <rFont val="Calibri"/>
        <family val="2"/>
      </rPr>
      <t xml:space="preserve">L-8 </t>
    </r>
    <r>
      <rPr>
        <sz val="11"/>
        <color rgb="FF000000"/>
        <rFont val="Calibri"/>
        <family val="2"/>
      </rPr>
      <t>Ingeniería para el reemplazo y/o instalación de transformadores de corriente (Grupo de 3) 34.5 kV - UNIDAD DE MEDIDA: Grupo x 3</t>
    </r>
  </si>
  <si>
    <t>SL08CIV</t>
  </si>
  <si>
    <t>SL08MEC</t>
  </si>
  <si>
    <t>SL08ELE</t>
  </si>
  <si>
    <t>Subtotal labores No. 8:</t>
  </si>
  <si>
    <r>
      <rPr>
        <b/>
        <sz val="11"/>
        <color rgb="FFFF0000"/>
        <rFont val="Calibri"/>
        <family val="2"/>
      </rPr>
      <t xml:space="preserve">L-4 </t>
    </r>
    <r>
      <rPr>
        <sz val="11"/>
        <color rgb="FF000000"/>
        <rFont val="Calibri"/>
        <family val="2"/>
      </rPr>
      <t>Ingeniería para el reemplazo o instalación de interruptor de potencia (Tripolar o monopolar) de 115 kV o 57.5 kV - UNIDAD DE MEDIDA: C/U</t>
    </r>
  </si>
  <si>
    <r>
      <rPr>
        <b/>
        <sz val="11"/>
        <color rgb="FFFF0000"/>
        <rFont val="Calibri"/>
        <family val="2"/>
      </rPr>
      <t xml:space="preserve">L-7 </t>
    </r>
    <r>
      <rPr>
        <sz val="11"/>
        <color rgb="FF000000"/>
        <rFont val="Calibri"/>
        <family val="2"/>
      </rPr>
      <t>Ingeniería para el reemplazo y/o instalación de transformadores de corriente 500 kV, 230 kV, 115 kV y 57,5 kV - UNIDAD DE MEDIDA: Grupo x 3</t>
    </r>
  </si>
  <si>
    <t>SL07CIV</t>
  </si>
  <si>
    <t>SL07MEC</t>
  </si>
  <si>
    <t>SL07ELE</t>
  </si>
  <si>
    <t>Subtotal labores No. 7:</t>
  </si>
  <si>
    <r>
      <rPr>
        <b/>
        <sz val="11"/>
        <color rgb="FFFF0000"/>
        <rFont val="Calibri"/>
        <family val="2"/>
      </rPr>
      <t xml:space="preserve">L-24 </t>
    </r>
    <r>
      <rPr>
        <sz val="11"/>
        <color rgb="FF000000"/>
        <rFont val="Calibri"/>
        <family val="2"/>
      </rPr>
      <t>Ingeniería de nuevo tablero de control y protección para 115 kV para cualquier módulo en configuración barra sencilla - UNIDAD DE MEDIDA: C/U</t>
    </r>
  </si>
  <si>
    <t>SL24MEC</t>
  </si>
  <si>
    <t>SL24ELE</t>
  </si>
  <si>
    <t>Subtotal labores No. 24:</t>
  </si>
  <si>
    <r>
      <rPr>
        <b/>
        <sz val="11"/>
        <color rgb="FFFF0000"/>
        <rFont val="Calibri"/>
        <family val="2"/>
      </rPr>
      <t xml:space="preserve">L-70 </t>
    </r>
    <r>
      <rPr>
        <sz val="11"/>
        <color rgb="FF000000"/>
        <rFont val="Calibri"/>
        <family val="2"/>
      </rPr>
      <t>Ingeniería para construcción de casa de control y protección en patio (de área hasta 100 m2) - UNIDAD DE MEDIDA: Global</t>
    </r>
  </si>
  <si>
    <t>AUTOTRANSFORMADOR AT1 230/115 kV</t>
  </si>
  <si>
    <t>D00234959</t>
  </si>
  <si>
    <t>Subtotal labores No. 6:</t>
  </si>
  <si>
    <t>SL11CIV</t>
  </si>
  <si>
    <t>SL11MEC</t>
  </si>
  <si>
    <t>SL11ELE</t>
  </si>
  <si>
    <t>Subtotal labores No. 11:</t>
  </si>
  <si>
    <r>
      <rPr>
        <b/>
        <sz val="11"/>
        <color rgb="FFFF0000"/>
        <rFont val="Calibri"/>
        <family val="2"/>
      </rPr>
      <t xml:space="preserve">L-13 </t>
    </r>
    <r>
      <rPr>
        <sz val="11"/>
        <color rgb="FF000000"/>
        <rFont val="Calibri"/>
        <family val="2"/>
      </rPr>
      <t>Ingeniería para el reemplazo de descargadores de sobretensión para 500 kV, 230 kV,115 kV, 57,5 kV. - UNIDAD DE MEDIDA: Grupo x 3</t>
    </r>
  </si>
  <si>
    <t>SL13CIM</t>
  </si>
  <si>
    <t>Subtotal labores No. 13:</t>
  </si>
  <si>
    <t>TRANSFORMADOR D3 115/11.4 kV</t>
  </si>
  <si>
    <r>
      <rPr>
        <b/>
        <sz val="11"/>
        <color rgb="FFFF0000"/>
        <rFont val="Calibri"/>
        <family val="2"/>
      </rPr>
      <t xml:space="preserve">L-49 </t>
    </r>
    <r>
      <rPr>
        <sz val="11"/>
        <color rgb="FF000000"/>
        <rFont val="Calibri"/>
        <family val="2"/>
      </rPr>
      <t>Ingeniería para construcción de Muro cortafuego - UNIDAD DE MEDIDA: C/U</t>
    </r>
  </si>
  <si>
    <r>
      <rPr>
        <b/>
        <sz val="11"/>
        <color rgb="FFFF0000"/>
        <rFont val="Calibri"/>
        <family val="2"/>
      </rPr>
      <t xml:space="preserve">L-53 </t>
    </r>
    <r>
      <rPr>
        <sz val="11"/>
        <color rgb="FF000000"/>
        <rFont val="Calibri"/>
        <family val="2"/>
      </rPr>
      <t>Ingeniería para construcción de instalación provisional para cambio de transformador - UNIDAD DE MEDIDA: C/U</t>
    </r>
  </si>
  <si>
    <r>
      <rPr>
        <b/>
        <sz val="11"/>
        <color rgb="FFFF0000"/>
        <rFont val="Calibri"/>
        <family val="2"/>
      </rPr>
      <t xml:space="preserve">L-17 </t>
    </r>
    <r>
      <rPr>
        <sz val="11"/>
        <color rgb="FF000000"/>
        <rFont val="Calibri"/>
        <family val="2"/>
      </rPr>
      <t>Ingeniería para el reemplazo/instalación de Transformador de servicios auxiliares 34.5/0.208 kV, 13.8/0.208, 11.4/0.208 kV - UNIDAD DE MEDIDA: C/U</t>
    </r>
  </si>
  <si>
    <t>SL17CIM</t>
  </si>
  <si>
    <t>Subtotal labores No. 17:</t>
  </si>
  <si>
    <r>
      <rPr>
        <b/>
        <sz val="11"/>
        <color rgb="FFFF0000"/>
        <rFont val="Calibri"/>
        <family val="2"/>
      </rPr>
      <t xml:space="preserve">L-18 </t>
    </r>
    <r>
      <rPr>
        <sz val="11"/>
        <color rgb="FF000000"/>
        <rFont val="Calibri"/>
        <family val="2"/>
      </rPr>
      <t>Ingeniería para el reemplazo de un tablero de auxiliares AC - UNIDAD DE MEDIDA: C/U</t>
    </r>
  </si>
  <si>
    <r>
      <rPr>
        <b/>
        <sz val="11"/>
        <color rgb="FFFF0000"/>
        <rFont val="Calibri"/>
        <family val="2"/>
      </rPr>
      <t xml:space="preserve">L-19 </t>
    </r>
    <r>
      <rPr>
        <sz val="11"/>
        <color rgb="FF000000"/>
        <rFont val="Calibri"/>
        <family val="2"/>
      </rPr>
      <t>Ingeniería para el reemplazo/instalación de un equipo de transferencia automática en BT - UNIDAD DE MEDIDA: C/U</t>
    </r>
  </si>
  <si>
    <t>Ingeniería civil y electromecánico (Levantamiento e ingeniería de detalle)</t>
  </si>
  <si>
    <t>SL19CEM</t>
  </si>
  <si>
    <t>Subtotal labores No. 19:</t>
  </si>
  <si>
    <r>
      <rPr>
        <b/>
        <sz val="11"/>
        <color rgb="FFFF0000"/>
        <rFont val="Calibri"/>
        <family val="2"/>
      </rPr>
      <t xml:space="preserve">L-21 </t>
    </r>
    <r>
      <rPr>
        <sz val="11"/>
        <color rgb="FF000000"/>
        <rFont val="Calibri"/>
        <family val="2"/>
      </rPr>
      <t>Ingeniería para el reemplazo/instalación de esquema cargador de baterias - UNIDAD DE MEDIDA: Hasta 2 equipos</t>
    </r>
  </si>
  <si>
    <t>SL21CIM</t>
  </si>
  <si>
    <t>SL21ELE</t>
  </si>
  <si>
    <r>
      <rPr>
        <b/>
        <sz val="11"/>
        <color rgb="FFFF0000"/>
        <rFont val="Calibri"/>
        <family val="2"/>
      </rPr>
      <t xml:space="preserve">L-20 </t>
    </r>
    <r>
      <rPr>
        <sz val="11"/>
        <color rgb="FF000000"/>
        <rFont val="Calibri"/>
        <family val="2"/>
      </rPr>
      <t>Ingeniería para el reemplazo de un tablero de auxiliares DC - UNIDAD DE MEDIDA: C/U</t>
    </r>
  </si>
  <si>
    <r>
      <rPr>
        <b/>
        <sz val="11"/>
        <color rgb="FFFF0000"/>
        <rFont val="Calibri"/>
        <family val="2"/>
      </rPr>
      <t xml:space="preserve">L-46 </t>
    </r>
    <r>
      <rPr>
        <sz val="11"/>
        <color rgb="FF000000"/>
        <rFont val="Calibri"/>
        <family val="2"/>
      </rPr>
      <t>Ingeniería para adecuación de cuarto de baterías - UNIDAD DE MEDIDA: C/U</t>
    </r>
  </si>
  <si>
    <t>D00235087</t>
  </si>
  <si>
    <t>Ingeniería eléctrica para la instalación de dos medidores digitales ELSTER A1800.</t>
  </si>
  <si>
    <r>
      <rPr>
        <b/>
        <sz val="11"/>
        <color rgb="FFFF0000"/>
        <rFont val="Calibri"/>
        <family val="2"/>
      </rPr>
      <t xml:space="preserve">RL-1 </t>
    </r>
    <r>
      <rPr>
        <sz val="11"/>
        <color rgb="FF000000"/>
        <rFont val="Calibri"/>
        <family val="2"/>
      </rPr>
      <t>Diseño de cimentación Especial - UNIDAD DE MEDIDA : C/U - cada uno</t>
    </r>
  </si>
  <si>
    <t>Diseño de cimentación Especial</t>
  </si>
  <si>
    <t>LL01CIV</t>
  </si>
  <si>
    <r>
      <rPr>
        <b/>
        <sz val="11"/>
        <color rgb="FFFF0000"/>
        <rFont val="Calibri"/>
        <family val="2"/>
      </rPr>
      <t xml:space="preserve">RL-2 </t>
    </r>
    <r>
      <rPr>
        <sz val="11"/>
        <color rgb="FF000000"/>
        <rFont val="Calibri"/>
        <family val="2"/>
      </rPr>
      <t>Levantamiento topográfico - UNIDAD DE MEDIDA : KM - Kilómetro</t>
    </r>
  </si>
  <si>
    <t>Levantamiento topográfico</t>
  </si>
  <si>
    <t>LL02CIV</t>
  </si>
  <si>
    <t>Subtotal labores No. 2:</t>
  </si>
  <si>
    <r>
      <rPr>
        <b/>
        <sz val="11"/>
        <color rgb="FFFF0000"/>
        <rFont val="Calibri"/>
        <family val="2"/>
      </rPr>
      <t xml:space="preserve">RL-3 </t>
    </r>
    <r>
      <rPr>
        <sz val="11"/>
        <color rgb="FF000000"/>
        <rFont val="Calibri"/>
        <family val="2"/>
      </rPr>
      <t>Replanteo para Línea de AT - UNIDAD DE MEDIDA : KM - Kilómetro</t>
    </r>
  </si>
  <si>
    <t>Replanteo para Línea de AT</t>
  </si>
  <si>
    <t>LL03CIV</t>
  </si>
  <si>
    <t>Subtotal labores No. 3:</t>
  </si>
  <si>
    <r>
      <rPr>
        <b/>
        <sz val="11"/>
        <color rgb="FFFF0000"/>
        <rFont val="Calibri"/>
        <family val="2"/>
      </rPr>
      <t xml:space="preserve">RL-6 </t>
    </r>
    <r>
      <rPr>
        <sz val="11"/>
        <color rgb="FF000000"/>
        <rFont val="Calibri"/>
        <family val="2"/>
      </rPr>
      <t>Diseño de cimentación para apoyo tipo torre - UNIDAD DE MEDIDA : C/U - cada uno</t>
    </r>
  </si>
  <si>
    <t>Diseño de cimentación para apoyo tipo torre</t>
  </si>
  <si>
    <t>LL06CIV</t>
  </si>
  <si>
    <r>
      <rPr>
        <b/>
        <sz val="11"/>
        <color rgb="FFFF0000"/>
        <rFont val="Calibri"/>
        <family val="2"/>
      </rPr>
      <t xml:space="preserve">RL-8 </t>
    </r>
    <r>
      <rPr>
        <sz val="11"/>
        <color rgb="FF000000"/>
        <rFont val="Calibri"/>
        <family val="2"/>
      </rPr>
      <t>Diseño electromecánico de línea de AT - UNIDAD DE MEDIDA : KM - Kilómetro</t>
    </r>
  </si>
  <si>
    <t>Diseño electromecánico de línea de AT</t>
  </si>
  <si>
    <t>LL08CEM</t>
  </si>
  <si>
    <r>
      <rPr>
        <b/>
        <sz val="11"/>
        <color rgb="FFFF0000"/>
        <rFont val="Calibri"/>
        <family val="2"/>
      </rPr>
      <t xml:space="preserve">RL-10 </t>
    </r>
    <r>
      <rPr>
        <sz val="11"/>
        <color rgb="FF000000"/>
        <rFont val="Calibri"/>
        <family val="2"/>
      </rPr>
      <t>Estudio de suelos con sondeo manual para sitios de estructuras de A.T - UNIDAD DE MEDIDA : C/U - cada uno</t>
    </r>
  </si>
  <si>
    <t>Estudio de suelos con sondeo manual para sitios de estructuras de A.T</t>
  </si>
  <si>
    <t>LL10CIV</t>
  </si>
  <si>
    <r>
      <rPr>
        <b/>
        <sz val="11"/>
        <color rgb="FFFF0000"/>
        <rFont val="Calibri"/>
        <family val="2"/>
      </rPr>
      <t xml:space="preserve">RL-12 </t>
    </r>
    <r>
      <rPr>
        <sz val="11"/>
        <color rgb="FF000000"/>
        <rFont val="Calibri"/>
        <family val="2"/>
      </rPr>
      <t>Elaboración de ingenierías  o estudios especiales - UNIDAD DE MEDIDA : HH</t>
    </r>
  </si>
  <si>
    <t>Elaboración de ingenierías  o estudios especiales</t>
  </si>
  <si>
    <t>LL12ESP</t>
  </si>
  <si>
    <t>Subtotal labores No. 12:</t>
  </si>
  <si>
    <t>BARRA 34.5 kV</t>
  </si>
  <si>
    <t>SERVICIOS AUXILIARES AC 208 VAC</t>
  </si>
  <si>
    <t>SERVICIOS AUXILIARES DC 125 VDC</t>
  </si>
  <si>
    <r>
      <rPr>
        <b/>
        <sz val="11"/>
        <color rgb="FFFF0000"/>
        <rFont val="Calibri"/>
        <family val="2"/>
      </rPr>
      <t xml:space="preserve">L-39 </t>
    </r>
    <r>
      <rPr>
        <sz val="11"/>
        <color rgb="FF000000"/>
        <rFont val="Calibri"/>
        <family val="2"/>
      </rPr>
      <t>Diseño de nuevo tablero de medida para subestaciones AT/AT, AT/MT o MT/MT - UNIDAD DE MEDIDA: C/U</t>
    </r>
  </si>
  <si>
    <t>SUBESTACIÓN 34.5/13.2 kV</t>
  </si>
  <si>
    <r>
      <rPr>
        <b/>
        <sz val="11"/>
        <color rgb="FFFF0000"/>
        <rFont val="Calibri"/>
        <family val="2"/>
      </rPr>
      <t xml:space="preserve">L-66 </t>
    </r>
    <r>
      <rPr>
        <sz val="11"/>
        <color rgb="FF000000"/>
        <rFont val="Calibri"/>
        <family val="2"/>
      </rPr>
      <t>Levantamiento topográfico de subestación - UNIDAD DE MEDIDA: Global por lote de área hasta 2000 m2</t>
    </r>
  </si>
  <si>
    <t>TRANSFORMADOR D1 34.5/13.2 kV</t>
  </si>
  <si>
    <t>SUBESTACIÓN 115/11.4 kV</t>
  </si>
  <si>
    <t>D00235087000</t>
  </si>
  <si>
    <t>AUXILIARES AC 0.208 kV</t>
  </si>
  <si>
    <t>CDIM_CBSGSM_R0168</t>
  </si>
  <si>
    <t>Proyecto: CDIM_CBSGSM_R0168 REDISEÑO RCS A MÓDULOS EN SSEE, Cambio de reconectador en módulo Telas S/E La Paz</t>
  </si>
  <si>
    <t>OT: 17-098</t>
  </si>
  <si>
    <t>CIRCUITO TELAS 34,5 kV</t>
  </si>
  <si>
    <r>
      <rPr>
        <b/>
        <sz val="11"/>
        <color rgb="FFFF0000"/>
        <rFont val="Calibri"/>
        <family val="2"/>
      </rPr>
      <t xml:space="preserve">L-6 </t>
    </r>
    <r>
      <rPr>
        <sz val="11"/>
        <color rgb="FF000000"/>
        <rFont val="Calibri"/>
        <family val="2"/>
      </rPr>
      <t>Ingeniería para el reemplazo de interruptor de potencia de 34.5 kV - UNIDAD DE MEDIDA: C/U</t>
    </r>
  </si>
  <si>
    <t>SL06CIV</t>
  </si>
  <si>
    <t>Realizar la ingenieria para el reemplazo del reconectador, se debe instalara un interruptor Schneider.</t>
  </si>
  <si>
    <t>SL06MEC</t>
  </si>
  <si>
    <t>SL06ELE</t>
  </si>
  <si>
    <t>Realizar la ingeniería para el monataje de un juego de transformadores de corriente en el modulo del Cto entre interruptor y seccionador de linea.</t>
  </si>
  <si>
    <r>
      <rPr>
        <b/>
        <sz val="11"/>
        <color rgb="FFFF0000"/>
        <rFont val="Calibri"/>
        <family val="2"/>
      </rPr>
      <t xml:space="preserve">l-26 </t>
    </r>
    <r>
      <rPr>
        <sz val="11"/>
        <color rgb="FF000000"/>
        <rFont val="Calibri"/>
        <family val="2"/>
      </rPr>
      <t>Ingeniería de nuevo tablero de control y protección para 34,5 kV (con control convencional o unidad de control y protección) - UNIDAD DE MEDIDA: C/U</t>
    </r>
  </si>
  <si>
    <t>SL26MEC</t>
  </si>
  <si>
    <t>Ingenieria para el traslado del control y las protecciones a un nuevo tablero en la subestacion, se debe contemplar ampliacion del carcamo.</t>
  </si>
  <si>
    <t>SL26ELE</t>
  </si>
  <si>
    <t>Subtotal labores No. 26:</t>
  </si>
  <si>
    <t>D00235364</t>
  </si>
  <si>
    <t>D00235364000</t>
  </si>
  <si>
    <t>SUBESTACIÓN 115 kV</t>
  </si>
  <si>
    <t>TRANSFORMADOR R2 115/34,5 kV</t>
  </si>
  <si>
    <t xml:space="preserve">Levantamiento eléctrico de mininterruptor de reserva (o espacio y ruta) para alimentar la calefacción e iluminación en el tablero TCM. LEVANTAMIENTO ELÉCTRICO = 0.3x(Factor alcance levantamiento) + 0.7 x(Factor alcance diseño)= 0.30x(0.50) + 0.70x(0.00)= 0.15 </t>
  </si>
  <si>
    <t>Levantamiento eléctrico de mininterruptor de reserva (o espacio y ruta) para alimentar los medidores en el tablero TCM.</t>
  </si>
  <si>
    <t>D00235026</t>
  </si>
  <si>
    <t>D00235026000</t>
  </si>
  <si>
    <t>Proyecto: CDIM_CAOLIG_R0078 - RES. CREG 038-14 CÓDIGO DE MEDIDA</t>
  </si>
  <si>
    <t>TRANSFORMADOR R1 115/34,5 kV</t>
  </si>
  <si>
    <t>D00243135</t>
  </si>
  <si>
    <t>D00243135000</t>
  </si>
  <si>
    <r>
      <rPr>
        <b/>
        <sz val="11"/>
        <color rgb="FFFF0000"/>
        <rFont val="Calibri"/>
        <family val="2"/>
      </rPr>
      <t xml:space="preserve">M-19 </t>
    </r>
    <r>
      <rPr>
        <sz val="11"/>
        <color rgb="FF000000"/>
        <rFont val="Calibri"/>
        <family val="2"/>
      </rPr>
      <t>Ingenieria para la ampliacion de barraje y portico en 34.5 kV (hasta en dos modulos consecutivos). - UNIDAD DE MEDIDA : Global (cubre hasta dos modulos consecutivos)</t>
    </r>
  </si>
  <si>
    <t>SM19CIV</t>
  </si>
  <si>
    <t>SM19MEC</t>
  </si>
  <si>
    <t xml:space="preserve">BARRA 34.5 KV </t>
  </si>
  <si>
    <r>
      <rPr>
        <b/>
        <sz val="11"/>
        <color rgb="FFFF0000"/>
        <rFont val="Calibri"/>
        <family val="2"/>
      </rPr>
      <t xml:space="preserve">M-18 </t>
    </r>
    <r>
      <rPr>
        <sz val="11"/>
        <color rgb="FF000000"/>
        <rFont val="Calibri"/>
        <family val="2"/>
      </rPr>
      <t>Ingenieria para el montaje de un nuevo modulo de circuito/transformador de 34,5 kV en subestacion reducida con reconectador y seccionadores en portico - UNIDAD DE MEDIDA : C/U</t>
    </r>
  </si>
  <si>
    <t>SM18CIM</t>
  </si>
  <si>
    <t>SM18ELE</t>
  </si>
  <si>
    <r>
      <rPr>
        <b/>
        <sz val="11"/>
        <color rgb="FFFF0000"/>
        <rFont val="Calibri"/>
        <family val="2"/>
      </rPr>
      <t xml:space="preserve">L-61 </t>
    </r>
    <r>
      <rPr>
        <sz val="11"/>
        <color rgb="FF000000"/>
        <rFont val="Calibri"/>
        <family val="2"/>
      </rPr>
      <t>Elaboración de estudio de suelos (hasta 3 sondeos de 6 m de profundidad) - UNIDAD DE MEDIDA: Estudio</t>
    </r>
  </si>
  <si>
    <r>
      <rPr>
        <b/>
        <sz val="11"/>
        <color rgb="FFFF0000"/>
        <rFont val="Calibri"/>
        <family val="2"/>
      </rPr>
      <t xml:space="preserve">M-14 </t>
    </r>
    <r>
      <rPr>
        <sz val="11"/>
        <color rgb="FF000000"/>
        <rFont val="Calibri"/>
        <family val="2"/>
      </rPr>
      <t>Ingenieria para la instalacion de Transformador de Potencia Trifasico 34.5/13,2-11.4 kV, 2,5 a 12 MVA                        - UNIDAD DE MEDIDA : C/U</t>
    </r>
  </si>
  <si>
    <t>SM14CIV</t>
  </si>
  <si>
    <t>SM14MEC</t>
  </si>
  <si>
    <t>SM14ELE</t>
  </si>
  <si>
    <t>Subtotal labores No. 14:</t>
  </si>
  <si>
    <r>
      <rPr>
        <b/>
        <sz val="11"/>
        <color rgb="FFFF0000"/>
        <rFont val="Calibri"/>
        <family val="2"/>
      </rPr>
      <t xml:space="preserve">l-13 </t>
    </r>
    <r>
      <rPr>
        <sz val="11"/>
        <color rgb="FF000000"/>
        <rFont val="Calibri"/>
        <family val="2"/>
      </rPr>
      <t>Ingeniería para el reemplazo de descargadores de sobretensión para 500 kV, 230 kV,115 kV, 57,5 kV. - UNIDAD DE MEDIDA: Grupo x 3</t>
    </r>
  </si>
  <si>
    <t>AUTOTRANSFORMADOR AT2 230/115 kV</t>
  </si>
  <si>
    <t>AUTOTRANSFORMADOR AT3 230/115 kV</t>
  </si>
  <si>
    <t>AUTOTRANSFORMADOR AT4 230/115 kV</t>
  </si>
  <si>
    <t>TRANSFORMADOR R2 230/34.5 kV</t>
  </si>
  <si>
    <t>D00235030</t>
  </si>
  <si>
    <t>D00235030000</t>
  </si>
  <si>
    <t>Ingenierías de detalle para la LT San José Concordia Veraguas a 115 kV</t>
  </si>
  <si>
    <t>Proyecto: Ingenierías de detalle para la LT San José Concordia Veraguas a 115 kV</t>
  </si>
  <si>
    <t>OT: 17-142</t>
  </si>
  <si>
    <t>LT SAN JOSÉ - CONCORDIA 115 kV</t>
  </si>
  <si>
    <t>Realizar el levantamiento topográfico del trazado desde la conexión T San José - San Facon, Nueva subestación San José hasta la Carrera 24 y AV calle 6ta.</t>
  </si>
  <si>
    <t>Realizar el replanteo topográfico de las estructuras diseñadas en el  trazado desde subestación San José a Carrera 24 y a calle 6ta.</t>
  </si>
  <si>
    <r>
      <rPr>
        <b/>
        <sz val="11"/>
        <color rgb="FFFF0000"/>
        <rFont val="Calibri"/>
        <family val="2"/>
      </rPr>
      <t xml:space="preserve">RL-5 </t>
    </r>
    <r>
      <rPr>
        <sz val="11"/>
        <color rgb="FF000000"/>
        <rFont val="Calibri"/>
        <family val="2"/>
      </rPr>
      <t>Diseno de cimentación para apoyo tipo poste - UNIDAD DE MEDIDA : C/U - cada uno</t>
    </r>
  </si>
  <si>
    <t>Diseño de cimentación para apoyo tipo poste</t>
  </si>
  <si>
    <t>LL05CIV</t>
  </si>
  <si>
    <t>Diseño de cimentación para apoyo tipo poste trazado desde subestación San José a Carrera 24 y a calle 6ta.</t>
  </si>
  <si>
    <t>Subtotal labores No. 5:</t>
  </si>
  <si>
    <t>Realizar el diseño electromecánico del  trazado desde sub estación San José a Carrera 24 y a calle 6ta.</t>
  </si>
  <si>
    <t>Realizar el estudio de suelos con sondeo manual en el lugar donde se instalaran las nuevas estructuras del  trazado desde subestación San José a Carrera 24 y a calle 6ta.</t>
  </si>
  <si>
    <t xml:space="preserve">Labor asimilada para realizar las medidas de resistividad del terreno (Sector Urbano) en el lugar donde se instalaran las nuevas estructuras del  trazado desde sub estación San José a Carrera 24 y a calle 6ta. 6 Estructuras en total X 12,23 valor único propuesto: </t>
  </si>
  <si>
    <t>D00235083</t>
  </si>
  <si>
    <t>D00235083000</t>
  </si>
  <si>
    <t>ACTA 5</t>
  </si>
  <si>
    <t>valor ejecutado Acta No. 2 Junio</t>
  </si>
  <si>
    <t>CDIM_CAOLIG_R0078 - RES. CREG 038-14 CÓDIGO DE MEDIDA</t>
  </si>
  <si>
    <t>Levantamiento e ingeniería de detalle para el reemplazo de la protección diferencial de barras contemplando que se debe instalar en tablero tipo Rack.</t>
  </si>
  <si>
    <t>Levantamiento e ingeniería de detalle para reemplazo del esquema de control y protecciones teniendo en cuenta que se debe instalar en tablero tipo Rack con controlador de bahía.</t>
  </si>
  <si>
    <r>
      <rPr>
        <b/>
        <sz val="11"/>
        <color rgb="FFFF0000"/>
        <rFont val="Calibri"/>
        <family val="2"/>
      </rPr>
      <t xml:space="preserve">L-26 </t>
    </r>
    <r>
      <rPr>
        <sz val="11"/>
        <color rgb="FF000000"/>
        <rFont val="Calibri"/>
        <family val="2"/>
      </rPr>
      <t>Ingeniería de nuevo tablero de control y protección para 34,5 kV (con control convencional o unidad de control y protección) - UNIDAD DE MEDIDA: C/U</t>
    </r>
  </si>
  <si>
    <t>CDIM_CBSGSM_R0161, Normalización y Reposición SE
VICTORIA, Cambio Protecciones módulos 87B, D3, y R1</t>
  </si>
  <si>
    <t>Proyecto: CDIM_CBSGSM_R0161, Normalización y Reposición SE VICTORIA, Cambio Protecciones módulos 87B, D3, y R1</t>
  </si>
  <si>
    <t>OT: 17-045</t>
  </si>
  <si>
    <t>Realizar el levantamiento e ingeniería para el montaje de 2 transformadores de SSAA 34.5/0.208kV - 150kVA.</t>
  </si>
  <si>
    <t>Levantamiento e ingeniería para ampliación de barraje de 34.5 kV.</t>
  </si>
  <si>
    <t>CIRCUITO APOSENTOS 34.5 kV</t>
  </si>
  <si>
    <r>
      <rPr>
        <b/>
        <sz val="11"/>
        <color rgb="FFFF0000"/>
        <rFont val="Calibri"/>
        <family val="2"/>
      </rPr>
      <t xml:space="preserve">L-12 </t>
    </r>
    <r>
      <rPr>
        <sz val="11"/>
        <color rgb="FF000000"/>
        <rFont val="Calibri"/>
        <family val="2"/>
      </rPr>
      <t>Ingeniería para el reemplazo o instalación de Seccionador tripolar con o sin cuchilla de puesta a tierra manual o motorizado de 34.5 kV - UNIDAD DE MEDIDA: C/U</t>
    </r>
  </si>
  <si>
    <t>SL12CIV</t>
  </si>
  <si>
    <t>Levantamiento e ingeniería civil y mecánico de los seccionadores 591 de barra.</t>
  </si>
  <si>
    <t>SL12MEC</t>
  </si>
  <si>
    <t>SL12ELE</t>
  </si>
  <si>
    <t>CIRCUITO COLAR 34.5 kV</t>
  </si>
  <si>
    <t>Levantamiento e ingeniería civil y mecánico de los seccionadores 541 de barra y 547 de linea.</t>
  </si>
  <si>
    <t>CIRCUITO PACHO 34.5 kV</t>
  </si>
  <si>
    <t>CIRCUITO POMAR 34.5 kV</t>
  </si>
  <si>
    <t>Realizar levantamiento e ingeniería para el reemplazo de los transformadores de corriente TC062 A/B/C.</t>
  </si>
  <si>
    <t>Levantamiento e ingeniería civil y mecánico de los seccionadores 561 de barra y 567 de linea.</t>
  </si>
  <si>
    <t>CIRCUITO SOL TIBITÓ 34.5 kV</t>
  </si>
  <si>
    <t>Levantamiento e ingeniería civil y mecánico de los seccionadores 581 de barra y 587 de linea.</t>
  </si>
  <si>
    <t>CIRCUITO VOLMO 34.5 kV</t>
  </si>
  <si>
    <t>Realizar levantamiento e ingeniería para el reemplazo de los transformadores de corriente TC052 A/B/C.</t>
  </si>
  <si>
    <t>Levantamiento e ingeniería civil y mecánico de los seccionadores 551 de barra y 557 de linea.</t>
  </si>
  <si>
    <t>Labor asimilada para realizar el levantamiento y diseño para las adecuaciones en la zona de las tapas de alfajor contemplando operatividad en la extracción de los interruptores de las celdas.
Factor: 32 HH X 2 H : 64 HH</t>
  </si>
  <si>
    <t>Realizar levantamiento e ingeniería para el reemplazo de los transformadores de corriente TC012 A/B/C.</t>
  </si>
  <si>
    <t>Levantamiento e ingeniería civil y mecánico del seccionador 511 de barra lado 34.5 kV.</t>
  </si>
  <si>
    <t>Realizar levantamiento e ingeniería para el reemplazo de los transformadores de corriente TC022 A/B/C.</t>
  </si>
  <si>
    <t>Levantamiento e ingeniería civil y mecánico del seccionador 521 de barra lado 34.5 kV.</t>
  </si>
  <si>
    <t>UNION BARRAS B1.1 - B1.2  34.5 kV</t>
  </si>
  <si>
    <t>Levantamiento e ingeniería civil y mecánico de los seccionadores 571 de barra B1.1 y 575 de barra B1.2 de 34.5 kV.</t>
  </si>
  <si>
    <t>D00235068</t>
  </si>
  <si>
    <t>D00235068000</t>
  </si>
  <si>
    <t>CDIM_CBSGSM_R0146 NORMALIZ Y REPOS SE EL SOL, Normalización servicios esenciales, normalización 15 seccionadores, juegos de CT</t>
  </si>
  <si>
    <t>Proyecto: CDIM_CBSGSM_R0146 NORMALIZ Y REPOS SE EL SOL, Normalización servicios esenciales, normalización 15 seccionadores, juegos de CT</t>
  </si>
  <si>
    <t>OT: 17-139</t>
  </si>
  <si>
    <r>
      <rPr>
        <b/>
        <sz val="11"/>
        <color rgb="FFFF0000"/>
        <rFont val="Calibri"/>
        <family val="2"/>
      </rPr>
      <t xml:space="preserve">M-22 </t>
    </r>
    <r>
      <rPr>
        <sz val="11"/>
        <color rgb="FF000000"/>
        <rFont val="Calibri"/>
        <family val="2"/>
      </rPr>
      <t>Ingenieria para el montaje y/o reemplazo de un tren de celdas Metal Clad 11,4 kV  - UNIDAD DE MEDIDA : Global por fila (Hasta 12 Celdas de Salida+Hasta 2 Celdas de Entrada+1 Celda de Medida+3 Celdas de Acople+1 Celda de Compensacion Capacitiva)</t>
    </r>
  </si>
  <si>
    <t>D00235274</t>
  </si>
  <si>
    <t>D00235278</t>
  </si>
  <si>
    <t xml:space="preserve">Labor asimilada para realizar el levantamiento eléctrico de mini BK'S y espacios de ruta para alimentar el TCM. </t>
  </si>
  <si>
    <t>D00243137</t>
  </si>
  <si>
    <t>D00243137000</t>
  </si>
  <si>
    <t>CANT</t>
  </si>
  <si>
    <t>17-019</t>
  </si>
  <si>
    <t>17-021</t>
  </si>
  <si>
    <t>17-030</t>
  </si>
  <si>
    <t>17-043</t>
  </si>
  <si>
    <t>17-046</t>
  </si>
  <si>
    <t>17-069</t>
  </si>
  <si>
    <t>17-126</t>
  </si>
  <si>
    <t>17-127</t>
  </si>
  <si>
    <t>17-128</t>
  </si>
  <si>
    <t>17-133</t>
  </si>
  <si>
    <t>17-135</t>
  </si>
  <si>
    <t>17-136</t>
  </si>
  <si>
    <t>17-149</t>
  </si>
  <si>
    <t>17-176</t>
  </si>
  <si>
    <t>17-093</t>
  </si>
  <si>
    <t>17-108</t>
  </si>
  <si>
    <r>
      <rPr>
        <b/>
        <sz val="11"/>
        <color rgb="FFFF0000"/>
        <rFont val="Calibri"/>
        <family val="2"/>
      </rPr>
      <t xml:space="preserve">L-1 </t>
    </r>
    <r>
      <rPr>
        <sz val="11"/>
        <color rgb="FF000000"/>
        <rFont val="Calibri"/>
        <family val="2"/>
      </rPr>
      <t>Ingeniería para el reemplazo de Transformador de Potencia Trifásico 230, 115, 57.5 / 34.5, 11.4 kV - UNIDAD DE MEDIDA: C/U</t>
    </r>
  </si>
  <si>
    <t>17-130</t>
  </si>
  <si>
    <t>AUTRANSFORMADOR AT1 230/115 KV</t>
  </si>
  <si>
    <r>
      <rPr>
        <b/>
        <sz val="11"/>
        <color rgb="FFFF0000"/>
        <rFont val="Calibri"/>
        <family val="2"/>
      </rPr>
      <t xml:space="preserve">L-2 </t>
    </r>
    <r>
      <rPr>
        <sz val="11"/>
        <color rgb="FF000000"/>
        <rFont val="Calibri"/>
        <family val="2"/>
      </rPr>
      <t>Ingeniería para el reemplazo de Transformador o Autotransformador trifásico 500 230/115 kV o una unidad de Banco de Autotransformadores 500 230/115 kV - UNIDAD DE MEDIDA: C/U</t>
    </r>
  </si>
  <si>
    <t>SL02CIV</t>
  </si>
  <si>
    <t>SL02MEC</t>
  </si>
  <si>
    <t>SL02ELE</t>
  </si>
  <si>
    <t>TRANSFORMADOR D2 230/11.4 kV</t>
  </si>
  <si>
    <t>17-156</t>
  </si>
  <si>
    <t xml:space="preserve">Labor asimilada para realizar el levantamiento eléctrico del transformador de SSAA lado baja tensión. </t>
  </si>
  <si>
    <t xml:space="preserve">Realizar el levantamiento eléctrico de los transformadores de corriente que se encuentran a la llegada de la subestación </t>
  </si>
  <si>
    <t>17-195</t>
  </si>
  <si>
    <t>Levantamiento de BKS y espacios de ruta para alimentar el TCM.</t>
  </si>
  <si>
    <t>Levantamiento e ingeniería para el reemplazo de las unidades de medida.</t>
  </si>
  <si>
    <t>Diseño de canalizaciones de control desde las salidas de los circuitos al tablero TCM.</t>
  </si>
  <si>
    <t>Levantamiento topográfico general de la subestación.</t>
  </si>
  <si>
    <t>SUBESTACIÓN 13.2/34.5 kV</t>
  </si>
  <si>
    <t>BARRA 57.5 kV</t>
  </si>
  <si>
    <t>Labor asimilada para la validación de la estructura metalica de un juego de Pt´s en la barra de 57.5 kV.
Factor Mecánico: 100% del levantamiento</t>
  </si>
  <si>
    <t>BARRA AÉREA 11.4 kV</t>
  </si>
  <si>
    <t>Labor asimilada para realizar levantamiento y diseño para la repotenciación del barraje aéreo para soportar la capacidad de 40 MVA.
Factor: 1
Realizar el diseño de las bajantes de cables que van desde el barraje a la celda de acople.
Factor: 0,3</t>
  </si>
  <si>
    <t>Labor asimilada para realizar una copia impresa de los diseños presentados para la subestación.</t>
  </si>
  <si>
    <t>Labor asimilada para las adecuaciones en el baño iluminacion y tanque de almacenamiento de agua para baño y ducha lavaojos, incluye levantamiento de punto de conexión y de la casa existente.</t>
  </si>
  <si>
    <t>TRANSFORMADOR D1 57.5/11.4 kV</t>
  </si>
  <si>
    <t>Labor asimilada para realizar el diseño electro-mecánico para el montaje de un transformador de potencia marca CHINT.
Factor Diseño Eléctrico Civil y Mecánico: 50% del diseño.</t>
  </si>
  <si>
    <t>TRANSFORMADOR D1 57.5/11.4 Kv LADO 57,5 kV</t>
  </si>
  <si>
    <t>Ingenería para el montaje de dos unidades de medida para dar cumplimiento a resolución Creg 038 de 2014.</t>
  </si>
  <si>
    <t>TRANSFORMADOR D1 57.5/11.4 Kv SALIDAS 11,4 KV</t>
  </si>
  <si>
    <t xml:space="preserve">Ingenería para el montaje de 4 medidores para macromedición en las celdas de 11,5 kV. </t>
  </si>
  <si>
    <t>OT: 17-207</t>
  </si>
  <si>
    <t>VALOR SIN IVA 1</t>
  </si>
  <si>
    <t>VALOR SIN IVA 2</t>
  </si>
  <si>
    <t>VALOR SIN IVA 3</t>
  </si>
  <si>
    <t>VALOR SIN IVA 4</t>
  </si>
  <si>
    <t>VALOR SIN IVA 5</t>
  </si>
  <si>
    <t>%1</t>
  </si>
  <si>
    <t>%2</t>
  </si>
  <si>
    <t>%3</t>
  </si>
  <si>
    <t>%4</t>
  </si>
  <si>
    <t>%5</t>
  </si>
  <si>
    <t>TOTAL VALOR SIN IVA</t>
  </si>
  <si>
    <t>TOTAL %</t>
  </si>
  <si>
    <t>FECHA OT</t>
  </si>
  <si>
    <t>D00235272</t>
  </si>
  <si>
    <t xml:space="preserve">valor ejecutado Acta No. 3 </t>
  </si>
  <si>
    <t xml:space="preserve">             </t>
  </si>
  <si>
    <t>D00245492</t>
  </si>
  <si>
    <t>valor ejecutado Acta No. 4 Julio</t>
  </si>
  <si>
    <t>valor ejecutado Acta No. 3 Julio</t>
  </si>
  <si>
    <t>valor ejecutado Acta No. 2 Julio</t>
  </si>
  <si>
    <t>17-039</t>
  </si>
  <si>
    <t>VICTORIA</t>
  </si>
  <si>
    <t>17-056</t>
  </si>
  <si>
    <t>17-067</t>
  </si>
  <si>
    <t>17-080</t>
  </si>
  <si>
    <t>17-085</t>
  </si>
  <si>
    <t>17-090</t>
  </si>
  <si>
    <t>17-098</t>
  </si>
  <si>
    <t>17-101</t>
  </si>
  <si>
    <t>17-120</t>
  </si>
  <si>
    <t>17-129</t>
  </si>
  <si>
    <t>17-146</t>
  </si>
  <si>
    <t>17-155</t>
  </si>
  <si>
    <t>17-012</t>
  </si>
  <si>
    <t>17-013</t>
  </si>
  <si>
    <t>17-017</t>
  </si>
  <si>
    <t>17-018</t>
  </si>
  <si>
    <t>17-031</t>
  </si>
  <si>
    <t>17-044</t>
  </si>
  <si>
    <t>17-181</t>
  </si>
  <si>
    <t>D00235085</t>
  </si>
  <si>
    <t>D00235085000</t>
  </si>
  <si>
    <t>LLTT NOROESTE- TERMINAL TECHO - TERMINAL 115 kV</t>
  </si>
  <si>
    <r>
      <rPr>
        <b/>
        <sz val="11"/>
        <color rgb="FFFF0000"/>
        <rFont val="Calibri"/>
        <family val="2"/>
      </rPr>
      <t xml:space="preserve">rl-2 </t>
    </r>
    <r>
      <rPr>
        <sz val="11"/>
        <color rgb="FF000000"/>
        <rFont val="Calibri"/>
        <family val="2"/>
      </rPr>
      <t>Levantamiento topográfico - UNIDAD DE MEDIDA : KM - Kilómetro</t>
    </r>
  </si>
  <si>
    <t>Realizar el levantamiento topográfico para el diseño del nuevo trazado de la linea Noroeste - Terminal Techo - Terminal</t>
  </si>
  <si>
    <r>
      <rPr>
        <b/>
        <sz val="11"/>
        <color rgb="FFFF0000"/>
        <rFont val="Calibri"/>
        <family val="2"/>
      </rPr>
      <t xml:space="preserve">rl-3 </t>
    </r>
    <r>
      <rPr>
        <sz val="11"/>
        <color rgb="FF000000"/>
        <rFont val="Calibri"/>
        <family val="2"/>
      </rPr>
      <t>Replanteo para Línea de AT - UNIDAD DE MEDIDA : KM - Kilómetro</t>
    </r>
  </si>
  <si>
    <t>Replanteo topografico para las estructuras a instalar en la línea.</t>
  </si>
  <si>
    <r>
      <rPr>
        <b/>
        <sz val="11"/>
        <color rgb="FFFF0000"/>
        <rFont val="Calibri"/>
        <family val="2"/>
      </rPr>
      <t xml:space="preserve">rl-5 </t>
    </r>
    <r>
      <rPr>
        <sz val="11"/>
        <color rgb="FF000000"/>
        <rFont val="Calibri"/>
        <family val="2"/>
      </rPr>
      <t>Diseno de cimentación para apoyo tipo poste - UNIDAD DE MEDIDA : C/U - cada uno</t>
    </r>
  </si>
  <si>
    <t>Diseño de cimetaciones para apoyo tipo poste.</t>
  </si>
  <si>
    <r>
      <rPr>
        <b/>
        <sz val="11"/>
        <color rgb="FFFF0000"/>
        <rFont val="Calibri"/>
        <family val="2"/>
      </rPr>
      <t xml:space="preserve">rl-8 </t>
    </r>
    <r>
      <rPr>
        <sz val="11"/>
        <color rgb="FF000000"/>
        <rFont val="Calibri"/>
        <family val="2"/>
      </rPr>
      <t>Diseño electromecánico de línea de AT - UNIDAD DE MEDIDA : KM - Kilómetro</t>
    </r>
  </si>
  <si>
    <r>
      <rPr>
        <b/>
        <sz val="11"/>
        <color rgb="FFFF0000"/>
        <rFont val="Calibri"/>
        <family val="2"/>
      </rPr>
      <t xml:space="preserve">rl-10 </t>
    </r>
    <r>
      <rPr>
        <sz val="11"/>
        <color rgb="FF000000"/>
        <rFont val="Calibri"/>
        <family val="2"/>
      </rPr>
      <t>Estudio de suelos con sondeo manual para sitios de estructuras de A.T - UNIDAD DE MEDIDA : C/U - cada uno</t>
    </r>
  </si>
  <si>
    <t>Realizar el estudio de suelos en el lugar donde se instalarán las estructuras.</t>
  </si>
  <si>
    <r>
      <rPr>
        <b/>
        <sz val="11"/>
        <color rgb="FFFF0000"/>
        <rFont val="Calibri"/>
        <family val="2"/>
      </rPr>
      <t xml:space="preserve">rl-12 </t>
    </r>
    <r>
      <rPr>
        <sz val="11"/>
        <color rgb="FF000000"/>
        <rFont val="Calibri"/>
        <family val="2"/>
      </rPr>
      <t>Elaboración de ingenierías  o estudios especiales - UNIDAD DE MEDIDA : HH</t>
    </r>
  </si>
  <si>
    <t>Realizar la medida de la resistividad en el lugar donde se instalarán las estructuras para la conexión de las LLTT a la llegada de la subestación.</t>
  </si>
  <si>
    <t>D00235069</t>
  </si>
  <si>
    <t>D00235069000</t>
  </si>
  <si>
    <t>Levantamiento e ingeniería para construcción de trazado de las líneas de llegada a la subestación Terminal</t>
  </si>
  <si>
    <t>Proyecto: Levantamiento e ingeniería para construcción de trazado de las líneas de llegada a la subestación Terminal</t>
  </si>
  <si>
    <t>OT: 17-184</t>
  </si>
  <si>
    <t>D00243030</t>
  </si>
  <si>
    <t>D00243030000</t>
  </si>
  <si>
    <t>17-190</t>
  </si>
  <si>
    <t>BARRA B1 34.5 kV</t>
  </si>
  <si>
    <t>D00243134</t>
  </si>
  <si>
    <t>D00243134000</t>
  </si>
  <si>
    <t>17-231</t>
  </si>
  <si>
    <t>17-191</t>
  </si>
  <si>
    <t>17-229</t>
  </si>
  <si>
    <t>ING. JHON CASANOVA</t>
  </si>
  <si>
    <t>ING. JORGE PATARROYO</t>
  </si>
  <si>
    <t>ING. DAVID JARAMILLO</t>
  </si>
  <si>
    <t>ING. MANUEL URBINA</t>
  </si>
  <si>
    <t>ING. DIANA GARCÍA</t>
  </si>
  <si>
    <t>ING. MONICA PINEDA</t>
  </si>
  <si>
    <t>ING. HERNAN GIRALDO</t>
  </si>
  <si>
    <t>ING. OSCAR GONZALEZ</t>
  </si>
  <si>
    <t>ING. NESTOR MARÍN</t>
  </si>
  <si>
    <t>ING. NESTOR MARIN</t>
  </si>
  <si>
    <t>ING. PAOLA BARATTO</t>
  </si>
  <si>
    <t>Ing. Jhon Casanova</t>
  </si>
  <si>
    <t>Ing. David Jaramillo</t>
  </si>
  <si>
    <t>Ing. Manuel Urbina</t>
  </si>
  <si>
    <t>Ing. Diana García</t>
  </si>
  <si>
    <t>Ing. Mónica Pineda</t>
  </si>
  <si>
    <t>Ing. Hernán Giraldo</t>
  </si>
  <si>
    <t>Ing. Paola Baratto</t>
  </si>
  <si>
    <t>Ing. Jorge Patarroyo</t>
  </si>
  <si>
    <t>Ing. Oscar Gonzalez</t>
  </si>
  <si>
    <t>17-009</t>
  </si>
  <si>
    <t>17-020</t>
  </si>
  <si>
    <t>17-033</t>
  </si>
  <si>
    <t>17-040</t>
  </si>
  <si>
    <t>17-041</t>
  </si>
  <si>
    <t>17-042</t>
  </si>
  <si>
    <t>17-051</t>
  </si>
  <si>
    <t>17-053</t>
  </si>
  <si>
    <t>17-054</t>
  </si>
  <si>
    <t>17-063</t>
  </si>
  <si>
    <t>17-064</t>
  </si>
  <si>
    <t>17-068</t>
  </si>
  <si>
    <t>17-077</t>
  </si>
  <si>
    <t>17-078</t>
  </si>
  <si>
    <t>17-079</t>
  </si>
  <si>
    <t>17-086</t>
  </si>
  <si>
    <t>17-087</t>
  </si>
  <si>
    <t>17-088</t>
  </si>
  <si>
    <t>17-089</t>
  </si>
  <si>
    <t>17-102</t>
  </si>
  <si>
    <t>17-103</t>
  </si>
  <si>
    <t>Ing. Andres Patarroyo</t>
  </si>
  <si>
    <t>Ing. Manuel urbina</t>
  </si>
  <si>
    <t>17-014</t>
  </si>
  <si>
    <t>16-118</t>
  </si>
  <si>
    <t>17-005</t>
  </si>
  <si>
    <t>17-006</t>
  </si>
  <si>
    <t>17-007</t>
  </si>
  <si>
    <t>17-008</t>
  </si>
  <si>
    <t>17-010</t>
  </si>
  <si>
    <t>17-015</t>
  </si>
  <si>
    <t>17-016</t>
  </si>
  <si>
    <t>17-024</t>
  </si>
  <si>
    <t>17-025</t>
  </si>
  <si>
    <t>17-026</t>
  </si>
  <si>
    <t>17-027</t>
  </si>
  <si>
    <t>17-029</t>
  </si>
  <si>
    <t>17-037</t>
  </si>
  <si>
    <t>17-038</t>
  </si>
  <si>
    <t>17-050</t>
  </si>
  <si>
    <t>17-055</t>
  </si>
  <si>
    <t>17-057</t>
  </si>
  <si>
    <t>17-060</t>
  </si>
  <si>
    <t>17-061</t>
  </si>
  <si>
    <t>17-062</t>
  </si>
  <si>
    <t>17-065</t>
  </si>
  <si>
    <t>17-066</t>
  </si>
  <si>
    <t>17-070</t>
  </si>
  <si>
    <t>17-071</t>
  </si>
  <si>
    <t>17-072</t>
  </si>
  <si>
    <t>17-081</t>
  </si>
  <si>
    <t>17-082</t>
  </si>
  <si>
    <t>17-083</t>
  </si>
  <si>
    <t>17-084</t>
  </si>
  <si>
    <t>17-092</t>
  </si>
  <si>
    <t>17-095</t>
  </si>
  <si>
    <t>17-099</t>
  </si>
  <si>
    <t>17-105</t>
  </si>
  <si>
    <t>17-106</t>
  </si>
  <si>
    <t>17-112</t>
  </si>
  <si>
    <t>17-115</t>
  </si>
  <si>
    <t>17-011</t>
  </si>
  <si>
    <t>17-058</t>
  </si>
  <si>
    <t>17-059</t>
  </si>
  <si>
    <t>17-073</t>
  </si>
  <si>
    <t>17-074</t>
  </si>
  <si>
    <t>17-075</t>
  </si>
  <si>
    <t>17-076</t>
  </si>
  <si>
    <t>17-109</t>
  </si>
  <si>
    <t>17-113</t>
  </si>
  <si>
    <t>17-114</t>
  </si>
  <si>
    <t>17-121</t>
  </si>
  <si>
    <t>17-122</t>
  </si>
  <si>
    <t>17-124</t>
  </si>
  <si>
    <t>17-137</t>
  </si>
  <si>
    <t>17-138</t>
  </si>
  <si>
    <t>17-140</t>
  </si>
  <si>
    <t>17-147</t>
  </si>
  <si>
    <t>17-144</t>
  </si>
  <si>
    <t>17-094</t>
  </si>
  <si>
    <t>17-123</t>
  </si>
  <si>
    <t>17-110</t>
  </si>
  <si>
    <t>17-116</t>
  </si>
  <si>
    <t>17-118</t>
  </si>
  <si>
    <t>17-132</t>
  </si>
  <si>
    <t>17-143</t>
  </si>
  <si>
    <t>17-145</t>
  </si>
  <si>
    <t>17-148</t>
  </si>
  <si>
    <t>17-151</t>
  </si>
  <si>
    <t>16-023</t>
  </si>
  <si>
    <t>Acta de avance
Orden de trabajo</t>
  </si>
  <si>
    <t>RG07-IO775</t>
  </si>
  <si>
    <t>Versión 1</t>
  </si>
  <si>
    <t>PROYECTO:</t>
  </si>
  <si>
    <t>ORDEN DE TRABAJO</t>
  </si>
  <si>
    <t>ORDEN PRESUPUESTAL:</t>
  </si>
  <si>
    <t>ACTA DE AVANCE No.</t>
  </si>
  <si>
    <t>CONTRATISTA:</t>
  </si>
  <si>
    <t>AC ENERGY</t>
  </si>
  <si>
    <t>VALOR TOTAL OT:</t>
  </si>
  <si>
    <t>SUBESTACIÓN:</t>
  </si>
  <si>
    <t>VALOR DEL ACTA:</t>
  </si>
  <si>
    <r>
      <rPr>
        <b/>
        <sz val="10"/>
        <color theme="1"/>
        <rFont val="Arial"/>
        <family val="2"/>
      </rPr>
      <t>2. Valor total según anexos adjuntos</t>
    </r>
    <r>
      <rPr>
        <sz val="10"/>
        <color theme="1"/>
        <rFont val="Arial"/>
        <family val="2"/>
      </rPr>
      <t>: El valor final del acta se describe a continuación:</t>
    </r>
  </si>
  <si>
    <t>DETALLE A PAGAR</t>
  </si>
  <si>
    <t>Valor según acta de avance</t>
  </si>
  <si>
    <t>3. Resumen OT:</t>
  </si>
  <si>
    <t>Acta No.</t>
  </si>
  <si>
    <t>Valor sin IVA</t>
  </si>
  <si>
    <t>% OT</t>
  </si>
  <si>
    <t>Ing. Diana Marcela García Pulido</t>
  </si>
  <si>
    <t>Gestor de la ingeniería</t>
  </si>
  <si>
    <t>Coordinador operativo del Contrato</t>
  </si>
  <si>
    <t>CODENSA S.A. E.S.P</t>
  </si>
  <si>
    <t>Ing. Miguel Vicente Rueda</t>
  </si>
  <si>
    <t>Ing. Armando Ciendúa Ciendúa</t>
  </si>
  <si>
    <t>Gestor del Contrato</t>
  </si>
  <si>
    <t>Ingeniería básica</t>
  </si>
  <si>
    <t>SL57BAS</t>
  </si>
  <si>
    <t>Subtotal labores No. 57:</t>
  </si>
  <si>
    <t>17-174</t>
  </si>
  <si>
    <r>
      <rPr>
        <b/>
        <sz val="11"/>
        <color rgb="FFFF0000"/>
        <rFont val="Calibri"/>
        <family val="2"/>
      </rPr>
      <t xml:space="preserve">L-57 </t>
    </r>
    <r>
      <rPr>
        <sz val="11"/>
        <color rgb="FF000000"/>
        <rFont val="Calibri"/>
        <family val="2"/>
      </rPr>
      <t>Elaboración de ingenierías básicas para nuevas S/Es AT/AT, AT/MT o MT/MT - UNIDAD DE MEDIDA: lobal</t>
    </r>
  </si>
  <si>
    <t>D00235094</t>
  </si>
  <si>
    <t>D00235094000</t>
  </si>
  <si>
    <t>CDIM_CBSGSM_R0147 Ingeniería Básica y levantamiento topográfico Subestación Usaquén</t>
  </si>
  <si>
    <t>Proyecto: CDIM_CBSGSM_R0147 Ingeniería Básica y levantamiento topográfico Subestación Usaquén</t>
  </si>
  <si>
    <t>OT: 17-174</t>
  </si>
  <si>
    <t>17-177</t>
  </si>
  <si>
    <t>17-180</t>
  </si>
  <si>
    <t>17-205</t>
  </si>
  <si>
    <t>17-235</t>
  </si>
  <si>
    <t>Ingeniería para montaje de una unidad de medida en el transformador de Servicios auxiliares AC.</t>
  </si>
  <si>
    <t>D00235092</t>
  </si>
  <si>
    <t>D00235092000</t>
  </si>
  <si>
    <t>D00235076</t>
  </si>
  <si>
    <t>D00235076000</t>
  </si>
  <si>
    <t>Proyecto: CDIM_CADCSR_R0109   AMPLIACIÓN CAPACIDAD INDUMIL</t>
  </si>
  <si>
    <t>CDIM_CADCSR_R0109   AMPLIACIÓN CAPACIDAD INDUMIL</t>
  </si>
  <si>
    <t>D00234958</t>
  </si>
  <si>
    <t>D00234958000</t>
  </si>
  <si>
    <t>D00234959000</t>
  </si>
  <si>
    <t>D00235272000</t>
  </si>
  <si>
    <t>valor ejecutado Acta No. 4 Agosto</t>
  </si>
  <si>
    <t>valor ejecutado Acta No. 5 Agosto</t>
  </si>
  <si>
    <t>valor ejecutado Acta No. 3 Agosto</t>
  </si>
  <si>
    <t>valor ejecutado Acta No. 2 Agosto</t>
  </si>
  <si>
    <t>valor ejecutado Acta No. 1 Agosto</t>
  </si>
  <si>
    <r>
      <rPr>
        <b/>
        <sz val="11"/>
        <color rgb="FFFF0000"/>
        <rFont val="Calibri"/>
        <family val="2"/>
      </rPr>
      <t xml:space="preserve">L-69 </t>
    </r>
    <r>
      <rPr>
        <sz val="11"/>
        <color rgb="FF000000"/>
        <rFont val="Calibri"/>
        <family val="2"/>
      </rPr>
      <t>Ingeniería para construcción de muro de cerramiento perimetral para subestación - UNIDAD DE MEDIDA: Global</t>
    </r>
  </si>
  <si>
    <t>Ingeniería civil  (Levantamiento e ingeniería de detalle)</t>
  </si>
  <si>
    <t>SL69CIV</t>
  </si>
  <si>
    <t>Subtotal labores No. 69:</t>
  </si>
  <si>
    <r>
      <rPr>
        <b/>
        <sz val="11"/>
        <color rgb="FFFF0000"/>
        <rFont val="Calibri"/>
        <family val="2"/>
      </rPr>
      <t xml:space="preserve">L-72 </t>
    </r>
    <r>
      <rPr>
        <sz val="11"/>
        <color rgb="FF000000"/>
        <rFont val="Calibri"/>
        <family val="2"/>
      </rPr>
      <t>Ingeniería para construcción de casa de control para subestación (hasta 350 m2) - UNIDAD DE MEDIDA: Global</t>
    </r>
  </si>
  <si>
    <t>SL72CEM</t>
  </si>
  <si>
    <t>Subtotal labores No. 72:</t>
  </si>
  <si>
    <r>
      <rPr>
        <b/>
        <sz val="11"/>
        <color rgb="FFFF0000"/>
        <rFont val="Calibri"/>
        <family val="2"/>
      </rPr>
      <t xml:space="preserve">L-27 </t>
    </r>
    <r>
      <rPr>
        <sz val="11"/>
        <color rgb="FF000000"/>
        <rFont val="Calibri"/>
        <family val="2"/>
      </rPr>
      <t>Ingeniería para el reemplazo o instalación de protección diferencial de barras  87B  Tipo I (&lt;= 6 Módulos) concentrada o distribuida. - UNIDAD DE MEDIDA: C/U</t>
    </r>
  </si>
  <si>
    <t>SL27MEC</t>
  </si>
  <si>
    <t>SL27ELE</t>
  </si>
  <si>
    <t>Subtotal labores No. 27:</t>
  </si>
  <si>
    <t>Ingeneiría para el reemplazo de la protección sobre corriente lado 115 kV.</t>
  </si>
  <si>
    <t>Ingeneiría para el reemplazo de la protección sobre corriente lado 34.5 kV.</t>
  </si>
  <si>
    <r>
      <rPr>
        <b/>
        <sz val="11"/>
        <color rgb="FFFF0000"/>
        <rFont val="Calibri"/>
        <family val="2"/>
      </rPr>
      <t xml:space="preserve">L-42 </t>
    </r>
    <r>
      <rPr>
        <sz val="11"/>
        <color rgb="FF000000"/>
        <rFont val="Calibri"/>
        <family val="2"/>
      </rPr>
      <t>Ingeniería para el reemplazo del esquema de protección para transformadores de potencia: Protección principal 87T, protección 86T y respaldo 50/51 - UNIDAD DE MEDIDA: Global por módulo (incluye rele 87T y reles 50/51 para cada devanado)</t>
    </r>
  </si>
  <si>
    <t>SL42MEC</t>
  </si>
  <si>
    <t>Ingeniería para el reemplazo del esquema de protecciones del módulo de transformador lado 230 kV.</t>
  </si>
  <si>
    <t>SL42ELE</t>
  </si>
  <si>
    <t>Subtotal labores No. 42:</t>
  </si>
  <si>
    <t>BARRA B1 115kV</t>
  </si>
  <si>
    <t>Ingeniería para el reemplazo de la protección diferencial de barras.</t>
  </si>
  <si>
    <t>COLEGIO 115 kV</t>
  </si>
  <si>
    <r>
      <rPr>
        <b/>
        <sz val="11"/>
        <color rgb="FFFF0000"/>
        <rFont val="Calibri"/>
        <family val="2"/>
      </rPr>
      <t xml:space="preserve">L-43 </t>
    </r>
    <r>
      <rPr>
        <sz val="11"/>
        <color rgb="FF000000"/>
        <rFont val="Calibri"/>
        <family val="2"/>
      </rPr>
      <t xml:space="preserve">Ingeniería para el reemplazo del esquema de protección para línea de 115 kV: Protección principal 21 y respaldo 67 - UNIDAD DE MEDIDA: Global por módulo </t>
    </r>
  </si>
  <si>
    <t>SL43MEC</t>
  </si>
  <si>
    <t>Ingeniería para el reemplazo del esquema de protecciones.</t>
  </si>
  <si>
    <t>SL43ELE</t>
  </si>
  <si>
    <t>Subtotal labores No. 43:</t>
  </si>
  <si>
    <t>FLANDES 1 115kV</t>
  </si>
  <si>
    <t>Labor asimilada para el diseño de un gabinete de agrupamiento de control y protecciones GCP del módulo en patio de conexiones.
FACTOR INGENIERÍA MECÁNICA:
0.7(100%) + 0.3 (0%) = 0.7
FACTOR INGENIERÍA ELÉCTRICA:
0.7(50%) + 0.3 (0%) = 0.35</t>
  </si>
  <si>
    <t>Ingeniería electromecánica para el reemplazo del esquema de protecciones del módulo de Línea 115 kV.</t>
  </si>
  <si>
    <t>FLANDES II 115kV</t>
  </si>
  <si>
    <t>D002234806</t>
  </si>
  <si>
    <t>CDIM_CBSGSM_R0071 Reposición de Protecciones, Levantamiento e ingeniería para reposición de protecciones y normalización de tableros de control y protección SSEE LA GUACA</t>
  </si>
  <si>
    <t>Proyecto: CDIM_CBSGSM_R0071 Reposición de Protecciones, Levantamiento e ingeniería para reposición de protecciones y normalización de tableros de control y protección SSEE LA GUACA</t>
  </si>
  <si>
    <t>OT: 17-187</t>
  </si>
  <si>
    <t>Levantamiento e ingeniería del transformador de servicios auxiliares para reemplazo de unidad de medida.</t>
  </si>
  <si>
    <t>Ingeniería para el cálculo del Burden y corrección de cargabilidad en el núcleo de medida de los transformadores de tensión PT´s.</t>
  </si>
  <si>
    <t>LT DORADA - GUADUAS 115 Kv ESTRUCTURA TERMINAL</t>
  </si>
  <si>
    <t>Incluye el levantamiento Topográfico desde el pórtico de la Subestación, así como la verificación actual del Faseo "ABC"</t>
  </si>
  <si>
    <t>Realizar el estudio de suelos en el lugar donde se instalaran las nuevas estructuras 2'  Y 1' .
Factor:  2 Estructuras X 12.23 valor único propuesto.</t>
  </si>
  <si>
    <t>Realizar las medidas de resistividad del terreno en el lugar donde se instalaran las nuevas estructuras 2´Y 1' .
Factor:  2 Estructuras X 12.23 valor único propuesto.</t>
  </si>
  <si>
    <t>LT DORADA - GUADUAS 115 kV ESTRUCTURA 453</t>
  </si>
  <si>
    <t>Realizar el replanteo topográfico enn el lugar donde se instalará la estructura nueva 453.</t>
  </si>
  <si>
    <t>Se validará la ubicación de la estructura 453 con respecto al diseño electromecanico realizado por la compañia Ingedisa en el año 2015.</t>
  </si>
  <si>
    <t>Realizar las medidas de resistividad del terreno en el lugar donde se instalaran las nuevas estructuras.
Factor:  1 Estructura X 12.23 valor único propuesto.</t>
  </si>
  <si>
    <t>LT DO GU Remplazo estructura 453 por distancias de seguridad y remplazo estructura terminal 578 por estabilidad</t>
  </si>
  <si>
    <t>Proyecto: LT DO GU Remplazo estructura 453 por distancias de seguridad y remplazo estructura terminal 578 por estabilidad</t>
  </si>
  <si>
    <t>OT: 17-225</t>
  </si>
  <si>
    <t>D00234839</t>
  </si>
  <si>
    <t>SUBESTACIÓN 230/115/34.5/11.4 kV</t>
  </si>
  <si>
    <t xml:space="preserve">Elaboración de los detalles de impermeabilización con Sikalastic 8800 (Poliúria) del semisótano en la casa de celdas. </t>
  </si>
  <si>
    <r>
      <rPr>
        <b/>
        <sz val="11"/>
        <color rgb="FFFF0000"/>
        <rFont val="Calibri"/>
        <family val="2"/>
      </rPr>
      <t xml:space="preserve">L-73 </t>
    </r>
    <r>
      <rPr>
        <sz val="11"/>
        <color rgb="FF000000"/>
        <rFont val="Calibri"/>
        <family val="2"/>
      </rPr>
      <t>Ingeniería para construcción de vías de circulación vehicular en el interior de la subestación - UNIDAD DE MEDIDA: Global</t>
    </r>
  </si>
  <si>
    <t>Actualización de todos los planos de planta perfil.
Factor: 40% del diseño.</t>
  </si>
  <si>
    <r>
      <rPr>
        <b/>
        <sz val="11"/>
        <color rgb="FFFF0000"/>
        <rFont val="Calibri"/>
        <family val="2"/>
      </rPr>
      <t xml:space="preserve">L-74 </t>
    </r>
    <r>
      <rPr>
        <sz val="11"/>
        <color rgb="FF000000"/>
        <rFont val="Calibri"/>
        <family val="2"/>
      </rPr>
      <t>Ingeniería para construcción del sistema de carrileras para transformadores de potencia - UNIDAD DE MEDIDA: Global</t>
    </r>
  </si>
  <si>
    <t xml:space="preserve">Diseño de soporte para cruce con banco de ductos.
Factor: 50% del diseño civil.
</t>
  </si>
  <si>
    <t>Labor asimilada para realizar el levantamiento mecánico del transformador y validación de los espacios y estructura del equipo en la cimentación diseñada para transformador de 40 MVA.
Realizar el diseño del. anclaje para el transformador y verificación de las bajantes de cables.
Factor Civil: 20% del diseño.
Factor Mecánico: 100% del levantamiento 20% del diseño.</t>
  </si>
  <si>
    <t>D00235077</t>
  </si>
  <si>
    <t>D00235077000</t>
  </si>
  <si>
    <t>Ingeniería civil para ampliación de capacidad subestación Noroeste</t>
  </si>
  <si>
    <t>Proyecto: Ingeniería civil para ampliación de capacidad subestación Noroeste</t>
  </si>
  <si>
    <t>OT: 17-232</t>
  </si>
  <si>
    <t xml:space="preserve">Labor asimilada para la elaboración de planos As Built a partir del rojo verde suministrado por codensa.
Labor asimilada para el cálculo de Burden y la corrección de la cargabilidad  del núcleo de medida para un juego PT´s (3 Unidades).  </t>
  </si>
  <si>
    <t>Labor asimilada para la elaboración de planos As Built a partir del rojo verde suministrado por codensa.
Ingeniería eléctrica y mecánica para el reemplazo de Transformadores de Corriente.</t>
  </si>
  <si>
    <t>Labor asimilada para la elaboración de planos As Built a partir del rojo verde suministrado por codensa.
Ingeniería eléctrico para la instalación de dos medidores digitales NEXUS 1500.</t>
  </si>
  <si>
    <t>D00235027</t>
  </si>
  <si>
    <t>D00235027000</t>
  </si>
  <si>
    <t>OT: 17-237</t>
  </si>
  <si>
    <t>17-141</t>
  </si>
  <si>
    <t>17-159</t>
  </si>
  <si>
    <t>17-185</t>
  </si>
  <si>
    <t>17-187</t>
  </si>
  <si>
    <t>17-194</t>
  </si>
  <si>
    <t>17-206</t>
  </si>
  <si>
    <t>17-218</t>
  </si>
  <si>
    <t>17-225</t>
  </si>
  <si>
    <t>17-232</t>
  </si>
  <si>
    <t>17-237</t>
  </si>
  <si>
    <t>17-239</t>
  </si>
  <si>
    <t>17-245</t>
  </si>
  <si>
    <t>17-248</t>
  </si>
  <si>
    <t>17-255</t>
  </si>
  <si>
    <t>17-271</t>
  </si>
  <si>
    <t>INGENIERÍA CIVIL</t>
  </si>
  <si>
    <t>INGENIERÍA ELÉCTRICA</t>
  </si>
  <si>
    <t>INGENIERÍA MECÁNICA</t>
  </si>
  <si>
    <t>Gerente General</t>
  </si>
  <si>
    <t>AC ENERGY SAS</t>
  </si>
  <si>
    <t>FILA D2 11.4 kV</t>
  </si>
  <si>
    <t>17-045</t>
  </si>
  <si>
    <t>17-047</t>
  </si>
  <si>
    <r>
      <rPr>
        <b/>
        <sz val="11"/>
        <color rgb="FFFF0000"/>
        <rFont val="Calibri"/>
        <family val="2"/>
      </rPr>
      <t xml:space="preserve">L-22 </t>
    </r>
    <r>
      <rPr>
        <sz val="11"/>
        <color rgb="FF000000"/>
        <rFont val="Calibri"/>
        <family val="2"/>
      </rPr>
      <t>Ingeniería para normalización del tablero de control y protección de módulo línea, transformador, compensación o acople de 115/57,5/34,5 kV - UNIDAD DE MEDIDA: C/U</t>
    </r>
  </si>
  <si>
    <r>
      <rPr>
        <b/>
        <sz val="11"/>
        <color rgb="FFFF0000"/>
        <rFont val="Calibri"/>
        <family val="2"/>
      </rPr>
      <t xml:space="preserve">L-34 </t>
    </r>
    <r>
      <rPr>
        <sz val="11"/>
        <color rgb="FF000000"/>
        <rFont val="Calibri"/>
        <family val="2"/>
      </rPr>
      <t>Ingeniería para el reemplazo/instalación de protección de sobrecorriente  50/51, 67  en módulos de línea o de transformación AT - UNIDAD DE MEDIDA: C/U</t>
    </r>
  </si>
  <si>
    <t>17-178</t>
  </si>
  <si>
    <t>17-179</t>
  </si>
  <si>
    <t>LÍNEA REFI_FAMI 115 kV</t>
  </si>
  <si>
    <r>
      <rPr>
        <b/>
        <sz val="11"/>
        <color rgb="FFFF0000"/>
        <rFont val="Calibri"/>
        <family val="2"/>
      </rPr>
      <t xml:space="preserve">L-54 </t>
    </r>
    <r>
      <rPr>
        <sz val="11"/>
        <color rgb="FF000000"/>
        <rFont val="Calibri"/>
        <family val="2"/>
      </rPr>
      <t>Actualización de planos eléctricos módulo de línea 115/57,5 kV - UNIDAD DE MEDIDA: Global por módulo</t>
    </r>
  </si>
  <si>
    <t>SL54ELE</t>
  </si>
  <si>
    <t>Realizar la  la revisión de la ingeniería desarrollada por PECS y actualización de planos del módulo se trabaja como elemento de entrada el diseño realizado por PECS y la normalización de acuerdo a la revisión de la ingeniería.</t>
  </si>
  <si>
    <t>Subtotal labores No. 54:</t>
  </si>
  <si>
    <t>LÍNEA TENJO 115 kV</t>
  </si>
  <si>
    <t>LÍNEA ZIPAQUIRÁ 115 kV</t>
  </si>
  <si>
    <t>TERMOZIPA II 115 kV</t>
  </si>
  <si>
    <t>CDIM_CBSGSM_R0146 - NORMALIZACIÓN Y REPOSICIÓN EL SOL, Revisión y actualización ingeniería PECS - Líneas Refisal / TJ / ZP / TZ2</t>
  </si>
  <si>
    <t>Proyecto: CDIM_CBSGSM_R0146 - NORMALIZACIÓN Y REPOSICIÓN EL SOL, Revisión y actualización ingeniería PECS - Líneas Refisal / TJ / ZP / TZ2</t>
  </si>
  <si>
    <t>OT: 17-179</t>
  </si>
  <si>
    <t>17-188</t>
  </si>
  <si>
    <t>17-196</t>
  </si>
  <si>
    <t>17-199</t>
  </si>
  <si>
    <t>Levantamiento e ingeniería para normalización de tablero de control y protecciones del módulo de transformador lado AT/MT.
FACTOR 1.5 Por contener los dos módulos en el mismo tablero.</t>
  </si>
  <si>
    <r>
      <t xml:space="preserve">Ingeneiría para el reemplazo de la protección sobre corriente </t>
    </r>
    <r>
      <rPr>
        <b/>
        <sz val="11"/>
        <color rgb="FF000000"/>
        <rFont val="Calibri"/>
        <family val="2"/>
      </rPr>
      <t>lado 34,5 kV.</t>
    </r>
  </si>
  <si>
    <r>
      <rPr>
        <b/>
        <sz val="11"/>
        <color rgb="FFFF0000"/>
        <rFont val="Calibri"/>
        <family val="2"/>
      </rPr>
      <t xml:space="preserve">L-29 </t>
    </r>
    <r>
      <rPr>
        <sz val="11"/>
        <color rgb="FF000000"/>
        <rFont val="Calibri"/>
        <family val="2"/>
      </rPr>
      <t>Ingeniería para el reemplazo/instalación de protección diferencial de transformador o autotransformador trifásico  87T  bidevanado - UNIDAD DE MEDIDA: C/U</t>
    </r>
  </si>
  <si>
    <t>SL29MEC</t>
  </si>
  <si>
    <t>SL29ELE</t>
  </si>
  <si>
    <t>Subtotal labores No. 29:</t>
  </si>
  <si>
    <t>D00234805</t>
  </si>
  <si>
    <t>CDIM_CBSGSM_R0071 Reposición de Protecciones, Levantamiento e ingeniería para reposición de protecciones y normalización de tableros de control y protección SSEE VILLETA</t>
  </si>
  <si>
    <t>Proyecto: CDIM_CBSGSM_R0071 Reposición de Protecciones, Levantamiento e ingeniería para reposición de protecciones y normalización de tableros de control y protección SSEE VILLETA</t>
  </si>
  <si>
    <t>OT: 17-199</t>
  </si>
  <si>
    <t>17-200</t>
  </si>
  <si>
    <t>Levantamiento e ingeniería para el reemplazo de la protección diferencial de barras teniendo en cuenta que se debe instalar en un tablero tipo Rack.</t>
  </si>
  <si>
    <t>Levantamiento e ingeniería para normalización del control y las protecciones del módulo.</t>
  </si>
  <si>
    <r>
      <rPr>
        <b/>
        <sz val="11"/>
        <color rgb="FFFF0000"/>
        <rFont val="Calibri"/>
        <family val="2"/>
      </rPr>
      <t xml:space="preserve">L-29 </t>
    </r>
    <r>
      <rPr>
        <sz val="11"/>
        <color rgb="FF000000"/>
        <rFont val="Calibri"/>
        <family val="2"/>
      </rPr>
      <t>Ingeniería para el reemplazo/instalación de protección diferencial de transformador o autotransformador trifásico  87T  bidevanado - UNIDAD DE MEDIDA: C/U</t>
    </r>
  </si>
  <si>
    <t>Levantamiento e ingeniería para reemplazo de la protección diferencial de transformador.</t>
  </si>
  <si>
    <t>Realizar el levantamiento e ingeniería para normalización del módulo contemplando levantar la mecánica del tablero de la diferencial de barras, lugar donde se migrará el módulo de transformador.</t>
  </si>
  <si>
    <t>Levantamiento e ingeniería para reemplazo de la protección diferencial de transformador y traslado de la protección sobrecorriente. Se debe contemplar que las protecciones se instalan en el tablero donde actualmente se encuentra instalada la protección diferencial de barras.</t>
  </si>
  <si>
    <t>CDIM_CBSGSM_R0071 Reposición de Protecciones, Levantamiento e ingeniería para reposición de protecciones y normalización de tableros de control y protección SSEE LA PAZ</t>
  </si>
  <si>
    <t>Proyecto: CDIM_CBSGSM_R0071 Reposición de Protecciones, Levantamiento e ingeniería para reposición de protecciones y normalización de tableros de control y protección SSEE LA PAZ</t>
  </si>
  <si>
    <t>OT: 17-200</t>
  </si>
  <si>
    <t>17-201</t>
  </si>
  <si>
    <t>TRANSFORMADOR D2 115 kV</t>
  </si>
  <si>
    <t>17-202</t>
  </si>
  <si>
    <t>17-207</t>
  </si>
  <si>
    <t>17-216</t>
  </si>
  <si>
    <t>17-217</t>
  </si>
  <si>
    <t>17-220</t>
  </si>
  <si>
    <t xml:space="preserve">Ingeniería para el cálculo del Burden y corrección de cargabilidad en el núcleo de medida de los transformadores de tensión PT´s. </t>
  </si>
  <si>
    <t>TRANSFORMADOR D2 34,5/13,2 kV</t>
  </si>
  <si>
    <t>17-221</t>
  </si>
  <si>
    <t>17-226</t>
  </si>
  <si>
    <t>17-227</t>
  </si>
  <si>
    <t>BANCO DE AUTOTRANSFORMADORES II (500/115 kV)</t>
  </si>
  <si>
    <r>
      <rPr>
        <b/>
        <sz val="11"/>
        <color rgb="FFFF0000"/>
        <rFont val="Calibri"/>
        <family val="2"/>
      </rPr>
      <t xml:space="preserve">l-2 </t>
    </r>
    <r>
      <rPr>
        <sz val="11"/>
        <color rgb="FF000000"/>
        <rFont val="Calibri"/>
        <family val="2"/>
      </rPr>
      <t>Ingeniería para el reemplazo de Transformador o Autotransformador trifásico 500 230/115 kV o una unidad de Banco de Autotransformadores 500 230/115 kV - UNIDAD DE MEDIDA: C/U</t>
    </r>
  </si>
  <si>
    <r>
      <t xml:space="preserve">Labor asimilida para realizar la validación del Datasheet del nuevo banco de transformadores T2, teniendo en cuenta que se van a reeemplazar.
</t>
    </r>
    <r>
      <rPr>
        <b/>
        <sz val="11"/>
        <color rgb="FF000000"/>
        <rFont val="Calibri"/>
        <family val="2"/>
      </rPr>
      <t>Nota: la validacion del Datasheet suministrado por Codensa debe ser comparada con el diseño realizado por AC Energy para los banco actualmente instalado</t>
    </r>
    <r>
      <rPr>
        <sz val="11"/>
        <color rgb="FF000000"/>
        <rFont val="Calibri"/>
        <family val="2"/>
      </rPr>
      <t>s.
Se considera 20% de la unidad del baremo por Fase a validar.</t>
    </r>
  </si>
  <si>
    <t>Validación ELÉCTRICA, CIVIL, MECÁNICA de los nuevos bancos de transformadores T2 por futuro reemplazo de cada una de las unidades existentes en la SE BACATÁ 500/115 KV</t>
  </si>
  <si>
    <t>Proyecto: Validación ELÉCTRICA, CIVIL, MECÁNICA de los nuevos bancos de transformadores T2 por futuro reemplazo de cada una de las unidades existentes en la SE BACATÁ 500/115 KV</t>
  </si>
  <si>
    <t>OT: 17-227</t>
  </si>
  <si>
    <t>17-236</t>
  </si>
  <si>
    <t>Elaboración de planos As Built a partir del rojo verde suministrado por Codensa.</t>
  </si>
  <si>
    <t>OT: 17-236</t>
  </si>
  <si>
    <t>17-242</t>
  </si>
  <si>
    <r>
      <rPr>
        <b/>
        <sz val="11"/>
        <color rgb="FFFF0000"/>
        <rFont val="Calibri"/>
        <family val="2"/>
      </rPr>
      <t xml:space="preserve">L-52 </t>
    </r>
    <r>
      <rPr>
        <sz val="11"/>
        <color rgb="FF000000"/>
        <rFont val="Calibri"/>
        <family val="2"/>
      </rPr>
      <t>Ingeniería para construcción de instalación provisional para cambio de tren de celdas de 11,4 kV, 13,2 kV o 34,5 kV - UNIDAD DE MEDIDA: C/U</t>
    </r>
  </si>
  <si>
    <t>SL52CIM</t>
  </si>
  <si>
    <t>SL52ELE</t>
  </si>
  <si>
    <t>Subtotal labores No. 52:</t>
  </si>
  <si>
    <t>17-246</t>
  </si>
  <si>
    <t>17-249</t>
  </si>
  <si>
    <t xml:space="preserve">Levantamiento e ingeniería para el reemplazo de las unidades de medida </t>
  </si>
  <si>
    <t>17-250</t>
  </si>
  <si>
    <t xml:space="preserve">CIRCUITO GUANGUITA 13.2 kV </t>
  </si>
  <si>
    <t>CIRCUITO HOSPITAL 13.2 kV</t>
  </si>
  <si>
    <t>CIRCUITO SAN PEDRO 13.2 kV</t>
  </si>
  <si>
    <t>OT: 17-250</t>
  </si>
  <si>
    <t>Diseño civil y mecánico de canalizaciones de control desde las salidas de los circuitos al tablero TCM.</t>
  </si>
  <si>
    <t>EXPANSIÓN ZONAS PERIFÉRICAS MT</t>
  </si>
  <si>
    <t>Proyecto: EXPANSIÓN ZONAS PERIFÉRICAS MT</t>
  </si>
  <si>
    <t xml:space="preserve">Elaborar el diseño para la normalización de las canalizaciones de control y potencia en el patio de conexiones hasta antes de la entrada a sala de control.
Se debe contemplar la independización de las canalizaciones de control y potencia en el patio de conexiones y contemplando la normalización de la subestación según el diseño conceptual elaborado con la DAT15-162.
Factor: 50% Diseño civil </t>
  </si>
  <si>
    <t>CDIM_CADCRA_R0113 AMPLIACIÓN SUBESTACIÓN MT-MT CAJICÁ</t>
  </si>
  <si>
    <t>Proyecto: CDIM_CADCRA_R0113 AMPLIACIÓN SUBESTACIÓN MT-MT CAJICÁ</t>
  </si>
  <si>
    <t>OT: 17-259</t>
  </si>
  <si>
    <t>17-259</t>
  </si>
  <si>
    <t>D00235021</t>
  </si>
  <si>
    <t>D00235021000</t>
  </si>
  <si>
    <t>17-261</t>
  </si>
  <si>
    <t>17-267</t>
  </si>
  <si>
    <t>D00242975</t>
  </si>
  <si>
    <t>17-275</t>
  </si>
  <si>
    <t>D00245491</t>
  </si>
  <si>
    <t>TOTAL A FACTURAR (IVA INCLUIDO)</t>
  </si>
  <si>
    <t>Valor TOTAL OT (IVA INCLUIDO)</t>
  </si>
  <si>
    <t>CDIM_CBSGSM_R0071</t>
  </si>
  <si>
    <t>Proyecto : REPOSICIÓN DE PROTECCIONES EN SE AT-MT, CDIM_CBSGSM_R0071, Cambio Protección 87B y Normalización Tableros en SE Calle 67</t>
  </si>
  <si>
    <t>OT: 17-031</t>
  </si>
  <si>
    <t>Realizar el levantamiento e ingeniería para reemplazo de la protección diferencial de barras teniendo en cuenta que se debe instalar reutilizando un tablero del actual panel anunciador de alarmas.</t>
  </si>
  <si>
    <r>
      <rPr>
        <b/>
        <sz val="11"/>
        <color rgb="FFFF0000"/>
        <rFont val="Calibri"/>
        <family val="2"/>
      </rPr>
      <t xml:space="preserve">L-38 </t>
    </r>
    <r>
      <rPr>
        <sz val="11"/>
        <color rgb="FF000000"/>
        <rFont val="Calibri"/>
        <family val="2"/>
      </rPr>
      <t>Ingeniería para instalación o reemplazo de panel anunciador de alarmas (64 ventanas) - UNIDAD DE MEDIDA: C/U</t>
    </r>
  </si>
  <si>
    <t>SL38MEC</t>
  </si>
  <si>
    <t xml:space="preserve">Levantamiento e ingeniería eléctrica para retiro de panel anunciador de alarmas instalado en el actual tablero de la diferencial de barras en la celda tipo túnel, elaborar listas de descableado del panel y de interconexión de los módulos.
Factor: 0.3 X (Alcance levantamiento) + 0.7 (Alcance de ingeniería) = 0.3 X (1) + 0.7 (3) = 0,51 </t>
  </si>
  <si>
    <t>SL38ELE</t>
  </si>
  <si>
    <t>Subtotal labores No. 38:</t>
  </si>
  <si>
    <t>CDIM_CBSGSM_R0161</t>
  </si>
  <si>
    <t>Proyecto: CDIM_CBSGSM_R0161, Normalización y Reposición SE VICTORIA, Pendientes Normalización Módulos D1-D2 SE VICTORIA.</t>
  </si>
  <si>
    <t>OT: 17-043</t>
  </si>
  <si>
    <r>
      <rPr>
        <b/>
        <sz val="11"/>
        <color rgb="FFFF0000"/>
        <rFont val="Calibri"/>
        <family val="2"/>
      </rPr>
      <t xml:space="preserve">L-31 </t>
    </r>
    <r>
      <rPr>
        <sz val="11"/>
        <color rgb="FF000000"/>
        <rFont val="Calibri"/>
        <family val="2"/>
      </rPr>
      <t>Ingeniería para el reemplazo/instalación del rele regulador de tensión del transformador  90  - UNIDAD DE MEDIDA: C/U</t>
    </r>
  </si>
  <si>
    <t>SL31MEC</t>
  </si>
  <si>
    <t>SL31ELE</t>
  </si>
  <si>
    <t>Subtotal labores No. 31:</t>
  </si>
  <si>
    <t>Proyecto: CDIM_CBSGSM_R0161, Normalización y Reposición SE VICTORIA, Cambio, y Normalización, de Control, Protección, y Potencia, en Módulos de Línea de 115 kV</t>
  </si>
  <si>
    <t>OT: 17-046</t>
  </si>
  <si>
    <t>LÍNEA CÁQUEZA 115 kV</t>
  </si>
  <si>
    <t>Realizar los levantamientos requeridos para el reemplazo o traslado del interruptor.</t>
  </si>
  <si>
    <r>
      <rPr>
        <b/>
        <sz val="11"/>
        <color rgb="FFFF0000"/>
        <rFont val="Calibri"/>
        <family val="2"/>
      </rPr>
      <t xml:space="preserve">M-6 </t>
    </r>
    <r>
      <rPr>
        <sz val="11"/>
        <color rgb="FF000000"/>
        <rFont val="Calibri"/>
        <family val="2"/>
      </rPr>
      <t>Ingenieria para el montaje de un nuevo modulo Linea 115 kV - Configuracion Barra Sencilla  - UNIDAD DE MEDIDA : C/U</t>
    </r>
  </si>
  <si>
    <t>SM06CIV</t>
  </si>
  <si>
    <t>SM06MEC</t>
  </si>
  <si>
    <t>SM06ELE</t>
  </si>
  <si>
    <t>Realizar los levantamientos requeridos para el reemplazo de los transformadores de Corriente del módulo.</t>
  </si>
  <si>
    <t>Labor asimilada para el levantamiento electromecánico de la trampa de onda con el fin de realizar el retiro de los equipos.</t>
  </si>
  <si>
    <r>
      <rPr>
        <b/>
        <sz val="11"/>
        <color rgb="FFFF0000"/>
        <rFont val="Calibri"/>
        <family val="2"/>
      </rPr>
      <t xml:space="preserve">L-11 </t>
    </r>
    <r>
      <rPr>
        <sz val="11"/>
        <color rgb="FF000000"/>
        <rFont val="Calibri"/>
        <family val="2"/>
      </rPr>
      <t>Ingeniería para el reemplazo/instalación de Seccionador tripolar con o sin cuchilla de puesta a tierra manual o motorizado de 500 kV, 230kV, 115 kV, 57.5 kV - UNIDAD DE MEDIDA: C/U</t>
    </r>
  </si>
  <si>
    <t>Realizar los levantamientos para el reemplazo de los seccionadores de barra y de línea del módulo.</t>
  </si>
  <si>
    <t>LÍNEA CIRCO 115 kV</t>
  </si>
  <si>
    <t>Labor asimilada para realizar el levantamiento Electromecánico de la trampa de onda con el fin de realizar el retiro de los equipos.</t>
  </si>
  <si>
    <t>SAN CARLOS 115 kV</t>
  </si>
  <si>
    <t>SAN CARLOS II 115 kV</t>
  </si>
  <si>
    <t>Ingeniería para construcción de muro cortafuegos entre transformador D2 y D3.</t>
  </si>
  <si>
    <r>
      <rPr>
        <b/>
        <sz val="11"/>
        <color rgb="FFFF0000"/>
        <rFont val="Calibri"/>
        <family val="2"/>
      </rPr>
      <t xml:space="preserve">L-50 </t>
    </r>
    <r>
      <rPr>
        <sz val="11"/>
        <color rgb="FF000000"/>
        <rFont val="Calibri"/>
        <family val="2"/>
      </rPr>
      <t>Ingeniería para construcción/ampliación de foso colector de aceite para transformadores. - UNIDAD DE MEDIDA: C/U</t>
    </r>
  </si>
  <si>
    <t>SL50CIV</t>
  </si>
  <si>
    <t>Subtotal labores No. 50:</t>
  </si>
  <si>
    <r>
      <rPr>
        <b/>
        <sz val="11"/>
        <color rgb="FFFF0000"/>
        <rFont val="Calibri"/>
        <family val="2"/>
      </rPr>
      <t xml:space="preserve">L-64 </t>
    </r>
    <r>
      <rPr>
        <sz val="11"/>
        <color rgb="FF000000"/>
        <rFont val="Calibri"/>
        <family val="2"/>
      </rPr>
      <t>Estudio, cálculo y optimización de malla de puesta a tierra (ampliación y/o readecuación) - UNIDAD DE MEDIDA: Global por lote de área hasta 700 m2</t>
    </r>
  </si>
  <si>
    <t>SL64CEM</t>
  </si>
  <si>
    <t>Subtotal labores No. 64:</t>
  </si>
  <si>
    <t>BARRA 34,5 kV</t>
  </si>
  <si>
    <t>SUBESTACIÓN 34.5/11.4 kV</t>
  </si>
  <si>
    <t>Labor asimilada para el cálculo de Burden y la corrección de la cargabilidad  del núcleo de medida para un juego CT´s (3 Unidades).  INGENIERÍA ELÉCTRICA =0.3x(Factor alcance levantamiento) + 0.7 x(Factor alcance diseño)=0.30x(0.00) + 0.70x(0.40)=0.28</t>
  </si>
  <si>
    <t>CDIM_CADCRA_R0117</t>
  </si>
  <si>
    <t>Proyecto: CDIM_CADCRA_R0117, R SUBESTACIÓN MT-MT TOCANCIPÁ</t>
  </si>
  <si>
    <t>OT: 17-108</t>
  </si>
  <si>
    <t>Labor asimilada para el diseño de ampliación del patio de conexiones.
Factor: 8 HH X 2 H X 2 días de trabajo.</t>
  </si>
  <si>
    <t>Labor asimilada para el diseño de nuevo cárcamo de control en el modulo de transformador D1, requerido por traslado del interruptor y el diseño de las tapas de cárcamo de toda la subestación.
Factor: 8 HH X 2 HH X 1.5 días de trabajo: 24 HH.</t>
  </si>
  <si>
    <t>Realizar el diseño de la cobertura proteccion de la Bomba de agua potable.
Factor: 4 HH</t>
  </si>
  <si>
    <t>Realizar la validación de la malla de puesta a tierra ampliación y equipotencialidad con el cerramiento perimetral.</t>
  </si>
  <si>
    <r>
      <rPr>
        <b/>
        <sz val="11"/>
        <color rgb="FFFF0000"/>
        <rFont val="Calibri"/>
        <family val="2"/>
      </rPr>
      <t xml:space="preserve">L-3 </t>
    </r>
    <r>
      <rPr>
        <sz val="11"/>
        <color rgb="FF000000"/>
        <rFont val="Calibri"/>
        <family val="2"/>
      </rPr>
      <t>Ingeniería para el reemplazo de Transformador de Potencia Trifásico 34.5/13,211.4 kV, 2,5 a 12 MVA - UNIDAD DE MEDIDA: C/U</t>
    </r>
  </si>
  <si>
    <t>SL03CIV</t>
  </si>
  <si>
    <t>Levantamiento e ingeniería para el reemplazo del transformador D1 de 2.5 MVA por uno de 5 MVA.</t>
  </si>
  <si>
    <t>SL03MEC</t>
  </si>
  <si>
    <t>SL03ELE</t>
  </si>
  <si>
    <t>Levantamiento e ingeniería para el traslado del interruptor de potencia del transformador lado 34.5 kV, se debe conservar el mismo interruptor sin embargo se debe realizar la reubicacion del equipo necesaria para el reemplazo por ampliación de capacidad del transformador.</t>
  </si>
  <si>
    <t>Levantamiento e ingeniería mecánica para el montaje de un juego de Ct´s en el modulo de 34.5 kV.</t>
  </si>
  <si>
    <t>Ingeniería para construcción de muro cortafuegos entre transformadores D1 y D2.</t>
  </si>
  <si>
    <t>Ingeniería para construcción y ampliación de foso colector de Aceite y conexión de los fosos de los dos transformadores y adecuaciones necesarias para la estructura del bordillo y la placa del D2.</t>
  </si>
  <si>
    <t>D00235024</t>
  </si>
  <si>
    <t>D00243217</t>
  </si>
  <si>
    <t>Proyecto: CDIM_CADCSR_R0081, SUBESTACIÓN GRAN SABANA, Ingeniería Tablero de medida Subestación Gran Sabana para la implementación del proyecto código de medida y calidad de potencia en los transformadores D3, R2 y de la barra de 115 kV</t>
  </si>
  <si>
    <t>OT: 17-120</t>
  </si>
  <si>
    <t>Realizar el calculo del burden y la corrección de cargabilidad de un juego de Pt´s (3 unidades).
Factor Ingeniería Mecánica y civil:
0.3 X Factor de alcance levantamiento + 0.7 Factor Alcance ingeniería
Levantamiento e ingeniería Mecánica: 0.3 X (0) + 0.7 X (50%) = 0.35</t>
  </si>
  <si>
    <t>Ingeniería para la instalacion de una unidad de medida Ester A1800 para calidad de potencia.</t>
  </si>
  <si>
    <t>Realizar el diseño civil y mecánico para el montaje de un tablero de medida TCM que incluyan 4 medidores para los transformadores D3 y R2, y un medidor para Calidad de energia en la barra de 115 kV.</t>
  </si>
  <si>
    <t>TRANSFORMADOR D3 115/11,4 kV</t>
  </si>
  <si>
    <t>Labor asimilada para el cálculo de Burden y la corrección de la cargabilidad  del núcleo de medida para un juego CT´s (3 Unidades).  
INGENIERÍA ELÉCTRICA =0.3x(Factor alcance levantamiento) + 0.7 x(Factor alcance diseño)=0.30x(0.00) + 0.70x(0.40)=0.28</t>
  </si>
  <si>
    <t>Ingeniería para la instalacion de dos unidades de medida Elster A1800.</t>
  </si>
  <si>
    <t>D00235275</t>
  </si>
  <si>
    <t>D00235275000</t>
  </si>
  <si>
    <t>Levantamiento e ingeniería para el montaje de un nuevo tablero de medida en la subestación.</t>
  </si>
  <si>
    <t>CDIM_CBSGSM_R0171</t>
  </si>
  <si>
    <t xml:space="preserve">SUBESTACIÓN 57.5/11.4  kV </t>
  </si>
  <si>
    <t>D00235268</t>
  </si>
  <si>
    <t>D00235268000</t>
  </si>
  <si>
    <t>OT: 17-129</t>
  </si>
  <si>
    <r>
      <rPr>
        <b/>
        <sz val="11"/>
        <color rgb="FFFF0000"/>
        <rFont val="Calibri"/>
        <family val="2"/>
      </rPr>
      <t xml:space="preserve">l-1 </t>
    </r>
    <r>
      <rPr>
        <sz val="11"/>
        <color rgb="FF000000"/>
        <rFont val="Calibri"/>
        <family val="2"/>
      </rPr>
      <t>Ingeniería para el reemplazo de Transformador de Potencia Trifásico 230, 115, 57.5 / 34.5, 11.4 kV - UNIDAD DE MEDIDA: C/U</t>
    </r>
  </si>
  <si>
    <t>Realizar el levantamiento civil y mecánico del transformador para definir espacios para la instalacion de un juego de Pt´s en el módulo.</t>
  </si>
  <si>
    <t>Realizar el levantamiento civil y mecánico de los Transformadores de corriente para definir espacios para la instalacion de un juego de Pt´s en el módulo.</t>
  </si>
  <si>
    <t>Elaborar la ingeniería mecánica y eléctrica básica para la instalación de un nuevo juego de Pt´s en el módulo lado 230 kV.
Factor: 70% del diseño eléctrico y mecánico.</t>
  </si>
  <si>
    <t>Realizar el levantamiento civil y mecánico de los descargadores de sobretensión para definir espacios para la instalacion de un juego de Pt´s en el módulo.</t>
  </si>
  <si>
    <t>SUBESTACIÓN 230/115/11.4 kV</t>
  </si>
  <si>
    <t>Realizar el informe de ferroresonancia sobre los módulos donde se va a instalar un nuevo juego de PT´s.
Factor: elaboración de informe: 27 HH</t>
  </si>
  <si>
    <t>OT: 17-136</t>
  </si>
  <si>
    <t>Realizar el levantamiento e ingeniería para el reemplazo de la caja de empalme de los PT´s, se debe tener en cuenta que la caja de empalme nueva se debe instalar en la parte posterior de la actual contemplando cambio de canalizaciones que salen hacia el carcamo. 
Ingeniería electrica para normalización de caja de empalme de Pt´s de la barra, contemplando el calculo del burden y corrección de cargabilidad del nucleo de medida.
Factor Ingeniería Mecánica y civil:
0.3 X Factor de alcance levantamiento + 0.7 Factor Alcance ingeniería
Levantamiento e ingeniería Mecánica: 0.3 X (1) + 0.7 X (50%) = 0.65
Factor Ingeniería electrica:
0.3 X Factor de alcance levantamiento + 0.7 Factor Alcance ingeniería
Levantamiento e ingeniería Electrica 0.3 X (0) + 0.7 X (100%) = 0.7</t>
  </si>
  <si>
    <t>NORMALIZACIÓN SSEE SATÉLITE-ROSARIO CSPQ CS27 ROSARIO UOB, ubicado en Calle 62B #26-66</t>
  </si>
  <si>
    <t>Proyecto: NORMALIZACIÓN SSEE SATÉLITE-ROSARIO CSPQ CS27 ROSARIO UOB, ubicado en Calle 62B #26-66</t>
  </si>
  <si>
    <t>OT: 17-152</t>
  </si>
  <si>
    <t>SUBESTACIÓN 13.2 kV</t>
  </si>
  <si>
    <t>Ingenieria para el montaje/reemplazo/traslado de un transformador de pedestal de 11.4/0.208 kVAC.</t>
  </si>
  <si>
    <t>Ingeniería para montaje de un tablero de servicios auxiliares.</t>
  </si>
  <si>
    <t>Labor asimilada para el montaje de un tren de celdas compuesto por hasta 6 circuitos entrada salida 1 celda de protección para transformador.</t>
  </si>
  <si>
    <r>
      <rPr>
        <b/>
        <sz val="11"/>
        <color rgb="FFFF0000"/>
        <rFont val="Calibri"/>
        <family val="2"/>
      </rPr>
      <t xml:space="preserve">l-61 </t>
    </r>
    <r>
      <rPr>
        <sz val="11"/>
        <color rgb="FF000000"/>
        <rFont val="Calibri"/>
        <family val="2"/>
      </rPr>
      <t>Elaboración de estudio de suelos (hasta 3 sondeos de 6 m de profundidad) - UNIDAD DE MEDIDA: Estudio</t>
    </r>
  </si>
  <si>
    <t>Labor asimilada para el diseño readecuación de la casa de celdas de las subestaciones Satélite Simplificadas, de acuerdo al instructivo de diseño de subestaciones satelite simplificadas incluye sismoresistencia y ventilación forzada.
se debe tener en cuenta los espacios para la instalación de un tren de celdas de 11.4 Kv (hasta 7 Celdas), tablero de baja tension AC, tablero DC con rack de baterías, tablero de tele control TPT y celda de transformador de hasta 300 KVA.</t>
  </si>
  <si>
    <t>D00234935</t>
  </si>
  <si>
    <t>NORMALIZACIÓN SSEE SATÉLITE-MAGDALENA CSPQ CR22 MAGDALENA UOB, ubicado en Calle 42 #15-77</t>
  </si>
  <si>
    <t>Proyecto: NORMALIZACIÓN SSEE SATÉLITE-MAGDALENA CSPQ CR22 MAGDALENA UOB, ubicado en Calle 42 #15-77</t>
  </si>
  <si>
    <t>OT: 17-153</t>
  </si>
  <si>
    <t>Proyecto: CDIM_CADCRA_R0117, AMPLIACIÓN SUBESTACIÓN MT-MT TOCANCIPÁ</t>
  </si>
  <si>
    <t>OT: 17-155</t>
  </si>
  <si>
    <r>
      <rPr>
        <b/>
        <sz val="11"/>
        <color rgb="FFFF0000"/>
        <rFont val="Calibri"/>
        <family val="2"/>
      </rPr>
      <t xml:space="preserve">L-16 </t>
    </r>
    <r>
      <rPr>
        <sz val="11"/>
        <color rgb="FF000000"/>
        <rFont val="Calibri"/>
        <family val="2"/>
      </rPr>
      <t>Ingeniería para el reemplazo/instalación de Reconectador de 38 kV y 15 kV - UNIDAD DE MEDIDA: C/U</t>
    </r>
  </si>
  <si>
    <t>SL16CIM</t>
  </si>
  <si>
    <t>Levantamiento e ingeniería para el montaje de un reconectador en el módulo del transformador lado 13.2 kV.</t>
  </si>
  <si>
    <t>SL16ELE</t>
  </si>
  <si>
    <t>Subtotal labores No. 16:</t>
  </si>
  <si>
    <t>Labor asimilada para el montaje de un módulo provisional requerido para el traslado del interruptor.</t>
  </si>
  <si>
    <t>Levantamiento e ingeniería para instalación provisional de transformador.</t>
  </si>
  <si>
    <t>D00235024000</t>
  </si>
  <si>
    <t>CDIM_CAOLIG_R0078 - RES. CREG 038-14 CÓDIGO DE MEDIDA, IMPLEMENTACIÓN DEL CÓDIGO DE MEDIDA EN LA S/E LLANOS (LEVANTAMIENTO)</t>
  </si>
  <si>
    <t>Proyecto: CDIM_CAOLIG_R0078 - RES. CREG 038-14 CÓDIGO DE MEDIDA, IMPLEMENTACIÓN DEL CÓDIGO DE MEDIDA EN LA S/E LLANOS (LEVANTAMIENTO)</t>
  </si>
  <si>
    <t>OT: 17-169</t>
  </si>
  <si>
    <t>CDIM_CBSGSM_R0147 Ingeniería Básica y levantamiento topográfico Subestación Morato</t>
  </si>
  <si>
    <t>Proyecto: CDIM_CBSGSM_R0147 Ingeniería Básica y levantamiento topográfico Subestación Morato</t>
  </si>
  <si>
    <t>OT: 17-173</t>
  </si>
  <si>
    <t>D00235093</t>
  </si>
  <si>
    <t>D00235093000</t>
  </si>
  <si>
    <t>CDIM_CADCRA_R0114 – Cucunubá, Ingeniería mecánica y eléctrica para reemplazo del trafo D1</t>
  </si>
  <si>
    <t>Proyecto: CDIM_CADCRA_R0114 – Cucunubá, Ingeniería mecánica y eléctrica para reemplazo del trafo D1</t>
  </si>
  <si>
    <t>OT: 17-189</t>
  </si>
  <si>
    <t>Levantamiento ingeniería mecánica y eléctrica para remplazo de transformador</t>
  </si>
  <si>
    <t>Labor asimilada para realizar el levantamiento eléctrico y mecánico el transformador D1 actualmente ubicado en la subestación los mangos con destino a la subestación Cucunubá NOTA: CODENSA suministrara información técnica en medio digital de los módulos del transformador D1 (Ingeniera mecánica, civil y eléctrica)</t>
  </si>
  <si>
    <t>valor ejecutado Acta No. 4 Septiembre</t>
  </si>
  <si>
    <t>ACTA 6</t>
  </si>
  <si>
    <t>valor ejecutado Acta No. 3 Septiembre</t>
  </si>
  <si>
    <t>valor ejecutado Acta No. 2 Septiembre</t>
  </si>
  <si>
    <t>valor ejecutado Acta No. 5 Septiembre</t>
  </si>
  <si>
    <t>CDIM_CAOLIG_R0078 - RES. CREG 038-14 CÓDIGO DE
MEDIDA, Elaboración de ingenierías básicas para implementación del proyecto cód medida
resolución Creg 038 de 2014 en la subestación BALSILLAS</t>
  </si>
  <si>
    <t>Proyecto: CDIM_CAOLIG_R0078 - RES. CREG 038-14 CÓDIGO DE MEDIDA, Elaboración de ingenierías básicas para implementación del proyecto cód medida resolución Creg 038 de 2014 en la subestación BALSILLAS</t>
  </si>
  <si>
    <t>Periodo facturación: Septiembre</t>
  </si>
  <si>
    <t>valor ejecutado Acta No. 1 Septiembre</t>
  </si>
  <si>
    <r>
      <rPr>
        <b/>
        <sz val="11"/>
        <color rgb="FFFF0000"/>
        <rFont val="Calibri"/>
        <family val="2"/>
      </rPr>
      <t xml:space="preserve">L-27 </t>
    </r>
    <r>
      <rPr>
        <sz val="11"/>
        <color rgb="FF000000"/>
        <rFont val="Calibri"/>
        <family val="2"/>
      </rPr>
      <t>Ingeniería para el reemplazo o instalación de protección diferencial de barras  87B  Tipo I (&lt;= 6 Módulos) concentrada o distribuida. - UNIDAD DE MEDIDA: C/U</t>
    </r>
  </si>
  <si>
    <t>Elaborar planos As Built a partir del rojo verde suministrado por Codensa.</t>
  </si>
  <si>
    <t>CELDA DE ENTRADA D3 C40 11.4 kV</t>
  </si>
  <si>
    <r>
      <rPr>
        <b/>
        <sz val="11"/>
        <color rgb="FFFF0000"/>
        <rFont val="Calibri"/>
        <family val="2"/>
      </rPr>
      <t xml:space="preserve">L-36 </t>
    </r>
    <r>
      <rPr>
        <sz val="11"/>
        <color rgb="FF000000"/>
        <rFont val="Calibri"/>
        <family val="2"/>
      </rPr>
      <t>Ingeniería para el reemplazo/instalación de una Unidad de Medida (UDM), equipo registrador de calidad de potencia o medidor de energía - UNIDAD DE MEDIDA: Grupo x 2 (equipos del mismo módulo)</t>
    </r>
  </si>
  <si>
    <t>FILA 3 11.4 kV</t>
  </si>
  <si>
    <r>
      <rPr>
        <b/>
        <sz val="11"/>
        <color rgb="FFFF0000"/>
        <rFont val="Calibri"/>
        <family val="2"/>
      </rPr>
      <t xml:space="preserve">L-45 </t>
    </r>
    <r>
      <rPr>
        <sz val="11"/>
        <color rgb="FF000000"/>
        <rFont val="Calibri"/>
        <family val="2"/>
      </rPr>
      <t xml:space="preserve">Ingeniería para el reemplazo/instalación de unidad de control y protección en un tren de celdas de MT - UNIDAD DE MEDIDA: Global por fila de celdas (hasta 12 celdas de salida, 1 de entrada, 1 de acople) </t>
    </r>
  </si>
  <si>
    <t>SL45MEC</t>
  </si>
  <si>
    <t>SL45ELE</t>
  </si>
  <si>
    <t>Subtotal labores No. 45:</t>
  </si>
  <si>
    <r>
      <rPr>
        <b/>
        <sz val="11"/>
        <color rgb="FFFF0000"/>
        <rFont val="Calibri"/>
        <family val="2"/>
      </rPr>
      <t xml:space="preserve">L-59 </t>
    </r>
    <r>
      <rPr>
        <sz val="11"/>
        <color rgb="FF000000"/>
        <rFont val="Calibri"/>
        <family val="2"/>
      </rPr>
      <t>Elaboración de ingenierías conceptuales o estudios especiales en S/E AT/AT, AT/MT o MT/MT - UNIDAD DE MEDIDA: HH</t>
    </r>
  </si>
  <si>
    <t>Labor asimilada para la ingeniería de limpieza y adecuación de celdas 11.4 kV (13 celdas). Factor 208 x 0.05 = 10.4</t>
  </si>
  <si>
    <t>LA ESTRADA 11.4 kV</t>
  </si>
  <si>
    <t>LIBRE 11.4 kV</t>
  </si>
  <si>
    <t>MORISCO 11.4 kV</t>
  </si>
  <si>
    <t>OBRERO 11.4 kV</t>
  </si>
  <si>
    <t>SUBA 115 kV</t>
  </si>
  <si>
    <r>
      <rPr>
        <b/>
        <sz val="11"/>
        <color rgb="FFFF0000"/>
        <rFont val="Calibri"/>
        <family val="2"/>
      </rPr>
      <t xml:space="preserve">L-22 </t>
    </r>
    <r>
      <rPr>
        <sz val="11"/>
        <color rgb="FF000000"/>
        <rFont val="Calibri"/>
        <family val="2"/>
      </rPr>
      <t>Ingeniería para normalización del tablero de control y protección de módulo línea, transformador, compensación o acople de 115/57,5/34,5 kV - UNIDAD DE MEDIDA: C/U</t>
    </r>
  </si>
  <si>
    <r>
      <rPr>
        <b/>
        <sz val="11"/>
        <color rgb="FFFF0000"/>
        <rFont val="Calibri"/>
        <family val="2"/>
      </rPr>
      <t xml:space="preserve">L-42 </t>
    </r>
    <r>
      <rPr>
        <sz val="11"/>
        <color rgb="FF000000"/>
        <rFont val="Calibri"/>
        <family val="2"/>
      </rPr>
      <t>Ingeniería para el reemplazo del esquema de protección para transformadores de potencia: Protección principal 87T, protección 86T y respaldo 50/51 - UNIDAD DE MEDIDA: Global por módulo (incluye rele 87T y reles 50/51 para cada devanado)</t>
    </r>
  </si>
  <si>
    <r>
      <rPr>
        <b/>
        <sz val="11"/>
        <color rgb="FFFF0000"/>
        <rFont val="Calibri"/>
        <family val="2"/>
      </rPr>
      <t xml:space="preserve">L-34 </t>
    </r>
    <r>
      <rPr>
        <sz val="11"/>
        <color rgb="FF000000"/>
        <rFont val="Calibri"/>
        <family val="2"/>
      </rPr>
      <t>Ingeniería para el reemplazo/instalación de protección de sobrecorriente  50/51, 67  en módulos de línea o de transformación AT - UNIDAD DE MEDIDA: C/U</t>
    </r>
  </si>
  <si>
    <t>D00234809000</t>
  </si>
  <si>
    <t>Proyecto: CDIM_CBSGSM_R0071 REPOSICIÓN DE PROTECCIONES EN SE AT-MT, Planos As-Built Cambio Protecciones - SE MORATO</t>
  </si>
  <si>
    <t>OT: 17-047</t>
  </si>
  <si>
    <t>C01 LLANO GRANDE 11.4kV</t>
  </si>
  <si>
    <r>
      <rPr>
        <b/>
        <sz val="11"/>
        <color rgb="FFFF0000"/>
        <rFont val="Calibri"/>
        <family val="2"/>
      </rPr>
      <t xml:space="preserve">L-35 </t>
    </r>
    <r>
      <rPr>
        <sz val="11"/>
        <color rgb="FF000000"/>
        <rFont val="Calibri"/>
        <family val="2"/>
      </rPr>
      <t>Ingeniería para el reemplazo/instalación de unidad de control y protección con función de sobrecorriente  50/51, 67  en circuitos de media tensión (34,5, 11,4 o 13,2 kV) - UNIDAD DE MEDIDA: C/U</t>
    </r>
  </si>
  <si>
    <t>SL35MEC</t>
  </si>
  <si>
    <t>Elaborar planos As Built.
Factor = 0,04 
Se considera 80% del valor  para la elaboracion de planos As Built a partir del rojo verde Suministrado por Codensa por tratarse de labor reiterativa.
0,05*80% = 0,04</t>
  </si>
  <si>
    <t>SL35ELE</t>
  </si>
  <si>
    <t>Subtotal labores No. 35:</t>
  </si>
  <si>
    <t>C02 ETB_BC 11.4kV</t>
  </si>
  <si>
    <t>C03 SAN DIONISIO 11.4kV</t>
  </si>
  <si>
    <t>C04 MARIA PAZ 11.4kV</t>
  </si>
  <si>
    <t>C06 UNION BARRAS D2-D1 11.4kV</t>
  </si>
  <si>
    <t>C07 ACOPLE D2 11.4kV</t>
  </si>
  <si>
    <t>C09 ACOPLE D2 11.4 kV</t>
  </si>
  <si>
    <t>C10 UNION BARRAS D2 - D3 11.4 kV</t>
  </si>
  <si>
    <t>C12 LIBRE 11.4kV</t>
  </si>
  <si>
    <t>C13 EMISORA MARIANA 11.4 Kv</t>
  </si>
  <si>
    <t>C14 HIPODROMO 11.4 kV</t>
  </si>
  <si>
    <t>C15 TIMOTEO 11.4kV</t>
  </si>
  <si>
    <t>C16 PROVIVIENDA 11.4 kV</t>
  </si>
  <si>
    <t>C17 AVD BOYACA 11.4kV</t>
  </si>
  <si>
    <t>C18 TINTALA 11.4kV</t>
  </si>
  <si>
    <t>C19 MANDALAY 11.4kV</t>
  </si>
  <si>
    <t>C21 UNION BARRAS D3-D2 11.4kV</t>
  </si>
  <si>
    <t>C22 ACOPLE D3 11.4 kV</t>
  </si>
  <si>
    <t>C24 ACOPLE D3 11.4kV</t>
  </si>
  <si>
    <t>C25 LIBRE 11.4kV</t>
  </si>
  <si>
    <t>C27 CASTILLA 11.4 kV</t>
  </si>
  <si>
    <t>C28 2 AVENIDAS 11.4kV</t>
  </si>
  <si>
    <t>C29 ANDALUCIA 11.4kV</t>
  </si>
  <si>
    <t>C30 AV 1 MAYO 11.4kV</t>
  </si>
  <si>
    <t>D00234810</t>
  </si>
  <si>
    <t>D00234810000</t>
  </si>
  <si>
    <t>Proyecto: CDIM_CBSGSM_R0071 REPOSICIÓN DE PROTECCIONES EN SE AT-MT, Planos As-Built Cambio Protecciones - SE TECHO</t>
  </si>
  <si>
    <t>OT: 17-048</t>
  </si>
  <si>
    <t>LT INDUMIL - NUEVA ESPERANZA 115 kV</t>
  </si>
  <si>
    <t xml:space="preserve">Realizar el posicionamiento topográfico y levantamiento del trazado actual de la línea (5 Km). Teniendo en cuenta levantamiento con Dron. </t>
  </si>
  <si>
    <t xml:space="preserve">Realizar el diseño electromecánico para el trazado de la linea Indumil - Nueva esperanza 5Km
Se presentarán:
o Cálculos electromecánicos
o Tablas de torres 
o Tablas de tendido
o Tabla de cantidades: Estas tabla debe incluir cantidades aproximadas de obra civil(excavación, concreto y acero ), peso de las estructuras, materiales de SPT.En este caso se deben plantear unas cantidades aproximadas de acuerdo con información existente de este tipo de estructuras.
o Planos de herrajes
o Plano Planta general
o Plano Arboles de carga y siluetas
o Planos de planta perfil
No se presentarán:
o Diseño puesta a tierra : Como no se van a hacer las medidas de resistividad no se presentara diseño de puesta a tierra
o Plano de puesta a tierra: Como no se van a hacer las medidas de resistividad no se presentara diseño de puesta a tierra
o Planos selección de patas: Como no se van a hacer labores de replanteo no se hará selección de patas.
</t>
  </si>
  <si>
    <t>D00235082</t>
  </si>
  <si>
    <t xml:space="preserve"> CDIM_CBSGAM_R0131</t>
  </si>
  <si>
    <t>Proyecto: Diseño ingeniería básica LT INDUMIL - NUEVA ESPERANZA A 115kV CDIM_CBSGAM_R0131</t>
  </si>
  <si>
    <t>OT: 17-170</t>
  </si>
  <si>
    <r>
      <rPr>
        <b/>
        <sz val="11"/>
        <color rgb="FFFF0000"/>
        <rFont val="Calibri"/>
        <family val="2"/>
      </rPr>
      <t xml:space="preserve">L-9 </t>
    </r>
    <r>
      <rPr>
        <sz val="11"/>
        <color rgb="FF000000"/>
        <rFont val="Calibri"/>
        <family val="2"/>
      </rPr>
      <t>Ingeniería para el reemplazo de transformadores de tensión (Grupo de 3) de 500, 230, 115 o 57,5kV - UNIDAD DE MEDIDA: Grupo x 3</t>
    </r>
  </si>
  <si>
    <t>BARRA 1 115 kV</t>
  </si>
  <si>
    <r>
      <rPr>
        <b/>
        <sz val="11"/>
        <color rgb="FFFF0000"/>
        <rFont val="Calibri"/>
        <family val="2"/>
      </rPr>
      <t xml:space="preserve">l-27 </t>
    </r>
    <r>
      <rPr>
        <sz val="11"/>
        <color rgb="FF000000"/>
        <rFont val="Calibri"/>
        <family val="2"/>
      </rPr>
      <t>Ingeniería para el reemplazo o instalación de protección diferencial de barras  87B  Tipo I (&lt;= 6 Módulos) concentrada o distribuida. - UNIDAD DE MEDIDA: C/U</t>
    </r>
  </si>
  <si>
    <t>SALTO II 115 kV</t>
  </si>
  <si>
    <r>
      <rPr>
        <b/>
        <sz val="11"/>
        <color rgb="FFFF0000"/>
        <rFont val="Calibri"/>
        <family val="2"/>
      </rPr>
      <t xml:space="preserve">l-43 </t>
    </r>
    <r>
      <rPr>
        <sz val="11"/>
        <color rgb="FF000000"/>
        <rFont val="Calibri"/>
        <family val="2"/>
      </rPr>
      <t xml:space="preserve">Ingeniería para el reemplazo del esquema de protección para línea de 115 kV: Protección principal 21 y respaldo 67 - UNIDAD DE MEDIDA: Global por módulo </t>
    </r>
  </si>
  <si>
    <t>CDIM_CBSGSM_R0071 Reposición de Protecciones, Levantamiento e ingeniería para reposición de protecciones y normalización de tableros de protección SSEE MUÑA 3</t>
  </si>
  <si>
    <t>Proyecto: CDIM_CBSGSM_R0071 Reposición de Protecciones, Levantamiento e ingeniería para reposición de protecciones y normalización de tableros de protección SSEE MUÑA 3</t>
  </si>
  <si>
    <t>OT: 17-186</t>
  </si>
  <si>
    <t>AUTOTRANSFORMADOR AT2-LADO 230 kV</t>
  </si>
  <si>
    <t>Elaborar los diseños de dos cimentaciones especiales, para apoyos tipo poste.
Se debe tomar como criterio para la elaboración de los diseños de cimentación especial, que existe la probabilidad de que por parte de la EAB ESP posterior a la construcción de los cimientos, realicen actividades de excavación para el reemplazo de la tubería de alcantarillado y esta que actividad se deberá ejecutar sin afectar la estabilidad de las cimentaciones para las nuevas estructuras (Postes normalizados P01 y P07).</t>
  </si>
  <si>
    <t>OT: 17-238</t>
  </si>
  <si>
    <t>CDIM_CBSGSM_R0120</t>
  </si>
  <si>
    <t>Levantamiento e ingeniería para construcción de un nuevo barraje de 34,5 kV en estructura metálica.</t>
  </si>
  <si>
    <t>CIRCUITO ACUEDUCTO 34.5 kV</t>
  </si>
  <si>
    <r>
      <rPr>
        <b/>
        <sz val="11"/>
        <color rgb="FFFF0000"/>
        <rFont val="Calibri"/>
        <family val="2"/>
      </rPr>
      <t xml:space="preserve">M-17 </t>
    </r>
    <r>
      <rPr>
        <sz val="11"/>
        <color rgb="FF000000"/>
        <rFont val="Calibri"/>
        <family val="2"/>
      </rPr>
      <t>Ingenieria para el montaje de un nuevo modulo circuito/transformador de 34.5 kV con interruptor - UNIDAD DE MEDIDA : C/U</t>
    </r>
  </si>
  <si>
    <t>SM17CIV</t>
  </si>
  <si>
    <t>Realizar el montaje de un nuevo módulo de 34.5 kV para la salida del circuito.</t>
  </si>
  <si>
    <t>SM17MEC</t>
  </si>
  <si>
    <t>SM17ELE</t>
  </si>
  <si>
    <t>CIRCUITO USME 34.5 kV</t>
  </si>
  <si>
    <t>Realizar el montaje de un nuevo módulo de 34.5 kV para la salida del circuito.
Factor: 0,3 Levantamiento + (0,7 X 30% actividades contempladas en el literal 3,4 del contrato de servicios 5700014501) = 0,51</t>
  </si>
  <si>
    <t>Levantamiento e ingeniería para el reemplazo del transformador, se contempla retiro de transformador de puesta a tierra e instalación del transformador provisional ubicado en la subestación Ubaté.</t>
  </si>
  <si>
    <t>Ingeniería para construcción de un nuevo módulo de transformador lado 34.5 kV.</t>
  </si>
  <si>
    <r>
      <rPr>
        <b/>
        <sz val="11"/>
        <color rgb="FFFF0000"/>
        <rFont val="Calibri"/>
        <family val="2"/>
      </rPr>
      <t xml:space="preserve">L-40 </t>
    </r>
    <r>
      <rPr>
        <sz val="11"/>
        <color rgb="FF000000"/>
        <rFont val="Calibri"/>
        <family val="2"/>
      </rPr>
      <t>Ingeniería para el cambio/instalación de tablero de regulación de tensión del transformador (incluye el rele 90) - UNIDAD DE MEDIDA: C/U</t>
    </r>
  </si>
  <si>
    <t>SL40CIM</t>
  </si>
  <si>
    <r>
      <t xml:space="preserve">Realizar el levantamiento e ingeniería para reemplazo del rele 90 del tablero de regulación ubicado en la </t>
    </r>
    <r>
      <rPr>
        <b/>
        <sz val="11"/>
        <color rgb="FF000000"/>
        <rFont val="Calibri"/>
        <family val="2"/>
      </rPr>
      <t>subestación Ubaté</t>
    </r>
    <r>
      <rPr>
        <sz val="11"/>
        <color rgb="FF000000"/>
        <rFont val="Calibri"/>
        <family val="2"/>
      </rPr>
      <t xml:space="preserve"> futuro R2 de Victoria, así mismo realizar normalización del tablero contemplando reemplazo de borneras reles repetidores breakers y demas elementos incluidos en el mismo.</t>
    </r>
  </si>
  <si>
    <t>SL40ELE</t>
  </si>
  <si>
    <t>Subtotal labores No. 40:</t>
  </si>
  <si>
    <t>Realizar la ingeniería para construcción de la provisional de celdas para las salidas en 34.5 kV de los circuitos acueducto y usme, esta se conectará a la provisional de transformador diseñada por AC energy.</t>
  </si>
  <si>
    <t>D00235038</t>
  </si>
  <si>
    <t>D00235038000</t>
  </si>
  <si>
    <t>Proyecto: CDIM_CBSGSM_R0161 Normalización y Reposición SE VICTORIA</t>
  </si>
  <si>
    <t>OT: 17-243</t>
  </si>
  <si>
    <t>D00241780</t>
  </si>
  <si>
    <t>D00241780000</t>
  </si>
  <si>
    <t>TRANSFORMADOR D1 13.2/34.5 kV</t>
  </si>
  <si>
    <t>TRANSFORMADOR D2 13.2/34.5 kV</t>
  </si>
  <si>
    <t>Ingenieria para el montaje de una unidad de medida Elster A1800 en el transformador D1 34.5/13.2 kV.</t>
  </si>
  <si>
    <t>Ingeniería para el reemplazo de los transformadores de corriente Ct´s del modulo</t>
  </si>
  <si>
    <t>OT: 17-258</t>
  </si>
  <si>
    <r>
      <rPr>
        <b/>
        <sz val="11"/>
        <color rgb="FFFF0000"/>
        <rFont val="Calibri"/>
        <family val="2"/>
      </rPr>
      <t xml:space="preserve">l-4 </t>
    </r>
    <r>
      <rPr>
        <sz val="11"/>
        <color rgb="FF000000"/>
        <rFont val="Calibri"/>
        <family val="2"/>
      </rPr>
      <t>Ingeniería para el reemplazo o instalación de interruptor de potencia (Tripolar o monopolar) de 115 kV o 57.5 kV - UNIDAD DE MEDIDA: C/U</t>
    </r>
  </si>
  <si>
    <t>Realizar los levantamientos eléctricos civiles y mecánicos para el reemplazo del interruptor.
Realizar la excavación del área aledaña al interruptor de Potencia para identificar las dimensiones de la zapata, se cobra un 50% adicional del levantamiento. 
INGENIERÍA CIVIL =0.3x (levantamiento civil) + 0.7 x(alcance diseño)+ 0.15(excavación zapata interruptor) =0.30x (1) + 0.70x (0) + 0.3(50%)= 0.45</t>
  </si>
  <si>
    <r>
      <rPr>
        <b/>
        <sz val="11"/>
        <color rgb="FFFF0000"/>
        <rFont val="Calibri"/>
        <family val="2"/>
      </rPr>
      <t xml:space="preserve">l-22 </t>
    </r>
    <r>
      <rPr>
        <sz val="11"/>
        <color rgb="FF000000"/>
        <rFont val="Calibri"/>
        <family val="2"/>
      </rPr>
      <t>Ingeniería para normalización del tablero de control y protección de módulo línea, transformador, compensación o acople de 115/57,5/34,5 kV - UNIDAD DE MEDIDA: C/U</t>
    </r>
  </si>
  <si>
    <t>Realizar el levantamiento eléctrico para la normalización de los tableros de control y protecciones del módulo.</t>
  </si>
  <si>
    <t>SUBESTACIÓN 115/11,4 kV</t>
  </si>
  <si>
    <t xml:space="preserve">Realizar el estudio de suelos en la S/E.  Codensa define los puntos en donde requiere los sondeos.  </t>
  </si>
  <si>
    <t>CDIE_CBCCSM_R0178</t>
  </si>
  <si>
    <t>Proyecto: CDIE_CBCCSM_R0178 REPOSICIÓN INTERRUPTORES</t>
  </si>
  <si>
    <t>OT: 17-263</t>
  </si>
  <si>
    <t>Labor asimilada para verificar las distancias de seguridad del Transformador de servicios auxiliares 34.5/0.208kV.</t>
  </si>
  <si>
    <t>Levantamiento y Diseño mecánico del tablero de medida en el cual se van a instalar los medidores del proyecto macromedición.</t>
  </si>
  <si>
    <r>
      <rPr>
        <b/>
        <sz val="11"/>
        <color rgb="FFFF0000"/>
        <rFont val="Calibri"/>
        <family val="2"/>
      </rPr>
      <t xml:space="preserve">L-56 </t>
    </r>
    <r>
      <rPr>
        <sz val="11"/>
        <color rgb="FF000000"/>
        <rFont val="Calibri"/>
        <family val="2"/>
      </rPr>
      <t>Actualización de planos eléctricos módulo de circuito 34,5 kV - UNIDAD DE MEDIDA: Global por módulo</t>
    </r>
  </si>
  <si>
    <t>SL56ELE</t>
  </si>
  <si>
    <t>Subtotal labores No. 56:</t>
  </si>
  <si>
    <t>ELaborar el diseño civil para los anclajes de acuerdo a la reubicación del contenedor con la correspondiente actualización de planos de planta.</t>
  </si>
  <si>
    <t>Elaborar el estudio y calculo para la optimización de la malla de puesta a tierra de la subestación.</t>
  </si>
  <si>
    <r>
      <rPr>
        <b/>
        <sz val="11"/>
        <color rgb="FFFF0000"/>
        <rFont val="Calibri"/>
        <family val="2"/>
      </rPr>
      <t xml:space="preserve">L-65 </t>
    </r>
    <r>
      <rPr>
        <sz val="11"/>
        <color rgb="FF000000"/>
        <rFont val="Calibri"/>
        <family val="2"/>
      </rPr>
      <t>Medida de la resistividad del terreno - UNIDAD DE MEDIDA: Global por lote de área hasta 700 m2</t>
    </r>
  </si>
  <si>
    <t>SL65CEM</t>
  </si>
  <si>
    <t>Elaborar la medida de resistividad del terreno requerida para el diseño de la malla.</t>
  </si>
  <si>
    <t>Subtotal labores No. 65:</t>
  </si>
  <si>
    <t>Elaborar el diseño para el cerramiento perimetral de la subestación.</t>
  </si>
  <si>
    <t>Proyecto: CDIM_CBSGSM_R0171, REMODELACION SE MT-MT CHARQUITO</t>
  </si>
  <si>
    <t>OT: 17-265</t>
  </si>
  <si>
    <t>SM09CIV</t>
  </si>
  <si>
    <t>SM09MEC</t>
  </si>
  <si>
    <t>D00244362</t>
  </si>
  <si>
    <t>CIRCUITO NUEVO 34.5kV</t>
  </si>
  <si>
    <t>Realizar la ingeniería para el montaje de un nuevo módulo Entrada/Salida 34.5kV en la subestación.</t>
  </si>
  <si>
    <t>CDIE_CBCCSM_R0158</t>
  </si>
  <si>
    <t>Proyecto: CDIE_CBCCSM_R0158, NORMALIZACIÓN SE MTMT Ingeniería Montaje Reconectador Subestación ESPERANZA para desarrollo de Ingeniería e implementación Reconectadores de entrada y Salida. Reconectador Transformador</t>
  </si>
  <si>
    <t>OT: 17-269</t>
  </si>
  <si>
    <t>Proyecto: CDIE_CBCCSM_R0158, NORMALIZACIÓN SE MT-MT Ingeniería Montaje Reconectador Subestación JURATENA para desarrollo de Ingeniería e implementación Reconectadores de entrada y Salida. Reconectador Transformador</t>
  </si>
  <si>
    <t>OT: 17-270</t>
  </si>
  <si>
    <t>CIRCUITO LAGUNETA 11,4 kV</t>
  </si>
  <si>
    <t>CIRCUITO SALTOCADEN  11,4 Kv</t>
  </si>
  <si>
    <t>CIRCUITO TEQUENDAMA  11,4 kV</t>
  </si>
  <si>
    <t>OT: 17-279</t>
  </si>
  <si>
    <t>SUBESTACIÓN 115/34.5/13.2 kV</t>
  </si>
  <si>
    <t>Realizar el diseño eléctrico de tomas e iluminación internas, se diseña instalación sobrepuesta con tubería EMT según la normatividad actual vigente. FACTOR= Se cobra el 25% del valor diseño.  FACTOR= 0.3X(levantamiento)+ (0.7)X(Factor diseño)=0.3X(0)+ (0.7)X(0.25)= 0.175</t>
  </si>
  <si>
    <t>D00235096</t>
  </si>
  <si>
    <t>D00235096000</t>
  </si>
  <si>
    <t>CDIM_CBSGSM_R0017</t>
  </si>
  <si>
    <t>Proyecto: AT NORMALIZACIÓN SE CÁQUEZA CDIM_CBSGSM_R0017</t>
  </si>
  <si>
    <t>OT: 17-280</t>
  </si>
  <si>
    <t>CIRCUITO NUEVO 34,5kV</t>
  </si>
  <si>
    <t>Levantamiento e ingeniería para el montaje de un nuevo módulo Entrada/Salida 34.5kV en la subestación.</t>
  </si>
  <si>
    <t>TRANSFORMADOR D1 34,5/13,2kV</t>
  </si>
  <si>
    <t>Realizar el levantamiento e ingeniería para el montaje de un  módulo Transformador D1 lado 34.5kV en la subestación.</t>
  </si>
  <si>
    <t>D00235279</t>
  </si>
  <si>
    <t>D00235279000</t>
  </si>
  <si>
    <t>CDIE_CBCCSM_R0158, NORMALIZACIÓN SE MT-MT</t>
  </si>
  <si>
    <t>Proyecto: CDIE_CBCCSM_R0158, NORMALIZACIÓN SE MT-MT</t>
  </si>
  <si>
    <t>OT: 17-282</t>
  </si>
  <si>
    <t>CIRCUITO ALBAN 34,5kV</t>
  </si>
  <si>
    <t>Realizar  levantamiento e Ingeniería para el montaje de un nuevo módulo de circuito Alban 34,5kV</t>
  </si>
  <si>
    <t>D00235282</t>
  </si>
  <si>
    <t>D00235282000</t>
  </si>
  <si>
    <t>OT: 17-283</t>
  </si>
  <si>
    <t>labor asimilada para la ampliación del Barraje en 34,5kV.</t>
  </si>
  <si>
    <t>CIRCUITO NUEVO 34,5 kV</t>
  </si>
  <si>
    <t>Realizar  levantamiento e ingeniería para el montaje de un nuevo módulo de circuito 34,5kV.</t>
  </si>
  <si>
    <t>CIRCUITO TAUSA 34,5kV</t>
  </si>
  <si>
    <t>Realizar  levantamiento e ingeniería para el montaje de un nuevo módulo de circuito Tausa 34,5kV.</t>
  </si>
  <si>
    <t>Realizar  levantamiento e ingeniería para la reubicación del módulo de transformador</t>
  </si>
  <si>
    <t>D00235283</t>
  </si>
  <si>
    <t>D00235283000</t>
  </si>
  <si>
    <t>OT: 17-284</t>
  </si>
  <si>
    <t>TRANSFORMADOR D1 34,5/11,4kV</t>
  </si>
  <si>
    <t>Levantamiento e ingeniería para el montaje de un  módulo Transformador lado 34.5kV en la subestación.</t>
  </si>
  <si>
    <t>OT: 17-285</t>
  </si>
  <si>
    <t>D00235290</t>
  </si>
  <si>
    <t>D00235290000</t>
  </si>
  <si>
    <t>D00235291</t>
  </si>
  <si>
    <t>D00235291000</t>
  </si>
  <si>
    <t>OT: 17-286</t>
  </si>
  <si>
    <t>Realizar levantamiento e ingeniería para la reubicación de los PT´s 34,5kV.</t>
  </si>
  <si>
    <t>CIRCUITO LA_PALMA 34,5kV</t>
  </si>
  <si>
    <t>Realizar  levantamiento e Ingeniería para el montaje de un nuevo módulo de circuito La Palma 34,5kV</t>
  </si>
  <si>
    <t>CIRCUITO PACHO 34,5kV</t>
  </si>
  <si>
    <t>Realizar  levantamiento e Ingeniería para el montaje de un nuevo módulo de circuito Pacho 34,5kV</t>
  </si>
  <si>
    <t>D00235273</t>
  </si>
  <si>
    <t>D00235273000</t>
  </si>
  <si>
    <t>OT: 17-287</t>
  </si>
  <si>
    <t>CIRCUITO LA PALMA 34.5kV</t>
  </si>
  <si>
    <t>Realizar  levantamiento e Ingeniería para el montaje de un nuevo módulo de circuito La Palma 34,5kV.</t>
  </si>
  <si>
    <t>Realizar el levantamiento e ingeniería para el montaje de un  módulo Transformador D2 lado 34.5kV en la subestación.</t>
  </si>
  <si>
    <t>OT: 17-288</t>
  </si>
  <si>
    <t>LLTT ZIPAQUIRÁ - UBATÉ - PELDAR 115 kV</t>
  </si>
  <si>
    <r>
      <t>Realizar el levantamiento con dron de los 23 KM del trazado de línea desde la estructura 3646 hasta la subestación Ubaté.</t>
    </r>
    <r>
      <rPr>
        <b/>
        <sz val="11"/>
        <color rgb="FF000000"/>
        <rFont val="Calibri"/>
        <family val="2"/>
      </rPr>
      <t xml:space="preserve">
Nota:
</t>
    </r>
    <r>
      <rPr>
        <sz val="11"/>
        <color rgb="FF000000"/>
        <rFont val="Calibri"/>
        <family val="2"/>
      </rPr>
      <t xml:space="preserve">No se tomará altimetría de la zona que se encuentra con alto nivel de vegetación, aprox. 10Km de levantamiento.
Se debe tener en cuenta que la ejecución del levantamiento depende de las condiciones climáticas que se presenten.
Codensa debe tramitar el ingreso a los predios externos antes de que empiece la ejecución de las labores de levantamiento.
No contempla levantamiento convencional.
</t>
    </r>
  </si>
  <si>
    <r>
      <t xml:space="preserve">Realizar el diseño electromecánico de los 23 KM del trazado desde la estructura 3646 hasta la subestación Ubaté.
</t>
    </r>
    <r>
      <rPr>
        <b/>
        <sz val="11"/>
        <color rgb="FF000000"/>
        <rFont val="Calibri"/>
        <family val="2"/>
      </rPr>
      <t>Se presentarán:</t>
    </r>
    <r>
      <rPr>
        <sz val="11"/>
        <color rgb="FF000000"/>
        <rFont val="Calibri"/>
        <family val="2"/>
      </rPr>
      <t xml:space="preserve">
o Cálculos electromecánicos
o Tablas de torres 
o Tablas de tendido
o Tabla de cantidades: Estas tabla debe incluir cantidades aproximadas de obra civil(excavación, concreto y acero ), peso de las estructuras, materiales de SPT.En este caso se deben plantear unas cantidades aproximadas de acuerdo con información existente de este tipo de estructuras.
o Planos de herrajes
o Plano Planta general
o Plano Arboles de carga y siluetas
o Planos de planta perfil
</t>
    </r>
    <r>
      <rPr>
        <b/>
        <sz val="11"/>
        <color rgb="FF000000"/>
        <rFont val="Calibri"/>
        <family val="2"/>
      </rPr>
      <t>No se presentarán:</t>
    </r>
    <r>
      <rPr>
        <sz val="11"/>
        <color rgb="FF000000"/>
        <rFont val="Calibri"/>
        <family val="2"/>
      </rPr>
      <t xml:space="preserve">
o Diseño puesta a tierra : Como no se van a hacer las medidas de resistividad no se presentara diseño de puesta a tierra
o Plano de puesta a tierra: Como no se van a hacer las medidas de resistividad no se presentara diseño de puesta a tierra
o Planos selección de patas: Como no se van a hacer labores de replanteo no se hará selección de patas.</t>
    </r>
  </si>
  <si>
    <t>NORMALIZACIÓN LT ZP UB PD</t>
  </si>
  <si>
    <t>Proyecto: NORMALIZACIÓN LT ZP UB PD</t>
  </si>
  <si>
    <t>OT: 17-290</t>
  </si>
  <si>
    <t>Diseñar estructura de estabilización de excavaciones, en madera o elementos metálicos,  para la construcción de las cimentaciones de los CT´s y PT´s de los módulos.                                                                                                                                                                             FACTOR= (8 HH Diseño) + (8 HH Dibujo)= 16HH</t>
  </si>
  <si>
    <t>OT: 17-292</t>
  </si>
  <si>
    <t>SUBESTACIÓN 115/3.45/11.4 kV</t>
  </si>
  <si>
    <t>D00235194</t>
  </si>
  <si>
    <t>SUBESTACIÓN 34.5/13.2kV</t>
  </si>
  <si>
    <t>ACOPLE DE BARRA 115kV</t>
  </si>
  <si>
    <r>
      <rPr>
        <b/>
        <sz val="11"/>
        <color rgb="FFFF0000"/>
        <rFont val="Calibri"/>
        <family val="2"/>
      </rPr>
      <t xml:space="preserve">M-8 </t>
    </r>
    <r>
      <rPr>
        <sz val="11"/>
        <color rgb="FF000000"/>
        <rFont val="Calibri"/>
        <family val="2"/>
      </rPr>
      <t>Ingenieria para el montaje de un nuevo modulo de Maniobra, (Acople, Transferencia o Seccionamiento) en 115 kV  - UNIDAD DE MEDIDA : C/U</t>
    </r>
  </si>
  <si>
    <t>SM08CIV</t>
  </si>
  <si>
    <t>Realizar el diseño eléctrico para el reemplazo del módulo acoplador de Barra 115kV. La ingeniería se realiza con base en el levantamiento eléctrico realizado por PECS y entregados por CODENSA.</t>
  </si>
  <si>
    <t>SM08MEC</t>
  </si>
  <si>
    <t>SM08ELE</t>
  </si>
  <si>
    <t>PROTECCIÓN DIFERENCIAL DE BARRA 115kV</t>
  </si>
  <si>
    <r>
      <rPr>
        <b/>
        <sz val="11"/>
        <color rgb="FFFF0000"/>
        <rFont val="Calibri"/>
        <family val="2"/>
      </rPr>
      <t xml:space="preserve">L-28 </t>
    </r>
    <r>
      <rPr>
        <sz val="11"/>
        <color rgb="FF000000"/>
        <rFont val="Calibri"/>
        <family val="2"/>
      </rPr>
      <t>Ingeniería para el reemplazo o instalación de protección diferencial de barras  87B  Tipo II (&amp;gt; 6 Módulos) - UNIDAD DE MEDIDA: C/U</t>
    </r>
  </si>
  <si>
    <t xml:space="preserve">Realizar la ingeniería eléctrica para el reemplazo de la Protección diferencial de Barra 115kV. </t>
  </si>
  <si>
    <t>CALLE PRIMERA 115kV</t>
  </si>
  <si>
    <r>
      <rPr>
        <b/>
        <sz val="11"/>
        <color rgb="FFFF0000"/>
        <rFont val="Calibri"/>
        <family val="2"/>
      </rPr>
      <t xml:space="preserve">L-54 </t>
    </r>
    <r>
      <rPr>
        <sz val="11"/>
        <color rgb="FF000000"/>
        <rFont val="Calibri"/>
        <family val="2"/>
      </rPr>
      <t>Actualización de planos eléctricos módulo de línea 115/57,5 kV - UNIDAD DE MEDIDA: Global por módulo</t>
    </r>
  </si>
  <si>
    <t>Realizar la  la revisión de la ingeniería desarrollada por PECS y actualización de planos del módulo, se trabaja como elemento de entrada el diseño realizado por PECS y la normalización de acuerdo a la revisión de la ingeniería de CODENSA NO-047. Se cobra el 60% del diseño ya que la ingeniería contempla Barra principal + Transferencia.</t>
  </si>
  <si>
    <t>CARRERA QUINTA 115kV</t>
  </si>
  <si>
    <t>CIRCO II 115kV</t>
  </si>
  <si>
    <t>LINEA CIRCO I 115kV</t>
  </si>
  <si>
    <t>LINEA CIRCO III  115kV</t>
  </si>
  <si>
    <t>Realizar la  la revisión de la ingeniería desarrollada por PECS y actualización de planos del módulo, se trabaja como elemento de entrada el diseño realizado por PECS y la normalización de acuerdo a la revisión de la ingeniería de CODENSA NO-047.</t>
  </si>
  <si>
    <t>TRANSFORMADOR D2 114/11.4 kV</t>
  </si>
  <si>
    <t>D002350890000</t>
  </si>
  <si>
    <t>Proyecto: SE Concordia - CDIM_CBSGSM_R0120</t>
  </si>
  <si>
    <t>OT: 17-333</t>
  </si>
  <si>
    <t>AUTOTRANSFORMADOR AT1 230/115 kV (LADO 230 kV)</t>
  </si>
  <si>
    <r>
      <rPr>
        <b/>
        <sz val="11"/>
        <color rgb="FFFF0000"/>
        <rFont val="Calibri"/>
        <family val="2"/>
      </rPr>
      <t xml:space="preserve">L-63 </t>
    </r>
    <r>
      <rPr>
        <sz val="11"/>
        <color rgb="FF000000"/>
        <rFont val="Calibri"/>
        <family val="2"/>
      </rPr>
      <t>Inspección de obra Eléctrica y Mecánica en Sitio (Hora / Hombre) - UNIDAD DE MEDIDA: HH</t>
    </r>
  </si>
  <si>
    <t>Supervisión de obra eléctrica y mecánica</t>
  </si>
  <si>
    <t>SL63SEM</t>
  </si>
  <si>
    <t>Subtotal labores No. 63:</t>
  </si>
  <si>
    <t>17-111</t>
  </si>
  <si>
    <t>CIRCO</t>
  </si>
  <si>
    <t>17-153</t>
  </si>
  <si>
    <t>17-157</t>
  </si>
  <si>
    <t>ESPERANZA</t>
  </si>
  <si>
    <t>17-158</t>
  </si>
  <si>
    <t>JURATENA</t>
  </si>
  <si>
    <t>17-160</t>
  </si>
  <si>
    <t>17-164</t>
  </si>
  <si>
    <t>BALSILLAS</t>
  </si>
  <si>
    <t>17-184</t>
  </si>
  <si>
    <t>17-197</t>
  </si>
  <si>
    <t>EL SOL</t>
  </si>
  <si>
    <t>17-203</t>
  </si>
  <si>
    <t>17-204</t>
  </si>
  <si>
    <t>17-215</t>
  </si>
  <si>
    <t>17-219</t>
  </si>
  <si>
    <t>17-223</t>
  </si>
  <si>
    <t>17-224</t>
  </si>
  <si>
    <t>17-230</t>
  </si>
  <si>
    <t>17-233</t>
  </si>
  <si>
    <t>17-234</t>
  </si>
  <si>
    <t>17-240</t>
  </si>
  <si>
    <t>CONCORDIA</t>
  </si>
  <si>
    <t>17-243</t>
  </si>
  <si>
    <t>17-244</t>
  </si>
  <si>
    <t>17-251</t>
  </si>
  <si>
    <t>17-252</t>
  </si>
  <si>
    <t>17-253</t>
  </si>
  <si>
    <t>17-254</t>
  </si>
  <si>
    <t>17-265</t>
  </si>
  <si>
    <t>17-268</t>
  </si>
  <si>
    <t>17-269</t>
  </si>
  <si>
    <t>17-270</t>
  </si>
  <si>
    <t>17-276</t>
  </si>
  <si>
    <t>17-277</t>
  </si>
  <si>
    <t>17-278</t>
  </si>
  <si>
    <t>17-279</t>
  </si>
  <si>
    <t>17-281</t>
  </si>
  <si>
    <t>17-289</t>
  </si>
  <si>
    <t>17-295</t>
  </si>
  <si>
    <t>17-317</t>
  </si>
  <si>
    <t>17-321</t>
  </si>
  <si>
    <t>17-322</t>
  </si>
  <si>
    <t>17-323</t>
  </si>
  <si>
    <t>17-324</t>
  </si>
  <si>
    <t>17-326</t>
  </si>
  <si>
    <t>17-329</t>
  </si>
  <si>
    <t>17-331</t>
  </si>
  <si>
    <t>17-343</t>
  </si>
  <si>
    <t>17-091</t>
  </si>
  <si>
    <t>17-097</t>
  </si>
  <si>
    <t>17-134</t>
  </si>
  <si>
    <t>17-163</t>
  </si>
  <si>
    <t>17-209</t>
  </si>
  <si>
    <t>Ing. Hernán Giraldo / César Fernández</t>
  </si>
  <si>
    <t>Ing. Andrés Patarroyo</t>
  </si>
  <si>
    <t>Ing. Óscar González</t>
  </si>
  <si>
    <t xml:space="preserve">Ing. Hernán Giraldo </t>
  </si>
  <si>
    <t>Ing. César Fernández</t>
  </si>
  <si>
    <t>Ing. Néstor Marín</t>
  </si>
  <si>
    <t>17-139</t>
  </si>
  <si>
    <t>17-048</t>
  </si>
  <si>
    <t>TECHO</t>
  </si>
  <si>
    <t>17-189</t>
  </si>
  <si>
    <t>17-333</t>
  </si>
  <si>
    <t>17-315</t>
  </si>
  <si>
    <t>D00244362000</t>
  </si>
  <si>
    <t>Realizar el diseño civil y mecánico para el montaje de un nuevo juego de PY´s para el módulo de línea Norte 115kV en la subestación Sesquile.</t>
  </si>
  <si>
    <r>
      <rPr>
        <b/>
        <sz val="11"/>
        <color rgb="FFFF0000"/>
        <rFont val="Calibri"/>
        <family val="2"/>
      </rPr>
      <t xml:space="preserve">L-13 </t>
    </r>
    <r>
      <rPr>
        <sz val="11"/>
        <color rgb="FF000000"/>
        <rFont val="Calibri"/>
        <family val="2"/>
      </rPr>
      <t>Ingeniería para el reemplazo de descargadores de sobretensión para 500 kV, 230 kV,115 kV, 57,5 kV. - UNIDAD DE MEDIDA: Grupo x 3</t>
    </r>
  </si>
  <si>
    <t>SUBESTACIÓN SESQUILE 115/34.5kV (LINEA NORTE 115kV)</t>
  </si>
  <si>
    <t>Realizar el diseño  civil y mecánico  de la estructura y cimentaciones del sistema de iluminación de la subestación, se plantean cuatro  (4) estructuras tipicas cobradas al 100% las cuales corresponden a las luminarias tipo 1 son ubicadas en postes de 12m  perimetral para el talud de la subestación, Las luminarias tipo 2 son ubicadas en postes de 12m en plataforma de la subestación, Las luminarias tipo 3 son luminarias instaladas sobre postes de 3.5m, Las luminarias tipo 4 son luminarias instaladas sobre postes de 12m el cual es del perímetro costado vía entrada a subestación. Se cora un 50% adicional por el diseño del detalle de la caja de alumbrado según norma CODENSA y 50% adicional por la canalización al poste desde la caja                                                                                                                                                                                                                                                                                                                                                                      FACTOR= (1x4(diseño cuatro postes tipicos )) +(0.25x4(diseño cuatro cajas ) +(0.5x4(diseño cuatro canalizaciones)) = (4+1+2)= 7</t>
  </si>
  <si>
    <r>
      <rPr>
        <b/>
        <sz val="11"/>
        <color rgb="FFFF0000"/>
        <rFont val="Calibri"/>
        <family val="2"/>
      </rPr>
      <t xml:space="preserve">RL-5 </t>
    </r>
    <r>
      <rPr>
        <sz val="11"/>
        <color rgb="FF000000"/>
        <rFont val="Calibri"/>
        <family val="2"/>
      </rPr>
      <t>Diseno de cimentación para apoyo tipo poste - UNIDAD DE MEDIDA : C/U - cada uno</t>
    </r>
  </si>
  <si>
    <t>Realizar el diseño civil y mecánico  de la estructura y cimentaciones del sistema de apantallamiento de la subestación, se tienen diez (10) postes de 15 metros y un (1) de 18 metros de apantallamiento.  Se incluye planos de ubicación de las cimentaciones dentro de la subestación.                                                                                                                                                                                                                                                                                                                                                                                                                                                                                                                                                                                                                       FACTOR= (1x(1) Diseño del primer poste) +(0.3x(10) Diseño replica postes restantes) = (1+3)= 4</t>
  </si>
  <si>
    <t>Determinar distancias eléctricas y de seguridad de todos los módulos 230/115/34.5/11.4kV de la subestación Norte con respecto al pórtico, equipos, conexiones, estructuras y cerramiento, tambien se incluye valor Basico y zonas de seguridad. FACTOR= 80hh(Dibujo de perfiles y distacias de seguridad) + 48hh(Validación, Analisis, Resultados y recomendaciones de las distacias de seguridad) + 32hh(Revisión)) = 160HH</t>
  </si>
  <si>
    <t xml:space="preserve">Labor asimilada para la elaboración de memorias de calculo eléctricas: conductores aislados de media tensión, memoria de calculo de barras conductores y selección de cadenas de aisladores de alta tensión. </t>
  </si>
  <si>
    <t>Labor asimilada para realizar el diseño mecánico y dimensionamiento eléctrico  del banco de baterías.</t>
  </si>
  <si>
    <t xml:space="preserve">Ingeniería eléctrica y mecánica para el montaje de dos  esquemas de cargador de baterías compuestos de un  (1) cargador de baterias para cada tablero de distribución general y un (1) cargador de baterias de respaldo, el cual sera dimensionado a la capacidad del mas grande.                                                                                                                                                                                                                                                 FACTOR ELÉCTRICO= 0.7x2 (3 cargadores)= 0.7x(2)= 1.4 (no se cobra componente civil 50%)                                                                                                                                                                                         FACTOR CIVIL Y MECÁNICO= 0.7x35 (tres cargadores civil) + 0.35x2 (tres cargadores mecánico)= 0.35x(0) + 0.35x(2)= 0.7                                                                                                                                                                                                                                                                                                                                                 </t>
  </si>
  <si>
    <r>
      <rPr>
        <b/>
        <sz val="11"/>
        <color rgb="FFFF0000"/>
        <rFont val="Calibri"/>
        <family val="2"/>
      </rPr>
      <t xml:space="preserve">L-21 </t>
    </r>
    <r>
      <rPr>
        <sz val="11"/>
        <color rgb="FF000000"/>
        <rFont val="Calibri"/>
        <family val="2"/>
      </rPr>
      <t>Ingeniería para el reemplazo/instalación de esquema cargador de baterias - UNIDAD DE MEDIDA: Hasta 2 equipos</t>
    </r>
  </si>
  <si>
    <t>Ingeniería eléctrica  y mecánica para el montaje de diez (10) tableros de distribución de  servicios auxiliares  125 VDC; Dos (2) tableros de distribución  DC General en la casa de control y  dos  (2) tableros de distribución DC por cada caseta de control (total 4 casetas de control).    Nota: CODENSA suministra la distribución de las cargas para cada tablero de distribución.                                                                                                                                                                                                                                                                                                                                                                                                                                                                                                                                             FACTOR ELÉCTRICO= 0.7x(Número  tableros)= 0.7x(10)= 7                                                                                                                                                                                                                                                                                                                                                                                      FACTOR DISEÑO CIVIL Y MECÁNICO = 0.35x(# de tableros civil)+0.35x(# de tableros mecánico)=(0.35x(0)) +  (0.35x(10))= 3.5</t>
  </si>
  <si>
    <r>
      <rPr>
        <b/>
        <sz val="11"/>
        <color rgb="FFFF0000"/>
        <rFont val="Calibri"/>
        <family val="2"/>
      </rPr>
      <t xml:space="preserve">L-20 </t>
    </r>
    <r>
      <rPr>
        <sz val="11"/>
        <color rgb="FF000000"/>
        <rFont val="Calibri"/>
        <family val="2"/>
      </rPr>
      <t>Ingeniería para el reemplazo de un tablero de auxiliares DC - UNIDAD DE MEDIDA: C/U</t>
    </r>
  </si>
  <si>
    <t>Ingeniería eléctrica y mecánica para el montaje de un (1) tablero de transferencia automática en BT. (no se cobra un 30% por la componente civil). 
FACTOR DISEÑO ELÉCTRICO Y MECÁNICO =0.7X(70%)= 0.49</t>
  </si>
  <si>
    <r>
      <rPr>
        <b/>
        <sz val="11"/>
        <color rgb="FFFF0000"/>
        <rFont val="Calibri"/>
        <family val="2"/>
      </rPr>
      <t xml:space="preserve">L-19 </t>
    </r>
    <r>
      <rPr>
        <sz val="11"/>
        <color rgb="FF000000"/>
        <rFont val="Calibri"/>
        <family val="2"/>
      </rPr>
      <t>Ingeniería para el reemplazo/instalación de un equipo de transferencia automática en BT - UNIDAD DE MEDIDA: C/U</t>
    </r>
  </si>
  <si>
    <t>Ingeniería eléctrica y mecánica para el montaje de cinco (5) tableros de distribución de servicios auxiliares  208 VAC; Un (1) tablero de distribución General en la casa de control y  un (1) tablero de distribución por cada caseta de control (total 4 casetas de control).    Nota: CODENSA suministra la distribución de las cargas para cada tablero de distribución.                                                                                                                                                                                                                                                                                                                                                                                                                                                                                                                                                                                                                                                                         FACTOR ELÉCTRICO= 0.7x(# de tableros)= 0.7x(5)= 3.5 
FACTOR DISEÑO CIVIL Y MECÁNICO = 0.35x(# de tableros civil)+0.35x(# de tableros mecánico)=(0.35x(0)) +  (0.35x(5))= 1.75</t>
  </si>
  <si>
    <r>
      <rPr>
        <b/>
        <sz val="11"/>
        <color rgb="FFFF0000"/>
        <rFont val="Calibri"/>
        <family val="2"/>
      </rPr>
      <t xml:space="preserve">L-18 </t>
    </r>
    <r>
      <rPr>
        <sz val="11"/>
        <color rgb="FF000000"/>
        <rFont val="Calibri"/>
        <family val="2"/>
      </rPr>
      <t>Ingeniería para el reemplazo de un tablero de auxiliares AC - UNIDAD DE MEDIDA: C/U</t>
    </r>
  </si>
  <si>
    <t>Ingeniería civil y mecánica para montaje de un nuevo Barraje Auxiliar de los transformadores D1, D2 y D3 115/11.4kV y Transformadores R1, R2 115/34.5kV.                                                                                                                                                                                                                                                                                                                                                                                                                                                                                                                                                           FACTOR= (0.7)x1 (Diseño 2 Transformadores consecutivos)+ (0.7x0.45) (Diseño  3 transformadores consecutivos) = (0.7)(1) + (7)(0.45)=(0.7)+ (0.315)=1.015</t>
  </si>
  <si>
    <r>
      <rPr>
        <b/>
        <sz val="11"/>
        <color rgb="FFFF0000"/>
        <rFont val="Calibri"/>
        <family val="2"/>
      </rPr>
      <t xml:space="preserve">M-9 </t>
    </r>
    <r>
      <rPr>
        <sz val="11"/>
        <color rgb="FF000000"/>
        <rFont val="Calibri"/>
        <family val="2"/>
      </rPr>
      <t>Ingenieria para la ampliacion del  barraje y portico en 500 kV, 230 kV o 115 kV  - UNIDAD DE MEDIDA : Global (cubre hasta dos modulos consecutivos)</t>
    </r>
  </si>
  <si>
    <t xml:space="preserve">BARRA 115 kV </t>
  </si>
  <si>
    <t>Ingeniería civil y mecánica para montaje de un nuevo Barraje Auxiliar de los modulos hibridos 115kV. se contempla para 4 módulos de línea 115kV, 1 Transformador AT/MT, 2 Bancos de Transformación 230/115kV, 1 Acople de Barra 115kV y 1 Seccionamiento de barra.                                                                                                                                                                                                                                                           FACTOR= (0.7)x1 (Diseño 1 módulo hibrido)+ (0.7x0.3)x8 (Diseño 8  módulos hibridos) = (0.7)(1) + (0.21)(8)=2.38</t>
  </si>
  <si>
    <t xml:space="preserve">BARRA 115 kV 
</t>
  </si>
  <si>
    <t>Ingeniería civil y mecánica para montaje de un nuevo pórtico de 12 bahias 115kV, se contempla   5 líneas 115kV,   1 Banco de compensación, 1 acoplador de Barra,   3 Transformadores, 2 bancos de transformación.                                                                                                                                                                                                                                                            FACTOR= (0.7)x1 (Diseño 2 Bahias consecutivas)+ (0.7x0.3)x5 (Diseño 10 Bahias consecutivas) = (0.7)(1) + (0.21)(5)= 0.7 + 1.05=1.75</t>
  </si>
  <si>
    <t xml:space="preserve">BARRA B1.2 115 kV </t>
  </si>
  <si>
    <t>Ingeniería civil y mecánica para montaje de un nuevo pórtico de 12 bahias 115kV, se contempla   5 líneas 115kV, 1 Banco de compensación, 1 acoplador de Barra,   2 Transformadores, 2 bancos de transformación, 1 seccionamiento.                                                                                                                                                                                                                                                               FACTOR= (0.7)x1 (Diseño 2 Bahias consecutivas)+ (0.7x0.3)x5 (Diseño 10 Bahias consecutivas) = (0.7)(1) + (0.21)(5)= 0.7 + 1.05=1.75</t>
  </si>
  <si>
    <t xml:space="preserve">BARRA B1.1 115 kV </t>
  </si>
  <si>
    <t>Diseño civil y mecánico para el montaje de 3 juegos de Pt´s en las barras B1.2, B1.1 y B2. Se cobra el diseño civil y mecánico  de los PT´s de la Barra B1.1 con factor completo y los PT´s de la barra B1.2 y B2 con factor 0.3 por ser una replica. FACTOR= (0.3x(LEVANTAMIENTO) + 0.7x(DISEÑO))= ((0.3)(0) + (0.7)(1))B1.1+((0.3)(0) + (0.7)(0.3))B1.2+((0.3)(0) + (0.7)(0.3))B2= (0.7+0.21+0.21)=1.12</t>
  </si>
  <si>
    <t>BARRA  115 kV
(PT´s)</t>
  </si>
  <si>
    <t>SM13ELE</t>
  </si>
  <si>
    <t>SM13MEC</t>
  </si>
  <si>
    <t>Ingeniería  mecánica para montaje de un nuevo pórtico  de la conexión auxiliar para el cambio rápido de los Bancos de transformación 230/115KV.  Se cobra el 0.3 del 25% del diseño del Banco 1, por ser el Banco 4 una replica.                                                                                                                                                                                                                                                                                                                                                                                                                                          FACTOR= (0.3)(LEVANTAMIENTO BANCO 2)+(0.7)(DISEÑO BANCO 2) = (0.3x(0)) + (0.7x(0.3)x(0.25))= 0.0525</t>
  </si>
  <si>
    <t>SM13CIV</t>
  </si>
  <si>
    <r>
      <rPr>
        <b/>
        <sz val="11"/>
        <color rgb="FFFF0000"/>
        <rFont val="Calibri"/>
        <family val="2"/>
      </rPr>
      <t xml:space="preserve">M-13 </t>
    </r>
    <r>
      <rPr>
        <sz val="11"/>
        <color rgb="FF000000"/>
        <rFont val="Calibri"/>
        <family val="2"/>
      </rPr>
      <t>Ingenieria para el montaje de un nuevo banco de autotransformadores  AT-AT (500/230/115/57,5 kV), incluyendo esquema de cambio rapido. - UNIDAD DE MEDIDA : Grupo x 3 unidades + unidad de respaldo</t>
    </r>
  </si>
  <si>
    <t>BANCO DE AUTOTRANSFORMACIÓN 4 230/115kV</t>
  </si>
  <si>
    <t>Ingeniería  mecánica para montaje de un nuevo pórtico  de la conexión auxiliar para el cambio rápido de los Bancos de transformación 230/115KV.  Se cobra el 0.3 del 25% del diseño del Banco 1, por ser el Banco 3 una replica.                                                                                                                                                                                                                                                                                                                                                                                                                                          FACTOR= (0.3)(LEVANTAMIENTO BANCO 2)+(0.7)(DISEÑO BANCO 2) = (0.3x(0)) + (0.7x(0.3)x(0.25))= 0.0525</t>
  </si>
  <si>
    <t>BANCO DE AUTOTRANSFORMACIÓN 3 230/115kV</t>
  </si>
  <si>
    <t>Ingeniería  mecánica para montaje de un nuevo pórtico  de la conexión auxiliar para el cambio rápido de los Bancos de transformación 230/115KV.  Se cobra el 0.3 del 25% del diseño del Banco 1, por ser el Banco 2 una replica.                                                                                                                                                                                                                                                                                                                                                                                                                                          FACTOR= (0.3)(LEVANTAMIENTO BANCO 2)+(0.7)(DISEÑO BANCO 2) = (0.3x(0)) + (0.7x(0.3)x(0.25))= 0.0525</t>
  </si>
  <si>
    <t>BANCO DE AUTOTRANSFORMACIÓN 2 230/115/kV</t>
  </si>
  <si>
    <t xml:space="preserve">Ingeniería  mecánica para montaje de un nuevo pórtico  de la conexión auxiliar para el cambio rápido de los Bancos de transformación 230/115KV.  Se cobre 25% del diseño mecánico. FACTOR=  FACTOR= (0.3)(LEVANTAMIENTO BANCO 1)+(0.7)(DISEÑO BANCO 1) = (0.3x(0)) + (0.7x(0.25))= 0.175                                                                                 </t>
  </si>
  <si>
    <t>BANCO DE AUTOTRANSFORMACIÓN 1 230/115kV</t>
  </si>
  <si>
    <t>Ingeniería civil y mecánica para montaje de un nuevo pórtico  230kV, se contempla  de 4 Bancos de transformación 230/115kV + 2  transformadores de repuesto 230/115kV,  con base en la información suministrada por Codensa.                                                                                                                                                                                                                                                                                                                                                                                    FACTOR CIVIL=                                                                                                                                                                                                                                                                                                                                                                                   (0.7)(Diseño Autotrafo 1 y 2 de Banco 1)+((0.7x0.3)(Diseño  Autotrafo 3 de Banco 1 y Autotrafo de repuesto)) + ((0.7x0.3)(Diseño  Autotrafo 1 de Banco 2 y Autotrafo 2 de Banco 2))  + ((0.7x0.3)(Diseño  Autotrafo 3 de Banco 2 y Autotrafo 1 de Banco 3))  +  ((0.7x0.3)(Diseño  Autotrafo 2 de Banco 3 y Autotrafo 3 de Banco 3)) +  ((0.7x0.3)(Diseño  Autotrafo de repuesto y Autotrafo 1 de Banco 4))  + ((0.7x0.215)(Diseño  Autotrafo 2 de Banco 4 y Autotrafo 3 de Banco 4))  =  (0.7)+(0.21)+ (0.21)+(0.21)+(0.21)+ (0.21)+(0.15)= 1.9
FACTOR MECÁNICO=  Para la Ingeniería mecanica NO se incluye los dos trafos de reserva. Factor=1,75</t>
  </si>
  <si>
    <t>BARRA  230kV</t>
  </si>
  <si>
    <t>OT: 17-172</t>
  </si>
  <si>
    <t>Proyecto: CDIE_CADCSR_R0026 Ingeniería Subestación Norte</t>
  </si>
  <si>
    <t>CDIE_CADCSR_R0026 Ingeniería Subestación Norte</t>
  </si>
  <si>
    <t>FILA D1 11.4 kV</t>
  </si>
  <si>
    <t>Diseño civil y mecánico de las canalizaciones desde los CT´s de cada módulo de Transformador hacia un nuevo  TCM.                                                                                                                                                                                                                                              
INGENIERÍA CIVIL  = (10hh(dibujo)+12hh(diseño)+2hh(Revisión y Supervisión Coordinador))  =24HH(Civil)
INGENIERÍA MECÁNICA= (15hh(dibujo)+18hh(diseño)+3hh(Revisión y Supervisión Coordinador)) = 36HH(Mecánico)
INGENIERÍA CIVIL + INGENIERÍA MECÁNICA= 24HH(Civil) +  36HH(Mecánico) =60 HH</t>
  </si>
  <si>
    <t>Realizar la entrega de los planos civiles de la cimentación del TCM, teniendo en cuenta que se toma como base la cimentación del TCM de la subestación Villa Gomez OT17-190. El TCM se debe ubicar al lado del actual tablero de comunicaciones, si no es posible se definirá con Codensa  su ubicación. Se cobra el 50% del diseño ya que no  se entrega informe.  
INGENIERÍA CIVIL = 0.3(factor levantamiento)+0.7(Factor diseño) =0.3(0)+0.7(50%)=0.35</t>
  </si>
  <si>
    <t>Realizar la toma de medidas de Resistividad del terreno en la ubicación de las nuevas estructuras.
Con los resultados dados por la Ingeniería de detalle, se definirá la cantidad exacta de Medidas de Resistividad  a realizar.</t>
  </si>
  <si>
    <t>LT Laguneta - Veraguas - Bosanova</t>
  </si>
  <si>
    <t>Realizar sondeo y estudio de suelos para las estructuras nuevas. Con los resultados dados por la Ingeniería de detalle, se definirá la cantidad exacta de sondeos a realizar.</t>
  </si>
  <si>
    <t>Realizar el diseño electromecánico entre las estructuras existentes 2322 a la 2329 de la LT Nueva Esperanza - Bosa - Veraguas Laguneta y la Estructura P02 para la LT Conexión Nueva Esperanza - Compartir - Bosa a 115 kV. Así mismo, actualizar los diseños existentes de la LT Conexión Nueva Esperanza - Compartir - Bosa a 115 kV, desde la estructura P06 hasta la P08 llegada a la SE Compartir.</t>
  </si>
  <si>
    <t>Realizar el diseño de cimentaciones para apoyo tipo poste.  Con los resultados dados por la Ingeniería de detalle, se definirá la cantidad de diseños de cimentación a implementar.</t>
  </si>
  <si>
    <r>
      <rPr>
        <b/>
        <sz val="11"/>
        <color rgb="FFFF0000"/>
        <rFont val="Calibri"/>
        <family val="2"/>
      </rPr>
      <t xml:space="preserve">RL-5 </t>
    </r>
    <r>
      <rPr>
        <sz val="11"/>
        <color rgb="FF000000"/>
        <rFont val="Calibri"/>
        <family val="2"/>
      </rPr>
      <t>Diseño de cimentación para apoyo tipo poste - UNIDAD DE MEDIDA : C/U - cada uno</t>
    </r>
  </si>
  <si>
    <t>Realizar el replanteo topográfico entre las estructuras existentes 2322 a la 2329 de la LT Nueva Esperanza - Bosa - Veraguas Laguneta y la Estructura P02 para la LT Conexión Nueva Esperanza - Compartir - Bosa a 115 kV.</t>
  </si>
  <si>
    <t>Realizar el levantamiento topográfico entre las estructuras existentes 2322 a la 2329 de la LT Nueva Esperanza - Bosa - Veraguas Laguneta y la Estructura P02 para la LT Conexión Nueva Esperanza - Compartir - Bosa a 115 kV.</t>
  </si>
  <si>
    <t>OT: 17-260</t>
  </si>
  <si>
    <t>Proyecto: LT Veraguas - Laguneta y la LT Conexión Nueva Esperanza - Compartir - Bosa a 115 kV</t>
  </si>
  <si>
    <t>LT Veraguas - Laguneta y la LT Conexión Nueva Esperanza - Compartir - Bosa a 115 kV</t>
  </si>
  <si>
    <t>OT: 17-298</t>
  </si>
  <si>
    <t>OT: 17-299</t>
  </si>
  <si>
    <t>OT: 17-300</t>
  </si>
  <si>
    <t>OT: 17-301</t>
  </si>
  <si>
    <t>OT: 17-302</t>
  </si>
  <si>
    <t>OT: 17-303</t>
  </si>
  <si>
    <t>OT: 17-304</t>
  </si>
  <si>
    <t>OT: 17-305</t>
  </si>
  <si>
    <t>OT: 17-307</t>
  </si>
  <si>
    <t>OT: 17-308</t>
  </si>
  <si>
    <t>Diseño civil y mecánico de las canalizaciones desde los CT´s de cada módulo de Transformador hacia un nuevo  TCM.                                                                                                                                                                                                                                              
INGENIERÍA CIVIL  = (10HH(dibujo)+12HH(diseño)+2HH(Revisión y Supervisión Coordinador))  =24HH(Civil)
INGENIERÍA MECÁNICA= (15HH(dibujo)+18HH(diseño)+3HH(Revisión y Supervisión Coordinador)) = 36HH(Mecánico)
INGENIERÍA CIVIL + INGENIERÍA MECÁNICA= 24HH(Civil) +  36HH(Mecánico) =60 HH</t>
  </si>
  <si>
    <t>OT: 17-309</t>
  </si>
  <si>
    <t>OT: 17-310</t>
  </si>
  <si>
    <t>OT: 17-311</t>
  </si>
  <si>
    <t>Realizar el estudio de suelos en la S/E. Codensa definirá los puntos para realizar los sondeos</t>
  </si>
  <si>
    <r>
      <rPr>
        <b/>
        <sz val="11"/>
        <color rgb="FFFF0000"/>
        <rFont val="Calibri"/>
        <family val="2"/>
      </rPr>
      <t xml:space="preserve">L-61 </t>
    </r>
    <r>
      <rPr>
        <sz val="11"/>
        <color rgb="FF000000"/>
        <rFont val="Calibri"/>
        <family val="2"/>
      </rPr>
      <t>Elaboración de estudio de suelos (hasta 3 sondeos de 6 m de profundidad) - UNIDAD DE MEDIDA: Estudio</t>
    </r>
  </si>
  <si>
    <t>Realizar levantamiento eléctrico y mecánico para la normalización del tablero de control y protecciones.</t>
  </si>
  <si>
    <t>Realizar levantamiento eléctrico, civil y mecánico para el reemplazo del interruptor de potencia.
Realizar la excavación del área aledaña al interruptor de Potencia para identificar las dimensiones de la zapata, se cobra un 50% adicional del levantamiento. 
INGENIERÍA CIVIL =0.3x (levantamiento civil) + 0.7 x(alcance diseño)+ 0.15(excavación zapata interruptor) =0.30x (1) + 0.70x (0) + 0.3(50%)= 0.45</t>
  </si>
  <si>
    <t>LINEA FONTIBÓN NOROESTE MOSQUERA 115 kV</t>
  </si>
  <si>
    <t>LÍNEA BALSILLAS 115 kV</t>
  </si>
  <si>
    <t>OT: 17-312</t>
  </si>
  <si>
    <r>
      <rPr>
        <b/>
        <sz val="11"/>
        <color rgb="FFFF0000"/>
        <rFont val="Calibri"/>
        <family val="2"/>
      </rPr>
      <t xml:space="preserve">L-61 </t>
    </r>
    <r>
      <rPr>
        <sz val="11"/>
        <color rgb="FF000000"/>
        <rFont val="Calibri"/>
        <family val="2"/>
      </rPr>
      <t>Elaboración de estudio de suelos (hasta 3 sondeos de 6 m de profundidad) - UNIDAD DE MEDIDA: Estudio</t>
    </r>
  </si>
  <si>
    <t>Realizar levantamiento eléctrico, civil y mecánico para el reemplazo del interruptor de potencia.
Realizar la excavación del área aledaña al interruptor de Potencia para identificar las dimensiones de la zapata, se cobra un 50% adicional del levantamiento.
INGENIERÍA CIVIL =0.3x (levantamiento civil) + 0.7 x(alcance diseño)+ 0.15(excavación zapata interruptor) =0.30x (1) + 0.70x (0) + 0.3(50%)= 0.45</t>
  </si>
  <si>
    <t>LINEA TIBABUYES 115kV</t>
  </si>
  <si>
    <t>OT: 17-313</t>
  </si>
  <si>
    <t>D00255084000</t>
  </si>
  <si>
    <t>D00255084</t>
  </si>
  <si>
    <r>
      <t xml:space="preserve">Levantamiento arquitectónico y estructural de la casa de celdas de la S/E. 
Se debe tener en cuenta que se debe detallar la localización y dimensión de los elementos estructurales que la conforman.  
Se debe realizar levantamiento de la red existente de abastecimiento de agua hacia la casa de celdas. 
Levantamiento de sistema aguas lluvias de la casa de control y el punto de conexión al sistema de drenaje de la S/E.
(Informe / Planos)  </t>
    </r>
    <r>
      <rPr>
        <b/>
        <sz val="11"/>
        <color rgb="FF000000"/>
        <rFont val="Calibri"/>
        <family val="2"/>
      </rPr>
      <t>Factor de cobro =</t>
    </r>
    <r>
      <rPr>
        <sz val="11"/>
        <color rgb="FF000000"/>
        <rFont val="Calibri"/>
        <family val="2"/>
      </rPr>
      <t xml:space="preserve"> 55% de la labor</t>
    </r>
  </si>
  <si>
    <r>
      <t xml:space="preserve">Realizar diseño para adecuación sismo resistente de la casa de celdas existente en la S/E.
Se debe tener en cuenta que se debe entregar:
•	Análisis de Vulnerabilidad teniendo en cuenta los requisitos contemplados en la NSR10 (Informe / Memoria de cálculo/Memoria de responsabilidad)  Factor de Cobro: 1 Persona x + 10días x 8 HH = 80 HH  
•	Diseño de reforzamiento de la casa de control teniendo en cuenta los requisitos contemplados en la NSR10 Informe / Memoria de cálculo/ Planos / Cantidades de obra totales para la adecuación de la casa de control (Demolición, Excavaciones, etc)   Factor de Cobro:  1 Persona x 16 días x 8 HH = 128 HH
•	Elaboración de documento de plan de ejecución de obra (Informe)   Factor de Cobro:  1 Persona x 3 días x 8 HH = 24 HH.
</t>
    </r>
    <r>
      <rPr>
        <b/>
        <sz val="11"/>
        <color rgb="FF000000"/>
        <rFont val="Calibri"/>
        <family val="2"/>
      </rPr>
      <t>Nota:</t>
    </r>
    <r>
      <rPr>
        <sz val="11"/>
        <color rgb="FF000000"/>
        <rFont val="Calibri"/>
        <family val="2"/>
      </rPr>
      <t xml:space="preserve"> En el diseño del reforzamiento de la casa de control se debe realizar tener en cuenta las puertas antipánico.
</t>
    </r>
    <r>
      <rPr>
        <b/>
        <sz val="11"/>
        <color rgb="FF000000"/>
        <rFont val="Calibri"/>
        <family val="2"/>
      </rPr>
      <t>Nota:</t>
    </r>
    <r>
      <rPr>
        <sz val="11"/>
        <color rgb="FF000000"/>
        <rFont val="Calibri"/>
        <family val="2"/>
      </rPr>
      <t xml:space="preserve"> Durante la ejecución del diseño se debe hacer la Revisión de distancias de seguridad teniendo en cuenta las dimensiones de este, cualquier situación que se presente  se debe informar a Codensa.
</t>
    </r>
    <r>
      <rPr>
        <b/>
        <sz val="11"/>
        <color rgb="FF000000"/>
        <rFont val="Calibri"/>
        <family val="2"/>
      </rPr>
      <t>Nota:</t>
    </r>
    <r>
      <rPr>
        <sz val="11"/>
        <color rgb="FF000000"/>
        <rFont val="Calibri"/>
        <family val="2"/>
      </rPr>
      <t xml:space="preserve"> Se debe tener en cuenta que se debe presentar el plano de diseño de cubierta y sistema de drenaje de aguas lluvias.</t>
    </r>
  </si>
  <si>
    <t xml:space="preserve">Realizar el diseño de un tanque de almacenamiento de agua subterráneo con control automático  para que alimente el baño y cocina de la S/E (Informe / Memoria de cálculo/Planos/ Cantidades de obra)
 Factor de cobro: 1 Persona x 8 días x 8HH =64 HH </t>
  </si>
  <si>
    <t>OT: 17-318</t>
  </si>
  <si>
    <t>Proyecto: Adecuación sismoresistente Casa control SE Fontibón</t>
  </si>
  <si>
    <t>Adecuación sismoresistente Casa control SE Fontibón</t>
  </si>
  <si>
    <t>SUBESTACIÓN 115/345/13.2kV</t>
  </si>
  <si>
    <r>
      <rPr>
        <b/>
        <sz val="11"/>
        <color rgb="FFFF0000"/>
        <rFont val="Calibri"/>
        <family val="2"/>
      </rPr>
      <t xml:space="preserve">L-39 </t>
    </r>
    <r>
      <rPr>
        <sz val="11"/>
        <color rgb="FF000000"/>
        <rFont val="Calibri"/>
        <family val="2"/>
      </rPr>
      <t>Diseño de nuevo tablero de medida para subestaciones AT/AT, AT/MT o MT/MT - UNIDAD DE MEDIDA: C/U</t>
    </r>
  </si>
  <si>
    <t>Labor asimilada para el cálculo de Burden y la corrección de la cargabilidad  del núcleo de medida para un juego CT´s (3 Unidades).  INGENIERÍA ELÉCTRICA =0.3x(Factor alcance levantamiento) + 0.7 x(Factor alcance diseño)=0.30x(0.00) + 0.70x(0.575)=0.4025</t>
  </si>
  <si>
    <t>BARRA 34,5kV</t>
  </si>
  <si>
    <r>
      <t xml:space="preserve">Realizar la entrega de los planos mecánicos para montaje de un nuevo tablero Mantis de una unidad de medida Elster A1800 en el transformador de Servicios auxiliares AC, teniendo en cuenta que se toma como base el diseño mecánico de la subestación Indumil  OT17-319. Se cobra el 12% del diseño mecánico por la entrega de los planos tipicos.                                                                                                                                                                                                                                                                       </t>
    </r>
    <r>
      <rPr>
        <b/>
        <sz val="11"/>
        <color rgb="FF000000"/>
        <rFont val="Calibri"/>
        <family val="2"/>
      </rPr>
      <t xml:space="preserve"> </t>
    </r>
    <r>
      <rPr>
        <sz val="11"/>
        <color rgb="FF000000"/>
        <rFont val="Calibri"/>
        <family val="2"/>
      </rPr>
      <t>INGENIERÍA MECÁNICA =0.3x(Factor alcance levantamiento) + 0.7 x(Factor alcance diseño)=0.30x(0.00) + 0.70x(0.12)=0.084</t>
    </r>
  </si>
  <si>
    <t>AUXILIARES AC 208 VAC</t>
  </si>
  <si>
    <t>Ingeniería eléctrica para el montaje de una unidad de medida en el transformador de Servicios Auxiliares AC. para el circuito de corriente se debe realizar el cableado en potencia desde el tablero de transferencia de la subestación pasar a través del tablero de la unidad de medida Mantis y por ultimo incorporarse al tablero de servicios auxiliares SA01 208 VAC de la S/E.
Para el circuito de tensiones se debe tomar la alimentación directa de la barra del tablero de transferencia pasar por un breaker de protección e incorporarse a la medida en el tablero de medida Mantis.</t>
  </si>
  <si>
    <t>Diseño civil y mecánico de canalizaciones en Potencia desde el tablero de  Transferencia  entrando al tablero Mantis y la salida de este al tablero de servicios auxiliares.</t>
  </si>
  <si>
    <t xml:space="preserve">Ingenieria eléctrica para el montaje de una unidad de medida en el transformador por el lado de 34,5 kV, se contempla la instalación de dos medidores digitales Elster A1800,  lado 34,5kV.  </t>
  </si>
  <si>
    <t>Realizar la ingeniería mecánica y eléctrica para la instalación de un juego de PT´s.</t>
  </si>
  <si>
    <t>OT: 17-332</t>
  </si>
  <si>
    <t>Realizar la ingeniería civil, mecánica y eléctrica para el reemplazo del regulador de tensión RVD2. Se cobra un 70% del diseño eléctrico del tablero regulador  ya que el diseño del regulador de tensión fue elaborada en la OT17-043. FACTOR ELÉCTRICO: 0.3(factor levantamiento) + 0.7(factor Diseño) = 0.3(1)+0.7(0.7) =0.3+0.49=0.79</t>
  </si>
  <si>
    <r>
      <rPr>
        <b/>
        <sz val="11"/>
        <color rgb="FFFF0000"/>
        <rFont val="Calibri"/>
        <family val="2"/>
      </rPr>
      <t xml:space="preserve">L-40 </t>
    </r>
    <r>
      <rPr>
        <sz val="11"/>
        <color rgb="FF000000"/>
        <rFont val="Calibri"/>
        <family val="2"/>
      </rPr>
      <t>Ingeniería para el cambio/instalación de tablero de regulación de tensión del transformador (incluye el rele 90) - UNIDAD DE MEDIDA: C/U</t>
    </r>
  </si>
  <si>
    <t>OT: 17-335</t>
  </si>
  <si>
    <t>Proyecto: CDIM_CBSGSM_R0161, Normalización y Reposición SE VICTORIA</t>
  </si>
  <si>
    <r>
      <rPr>
        <b/>
        <sz val="11"/>
        <color rgb="FFFF0000"/>
        <rFont val="Calibri"/>
        <family val="2"/>
      </rPr>
      <t xml:space="preserve">L-7 </t>
    </r>
    <r>
      <rPr>
        <sz val="11"/>
        <color rgb="FF000000"/>
        <rFont val="Calibri"/>
        <family val="2"/>
      </rPr>
      <t>Ingeniería para el reemplazo y/o instalación de transformadores de corriente 500 kV, 230 kV, 115 kV y 57,5 kV - UNIDAD DE MEDIDA: Grupo x 3</t>
    </r>
  </si>
  <si>
    <t>Labor asimilada para la elaboración de planos As Built a partir del rojo verde suministrado por codensa.
Ingeniería para el reemplazo de Transformadores de Corriente.</t>
  </si>
  <si>
    <t>Labor asimilada para la elaboración de planos As Built a partir del rojo verde suministrado por codensa.
Cálculo de Burden y la corrección de la cargabilidad  del núcleo de medida para un juego PT´s (3 Unidades).</t>
  </si>
  <si>
    <t>OT: 17-339</t>
  </si>
  <si>
    <t>Elaboración de planos As Built a partir de los rojo verde suministrados por Codensa. Realizar la Actualizacion de ingeniería por reemplazo de medidor digital de NEXUS 1500 a ELSTER A1800.</t>
  </si>
  <si>
    <r>
      <rPr>
        <b/>
        <sz val="11"/>
        <color rgb="FFFF0000"/>
        <rFont val="Calibri"/>
        <family val="2"/>
      </rPr>
      <t xml:space="preserve">L-36 </t>
    </r>
    <r>
      <rPr>
        <sz val="11"/>
        <color rgb="FF000000"/>
        <rFont val="Calibri"/>
        <family val="2"/>
      </rPr>
      <t>Ingeniería para el reemplazo/instalación de una Unidad de Medida (UDM), equipo registrador de calidad de potencia o medidor de energía - UNIDAD DE MEDIDA: Grupo x 2 (equipos del mismo módulo)</t>
    </r>
  </si>
  <si>
    <t>Elaboración de planos As Built a partir de los rojo verde suministrados por Codensa. Labor asimilada para el reemplazo de la caja de empalme de los Ct´s y normalización de las borneras de corriente en los nucleos de medida y protección.</t>
  </si>
  <si>
    <r>
      <rPr>
        <b/>
        <sz val="11"/>
        <color rgb="FFFF0000"/>
        <rFont val="Calibri"/>
        <family val="2"/>
      </rPr>
      <t xml:space="preserve">L-7 </t>
    </r>
    <r>
      <rPr>
        <sz val="11"/>
        <color rgb="FF000000"/>
        <rFont val="Calibri"/>
        <family val="2"/>
      </rPr>
      <t>Ingeniería para el reemplazo y/o instalación de transformadores de corriente 500 kV, 230 kV, 115 kV y 57,5 kV - UNIDAD DE MEDIDA: Grupo x 3</t>
    </r>
  </si>
  <si>
    <t xml:space="preserve">Elaboración de planos As Built a partir de los rojo verde suministrados por Codensa. Labor asimilada para la actualización de la Ingeniería en el camino de corriente del núcleo de medida. </t>
  </si>
  <si>
    <t>Elaboración de planos As Built a partir de los rojo verde suministrados por Codensa. Ingeneiría para el cálculo del burden y la corrección de la cargabilidad del nucleo de medida para un juego de Pt´s (3 unidades).</t>
  </si>
  <si>
    <r>
      <rPr>
        <b/>
        <sz val="11"/>
        <color rgb="FFFF0000"/>
        <rFont val="Calibri"/>
        <family val="2"/>
      </rPr>
      <t xml:space="preserve">L-9 </t>
    </r>
    <r>
      <rPr>
        <sz val="11"/>
        <color rgb="FF000000"/>
        <rFont val="Calibri"/>
        <family val="2"/>
      </rPr>
      <t>Ingeniería para el reemplazo de transformadores de tensión (Grupo de 3) de 500, 230, 115 o 57,5kV - UNIDAD DE MEDIDA: Grupo x 3</t>
    </r>
  </si>
  <si>
    <t>OT: 17-341</t>
  </si>
  <si>
    <t xml:space="preserve">CDIM_CAOLIG_R0078 </t>
  </si>
  <si>
    <t>Elaboración de planos As Built a partir de los rojo verde suministrados por Codensa.  Reemplazo de los transformadores de corriente 115 kV</t>
  </si>
  <si>
    <t>TRANSFORMADOR D2 115/11,4 kV</t>
  </si>
  <si>
    <t xml:space="preserve">Elaboración de planos as built a partir de los rojo verde suministrados por Codensa. Realizar la  instalación de dos medidores digitales NEXUS 1500.
</t>
  </si>
  <si>
    <t>TRANSFORMADOR D1 115/11,4 kV</t>
  </si>
  <si>
    <t>OT: 17-342</t>
  </si>
  <si>
    <t>valor ejecutado Acta No. 3 Octubre</t>
  </si>
  <si>
    <t>valor ejecutado Acta No. 2 Octubre</t>
  </si>
  <si>
    <t>valor ejecutado Acta No. 4 Octubre</t>
  </si>
  <si>
    <t>valor ejecutado Acta No. 1 Octubre</t>
  </si>
  <si>
    <t>BARRA 115 KV</t>
  </si>
  <si>
    <t xml:space="preserve">Normalización de las señales de tensión del TCM hacia cada uno de los módulos. INGENIERÍA ELÉCTRICA =0.3x(Factor alcance levantamiento) + 0.7 x(Factor alcance diseño)=0.30x(0.00) + 0.70x(0.25)= 0.175 </t>
  </si>
  <si>
    <t>Labor asimilada para la actualización de la Ingeniería en el camino de corriente del núcleo de medida. La ingeniería mecánica se entrega con la OT16-108. INGENIERÍA ELÉCTRICA =0.3x(Factor alcance levantamiento) + 0.7 x(Factor alcance diseño)=0.30x(0.00) + 0.70x(0.15)=0.105</t>
  </si>
  <si>
    <t>Realizar la Actualizacion de ingeniería por reemplazo de medidor digital de NEXUS 1500 a ELSTER A1800.</t>
  </si>
  <si>
    <t>TRANSFORMADOR D 2  115/11.4 kV</t>
  </si>
  <si>
    <t>Labor asimilada para la actualización de la Ingeniería en el camino de corriente del núcleo de medida.  La ingeniería mecánica se entrega con la OT16-108.  INGENIERÍA ELÉCTRICA =0.3x(Factor alcance levantamiento) + 0.7 x(Factor alcance diseño)=0.30x(0.00) + 0.70x(0.15)=0.105</t>
  </si>
  <si>
    <t>Realizar la ingeniería civil, Mecánica  y eléctrica para la instalación de un juego de transformadores de corriente (3 Unidades).</t>
  </si>
  <si>
    <t>Ingeniería eléctrica para el montaje de una unidad de medida en el transformador de Servicios Auxiliares AC. Las señales de corrientes y tensión se toman  del tablero de transferencia de la subestación hasta el tablero de la unidad de medida mini-Mantis.</t>
  </si>
  <si>
    <t>Diseño mecánico para montaje de un nuevo tablero mini-Mantis de una unidad de medida Elster A1800 en el transformador de Servicios auxiliares AC; incluye el diseño mecanico y el anclaje a la pared del tablero mini-Mantis.                                                                                                                                                                                                                                                                                                                                                                                                                                  NOTA: El diseño queda como típico en caso de requerirse el diseño mecanico del tablero mini-Mantis anclado a la  pared en otras subestaciones.</t>
  </si>
  <si>
    <t>Diseño  civil y mecánica de la canalización  del tablero mini-Mantis  al carcamo de Potencia.</t>
  </si>
  <si>
    <t xml:space="preserve">Diseño de nueva cimentación en el patio de conexiones para la instalación de un nuevo tablero de medidores TCM para el transformador R1 115/34.5kV. </t>
  </si>
  <si>
    <t>OT: 17-334</t>
  </si>
  <si>
    <t>TERMOZIPA-GRAN SABANA-AGAFANO</t>
  </si>
  <si>
    <r>
      <rPr>
        <b/>
        <sz val="11"/>
        <color rgb="FFFF0000"/>
        <rFont val="Calibri"/>
        <family val="2"/>
      </rPr>
      <t xml:space="preserve">RL-8 </t>
    </r>
    <r>
      <rPr>
        <sz val="11"/>
        <color rgb="FF000000"/>
        <rFont val="Calibri"/>
        <family val="2"/>
      </rPr>
      <t>Diseño electromecánico de línea de AT - UNIDAD DE MEDIDA : KM - Kilómetro</t>
    </r>
  </si>
  <si>
    <t xml:space="preserve">Se entrega: 
Carta donde se presentan las tres alternativas. 
Plano de herrajes y una única memoria conceptual donde se informará los chequeos realizados a la estructura de la maniobra seleccionada por Codensa. </t>
  </si>
  <si>
    <t>Alternativa para Maniobra de montaje de poste P5 de LT Termozipa Agafano Leona Gran Sabana</t>
  </si>
  <si>
    <t>Proyecto: Alternativa para Maniobra de montaje de poste P5 de LT Termozipa Agafano Leona Gran Sabana</t>
  </si>
  <si>
    <t>OT: 17-337</t>
  </si>
  <si>
    <t>valor ejecutado Acta No. 5 Noviembre</t>
  </si>
  <si>
    <t>Periodo facturación: Noviembre</t>
  </si>
  <si>
    <t>valor ejecutado Acta No. 2 Noviembre</t>
  </si>
  <si>
    <t>valor ejecutado Acta No. 3 Noviembre</t>
  </si>
  <si>
    <t>Acta N° 1: Noviembre</t>
  </si>
  <si>
    <t>SUBA</t>
  </si>
  <si>
    <t>17-152</t>
  </si>
  <si>
    <t>SATELITE ROSARIO</t>
  </si>
  <si>
    <t>17-170</t>
  </si>
  <si>
    <t>17-172</t>
  </si>
  <si>
    <t>NORTE</t>
  </si>
  <si>
    <t>PAGO A 90 DIAS (1.5%)</t>
  </si>
  <si>
    <t>SUBTOTAL + PAGO A 90 DIAS</t>
  </si>
  <si>
    <t>Pago a 90 dias (1.5%)</t>
  </si>
  <si>
    <t>Valor Subtotal a facturar (antes de IVA) + incremento + pago a 90 dias (1.5%)</t>
  </si>
  <si>
    <t>TENJO</t>
  </si>
  <si>
    <t>17-186</t>
  </si>
  <si>
    <t>VILLETA</t>
  </si>
  <si>
    <t>CAPARRAPI</t>
  </si>
  <si>
    <t>NAMAY</t>
  </si>
  <si>
    <t>SAUCES</t>
  </si>
  <si>
    <t>BACATA</t>
  </si>
  <si>
    <t>NOROESTE</t>
  </si>
  <si>
    <t>TUNAL</t>
  </si>
  <si>
    <t>FONTIBON</t>
  </si>
  <si>
    <t>VIANI</t>
  </si>
  <si>
    <t>VILLA PINZON</t>
  </si>
  <si>
    <t>17-256</t>
  </si>
  <si>
    <t>17-257</t>
  </si>
  <si>
    <t>17-260</t>
  </si>
  <si>
    <t>LLTT COMPARTIR</t>
  </si>
  <si>
    <t>17-263</t>
  </si>
  <si>
    <t>CALLE 51</t>
  </si>
  <si>
    <t>17-274</t>
  </si>
  <si>
    <t>SANTANDERCITO</t>
  </si>
  <si>
    <t>17-282</t>
  </si>
  <si>
    <t>LA DORADA</t>
  </si>
  <si>
    <t>17-283</t>
  </si>
  <si>
    <t>17-284</t>
  </si>
  <si>
    <t>PARAMO ALTO</t>
  </si>
  <si>
    <t>17-285</t>
  </si>
  <si>
    <t>TRES ESQUINAS</t>
  </si>
  <si>
    <t>17-286</t>
  </si>
  <si>
    <t>17-287</t>
  </si>
  <si>
    <t>17-288</t>
  </si>
  <si>
    <t>17-290</t>
  </si>
  <si>
    <t>LT ZP UB PELDAR</t>
  </si>
  <si>
    <t>17-291</t>
  </si>
  <si>
    <t>17-293</t>
  </si>
  <si>
    <t>17-294</t>
  </si>
  <si>
    <t>17-301</t>
  </si>
  <si>
    <t>CHINAUTA</t>
  </si>
  <si>
    <t>17-308</t>
  </si>
  <si>
    <t>TORIBA</t>
  </si>
  <si>
    <t>17-311</t>
  </si>
  <si>
    <t>RIONEGRITO</t>
  </si>
  <si>
    <t>17-312</t>
  </si>
  <si>
    <t>17-313</t>
  </si>
  <si>
    <t>17-316</t>
  </si>
  <si>
    <t>17-318</t>
  </si>
  <si>
    <t>17-319</t>
  </si>
  <si>
    <t>17-328</t>
  </si>
  <si>
    <t>17-332</t>
  </si>
  <si>
    <t>17-334</t>
  </si>
  <si>
    <t>17-335</t>
  </si>
  <si>
    <t>17-337</t>
  </si>
  <si>
    <t>17-342</t>
  </si>
  <si>
    <t>TORCA</t>
  </si>
  <si>
    <t>17-348</t>
  </si>
  <si>
    <r>
      <rPr>
        <b/>
        <sz val="10"/>
        <color theme="1"/>
        <rFont val="Arial"/>
        <family val="2"/>
      </rPr>
      <t>1. Alcance:</t>
    </r>
    <r>
      <rPr>
        <sz val="10"/>
        <color theme="1"/>
        <rFont val="Arial"/>
        <family val="2"/>
      </rPr>
      <t xml:space="preserve"> Esta acta corresponde al avance de la orden de trabajo, de acuerdo con el detalle mostrado en el anexo Acta de avance de obra para el mes de Noviembre de </t>
    </r>
    <r>
      <rPr>
        <b/>
        <sz val="10"/>
        <color theme="1"/>
        <rFont val="Arial"/>
        <family val="2"/>
      </rPr>
      <t>2017.</t>
    </r>
  </si>
  <si>
    <t>Ajustes al precio (3% - Incremento por ubicación)</t>
  </si>
  <si>
    <t>Ajustes al precio (1.5% - Pago a 90 días)</t>
  </si>
  <si>
    <t>Como constancia de lo anterior, se firma la presente acta el día 5 de Diciembre de 2017.</t>
  </si>
  <si>
    <t xml:space="preserve">Ing. Manuel Urbina </t>
  </si>
  <si>
    <t xml:space="preserve">Ing. Andrés Patarroyo </t>
  </si>
  <si>
    <t>Ing. César Fernández / Ing. Hernán Giraldo</t>
  </si>
  <si>
    <t xml:space="preserve">Ing. Diana García </t>
  </si>
  <si>
    <t xml:space="preserve">Ing. David Jaramillo </t>
  </si>
  <si>
    <t>17-001</t>
  </si>
  <si>
    <t>17-002</t>
  </si>
  <si>
    <t>17-003</t>
  </si>
  <si>
    <t>17-004</t>
  </si>
  <si>
    <t>17-022</t>
  </si>
  <si>
    <t>17-028</t>
  </si>
  <si>
    <t>17-032</t>
  </si>
  <si>
    <t>17-034</t>
  </si>
  <si>
    <t>17-035</t>
  </si>
  <si>
    <t>17-036</t>
  </si>
  <si>
    <t>17-107</t>
  </si>
  <si>
    <t>17-222</t>
  </si>
  <si>
    <t>17-273</t>
  </si>
  <si>
    <t>17-314</t>
  </si>
  <si>
    <t>17-320</t>
  </si>
  <si>
    <t>17-327</t>
  </si>
  <si>
    <t>17-344</t>
  </si>
  <si>
    <t>17-346</t>
  </si>
  <si>
    <t>17-349</t>
  </si>
  <si>
    <t>RG07-IO887</t>
  </si>
  <si>
    <t>RG07-IO1087</t>
  </si>
  <si>
    <r>
      <t xml:space="preserve">Realizar el diseño civil de nueva cimentación en el patio de conexiones para la instalación de un nuevo tablero de medidores TCM.
</t>
    </r>
    <r>
      <rPr>
        <b/>
        <sz val="11"/>
        <color rgb="FF000000"/>
        <rFont val="Calibri"/>
        <family val="2"/>
      </rPr>
      <t xml:space="preserve">Nota: </t>
    </r>
    <r>
      <rPr>
        <sz val="11"/>
        <color rgb="FF000000"/>
        <rFont val="Calibri"/>
        <family val="2"/>
      </rPr>
      <t xml:space="preserve">El TCM es del tipo usado para la subestación Villeta OT17-127, con la conexión al carcamo existente. </t>
    </r>
  </si>
  <si>
    <t xml:space="preserve">SUBESTACIÓN 115/34.5 kV </t>
  </si>
  <si>
    <t>valor ejecutado Acta No. 1 Noviembre</t>
  </si>
  <si>
    <t>OT: 17-349</t>
  </si>
  <si>
    <r>
      <rPr>
        <b/>
        <sz val="11"/>
        <color rgb="FFFF0000"/>
        <rFont val="Calibri"/>
        <family val="2"/>
      </rPr>
      <t xml:space="preserve">L-8 </t>
    </r>
    <r>
      <rPr>
        <sz val="11"/>
        <color rgb="FF000000"/>
        <rFont val="Calibri"/>
        <family val="2"/>
      </rPr>
      <t>Ingeniería para el reemplazo y/o instalación de transformadores de corriente (Grupo de 3) 34.5 kV - UNIDAD DE MEDIDA: Grupo x 3</t>
    </r>
  </si>
  <si>
    <t>Levantamiento  del transformador de servicios auxiliares para reemplazo de unidad de medida.</t>
  </si>
  <si>
    <r>
      <rPr>
        <b/>
        <sz val="11"/>
        <color rgb="FFFF0000"/>
        <rFont val="Calibri"/>
        <family val="2"/>
      </rPr>
      <t xml:space="preserve">L-17 </t>
    </r>
    <r>
      <rPr>
        <sz val="11"/>
        <color rgb="FF000000"/>
        <rFont val="Calibri"/>
        <family val="2"/>
      </rPr>
      <t>Ingeniería para el reemplazo/instalación de Transformador de servicios auxiliares 34.5/0.208 kV, 13.8/0.208, 11.4/0.208 kV - UNIDAD DE MEDIDA: C/U</t>
    </r>
  </si>
  <si>
    <t>Ingeniería para el reemplazo de los transformadores de corriente Ct´s</t>
  </si>
  <si>
    <r>
      <rPr>
        <b/>
        <sz val="11"/>
        <color rgb="FFFF0000"/>
        <rFont val="Calibri"/>
        <family val="2"/>
      </rPr>
      <t xml:space="preserve">L-10 </t>
    </r>
    <r>
      <rPr>
        <sz val="11"/>
        <color rgb="FF000000"/>
        <rFont val="Calibri"/>
        <family val="2"/>
      </rPr>
      <t>Ingeniería para el reemplazo de transformadores de tensión de barra o de línea (Grupo de 3) de 34.5 kV - UNIDAD DE MEDIDA: Grupo x 3</t>
    </r>
  </si>
  <si>
    <t>Ingeniería para montaje de dos  unidades de medida Elster A1800.</t>
  </si>
  <si>
    <t>TRANSFORMADOR D1 13.2/34.5 Kv</t>
  </si>
  <si>
    <t>OT: 17-359</t>
  </si>
  <si>
    <t>Ingeniería para montaje de una unidad de medida Elster A1800 en el transformador.</t>
  </si>
  <si>
    <t>TRANSFORMADOR D1 34,5/13.2kV</t>
  </si>
  <si>
    <t xml:space="preserve">Ingeniería para el cálculo del Burden y corrección de cargabilidad en el núcleo de medida de los transformadores de tensión CT´s. </t>
  </si>
  <si>
    <t>Diseño civil y/o mecánico de la canalización  del tablero Mantis  al cárcamo de Potencia.</t>
  </si>
  <si>
    <t>SUBESTACIÓN 34.5/13.8 kV</t>
  </si>
  <si>
    <t>Diseño civil y/o mecánico de las canalizaciones desde los CT´s del módulo de Transformador hacia un nuevo  TCM.                                                                                                                                                                                                                                              
INGENIERÍA CIVIL  = (10HH(dibujo)+12HH(diseño)+2HH(Revisión y Supervisión Coordinador))  =24HH(Civil)
INGENIERÍA MECÁNICA= (15HH(dibujo)+18HH(diseño)+3HH(Revisión y Supervisión Coordinador)) = 36HH(Mecánico)
INGENIERÍA CIVIL + INGENIERÍA MECÁNICA= 24HH(Civil) +  36HH(Mecánico) =60 HH</t>
  </si>
  <si>
    <t>Realizar la entrega de los planos mecánicos del anclaje en poste para el montaje de un nuevo tablero Mantis de una unidad de medida Elster A1800 en el transformador de Servicios auxiliares AC, teniendo en cuenta que se toma como base el diseño mecánico de la subestación Villa Gomez  OT17-216. Se cobra el 12% del diseño mecánico por la entrega de los planos tipicos.                                                                                                                                                                                                                                                                        INGENIERÍA MECÁNICA =0.3x(Factor alcance levantamiento) + 0.7 x(Factor alcance diseño)=0.30x(0.00) + 0.70x(0.12)=0.084</t>
  </si>
  <si>
    <t xml:space="preserve">Ingeniería eléctrica para el montaje de una unidad de medida en el transformador de Servicios Auxiliares AC.  Para el circuito de corriente se debe realizar el cableado en potencia desde el transformador de servicios auxiliares AC de la subestación pasar a través de los CT´s en el tablero Mantis y por ultimo incorporarse al tablero de servicios auxiliares SA01 208 VAC de la S/E.
</t>
  </si>
  <si>
    <t>OT: 17-365</t>
  </si>
  <si>
    <t xml:space="preserve">Ingeniería para el diseño de canalizaciones de control de los dos  tableros de telecomunicación dentro de la casa de control. (3 HH Diseño + 6HH Dibujo + 2 HH Revisión de Ingeniería) </t>
  </si>
  <si>
    <t>OT: 17-367</t>
  </si>
  <si>
    <t>LÍNEA FONOMO 115kV</t>
  </si>
  <si>
    <t>LÍNEA BALSILLAS 115kV</t>
  </si>
  <si>
    <t>Realizar la medida de resistividad del terreno en el lugar donde se instalaran las nuevas estructuras 1617 y 1618.</t>
  </si>
  <si>
    <t>LLTT GUAVIO-UBALA 115kV</t>
  </si>
  <si>
    <t>Elaborar el estudio de suelos en el lugar donde se instalaran las nuevas estructuras 1617 y 1618.</t>
  </si>
  <si>
    <t>Realizar el diseño electromecánico  de la línea Guavio-Ubala desde las estructura 1616 hasta la estructura 1618, el diseño electromecanico corresponde a la nueva ruta de la Línea Guavio-Ubala 115kV.</t>
  </si>
  <si>
    <t>Realizar el diseño de la cimentación tipo torre para la nueva estructura  1617.</t>
  </si>
  <si>
    <t>Realizar el diseño de la cimentación tipo poste para la estructura terminal 1618.</t>
  </si>
  <si>
    <t>Realizar el replanteo de línea en el lugar donde se instalaran las nuevas estructuras 1617 y 1618.</t>
  </si>
  <si>
    <t>Realizar el levantamiento topográfico desde la torre 1615 hasta la llegada de la Línea a la subestación, el levantamiento topográfico se realiza por la nueva ruta definida para la llegada de la línea a la subestación. Codensa define la nueva ruta de llagada para Línea Guavio-Ubala.</t>
  </si>
  <si>
    <t>OT: 17-370</t>
  </si>
  <si>
    <t>Proyecto: Variante LT UL-GU</t>
  </si>
  <si>
    <t>Variante LT UL-GU</t>
  </si>
  <si>
    <t>Labor asimilada para realizar la excavación del área aledaña de una de las cimentaciones de los cts del módulo para identificar las dimensiones de la zapata.                                                                
Para realizar el diseño se debe tener en cuenta la ingeniería mecánica contemplada en la OT 16-108 para los módulos de Trafo D1 y D2.
Factor = 0.3(Levantamiento) +0.7(Diseño).
Factor=0.3(1)+0.7(1)=1</t>
  </si>
  <si>
    <t>OT: 17-371</t>
  </si>
  <si>
    <t>D00235270000</t>
  </si>
  <si>
    <t>D00235270</t>
  </si>
  <si>
    <t>Dado el movimiento de la estructura 3318, se deberán actualizar los documentos: 
1.Memoria de diseño electromecánico donde se realice el chequeo o la verificación de las estructuras que cumplen con la nueva disposición.
2. Planta General
3. Tabla de torres</t>
  </si>
  <si>
    <t>LÍNEA GG IN CH VE 57.5 kV</t>
  </si>
  <si>
    <t>Revisión de diseño cimentación del poste 3318</t>
  </si>
  <si>
    <t>GORGONZOLA INDUMIL CHARQUITO 57.5 kV</t>
  </si>
  <si>
    <t>Realizar el replanteo topográfico para  reubicar la torre TN3318 en la línea Gorgonzola  Indumil Charquito</t>
  </si>
  <si>
    <t>OT: 17-372</t>
  </si>
  <si>
    <t>Proyecto: Provisional LT 57.5 entrada SE Charquito (Actualización por movimiento P3318)</t>
  </si>
  <si>
    <t>Provisional LT 57.5 entrada SE Charquito (Actualización por movimiento P3318)</t>
  </si>
  <si>
    <t>TRANSFORMADOR R2 115/34.5kV</t>
  </si>
  <si>
    <t>TRANSFORMADOR R1 115/34.5kV</t>
  </si>
  <si>
    <t>TRANSFORMADOR D2 34.5/13.2kV</t>
  </si>
  <si>
    <t>TRANSFORMADOR D1 34.5/13.2kV</t>
  </si>
  <si>
    <t>BARRA 34.5kV</t>
  </si>
  <si>
    <t>BARRA 115kV</t>
  </si>
  <si>
    <t>LÍNEA GUATEQUE 115 kV</t>
  </si>
  <si>
    <t>Labor asimilada para la elaboración de planos As Built a partir del rojo verde suministrado por Codensa.
Cálculo de Burden y la corrección de la cargabilidad  del núcleo de medida para un juego CT´s (3 Unidades)</t>
  </si>
  <si>
    <t xml:space="preserve">Labor asimilada para la elaboración de planos As Built a partir del rojo verde suministrado por codensa.
Labor asimilada para la corrección de la cargabilidad  del núcleo de medida para un juego PT´s (3 Unidades).  </t>
  </si>
  <si>
    <t>Labor asimilada para la elaboración de planos As Built a partir del rojo verde suministrado por Codensa.
Cálculo de Burden y la corrección de la cargabilidad  del núcleo de medida para un juego CT´s (3 Unidades).</t>
  </si>
  <si>
    <t>Realizar el levantamiento topográfico general de la subestación.</t>
  </si>
  <si>
    <t>Levantamiento e ingeniería para normalización de la llegada de circuito 34.5kV, instalando módulo con reconectador en subestación de pórtico reducido.</t>
  </si>
  <si>
    <t>CIRCUITO LIBERIA 34.5 kV</t>
  </si>
  <si>
    <t>Levantamiento e ingeniería para el montaje de un nuevo módulo de circuito 34.5 kV.</t>
  </si>
  <si>
    <t>CIRCUITO FUTURO 34.5 kV</t>
  </si>
  <si>
    <t>OT: 17-377</t>
  </si>
  <si>
    <t>Elaboración de planos As Built a partir de los rojo verde suministrados por Codensa.</t>
  </si>
  <si>
    <r>
      <rPr>
        <b/>
        <sz val="11"/>
        <color rgb="FFFF0000"/>
        <rFont val="Calibri"/>
        <family val="2"/>
      </rPr>
      <t xml:space="preserve">M-22 </t>
    </r>
    <r>
      <rPr>
        <sz val="11"/>
        <color rgb="FF000000"/>
        <rFont val="Calibri"/>
        <family val="2"/>
      </rPr>
      <t>Ingenieria para el montaje y/o reemplazo de un tren de celdas Metal Clad 11,4 kV  - UNIDAD DE MEDIDA : Global por fila (Hasta 12 Celdas de Salida+Hasta 2 Celdas de Entrada+1 Celda de Medida+3 Celdas de Acople+1 Celda de Compensacion Capacitiva)</t>
    </r>
  </si>
  <si>
    <t>FILA D3 11.4 kV</t>
  </si>
  <si>
    <t>OT: 17-378</t>
  </si>
  <si>
    <t>Proyecto: CDIM_CBSGSM_R0118AT NORMALIZACIÓN REPOSICIÓN SE AUTOPISTA</t>
  </si>
  <si>
    <t xml:space="preserve"> CDIM_CBSGSM_R0118AT</t>
  </si>
  <si>
    <t>Levantamiento e ingeniería civil y mecánica para reemplazo del esquema del cargador de baterías.
Levantamiento eléctrico para reemplazo del esquema del cargador de baterías.
Nota: Los cargadores de baterias deben quedar con un espacio libre de 15cm desde su perímetro .</t>
  </si>
  <si>
    <t xml:space="preserve">Levantamiento e ingeniería civil y mecánica para el montaje de dos nuevos tableros de servicios auxiliares DC 125 VDC.
Factor de cobro Ing. Civil y mecánica= 0,3(Factor Levantamiento)+0,7(factor diseño) 
Factor de cobro Ing. Civil y mecánica= 0,3(1)+0,7(2) =1,7
Levantamiento eléctrico para el montaje de dos nuevos tableros de servicios auxiliares DC 125 VDC.
</t>
  </si>
  <si>
    <t xml:space="preserve">Levantamiento e ingeniería para el reemplazo de la transferencia automática en baja tensión. 
Nota: El tablero de transferencia tiene acceso por la parte frontal y posterior. </t>
  </si>
  <si>
    <t>Levantamiento e ingeniería civil y mecánica para reemplazo del tablero de servicios auxiliares AC 208 VAC.
Levantamiento eléctrico  para reemplazo del tablero de servicios auxiliares AC 208 VAC.</t>
  </si>
  <si>
    <t>OT: 17-379</t>
  </si>
  <si>
    <t>Proyecto: CDIM_CBSGSM_R0146 - NORMALIZACIÓN Y REPOSICIÓN EL SOL</t>
  </si>
  <si>
    <t>CDIM_CBSGSM_R0146</t>
  </si>
  <si>
    <t>D00240791000</t>
  </si>
  <si>
    <t>D00240791</t>
  </si>
  <si>
    <t>D00234957000</t>
  </si>
  <si>
    <t>D00234957</t>
  </si>
  <si>
    <t>Ingeniería eléctrica para el montaje de un tablero provisional de control y protecciones del Transformador D2 115/11.4kV.  La información requerida se toma de los levantamientos eléctricos  e ingeniería elaborada por AC Energy en la OT16-118. Se cobra 60%del diseño eléctrico.
FACTOR=0.3(levantamiento) + 0.7(diseño) = 0.3x(0.0) + 0.7(0.6) = 0.42</t>
  </si>
  <si>
    <r>
      <rPr>
        <b/>
        <sz val="11"/>
        <color rgb="FFFF0000"/>
        <rFont val="Calibri"/>
        <family val="2"/>
      </rPr>
      <t xml:space="preserve">L-24 </t>
    </r>
    <r>
      <rPr>
        <sz val="11"/>
        <color rgb="FF000000"/>
        <rFont val="Calibri"/>
        <family val="2"/>
      </rPr>
      <t>Ingeniería de nuevo tablero de control y protección para 115 kV para cualquier módulo en configuración barra sencilla - UNIDAD DE MEDIDA: C/U</t>
    </r>
  </si>
  <si>
    <t>Ingeniería eléctrica para realizar las interfaces de la nueva celda de la Fila D3 11.4kV con los tableros existentes de control y protecciones del Transformador D3 115/11.4kV.  La información requerida se toma de la ingeniería elaborada por AC Energy en la OT17-009 y los levantamientos eléctricos realizados en la OT16-118.</t>
  </si>
  <si>
    <t>Ingeniería eléctrica para realizar las interfaces de la nueva celda de la Fila D2 11.4kV con los tableros existentes de control y protecciones del Transformador D2 115/11.4kV.  La información requerida se toma de la ingeniería elaborada por AC Energy en la OT17-009  y los levantamientos eléctricos realizados en la OT16-118.</t>
  </si>
  <si>
    <t>Ingeniería eléctrica para realizar las interfaces de la nueva celda de la Fila D1 11.4kV con los tableros existentes de control y protecciones del Transformador D1 115/11.4kV. La información requerida se toma de la ingeniería elaborada por AC Energy en la OT17-009 y los levantamientos eléctricos realizados en la OT16-118.</t>
  </si>
  <si>
    <t>OT: 17-382</t>
  </si>
  <si>
    <t>Proyecto: CDIM_CBSGSM_R0169 REEMPLAZO DE CELDAS SE CASTELLANA</t>
  </si>
  <si>
    <t>CDIM_CBSGSM_R0169</t>
  </si>
  <si>
    <t xml:space="preserve">Ingeniería para montaje de una unidad de medida Elster A1800 </t>
  </si>
  <si>
    <t>Ingeniería civil, mecánica y eléctrica para la instalación de un juego de CT´s.</t>
  </si>
  <si>
    <t>Diseño  civil y/o mecánica de la canalización  desde el transformador de servicios auxiliares VAC hasta el tablero Mantis y desde tablero Mantis hasta el tablerode servicios auxiliares VAC.</t>
  </si>
  <si>
    <t>Diseño civil y/o mecánico de las canalizaciones desde los CT´s del módulo de Transformador hacia un nuevo  TCM.                                                                                                                                                                                                                                              
INGENIERÍA CIVIL  = (10HH(dibujo)+2HH(Revisión y Supervisión Coordinador))  =12HH(Civil)
INGENIERÍA MECÁNICA= (15HH(dibujo)+18HH(diseño)+3HH(Revisión y Supervisión Coordinador)) = 36HH(Mecánico)
INGENIERÍA CIVIL + INGENIERÍA MECÁNICA= 12HH(Civil) +  36HH(Mecánico) =48 HH</t>
  </si>
  <si>
    <t>Realizar el diseño y/o adecuación civiles requeridas para la instalación del TCM en la casa de control distribuido.
INGENIERÍA CIVIL = 0.3(factor levantamiento)+0.7(Factor diseño) =0.3(0)+0.7(1)=0.7</t>
  </si>
  <si>
    <t>Realizar la entrega de los planos mecánico del anclaje en pared  para el montaje de un nuevo tablero Mantis de una unidad de medida Elster A1800 en el transformador de Servicios auxiliares AC, teniendo en cuenta que se toma como base el diseño mecánico de la subestación Indumil  OT17-319. Se cobra el 12% del diseño mecánico por la entrega de los planos tipicos.                                                                                                                                                                                                                                                                        INGENIERÍA MECÁNICA =0.3x(Factor alcance levantamiento) + 0.7 x(Factor alcance diseño)=0.30x(0.00) + 0.70x(0.12)=0.084</t>
  </si>
  <si>
    <t>SERVICIOS AUXILIARES AC 208VAC</t>
  </si>
  <si>
    <t>Ingeniería eléctrica para el montaje de una unidad de medida en el transformador de Servicios Auxiliares AC.  Para el circuito de corriente se debe realizar el cableado en potencia desde el transformador de servicios auxiliares AC de la subestación pasar a través de los CT´s en el tablero Mantis y por ultimo incorporarse al tablero de servicios auxiliares SA01 208 VAC de la S/E.</t>
  </si>
  <si>
    <t>OT: 17-383</t>
  </si>
  <si>
    <t>TRANSFORMADOR 1 34.5/13.2 kV</t>
  </si>
  <si>
    <t>Ingeniería para el calculo del burden y corrección de cargabilidad del núcleo de medida de un juego de CT´s.</t>
  </si>
  <si>
    <t xml:space="preserve">Ingeniería civil, mecánica y eléctrica para la instalación de los transformadores de Tensión PT´s </t>
  </si>
  <si>
    <t>Realizar la entrega de los planos mecánico del anclaje en pared  para montaje de un nuevo tablero Mantis de una unidad de medida Elster A1800 en el transformador de Servicios auxiliares AC, teniendo en cuenta que se toma como base el diseño mecánico de la subestación Indumil  OT17-319. Se cobra el 12% del diseño mecánico por la entrega de los planos tipicos.                                                                                                                                                                                                                                                                        INGENIERÍA MECÁNICA =0.3x(Factor alcance levantamiento) + 0.7 x(Factor alcance diseño)=0.30x(0.00) + 0.70x(0.12)=0.084</t>
  </si>
  <si>
    <t>OT: 17-384</t>
  </si>
  <si>
    <t>Realizar la entrega de los planos mecánicos del anclaje en pared  para el montaje de un nuevo tablero Mantis de una unidad de medida Elster A1800 en el transformador de Servicios auxiliares AC, teniendo en cuenta que se toma como base el diseño mecánico de la subestación Indumil  OT17-319. Se cobra el 12% del diseño mecánico por la entrega de los planos tipicos.                                                                                                                                                                                                                                                                        INGENIERÍA MECÁNICA =0.3x(Factor alcance levantamiento) + 0.7 x(Factor alcance diseño)=0.30x(0.00) + 0.70x(0.12)=0.084</t>
  </si>
  <si>
    <t>OT: 17-385</t>
  </si>
  <si>
    <t>Diseño  civil y/o mecánico de la canalización  del tablero Mantis  al cárcamo de Potencia.</t>
  </si>
  <si>
    <t xml:space="preserve">Diseño civil y/o mecánico de las canalizaciones desde los CT´s del módulo de Transformador hacia un nuevo  TCM.                                                                                                                                                                                                                                              
INGENIERÍA MECÁNICA= (15HH(dibujo)+18HH(diseño)+3HH(Revisión y Supervisión Coordinador)) = 36HH(Mecánico)
</t>
  </si>
  <si>
    <t>OT: 17-386</t>
  </si>
  <si>
    <t>Realizar el diseño electrico para la normalización de la iluminación interna y tomas de la casa de control existente. FACTOR= Se cobra el 20% del valor del Baremo. 1(20% diseño)=0.2</t>
  </si>
  <si>
    <t xml:space="preserve">Labor asimilada para la ampliación de la casa de control. Con el montaje de un nuevo tren de celdas de la Fila D3 11.4kV, se contempla ampliar la casa de control aproximadamente 12 metros en dirección a la actual caseta de vigilancia. Se debe tener en cuenta para el diseño lo siguiente:
- El Box colver existente para circuitos de potencia 11.4kV
- Mantener el diseño arquitectónico actual de la subestación
- Evaluar la iluminación natural y mejorar en caso de ser necesario.
- Evaluar el sistema de sanitarios de la casa y mejorar en caso de ser necesario. 
-Diseño al detalle del ampalme con la casa de control existente.
-Iluminación e instalaciones eléctricas internas del area de la casa de control a ampliar.
</t>
  </si>
  <si>
    <t>Subtotal labores No. 67:</t>
  </si>
  <si>
    <t>Realizar validación y diseño del apantallamiento de la para la subestación, teniendo en cuenta el nuevo módulo de transformador D3 115/11.4kV y la ampliación de la casa de control.</t>
  </si>
  <si>
    <t>SL67ELM</t>
  </si>
  <si>
    <t>Ingeniería electromecánica (Levantamiento e ingeniería de detalle)</t>
  </si>
  <si>
    <r>
      <rPr>
        <b/>
        <sz val="11"/>
        <color rgb="FFFF0000"/>
        <rFont val="Calibri"/>
        <family val="2"/>
      </rPr>
      <t xml:space="preserve">L-67 </t>
    </r>
    <r>
      <rPr>
        <sz val="11"/>
        <color rgb="FF000000"/>
        <rFont val="Calibri"/>
        <family val="2"/>
      </rPr>
      <t>Estudio de sistema de apantallamiento para subestación - UNIDAD DE MEDIDA: Global</t>
    </r>
  </si>
  <si>
    <t>Levantamiento arquitectónico y detalle estructural de la casa de control de la S/E. 
Se debe tener en cuenta que se debe detallar la localización y dimensión de los elementos estructurales que la conforman. 
Levantamiento de sistema aguas lluvias de la casa de control y el punto de conexión al sistema de drenaje de la S/E.
El alcance de la labor contempla Informe y Planos con un factor del 70% de la labor
FACTOR= 1x(0.70)=0.70</t>
  </si>
  <si>
    <t>Levantamiento topografico de la subestación. 
FACTOR= 1(2000 m2) + 0.6(5% adicional sobre el valor del baremo por 6000 m2 restantes) = 1.60</t>
  </si>
  <si>
    <t>Realizar la medida de la resistencia y equipotencialidad para estudio, cálculo y optimización de la malla de puesta a tierra de la subestación.</t>
  </si>
  <si>
    <t>Realizar  ingeniería civil para el montaje de un (1) muro cortafuego entre el nuevo módulo de Transformador D3 115/11.4kV y el  módulo de Linea Balsillas 115kV y un (1) muro cortafuego entre el nuevo módulo de Transformador D3 115/11.4kV y el  módulo 34.5kV.</t>
  </si>
  <si>
    <t>Realizar el levantamiento mecánico del módulo de transformador 34.5kV teniendo en cuenta la instalación de un módulo de Transformador D3 115/11.4kV. Se requiere mostrar en detalle la estructura metálica de los pórticos existentes y los equipos que contienen el módulo.</t>
  </si>
  <si>
    <t>Levantamiento e ingeniería civil, mecánico y eléctrico para el montaje de un nuevo tren de celdas para la fila D3 11.4kV. Se requiere una celda de remonte para que las filas D1, D2 Y la nueva Fila D3 queden con el esquema  tipo Fila y media.</t>
  </si>
  <si>
    <t>FILA D3 11.4kV</t>
  </si>
  <si>
    <t>Realizar levantamiento e ingeniería civil, mecánica y eléctrica para el montaje de un nuevo transformador D3 115/11.4kV. Se requiere nuevo cárcamo de control y potencia desde patio de conexiones hasta la casa de control.</t>
  </si>
  <si>
    <r>
      <rPr>
        <b/>
        <sz val="11"/>
        <color rgb="FFFF0000"/>
        <rFont val="Calibri"/>
        <family val="2"/>
      </rPr>
      <t xml:space="preserve">M-10 </t>
    </r>
    <r>
      <rPr>
        <sz val="11"/>
        <color rgb="FF000000"/>
        <rFont val="Calibri"/>
        <family val="2"/>
      </rPr>
      <t>Ingenieria para el montaje de un nuevo transformador de potencia trifasico con tensiones AT (230/115/57,5 kV) y tensiones MT (34,5/13,8/11,4 kV) - UNIDAD DE MEDIDA : C/U</t>
    </r>
  </si>
  <si>
    <t>TRANSFORMADOR D3 115/11.4kV</t>
  </si>
  <si>
    <t>Realizar levantamiento e ingeniería civil, mecánica y eléctrica para el montaje de un nuevo módulo de transformador D3 115/11.4kV. Se requiere nuevo cárcamo de control y potencia desde patio de conexiones hasta la casa de control.</t>
  </si>
  <si>
    <r>
      <rPr>
        <b/>
        <sz val="11"/>
        <color rgb="FFFF0000"/>
        <rFont val="Calibri"/>
        <family val="2"/>
      </rPr>
      <t xml:space="preserve">M-1 </t>
    </r>
    <r>
      <rPr>
        <sz val="11"/>
        <color rgb="FF000000"/>
        <rFont val="Calibri"/>
        <family val="2"/>
      </rPr>
      <t>Ingenieria para el montaje de un nuevo modulo de transformador a nivel de tension  230 kV o 115 kV - Configuracion Barra Sencilla  - UNIDAD DE MEDIDA : C/U</t>
    </r>
  </si>
  <si>
    <t>OT: 17-387</t>
  </si>
  <si>
    <t>Proyecto: AMPLIACIÓN CAPACIDAD AT-MT MOSQUERA</t>
  </si>
  <si>
    <t>AMPLIACIÓN CAPACIDAD AT-MT MOSQUERA</t>
  </si>
  <si>
    <t>TRANSFORMADOR R2 115/34,5 KV</t>
  </si>
  <si>
    <t>LÍNEA TERMOZIPA 115 kV</t>
  </si>
  <si>
    <t>D00242975000</t>
  </si>
  <si>
    <t>Realizar el diseño eléctrico para la normalización  de tomas e iluminación internas de la casa de control, se diseña instalación sobrepuesta con tubería EMT según la normatividad actual vigente. FACTOR= Se cobra el 20% del valor del Baremo. 1x(20% diseño)=0.2</t>
  </si>
  <si>
    <t>OT: 17-390</t>
  </si>
  <si>
    <t>Proyecto: Adecuación sismo resistente Casa control SE Fontibón</t>
  </si>
  <si>
    <t>Adecuación sismo resistente Casa control SE Fontibón</t>
  </si>
  <si>
    <t>LA GUACA</t>
  </si>
  <si>
    <t>SAN CARLOS</t>
  </si>
  <si>
    <t>MOSQUERA</t>
  </si>
  <si>
    <t>17-370</t>
  </si>
  <si>
    <t>LLTT GUAVIO - UBALA</t>
  </si>
  <si>
    <t>17-371</t>
  </si>
  <si>
    <t>17-378</t>
  </si>
  <si>
    <t>AUTOPISTA</t>
  </si>
  <si>
    <t>17-379</t>
  </si>
  <si>
    <t>BOSA</t>
  </si>
  <si>
    <t>CASTELLANA</t>
  </si>
  <si>
    <t>17-383</t>
  </si>
  <si>
    <t>BALMORAL</t>
  </si>
  <si>
    <t>17-387</t>
  </si>
  <si>
    <t>$ 4.533.816 Diferencia de la M10 de Chía que no se cobró</t>
  </si>
  <si>
    <r>
      <rPr>
        <b/>
        <sz val="10"/>
        <color indexed="8"/>
        <rFont val="Arial"/>
        <family val="2"/>
      </rPr>
      <t>2. Valor total según anexos adjuntos</t>
    </r>
    <r>
      <rPr>
        <sz val="10"/>
        <color indexed="8"/>
        <rFont val="Arial"/>
        <family val="2"/>
      </rPr>
      <t>: El valor final del acta se describe a continuación:</t>
    </r>
  </si>
  <si>
    <t>CDIM_CAOLIG_R0078 - RES. CREG 038-14 CÓDIGO DE MEDIDA, Ingeniería para el montaje de un juego de Pt´ en los módulos de 230 KV , AT1, AT2, AT3, AT4, R2 para dar cumplimiento a la CREG 038 de 2014 en la Subestación BALSILLAS 230 KV</t>
  </si>
  <si>
    <t>Proyecto: CDIM_CAOLIG_R0078 - RES. CREG 038-14 CÓDIGO DE MEDIDA, Ingeniería para el montaje de un juego de Pt´ en los módulos de 230 KV , AT1, AT2, AT3, AT4, R2 para dar cumplimiento a la CREG 038 de 2014 en la Subestación BALSILLAS 230 KV</t>
  </si>
  <si>
    <t>OT: 17-178</t>
  </si>
  <si>
    <r>
      <rPr>
        <b/>
        <sz val="11"/>
        <color indexed="10"/>
        <rFont val="Calibri"/>
        <family val="2"/>
      </rPr>
      <t xml:space="preserve">L-7 </t>
    </r>
    <r>
      <rPr>
        <sz val="11"/>
        <color indexed="8"/>
        <rFont val="Calibri"/>
        <family val="2"/>
      </rPr>
      <t>Ingeniería para el reemplazo y/o instalación de transformadores de corriente 500 kV, 230 kV, 115 kV y 57,5 kV - UNIDAD DE MEDIDA: Grupo x 3</t>
    </r>
  </si>
  <si>
    <t>Ingeniería para traslado de los protecciones del transformador de Corriente TC051 al TC081.</t>
  </si>
  <si>
    <r>
      <rPr>
        <b/>
        <sz val="11"/>
        <color indexed="10"/>
        <rFont val="Calibri"/>
        <family val="2"/>
      </rPr>
      <t xml:space="preserve">L-9 </t>
    </r>
    <r>
      <rPr>
        <sz val="11"/>
        <color indexed="8"/>
        <rFont val="Calibri"/>
        <family val="2"/>
      </rPr>
      <t>Ingeniería para el reemplazo de transformadores de tensión (Grupo de 3) de 500, 230, 115 o 57,5kV - UNIDAD DE MEDIDA: Grupo x 3</t>
    </r>
  </si>
  <si>
    <t>Ingeniería para el montaje de un juego de Pt´s en el módulo entre Ct´s y transformador.</t>
  </si>
  <si>
    <t>Ingeniería para traslado de los protecciones del transformador de Corriente TC061 al TC091.</t>
  </si>
  <si>
    <t>Ingeniería para el montaje de un juego de Pt´s en el módulo de transformador lado 230 kV entre Interruptor y Ct´s.</t>
  </si>
  <si>
    <t>Ingeniería para el montaje de un juego de Pt´s en el módulo de transformador lado 230 kV.</t>
  </si>
  <si>
    <r>
      <rPr>
        <b/>
        <sz val="11"/>
        <color indexed="10"/>
        <rFont val="Calibri"/>
        <family val="2"/>
      </rPr>
      <t xml:space="preserve">L-13 </t>
    </r>
    <r>
      <rPr>
        <sz val="11"/>
        <color indexed="8"/>
        <rFont val="Calibri"/>
        <family val="2"/>
      </rPr>
      <t>Ingeniería para el reemplazo de descargadores de sobretensión para 500 kV, 230 kV,115 kV, 57,5 kV. - UNIDAD DE MEDIDA: Grupo x 3</t>
    </r>
  </si>
  <si>
    <t>Ingeniería para el reemplazo de los descargadores de sobretensión del módulo lado 230 kV.</t>
  </si>
  <si>
    <t xml:space="preserve">valor ejecutado Acta No. 4 Noviembre </t>
  </si>
  <si>
    <t xml:space="preserve">Acta N° 4: Noviembre </t>
  </si>
  <si>
    <r>
      <rPr>
        <b/>
        <sz val="10"/>
        <color indexed="8"/>
        <rFont val="Arial"/>
        <family val="2"/>
      </rPr>
      <t>1. Alcance:</t>
    </r>
    <r>
      <rPr>
        <sz val="10"/>
        <color indexed="8"/>
        <rFont val="Arial"/>
        <family val="2"/>
      </rPr>
      <t xml:space="preserve"> Esta acta corresponde al avance de la orden de trabajo, de acuerdo con el detalle mostrado en el anexo Acta de avance de obra para el mes de </t>
    </r>
    <r>
      <rPr>
        <b/>
        <sz val="10"/>
        <color indexed="8"/>
        <rFont val="Arial"/>
        <family val="2"/>
      </rPr>
      <t>Noviembre de</t>
    </r>
    <r>
      <rPr>
        <sz val="10"/>
        <color indexed="8"/>
        <rFont val="Arial"/>
        <family val="2"/>
      </rPr>
      <t xml:space="preserve"> </t>
    </r>
    <r>
      <rPr>
        <b/>
        <sz val="10"/>
        <color indexed="8"/>
        <rFont val="Arial"/>
        <family val="2"/>
      </rPr>
      <t>2017.</t>
    </r>
  </si>
  <si>
    <r>
      <rPr>
        <b/>
        <sz val="11"/>
        <color rgb="FFFF0000"/>
        <rFont val="Calibri"/>
        <family val="2"/>
      </rPr>
      <t xml:space="preserve">M-9 </t>
    </r>
    <r>
      <rPr>
        <sz val="11"/>
        <color rgb="FF000000"/>
        <rFont val="Calibri"/>
        <family val="2"/>
      </rPr>
      <t>Ingenieria para la ampliacion del  barraje y portico en 500 kV, 230 kV o 115 kV  - UNIDAD DE MEDIDA : Global (cubre hasta dos modulos consecutivos)</t>
    </r>
  </si>
  <si>
    <r>
      <rPr>
        <b/>
        <sz val="11"/>
        <color rgb="FFFF0000"/>
        <rFont val="Calibri"/>
        <family val="2"/>
      </rPr>
      <t xml:space="preserve">M-21 </t>
    </r>
    <r>
      <rPr>
        <sz val="11"/>
        <color rgb="FF000000"/>
        <rFont val="Calibri"/>
        <family val="2"/>
      </rPr>
      <t>Ingenieria para el montaje y/o reemplazo de un tren de celdas Metal Clad 34,5 kV , tipo interior o exterior. - UNIDAD DE MEDIDA : Global por fila (Hasta 6 Celdas de Salida+Hasta 2 Celdas de Entrada+1 Celda de Medida+1 Celda de Acople+1 Celda de Compe</t>
    </r>
  </si>
  <si>
    <r>
      <rPr>
        <b/>
        <sz val="11"/>
        <color rgb="FFFF0000"/>
        <rFont val="Calibri"/>
        <family val="2"/>
      </rPr>
      <t xml:space="preserve">L-70 </t>
    </r>
    <r>
      <rPr>
        <sz val="11"/>
        <color rgb="FF000000"/>
        <rFont val="Calibri"/>
        <family val="2"/>
      </rPr>
      <t>Ingeniería para construcción de casa de control y protección en patio (de área hasta 100 m2) - UNIDAD DE MEDIDA: Global</t>
    </r>
  </si>
  <si>
    <r>
      <rPr>
        <b/>
        <sz val="11"/>
        <color rgb="FFFF0000"/>
        <rFont val="Calibri"/>
        <family val="2"/>
      </rPr>
      <t xml:space="preserve">L-7 </t>
    </r>
    <r>
      <rPr>
        <sz val="11"/>
        <color rgb="FF000000"/>
        <rFont val="Calibri"/>
        <family val="2"/>
      </rPr>
      <t>Ingeniería para el reemplazo y/o instalación de transformadores de corriente 500 kV, 230 kV, 115 kV y 57,5 kV - UNIDAD DE MEDIDA: Grupo x 3</t>
    </r>
  </si>
  <si>
    <r>
      <rPr>
        <b/>
        <sz val="11"/>
        <color rgb="FFFF0000"/>
        <rFont val="Calibri"/>
        <family val="2"/>
      </rPr>
      <t xml:space="preserve">L-9 </t>
    </r>
    <r>
      <rPr>
        <sz val="11"/>
        <color rgb="FF000000"/>
        <rFont val="Calibri"/>
        <family val="2"/>
      </rPr>
      <t>Ingeniería para el reemplazo de transformadores de tensión (Grupo de 3) de 500, 230, 115 o 57,5kV - UNIDAD DE MEDIDA: Grupo x 3</t>
    </r>
  </si>
  <si>
    <t>Elaboración de planos As Built a partir del rojo verde suministrado por Codensa</t>
  </si>
  <si>
    <r>
      <rPr>
        <b/>
        <sz val="11"/>
        <color rgb="FFFF0000"/>
        <rFont val="Calibri"/>
        <family val="2"/>
      </rPr>
      <t xml:space="preserve">L-11 </t>
    </r>
    <r>
      <rPr>
        <sz val="11"/>
        <color rgb="FF000000"/>
        <rFont val="Calibri"/>
        <family val="2"/>
      </rPr>
      <t>Ingeniería para el reemplazo/instalación de Seccionador tripolar con o sin cuchilla de puesta a tierra manual o motorizado de 500 kV, 230kV, 115 kV, 57.5 kV - UNIDAD DE MEDIDA: C/U</t>
    </r>
  </si>
  <si>
    <t>Elaboración de planos As built a partir del rojo verde suministrado por Codensa.</t>
  </si>
  <si>
    <r>
      <rPr>
        <b/>
        <sz val="11"/>
        <color rgb="FFFF0000"/>
        <rFont val="Calibri"/>
        <family val="2"/>
      </rPr>
      <t xml:space="preserve">L-36 </t>
    </r>
    <r>
      <rPr>
        <sz val="11"/>
        <color rgb="FF000000"/>
        <rFont val="Calibri"/>
        <family val="2"/>
      </rPr>
      <t>Ingeniería para el reemplazo/instalación de una Unidad de Medida (UDM), equipo registrador de calidad de potencia o medidor de energía - UNIDAD DE MEDIDA: Grupo x 2 (equipos del mismo módulo)</t>
    </r>
  </si>
  <si>
    <r>
      <rPr>
        <b/>
        <sz val="11"/>
        <color rgb="FFFF0000"/>
        <rFont val="Calibri"/>
        <family val="2"/>
      </rPr>
      <t xml:space="preserve">L-40 </t>
    </r>
    <r>
      <rPr>
        <sz val="11"/>
        <color rgb="FF000000"/>
        <rFont val="Calibri"/>
        <family val="2"/>
      </rPr>
      <t>Ingeniería para el cambio/instalación de tablero de regulación de tensión del transformador (incluye el rele 90) - UNIDAD DE MEDIDA: C/U</t>
    </r>
  </si>
  <si>
    <t>OT: 17-198</t>
  </si>
  <si>
    <t>Proyecto: CDIM_CBSGSM_R0146, NORMALIZ Y REPOS SE EL SOL, Elaboración de Planos de Control y Planos As Built Proyecto Ampliación Capacidad AT/MT, CS – SQ.</t>
  </si>
  <si>
    <t>valor ejecutado Acta No. 2 Noviembre (El acta No. 1 pertenece a los As Built S/E Calle 67)</t>
  </si>
  <si>
    <t>CDIM_CBSGSM_R0146, NORMALIZ Y REPOS SE EL SOL, Elaboración de Planos de Control y Planos As Built Proyecto Ampliación Capacidad AT/MT, CS – SQ.</t>
  </si>
  <si>
    <t>Proyecto: Elaborar los diseños de dos cimentaciones especiales para postes, en la LT San José - Concordia - Veraguas a 115kV.</t>
  </si>
  <si>
    <t>Elaborar los diseños de dos cimentaciones especiales para postes, en la LT San José - Concordia - Veraguas a 115kV.</t>
  </si>
  <si>
    <t xml:space="preserve">valor ejecutado Acta No. 2 Octubre </t>
  </si>
  <si>
    <t>valor ejecutado Acta No. 1 octubre</t>
  </si>
  <si>
    <t xml:space="preserve"> D00235068000</t>
  </si>
  <si>
    <t>SESQUILÉ</t>
  </si>
  <si>
    <t>FONTIBÓN</t>
  </si>
  <si>
    <t xml:space="preserve">valor ejecutado Acta No. 1 Noviembre </t>
  </si>
  <si>
    <t>Ing.Jhon Casanova</t>
  </si>
  <si>
    <t>Luis Cadena</t>
  </si>
  <si>
    <t>valor ejecutado Acta No. 3 Diciembre</t>
  </si>
  <si>
    <t>No se realiza</t>
  </si>
  <si>
    <t xml:space="preserve">valor ejecutado Acta No. 2 Noviembre </t>
  </si>
  <si>
    <t>valor ejecutado Acta No. 3 Diciembre (El acta No. 1 pertenece a los As Built S/E Calle 67)</t>
  </si>
  <si>
    <t xml:space="preserve">valor ejecutado Acta No. 4 Diciembre </t>
  </si>
  <si>
    <t>valor ejecutado Acta No. 2 Diciembre</t>
  </si>
  <si>
    <t xml:space="preserve">valor ejecutado Acta No. 2 Diciembre </t>
  </si>
  <si>
    <t>valor ejecutado Acta No. 1 Diciembre</t>
  </si>
  <si>
    <t>valor ejecutado Acta No. 5 Diciembre</t>
  </si>
  <si>
    <r>
      <rPr>
        <b/>
        <sz val="11"/>
        <color rgb="FFFF0000"/>
        <rFont val="Calibri"/>
        <family val="2"/>
      </rPr>
      <t>M-22</t>
    </r>
    <r>
      <rPr>
        <sz val="11"/>
        <color rgb="FF000000"/>
        <rFont val="Calibri"/>
        <family val="2"/>
      </rPr>
      <t xml:space="preserve"> Ingeniería para el montaje y/o reemplazo de un tren de celdas Metal Clad 11,4 kV  - UNIDAD DE MEDIDA : Global por fila (Hasta 12 Celdas de Salida+Hasta 2 Celdas de Entrada+1 Celda de Medida+3 Celdas de Acople+1 Celda de Compensación Capacitiva)</t>
    </r>
  </si>
  <si>
    <t>valor ejecutado Acta No. 4 Diciembre</t>
  </si>
  <si>
    <t xml:space="preserve">valor ejecutado Acta No. 1 Diciembre </t>
  </si>
  <si>
    <t>valor ejecutado Acta No. 6 Diciembre</t>
  </si>
  <si>
    <t>Ing. Óscar González /César Fernández</t>
  </si>
  <si>
    <t>FACATATIVÁ</t>
  </si>
  <si>
    <t>AUTOTRANSFORMADOR R1 230/34,5 kV</t>
  </si>
  <si>
    <r>
      <rPr>
        <b/>
        <sz val="11"/>
        <color rgb="FFFF0000"/>
        <rFont val="Calibri"/>
        <family val="2"/>
      </rPr>
      <t xml:space="preserve">M-2 </t>
    </r>
    <r>
      <rPr>
        <sz val="11"/>
        <color rgb="FF000000"/>
        <rFont val="Calibri"/>
        <family val="2"/>
      </rPr>
      <t>Ingenieria para el montaje de un nuevo modulo de transformador 230 o 115 kV - Configuracion Barra Doble o Barra principal +transferencia. - UNIDAD DE MEDIDA : C/U</t>
    </r>
  </si>
  <si>
    <t>SM02CIV</t>
  </si>
  <si>
    <t>Realizar el Levantamiento mecánico del módulo de AUTOTRANSFORMADOR R1 230/34,5 kV Lado 230kV.   Validar las distancias de seguridad, electricas del mismo modulo respecto a la ingenieria entregada en la OT17-051. 
Factor= 0.3(levantamiento) + 0.7(diseño) = 0.3x(1) +0.7x(0.0) =0.3</t>
  </si>
  <si>
    <t>SM02MEC</t>
  </si>
  <si>
    <t>SM02ELE</t>
  </si>
  <si>
    <t>Total:</t>
  </si>
  <si>
    <t>OT: 17-391</t>
  </si>
  <si>
    <t xml:space="preserve">Periodo facturación: </t>
  </si>
  <si>
    <t xml:space="preserve">Acta N° 1: </t>
  </si>
  <si>
    <t xml:space="preserve">valor ejecutado Acta No. 1 </t>
  </si>
  <si>
    <t>Proyecto: CDIM_CAOLIG_R0078 - RES. CREG 038-14 CÓDIGO DE MEDIDA.</t>
  </si>
  <si>
    <t>OT: 17-393</t>
  </si>
  <si>
    <t>Diseño civil de la cimentación , para instalación del transformador R1, marca Siemens de 30 MVA.</t>
  </si>
  <si>
    <t>Realizar el levantamiento e ingeniería civil, mecánico y eléctrico para el desplazamiento provisional del Transformador de Potencia R1 115/34,5kV.</t>
  </si>
  <si>
    <t>OT: 17-394</t>
  </si>
  <si>
    <t xml:space="preserve">Realizar la implementación para el reemplazo del Banco de Autotransformación II 500/115kV. Se considera 40% civil y mecánico de la unidad del baremo por Fase  y un 20% eléctrico de la unidad del baremo por Fase
 FACTOR CIVIL Y MECÁNICA = ((0.3)(LEVANTAMIENTO)+(0.7)(DISEÑO))x Número de Fases = ((0.3x(1)) + (0.7x(0.40)))x3= (0.3 + 0.28)x3= 0.58x3 = 1.74  
FACTOR ELÉCTRICO = ((0.3)(LEVANTAMIENTO)+(0.7)(DISEÑO))x Número de Fases = ((0.3x(0)) + (0.7x(0.20)))x3= (0 + 0.14)x3= 0.14x3 = 0.42                                                                                           </t>
  </si>
  <si>
    <t>Labor asimilada para la actualización del manual de operación de la subestación por el proyecto de ampliación del Banco Autotransformador II. La cantidad 30hh corresponde por incluir Diagramas de Principio y diagramas de lógica de la subestación.</t>
  </si>
  <si>
    <t>OT: 17-395</t>
  </si>
  <si>
    <t>LINEA BOSA 115kV  (Futura Línea Nueva Esperanza 115kV)</t>
  </si>
  <si>
    <t>Realizar levantamiento mecánico y eléctrico para el reemplazo del tablero de control y protecciones por un tablero tipo Rack en la nueva caseta de control y protecciones de la subestación. Se debe validar la ruta de cables y las distancias entre el patio de conexiones y la casa de control nueva y antigua.</t>
  </si>
  <si>
    <t>Proyecto:CDIM_CADCSR_R0108 LEVANTAMIENTO ELÉCTRICO Y MECÁNICO LÍNEA BOSA 115KV</t>
  </si>
  <si>
    <t>OT: 17-396</t>
  </si>
  <si>
    <t>Realizar la adecuación de la Ingeniería civil, mecánica y eléctrica de la OT17-046 elaborada por AC Energy para la construcción de un nuevo módulo de Línea 115 kV. Se cobra un 20% de la ingeniería por 
 la normalización de la línea  Caqueza 115kV con un nuevo interruptor de Potencia 115kV marca SIEMENS. 
FACTOR= 0.3(levantamiento) + 0.7(diseño) = 0.3(0.0) + 0.7(0.2) = 0.14</t>
  </si>
  <si>
    <t>SAN CARLOS I 115 kV</t>
  </si>
  <si>
    <t>Realizar la adecuación de la Ingeniería civil, mecánica y eléctrica de la OT17-046 elaborada por AC Energy para la construcción de un módulo de Línea 115 kV. Se cobra un 20% de la ingeniería por la normalización de la línea  San Carlos I 115kV con el actual interruptor de Potencia de la Línea Caqueza 115kV. 
FACTOR= 0.3(levantamiento) + 0.7(diseño) = 0.3(0.0) + 0.7(0.2) = 0.14</t>
  </si>
  <si>
    <t>Ingeniería para el diseño de canalizaciones civil de servicios auxiliares desde el futuro cuarto de servicios auxiliares hasta los nuevos tableros tipo Rack de control y protección dentro de la casa de celdas. El cárcamo debe ir paralelo al cárcamo de control y protecciones existente. FACTOR= (8 Horas Diseño + 8 Horas Dibujo).</t>
  </si>
  <si>
    <t>Proyecto:CDIM_CBSGSM_R0161 Normalización y  Reposición SE VICTORIA.</t>
  </si>
  <si>
    <t>OT: 17-397</t>
  </si>
  <si>
    <t xml:space="preserve">Labor asimilada para la elaboración de planos As Built a partir del rojo verde suministrado por Codensa. Ingeniería para el reemplazo del esquema del cargador de baterías. </t>
  </si>
  <si>
    <t>Labor asimilada para la elaboración de planos As Built a partir del rojo verde suministrado por Codensa. Ingeniería eléctrica para independización de polaridades en los módulos según criterios Codensa NO-047.</t>
  </si>
  <si>
    <t>Labor asimilada para la elaboración de planos As Built a partir del rojo verde suministrado por Codensa. Realizar la ingeniería para la normalización del cuarto de baterías.</t>
  </si>
  <si>
    <t>Proyecto: CDIM_CBSGSM_R0159 NORMALIZACIÓN SERVICIOS ESENCIALES SSEE.</t>
  </si>
  <si>
    <t>OT: 17-398</t>
  </si>
  <si>
    <t>Labor asimilada para la elaboración de planos As Built a partir del rojo verde suministrado por codensa.
Reemplazo del tablero de servicios auxiliares AC</t>
  </si>
  <si>
    <t>Labor asimilada para la elaboración de planos As Built a partir del rojo verde suministrado por codensa.
Instalación de una transferencia BT 208 VAC.</t>
  </si>
  <si>
    <t>Labor asimilada para la elaboración de planos As Built a partir del rojo verde suministrado por codensa.
Reemplazo del tablero de servicios auxiliares DC</t>
  </si>
  <si>
    <t>Labor asimilada para la elaboración de planos As Built a partir del rojo verde suministrado por codensa.
Instalación Esquema cargador de baterías.</t>
  </si>
  <si>
    <t>OT: 17-399</t>
  </si>
  <si>
    <t>Labor asimilada para la elaboración de planos As Built a partir del rojo verde suministrado por codensa.
Instalación de dos nuevos cargadores de baterías en reemplazo del existente.</t>
  </si>
  <si>
    <t>AUXILIARES DC 125VCC</t>
  </si>
  <si>
    <t>Labor asimilada para la elaboración de planos As Built a partir del rojo verde suministrado por codensa.
Normalización del tablero de servicios auxiliares AC 208VAC</t>
  </si>
  <si>
    <t>Labor asimilada para la elaboración de planos As Built a partir del rojo verde suministrado por codensa.
Normalización del tablero de servicios auxiliares DC 125VDC</t>
  </si>
  <si>
    <t>D00235088</t>
  </si>
  <si>
    <t>D00235088000</t>
  </si>
  <si>
    <t>Labor asimilada para la elaboración de planos As Built a partir del rojo verde suministrado por codensa.
Instalación de un nuevo transformador de servicios auxiliares 11.4/0.208 kV y normalización del existente</t>
  </si>
  <si>
    <t>Labor asimilada para la elaboración de planos As Built a partir del rojo verde suministrado por codensa.
Instalación de dos nuevos cargadores de baterías en reemplazo del existente</t>
  </si>
  <si>
    <t>Labor asimilada para la elaboración de planos As Built a partir del rojo verde suministrado por codensa.
Normalización cuarto de baterías.</t>
  </si>
  <si>
    <t xml:space="preserve">Labor asimilada para la elaboración de planos As Built a partir del rojo verde suministrado por codensa.
Normalización y Coordinación de protecciones de corriente continua. </t>
  </si>
  <si>
    <t xml:space="preserve">SUBESTACIÓN 115/11.4 kV </t>
  </si>
  <si>
    <t>Labor asimilada para la elaboración de planos As Built a partir del rojo verde suministrado por codensa.
Diseño de nueva cimentación en el patio de conexiones para la instalación de un nuevo tablero de medidores TCM.</t>
  </si>
  <si>
    <t>OT: 17-400</t>
  </si>
  <si>
    <t>OT: 17-401</t>
  </si>
  <si>
    <r>
      <t xml:space="preserve">Realizar ingeniería civil, mecánica y eléctrica para el reemplazo del interruptor de Potencia ASEA. 
</t>
    </r>
    <r>
      <rPr>
        <b/>
        <sz val="11"/>
        <color rgb="FF000000"/>
        <rFont val="Calibri"/>
        <family val="2"/>
      </rPr>
      <t xml:space="preserve">Nota: </t>
    </r>
    <r>
      <rPr>
        <sz val="11"/>
        <color rgb="FF000000"/>
        <rFont val="Calibri"/>
        <family val="2"/>
      </rPr>
      <t>Los levantamientos se realizaron con la OT 17-327</t>
    </r>
  </si>
  <si>
    <r>
      <t xml:space="preserve">Realizar la ingneiería eléctrica y mecánica para la normalización del tablero de control y protecciones.
</t>
    </r>
    <r>
      <rPr>
        <b/>
        <sz val="11"/>
        <color rgb="FF000000"/>
        <rFont val="Calibri"/>
        <family val="2"/>
      </rPr>
      <t xml:space="preserve"> Nota: </t>
    </r>
    <r>
      <rPr>
        <sz val="11"/>
        <color rgb="FF000000"/>
        <rFont val="Calibri"/>
        <family val="2"/>
      </rPr>
      <t>Los levantamientos se realizaron con la OT 17-327 por Ac Energy.</t>
    </r>
  </si>
  <si>
    <t xml:space="preserve">Proyecto:CDIE_CBCCSM_R0178 REPOSICIÓN INTERRUPTORES.
</t>
  </si>
  <si>
    <r>
      <t xml:space="preserve">Realizar ingeniería civil, mecánica y eléctrica para el reemplazo del interruptor de Potencia ASEA.
</t>
    </r>
    <r>
      <rPr>
        <b/>
        <sz val="11"/>
        <color rgb="FF000000"/>
        <rFont val="Calibri"/>
        <family val="2"/>
      </rPr>
      <t xml:space="preserve">Nota: </t>
    </r>
    <r>
      <rPr>
        <sz val="11"/>
        <color rgb="FF000000"/>
        <rFont val="Calibri"/>
        <family val="2"/>
      </rPr>
      <t xml:space="preserve">Se debe tener en cuenta la información de levantamientos realizados en la OT 17-263.
</t>
    </r>
  </si>
  <si>
    <t>Realizar la ingeniería mecánica y eléctrica para la normalización de los tableros de control y protecciones del módulo.
Nota: Se debe tener en cuenta la información de levantamientos realizados en la OT 17-263.</t>
  </si>
  <si>
    <t>OT: 17-402</t>
  </si>
  <si>
    <r>
      <t xml:space="preserve">Realizar ingeniería mecánica y eléctrica para el reemplazo del interruptor de Potencia ASEA. 
</t>
    </r>
    <r>
      <rPr>
        <b/>
        <sz val="11"/>
        <color rgb="FF000000"/>
        <rFont val="Calibri"/>
        <family val="2"/>
      </rPr>
      <t>Nota:</t>
    </r>
    <r>
      <rPr>
        <sz val="11"/>
        <color rgb="FF000000"/>
        <rFont val="Calibri"/>
        <family val="2"/>
      </rPr>
      <t xml:space="preserve"> 
Los levantamientos se realizaron con la OT 17-312 por Ac Energy S.A.S
Los diseños civiles se realizaron con la OT 17-347 por Ac Energy S.A.S.</t>
    </r>
  </si>
  <si>
    <r>
      <t xml:space="preserve">Realizar el diseño mecánico y  eléctrico  para la normalización del tablero de control y protecciones.
</t>
    </r>
    <r>
      <rPr>
        <b/>
        <sz val="11"/>
        <color rgb="FF000000"/>
        <rFont val="Calibri"/>
        <family val="2"/>
      </rPr>
      <t xml:space="preserve">Nota: </t>
    </r>
    <r>
      <rPr>
        <sz val="11"/>
        <color rgb="FF000000"/>
        <rFont val="Calibri"/>
        <family val="2"/>
      </rPr>
      <t xml:space="preserve">
Los levantamientos se realizaron con la OT 17-312.</t>
    </r>
  </si>
  <si>
    <r>
      <t xml:space="preserve">Realizar ingeniería civil, mecánica y eléctrica para el reemplazo del interruptor de Potencia ASEA.
</t>
    </r>
    <r>
      <rPr>
        <b/>
        <sz val="11"/>
        <color rgb="FF000000"/>
        <rFont val="Calibri"/>
        <family val="2"/>
      </rPr>
      <t xml:space="preserve">Nota: </t>
    </r>
    <r>
      <rPr>
        <sz val="11"/>
        <color rgb="FF000000"/>
        <rFont val="Calibri"/>
        <family val="2"/>
      </rPr>
      <t>Los levantamientos se realizaron con la OT 17-369 por Ac Energy.</t>
    </r>
  </si>
  <si>
    <r>
      <t xml:space="preserve">Realizar la ingeniería eléctrica y mecánica para la normalización del tablero de control y protecciones.
</t>
    </r>
    <r>
      <rPr>
        <b/>
        <sz val="11"/>
        <color rgb="FF000000"/>
        <rFont val="Calibri"/>
        <family val="2"/>
      </rPr>
      <t xml:space="preserve">Nota: </t>
    </r>
    <r>
      <rPr>
        <sz val="11"/>
        <color rgb="FF000000"/>
        <rFont val="Calibri"/>
        <family val="2"/>
      </rPr>
      <t>Los levantamientos se realizaron con la OT 17-369 por Ac Energy.</t>
    </r>
  </si>
  <si>
    <t>Realizar la ingeniería eléctrica y mecánica para la normalización del tablero de control y protecciones.</t>
  </si>
  <si>
    <t>SL22ELERealizar la ingeniería eléctrica y mecánica para la normalización del tablero de control y protecciones.</t>
  </si>
  <si>
    <t>OT: 17-403</t>
  </si>
  <si>
    <t>OT: 17-404</t>
  </si>
  <si>
    <r>
      <t xml:space="preserve">Realizar ingeniería civil, mecánica y eléctrica para el reemplazo del interruptor de Potencia ASEA.
</t>
    </r>
    <r>
      <rPr>
        <b/>
        <sz val="11"/>
        <color rgb="FF000000"/>
        <rFont val="Calibri"/>
        <family val="2"/>
      </rPr>
      <t xml:space="preserve">Nota: </t>
    </r>
    <r>
      <rPr>
        <sz val="11"/>
        <color rgb="FF000000"/>
        <rFont val="Calibri"/>
        <family val="2"/>
      </rPr>
      <t>Los levantamientos se realizaron con la OT 17-328 por Ac Energy.</t>
    </r>
  </si>
  <si>
    <t>Realizar la ingneiería eléctrica y mecánica para la normalización del tablero de control y protecciones.
 Nota: Los levantamientos se realizaron con la OT 17-328 por Ac Energy.</t>
  </si>
  <si>
    <t>OT: 17-405</t>
  </si>
  <si>
    <t>Levantamiento e ingeniería para la normalización del actual transformador de servicios auxiliares y montaje de un nuevo Transformador de servicios auxiliares. 
FACTOR= 1(actual TA01) + 1(Nuevo TA02) = 1+1 =2</t>
  </si>
  <si>
    <t>Levantamiento e ingeniería civil, mecánica y eléctrica para el reemplazo del tablero de servicios auxiliares AC 208VAC.  Se debe unificar los circuitos de servicios auxiliares en un solo tablero de distribución SA01</t>
  </si>
  <si>
    <t>SERVICIOSAUXILIARES AC 208VAC</t>
  </si>
  <si>
    <t>Levantamiento e ingeniería civil, mecánica y eléctrica para el montaje de una transferencia automática en 208VAC.</t>
  </si>
  <si>
    <t>Levantamiento e ingeniería civil, mecánica y eléctrica para el reemplazo del tablero de servicios auxiliares DC 125VDC.  Se debe unificar los circuitos de servicios auxiliares DC en un solo tablero de distribución SC01.</t>
  </si>
  <si>
    <t>Levantamiento civil, mecánico y eléctrico para el reemplazo de los dos (2) tableros de cargador de baterías actuales por un esquema cargador de Baterías para subestación MT-MT con 2 (dos) unidades de cargador de baterías.</t>
  </si>
  <si>
    <t>Labor asimilada para realizar el levantamiento e ingeniería civil y mecánico de un rack de baterías para la subestación.
Factor: 8 HH X 2 H: 16 HH</t>
  </si>
  <si>
    <t xml:space="preserve">Levantamiento e Ingeniería para adecuación del cuarto para cumplir con normatividad actual vigente: ducha lavaojos, lámparas antiexplosivas, adecuación del piso, puerta antipánico y demás adecuaciones que se requieran.  </t>
  </si>
  <si>
    <t>Realizar diseño civil y mecanico para la instalacióm de un equipo de aire acondicionado para el cuarto de Baterías.
 FACTOR= (10HH(dibujo)+ 12HH(diseño)+2HH(Revisión y Supervisión Coordinador)) = 24HH</t>
  </si>
  <si>
    <t xml:space="preserve"> UBICACIÓN 3%</t>
  </si>
  <si>
    <t>OT: 17-406</t>
  </si>
  <si>
    <t>OT: 17-407</t>
  </si>
  <si>
    <t>SERVICIOA AUXILIARES AC 208VAC</t>
  </si>
  <si>
    <t>Realizar la entrega de los planos mecánicos para el anclaje en pared de un nuevo tablero Mantis de una unidad de medida Elster A1800 en el transformador de Servicios auxiliares AC, teniendo en cuenta que se toma como base el diseño mecánico de la subestación Indumil  OT17-319. Se cobra el 12% del diseño mecánico por la entrega de los planos tipicos.                                                                                                                                                                                                                                                                        INGENIERÍA MECÁNICA =0.3x(Factor alcance levantamiento) + 0.7 x(Factor alcance diseño)=0.30x(0.00) + 0.70x(0.12)=0.084</t>
  </si>
  <si>
    <t>Diseño mecánico de canalizaciones en Potencia desde el tablero de  Transferencia  entrando al tablero Mantis y la salida de este al tablero de servicios auxiliares.
Factor=  (8HH(dibujo)+ 8HH(diseño)+ 2HH(Revisión y Supervisión Coordinador)) =18HH</t>
  </si>
  <si>
    <t>OT: 17-408</t>
  </si>
  <si>
    <t>SERVICIOS AUXILIARES AC 0.208 kV</t>
  </si>
  <si>
    <t>Levantamiento e ingeniería para la normalización del actual transformador de servicios auxiliares TA01 y montaje de un nuevo Transformador de servicios auxiliares TA02. 
FACTOR= 1(actual TA01) + 1(Nuevo TA02) = 1+1 =2</t>
  </si>
  <si>
    <t>Levantamiento e ingeniería civil, mecánica y eléctrica para el reemplazo del tablero de servicios auxiliares AC 208VAC.  Se debe unificar los circuitos de servicios auxiliares en un solo tablero de distribución SA01.</t>
  </si>
  <si>
    <t>Levantamiento civil, mecánico y eléctrico para el reemplazo del cargador de baterías actual por un esquema cargador de Baterías para subestación MT-MT con 2 (dos) unidades de cargador de baterías.</t>
  </si>
  <si>
    <t>Labor asimilada para realizar levantamiento e  ingeniería  civil y mecánico de un rack de baterías para la subestación.
Factor: 8 HH X 2 H: 16 HH</t>
  </si>
  <si>
    <t>Levantamiento  e Ingeniería para adecuación del cuarto para cumplir con normatividad actual vigente, teniendo en cuenta que el cuarto de baterías se va alojar un rack de baterías y los tableros de servicios auxiliares.</t>
  </si>
  <si>
    <t>OT: 17-409</t>
  </si>
  <si>
    <t>OT: 17-410</t>
  </si>
  <si>
    <t>SERVICIOS AUXILIARES  208 VAC</t>
  </si>
  <si>
    <t xml:space="preserve">Ingeniería eléctrica para el montaje de una unidad de medida en el transformador de Servicios Auxiliares AC. Las señales de corrientes y tensión se toman  del tablero de transferencia de la subestación hasta el tablero de la unidad de medida mini-Mantis. 
FACTOR= ( 0.3(levantamiento) + 0.7(diseño) ) = (0.3(0) + 0.7(1))= 0.7
</t>
  </si>
  <si>
    <t xml:space="preserve">Realizar la entrega de los planos mecánicos para el anclaje en pared de un nuevo tablero mini-Mantis de una unidad de medida Elster A1800 en el transformador de Servicios auxiliares AC, teniendo en cuenta que se toma como base el diseño mecánico de la subestación Victoria  OT17-334.
Se cobra el 12% del diseño mecánico por la entrega de los planos típicos.    
INGENIERÍA MECÁNICA = (0.3x(Factor alcance levantamiento) + 0.7 x(Factor alcance diseño))x Número de subestaciones)= (0.30x(0.00) + 0.70x(0.12)) = 0.084
</t>
  </si>
  <si>
    <t>Diseño mecánico de canalizaciones en Potencia desde el tablero de  Transferencia  entrando al tablero mini Mantis y la salida de este al tablero de servicios auxiliares.
Factor=  (8HH(dibujo)+ 8HH(diseño)+ 2HH(Revisión y Supervisión Coordinador)) =18HH</t>
  </si>
  <si>
    <t>OT: 17-411</t>
  </si>
  <si>
    <t>OT: 17-412</t>
  </si>
  <si>
    <t>OT: 17-413</t>
  </si>
  <si>
    <t>AUXILIARES AC 208VAC</t>
  </si>
  <si>
    <t>OT: 17-414</t>
  </si>
  <si>
    <t>OT: 17-415</t>
  </si>
  <si>
    <t>,</t>
  </si>
  <si>
    <t>D00235266</t>
  </si>
  <si>
    <t>D00235266000</t>
  </si>
  <si>
    <t>Labor asimilada para redistribuir las señales de DC  en cada módulo de la subestación. 
Se cobra 20% del diseño eléctrico.
FACTOR= 0.3x(levantamiento) + 0.7x(diseño) =  (0.3x(0.0) + 0.7x(0.2)) = 0.14</t>
  </si>
  <si>
    <t>Realizar el levantamiento eléctrico de los PT´s de la Barra 115kV.
FACTOR: 0.3(levantamiento) + 0.7(diseño) = 0.3x(0.3)+0.7x(0.0) =0.3</t>
  </si>
  <si>
    <t>OT: 17-419</t>
  </si>
  <si>
    <t>INCREMENTO 3%</t>
  </si>
  <si>
    <t>Proyecto:CDIM_CAOLIG_R0078 - RES. CREG 038-14 CÓDIGO DE MEDIDA.</t>
  </si>
  <si>
    <t>OT: 17-421</t>
  </si>
  <si>
    <t>Diseño civil de la cimentación para la instalación de un CT en el módulo AT2.
Revisión de la estructura metálica existente.</t>
  </si>
  <si>
    <t>Diseño civil de la cimentación para la instalación de un CT en el módulo AT1.
Revisión de la estructura metálica existente.</t>
  </si>
  <si>
    <t>Proyecto:CDIM_CAOLIG_R0078 - RES. CREG 038-14 CÓDIGO DE MEDIDA</t>
  </si>
  <si>
    <t>OT: 17-422</t>
  </si>
  <si>
    <r>
      <t xml:space="preserve">Realizar levantamiento e ingeniería civil, mecánica y eléctrica para el reemplazo del interruptor de potencia.
Realizar la excavación del área aledaña al interruptor de Potencia para identificar las dimensiones de la zapata, se cobra un 50% adicional del levantamiento.
</t>
    </r>
    <r>
      <rPr>
        <b/>
        <sz val="11"/>
        <color rgb="FF000000"/>
        <rFont val="Calibri"/>
        <family val="2"/>
      </rPr>
      <t xml:space="preserve">NOTA: </t>
    </r>
    <r>
      <rPr>
        <sz val="11"/>
        <color rgb="FF000000"/>
        <rFont val="Calibri"/>
        <family val="2"/>
      </rPr>
      <t>Los levantamiento eléctrico fueron realizados por AC Energy en la OT17-185.
INGENIERÍA CIVIL =0.3x (levantamiento civil) + 0.7 x(alcance diseño)+ 0.15(excavación zapata interruptor) =0.30x (1) + 0.70x (1) + 0.3(50%)= 1.15</t>
    </r>
  </si>
  <si>
    <r>
      <t xml:space="preserve">Realizar levantamiento e ingeniería civil, mecánica y eléctrica para el reemplazo del interruptor de potencia.
Realizar la excavación del área aledaña al interruptor de Potencia para identificar las dimensiones de la zapata, se cobra un 50% adicional del levantamiento.
</t>
    </r>
    <r>
      <rPr>
        <b/>
        <sz val="11"/>
        <color rgb="FF000000"/>
        <rFont val="Calibri"/>
        <family val="2"/>
      </rPr>
      <t>NOTA:</t>
    </r>
    <r>
      <rPr>
        <sz val="11"/>
        <color rgb="FF000000"/>
        <rFont val="Calibri"/>
        <family val="2"/>
      </rPr>
      <t xml:space="preserve"> Los levantamiento eléctrico fueron realizados por AC Energy en la OT17-185.
INGENIERÍA CIVIL =0.3x (levantamiento civil) + 0.7 x(alcance diseño)+ 0.15(excavación zapata interruptor) =0.30x (1) + 0.70x (1) + 0.3(50%)= 1.15</t>
    </r>
  </si>
  <si>
    <t>Realizar levantamiento  eléctrico de los PT´s de la Barra 115kV.</t>
  </si>
  <si>
    <t>Proyecto:CDIE_CBCCSM_R0178 REPOSICIÓN INTERRUPTORES.</t>
  </si>
  <si>
    <t>OT: 17-423</t>
  </si>
  <si>
    <r>
      <t xml:space="preserve">Levantamiento civil e Ingeniería civil, mecánica y eléctrica para el reemplazo de los CT´s del módulo de transformador AT2 230/115kV lado 230kV. Nota: Codensa suministra los planos rojo-verde para realizar el diseño eléctrico de los CT´s. 
</t>
    </r>
    <r>
      <rPr>
        <b/>
        <sz val="11"/>
        <color rgb="FF000000"/>
        <rFont val="Calibri"/>
        <family val="2"/>
      </rPr>
      <t xml:space="preserve">NOTA: </t>
    </r>
    <r>
      <rPr>
        <sz val="11"/>
        <color rgb="FF000000"/>
        <rFont val="Calibri"/>
        <family val="2"/>
      </rPr>
      <t xml:space="preserve">Tener presente la ingeniería elaborada por AC Energy en la OT17-178.
Codensa suministra los planos rojo-verde para realizar el diseño eléctrico de los CT´s.
</t>
    </r>
  </si>
  <si>
    <t>Ingeniería mecánica para el montaje Provisional de un juego de PY´s del módulo de Transformador R2 115/34.5kV. Se cobra el 50% del diseño por el factor mecánico.
Tener presente la ingeniería elaborada por AC Energy en la OT17-178 para rremplazo de los PY´s.
 FACTOR = 0.3x(levantamiento) + 0.7x(diseño) =  0.3x(0.0) + 0.7x(0.5) = 0.35</t>
  </si>
  <si>
    <t>ESTRUCTURA TERMINAL</t>
  </si>
  <si>
    <r>
      <rPr>
        <b/>
        <sz val="10"/>
        <color rgb="FFFF0000"/>
        <rFont val="Calibri"/>
        <family val="2"/>
      </rPr>
      <t xml:space="preserve">RL-8 </t>
    </r>
    <r>
      <rPr>
        <sz val="10"/>
        <color rgb="FF000000"/>
        <rFont val="Calibri"/>
        <family val="2"/>
      </rPr>
      <t>Diseño electromecánico de línea de AT - UNIDAD DE MEDIDA : KM - Kilómetro</t>
    </r>
  </si>
  <si>
    <t>OT: 17-425</t>
  </si>
  <si>
    <t>SUBESTACIÓN 115/11.4kV</t>
  </si>
  <si>
    <t>Memoria descriptiva que contenga:
-Estado actual del inmueble en sus aspectos constructivos y arquitectónicos.
-Descripción del tipo de obras adelantadas con materiales y especificaciones técnicas. 
-Concepto sobre la estructura existente expedido por un ingeniero civil (Aplica para el muro de cerramiento)</t>
  </si>
  <si>
    <t xml:space="preserve">Informe donde se presenta el registro fotográfico a color, con la descripción y localización de las tomas generales y detalles del edificio en relación al BIC Nal y conos visuales indicados en planta. 
Se ajustará la presentación del levantamiento realizado con la OT 16-129  a formato de pliego a color, incluyendo vistas de planta y fachadas. </t>
  </si>
  <si>
    <t>Proyecto:complemento Formulario MIN CULTURA.</t>
  </si>
  <si>
    <t>SERVICIOS AUXILIARES DC 125VDC</t>
  </si>
  <si>
    <t>LLTT Faca Villeta Estrcutura 2289</t>
  </si>
  <si>
    <t>Realizar el levantamiento topográfico de la estructura 2288 a 2287. Aproximadamente: 250m</t>
  </si>
  <si>
    <t>Realizar el Replanteo topográfico para reubicar la torre 2289 de la LT Facatativá Villeta</t>
  </si>
  <si>
    <r>
      <t xml:space="preserve">Diseño de cimentación especial , Se selecciona este tipo de cimentación, teniendo en cuenta la recomendación del geotecnista en el estudio de suelos. En caso de no requerirse  el diseño de la cimentación especial  se pagara la actividad como cimentación tipo torre.
</t>
    </r>
    <r>
      <rPr>
        <b/>
        <sz val="11"/>
        <rFont val="Calibri"/>
        <family val="2"/>
      </rPr>
      <t xml:space="preserve">Nota: </t>
    </r>
    <r>
      <rPr>
        <sz val="11"/>
        <rFont val="Calibri"/>
        <family val="2"/>
      </rPr>
      <t xml:space="preserve">Se debe tener en cuenta que se utilizará como base el estudio geotécnico realizado con la OT 17-294 por Ac Energy S.A.S.
</t>
    </r>
  </si>
  <si>
    <t>Realizar el diseño electromecánico  para la reubicación de la torre 2289 de la LT Facatativá Villeta</t>
  </si>
  <si>
    <t>Realizar la medida de resistividad del terreno en el lugar donde se instalaran la nueva estructura 2289 de la LT Facatativá Villeta</t>
  </si>
  <si>
    <t xml:space="preserve">Diseño de obras complementarias de mitigación a corto plazo en la zona de falla: 
-Protección del talud de escarpe de falla.
-Instalación de drenes horizontales.
-Programa de revegetalización.
-Manejo de aguas lluvias en el área aledaña a la torre 2289.
Se debe tener en cuenta el Estudio Geotécnico realizado con la OT 17-294 por Ac Energy S.A.S. 
</t>
  </si>
  <si>
    <t>OT: 17-427</t>
  </si>
  <si>
    <t>Proyecto:Reubicación de la torre T2289 de la LT Facatativá Villeta 115kV.</t>
  </si>
  <si>
    <t>OT: 17-428</t>
  </si>
  <si>
    <t>BARRA 230 kV</t>
  </si>
  <si>
    <t>AUTOTRANSFORMADOR AT1 230/115kV</t>
  </si>
  <si>
    <t>Labor asimilada para la elaboración de planos As Built a partir del rojo verde suministrado por codensa.
Ingeniería mecánica para el retiro de dos medidores de energía existentes e instalación de dos medidores NEXUS 1500 Principal y Respaldo.</t>
  </si>
  <si>
    <t>OT: 17-429</t>
  </si>
  <si>
    <t xml:space="preserve">Proyecto:CDIM_CAOLIG_R0078 - RES. CREG 038-14 CÓDIGO DE MEDIDA.
</t>
  </si>
  <si>
    <t>Labor asimilada para la elaboración de planos As Built a partir del rojo verde suministrado por Codensa.
Diseño civil, mecánica y eléctrica para el montaje de los PT´s del módulo de transformador.</t>
  </si>
  <si>
    <t>Labor asimilada para la elaboración de planos As Built a partir del rojo verde suministrado por Codensa.
Ingeniería mecánica y eléctrica para el reemplazo de la UDM.</t>
  </si>
  <si>
    <t>Labor asimilada para la elaboración de planos As Built a partir del rojo verde suministrado por Codensa.
Diseño civil, mecánica y eléctrica para el reemplazo de los PT´s del módulo de transformador.</t>
  </si>
  <si>
    <t xml:space="preserve">Labor asimilada para la elaboración de planos As Built a partir del rojo verde suministrado por Codensa.
Diseño civil para el reemplazo de los PY´s </t>
  </si>
  <si>
    <t>LÍNEA FLANDES II 115 kV</t>
  </si>
  <si>
    <t>Labor asimilada para la elaboración de planos As Built a partir del rojo verde suministrado por Codensa.
Diseño civil y mecánica para el montaje de los PT´s de la línea Flandes II 115kV.</t>
  </si>
  <si>
    <t>FLANDES 2 115 kV</t>
  </si>
  <si>
    <t>D00243235</t>
  </si>
  <si>
    <t>D00243235000</t>
  </si>
  <si>
    <t xml:space="preserve">Labor asimilada para la elaboración de planos As Built a partir del rojo verde suministrado por Codensa.
Diseño civil para la instalación de los PT´s de Barra TB012/A/B/C </t>
  </si>
  <si>
    <t>Labor asimilada para la elaboración de planos As Built a partir del rojo verde suministrado por Codensa.
Diseño civil de una nueva cimentación en el patio de conexiones para la instalación de un TCM.</t>
  </si>
  <si>
    <t>AUTOTRANSFORMADOR D3 115 kV</t>
  </si>
  <si>
    <t xml:space="preserve">Labor asimilada para la elaboración de planos As Built a partir del rojo verde suministrado por Codensa.
Diseño civil para el reemplazo de los CT´s  TC051/A/B/C </t>
  </si>
  <si>
    <t>OT: 17-431</t>
  </si>
  <si>
    <t>SUBESTACIÓN 115kV</t>
  </si>
  <si>
    <t>Labor asimilada para la elaboración de planos As Built a partir del rojo verde suministrado por Codensa.
Labor asimilada para el diseño de las canalizaciones de control (cajas, cajas de inspección y Banco de ductos).</t>
  </si>
  <si>
    <t>OT: 17-432</t>
  </si>
  <si>
    <t>OT: 17-433</t>
  </si>
  <si>
    <t>Labor asimilada para la elaboración de planos As Built a partir del rojo verde suministrado por Codensa.
Cálculo de Burden y la corrección de la cargabilidad  del núcleo de medida para un juego PT´s (3 Unidades).</t>
  </si>
  <si>
    <t>TRANSFORMADOR D1 115/13.2 kV</t>
  </si>
  <si>
    <t>Labor asimilada para la elaboración de planos As Built a partir del rojo verde suministrado por Codensa.
Ingeniería eléctrico para el reemplazo de dos medidores digitales NEXUS 1500 por ELSTER A1800.</t>
  </si>
  <si>
    <t>SUBESTACIÓN 115/13,2 kV</t>
  </si>
  <si>
    <t>TRANSFORMADOR D1 115 kV</t>
  </si>
  <si>
    <t>Labor asimilada para la elaboración de planos As Built a partir del rojo verde suministrado por Codensa.
Ingeniería eléctrica para la reubicación de los medidores Nexus 1500 del tablero TCM1 por ampliación proyectada de la subestación.</t>
  </si>
  <si>
    <t>Labor asimilada para la elaboración de planos As Built a partir del rojo verde suministrado por Codensa.
Ingeniería eléctrica para la reubicación de los medidores Nexus 1500 del tablero TCM2 por ampliación proyectada de la subestación.</t>
  </si>
  <si>
    <t>BARRA B1.1 115KV</t>
  </si>
  <si>
    <t>TRANSFORMADOR D1 115/11.4kV</t>
  </si>
  <si>
    <t>Labor asimilada para la elaboración de planos As Built a partir del rojo verde suministrado por Codensa.
Ingeniería eléctrica para el reemplazo de Transformadores de Corriente TCO31A/B/C 115kV.</t>
  </si>
  <si>
    <t>Labor asimilada para la elaboración de planos As Built a partir del rojo verde suministrado por Codensa.
Ingeniería eléctrico para la instalación de dos medidores digitales NEXUS 1500.</t>
  </si>
  <si>
    <t>Labor asimilada para la elaboración de planos As Built a partir del rojo verde suministrado por Codensa.
Ingeniería eléctrica para el reemplazo de Transformadores de Corriente TCO41A/B/C 115kV.</t>
  </si>
  <si>
    <t>OT: 17-435</t>
  </si>
  <si>
    <t xml:space="preserve">Labor asimilada para la elaboración de planos As Built a partir del rojo verde suministrado por Codensa.
Cálculo de Burden y la corrección de la cargabilidad  del núcleo de medida para un juego PT´s (3 Unidades). </t>
  </si>
  <si>
    <t xml:space="preserve">Labor asimilada para la elaboración de planos As Built a partir del rojo verde suministrado por Codensa.
Realizar la actualización de la compensación en el camino de corriente del núcleo de medida. </t>
  </si>
  <si>
    <t>Labor asimilada para la elaboración de planos As Built a partir del rojo verde suministrado por Codensa.
Actualización de ingeniería para el reemplazo de medidor digital de NEXUS 1500 a ELSTER A1800.</t>
  </si>
  <si>
    <t>OT: 17-436</t>
  </si>
  <si>
    <t>OT: 17-437</t>
  </si>
  <si>
    <t>BARRA B1.1 115kV</t>
  </si>
  <si>
    <t>Labor asimilada para la elaboración de planos As Built a partir del rojo verde suministrado por Codensa.
Ingeniería eléctrica para el montaje de un juego PT´s B1.1 (3 Unidades).</t>
  </si>
  <si>
    <t>BANCO S2 115/57.5kV</t>
  </si>
  <si>
    <t>BANCO S3 115/57.5kV</t>
  </si>
  <si>
    <t xml:space="preserve">TRANSFORMADOR D3 115/11.4 kV </t>
  </si>
  <si>
    <t>Diseño civil y mecánico de las canalizaciones desde los PT´s y SSAA hacia el nuevo  TCM.                                                                                                                                                                                                                                              
S/E: San Jorge, Chinauta, Tocaima, Tamarindo, Mesa,JM Cordoba, El Hobal, Apulo.
Factor de cobro: 8HH*SE =(8HH*8 SE)=64 HH
Estas canalizaciones se deben entregar asociadas a las OTs en desarrollo  de Código de Medida de estas SE.</t>
  </si>
  <si>
    <t>OT: 17-438</t>
  </si>
  <si>
    <t>Diseño civil y mecánico de las canalizaciones desde los PT´s y SSAA hacia el nuevo  TCM.                                                                                                                                                                                                                                              
S/E: Anolaima, Alban, Toriba, Puerto Salgar, Guaduas Y Rionegrito. 
Factor de cobro: 8HH*SE =(8 HH*6 SE )=48 HH
Estas canalizaciones se deben entregar asociadas a las OTs en desarrollo  de Código de Medida de estas SE.</t>
  </si>
  <si>
    <t>OT: 17-439</t>
  </si>
  <si>
    <t>OT: 17-440</t>
  </si>
  <si>
    <t>LT Dorada Guaduas Estructura 533</t>
  </si>
  <si>
    <t xml:space="preserve">Diseño de alternativas de solución para la falla presentada en el en el lugar donde se encuentra la torre 533.
-Diseño de estructura de contención tipo muro de gaviones en el área de falla del talud. 
-Control de aguas de escorrentía y de infiltración para mejorar el drenaje de la ladera superior.
-Programa de revegetalización de las ladera adyacentes. 
Para realizar las siguientes obras se debe tener en cuenta el estudio Geotécnico realizado con OT 17-293. </t>
  </si>
  <si>
    <t xml:space="preserve">Diseño electromecánico para la selección de Templetes y análisis de la estructura para instalación de los mismos, se entregarán los documentos relacionados a continuación:
Cálculos electromecánicos
Tabla de cantidades
Plano de herrajes y aisladores
Plano de árboles de carga
Plano planta general
Está actividad se realiza con el fin de reubicar los templetes que se encuentran en la zona de falla,antes de realizar las respectivas obras civiles. </t>
  </si>
  <si>
    <t>Proyecto:Estabilización T 533 LT DO GU.</t>
  </si>
  <si>
    <t>3% UBICACIÓN</t>
  </si>
  <si>
    <t>SUB TOTAL</t>
  </si>
  <si>
    <t>Realizar levantamiento e ingeniería para la construcción de un muro cortafuegos.
Se debe tener en cuenta que para el diseño Codensa plantea utilizar fibrocemento, por lo cual se solicita que Ac Energy cordine con Codensa este tema. 
NOTA: Tener en cuenta, que en el momento de la construcción  se debe mantener  el actual transformador D1 34.5/13.2kV en servicio.</t>
  </si>
  <si>
    <t>Realizar levantamiento e ingeniería para el montaje de un nuevo Transformador D2 34.5/13.2kV con capacidad de 10MVA.</t>
  </si>
  <si>
    <t>OT: 17-441</t>
  </si>
  <si>
    <t>Proyecto:Levantamiento e ingeniería para el montaje de un nuevo Transformador D2 34.5/13.2kV.</t>
  </si>
  <si>
    <t>17-391</t>
  </si>
  <si>
    <t>17-393</t>
  </si>
  <si>
    <t>17-394</t>
  </si>
  <si>
    <t>17-395</t>
  </si>
  <si>
    <t>17-396</t>
  </si>
  <si>
    <t>17-398</t>
  </si>
  <si>
    <t>CALLE PRIMERA</t>
  </si>
  <si>
    <t>17-400</t>
  </si>
  <si>
    <t>17-401</t>
  </si>
  <si>
    <t>17-402</t>
  </si>
  <si>
    <t>17-403</t>
  </si>
  <si>
    <t>17-404</t>
  </si>
  <si>
    <t>17-406</t>
  </si>
  <si>
    <t>DIAMANTE</t>
  </si>
  <si>
    <t>17-407</t>
  </si>
  <si>
    <t>LA ISLA</t>
  </si>
  <si>
    <t>17-408</t>
  </si>
  <si>
    <t>17-409</t>
  </si>
  <si>
    <t>17-410</t>
  </si>
  <si>
    <t>17-411</t>
  </si>
  <si>
    <t>17-412</t>
  </si>
  <si>
    <t>17-413</t>
  </si>
  <si>
    <t>SALITRE</t>
  </si>
  <si>
    <t>17-414</t>
  </si>
  <si>
    <t>17-415</t>
  </si>
  <si>
    <t>17-419</t>
  </si>
  <si>
    <t>SALTO I</t>
  </si>
  <si>
    <t>17-421</t>
  </si>
  <si>
    <t>17-422</t>
  </si>
  <si>
    <t>17-423</t>
  </si>
  <si>
    <t>SAN JOSÉ</t>
  </si>
  <si>
    <t>17-425</t>
  </si>
  <si>
    <t>LLTT FACA-VILLETA EST 2289</t>
  </si>
  <si>
    <t>17-427</t>
  </si>
  <si>
    <t>ZONA SUR</t>
  </si>
  <si>
    <t>LLTT GUADUAS GUADUERO EST 533</t>
  </si>
  <si>
    <t>GUACHETA</t>
  </si>
  <si>
    <t>17-438</t>
  </si>
  <si>
    <t>17-440</t>
  </si>
  <si>
    <t>17-441</t>
  </si>
  <si>
    <t>valor ejecutado Acta No. 2 Enero</t>
  </si>
  <si>
    <t>valor ejecutado Acta No. 3 Enero</t>
  </si>
  <si>
    <t>|</t>
  </si>
  <si>
    <t>valor ejecutado Acta No. 1 Enero</t>
  </si>
  <si>
    <t>valor ejecutado Acta No. 1  Enero</t>
  </si>
  <si>
    <t>valor ejecutado Acta No. 1 Febrero</t>
  </si>
  <si>
    <t xml:space="preserve">valor ejecutado Acta No. 4 Enero </t>
  </si>
  <si>
    <t>D00249388</t>
  </si>
  <si>
    <t>D00249388000</t>
  </si>
  <si>
    <t>D00249389</t>
  </si>
  <si>
    <t>D00249389000</t>
  </si>
  <si>
    <t>D0024938900</t>
  </si>
  <si>
    <t>D00249390</t>
  </si>
  <si>
    <t>D00249390000</t>
  </si>
  <si>
    <t>D00249394</t>
  </si>
  <si>
    <t>D00249394000</t>
  </si>
  <si>
    <t>D00248964</t>
  </si>
  <si>
    <t>D00248964000</t>
  </si>
  <si>
    <t>D00249262</t>
  </si>
  <si>
    <t>D00249262000</t>
  </si>
  <si>
    <t>D00249258</t>
  </si>
  <si>
    <t>D00249258000</t>
  </si>
  <si>
    <t>D00249260</t>
  </si>
  <si>
    <t>D00249260000</t>
  </si>
  <si>
    <t>D00248954</t>
  </si>
  <si>
    <t>D00248954000</t>
  </si>
  <si>
    <t>D00249502</t>
  </si>
  <si>
    <t>D00249502000</t>
  </si>
  <si>
    <t>D00249527</t>
  </si>
  <si>
    <t>D00249527000</t>
  </si>
  <si>
    <t>Vr. Unitario
(2018)</t>
  </si>
  <si>
    <r>
      <rPr>
        <sz val="11"/>
        <color rgb="FFFF0000"/>
        <rFont val="Calibri"/>
        <family val="2"/>
      </rPr>
      <t xml:space="preserve">L-18 </t>
    </r>
    <r>
      <rPr>
        <sz val="11"/>
        <color rgb="FF000000"/>
        <rFont val="Calibri"/>
        <family val="2"/>
      </rPr>
      <t>Ingeniería para el reemplazo de un tablero de auxiliares AC - UNIDAD DE MEDIDA: C/U</t>
    </r>
  </si>
  <si>
    <t>Labor asimilada para realizar el levantamiento  civil, mecánico y eléctrico para el desplazamiento provisional del Tablero de servicios auxiliares SA01 208VAC, con el fin de generar espacio para la ejecución de las obras de sismoresistencia de la casa de control. Se requiere el levantamiento de la ruta de cables y  las bandejas portacables de la sala de control, detallar las Bandejas como van soportadas en sala de control.</t>
  </si>
  <si>
    <r>
      <rPr>
        <sz val="11"/>
        <color rgb="FFFF0000"/>
        <rFont val="Calibri"/>
        <family val="2"/>
      </rPr>
      <t xml:space="preserve">L-20 </t>
    </r>
    <r>
      <rPr>
        <sz val="11"/>
        <color rgb="FF000000"/>
        <rFont val="Calibri"/>
        <family val="2"/>
      </rPr>
      <t>Ingeniería para el reemplazo de un tablero de auxiliares DC - UNIDAD DE MEDIDA: C/U</t>
    </r>
  </si>
  <si>
    <r>
      <rPr>
        <sz val="11"/>
        <color rgb="FFFF0000"/>
        <rFont val="Calibri"/>
        <family val="2"/>
      </rPr>
      <t xml:space="preserve">L-1 </t>
    </r>
    <r>
      <rPr>
        <sz val="11"/>
        <color rgb="FF000000"/>
        <rFont val="Calibri"/>
        <family val="2"/>
      </rPr>
      <t>Ingeniería para el reemplazo de Transformador de Potencia Trifásico 230, 115, 57.5 / 34.5, 11.4 kV - UNIDAD DE MEDIDA C/U</t>
    </r>
  </si>
  <si>
    <r>
      <t xml:space="preserve">Realizar el levantamiento e ingeniería civil y mecánico del transformador de Potencia para realizar el rediseño de la bajante de cables 11.4kV. Se requiere rediseño de la bajante de cables 11.4kV para obtener distancia  con respecto al muro de la casa de control en los trabajos de adecuación de sismoresistencia.
FACTOR CIVIL= 0.3x(levantamiento) + 0.7 x(diseño) =0.30x(1) + 0.70x(0.3)=  0.3 + 0.21 =0.51
FACTOR MECÁNICO = 0.3x(levantamiento) + 0.7 x(diseño) =0.30x(0.8) + 0.70x(0.5)=  0.24 + 0.35 =0.59
</t>
    </r>
    <r>
      <rPr>
        <b/>
        <sz val="11"/>
        <color rgb="FF000000"/>
        <rFont val="Calibri"/>
        <family val="2"/>
      </rPr>
      <t>Nota:</t>
    </r>
    <r>
      <rPr>
        <sz val="11"/>
        <color rgb="FF000000"/>
        <rFont val="Calibri"/>
        <family val="2"/>
      </rPr>
      <t xml:space="preserve"> No se debe contemplar la posibilidad de un desplazamiento provisional del Transformador de Potencia.</t>
    </r>
  </si>
  <si>
    <t>Subtotal Labor No 1</t>
  </si>
  <si>
    <r>
      <rPr>
        <sz val="11"/>
        <color rgb="FFFF0000"/>
        <rFont val="Calibri"/>
        <family val="2"/>
      </rPr>
      <t>L-53</t>
    </r>
    <r>
      <rPr>
        <b/>
        <sz val="11"/>
        <color rgb="FFFF0000"/>
        <rFont val="Calibri"/>
        <family val="2"/>
      </rPr>
      <t xml:space="preserve"> </t>
    </r>
    <r>
      <rPr>
        <sz val="11"/>
        <color rgb="FF000000"/>
        <rFont val="Calibri"/>
        <family val="2"/>
      </rPr>
      <t>Ingeniería para construcción de instalación provisional para cambio de transformador - UNIDAD DE MEDIDA: C/U</t>
    </r>
  </si>
  <si>
    <r>
      <t xml:space="preserve">Realizar el levantamiento e ingeniería  civil, mecánico y eléctrico para el desplazamiento provisional del Transformador de Potencia 115/11.4kV, con el fin de generar espacio para la ejecución de las obras de sismoresistencia de la casa de control.
</t>
    </r>
    <r>
      <rPr>
        <b/>
        <sz val="11"/>
        <color rgb="FF000000"/>
        <rFont val="Calibri"/>
        <family val="2"/>
      </rPr>
      <t>Nota:</t>
    </r>
    <r>
      <rPr>
        <sz val="11"/>
        <color rgb="FF000000"/>
        <rFont val="Calibri"/>
        <family val="2"/>
      </rPr>
      <t xml:space="preserve"> En el levantamiento se de debe validar las distancias eléctricas del Transformador con respecto al módulo del Trafo.</t>
    </r>
  </si>
  <si>
    <t>Realizar ingeniería mecánica para reubicar el módulo del Transformador D1 34.5/13.2kV. Se requiere reubicar el módulo 34.5kV para considerar un solo barraje de 34,5KV.</t>
  </si>
  <si>
    <t>Total</t>
  </si>
  <si>
    <t>Cobro correspondiente al descargo No.11093191
VyP - Otros trabajos - En SE Bolivia, TRANSFORMADOR D2 115/11.4kV. Levantamiento electromecánico del módulo, control y protecciones, para el reemplazo del interruptor de potencia 115kV.
Ejecutado el 09/10/2017  10:17:00 p. m. hasta el  10/10/2017  5:47:00 a. m.
Factor de cobro: 0.3 X (factor de alcance levantamiento) X 0.15 (Porcentaje incremento por trabajos Nocturnos/Dominicales/Festivos ver ítem 6 especificaciones técnicas ingeniería AT/MT)  = 0.3 X (1) X 0.15 = 0.045</t>
  </si>
  <si>
    <t>Cobro correspondiente al descargo No.11141643
VyP - Otros trabajos - En SE Bolivia, TRANSFORMADOR D3 115/11.4kV,Levantamiento
electromecánico del módulo, control y protecciones, para el reemplazo del interruptor de potencia 115 kV
Ejecutado el 20/10/2017  11:14:00 p. m.. hasta el 21/10/2017  5:33:00 a. m.
Cobro correspondiente al descargo No.11093113
VyP - Otros trabajos - En SE Bolivia, TRANSFORMADOR D3 115/11.4kV, Levantamiento electromecánico del módulo, control y protecciones, para el reemplazo del interruptor de potencia 115 kV.
Ejecutado el 23/10/2017  9:15:00 p. m. hasta el 24/10/2017  5:26:00 a. m.
Factor de cobro: 0.3 X (factor de alcance levantamiento) X 0.15 (Porcentaje incremento por trabajos Nocturnos/Dominicales/Festivos ver ítem 6 especificaciones técnicas ingeniería AT/MT)  = 0.3 X (1) X 0.15 = 0.045</t>
  </si>
  <si>
    <t>Cobro correspondiente al descargo No. 11155501
VyP - Otros trabajos - En SE Bosa, TRANSFORMADOR D1 115/11.4kV,Levantamiento electromecánico
del módulo, control y protecciones, para el reemplazo del interruptor de potencia 115 kV.
Ejecutado el 23/10/2017  10:01:00 p. m. hasta el 28/10/2017  5:35:00 a. m.
Factor de cobro: 0.3 X (factor de alcance levantamiento) X 0.15 (Porcentaje incremento por trabajos Nocturnos/Dominicales/Festivos ver ítem 6 especificaciones técnicas ingeniería AT/MT)  = 0.3 X (1) X 0.15 = 0.045</t>
  </si>
  <si>
    <t>Cobro correspondiente al descargo No 11155439
VyP - Otros trabajos - En SE Bosa, TRANSFORMADOR D2 115 KV, Levantamiento civil Y
electromecanico del módulo, control y protecciones, para el reemplazo del interruptor de potencia
115 kV.
Ejecutado el 20/10/2017  10:47:00 p. m. hasta el 21/10/2017  5:00:00 a. m.
Factor de cobro: 0.3 X (factor de alcance levantamiento) X 0.15 (Porcentaje incremento por trabajos Nocturnos/Dominicales/Festivos ver ítem 6 especificaciones técnicas ingeniería AT/MT)  = 0.3 X (1) X 0.15 = 0.045</t>
  </si>
  <si>
    <t>Cobro correspondiente al descargo No. 10954045
VyP - Otros trabajos - En SE CALLE 51, transformador D1 115/11.4 kV, Levantamiento electromecánico
del módulo, control y protecciones, para el reemplazo del interruptor de potencia 115 kV.
Ejecutado el   11/09/2017  10:05:00 p. m. hasta el 16/09/2017  5:49:00 a. m.
Factor de cobro: 0.3 X (factor de alcance levantamiento) X 0.15 (Porcentaje incremento por trabajos Nocturnos/Dominicales/Festivos ver ítem 6 especificaciones técnicas ingeniería AT/MT)  = 0.3 X (1) X 0.15 = 0.045</t>
  </si>
  <si>
    <t>Cobro correspondiente al descargo No. 10968431
VyP - Otros trabajos - EN SE CALLE 51, TRANSFORMADOR D2, Levantamiento electromecánico del
módulo, control y protecciones, para el reemplazo del interruptor de potencia 115 kV.
Ejecutado el  25/09/2017  10:05:00 p. m. hasta el 30/09/2017  5:51:00 a. m.
Factor de cobro: 0.3 X (factor de alcance levantamiento) X 0.15 (Porcentaje incremento por trabajos Nocturnos/Dominicales/Festivos ver ítem 6 especificaciones técnicas ingeniería AT/MT)  = 0.3 X (1) X 0.15 = 0.045</t>
  </si>
  <si>
    <t>Cobro correspondiente al descargo No. 10115475
Tipo: VyP  Otros trabajos- Levantamiento eléctrico Interruptor seccionadores y Tablero Control y Protecciones lado 115kV. Solicitante: MANUEL DARIO URBINA SABOYA
Ejecutado el  06/02/2017  10:07:00 p. m. hasta el 08/02/2017  5:50:00 a. m.
Factor de cobro: 0.3 X (factor de alcance levantamiento) X 0.15 (Porcentaje incremento por trabajos Nocturnos/Dominicales/Festivos ver ítem 6 especificaciones técnicas ingeniería AT/MT)  = 0.3 X (1) X 0.15 = 0.045</t>
  </si>
  <si>
    <t>Cobro correspondiente al descargo No. 11097265
VyP - Otros trabajos - En SE Fontibon, TRANSFORMADOR D3 115/11.4kV, Levantamiento
electromecánico del módulo, control y protecciones, para el reemplazo del interruptor de potencia
115kV.
Ejecutado el  09/10/2017  10:05:00 p. m. hasta el 14/10/2017  5:51:00 a. m.
Factor de cobro: 0.3 X (factor de alcance levantamiento) X 0.15 (Porcentaje incremento por trabajos Nocturnos/Dominicales/Festivos ver ítem 6 especificaciones técnicas ingeniería AT/MT)  = 0.3 X (1) X 0.15 = 0.045</t>
  </si>
  <si>
    <t>Cobro correspondiente al descargo No. 11287087
VyP - Otros trabajos - En SE MOSQUERA, TRANSFORMADOR D1 115/11.4kV, Levantamiento electromecánico del módulo, control y protecciones, para el reemplazo del interruptor de potencia 115 kV
Ejecutado el 14/11/2017  10:04:00 p. m. hasta el 19/11/2017  5:52:00 a. m.
Factor de cobro: 0.3 X (factor de alcance levantamiento) X 0.15 (Porcentaje incremento por trabajos Nocturnos/Dominicales/Festivos ver ítem 6 especificaciones técnicas ingeniería AT/MT)  = 0.3 X (1) X 0.15 = 0.045</t>
  </si>
  <si>
    <t>Cobro correspondiente al descargo No. 11177711
VyP - Otros trabajos - En SE Muña, TRANSFORMADOR D1 115/11.4kV,Levantamiento electromecánico
del módulo, control y protecciones, para el reemplazo del interruptor de potencia 115 KV
Ejecutado el23/10/2017  10:29:00 p. m. hasta el 28/10/2017  5:02:00 a. m.
Factor de cobro: 0.3 X (factor de alcance levantamiento) X 0.15 (Porcentaje incremento por trabajos Nocturnos/Dominicales/Festivos ver ítem 6 especificaciones técnicas ingeniería AT/MT)  = 0.3 X (1) X 0.15 = 0.045</t>
  </si>
  <si>
    <t>Cobro correspondiente al descargo No.10141271
Tipo: VyP  Otros trabajos- Levantamiento eléctrico Interruptor, seccionadores y Tablero Control y Protecciones lado 115kV y celda de entrada 11,4kV modulo de transformador D1. Solicitante: MANUEL DARIO URBINA SABOYA
Ejecutado el 16/02/2017  9:59:00 p. m. hasta el 18/02/2017  6:01:00 a. m.
Cobro correspondiente al descargo No. 10173597
Tipo: VyP  Otros trabajos- Continuar con trabajos de levantamiento eléctrico Interruptor, seccionadores y Tablero Control y Protecciones lado 115kV y celda de entrada 11,4kV modulo de transformador D1. Solicitante: MANUEL DARIO URBINA SABOYA.
Ejecutado el 20/02/2017  10:01:00 p. m. hasta el 22/02/2017  5:53:00 a. m.
Factor de cobro: 0.3 X (factor de alcance levantamiento) X 0.15 (Porcentaje incremento por trabajos Nocturnos/Dominicales/Festivos ver ítem 6 especificaciones técnicas ingeniería AT/MT)  = 0.3 X (1) X 0.15 = 0.045</t>
  </si>
  <si>
    <t xml:space="preserve">Realizar levantamiento e ingeniería eléctrica para normalizar el tablero de servicios auxiliares cumpliendo con los requerimientos de la NO-047. Se cobra el 50% de la ingeniería eléctrica para la normalización de la ingeniería elaborada por AC&amp;JM de tal forma que cumpla con los requerimientos de la NO-047.
Factor: 0.3x(levantamiento) + 0.7x(diseño) = 0.3x(1) + 0.7x(0.5) = 0.3+0.35 =0.65 </t>
  </si>
  <si>
    <t xml:space="preserve">FILA D1 11.4kV </t>
  </si>
  <si>
    <r>
      <rPr>
        <b/>
        <sz val="11"/>
        <color rgb="FFFF0000"/>
        <rFont val="Calibri"/>
        <family val="2"/>
      </rPr>
      <t xml:space="preserve">M-22 </t>
    </r>
    <r>
      <rPr>
        <sz val="11"/>
        <color rgb="FF000000"/>
        <rFont val="Calibri"/>
        <family val="2"/>
      </rPr>
      <t>Ingenieria para el montaje y/o reemplazo de un tren de celdas Metal Clad 11,4 kV  - UNIDAD DE MEDIDA : Global por fila (Hasta 12 Celdas de Salida+Hasta 2 Celdas de Entrada+1 Celda de Medida+3 Celdas de Acople+1 Celda de Compensacion Capacitiva)</t>
    </r>
  </si>
  <si>
    <t>Realizar el levantamiento civil, mecánico y eléctrico para el reemplazo de las celdas de la fila 1 11.4kV.</t>
  </si>
  <si>
    <r>
      <rPr>
        <b/>
        <sz val="11"/>
        <color rgb="FFFF0000"/>
        <rFont val="Calibri"/>
        <family val="2"/>
      </rPr>
      <t xml:space="preserve">L-52 </t>
    </r>
    <r>
      <rPr>
        <sz val="11"/>
        <color rgb="FF000000"/>
        <rFont val="Calibri"/>
        <family val="2"/>
      </rPr>
      <t>Ingeniería para construcción de instalación provisional para cambio de tren de celdas de 11,4 kV, 13,2 kV o 34,5 kV - UNIDAD DE MEDIDA: C/U</t>
    </r>
  </si>
  <si>
    <t>Realizar el levantamiento civil, mecánico y eléctrico para la instalación de provisional de un tren de celdas de la fila 1 11.4kV. Se debe considerar la ubicación del tren de celdas provisionales en el parqueadero de la subestación.</t>
  </si>
  <si>
    <t>FILA D2 11.4kV</t>
  </si>
  <si>
    <t>Realizar el levantamiento civil, mecánico y eléctrico para el reemplazo de las celdas de la fila 2 11.4kV.</t>
  </si>
  <si>
    <t>Realizar el levantamiento civil, mecánico y eléctrico para la instalación de provisional de un tren de celdas de la fila 2 11.4kV. Se debe considerar la ubicación del tren de celdas provisionales en el parqueadero de la subestación.</t>
  </si>
  <si>
    <t>Realizar el levantamiento civil, mecánico y eléctrico para el reemplazo de las celdas de la fila 3 11.4kV.</t>
  </si>
  <si>
    <t>Realizar el levantamiento civil, mecánico y eléctrico para la instalación de provisional de un tren de celdas de la fila 3 11.4kV. Se debe considerar la  ubicación del tren de celdas provisionales en el parqueadero de la subestación.</t>
  </si>
  <si>
    <t>FILA 1 11.4 kV</t>
  </si>
  <si>
    <t>Realizar el levantamiento civil, mecánico y eléctrico para el reemplazo de las celdas de la fila.</t>
  </si>
  <si>
    <t>Realizar el levantamiento civil, mecánico y eléctrico para la instalación de provisional de un tren de celdas de la fila 1 11.4kV. Se plantea un tren de celdas provisional ubicada en el área diagonal al transformador D3 115/11.4KV frente a la caja de maniobras y dos trenes de celdas provisionales en el parqueadero de la subestación.</t>
  </si>
  <si>
    <t>FILA 2 11.4 kV</t>
  </si>
  <si>
    <t>Realizar el levantamiento civil, mecánico y eléctrico para la instalación de provisional de un tren de celdas de la fila 2 11.4kV. Se plantea un tren de celdas provisional ubicada en el área diagonal al transformador D3 115/11.4KV frente a la caja de maniobras y dos trenes de celdas provisionales en el parqueadero de la subestación.</t>
  </si>
  <si>
    <t>Realizar el levantamiento civil, mecánico y eléctrico para la instalación de provisional de un tren de celdas de la fila 3 11.4kV. Se plantea un tren de celdas provisional ubicada en el área diagonal al transformador D3 115/11.4KV frente a la caja de maniobras y dos trenes de celdas provisionales en el parqueadero de la subestación.</t>
  </si>
  <si>
    <t>LÍNEA BOSA (FUTURA LÍNEA NUEVA ESPERANZA) 115kV</t>
  </si>
  <si>
    <t>Labor asimilada para realizar ingeniería eléctrica para el montaje de una caja de empalme de los CT´s del módulo de línea 115 kV.  
INGENIERÍA ELÉCTRICA =0.3x(levantamiento) + 0.7 x(diseño)=0.30x(0.00) + 0.70x(0.30)=0.21</t>
  </si>
  <si>
    <t xml:space="preserve">Realizar ingeniería mecánica y eléctrica para el reemplazo del tablero de control y protecciones por un tablero tipo Rack en la nueva caseta de control y protecciones de la subestación. </t>
  </si>
  <si>
    <t>D00243645</t>
  </si>
  <si>
    <t>D00243645000</t>
  </si>
  <si>
    <t>Levantamiento e ingeniería para el montaje de un nuevo Transformador de servicios auxiliares de tipo pedestal de 30KVA.
Levantamiento del actual Transformador de servicios auxiliares de tipo pedestal de 30KVA. Se requiere el levantamiento de la la ruta de cables.
Se cobra 0.6 por el levantamiento del actual TA01 y levantamiento para el montaje del nuevo TA02.</t>
  </si>
  <si>
    <r>
      <t xml:space="preserve">Levantamiento e ingeniería civil, mecánica y eléctrica para el montaje de una transferencia automática de 208VAC. 
</t>
    </r>
    <r>
      <rPr>
        <b/>
        <sz val="11"/>
        <color rgb="FF000000"/>
        <rFont val="Calibri"/>
        <family val="2"/>
      </rPr>
      <t xml:space="preserve">Nota 1 : </t>
    </r>
    <r>
      <rPr>
        <sz val="11"/>
        <color rgb="FF000000"/>
        <rFont val="Calibri"/>
        <family val="2"/>
      </rPr>
      <t xml:space="preserve">La transferencia debe quedar ubicada al costado norte de la sala de control con la pared que divide el cuarto de Baterías.
</t>
    </r>
    <r>
      <rPr>
        <b/>
        <sz val="11"/>
        <color rgb="FF000000"/>
        <rFont val="Calibri"/>
        <family val="2"/>
      </rPr>
      <t>Nota 2:</t>
    </r>
    <r>
      <rPr>
        <sz val="11"/>
        <color rgb="FF000000"/>
        <rFont val="Calibri"/>
        <family val="2"/>
      </rPr>
      <t xml:space="preserve"> La transferencia debe quedar al  lado del tablero Mantis.</t>
    </r>
  </si>
  <si>
    <t>Labor asimilada para el levantamiento e ingeniería civil, mecánica y eléctrica para la normalización de las polaridades del actual tablero de SC01. 
FACTOR= 0.3x(levantamiento) + 0.7x(diseño) = 0.3x(1) + 0.7x(50%) = 0.3+0.35=0.65</t>
  </si>
  <si>
    <r>
      <t xml:space="preserve">Levantamiento e ingeniería civil, mecánico y eléctrico para el reemplazo del actual de cargador de baterías. 
</t>
    </r>
    <r>
      <rPr>
        <b/>
        <sz val="11"/>
        <color rgb="FF000000"/>
        <rFont val="Calibri"/>
        <family val="2"/>
      </rPr>
      <t>Nota</t>
    </r>
    <r>
      <rPr>
        <sz val="11"/>
        <color rgb="FF000000"/>
        <rFont val="Calibri"/>
        <family val="2"/>
      </rPr>
      <t>: 
El nuevo sistema cargador de Baterías se ubicará en la posición del actual cargador de Baterías.</t>
    </r>
  </si>
  <si>
    <t>Labor asimilada para realizar el levantamiento e ingeniería civil y mecánico para el montaje de un rack de baterías para la subestación. 
Factor: 8 HH X 2 H: 16 HH</t>
  </si>
  <si>
    <t>Levantamiento e Ingeniería para la adecuación del cuarto de baterías. Se realizará la adecuación de la puerta antipánico, iluminación y totalizador del Banco de Baterías. 
FACTOR= 0.3x(levantamiento) + 0.7x(diseño) = 0.3x(1) + 0.7x(60%) = 0.3 + 0.42 = 0.72</t>
  </si>
  <si>
    <t>Ingeniería eléctrica para el montaje de una unidad de medida en el transformador de Servicios Auxiliares AC. Para el circuito de corriente se debe realizar el cableado en potencia desde el tablero de transferencia de la subestación pasar a través del tablero de la unidad de medida Mantis y por ultimo incorporarse al tablero de servicios auxiliares SA01 208 VAC de la S/E.
Para el circuito de tensiones se debe tomar la alimentación directa de la barra del tablero de transferencia pasar por un breaker de protección e incorporarse a la medida en el tablero de medida Mantis.</t>
  </si>
  <si>
    <t>Realizar la entrega de los planos mecánicos para el anclaje en pared de un nuevo tablero Mantis de una unidad de medida Elster A1800 en el transformador de Servicios auxiliares AC, teniendo en cuenta que se toma como base el diseño mecánico de la subestación Indumil  OT17-319. Se cobra el 12% del diseño mecánico por la entrega de los planos tipicos.   
Realizar el diseño civil para la interconexión del tablero mantis al cárcamo existente.                                                                                                                                                                                                                                                                     
INGENIERÍA MECÁNICA =0.3x(Factor alcance levantamiento) + 0.7 x(Factor alcance diseño)=0.30x(0.00) + 0.70x(0.12)=0.084</t>
  </si>
  <si>
    <t>Diseño mecánico de canalizaciones en Potencia desde el tablero de  Transferencia  entrando al tablero Mantis y la salida de este al tablero de servicios auxiliares.
Factor=  (6HH(dibujo)+ 10HH(diseño)+ 2HH(Revisión y Supervisión Coordinador)) =18HH</t>
  </si>
  <si>
    <t>Levantamiento e ingeniería para el montaje de un nuevo Transformador de servicios auxiliares de tipo pedestal de 30KVA. Se contempla instalarse entre el actual transformador D2 34.5/11.4kV y la sala de control. 
Levantamiento del actual Transformador de servicios auxiliares de tipo poste de 30KVA. Se requiere le levantamiento de la la ruta de cables.
se cobra 0.6 por el levantamiento del actual TA01 y levantamiento para el montaje del nuevo TA02.</t>
  </si>
  <si>
    <t>Levantamiento e ingeniería civil, mecánica y eléctrica para el montaje de una transferencia automática de 208VAC.</t>
  </si>
  <si>
    <t>Levantamiento e ingeniería civil, mecánico y eléctrico para el reemplazo del actual de cargador de baterías.</t>
  </si>
  <si>
    <t>Labor asimilada para realizar el levantamiento e ingeniería civil y mecánico para el montaje de un rack de baterías para la subestación.
Factor: 8 HH X 2 H: 16 HH</t>
  </si>
  <si>
    <t>LÍNEA TECHO (FONTIBÓN II) 115kV</t>
  </si>
  <si>
    <t>Labor asimilada para la elaboración de planos AS Built a partir del rojo verde suministrado por Codensa. 
Ingeniería para el reemplazo del interruptor de potencia.</t>
  </si>
  <si>
    <t>Labor asimilada para la elaboración de planos AS Built a partir del rojo verde suministrado por Codensa. 
Ingeniería para reemplazo del esquema de protección del módulo de línea.</t>
  </si>
  <si>
    <t>D00243028</t>
  </si>
  <si>
    <t>D00243028000</t>
  </si>
  <si>
    <r>
      <rPr>
        <sz val="11"/>
        <color rgb="FFFF0000"/>
        <rFont val="Calibri"/>
        <family val="2"/>
      </rPr>
      <t xml:space="preserve">L-59 </t>
    </r>
    <r>
      <rPr>
        <sz val="11"/>
        <color rgb="FF000000"/>
        <rFont val="Calibri"/>
        <family val="2"/>
      </rPr>
      <t>Elaboración de ingenierías conceptuales o estudios especiales en S/E AT/AT, AT/MT o MT/MT - UNIDAD DE MEDIDA HH</t>
    </r>
  </si>
  <si>
    <t>Labor asimilada para diseño civil de canalizaciones de control desde la sala de control hacia patio de conexiones. 
Factor= 8 HH X 6 días de trabajo= 48 HH</t>
  </si>
  <si>
    <t>Subtotal Labor No 59</t>
  </si>
  <si>
    <t>D00249507</t>
  </si>
  <si>
    <t>D00249507000</t>
  </si>
  <si>
    <t>Ingeniería para el montaje Provisional de un juego de PY´s del módulo de Transformador D2 115/11.4kV.
Tener presente la ingeniería elaborada por AC Energy en la OT17-019 para reemplazo de los PT´s.
FACTOR = 0.3x(levantamiento) + 0.7x(diseño) =  0.3x(0.0) + 0.7x(0.75) = 0,525</t>
  </si>
  <si>
    <t xml:space="preserve">Actualización ubicación de estructura terminal 578  para la ejecución de la definitiva,debido a que no se desenergizara la línea existente.  
Diseño relacionado con la OT 17-225. 
Incluye los siguientes Cálculos electromecanicos Tabla de torres, tablas de tendido, tabla de cantidades y los planos Planta Perfil y Planta General </t>
  </si>
  <si>
    <t xml:space="preserve">Realizar la asistencia técnica de los trabajos eléctromecanicos para el reemplazo del actual rele de sobrecorriente Arteche PL-250 y el rele de sincronismo Arteche PL-50 por un rele de sobrecorriente que integre las dos funciones. </t>
  </si>
  <si>
    <t>F29CDR530</t>
  </si>
  <si>
    <r>
      <rPr>
        <sz val="11"/>
        <color rgb="FFFF0000"/>
        <rFont val="Calibri"/>
        <family val="2"/>
      </rPr>
      <t>L-70</t>
    </r>
    <r>
      <rPr>
        <sz val="11"/>
        <rFont val="Calibri"/>
        <family val="2"/>
      </rPr>
      <t xml:space="preserve"> Ingeniería para construcción de casa de control y protección en patio (de área hasta 100 m2) - UNIDAD DE MEDIDA Global</t>
    </r>
  </si>
  <si>
    <t>Labor asimilada para la elaboración de planos As Built a partir del rojo verde suministrado por Codensa. 
Diseño de una caseta para control distribuido en patio para alojar 8 tableros de control y protección, 2 de servicios auxiliares AC y DC, un tablero de comunicaciones.</t>
  </si>
  <si>
    <t>Subtotal Labor No 70</t>
  </si>
  <si>
    <t>LT Veraguas - Laguneta y la LT Conexión Nueva Esperanza - Compartir - Bosa a 115 kV.</t>
  </si>
  <si>
    <t xml:space="preserve">Realizar el diseño de cimentaciones tipo pila para los siguientes postes: P4419 (cimentación P4423 equivalente a la de P4419), P4420, P4421 y P4422.  </t>
  </si>
  <si>
    <t>Realizar el diseño de cimentaciones para apoyo tipo torre T4418 y T4436</t>
  </si>
  <si>
    <t>Diseño de malla de puesta a tierra de 9 estructuras de la conexión a la SE Compartir. Se cobra el 10% del baremo por estructura FACTOR= 1(10%)x(Número de estructuras)=0.1 x9=0.9</t>
  </si>
  <si>
    <t xml:space="preserve">Realizar la toma de medidas de Resistividad de la conexión a la SE Compartir desde el poste 4426 a 4434 y la T4418 de la línea Veraguas Laguneta.
Total 10 Estructuras =12,23*10= 122,3
</t>
  </si>
  <si>
    <t>valor ejecutado Acta No. 6 Febrero</t>
  </si>
  <si>
    <t>Periodo facturación: Febrero</t>
  </si>
  <si>
    <t>valor ejecutado Acta No. 3 Febrero</t>
  </si>
  <si>
    <t>Acta N° 3: Febrero</t>
  </si>
  <si>
    <t>Acta N° 4: Febrero</t>
  </si>
  <si>
    <t>valor ejecutado Acta No. 4 Febrero</t>
  </si>
  <si>
    <t xml:space="preserve">valor ejecutado Acta No. 6 Febrero </t>
  </si>
  <si>
    <t>Acta N° 5: Febrero</t>
  </si>
  <si>
    <t>valor ejecutado Acta No. 2 Febrero</t>
  </si>
  <si>
    <t>Acta N° 2: Febrero</t>
  </si>
  <si>
    <t>Periodo Facturación: Febrero</t>
  </si>
  <si>
    <t>valor ejecutado Acta No. 5 Febrero</t>
  </si>
  <si>
    <t xml:space="preserve">valor ejecutado Acta No. 4 Febrero </t>
  </si>
  <si>
    <t xml:space="preserve">Acta N° 2: Febrero </t>
  </si>
  <si>
    <t>Verificar si se cobró</t>
  </si>
  <si>
    <t xml:space="preserve">valor ejecutado Acta No. 3 Febrero </t>
  </si>
  <si>
    <t>OT: 18-001</t>
  </si>
  <si>
    <t>Acta N° 1: Febrero</t>
  </si>
  <si>
    <t>TRANSFORMADOR D2 115/11.4 kV (S/E BOLIVIA)</t>
  </si>
  <si>
    <t>TRANSFORMADOR D3 115/11,4 Kv  (S/E BOLIVIA)</t>
  </si>
  <si>
    <t>TRANSFORMADOR D1 115/11.4 kV (S/E BOSA)</t>
  </si>
  <si>
    <t>TRANSFORMADOR D1 115/11.4 Kv  (S/E BOSA)</t>
  </si>
  <si>
    <t>TRANSFORMADOR D2 115/11.4 kV  (S/E BOSA)</t>
  </si>
  <si>
    <t>TRANSFORMADOR D1 115/11.4 kV (S/E CALLE 51)</t>
  </si>
  <si>
    <t>TRANSFORMADOR D1 115/11.4 Kv  (S/E CALLE 51)</t>
  </si>
  <si>
    <t>TRANSFORMADOR D2 115/11.4 kV  (S/E CALLE 51)</t>
  </si>
  <si>
    <t>TRANSFORMADOR D1 115 KV (S/E CONCORDIA)</t>
  </si>
  <si>
    <t>TRANSFORMADOR D3 115/11.4 Kv (S/E FONTIBÓN)</t>
  </si>
  <si>
    <t>TRANSFORMADOR D3 115/11.4 Kv  (S/E FONTIBÓN)</t>
  </si>
  <si>
    <t>TRANSFORMADOR D1 115/11.4 kV (S/E MOSQUERA)</t>
  </si>
  <si>
    <t>TRANSFORMADOR D1 115/11.4 Kv (S/E MOSQUERA)</t>
  </si>
  <si>
    <t>TRANSFORMADOR D1 115/11.4 kV (S/E MUÑA)</t>
  </si>
  <si>
    <t>TRANSFORMADOR D1 115/11.4 Kv (S/E MUÑA)</t>
  </si>
  <si>
    <t>TRANSFORMADOR D1 115 KV ( S/E SUBA)</t>
  </si>
  <si>
    <t>Proyecto: CDIE_CBCCSM_R0184_PC1 – REPOSICIÓN DE INTERRUPTORES AT.</t>
  </si>
  <si>
    <t>CDIE_CBCCSM_R0184_PC1 – REPOSICIÓN DE INTERRUPTORES AT.</t>
  </si>
  <si>
    <t>Proyecto: CDIE_CBCCSM_R0184, PC1 -  NORMALIZACIÓN SE MT-MT.</t>
  </si>
  <si>
    <t>CDIE_CBCCSM_R0184, PC1 -  NORMALIZACIÓN SE MT-MT.</t>
  </si>
  <si>
    <t>OT: 18-002</t>
  </si>
  <si>
    <t>OT: 18-003</t>
  </si>
  <si>
    <t>OT: 18-004</t>
  </si>
  <si>
    <t>Proyecto: Reemplazo de las celdas asociadas a las filas 1, 2 y 3 11,4kV.</t>
  </si>
  <si>
    <t>Reemplazo de las celdas asociadas a las filas 1, 2 y 3 11,4kV.</t>
  </si>
  <si>
    <t>OT: 18-005</t>
  </si>
  <si>
    <t>OT: 18-006</t>
  </si>
  <si>
    <t>Proyecto: CONSTRUC. LÍNEAS 115 KV  NE-BO1, NE-TE.</t>
  </si>
  <si>
    <t>CONSTRUC. LÍNEAS 115 KV  NE-BO1, NE-TE.</t>
  </si>
  <si>
    <t>OT: 18-007</t>
  </si>
  <si>
    <t>CDIM_CBSGSM_R0159 NORMALIZACIÓN SERVICIOS ESENCIALES SSEE.</t>
  </si>
  <si>
    <t>OT: 18-010</t>
  </si>
  <si>
    <t>OT: 18-011</t>
  </si>
  <si>
    <t>CDIM_CAOLIG_R0078 - RES. CREG 038-14 CÓDIGO DE MEDIDA.</t>
  </si>
  <si>
    <t>OT: 18-012</t>
  </si>
  <si>
    <t>OT: 18-013</t>
  </si>
  <si>
    <t>Proyecto: CDIM_CADCAA_R0179 REPOSICIÓN DE LÍNEAS 115KV</t>
  </si>
  <si>
    <t>CDIM_CADCAA_R0179 REPOSICIÓN DE LÍNEAS 115KV</t>
  </si>
  <si>
    <t>OT: 18-014</t>
  </si>
  <si>
    <t>OT: 18-015</t>
  </si>
  <si>
    <t>Proyecto: CDIM_CBSGSM_R0160 - NORMALIZACIÓN Y REPOSICIÓN SE SAN CARLOS.</t>
  </si>
  <si>
    <t>CDIM_CBSGSM_R0160 - NORMALIZACIÓN Y REPOSICIÓN SE SAN CARLOS.</t>
  </si>
  <si>
    <t>OT: 18-016</t>
  </si>
  <si>
    <t>OT: 18-017</t>
  </si>
  <si>
    <t>Proyecto: Actualización Terminal 578 LT DO-GU</t>
  </si>
  <si>
    <t>Actualización Terminal 578 LT DO-GU</t>
  </si>
  <si>
    <t>OT: 18-018</t>
  </si>
  <si>
    <t>Proyecto: INGENIERÍA ELÉCTRICA Y MECÁNICA REPOSICIÓN DE PROTECCIONES AT2 EN SSEE TUNAL</t>
  </si>
  <si>
    <t>INGENIERÍA ELÉCTRICA Y MECÁNICA REPOSICIÓN DE PROTECCIONES AT2 EN SSEE TUNAL</t>
  </si>
  <si>
    <t>OT: 18-019</t>
  </si>
  <si>
    <t>Proyecto: CDIM_CBSGSM_R0160 - NORMALIZACIÓN Y REPOSICIÓN SE SAN CARLOS NORMALIZACIÓN Y REPOSICIÓN SE SAN CARLOS</t>
  </si>
  <si>
    <t>CDIM_CBSGSM_R0160 - NORMALIZACIÓN Y REPOSICIÓN SE SAN CARLOS NORMALIZACIÓN Y REPOSICIÓN SE SAN CARLOS</t>
  </si>
  <si>
    <t>Proyecto: LT Veraguas - Laguneta y la LT Conexión Nueva Esperanza - Compartir - Bosa a 115 kV.</t>
  </si>
  <si>
    <t xml:space="preserve">valor ejecutado Acta No. 2 Febrero </t>
  </si>
  <si>
    <t>revisar si se cobró</t>
  </si>
  <si>
    <t>OT ANULADA</t>
  </si>
  <si>
    <t>valor ejecutado Acta No. 4 Febreo</t>
  </si>
  <si>
    <t xml:space="preserve">Periodo facturación: Febrero </t>
  </si>
  <si>
    <t>Acta N° 1:  Febrero</t>
  </si>
  <si>
    <t xml:space="preserve">valor ejecutado Acta No. 1 Febrero </t>
  </si>
  <si>
    <r>
      <rPr>
        <b/>
        <sz val="10"/>
        <color theme="1"/>
        <rFont val="Arial"/>
        <family val="2"/>
      </rPr>
      <t>1. Alcance:</t>
    </r>
    <r>
      <rPr>
        <sz val="10"/>
        <color theme="1"/>
        <rFont val="Arial"/>
        <family val="2"/>
      </rPr>
      <t xml:space="preserve"> Esta acta corresponde al avance de la orden de trabajo, de acuerdo con el detalle mostrado en el anexo Acta de avance de obra para el mes de Febrero de </t>
    </r>
    <r>
      <rPr>
        <b/>
        <sz val="10"/>
        <color theme="1"/>
        <rFont val="Arial"/>
        <family val="2"/>
      </rPr>
      <t>2018.</t>
    </r>
  </si>
  <si>
    <t>Como constancia de lo anterior, se firma la presente acta el día 15 de Febrero de 2018.</t>
  </si>
  <si>
    <r>
      <rPr>
        <b/>
        <sz val="11"/>
        <color indexed="10"/>
        <rFont val="Calibri"/>
        <family val="2"/>
      </rPr>
      <t xml:space="preserve">M-18 </t>
    </r>
    <r>
      <rPr>
        <sz val="11"/>
        <color indexed="8"/>
        <rFont val="Calibri"/>
        <family val="2"/>
      </rPr>
      <t>Ingenieria para el montaje de un nuevo modulo de circuito/transformador de 34,5 kV en subestacion reducida con reconectador y seccionadores en portico - UNIDAD DE MEDIDA : C/U</t>
    </r>
  </si>
  <si>
    <t xml:space="preserve">Levantamiento e ingeniería para el montaje de un módulo entrada/salida en la subestación, se debe tener en cuenta las interconexiones con el módulo de la línea actual así mismo con las protecciones mecánicas del transformador.  </t>
  </si>
  <si>
    <r>
      <rPr>
        <b/>
        <sz val="10"/>
        <color indexed="8"/>
        <rFont val="Arial"/>
        <family val="2"/>
      </rPr>
      <t>1. Alcance:</t>
    </r>
    <r>
      <rPr>
        <sz val="10"/>
        <color indexed="8"/>
        <rFont val="Arial"/>
        <family val="2"/>
      </rPr>
      <t xml:space="preserve"> Esta acta corresponde al avance de la orden de trabajo, de acuerdo con el detalle mostrado en el anexo Acta de avance de obra para el mes de </t>
    </r>
    <r>
      <rPr>
        <b/>
        <sz val="10"/>
        <color indexed="8"/>
        <rFont val="Arial"/>
        <family val="2"/>
      </rPr>
      <t>Febrero de</t>
    </r>
    <r>
      <rPr>
        <sz val="10"/>
        <color indexed="8"/>
        <rFont val="Arial"/>
        <family val="2"/>
      </rPr>
      <t xml:space="preserve"> </t>
    </r>
    <r>
      <rPr>
        <b/>
        <sz val="10"/>
        <color indexed="8"/>
        <rFont val="Arial"/>
        <family val="2"/>
      </rPr>
      <t>2018.</t>
    </r>
  </si>
  <si>
    <t>OT: 17-157</t>
  </si>
  <si>
    <t>Proyecto: CDIE_CBCCSM_R0158, NORMALIZACIÓN SE MT-MT, Ingeniería Montaje Reconectador Subestación ESPERANZA para desarrollo de Ingeniería e implementación Reconectadores de entrada y Salida</t>
  </si>
  <si>
    <t xml:space="preserve"> CDIE_CBCCSM_R0158, NORMALIZACIÓN SE MT-MT, Ingeniería Montaje Reconectador Subestación ESPERANZA para desarrollo de Ingeniería e implementación Reconectadores de entrada y Salida</t>
  </si>
  <si>
    <t>CDIE_CBCCSM_R0158, NORMALIZACIÓN SE MT-MT, Ingeniería Montaje Reconectador Subestación JURATENA para desarrollo de Ingeniería e implementación Reconectadores de entrada y Salida</t>
  </si>
  <si>
    <t>Proyecto: CDIE_CBCCSM_R0158, NORMALIZACIÓN SE MT-MT, Ingeniería Montaje Reconectador Subestación JURATENA para desarrollo de Ingeniería e implementación Reconectadores de entrada y Salida</t>
  </si>
  <si>
    <t>OT: 17-158</t>
  </si>
  <si>
    <t>D00235278000</t>
  </si>
  <si>
    <r>
      <rPr>
        <b/>
        <sz val="10"/>
        <color theme="1"/>
        <rFont val="Arial"/>
        <family val="2"/>
      </rPr>
      <t>1. Alcance:</t>
    </r>
    <r>
      <rPr>
        <sz val="10"/>
        <color theme="1"/>
        <rFont val="Arial"/>
        <family val="2"/>
      </rPr>
      <t xml:space="preserve"> Esta acta corresponde al avance de la orden de trabajo, de acuerdo con el detalle mostrado en el anexo Acta de avance de obra para el mes de </t>
    </r>
    <r>
      <rPr>
        <b/>
        <sz val="10"/>
        <color theme="1"/>
        <rFont val="Arial"/>
        <family val="2"/>
      </rPr>
      <t>Febrero de 2018.</t>
    </r>
  </si>
  <si>
    <t>18-001</t>
  </si>
  <si>
    <t>18-004</t>
  </si>
  <si>
    <t>SIBERIA</t>
  </si>
  <si>
    <t>18-010</t>
  </si>
  <si>
    <t>18-015</t>
  </si>
  <si>
    <t>18-016</t>
  </si>
  <si>
    <t>LLTT GUADUERO</t>
  </si>
  <si>
    <t>18-017</t>
  </si>
  <si>
    <t>18-018</t>
  </si>
  <si>
    <t>18-020</t>
  </si>
  <si>
    <t>Bancos de Autotransformador AT2 230/115 kV</t>
  </si>
  <si>
    <t>OT: 18-008</t>
  </si>
  <si>
    <t>Proyecto:INGENIERÍA ELÉCTRICA Y MECÁNICA REPOSICIÓN DE PROTECCIONES AT2 EN SSEE TUNAL</t>
  </si>
  <si>
    <t>18-008</t>
  </si>
  <si>
    <t>18-009</t>
  </si>
  <si>
    <r>
      <rPr>
        <b/>
        <sz val="11"/>
        <color rgb="FFFF0000"/>
        <rFont val="Calibri"/>
        <family val="2"/>
      </rPr>
      <t xml:space="preserve">L-55 </t>
    </r>
    <r>
      <rPr>
        <sz val="11"/>
        <color rgb="FF000000"/>
        <rFont val="Calibri"/>
        <family val="2"/>
      </rPr>
      <t>Actualización de planos eléctricos módulo de transformador 115/57,5 kV - UNIDAD DE MEDIDA: Global por módulo</t>
    </r>
  </si>
  <si>
    <t>SL55ELE</t>
  </si>
  <si>
    <t>Realiza la revisión de la ingeniería desarrollada por PECS y actualización de planos del módulo lado 115 kV se trabaja como elemento de entrada el diseño realizado por PECS y la normalización de acuerdo a la revisión de la ingeniería.</t>
  </si>
  <si>
    <t>Subtotal labores No. 55:</t>
  </si>
  <si>
    <t xml:space="preserve">Labor asimilada para realizar la validación especifica de conexiones eléctricas en sitio.
</t>
  </si>
  <si>
    <t>OT: 18-009</t>
  </si>
  <si>
    <t>Proyecto:CDIM_CBSGSM_R0146 - NORMALIZACIÓN Y REPOSICIÓN EL SOL.</t>
  </si>
  <si>
    <t>CDIM_CBSGSM_R0146 - NORMALIZACIÓN Y REPOSICIÓN EL SOL.</t>
  </si>
  <si>
    <t>NO SE REALIZA</t>
  </si>
  <si>
    <t>Proyecto: CDIM_CAOLIG_R0078 - RES. CREG 038-14 CÓDIGO DE MEDIDA, Realizar el estudio de suelos en la subestación circo 230 KV, para instalación de un juego Nuevo de PTS en los módulos AT1, AT2, AT3</t>
  </si>
  <si>
    <t>OT: 17-111</t>
  </si>
  <si>
    <t>SUBESTACIÓN 230/115 kV</t>
  </si>
  <si>
    <t>Elaborar el estudio de suelos en la subestación.</t>
  </si>
  <si>
    <t xml:space="preserve"> NO SE REALIZA</t>
  </si>
  <si>
    <t>D00249266</t>
  </si>
  <si>
    <t>D00249266000</t>
  </si>
  <si>
    <t>D00249375</t>
  </si>
  <si>
    <t>D00249375000</t>
  </si>
  <si>
    <t>TRABAJOS ENTREGADOS EN DIC 17</t>
  </si>
  <si>
    <t>Vr. Total
2018</t>
  </si>
  <si>
    <t>Realizar el levantamiento topográfico de la estructura 532 a la 534. 
Se debe tener en cuenta el levantamiento de la ubicación de los templetes de la estructura 533.</t>
  </si>
  <si>
    <t>Labor asimilada para realizar el levantamiento  civil, mecánico y eléctrico para el desplazamiento provisional del Tablero de servicios auxiliares SC01 y SC02 125VDC, con el fin de generar espacio para la ejecución de las obras de sismoresistencia de la casa de control. Se requiere el levantamiento de la ruta de cables y  las bandejas portacables de la sala de control, detallar las Bandejas como van soportadas ensala de control.</t>
  </si>
  <si>
    <t>PTE ENVIAR COMENTARIOS CODENSA</t>
  </si>
  <si>
    <t>PTE ENVIAR COMENTARIOS</t>
  </si>
  <si>
    <t>NO SE HA ENVIADO COMENTARIOS</t>
  </si>
  <si>
    <t>confirmar si se realiza o nó.</t>
  </si>
  <si>
    <t>D00249179</t>
  </si>
  <si>
    <t>D00249179000</t>
  </si>
  <si>
    <t>D00249252</t>
  </si>
  <si>
    <t>D00249252000</t>
  </si>
  <si>
    <r>
      <t xml:space="preserve">Realizar levantamiento e ingeniería eléctrica para el reemplazo de la protección de sobrecorriente. Se requiere el reemplazo del actual rele de sobrecorriente Arteche PL-250 y el rele de sincronismo Arteche PL-50 por un rele de sobrecorriente que integre las dos funciones. 
</t>
    </r>
    <r>
      <rPr>
        <b/>
        <sz val="11"/>
        <color rgb="FF000000"/>
        <rFont val="Calibri"/>
        <family val="2"/>
      </rPr>
      <t>NOTA:</t>
    </r>
    <r>
      <rPr>
        <sz val="11"/>
        <color rgb="FF000000"/>
        <rFont val="Calibri"/>
        <family val="2"/>
      </rPr>
      <t xml:space="preserve"> Codensa definirá el rele a instalar.</t>
    </r>
  </si>
  <si>
    <t>D00249500</t>
  </si>
  <si>
    <t>D00249500000</t>
  </si>
  <si>
    <t>D00249510</t>
  </si>
  <si>
    <t>D00249510000</t>
  </si>
  <si>
    <t>D00249543</t>
  </si>
  <si>
    <t>D00249543000</t>
  </si>
  <si>
    <t>D00249544</t>
  </si>
  <si>
    <t>D00249544000</t>
  </si>
  <si>
    <t>D00249540</t>
  </si>
  <si>
    <t>D00249540000</t>
  </si>
  <si>
    <t>D00249539</t>
  </si>
  <si>
    <t>D00249539000</t>
  </si>
  <si>
    <t>D00249370</t>
  </si>
  <si>
    <t>D00249370000</t>
  </si>
  <si>
    <t>D00249499</t>
  </si>
  <si>
    <t>D00249264</t>
  </si>
  <si>
    <t>D00249264000</t>
  </si>
  <si>
    <t xml:space="preserve">REGISTRO   </t>
  </si>
  <si>
    <t>Versión 3</t>
  </si>
  <si>
    <t xml:space="preserve">ACTA DE REUNIÓN </t>
  </si>
  <si>
    <t xml:space="preserve">FECHA: 
Febrero 2013
</t>
  </si>
  <si>
    <t>Página 1 de 2</t>
  </si>
  <si>
    <t>CONTRATO No.:</t>
  </si>
  <si>
    <t>PROYECTO:  Contrato de suministro de servicios No. 5700014501 - Servicios de ingeniería de subestaciones AT/AT, AT/MT y MT/MT y Líneas de AT.</t>
  </si>
  <si>
    <t xml:space="preserve">TEMAS: </t>
  </si>
  <si>
    <t>Revisión y liquidación de incentivos de seguridad trimestre Julio - Septiembre 2017.</t>
  </si>
  <si>
    <t>FECHA</t>
  </si>
  <si>
    <t>DÍA</t>
  </si>
  <si>
    <t>MES</t>
  </si>
  <si>
    <t>AÑO</t>
  </si>
  <si>
    <t>PARTICIPANTES</t>
  </si>
  <si>
    <t>EMPRESA</t>
  </si>
  <si>
    <t>FIRMA PARTICIPANTES</t>
  </si>
  <si>
    <t>DIANA GARCÍA</t>
  </si>
  <si>
    <t>CODENSA S.A. E.S.P.</t>
  </si>
  <si>
    <t>LEIDY MATEUS</t>
  </si>
  <si>
    <t>OBJETO DE LA REUNIÓN</t>
  </si>
  <si>
    <t>Revisión y liquidación de incentivos de seguridad.-</t>
  </si>
  <si>
    <t>TEMAS / COMPROMISOS</t>
  </si>
  <si>
    <r>
      <t xml:space="preserve">1. De acuerdo al numeral 13 del contrato: </t>
    </r>
    <r>
      <rPr>
        <b/>
        <sz val="10"/>
        <rFont val="Lucida Sans"/>
        <family val="2"/>
      </rPr>
      <t xml:space="preserve">AJUSTES AL PRECIO POR MEDICIÓN Y LIQUIDACIÓN DE ACUERDOS DE NIVEL DE SERVICIO SEGURIDAD Y SALUD LABORAL.   </t>
    </r>
    <r>
      <rPr>
        <sz val="10"/>
        <rFont val="Lucida Sans"/>
        <family val="2"/>
      </rPr>
      <t xml:space="preserve">
"...El valor del ANS de seguridad es el equivalente al 2% de la facturación mensual del contratista el cual puede ser un mayor valor en caso de cumplir el 100% de los ANS o un menor valor en caso que los servicios prestados no hayan cumplido con las características de seguridad plasmadas en los indicadores definidos. En la tabla anexa se refiere de acuerdo al valor de IVR IS los porcentajes a aplicar en el período.                                                                                                                                                                                                   </t>
    </r>
  </si>
  <si>
    <t>…".</t>
  </si>
  <si>
    <t>Según lo anterior el IVR para el trimestre Julio - Septiembre 2017 fue:</t>
  </si>
  <si>
    <r>
      <t>Se obtuvo el</t>
    </r>
    <r>
      <rPr>
        <b/>
        <sz val="10"/>
        <rFont val="Arial"/>
        <family val="2"/>
      </rPr>
      <t xml:space="preserve"> 85%</t>
    </r>
    <r>
      <rPr>
        <sz val="10"/>
        <rFont val="Arial"/>
        <family val="2"/>
      </rPr>
      <t xml:space="preserve"> como resultado del IVR del trimestre mencionado y según la tabla del numeral 13, el resultado de IVR entre 81 - 90, otorga a AC ENERGY SAS un incentivo del 1% a favor y se aplica con la facturación. </t>
    </r>
  </si>
  <si>
    <t>A continuación se relaciona la liquidación del trimestre:</t>
  </si>
  <si>
    <t>No Factura</t>
  </si>
  <si>
    <t xml:space="preserve">MES </t>
  </si>
  <si>
    <t xml:space="preserve">Fecha </t>
  </si>
  <si>
    <t xml:space="preserve">No </t>
  </si>
  <si>
    <t xml:space="preserve"> Valor Sin IVA </t>
  </si>
  <si>
    <t>Radicado</t>
  </si>
  <si>
    <t xml:space="preserve">Radicado </t>
  </si>
  <si>
    <t>Total Facturado Trimestre</t>
  </si>
  <si>
    <t xml:space="preserve">% Incentivo seguridad </t>
  </si>
  <si>
    <t>Subtotal</t>
  </si>
  <si>
    <t>Valor a Pagar</t>
  </si>
  <si>
    <t>PRÓXIMA REUNIÓN</t>
  </si>
  <si>
    <t>LUGAR</t>
  </si>
  <si>
    <t>_________</t>
  </si>
  <si>
    <t>____</t>
  </si>
  <si>
    <t>Revisión y liquidación de incentivos de seguridad trimestre Octubre - Diciembre  2017.</t>
  </si>
  <si>
    <t>Según lo anterior el IVR para el trimestre Octubre - Diciembre 2017 fue:</t>
  </si>
  <si>
    <t xml:space="preserve">Proyecto:CDIM_CBSGSM_R0146 NORMALIZ Y REPOS SE EL SOL </t>
  </si>
  <si>
    <t xml:space="preserve">CDIM_CBSGSM_R0146 NORMALIZ Y REPOS SE EL SOL </t>
  </si>
  <si>
    <t xml:space="preserve">D00249502 </t>
  </si>
  <si>
    <t>Proyecto:CDIM_CBSGSM_R0197 CONEXIÓN RÁPIDA BACATÁ</t>
  </si>
  <si>
    <t>CDIM_CBSGSM_R0197 CONEXIÓN RÁPIDA BACATÁ</t>
  </si>
  <si>
    <t>Ingeniería eléctrica para el montaje de una unidad de medida en el transformador de Servicios Auxiliares AC. Las señales de corrientes y tensión se toman  del tablero de transferencia de la subestación hasta el tablero de la unidad de medida mini-Mantis. 
FACTOR= ( 0.3(levantamiento) + 0.7(diseño) ) = (0.3(0) + 0.7(1))= 0.7</t>
  </si>
  <si>
    <t>Proyecto: CDIM_CBSGSM_R0159 NORMALIZACIÓN SERVICIOS ESENCIALES SSEE</t>
  </si>
  <si>
    <t>CDIM_CBSGSM_R0159 NORMALIZACIÓN SERVICIOS ESENCIALES SSEE</t>
  </si>
  <si>
    <t>D00249501</t>
  </si>
  <si>
    <t>D00249501000</t>
  </si>
  <si>
    <t>D00249402</t>
  </si>
  <si>
    <t>D00249402000</t>
  </si>
  <si>
    <t>D00249497</t>
  </si>
  <si>
    <t>D00249497000</t>
  </si>
  <si>
    <t>D00249381</t>
  </si>
  <si>
    <t>D00249381000</t>
  </si>
  <si>
    <t>D00249509</t>
  </si>
  <si>
    <t>D00249509000</t>
  </si>
  <si>
    <t>Ing. Néstor Marín / Paola Baratto</t>
  </si>
  <si>
    <t>valor ejecutado Acta No. 6 Marzo</t>
  </si>
  <si>
    <t>Acta N° 6: Marzo</t>
  </si>
  <si>
    <t>Periodo facturación: Marzo</t>
  </si>
  <si>
    <t>valor ejecutado Acta No. 7 Marzo</t>
  </si>
  <si>
    <t>ACTA 7</t>
  </si>
  <si>
    <t xml:space="preserve">Acta N° 7: Marzo </t>
  </si>
  <si>
    <t xml:space="preserve">Realizar  ingeniería civil para el reemplazo de la base existente del transformador D1 34.5/11.4 kV. Para los diseños se debe considerar la restricción del espacio, la ubicación de los pórticos proyectados y que la carga del transformador de Potencia sea para uno de mayor capacidad. </t>
  </si>
  <si>
    <t>CDIM_CBSGSM_R0208.</t>
  </si>
  <si>
    <t>Proyecto: CDIM_CBSGSM_R0208.</t>
  </si>
  <si>
    <t>Acta N° 1: Marzo</t>
  </si>
  <si>
    <t>valor ejecutado Acta No. 1 Marzo</t>
  </si>
  <si>
    <t>CHÍA</t>
  </si>
  <si>
    <r>
      <rPr>
        <b/>
        <sz val="10"/>
        <color theme="1"/>
        <rFont val="Arial"/>
        <family val="2"/>
      </rPr>
      <t>1. Alcance:</t>
    </r>
    <r>
      <rPr>
        <sz val="10"/>
        <color theme="1"/>
        <rFont val="Arial"/>
        <family val="2"/>
      </rPr>
      <t xml:space="preserve"> Esta acta corresponde al avance de la orden de trabajo, de acuerdo con el detalle mostrado en el anexo Acta de avance de obra para el mes de Marzo de </t>
    </r>
    <r>
      <rPr>
        <b/>
        <sz val="10"/>
        <color theme="1"/>
        <rFont val="Arial"/>
        <family val="2"/>
      </rPr>
      <t>2018.</t>
    </r>
  </si>
  <si>
    <t>OT: 18-024</t>
  </si>
  <si>
    <t>Acta N° 3: Marzo</t>
  </si>
  <si>
    <t>valor ejecutado Acta No. 3 Marzo</t>
  </si>
  <si>
    <t>valor ejecutado Acta No. 4 Marzo</t>
  </si>
  <si>
    <t>Acta N° 4: Marzo</t>
  </si>
  <si>
    <t>Acta N° 5: Marzo</t>
  </si>
  <si>
    <t xml:space="preserve">valor ejecutado Acta No. 6 Marzo </t>
  </si>
  <si>
    <t>Acta N° 2: Marzo</t>
  </si>
  <si>
    <t>valor ejecutado Acta No. 2 Marzo</t>
  </si>
  <si>
    <t xml:space="preserve">valor ejecutado Acta No. 7 Marzo </t>
  </si>
  <si>
    <t>Acta N° 7: Marzo</t>
  </si>
  <si>
    <t>Periodo Facturación: Marzo</t>
  </si>
  <si>
    <t>valor ejecutado Acta No. 5 Marzo</t>
  </si>
  <si>
    <t xml:space="preserve">valor ejecutado Acta No. 4 Marzo </t>
  </si>
  <si>
    <t xml:space="preserve">valor ejecutado Acta No. 5 Marzo </t>
  </si>
  <si>
    <t xml:space="preserve">Acta N° 2: Marzo </t>
  </si>
  <si>
    <t xml:space="preserve">valor ejecutado Acta No. 3 Marzo </t>
  </si>
  <si>
    <t xml:space="preserve">valor ejecutado Acta No. 5 Mazo </t>
  </si>
  <si>
    <t xml:space="preserve">Acta N° 4: Marzo </t>
  </si>
  <si>
    <t>Acta N° 2:  Marzo</t>
  </si>
  <si>
    <t xml:space="preserve">valor ejecutado Acta No. 2 Marzo </t>
  </si>
  <si>
    <t xml:space="preserve">Acta N° 3: Marzo </t>
  </si>
  <si>
    <t xml:space="preserve">Periodo facturación: Marzo </t>
  </si>
  <si>
    <t xml:space="preserve">ACTA 2 </t>
  </si>
  <si>
    <t>Acta N° 2:Marzo</t>
  </si>
  <si>
    <t>Acta N° 3:  Marzo</t>
  </si>
  <si>
    <t xml:space="preserve">CDIM_CAOLIG_R0078 - RES. CREG 038-14 </t>
  </si>
  <si>
    <t xml:space="preserve">Proyecto: CDIM_CAOLIG_R0078 - RES. CREG 038-14 </t>
  </si>
  <si>
    <t>OT: 18-025</t>
  </si>
  <si>
    <t>OT: 18-026</t>
  </si>
  <si>
    <t>Labor asimilada para el cálculo de Burden y reorganización de Borneras para la distribución de las señales de tensión en un juego PT´s (3 Unidades).  
INGENIERÍA ELÉCTRICA=
0.3x(levantamiento) + 0.7 x( diseño)= 0.3x(0) + 0.7x(50%) = 0.35</t>
  </si>
  <si>
    <t xml:space="preserve">Ingeniería eléctrica para la instalación de una UDM calidad de potencia, el diseño eléctrico es elaborado por AC Energy en la OT17-389 e incluidos en los diseños de la 87B . </t>
  </si>
  <si>
    <t>Labor asimilada para realizar:
-La ingeniería eléctrica del arranque de los ventiladores e implementación de los medidores de aceite.
-Presentar Los planos eléctricos de las alimentaciones deL Transformador R2 115/34.5kV
FACTOR= 0.3x(Levantamiento) + 0.7X(Diseño) = 0.3x(0.0) + 0.7X(0.35) = 0.245</t>
  </si>
  <si>
    <t>Labor asimilada para el cálculo de Burden y la corrección de la cargabilidad  del núcleo de medida para un juego CT´s (3 Unidades).  INGENIERÍA ELÉCTRICA =
0.3x(levantamiento) + 0.7 x(diseño)=0.30x(0.00) + 0.70x(0.40)=0.28</t>
  </si>
  <si>
    <t>Ingeniería eléctrica para la instalación de dos medidores digitales NEXUS 1500, un medidor ITRON 7700 y un medidor ION 7300. 
INGENIERÍA MECÁNICA =0.3x(levantamiento) + 0.7 x(diseño)= 0.30x(0.00) + 0.70x(1)= 0.7 (medidor ITRON 7700 y medidor ION 7300).
INGENIERÍA ELÉCTRICA =0.3x(levantamiento) + 0.7 x(diseño)= 0.30x(0.00) + 0.70x(2)= 1.4</t>
  </si>
  <si>
    <t>Incremento por ubicación</t>
  </si>
  <si>
    <t>CDIM_CBSGSM_R0149, N3_NORMALIZACION_TABLEROS_SE_SESQUILE.</t>
  </si>
  <si>
    <t>Proyecto:CDIM_CBSGSM_R0149, N3_NORMALIZACION_TABLEROS_SE_SESQUILE.</t>
  </si>
  <si>
    <t>UNIÓN BARRA 13,2kV</t>
  </si>
  <si>
    <r>
      <rPr>
        <b/>
        <sz val="11"/>
        <color rgb="FFFF0000"/>
        <rFont val="Calibri"/>
        <family val="2"/>
      </rPr>
      <t xml:space="preserve">M-23 </t>
    </r>
    <r>
      <rPr>
        <sz val="11"/>
        <color rgb="FF000000"/>
        <rFont val="Calibri"/>
        <family val="2"/>
      </rPr>
      <t>Ingenieria para el montaje de un nuevo modulo de circuito/transformador de 11,4  o 13,2 kV en subestacion reducida con reconectador y seccionadores (tripolares o monopolares) - UNIDAD DE MEDIDA : C/U</t>
    </r>
  </si>
  <si>
    <t>SM23CIM</t>
  </si>
  <si>
    <t>Realizar levantamiento e ingeniería civil, mecánica y eléctrica  para el montaje de un nuevo módulo Unión  Barra 13.2kV en la subestación Chinauta.</t>
  </si>
  <si>
    <t>SM23ELE</t>
  </si>
  <si>
    <t>Subtotal labores No. 23:</t>
  </si>
  <si>
    <t>CDIE_CBCCSM_R0191, PC2 - REDISEÑO ACOPLE BARRAS SE MT-MT.</t>
  </si>
  <si>
    <t>Proyecto: CDIE_CBCCSM_R0191, PC2 - REDISEÑO ACOPLE BARRAS SE MT-MT.</t>
  </si>
  <si>
    <t>OT: 18-027</t>
  </si>
  <si>
    <t>OT: 18-028</t>
  </si>
  <si>
    <t>Realizar levantamiento e ingeniería civil, mecánica y eléctrica  para el montaje de un nuevo módulo Unión  Barra 13.2kV en la subestación El Hobal</t>
  </si>
  <si>
    <t>BARRA</t>
  </si>
  <si>
    <t>Labor asimilada para la elaboración de planos As Built a partir del rojo verde suministrado por codensa.
Ingeniería para el reemplazo de un juego PT´s (3 Unidades).</t>
  </si>
  <si>
    <t>Labor asimilada para la elaboración de planos As Built a partir del rojo verde suministrado por codensa.</t>
  </si>
  <si>
    <t>BARRA 13,2 kV</t>
  </si>
  <si>
    <t>CIRCUITO MINERO 13,2kV</t>
  </si>
  <si>
    <t>Labor asimilada para la elaboración de planos As Built a partir del rojo verde suministrado por codensa. 
Ingeniería para el reemplazo de la UDM.</t>
  </si>
  <si>
    <t>CIRCUITO NEUSA 13,2kV</t>
  </si>
  <si>
    <t>CIRCUITO PEDREGAL  13,2kV</t>
  </si>
  <si>
    <t>Labor asimilada para la elaboración de planos As Built a partir del rojo verde suministrado por codensa.
 Ingeniería para el montaje de una unidad de medida ELSTER A1800.</t>
  </si>
  <si>
    <t>Labor asimilada para la elaboración de planos As Built a partir del rojo verde suministrado por codensa. 
Diseño del sistema de apantallamiento para subestación</t>
  </si>
  <si>
    <r>
      <rPr>
        <b/>
        <sz val="11"/>
        <color rgb="FFFF0000"/>
        <rFont val="Calibri"/>
        <family val="2"/>
      </rPr>
      <t xml:space="preserve">L-68 </t>
    </r>
    <r>
      <rPr>
        <sz val="11"/>
        <color rgb="FF000000"/>
        <rFont val="Calibri"/>
        <family val="2"/>
      </rPr>
      <t>Estudio y cálculo de iluminación exterior para subestación - UNIDAD DE MEDIDA: Global</t>
    </r>
  </si>
  <si>
    <t>SL68ELM</t>
  </si>
  <si>
    <t>Labor asimilada para la elaboración de planos As Built a partir del rojo verde suministrado por codensa. 
Diseño de iluminación exterior para subestación.</t>
  </si>
  <si>
    <t>Subtotal labores No. 68:</t>
  </si>
  <si>
    <t>Labor asimilada para la elaboración de planos As Built a partir del rojo verde suministrado por codensa.
 Ingeniería para el montaje de un juego CT´s (3 Unidades).</t>
  </si>
  <si>
    <t>Labor asimilada para la elaboración de planos As Built a partir del rojo verde suministrado por Codensa. 
Ingeniería para el montaje de dos unidades de medida ELSTER A1800.</t>
  </si>
  <si>
    <t>TRANSFORMADOR D2 34,5/13.2 kV</t>
  </si>
  <si>
    <t>Labor asimilada para la elaboración de planos As Built a partir del rojo verde suministrado por codensa.
Ingeniería para el montaje de dos unidades de medida ELSTER A1800.</t>
  </si>
  <si>
    <t>CDIE_CBCCSM_R0183 - NORMALIZACIÓN SE MT-MT.</t>
  </si>
  <si>
    <t>Proyecto: CDIE_CBCCSM_R0183 - NORMALIZACIÓN SE MT-MT.</t>
  </si>
  <si>
    <t>OT: 18-029</t>
  </si>
  <si>
    <t>CALLE PRIMERA 115 kV</t>
  </si>
  <si>
    <t>Labor asimilada para la elaboración de planos As Built a partir del rojo verde suministrado por Codensa.
Revisión de la ingeniería desarrollada por PECS, actualización de planos del módulo y normalización de acuerdo a la ingeniería de CODENSA NO-047.</t>
  </si>
  <si>
    <t>OT: 18-030</t>
  </si>
  <si>
    <t>Proyecto: CDIE_CBCCSM_R0184, PC1 - REPOSICIÓN INTERRUPTORES AT.</t>
  </si>
  <si>
    <t>CDIE_CBCCSM_R0184, PC1 - REPOSICIÓN INTERRUPTORES AT.</t>
  </si>
  <si>
    <t>D00249271</t>
  </si>
  <si>
    <t>D00249271000</t>
  </si>
  <si>
    <t>LÍNEA SALITRE 115 kV</t>
  </si>
  <si>
    <t xml:space="preserve">Labor asimilada para la elaboración de planos As Built a partir del rojo verde suministrado por Codensa.
Ingeniería para el reemplazo del interruptor de potencia del módulo línea 115kV. </t>
  </si>
  <si>
    <t>Labor asimilada para la elaboración de planos As Built a partir del rojo verde suministrado por Codensa.
Ingeniería para el reemplazo del interruptor de potencia lado 115 kV.</t>
  </si>
  <si>
    <t>OT: 18-031</t>
  </si>
  <si>
    <t>OT: 18-032</t>
  </si>
  <si>
    <t>LA PAZ 115 kV</t>
  </si>
  <si>
    <t>Labor asimilada para la elaboración de planos As Built a partir del rojo verde suministrado por Codensa.
Ingeniería para el reemplazo del interruptor de potencia del módulo de Línea 115kV.</t>
  </si>
  <si>
    <t>Labor asimilada para la elaboración de planos As Built a partir del rojo verde suministrado por Codensa.
Realizar la modificación y actualización de planos del módulo de línea 115kV.</t>
  </si>
  <si>
    <t>OT: 18-033</t>
  </si>
  <si>
    <t>AUTOPISTA 115 kV</t>
  </si>
  <si>
    <t>Labor asimilada para la elaboración de planos As Built a partir del rojo verde suministrado por Codensa.
Reemplazo del interruptor ASEA teniendo en cuenta instalación de un interruptor SIEMENS.</t>
  </si>
  <si>
    <t>Labor asimilada para la elaboración de planos As Built a partir del rojo verde suministrado por Codensa.
Normalización de polaridades en control y protecciones, independización de disparos en bobinas 1 y 2 y revisión de enclavamientos y señalización.</t>
  </si>
  <si>
    <t>BACATÁ 115 kV</t>
  </si>
  <si>
    <t>OT: 18-034</t>
  </si>
  <si>
    <t>CDIM_CBSGSM_R0146 - NORMALIZACIÓN Y REPOSICIÓN EL SOL</t>
  </si>
  <si>
    <t>Realizar la revisión de la ingeniería desarrollada por PECS y actualización de planos del módulo de Transformador  según los criterios de la NO-047.  Se trabaja como elemento de entrada el diseño realizado por PECS y la normalización de acuerdo a la revisión de la ingeniería.</t>
  </si>
  <si>
    <t xml:space="preserve">Realizar ingeniería  eléctrica  y mecánica para integrar el relé regulador de Tensión en el tablero de control y protecciones del Transformador R1 115/34.5kV. </t>
  </si>
  <si>
    <t>Labor asimilada para integrar las protecciones mecánicas, control de ventilación  y control cambiador de tomas  en el tablero de control y protecciones del Transformador R1 115/34.5kV. 
FACTOR= 0.3x(levantamiento) + 0.7x(diseño) = 0.3x(0.0) + 0.7x(0.5) = 0.15+0.35=0.45</t>
  </si>
  <si>
    <t xml:space="preserve">Realizar la  ingeniería mecánica  para integrar las protecciones mecánicas, control de ventilación  y control cambiador de tomas  en el tablero de control y protecciones del Transformador R1 115/34.5kV. </t>
  </si>
  <si>
    <t>OT: 18-035</t>
  </si>
  <si>
    <t>Labor asimilada para el cálculo de Burden y la corrección de la cargabilidad  del núcleo de medida para un (1) juego PT´s (3 Unidades). 
INGENIERÍA ELÉCTRICA =0.3x(levantamiento) + 0.7 x(diseño)=0.30x(0.00) + 0.70x(0.50)=0.35</t>
  </si>
  <si>
    <t>Realizar levantamiento mecánico del tablero +W3F para instalación de Switch de comunicaciones, borneras y resistencias de compensación para los transformadores de tensión.</t>
  </si>
  <si>
    <t>Labor asimilada para el cálculo de Burden y la corrección de la cargabilidad  del núcleo de medida para un juego CT´s (3 Unidades).
INGENIERÍA ELÉCTRICA =0.3x(levantamiento) + 0.7x(diseño)=0.30x(0.00) + 0.70x(0.40)=0.28</t>
  </si>
  <si>
    <t>Realizar levantamiento mecánico e Ingeniería mecánica  y eléctrica para la instalación de dos medidores digitales ELSTER A1800. Los medidores digitales se instalarán en el tablero +W4F del transformador D1 115/11.4kV.</t>
  </si>
  <si>
    <t>Labor asimilada para el cálculo de Burden y la corrección de la cargabilidad  del núcleo de medida para un juego CT´s (3 Unidades). 
INGENIERÍA ELÉCTRICA =0.3x(levantamiento) + 0.7x(diseño)=0.30x(0.00) + 0.70x(0.40)=0.28</t>
  </si>
  <si>
    <t>Realizar levantamiento mecánico e Ingeniería mecánica  y eléctrica para la instalación de dos medidores digitales ELSTER A1800. Los medidores digitales se instalarán en el tablero +W5F del transformador D2 115/11.4kV</t>
  </si>
  <si>
    <t xml:space="preserve">Ingeniería eléctrica para el montaje de una unidad de medida en el transformador de Servicios Auxiliares AC. </t>
  </si>
  <si>
    <t>Diseño civil y mecánico de canalizaciones en Potencia desde el tablero Mantis al carcamo existente.
Factor=  (10HH(dibujo)+ 12HH(diseño)+ 2HH(Revisión y Supervisión Coordinador)) =24HH</t>
  </si>
  <si>
    <t>OT: 18-036</t>
  </si>
  <si>
    <t>Ingeniería para construcción de casa de control para la subestación Noroeste 230/115/34.5/11.4kV.</t>
  </si>
  <si>
    <t>Proyecto: Ingeniería para construcción de casa de control para la subestación Noroeste 230/115/34.5/11.4kV.</t>
  </si>
  <si>
    <r>
      <rPr>
        <b/>
        <sz val="11"/>
        <color rgb="FFFF0000"/>
        <rFont val="Calibri"/>
        <family val="2"/>
      </rPr>
      <t>L-72</t>
    </r>
    <r>
      <rPr>
        <b/>
        <sz val="11"/>
        <color theme="1"/>
        <rFont val="Calibri"/>
        <family val="2"/>
      </rPr>
      <t xml:space="preserve"> </t>
    </r>
    <r>
      <rPr>
        <sz val="11"/>
        <color theme="1"/>
        <rFont val="Calibri"/>
        <family val="2"/>
      </rPr>
      <t>Ingeniería para construcción de casa de control para subestación (hasta 350 m2) - UNIDAD DE MEDIDA: Global</t>
    </r>
  </si>
  <si>
    <r>
      <t xml:space="preserve">Labor asimilada para realizar la adecuación de la Ingeniería civil elaborada por AC ENERGY S.A.S. para la construcción de la casa de control en la subestación Noroeste 230/115/34.5/11.4kV. Se instalarán dos trenes de celdas 34.5kV marca EFACEC, un tren de celdas 11.4kV marca EFACEC y un  tren existente de 11,4kV marca SIEMENS que se encuentra instalado a la intemperie en la subestación.
Se requiere:
- La modificación en la distribución de vigas y viguetas para el área del tren de celdas de 11,4kV SIEMENS
- La evaluación de cargas
- Revisión en general del diseño
</t>
    </r>
    <r>
      <rPr>
        <b/>
        <sz val="11"/>
        <color theme="1"/>
        <rFont val="Calibri"/>
        <family val="2"/>
      </rPr>
      <t xml:space="preserve">Nota: </t>
    </r>
    <r>
      <rPr>
        <sz val="11"/>
        <color theme="1"/>
        <rFont val="Calibri"/>
        <family val="2"/>
      </rPr>
      <t>La Ingeniería civil fue elaborada por AC Energy S.A.S. con la OT16-119. 
Se cobra el 60% de la unidad del Baremo para la adecuación de la casa de control.
FACTOR= 0.3x(LEV) + 0.7X(DIS) = 0.3x(0.0) + 0.7X(0.6) =  0.0 +  0.42 = 0.42</t>
    </r>
  </si>
  <si>
    <t>D00249503</t>
  </si>
  <si>
    <t>D00249503000</t>
  </si>
  <si>
    <t xml:space="preserve">Proyecto: </t>
  </si>
  <si>
    <t>OT: 18-037</t>
  </si>
  <si>
    <r>
      <t xml:space="preserve">Labor asimilada para elaborar el plano de planta de la subestación Compartir teniendo en cuenta la integración de todos los diseños realizados.
</t>
    </r>
    <r>
      <rPr>
        <b/>
        <sz val="11"/>
        <color rgb="FF000000"/>
        <rFont val="Calibri"/>
        <family val="2"/>
      </rPr>
      <t>Nota:</t>
    </r>
    <r>
      <rPr>
        <sz val="11"/>
        <color rgb="FF000000"/>
        <rFont val="Calibri"/>
        <family val="2"/>
      </rPr>
      <t xml:space="preserve"> Los diseños fueron elaborados con la OT16-048</t>
    </r>
  </si>
  <si>
    <r>
      <t xml:space="preserve">Labor asimilada para la impresión de planos de la casa de control y estudio geotecnico requeridos para el tramite de licencia de construcción de la subestación Compartir. 
</t>
    </r>
    <r>
      <rPr>
        <b/>
        <sz val="11"/>
        <color rgb="FF000000"/>
        <rFont val="Calibri"/>
        <family val="2"/>
      </rPr>
      <t>Nota:</t>
    </r>
    <r>
      <rPr>
        <sz val="11"/>
        <color rgb="FF000000"/>
        <rFont val="Calibri"/>
        <family val="2"/>
      </rPr>
      <t xml:space="preserve"> Los diseños fueron elaborados con la OT16-048</t>
    </r>
  </si>
  <si>
    <t xml:space="preserve"> PLANOS AS-BUILT SSEE CAQUEZA</t>
  </si>
  <si>
    <t>Proyecto:  PLANOS AS-BUILT SSEE CAQUEZA</t>
  </si>
  <si>
    <t>OT: 18-038</t>
  </si>
  <si>
    <t>LA REFORMA 115KV</t>
  </si>
  <si>
    <t>Realizar la elaboración de planos As Built a partir del rojo verde suministrado por Codensa.
Normalización de los módulos de Linea 115kV</t>
  </si>
  <si>
    <t>LA VICTORIA 115 kV</t>
  </si>
  <si>
    <t>TRANSFORMADOR DR1 115/34.5/13.2 kV</t>
  </si>
  <si>
    <t>Realizar la elaboración de planos As Built a partir del rojo verde suministrado por Codensa.
Normalización de módulo de  Transformador  115/34.5/13.2 kV.</t>
  </si>
  <si>
    <t>PROTECCIÓN DIFERENCIAL BARRAS 115kV</t>
  </si>
  <si>
    <t>Realizar la elaboración de planos As Built a partir del rojo verde suministrado por Codensa.
 Normalización de la Protección diferencial de Barra 115kV</t>
  </si>
  <si>
    <t>D00235037</t>
  </si>
  <si>
    <t>D00235037000</t>
  </si>
  <si>
    <t>OT: 18-039</t>
  </si>
  <si>
    <t>CDIE_CBCCSM_R0181-REPOSICION DE PROTECCIONES</t>
  </si>
  <si>
    <t>Proyecto:  CDIE_CBCCSM_R0181-REPOSICION DE PROTECCIONES</t>
  </si>
  <si>
    <t>Realizar levantamiento e ingeniería mecánica y eléctrica para el reemplazo del relé regulador de Tensión en el actual tablero RVD1 de acuerdo a los criterios de ingeniería NO-047.</t>
  </si>
  <si>
    <t>TRANSFORMADOR D2 115/11.4kV</t>
  </si>
  <si>
    <t>Realizar levantamiento e ingeniería mecánica y eléctrica para el reemplazo del relé regulador de Tensión en el actual tablero RVD2 de acuerdo a los criterios de ingeniería NO-047.</t>
  </si>
  <si>
    <t>Realizar levantamiento e ingeniería mecánica y eléctrica para el reemplazo del relé regulador de Tensión en el actual tablero RVD3 de acuerdo a los criterios de ingeniería NO-047.</t>
  </si>
  <si>
    <t>Realizar levantamiento e ingeniería mecánica y eléctrica para el reemplazo de la protección Diferencial de Barra 115kV de acuerdo a los criterios de ingeniería NO-047.</t>
  </si>
  <si>
    <t>D00249256</t>
  </si>
  <si>
    <t>D00249256000</t>
  </si>
  <si>
    <t>OT: 18-040</t>
  </si>
  <si>
    <t>D00249255</t>
  </si>
  <si>
    <t>D00249255000</t>
  </si>
  <si>
    <t>OT: 18-041</t>
  </si>
  <si>
    <t xml:space="preserve">Realizar la ingeniería mecánica y eléctrica para la redistribución de las señales que van al relé SEL-487B  protección Diferencial de Barra 115kV.
FACTOR ELÉCTRICO= 0.3x(levantamiento) + 0.7x(diseño)= 0.3(0.0)+0.7x(36%) = 0.25 
FACTOR MECÁNICO= 0.3x(levantamiento) + 0.7x(diseño)= 0.3(0.0)+0.7x(50%) = 0.35
</t>
  </si>
  <si>
    <t>OT: 18-042</t>
  </si>
  <si>
    <t xml:space="preserve">CDIE_CBCCSM_R0181-REPOSICION DE PROTECCIONES </t>
  </si>
  <si>
    <t xml:space="preserve">Proyecto: CDIE_CBCCSM_R0181-REPOSICION DE PROTECCIONES </t>
  </si>
  <si>
    <t>OT: 18-043</t>
  </si>
  <si>
    <t>Proyecto: CDIE_CBCCSM_R0181-REPOSICION DE PROTECCIONES</t>
  </si>
  <si>
    <t>OT: 18-044</t>
  </si>
  <si>
    <t>OT: 18-045</t>
  </si>
  <si>
    <t>CDIM_CBSGSM_R0206.</t>
  </si>
  <si>
    <t>Proyecto:CDIM_CBSGSM_R0206.</t>
  </si>
  <si>
    <r>
      <rPr>
        <sz val="11"/>
        <color rgb="FFFF0000"/>
        <rFont val="Calibri"/>
        <family val="2"/>
      </rPr>
      <t xml:space="preserve">L-52 </t>
    </r>
    <r>
      <rPr>
        <sz val="11"/>
        <color rgb="FF000000"/>
        <rFont val="Calibri"/>
        <family val="2"/>
      </rPr>
      <t>Ingeniería para construcción de instalación provisional para cambio de tren de celdas de 11,4 kV, 13,2 kV o 34,5 kV - UNIDAD DE MEDIDA C/U</t>
    </r>
  </si>
  <si>
    <t>Realizar el levantamiento civil, mecánico y eléctrico para la instalación de provisional de un tren de celdas de la fila D1 11.4kV. Se plantea un tren de celdas provisional ubicado en el parqueadero costado sur de la casa de control,   un tren de celdas provisional ubicado en el costado occidental de la casa de control y  un tren de celdas provisional ubicado frente a la caja de maniobras en el costado norte de la casa de control.</t>
  </si>
  <si>
    <t>Subtotal Labor No 52</t>
  </si>
  <si>
    <r>
      <rPr>
        <sz val="11"/>
        <color rgb="FFFF0000"/>
        <rFont val="Calibri"/>
        <family val="2"/>
      </rPr>
      <t>M-22</t>
    </r>
    <r>
      <rPr>
        <sz val="11"/>
        <color rgb="FF000000"/>
        <rFont val="Calibri"/>
        <family val="2"/>
      </rPr>
      <t xml:space="preserve"> Ingeniería para el montaje y/o reemplazo de un tren de celdas Metal Clad 11,4 kV   - UNIDAD DE MEDIDA Global por fila (Hasta 12 Celdas de Salida+Hasta 2 Celdas de Entrada+1 Celda de Medida+3 Celdas de Acople+1 Celda de Compensación Capacitiva)</t>
    </r>
  </si>
  <si>
    <r>
      <t xml:space="preserve">Realizar el Diseño civil, mecánico y eléctrico para el reemplazo de las celdas Magrini de la fila D1 11.4kV por celdas ABB. 
</t>
    </r>
    <r>
      <rPr>
        <b/>
        <sz val="11"/>
        <color rgb="FF000000"/>
        <rFont val="Calibri"/>
        <family val="2"/>
      </rPr>
      <t>Nota:</t>
    </r>
    <r>
      <rPr>
        <sz val="11"/>
        <color rgb="FF000000"/>
        <rFont val="Calibri"/>
        <family val="2"/>
      </rPr>
      <t xml:space="preserve"> 
Para el diseño civil de la caja de paso que recibe la bajante de cables 11.4kV, se debe tener en cuenta la ingeniería a futuro del foso colector de aceite y muro cortafuegos
Para el diseño civil de las celdas de 11.4kV se debe tener en cuenta la ingeniería a futuro de la sismoresistencia de la casa de control.</t>
    </r>
  </si>
  <si>
    <t>Subtotal Labor No 22</t>
  </si>
  <si>
    <r>
      <rPr>
        <sz val="11"/>
        <color rgb="FFFF0000"/>
        <rFont val="Calibri"/>
        <family val="2"/>
      </rPr>
      <t>L-52</t>
    </r>
    <r>
      <rPr>
        <sz val="11"/>
        <color rgb="FF000000"/>
        <rFont val="Calibri"/>
        <family val="2"/>
      </rPr>
      <t xml:space="preserve"> Ingeniería para construcción de instalación provisional para cambio de tren de celdas de 11,4 kV, 13,2 kV o 34,5 kV - UNIDAD DE MEDIDA C/U</t>
    </r>
  </si>
  <si>
    <t>Realizar el levantamiento civil, mecánico y eléctrico para la instalación de provisional de un tren de celdas de la fila D2 11.4kV. Se plantea un tren de celdas provisional ubicado en el parqueadero costado sur de la casa de control,   un tren de celdas provisional ubicado en el costado occidental de la casa de control y  un tren de celdas provisional ubicado frente a la caja de maniobras en el costado norte de la casa de control.</t>
  </si>
  <si>
    <r>
      <rPr>
        <sz val="11"/>
        <color rgb="FFFF0000"/>
        <rFont val="Calibri"/>
        <family val="2"/>
      </rPr>
      <t xml:space="preserve">M-22 </t>
    </r>
    <r>
      <rPr>
        <sz val="11"/>
        <color rgb="FF000000"/>
        <rFont val="Calibri"/>
        <family val="2"/>
      </rPr>
      <t>Ingeniería para el montaje y/o reemplazo de un tren de celdas Metal Clad 11,4 kV   - UNIDAD DE MEDIDA Global por fila (Hasta 12 Celdas de Salida+Hasta 2 Celdas de Entrada+1 Celda de Medida+3 Celdas de Acople+1 Celda de Compensación Capacitiva)</t>
    </r>
  </si>
  <si>
    <r>
      <t xml:space="preserve">Realizar el Diseño civil, mecánico y eléctrico para el reemplazo de las celdas Magrini de la fila D2 11.4kV por celdas ABB. 
</t>
    </r>
    <r>
      <rPr>
        <b/>
        <sz val="11"/>
        <color rgb="FF000000"/>
        <rFont val="Calibri"/>
        <family val="2"/>
      </rPr>
      <t>Nota:</t>
    </r>
    <r>
      <rPr>
        <sz val="11"/>
        <color rgb="FF000000"/>
        <rFont val="Calibri"/>
        <family val="2"/>
      </rPr>
      <t xml:space="preserve"> 
Para el diseño civil de la caja de paso que recibe la bajante de cables 11.4kV, se debe tener en cuenta la ingeniería a futuro del foso colector de aceite y muro cortafuegos
Para el diseño civil de las celdas de 11.4kV se debe tener en cuenta la ingeniería a futuro de la sismoresistencia de la casa de control.</t>
    </r>
  </si>
  <si>
    <t>Realizar el levantamiento civil, mecánico y eléctrico para la instalación de provisional de un tren de celdas de la fila D3 11.4kV. Se plantea un tren de celdas provisional ubicado en el parqueadero costado sur de la casa de control,   un tren de celdas provisional ubicado en el costado occidental de la casa de control y  un tren de celdas provisional ubicado frente a la caja de maniobras en el costado norte de la casa de control.</t>
  </si>
  <si>
    <r>
      <t xml:space="preserve">Realizar el Diseño civil, mecánico y eléctrico para el reemplazo de las celdas Magrini de la fila D3 11.4kV por celdas ABB. 
</t>
    </r>
    <r>
      <rPr>
        <b/>
        <sz val="11"/>
        <color rgb="FF000000"/>
        <rFont val="Calibri"/>
        <family val="2"/>
      </rPr>
      <t>Nota:</t>
    </r>
    <r>
      <rPr>
        <sz val="11"/>
        <color rgb="FF000000"/>
        <rFont val="Calibri"/>
        <family val="2"/>
      </rPr>
      <t xml:space="preserve"> 
Para el diseño civil de la caja de paso que recibe la bajante de cables 11.4kV, se debe tener en cuenta la ingeniería a futuro del foso colector de aceite y muro cortafuegos
Para el diseño civil de las celdas de 11.4kV se debe tener en cuenta la ingeniería a futuro de la sismoresistencia de la casa de control.</t>
    </r>
  </si>
  <si>
    <t>OT: 18-046</t>
  </si>
  <si>
    <t>Proyecto:CDIM_CBSGSM_R0204</t>
  </si>
  <si>
    <t>CDIM_CBSGSM_R0204</t>
  </si>
  <si>
    <t>Realizar el Diseño civil, mecánico y eléctrico para la instalación de provisional de un tren de celdas de la Fila D1 11.4kV. 
Se plantea un tren de celdas provisional ubicada en el área diagonal al transformador D3 115/11.4KV frente a la caja de maniobras y dos trenes de celdas provisionales en el parqueadero de la subestación.</t>
  </si>
  <si>
    <r>
      <t xml:space="preserve">Realizar el Diseño civil, mecánico y eléctrico para el reemplazo de las celdas Magrini de la fila D1 11.4kV por celdas ABB. 
A solicitud de Codensa se sugiere el no desplazamiento del Transformador de potencia, es por ello que para el diseño de la bajante de los cables se plantea dos opciones: 
- El diseño de la bajante de los cables 11.4kV se realice a un costado del Transformador
- El diseño de la bajante de los cables 11.4kV se realice en frente del Transformador. 
Según levantamientos elaborados por AC Energy  y los diseños de sismoresistencia de la casa de control  entregados por Codensa, se evaluará la alternativa mas apropiada para el diseño civil y mecánico de la bajante de cables 11.4kV. 
</t>
    </r>
    <r>
      <rPr>
        <b/>
        <sz val="11"/>
        <color rgb="FF000000"/>
        <rFont val="Calibri"/>
        <family val="2"/>
      </rPr>
      <t>Nota:</t>
    </r>
    <r>
      <rPr>
        <sz val="11"/>
        <color rgb="FF000000"/>
        <rFont val="Calibri"/>
        <family val="2"/>
      </rPr>
      <t xml:space="preserve"> 
Para el diseño civil de la caja de paso que recibe la bajante de cables 11.4kV, se debe tener en cuenta la ingeniería a futuro del foso colector de aceite y muro cortafuegos.
Codensa enviará los planos as built de fabricación de las celdas..</t>
    </r>
  </si>
  <si>
    <t>Realizar el Diseño civil, mecánico y eléctrico para la instalación de provisional de un tren de celdas de la Fila D2 11.4kV. Se plantea un tren de celdas provisional ubicada en el área diagonal al transformador D3 115/11.4KV frente a la caja de maniobras y dos trenes de celdas provisionales en el parqueadero de la subestación.</t>
  </si>
  <si>
    <r>
      <t xml:space="preserve">Realizar el Diseño civil, mecánico y eléctrico para el reemplazo de las celdas Magrini de la fila D2 11.4kV por celdas ABB. 
A solicitud de Codensa se sugiere el no desplazamiento del Transformador de potencia, es por ello que para el diseño de la bajante de los cables se plantea dos opciones: 
- El diseño de la bajante de los cables 11.4kV se realice a un costado del Transformador
- El diseño de la bajante de los cables 11.4kV se realice en frente del Transformador. 
Según levantamientos elaborados por AC Energy  y los diseños de sismoresistencia de la casa de control  entregados por Codensa, se evaluará la alternativa mas apropiada para el diseño civil y mecánico de la bajante de cables 11.4kV. 
</t>
    </r>
    <r>
      <rPr>
        <b/>
        <sz val="11"/>
        <color rgb="FF000000"/>
        <rFont val="Calibri"/>
        <family val="2"/>
      </rPr>
      <t>Nota:</t>
    </r>
    <r>
      <rPr>
        <sz val="11"/>
        <color rgb="FF000000"/>
        <rFont val="Calibri"/>
        <family val="2"/>
      </rPr>
      <t xml:space="preserve"> 
Para el diseño civil de la caja de paso que recibe la bajante de cables 11.4kV, se debe tener en cuenta la ingeniería a futuro del foso colector de aceite y muro cortafuegos.
Codensa enviará los planos as built de fabricación de las celdas.</t>
    </r>
  </si>
  <si>
    <t>Realizar el Diseño civil, mecánico y eléctrico para la instalación de provisional de un tren de celdas de la Fila D3 11.4kV. Se plantea un tren de celdas provisional ubicada en el área diagonal al transformador D3 115/11.4KV frente a la caja de maniobras y dos trenes de celdas provisionales en el parqueadero de la subestación.</t>
  </si>
  <si>
    <r>
      <t xml:space="preserve">Realizar el Diseño civil, mecánico y eléctrico para el reemplazo de las celdas Magrini de la fila D3 11.4kV por celdas ABB. 
A solicitud de Codensa se sugiere el no desplazamiento del Transformador de potencia, es por ello que para el diseño de la bajante de los cables se plantea dos opciones: 
- El diseño de la bajante de los cables 11.4kV se realice a un costado del Transformador
- El diseño de la bajante de los cables 11.4kV se realice en frente del Transformador. 
Según levantamientos elaborados por AC Energy  y los diseños de sismoresistencia de la casa de control  entregados por Codensa, se evaluará la alternativa mas apropiada para el diseño civil y mecánico de la bajante de cables 11.4kV. 
</t>
    </r>
    <r>
      <rPr>
        <b/>
        <sz val="11"/>
        <color rgb="FF000000"/>
        <rFont val="Calibri"/>
        <family val="2"/>
      </rPr>
      <t>Nota:</t>
    </r>
    <r>
      <rPr>
        <sz val="11"/>
        <color rgb="FF000000"/>
        <rFont val="Calibri"/>
        <family val="2"/>
      </rPr>
      <t xml:space="preserve"> 
Para el diseño civil de la caja de paso que recibe la bajante de cables 11.4kV, se debe tener en cuenta la ingeniería a futuro del foso colector de aceite y muro cortafuegos.
Codensa enviará los planos as built de fabricación de las celdas.</t>
    </r>
  </si>
  <si>
    <t>D00249556</t>
  </si>
  <si>
    <t>D00249556000</t>
  </si>
  <si>
    <t>D00249553</t>
  </si>
  <si>
    <t>D00249553000</t>
  </si>
  <si>
    <t>OT: 18-047</t>
  </si>
  <si>
    <t>Proyecto:Adecuación sismoresistente Casa control SE Fontibón</t>
  </si>
  <si>
    <r>
      <t xml:space="preserve">Modificación de diseño de sismoresistencia presentado con la OT 17-318, teniendo en cuenta,  que se debe modificar el diseño de reforzamiento de los elementos no estructurales (muros de fachada)
</t>
    </r>
    <r>
      <rPr>
        <b/>
        <sz val="11"/>
        <color rgb="FF000000"/>
        <rFont val="Calibri"/>
        <family val="2"/>
      </rPr>
      <t/>
    </r>
  </si>
  <si>
    <t>OT: 18-048</t>
  </si>
  <si>
    <t>Proyecto:</t>
  </si>
  <si>
    <t>Levantamiento civil del actual TA01 y TA02 e Ingeniería civil para el rediseño de la Ruta de cables elaborada por AC Energy en la OT17-056. Se requiere el levantamiento de las nuevas cajas de paso construidas por CLARO.
FACTOR= 0.3x(Lev) + 0.7x(Dis) = 0.3x(1) + 0.7x(32) = 0.3 + 0.224 = [0.524]x2 Trafos SSAA = 1.048</t>
  </si>
  <si>
    <t>Proyecto: CDIE_CBCCSM_RCN25, PC2 - REDISEÑO IN-OUT SE MT-MT</t>
  </si>
  <si>
    <t>CDIE_CBCCSM_RCN25, PC2 - REDISEÑO IN-OUT SE MT-MT</t>
  </si>
  <si>
    <t>BARRA 34.5kV (S/E EL HATO)</t>
  </si>
  <si>
    <t>Realizar ingeniería mecánica para reubicar los PT´s de Barra 34,5kV.</t>
  </si>
  <si>
    <t>BARRA B1 34.5 Kv (S/E JURATENA)</t>
  </si>
  <si>
    <t>D00249318</t>
  </si>
  <si>
    <t>D00249318000</t>
  </si>
  <si>
    <t>OT: 18-051</t>
  </si>
  <si>
    <t>OT: 18-049</t>
  </si>
  <si>
    <t>Realizar levantamiento e ingeniería para el montaje de un nuevo módulo Entrada/Salida 34.5kV en la subestación.</t>
  </si>
  <si>
    <t>OT: 18-052</t>
  </si>
  <si>
    <t>Proyecto: CDIE_CBCCSM_R0186. PC1 - SE MT-MT CABRERA 34.5-13.2 KV.</t>
  </si>
  <si>
    <t>CDIE_CBCCSM_R0186. PC1 - SE MT-MT CABRERA 34.5-13.2 KV.</t>
  </si>
  <si>
    <t>Realizar la medida de la resistividad del terreno en la subestación Cabrera 34,5/13,2kV.
Área contemplada: 900m2</t>
  </si>
  <si>
    <t>D00249276</t>
  </si>
  <si>
    <t>OT: 18-053</t>
  </si>
  <si>
    <t>Proyecto: CDIM_CADCRA_R0116</t>
  </si>
  <si>
    <t>CDIM_CADCRA_R0116</t>
  </si>
  <si>
    <t>Labor asimilada para la elaboración de planos As Built a partir del rojo verde suministrado por Codensa.
Ingeniería eléctrica para el montaje de un nuevo tren de celdas a 11.4 kV.
Ingeniería Civil y mecánica para instalación del nuevo tren de celdas de 11,4 kV.</t>
  </si>
  <si>
    <t>TRANSFORMADOR D2 34.5/11.4 kV</t>
  </si>
  <si>
    <t>Labor asimilada para la elaboración de planos As Built a partir del rojo verde suministrado por Codensa.
Ingeniería para el montaje de un nuevo transformador de 34,5 kV.</t>
  </si>
  <si>
    <t>Labor asimilada para la elaboración de planos As Built a partir del rojo verde suministrado por Codensa.
 Ingeniería para el montaje de una nueva protección diferencial de transformador.</t>
  </si>
  <si>
    <t>D00235020</t>
  </si>
  <si>
    <t>D00235020000</t>
  </si>
  <si>
    <t>OT: 18-054</t>
  </si>
  <si>
    <t>CIRCUITO PISIMBALA (ANTIGUO SAUCES_CHINAUTA) 34,5kV</t>
  </si>
  <si>
    <t>Realizar levantamiento e ingeniería para la normalización del CIRCUITO PISIMBALA (ANTIGUO SAUCES_CHINAUTA) 34,5kV</t>
  </si>
  <si>
    <t>OT: 18-055</t>
  </si>
  <si>
    <t>Proyecto: CDIM_CBSGSM_R0199 NORMALIZACIÓN SERVICIOS ESENCIALES SSEE.</t>
  </si>
  <si>
    <t>CDIM_CBSGSM_R0199 NORMALIZACIÓN SERVICIOS ESENCIALES SSEE.</t>
  </si>
  <si>
    <t>AUSILIARES AC 208VAC</t>
  </si>
  <si>
    <t>Cobro correspondiente al descargo No. 10298657
Tipo: VyP Otros trabajos- En S/E Salitre - TRANSFORMADOR D1 115/11,4kV - Levantamiento eléctrico para la unificación de los circuitos de servicios auxiliares AC 208 VAC en un solo tablero de distribución y la normalización del tablero DC 125 VCC actual e ingeniería para instlaación. Solicitante: MONICA PINEDA MONTES
Ejecutado el  27/03/2017  9:59:00 p. m.  hasta el 28/03/2017  5:35:00 a. m.
Cobro correspondiente al descargo No. 10298893
Tipo: VyP Otros trabajos- En S/E Salitre - Transformador D2 115/11,4 kV - Levantamiento eléctrico para la unificación  de los circuitos de servicios auxiliares AC 208 VAC en un solo tablero de distribución y la normalización del tablero DC 125 VCC actuall. Solicitante: MONICA PINEDA MONTES
Ejecutado el 28/03/2017  10:02:00 p. m.. hasta el 29/03/2017  5:28:00 a. m.
Cobro correspondiente al descargo No. 10299125
Tipo: VyP  Otros trabajos- Levantamiento eléctrico. Solicitante: MONICA PINEDA MONTES
Ejecutado el 29/03/2017  10:15:00 p. m. hasta el 30/03/2017  5:51:00 a. m.
Factor de cobro: 0.3 X (factor de alcance levantamiento) X 0.15 (Porcentaje incremento por trabajos Nocturnos/Dominicales/Festivos ver ítem 6 especificaciones técnicas ingeniería AT/MT)  = 0.3 X (1) X 0.15 = 0.045</t>
  </si>
  <si>
    <t>OT: 18-056</t>
  </si>
  <si>
    <t>Cobro correspondiente al descargo No. 10968425
VyP - Otros trabajos - Em SE FACA LINEA BALSILLAS
Ejecutado el  12/10/2017  10:03:00 p. m. hasta el 13/10/2017  4:46:00 a. m.
Factor de cobro: 0.3 X (factor de alcance levantamiento) X 0.15 (Porcentaje incremento por trabajos Nocturnos/Dominicales/Festivos ver ítem 6 especificaciones técnicas ingeniería AT/MT)  = 0.3 X (1) X 0.15 = 0.045</t>
  </si>
  <si>
    <t>D00249541</t>
  </si>
  <si>
    <t>D00249541000</t>
  </si>
  <si>
    <t>OT: 18-057</t>
  </si>
  <si>
    <t>Proyecto:CDIM_CBSGSM_R0159 NORMALIZACIÓN SERVICIOS ESENCIALES SSEE</t>
  </si>
  <si>
    <t>Cobro correspondiente al descargo No. 10546011
Otros trabajos - Suba-TRANSFORMADOR D3 115/11.4 kVLevantamiento eléctrico para el reemplazo de un tablero de servicios auxiliares AC 208 VAC y
reemplazo de un tablero de servicios auxiliares DC 125 VDC y montaje de un nuevo tablero de
servicios auxiliares DC 125 VDC.
Ejecutado el 24/05/2017  11:00:00 p. m. hasta el 25/05/2017  5:28:00 a. m.
Factor de cobro: 0.3 X (factor de alcance levantamiento) X 0.15 (Porcentaje incremento por trabajos Nocturnos/Dominicales/Festivos ver ítem 6 especificaciones técnicas ingeniería AT/MT)  = 0.3 X (1) X 0.15 = 0.045</t>
  </si>
  <si>
    <t>OT: 18-058</t>
  </si>
  <si>
    <t>Proyecto:PC1 - NORMALIZACIÓN SE MT-MT</t>
  </si>
  <si>
    <t>PC1 - NORMALIZACIÓN SE MT-MT</t>
  </si>
  <si>
    <t>SUBESTACIÓN 115/34,5/11.4kV</t>
  </si>
  <si>
    <t xml:space="preserve">Elaborar render de la S/E Terminal a partir de la pre-Ingeniería y de los diseños civiles realizados por AC&amp;JM y Ac Energy S.A.S. 
DAT 15 -020 / OT17-246 </t>
  </si>
  <si>
    <t xml:space="preserve">D00251186 </t>
  </si>
  <si>
    <t>D00251186000</t>
  </si>
  <si>
    <t>OT: 18-059</t>
  </si>
  <si>
    <t>Proyecto:Ampliación S/E Los Mangos.</t>
  </si>
  <si>
    <t>Ampliación S/E Los Mangos.</t>
  </si>
  <si>
    <r>
      <rPr>
        <b/>
        <sz val="11"/>
        <color rgb="FFFF0000"/>
        <rFont val="Calibri"/>
        <family val="2"/>
      </rPr>
      <t xml:space="preserve">L-57 </t>
    </r>
    <r>
      <rPr>
        <sz val="11"/>
        <color rgb="FF000000"/>
        <rFont val="Calibri"/>
        <family val="2"/>
      </rPr>
      <t>Elaboración de ingenierías básicas para nuevas S/Es AT/AT, AT/MT o MT/MT - UNIDAD DE MEDIDA: Global</t>
    </r>
  </si>
  <si>
    <r>
      <t xml:space="preserve">Realizar la ingeniería básica para la Ampliación de capacidad de la subestación Los Mangos 34,5/13,2kV.                                                                                                                                                                                                                                                                                                                                                       Codensa requiere 2 Circuito 34,5kV, 1 Unión Barra 34.5kV, 2 Transformadores 34.5/13.2kV DE 10-12.5MVA, 6 Circuitos 13,2kV y 1 Unión Barra 13.2kV.
</t>
    </r>
    <r>
      <rPr>
        <b/>
        <sz val="11"/>
        <color rgb="FF000000"/>
        <rFont val="Calibri"/>
        <family val="2"/>
      </rPr>
      <t xml:space="preserve">Nota: </t>
    </r>
    <r>
      <rPr>
        <sz val="11"/>
        <color rgb="FF000000"/>
        <rFont val="Calibri"/>
        <family val="2"/>
      </rPr>
      <t xml:space="preserve">Se proponen alternativas  para la ingeniería de detalle.     
</t>
    </r>
    <r>
      <rPr>
        <b/>
        <sz val="11"/>
        <color rgb="FF000000"/>
        <rFont val="Calibri"/>
        <family val="2"/>
      </rPr>
      <t xml:space="preserve">Alternativa 1: </t>
    </r>
    <r>
      <rPr>
        <sz val="11"/>
        <color rgb="FF000000"/>
        <rFont val="Calibri"/>
        <family val="2"/>
      </rPr>
      <t xml:space="preserve">Pórtico 36kV, dos (2) Transformadores 34.5/13.2kV de 10-12.5MVA con su respectivo módulo, muro cortafuego, Pórtico 13.2kV en poste con seis (6) Circuitos 13,2kV, con dos (2) Entradas 13,2kV y Unión Barra 13,2kV.
</t>
    </r>
    <r>
      <rPr>
        <b/>
        <sz val="11"/>
        <color rgb="FF000000"/>
        <rFont val="Calibri"/>
        <family val="2"/>
      </rPr>
      <t xml:space="preserve">Alternativa 2: </t>
    </r>
    <r>
      <rPr>
        <sz val="11"/>
        <color rgb="FF000000"/>
        <rFont val="Calibri"/>
        <family val="2"/>
      </rPr>
      <t xml:space="preserve">Pórtico 36kV, dos (2) Transformadores 34.5/13.2kV de 10-12.5MVA con su respectivo módulo, muro cortafuego, Shelter para celdas 13,2kV con dos (2) Entradas 13,2kV, una (1) Unión Barra 13.2kV y seis (6) salidas 13,2kV. 
</t>
    </r>
    <r>
      <rPr>
        <b/>
        <sz val="11"/>
        <color rgb="FF000000"/>
        <rFont val="Calibri"/>
        <family val="2"/>
      </rPr>
      <t>Alternativa 3:</t>
    </r>
    <r>
      <rPr>
        <sz val="11"/>
        <color rgb="FF000000"/>
        <rFont val="Calibri"/>
        <family val="2"/>
      </rPr>
      <t xml:space="preserve"> Pórtico 36kV, dos (2) Transformadores 34.5/13.2kV de 10-12.5MVA con su respectivo módulo, muro cortafuego, ampliar la casa de control ó diseño de una casa de control para alojar un tren de celdas 13,2kV, con dos (2) Entradas 13,2kV, una (1) Unión Barra 13.2kV y seis (6) salidas 13,2kV.  
</t>
    </r>
    <r>
      <rPr>
        <b/>
        <sz val="11"/>
        <color rgb="FF000000"/>
        <rFont val="Calibri"/>
        <family val="2"/>
      </rPr>
      <t>Alternativa 4:</t>
    </r>
    <r>
      <rPr>
        <sz val="11"/>
        <color rgb="FF000000"/>
        <rFont val="Calibri"/>
        <family val="2"/>
      </rPr>
      <t xml:space="preserve">Adquisición lote aledaño por el costado sur occidental, con Pórtico 36kV  1 Transformador 34.5/13.2kV de 10-12.5MVA con su respectivo módulo, Pórtico 13.2kV en poste con tres (3) Circuitos 13,2kV, con una (1) Entradas 13,2kV y Unión Barra 13,2kV, verificación de distancia para implementar muro cortafuego o solución alternativa. </t>
    </r>
  </si>
  <si>
    <t>Realizar levantamiento topográfico de la subestación.
 Se requiere que en levantamiento topográfico se evidencie el area aledaña a la subestación, ruta de cables de control y Potencia, e identificacion de los circuitos de 13,2 en su ruta de cable.</t>
  </si>
  <si>
    <t>OT: 18-060</t>
  </si>
  <si>
    <t>Proyecto:NORMALIZACIÓN LT ZP UB PD</t>
  </si>
  <si>
    <t>LLTT ZP-UB-PD 115KV</t>
  </si>
  <si>
    <t>Diseño de la Ingeniería Básica de la LLTT ZP-UB-PD teniendo en cuenta el criterio de circuito doble. Esta labor se desarrolló con la OT 17-290 y se avanzó en un 40%.</t>
  </si>
  <si>
    <t xml:space="preserve">D00235194 </t>
  </si>
  <si>
    <t>OT: 18-061</t>
  </si>
  <si>
    <t>Proyecto: Ampliación subestación Guacheta</t>
  </si>
  <si>
    <t>Ampliación subestación Guacheta</t>
  </si>
  <si>
    <t>UNION BARRA 13,2kV</t>
  </si>
  <si>
    <t>Realizar levantamiento e ingeniería civil, mecánica y eléctrica para el montaje de un nuevo módulo acoplador de Barra 13.2kV.
Se debe presentar a Codensa la totalidad de los entregables que contempla el Baremo:
-  Planos de levantamiento topográfico.
-  Memorias de cálculo
- Planos de construcción con desglose de materiales y pesos
- Plano de ubicación en planta y perfil del nuevo módulo.
- Plano mecánico detallado que incluya: detalle de conexiones en potencia especificando tipo de conectores y calibres de cable, conexiones de puesta a tierra, disposición de tuberías de control, entre otros.
- Planos de despiece de la estructura metálica requerida
- Informe de Ingeniería mecánica
- Informe de Ingeniería civil</t>
  </si>
  <si>
    <t>BARRA 13,2kV</t>
  </si>
  <si>
    <t>Levantamiento civil y levantamiento y diseño de la ingeniería mecánica para la ampliación de la Barra 13,2kV. Se debe presentar a Codensa la totalidad de los entregables que contempla el Baremo:
-Planos de levantamiento topográfico.
-Memorias de cálculo
- Planos de construcción con desglose de materiales y pesos
- Plano de disposición general de obras civiles
- Informe de levantamiento.
- Planos de la estructura actual.
- Plano de ubicación en planta y perfil de la ampliación.
- Plano mecánico detallado que incluya: detalle de conexiones en potencia especificando herrajes y calibres de cable, conexiones de puesta a tierra.
- Informe de Ingeniería mecánica
- Lista de materiales
- Planos de despiece de la estructura metálica requerida</t>
  </si>
  <si>
    <t>BARRA 13.2kV</t>
  </si>
  <si>
    <t>Realizar levantamiento e ingeniería civil, mecánica y eléctrica para la instalación de nuevos PT´s para la segunda Barra 13.2kV.</t>
  </si>
  <si>
    <t>Realizar levantamiento e  ingeniería mecánica y eléctrica para la instalación de medidor de calidad de Potencia en la segunda Barra 13,2kV.</t>
  </si>
  <si>
    <t>CIRCUITO I 13.2kV</t>
  </si>
  <si>
    <t>Realizar levantamiento e ingeniería civil, mecánica y eléctrica para el montaje de un nuevo Circuito I 13.2kV.</t>
  </si>
  <si>
    <t>CIRCUITO II 13,2kV</t>
  </si>
  <si>
    <t>Realizar levantamiento e ingeniería civil, mecánica y eléctrica para el montaje de un nuevo Circuito II 13.2kV.</t>
  </si>
  <si>
    <r>
      <t>Realizar levantamiento  e ingeniería mecánica y eléctrica para el montaje de un nuevo Transformador D2 34.5/13.2kV  de 5MVA.</t>
    </r>
    <r>
      <rPr>
        <b/>
        <sz val="11"/>
        <color rgb="FF000000"/>
        <rFont val="Calibri"/>
        <family val="2"/>
      </rPr>
      <t/>
    </r>
  </si>
  <si>
    <r>
      <t>Realizar levantamiento e ingeniería civil, mecánica y eléctrica para el montaje de un nuevo módulo de Transformador D2 34.5/13.2kV lado 34,5kV.</t>
    </r>
    <r>
      <rPr>
        <b/>
        <sz val="11"/>
        <color rgb="FF000000"/>
        <rFont val="Calibri"/>
        <family val="2"/>
      </rPr>
      <t/>
    </r>
  </si>
  <si>
    <t>Realizar levantamiento e ingeniería civil, mecánica y eléctrica para el montaje de un nuevo módulo de Transformador D2 34.5/13.2kV lado 13.2kV.</t>
  </si>
  <si>
    <t>Levantamiento e ingeniería mecánica y eléctrica para la instalación de los medidores Principal y respaldo para Código de medida asociado al Transformador D2 34,5/13,2kV LADO 34,5kV.</t>
  </si>
  <si>
    <t>Levantamiento eléctrico del tablero de servicios Auxiliares AC, tener presente los mininterruptor de reserva (espacio y ruta). 
LEVANTAMIENTO ELÉCTRICO = 0.3x(levantamiento) + 0.7 x(diseño)= 0.30x(1) + 0.70x(0.00)= 0.3</t>
  </si>
  <si>
    <t>Realizar levantamiento e ingeniería para el estudio, cálculo y optimización de malla de puesta a tierra</t>
  </si>
  <si>
    <t>OT: 18-063</t>
  </si>
  <si>
    <t>Proyecto:  CDIE_CBCCSM_R0184 PC1 - REPOSICIÓN INTERRUPTORES AT.</t>
  </si>
  <si>
    <t xml:space="preserve"> CDIE_CBCCSM_R0184 PC1 - REPOSICIÓN INTERRUPTORES AT.</t>
  </si>
  <si>
    <t>Labor asimilada para realizar la adecuación de drenajes en patio de conexiones por interferencia con los diseños civiles de las cimentaciones  del interruptor de Potencia de la Línea Balsillas 115kV y Fonomo 115kV. 
INGENIERÍA CIVIL  = (10HH(dibujo)+12HH(diseño)+2HH(Revisión y Supervisión Coordinador))  =24HH</t>
  </si>
  <si>
    <t xml:space="preserve">D00249265 </t>
  </si>
  <si>
    <t>OT: 18-064</t>
  </si>
  <si>
    <t>Proyecto:  Normalización subestación Compartir 115/34,5/11,4 kV.</t>
  </si>
  <si>
    <t>Normalización subestación Compartir 115/34,5/11,4 kV.</t>
  </si>
  <si>
    <t xml:space="preserve">BARRAJE 115 kV </t>
  </si>
  <si>
    <t xml:space="preserve">Realizar la revisión de la ingeniería civil  para la normalización de la Barra 115kV teniendo en cuenta  ingeniería elaborada por AC&amp;JM y siguiendo los criterios de la norma NO-048. Se requiere realizar la evaluación de las cargas y la ingeniería de detalle de la Barra 115kV. Se cobra 50% del diseño por 2 módulos consecutivos y 0.3 del 50% por 2 módulos.
</t>
  </si>
  <si>
    <t>Ingeniería civil  para el montaje de un juego PT´s de Barra 115kV (Grupo x3) marca EMEK.</t>
  </si>
  <si>
    <t>BOSA 115 kV</t>
  </si>
  <si>
    <t xml:space="preserve">Realizar la ingeniería civil para la normalización del módulo teniendo en cuenta los criterios de la norma NO-048. Se instalará un interruptor de Potencia marca SIEMENS 115kV, un seccionador de Linea marca SIEYUAN 115kV, un seccionador de Barra marca HAPAM 115kV y un juego descargadores de sobretensión (Grupo x3) marca SIEMENS. Codensa definirá los CT´s a instalar, si no se cuenta con la información se realizará el diseño civil  para un CT de mayor peso y posteriormente se actualizará el detalle de fijación del equipo a la estructura metálica .
NOTA: La ingeniería inicial  fue elaborada por AC&amp;JM con un interruptor de Potencia SIEMENS AG 3AP1FG, un seccionador de línea ALSTOM GRID, un seccionador de Barra ALSTOM GRID (Ingeniería civil)  y un juego de Descargadores marca TYCO </t>
  </si>
  <si>
    <t>NUEVA ESPERANZA 115 kV</t>
  </si>
  <si>
    <r>
      <t xml:space="preserve">Realizar la ingeniería civil  para la normalización del módulo teniendo en cuenta los criterios de la norma  NO-048. Se instalará un interruptor de Potencia marca SIEMENS 115kV, un seccionador de Linea marca SIEYUAN 115kV, un seccionador de Barra marca HAPAM 115kV y un juego descargadores de sobretensión (Grupo x3) marca SIEMENS. Codensa definirá los CT´s a instalar, si no se cuenta con la información se realizará el diseño civil  para un CT de mayor peso y posteriormente se actualizará el detalle de fijación del equipo a la estructura metálica .
</t>
    </r>
    <r>
      <rPr>
        <b/>
        <sz val="11"/>
        <color rgb="FF000000"/>
        <rFont val="Calibri"/>
        <family val="2"/>
      </rPr>
      <t>NOTA:</t>
    </r>
    <r>
      <rPr>
        <sz val="11"/>
        <color rgb="FF000000"/>
        <rFont val="Calibri"/>
        <family val="2"/>
      </rPr>
      <t xml:space="preserve"> La ingeniería inicial  fue elaborada por AC&amp;JM con un interruptor de Potencia SIEMENS AG 3AP1FG, un seccionador de línea ALSTOM GRID, un seccionador de Barra ALSTOM GRID (Ingeniería civil)  y un juego de Descargadores marca TYCO 
FACTOR CIVIL = Se cobra 0.3 de la ingeniería civil y mecánica.</t>
    </r>
  </si>
  <si>
    <r>
      <t xml:space="preserve">Realizar la ingeniería civil para la normalización del módulo de transformador  teniendo en cuenta los criterios de la norma  NO-048. Se instalará un interruptor de Potencia marca SIEMENS 115kV, un seccionador de Barra marca HAPAM 115kV.  Codensa definirá los CT´s a instalar, si no se cuenta con la información se realizará el diseño civil y mecanico para un CT de mayor peso y posteriormente se actualizará el detalle de fijación del equipo a la estructura metálica .
</t>
    </r>
    <r>
      <rPr>
        <b/>
        <sz val="11"/>
        <color rgb="FF000000"/>
        <rFont val="Calibri"/>
        <family val="2"/>
      </rPr>
      <t xml:space="preserve"> NOTA:</t>
    </r>
    <r>
      <rPr>
        <sz val="11"/>
        <color rgb="FF000000"/>
        <rFont val="Calibri"/>
        <family val="2"/>
      </rPr>
      <t xml:space="preserve"> La ingeniería inicial  fue elaborada por AC&amp;JM con un interruptor de Potencia SIEMENS AG 3AP1FG, un seccionador de Barra ALSTOM GRID (Ingeniería civil) 
</t>
    </r>
  </si>
  <si>
    <t>Labor asimilada para realizar la actualización del diseño civil para la instalación del Transformador D1 115/11.4kV. Se cobra el 43% del diseño para la actualización de la ingeniería. Se requiere 
-Evaluación de cargas, evaluación de cimentaciones y entrega de Informe de diseño de detalle.
-Actualizar las interconexiones del tranasformador D1 115/11.4kV.
FACTOR = 0.3(levantamiento) + 0.7(diseño) = 0.3x(0.0) + 0.7x(43%) = 0.3</t>
  </si>
  <si>
    <r>
      <t xml:space="preserve">Realizar la ingeniería civil para la normalización del módulo de transformador  teniendo en cuenta los criterios de la norma NO-048. Se instalará un interruptor de Potencia marca SIEMENS 115kV, un seccionador de Barra marca HAPAM 115kV.  Codensa definirá los CT´s a instalar, si no se cuenta con la información se realizará el diseño civil y mecanico para un CT de mayor peso y posteriormente se actualizará el detalle de fijación del equipo a la estructura metálica .
</t>
    </r>
    <r>
      <rPr>
        <b/>
        <sz val="11"/>
        <color rgb="FF000000"/>
        <rFont val="Calibri"/>
        <family val="2"/>
      </rPr>
      <t xml:space="preserve"> NOTA:</t>
    </r>
    <r>
      <rPr>
        <sz val="11"/>
        <color rgb="FF000000"/>
        <rFont val="Calibri"/>
        <family val="2"/>
      </rPr>
      <t xml:space="preserve"> La ingeniería inicial  fue elaborada por AC&amp;JM con un interruptor de Potencia SIEMENS AG 3AP1FG, un seccionador de Barra ALSTOM GRID (Ingeniería civil)
FACTOR CIVIL  = Se cobra 0.3 de la ingeniería civil y mecánica.</t>
    </r>
  </si>
  <si>
    <t>Labor asimilada para realizar la actualización del diseño civil  para la instalación del Transformador D2 115/11.4kV. Se cobra el 43% del diseño para la actualización de la ingeniería.Se requiere 
-Evaluación de cargas, evaluación de cimentaciones y entrega de Informe de diseño de detalle.
-Actualizar las interconexiones del tranasformador D2 115/11.4kV.
FACTOR = 0.3(levantamiento) + 0.7(diseño) = 0.3x(0.0) + 0.7x(43%) = 0.3</t>
  </si>
  <si>
    <r>
      <t xml:space="preserve">Realizar la ingeniería civil para la normalización de un tren de celdas de la Fila D1 11.4kV marca  ELIMSAN teniendo en cuenta la ingeniería elaborada por AC Energy en la OT16-098 y siguiendo los criterios de la norma NO-048.
</t>
    </r>
    <r>
      <rPr>
        <b/>
        <sz val="11"/>
        <color rgb="FF000000"/>
        <rFont val="Calibri"/>
        <family val="2"/>
      </rPr>
      <t xml:space="preserve"> NOTA:</t>
    </r>
    <r>
      <rPr>
        <sz val="11"/>
        <color rgb="FF000000"/>
        <rFont val="Calibri"/>
        <family val="2"/>
      </rPr>
      <t xml:space="preserve"> La ingeniería inicial  fue elaborada por AC ENERGY con un Tren de celdas EFACEC.</t>
    </r>
  </si>
  <si>
    <r>
      <t xml:space="preserve">Realizar la ingeniería civil para la normalización de un tren de celdas de la Fila D2 11.4kV marca  ELIMSAN teniendo en cuenta la ingeniería elaborada por AC Energy en la OT16-098 y siguiendo los criterios de la norma NO-048. 
</t>
    </r>
    <r>
      <rPr>
        <b/>
        <sz val="11"/>
        <color rgb="FF000000"/>
        <rFont val="Calibri"/>
        <family val="2"/>
      </rPr>
      <t xml:space="preserve"> NOTA:</t>
    </r>
    <r>
      <rPr>
        <sz val="11"/>
        <color rgb="FF000000"/>
        <rFont val="Calibri"/>
        <family val="2"/>
      </rPr>
      <t xml:space="preserve"> La ingeniería inicial  fue elaborada por AC ENERGY con un Tren de celdas EFACEC.
</t>
    </r>
  </si>
  <si>
    <t>Realizar ingeniería  para la normalización de muro cortafuego entre el Trafo D1 y D2 115/11.4kV teniendo en cuenta  ingeniería elaborada por AC&amp;JM y siguiendo los criterios de la norma NO-048. Se requiere realizar la evaluación de las cargas y la ingeniería de detallel muro cortafuego. Se cobra 50% del diseño.
FACTOR = 0.3(levantamiento) + 0.7(diseño) = 0.3x(0.0) + 0.7x(50%) = 0.35</t>
  </si>
  <si>
    <t>Ingeniería civil y electromecánica para la adecuación de diseño de la casa de control elaborada por AC Energy con la OT16-098.
Dentro de este diseño considerar:
- Instalación de 5 Tableros de Control Y Protección ( 2 Módulos de Línea, 2 Módulos de Transformador y 1 Módulo Diferencial de barras)
- Instalación de 6 Tableros de SSAA ( Uno AC, Dos DC, Dos Cargadores de Baterías y Una Transferencia) 
- A futuro considerar la instalación de 5 Tableros de Control y Protección. 
- Considerar que los reguladores no van en un tablero independiente. 
- Se deben considerar la instalación dos trenes de celdas Elimsan 11,4kV y un futuro tercer tren del cual no se ha definido marca.
- Se deben considerar la instalación dos trenes de celdas de 34.5kV, de los cuales no se ha definido marca. Por lo tanto, no se deben dejar vacío o perforaciones para estas celdas.
-Se debe independizar control y potencia en el sotáno de la casa de celdas.
-Incluir el cuarto de baterías.
-Puerta cortina en una de las fachadas de la casa.
-Dos puertas peatonales.
-Una puerta independiente para el baño.
-Incluir diseño hidrosanitario para el baño y lucha lava ojos (incluir orinal)
-Dejar perforaciones con tapas para celdas futuras de 11.4 Y 34.5kV
Se tiene en cuenta un área de diseño de la casa de celdas de 420m2</t>
  </si>
  <si>
    <t>Labor asimilada para validar e implementar los diseños de las canalizaciones y cárcamos de control y potencia de la ingeniería realizada por AC&amp;JM, con el fin de cumplir las siguientes premisas:  
- Los niveles finales de la subestación deben garantizar que no se convierta en sumideros                  
- Garantizar dos entradas de cableado de control desde el patio de conexiones a la casa de  control         
- Dimensionar  los cárcamos de tal forma que se tengan reservas para módulos futuros.  
- canalizaciones para SSAA</t>
  </si>
  <si>
    <t>SUBESTACION 115/34.5/11.4 kV</t>
  </si>
  <si>
    <t>Realizar la  Ingeniería  para la adecuación y nivelación del terreno para contemplar el cambio en diseño del cerramiento</t>
  </si>
  <si>
    <t xml:space="preserve">SUBESTACIÓN </t>
  </si>
  <si>
    <t>Modificación del cerramiento para contemplar una zona de cesión en el frente de la S/E y una puerta autoática para ingreso a la S/E. Diseños desarrollados por AC Energy con la OT17-244. Se cobra el 25% del diseño civil.
 INGENIERÍA CIVIL =0.3x(levantamiento) + 0.7x(diseño)=0.30x(0.00) + 0.70x(0.25)=0.175</t>
  </si>
  <si>
    <r>
      <rPr>
        <b/>
        <sz val="11"/>
        <color rgb="FFFF0000"/>
        <rFont val="Calibri"/>
        <family val="2"/>
      </rPr>
      <t xml:space="preserve">L-75 </t>
    </r>
    <r>
      <rPr>
        <sz val="11"/>
        <color rgb="FF000000"/>
        <rFont val="Calibri"/>
        <family val="2"/>
      </rPr>
      <t>Ingeniería para construcción del sistema de suministro y distribución de agua, drenaje y alcantarillado de la subestación - UNIDAD DE MEDIDA: Global</t>
    </r>
  </si>
  <si>
    <t xml:space="preserve">Adecuación diseño hidrosanitario y actualización de drenajes por modificaciones de la distribución de la SE. </t>
  </si>
  <si>
    <t>OT: 18-065</t>
  </si>
  <si>
    <t>Proyecto:  CDIM_CAOLIG_R0078 - RES. CREG 038-14 CÓDIGO DE MEDIDA</t>
  </si>
  <si>
    <r>
      <t xml:space="preserve">Realizar el diseño eléctrico para el reemplazo de tablero servicios auxiliares AC. 
</t>
    </r>
    <r>
      <rPr>
        <b/>
        <sz val="11"/>
        <color rgb="FF000000"/>
        <rFont val="Calibri"/>
        <family val="2"/>
      </rPr>
      <t>Nota:</t>
    </r>
    <r>
      <rPr>
        <sz val="11"/>
        <color rgb="FF000000"/>
        <rFont val="Calibri"/>
        <family val="2"/>
      </rPr>
      <t xml:space="preserve"> Se realiza el diseño eléctrico unicamente con la información levantada en la OT17-191 para el proyecto de Macromedición.</t>
    </r>
  </si>
  <si>
    <t xml:space="preserve">D00249388 </t>
  </si>
  <si>
    <t>OT: 18-066</t>
  </si>
  <si>
    <t>Ingeniería mecánica para reubicar el seccionador de Barra 34.5kV y así instalar nuevos CT´s para el proyecto código de medida OT17-224. La reubicación del seccionador de Barra 34.5kV se debe para cumplir distancias de seguridad como lo requiere en la norma.</t>
  </si>
  <si>
    <t>OT: 18-067</t>
  </si>
  <si>
    <t>Realizar la ingeniería mecánica para reubicar el seccionador de Barra 34.5kV y así instalar CT´s para el proyecto código de medida OT17-217.  La reubicación del seccionador de Barra 34.5kV se debe para cumplir distacias de seguridad como lo requiere en la norma.</t>
  </si>
  <si>
    <t>OT: 18-068</t>
  </si>
  <si>
    <t>Realizar diseño eléctrico y mecánico para el reemplazo de los PT´s de la Barra 34.5kV. Se cobra 0.2 del diseño eléctrico ya que el 0.5 del diseño eléctrico fue cobrado en la OT17-258.</t>
  </si>
  <si>
    <t>OT: 18-069</t>
  </si>
  <si>
    <t>Proyecto: CDIE_CADCSR_R0026, SUBESTACIÓN STN-115 KV NORTE.</t>
  </si>
  <si>
    <t>CDIE_CADCSR_R0026, SUBESTACIÓN STN-115 KV NORTE.</t>
  </si>
  <si>
    <t>Realizar la integración de los planos de planta arquitectónicos y estructurales de las ingenierías realizadas para la S/E Norte por Codensa, con la ingeniería mecánica realizada por Ac Energy con la OT 17-172.
La información existente de la S/E Norte será entregada por Codensa en formato DWG.</t>
  </si>
  <si>
    <t xml:space="preserve">D00248964 </t>
  </si>
  <si>
    <t>OT: 18-070</t>
  </si>
  <si>
    <r>
      <rPr>
        <b/>
        <sz val="11"/>
        <color rgb="FFFF0000"/>
        <rFont val="Calibri"/>
        <family val="2"/>
      </rPr>
      <t xml:space="preserve">L-7 </t>
    </r>
    <r>
      <rPr>
        <sz val="11"/>
        <color rgb="FF000000"/>
        <rFont val="Calibri"/>
      </rPr>
      <t>Ingeniería para el reemplazo y/o instalación de transformadores de corriente 500 kV, 230 kV, 115 kV y 57,5 kV - UNIDAD DE MEDIDA: Grupo x 3</t>
    </r>
  </si>
  <si>
    <t>Realizar levantamiento e ingeniería para el reemplazo del transformador de corriente CT´s(Grupo x3) de la Línea Termozipa.</t>
  </si>
  <si>
    <t>OT: 18-071</t>
  </si>
  <si>
    <t>Proyecto: Confiabilidad Zona Simijaca ( LT SI-CH)</t>
  </si>
  <si>
    <t>Confiabilidad Zona Simijaca ( LT SI-CH)</t>
  </si>
  <si>
    <t xml:space="preserve">LLTT SIMIJCA CHIQUINQUIRA </t>
  </si>
  <si>
    <r>
      <rPr>
        <b/>
        <sz val="11"/>
        <color rgb="FFFF0000"/>
        <rFont val="Calibri"/>
        <family val="2"/>
      </rPr>
      <t xml:space="preserve">RL-7 </t>
    </r>
    <r>
      <rPr>
        <sz val="11"/>
        <color rgb="FF000000"/>
        <rFont val="Calibri"/>
        <family val="2"/>
      </rPr>
      <t>Estudio de Alternativas para rutas de Lineas de A.T - UNIDAD DE MEDIDA : KM - Kilómetro</t>
    </r>
  </si>
  <si>
    <t>Estudio de Alternativas para rutas de Líneas de A.T</t>
  </si>
  <si>
    <t>LL07ESP</t>
  </si>
  <si>
    <t>Realizar el estudio de alternativas en circuito sencillo de la LT de interconexión SE Simijaca a SE Chiquinquirá utilizando google earth.</t>
  </si>
  <si>
    <t xml:space="preserve">D00249112 </t>
  </si>
  <si>
    <t>OT: 18-072</t>
  </si>
  <si>
    <t>Proyecto: LT DO GU Remplazo estructura 453 por distancias de seguridad.</t>
  </si>
  <si>
    <t>LT DO GU Remplazo estructura 453 por distancias de seguridad.</t>
  </si>
  <si>
    <t>LLTT DO-EC-GU EST 453</t>
  </si>
  <si>
    <t xml:space="preserve">Realizar geoposicionamiento y amarre de coordenadas al IGAC, requeridos para el replanteo de estructura 453.
</t>
  </si>
  <si>
    <t>OT: 18-073</t>
  </si>
  <si>
    <t>Proyecto:CDIM_CBSGSM_R0199 NORMALIZACIÓN SERVICIOS ESENCIALES SSEE.</t>
  </si>
  <si>
    <t>Realizar levantamiento e ingeniería mecánica para el conexionado por el lado de 34,5 kV del Transformador de servicios auxiliares TA02 34.5/0.208kV en la subestación Calera  115/34.5/11.4kV. Se cobra el 50% del diseño por requerirse de solo la ingeniería mecánica.
FACTOR= 0.3x(Levantamiento) +0.7X(Diseño)= 0.3x(1)+0.3x(0.50)= 0.3+0.35=0.65</t>
  </si>
  <si>
    <t>OT: 18-074</t>
  </si>
  <si>
    <t>Proyecto:CDIE_CBCCSM_R018  100% DIGITAL REEMPLAZO DE PROTECCIÓN</t>
  </si>
  <si>
    <t>CDIE_CBCCSM_R018  100% DIGITAL REEMPLAZO DE PROTECCIÓN</t>
  </si>
  <si>
    <t xml:space="preserve">
Cobro correspondiente al descargo No. 10906757
VyP - Otros trabajos - EN SE LA PAZ, Levantamiento eléctrico de los tableros de control y protecciones,
para el reemplazo de la protección diferencial de Transformador. Se declara riesgo de disparo
Ejecutado el 04/09/2017  10:01:00 p. m.. hasta el 08/09/2017  5:51:00 a. m.
Factor de cobro: 0.3 X (factor de alcance levantamiento) X 0.15 (Porcentaje incremento por trabajos Nocturnos/Dominicales/Festivos ver ítem 6 especificaciones técnicas ingeniería AT/MT)  = 0.3 X (1) X 0.15 = 0.045</t>
  </si>
  <si>
    <t>OT: 18-075</t>
  </si>
  <si>
    <t>Proyecto: CDIE_CBCCSM_R018  100% DIGITAL REEMPLAZO DE PROTECCIÓN.</t>
  </si>
  <si>
    <t>CDIE_CBCCSM_R018  100% DIGITAL REEMPLAZO DE PROTECCIÓN.</t>
  </si>
  <si>
    <t>Cobro correspondiente al descargo No. 10055721
Tipo: VyP  Otros trabajos- S/E BOLIVIA - Diferencial de Barras 115kV (87B): Levantamiento eléctrico para la normalización y reemplazo del sistema de control y la protección diferencial de Barras 115kV. Retiro Panel anunciador de alarmas. Solicitante: DIANA MARCELA GARCIA PULIDO
Ejecutado el 01/02/2017  10:13:00 p. m. hasta el 04/02/2017  4:33:00 a. m.
Factor de cobro: 0.3 X (factor de alcance levantamiento) X 0.15 (Porcentaje incremento por trabajos Nocturnos/Dominicales/Festivos ver ítem 6 especificaciones técnicas ingeniería AT/MT)  = 0.3 X (1) X 0.15 = 0.045</t>
  </si>
  <si>
    <t>Cobro correspondiente al descargo No. 10097997
Tipo: VyP  Otros trabajos- Levantamiento mecánico tablero de control y protecciones para normalización del tablero Lado 115kV. Solicitante: DAVID JARAMILLO
Ejecutado el 06/02/2017  10:11:00 p. m. hasta el 07/02/2017  2:01:00 a. m.
Factor de cobro: 0.3 X (factor de alcance levantamiento) X 0.15 (Porcentaje incremento por trabajos Nocturnos/Dominicales/Festivos ver ítem 6 especificaciones técnicas ingeniería AT/MT)  = 0.3 X (1) X 0.15 = 0.045</t>
  </si>
  <si>
    <t>Cobro correspondiente al descargo No. 10097999
Tipo: VyP  Otros trabajos- Levantamiento mecánico tablero diferencial de barras para reubicación del tablero control y protección D3 en el espacio del tablero existente. Solicitante: DAVID JARAMILLO
Ejecutado el 07/02/2017  2:07:00 a. m. hasta el 07/02/2017  5:30:00 a. m.
Factor de cobro: 0.3 X (factor de alcance levantamiento) X 0.15 (Porcentaje incremento por trabajos Nocturnos/Dominicales/Festivos ver ítem 6 especificaciones técnicas ingeniería AT/MT)  = 0.3 X (1) X 0.15 = 0.045</t>
  </si>
  <si>
    <t>OT: 18-076</t>
  </si>
  <si>
    <t>Proyecto: CDIE_CBCCSM_R018  100% DIGITAL REEMPLAZO DE PROTECCIÓN</t>
  </si>
  <si>
    <r>
      <rPr>
        <b/>
        <sz val="11"/>
        <color rgb="FFFF0000"/>
        <rFont val="Calibri"/>
        <family val="2"/>
      </rPr>
      <t xml:space="preserve">M-22 </t>
    </r>
    <r>
      <rPr>
        <sz val="11"/>
        <color rgb="FF000000"/>
        <rFont val="Calibri"/>
        <family val="2"/>
      </rPr>
      <t>Ingeniería para el montaje y/o reemplazo de un tren de celdas Metal Clad 11,4 kV  - UNIDAD DE MEDIDA : Global por fila (Hasta 12 Celdas de Salida+Hasta 2 Celdas de Entrada+1 Celda de Medida+3 Celdas de Acople+1 Celda de Compensación Capacitiva)</t>
    </r>
  </si>
  <si>
    <t>Cobro correspondiente al descargo No. 10246749
Tipo: VyP  Otros trabajos- Levantamiento eléctrico Celda UB + C10. Solicitante: NESTOR DARIO MARIN ROMERO
Ejecutado el 18/03/2017  2:07:00 a. m. hasta el 18/03/2017  5:46:00 a. m.
Factor de cobro: 0.3 X (factor de alcance levantamiento) X 0.15 (Porcentaje incremento por trabajos Nocturnos/Dominicales/Festivos ver ítem 6 especificaciones técnicas ingeniería AT/MT)  = 0.3 X (1) X 0.15 = 0.045</t>
  </si>
  <si>
    <t>OT: 18-077</t>
  </si>
  <si>
    <r>
      <t xml:space="preserve">Ingeniería para el cálculo del burden y la corrección de la cargabilidad del núcleo de medida para un juego de Pt´s (3 unidades).
</t>
    </r>
    <r>
      <rPr>
        <b/>
        <sz val="11"/>
        <color rgb="FF000000"/>
        <rFont val="Calibri"/>
        <family val="2"/>
      </rPr>
      <t xml:space="preserve">NOTA: </t>
    </r>
    <r>
      <rPr>
        <sz val="11"/>
        <color rgb="FF000000"/>
        <rFont val="Calibri"/>
        <family val="2"/>
      </rPr>
      <t>Tener presente la ingeniería elaborada por AC&amp;JM con la DAT15-131(Código de medida)  y la ingeniería elaborada por AC ENERGY S.A.S. con la OT17-333 (Normalización y reposición del a subestación Concordia).
INGENIERÍA ELÉCTRICA =0.3x(Factor alcance levantamiento) + 0.7 x(Factor alcance diseño)=0.30x(0.00) + 0.70x(0.50)=0.35</t>
    </r>
  </si>
  <si>
    <r>
      <t xml:space="preserve">Labor asimilada para el cálculo de Burden y la corrección de la cargabilidad  del núcleo de medida para un juego CT´s (3 Unidades).
</t>
    </r>
    <r>
      <rPr>
        <b/>
        <sz val="11"/>
        <color rgb="FF000000"/>
        <rFont val="Calibri"/>
        <family val="2"/>
      </rPr>
      <t>NOTA:</t>
    </r>
    <r>
      <rPr>
        <sz val="11"/>
        <color rgb="FF000000"/>
        <rFont val="Calibri"/>
        <family val="2"/>
      </rPr>
      <t xml:space="preserve"> Tener presente la ingeniería elaborada por AC&amp;JM con la DAT15-131(Código de medida)  y la ingeniería elaborada por AC ENERGY S.A.S. con la OT17-333 (Normalización y reposición del a subestación Concordia).
INGENIERÍA ELÉCTRICA =0.3x(Factor alcance levantamiento) + 0.7 x(Factor alcance diseño)=0.30x(0.00) + 0.70x(0.40)=0.28</t>
    </r>
  </si>
  <si>
    <t>Realizar la Actualización de ingeniería por reemplazo de medidor digital de NEXUS 1500 a ELSTER A1800.</t>
  </si>
  <si>
    <r>
      <t xml:space="preserve">Labor asimilada para el cálculo de Burden y la corrección de la cargabilidad  del núcleo de medida para un juego CT´s (3 Unidades).  
</t>
    </r>
    <r>
      <rPr>
        <b/>
        <sz val="11"/>
        <color rgb="FF000000"/>
        <rFont val="Calibri"/>
        <family val="2"/>
      </rPr>
      <t xml:space="preserve">NOTA: </t>
    </r>
    <r>
      <rPr>
        <sz val="11"/>
        <color rgb="FF000000"/>
        <rFont val="Calibri"/>
        <family val="2"/>
      </rPr>
      <t>Tener presente la ingeniería elaborada por AC&amp;JM con la DAT15-131(Código de medida)  y la ingeniería elaborada por AC ENERGY S.A.S. con la OT17-333 (Normalización y reposición del a subestación Concordia).
INGENIERÍA ELÉCTRICA =0.3x(Factor alcance levantamiento) + 0.7 x(Factor alcance diseño)=0.30x(0.00) + 0.70x(0.40)=0.28</t>
    </r>
  </si>
  <si>
    <t>CALLE 67 REP PROT</t>
  </si>
  <si>
    <t xml:space="preserve"> VICTORIA PTES D1 D2</t>
  </si>
  <si>
    <t xml:space="preserve">17-045 </t>
  </si>
  <si>
    <t>VICTORIA CONT Y PR</t>
  </si>
  <si>
    <t>VICTORIA POTENCIA</t>
  </si>
  <si>
    <t xml:space="preserve">17-046 </t>
  </si>
  <si>
    <t>MORATO AS BUILT</t>
  </si>
  <si>
    <t>TECHO PLANOS AS BUILT</t>
  </si>
  <si>
    <t xml:space="preserve">17-048 </t>
  </si>
  <si>
    <t>LA PAZ CTO TELAS</t>
  </si>
  <si>
    <t>TOCANCIPÁ AMPLIACIÓN</t>
  </si>
  <si>
    <t xml:space="preserve">17-108 </t>
  </si>
  <si>
    <t>GRAN SABANA COD MED</t>
  </si>
  <si>
    <t>ZIPAQUIRÁ</t>
  </si>
  <si>
    <t>EL SOL CIVILES</t>
  </si>
  <si>
    <t xml:space="preserve">17-139 </t>
  </si>
  <si>
    <t>LT SAN JOSÉ-CONCOR</t>
  </si>
  <si>
    <t xml:space="preserve">17-142 </t>
  </si>
  <si>
    <t>SATÉLITE SIMP MAGDALEN</t>
  </si>
  <si>
    <t xml:space="preserve">17-153 </t>
  </si>
  <si>
    <t>TOCANCIPÁ PROVISIONAL</t>
  </si>
  <si>
    <t>LLANOS COD MEDIDA</t>
  </si>
  <si>
    <t>17-169</t>
  </si>
  <si>
    <t xml:space="preserve"> INDUMIL- NVA ESPERANZA</t>
  </si>
  <si>
    <t>MORATO ING BÁSICA</t>
  </si>
  <si>
    <t xml:space="preserve">17-173 </t>
  </si>
  <si>
    <t>USAQUEN ING BÁSICA</t>
  </si>
  <si>
    <t xml:space="preserve">17-174 </t>
  </si>
  <si>
    <t>EL SOL REV DE ING</t>
  </si>
  <si>
    <t xml:space="preserve"> LLTT TERMINAL</t>
  </si>
  <si>
    <t>MUÑA III</t>
  </si>
  <si>
    <t xml:space="preserve">17-186 </t>
  </si>
  <si>
    <t>GUACA</t>
  </si>
  <si>
    <t xml:space="preserve">17-187 </t>
  </si>
  <si>
    <t>CUCUNUBÁ</t>
  </si>
  <si>
    <t xml:space="preserve">17-189 </t>
  </si>
  <si>
    <t>SESQUILE AS BUILT</t>
  </si>
  <si>
    <t xml:space="preserve">17-198 </t>
  </si>
  <si>
    <t>LA PAZ REP PROTEC</t>
  </si>
  <si>
    <t xml:space="preserve">17-200 </t>
  </si>
  <si>
    <t xml:space="preserve"> INDUMIL</t>
  </si>
  <si>
    <t>OT17-207</t>
  </si>
  <si>
    <t xml:space="preserve">LT DOR GUA CONEX GUAD </t>
  </si>
  <si>
    <t>BACATÁ VALIDA DISEÑO</t>
  </si>
  <si>
    <t xml:space="preserve">17-227 </t>
  </si>
  <si>
    <t>MUÑA AS BUILT</t>
  </si>
  <si>
    <t xml:space="preserve">17-236 </t>
  </si>
  <si>
    <t>FONTIBÓN AS BUILT</t>
  </si>
  <si>
    <t xml:space="preserve">17-237 </t>
  </si>
  <si>
    <t xml:space="preserve"> LT SJ CN CIM ESP</t>
  </si>
  <si>
    <t>17-238</t>
  </si>
  <si>
    <t>VICTORIA 34,5 kV</t>
  </si>
  <si>
    <t xml:space="preserve">17-243 </t>
  </si>
  <si>
    <t xml:space="preserve">17-258 </t>
  </si>
  <si>
    <t>CAJICA</t>
  </si>
  <si>
    <t xml:space="preserve">OT17-259 </t>
  </si>
  <si>
    <t xml:space="preserve">17-263 </t>
  </si>
  <si>
    <t xml:space="preserve">17-265 </t>
  </si>
  <si>
    <t>CHARQUITO ADIC</t>
  </si>
  <si>
    <t>CÁQUEZA ILUMINA INTER</t>
  </si>
  <si>
    <t xml:space="preserve">17-280 </t>
  </si>
  <si>
    <t>EL PEÑON IN-OUT</t>
  </si>
  <si>
    <t xml:space="preserve">17-287 </t>
  </si>
  <si>
    <t xml:space="preserve">ANOLAIMA </t>
  </si>
  <si>
    <t xml:space="preserve">17-298 </t>
  </si>
  <si>
    <t>SAN JORGE</t>
  </si>
  <si>
    <t xml:space="preserve">17-300 </t>
  </si>
  <si>
    <t>TAMARINDO</t>
  </si>
  <si>
    <t xml:space="preserve">17-303 </t>
  </si>
  <si>
    <t>JMCÓRDOBA</t>
  </si>
  <si>
    <t xml:space="preserve">17-305 </t>
  </si>
  <si>
    <t>EL HOBAL</t>
  </si>
  <si>
    <t xml:space="preserve">17-306 </t>
  </si>
  <si>
    <t>APULO</t>
  </si>
  <si>
    <t xml:space="preserve">17-307 </t>
  </si>
  <si>
    <t>PTO SALGAR</t>
  </si>
  <si>
    <t xml:space="preserve">17-309 </t>
  </si>
  <si>
    <t>GUADUAS</t>
  </si>
  <si>
    <t xml:space="preserve">17-310 </t>
  </si>
  <si>
    <t xml:space="preserve">17-312 </t>
  </si>
  <si>
    <t xml:space="preserve"> BOLIVIA</t>
  </si>
  <si>
    <t xml:space="preserve">FONTIBÓN </t>
  </si>
  <si>
    <t xml:space="preserve">17-318 </t>
  </si>
  <si>
    <t>CÁQUEZA</t>
  </si>
  <si>
    <t xml:space="preserve">17-332 </t>
  </si>
  <si>
    <t xml:space="preserve"> LLTT TERMOZIPA - AGAFA</t>
  </si>
  <si>
    <t xml:space="preserve">17-339 </t>
  </si>
  <si>
    <t>17-341</t>
  </si>
  <si>
    <t>TERMOZIPA</t>
  </si>
  <si>
    <t xml:space="preserve">17-349 </t>
  </si>
  <si>
    <t>LA PITALA</t>
  </si>
  <si>
    <t xml:space="preserve">17-359 </t>
  </si>
  <si>
    <t>LA SALADA</t>
  </si>
  <si>
    <t xml:space="preserve">17-365 </t>
  </si>
  <si>
    <t xml:space="preserve">17-367 </t>
  </si>
  <si>
    <t>VIOTA IN-OUT</t>
  </si>
  <si>
    <t xml:space="preserve">17-377 </t>
  </si>
  <si>
    <t>LOS MANGOS</t>
  </si>
  <si>
    <t xml:space="preserve">17-384 </t>
  </si>
  <si>
    <t xml:space="preserve">EL PEÑÓN </t>
  </si>
  <si>
    <t xml:space="preserve">17-385 </t>
  </si>
  <si>
    <t xml:space="preserve"> CHOACHÍ</t>
  </si>
  <si>
    <t>17-386</t>
  </si>
  <si>
    <t xml:space="preserve"> FLORIDA ASBUILT</t>
  </si>
  <si>
    <t>17-397</t>
  </si>
  <si>
    <t>CHICALA AS BUILT</t>
  </si>
  <si>
    <t xml:space="preserve">17-399 </t>
  </si>
  <si>
    <t>MUÑA INT.</t>
  </si>
  <si>
    <t xml:space="preserve">17-405 </t>
  </si>
  <si>
    <t>BALSILLAS AS BUILT</t>
  </si>
  <si>
    <t xml:space="preserve">17-428 </t>
  </si>
  <si>
    <t>CÓDIGO ZONA SUR</t>
  </si>
  <si>
    <t xml:space="preserve">17-438 </t>
  </si>
  <si>
    <t>CÓDIGO ZONA NORTE</t>
  </si>
  <si>
    <t xml:space="preserve">17-439 </t>
  </si>
  <si>
    <t>VIANÍ</t>
  </si>
  <si>
    <t xml:space="preserve">18-002 </t>
  </si>
  <si>
    <t xml:space="preserve"> REP PROT DES NOCT</t>
  </si>
  <si>
    <t>18-003</t>
  </si>
  <si>
    <t xml:space="preserve">18-005 </t>
  </si>
  <si>
    <t>OT18-005 VERAGUAS</t>
  </si>
  <si>
    <t xml:space="preserve">BOLIVIA </t>
  </si>
  <si>
    <t xml:space="preserve">18-006 </t>
  </si>
  <si>
    <t xml:space="preserve"> TECHO</t>
  </si>
  <si>
    <t>18-007</t>
  </si>
  <si>
    <t xml:space="preserve"> SIBERIA</t>
  </si>
  <si>
    <t>18-011</t>
  </si>
  <si>
    <t>SUBACHOQUE</t>
  </si>
  <si>
    <t xml:space="preserve">18-012 </t>
  </si>
  <si>
    <t xml:space="preserve">18-013 </t>
  </si>
  <si>
    <t xml:space="preserve"> BALSILLAS</t>
  </si>
  <si>
    <t>18-014</t>
  </si>
  <si>
    <t xml:space="preserve">SAN CARLOS AS BUILT  </t>
  </si>
  <si>
    <t>18-019</t>
  </si>
  <si>
    <t>CENTRO CHÍA</t>
  </si>
  <si>
    <t xml:space="preserve">18-024 </t>
  </si>
  <si>
    <t xml:space="preserve">NAMAY </t>
  </si>
  <si>
    <t xml:space="preserve">18-025 </t>
  </si>
  <si>
    <t>SESQUILE</t>
  </si>
  <si>
    <t xml:space="preserve">18-026 </t>
  </si>
  <si>
    <t xml:space="preserve">18-027 </t>
  </si>
  <si>
    <t xml:space="preserve">18-028 </t>
  </si>
  <si>
    <t>18-029</t>
  </si>
  <si>
    <t>TAUSA</t>
  </si>
  <si>
    <t xml:space="preserve">18-030 </t>
  </si>
  <si>
    <t xml:space="preserve"> LA PAZ</t>
  </si>
  <si>
    <t>18-031</t>
  </si>
  <si>
    <t xml:space="preserve">18-032 </t>
  </si>
  <si>
    <t xml:space="preserve">18-033 </t>
  </si>
  <si>
    <t xml:space="preserve">18-034 </t>
  </si>
  <si>
    <t>ZIPAQUIRA</t>
  </si>
  <si>
    <t xml:space="preserve">18-035 </t>
  </si>
  <si>
    <t xml:space="preserve">18-036 </t>
  </si>
  <si>
    <t xml:space="preserve"> COMPARTIR</t>
  </si>
  <si>
    <t>18-037</t>
  </si>
  <si>
    <t xml:space="preserve"> CAQUEZA</t>
  </si>
  <si>
    <t>18-038</t>
  </si>
  <si>
    <t xml:space="preserve">18-039 </t>
  </si>
  <si>
    <t xml:space="preserve">18-040 </t>
  </si>
  <si>
    <t>BOSANOVA</t>
  </si>
  <si>
    <t xml:space="preserve">18-041 </t>
  </si>
  <si>
    <t xml:space="preserve">18-042 </t>
  </si>
  <si>
    <t>18-043</t>
  </si>
  <si>
    <t xml:space="preserve"> MORATO</t>
  </si>
  <si>
    <t>18-044</t>
  </si>
  <si>
    <t>VERAGUAS</t>
  </si>
  <si>
    <t xml:space="preserve">18-045 </t>
  </si>
  <si>
    <t>18-046</t>
  </si>
  <si>
    <t xml:space="preserve">18-047 </t>
  </si>
  <si>
    <t xml:space="preserve">18-048 </t>
  </si>
  <si>
    <t>VARIAS</t>
  </si>
  <si>
    <t xml:space="preserve">18-049 </t>
  </si>
  <si>
    <t xml:space="preserve"> EL HOBAL</t>
  </si>
  <si>
    <t>18-051</t>
  </si>
  <si>
    <t xml:space="preserve"> CABRERA</t>
  </si>
  <si>
    <t>18-052</t>
  </si>
  <si>
    <t>18-053</t>
  </si>
  <si>
    <t xml:space="preserve">18-054 </t>
  </si>
  <si>
    <t xml:space="preserve">18-055 </t>
  </si>
  <si>
    <t xml:space="preserve">18-056 </t>
  </si>
  <si>
    <t xml:space="preserve">18-057 </t>
  </si>
  <si>
    <t>TERMINAL</t>
  </si>
  <si>
    <t xml:space="preserve">18-058 </t>
  </si>
  <si>
    <t xml:space="preserve"> LOS MANGOS</t>
  </si>
  <si>
    <t>18-059</t>
  </si>
  <si>
    <t xml:space="preserve">LLTT ZIPAQUIRA -UP </t>
  </si>
  <si>
    <t xml:space="preserve">18-060 </t>
  </si>
  <si>
    <t xml:space="preserve">18-061 </t>
  </si>
  <si>
    <t xml:space="preserve">18-063 </t>
  </si>
  <si>
    <t>COMPARTIR</t>
  </si>
  <si>
    <t xml:space="preserve">18-064 </t>
  </si>
  <si>
    <t>SAN CAYETANO</t>
  </si>
  <si>
    <t xml:space="preserve">18-065 </t>
  </si>
  <si>
    <t>TERRAZAS</t>
  </si>
  <si>
    <t xml:space="preserve">18-066 </t>
  </si>
  <si>
    <t xml:space="preserve">18-067 </t>
  </si>
  <si>
    <t>VILLA PINZÓN</t>
  </si>
  <si>
    <t xml:space="preserve">18-068 </t>
  </si>
  <si>
    <t xml:space="preserve"> NORTE</t>
  </si>
  <si>
    <t>18-069</t>
  </si>
  <si>
    <t xml:space="preserve">18-070 </t>
  </si>
  <si>
    <t xml:space="preserve">LLTT SIMIJACA </t>
  </si>
  <si>
    <t xml:space="preserve">18-071 </t>
  </si>
  <si>
    <t xml:space="preserve"> LLTT-DORADA</t>
  </si>
  <si>
    <t>18-072</t>
  </si>
  <si>
    <t>CALERA</t>
  </si>
  <si>
    <t xml:space="preserve">18-073 </t>
  </si>
  <si>
    <t>18-074</t>
  </si>
  <si>
    <t>18-075</t>
  </si>
  <si>
    <t>CHIA</t>
  </si>
  <si>
    <t xml:space="preserve">18-076 </t>
  </si>
  <si>
    <t xml:space="preserve">18-077 </t>
  </si>
  <si>
    <t>Como constancia de lo anterior, se firma la presente acta el día 5 de Febrero de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</si>
</sst>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32">
    <numFmt numFmtId="41" formatCode="_-* #,##0_-;\-* #,##0_-;_-* &quot;-&quot;_-;_-@_-"/>
    <numFmt numFmtId="43" formatCode="_-* #,##0.00_-;\-* #,##0.00_-;_-* &quot;-&quot;??_-;_-@_-"/>
    <numFmt numFmtId="164" formatCode="&quot;$&quot;#,##0;\-&quot;$&quot;#,##0"/>
    <numFmt numFmtId="165" formatCode="_-&quot;$&quot;* #,##0_-;\-&quot;$&quot;* #,##0_-;_-&quot;$&quot;* &quot;-&quot;_-;_-@_-"/>
    <numFmt numFmtId="166" formatCode="_-&quot;$&quot;* #,##0.00_-;\-&quot;$&quot;* #,##0.00_-;_-&quot;$&quot;* &quot;-&quot;??_-;_-@_-"/>
    <numFmt numFmtId="167" formatCode="_-* #,##0.00\ &quot;€&quot;_-;\-* #,##0.00\ &quot;€&quot;_-;_-* &quot;-&quot;??\ &quot;€&quot;_-;_-@_-"/>
    <numFmt numFmtId="168" formatCode="_-* #,##0.00\ _€_-;\-* #,##0.00\ _€_-;_-* &quot;-&quot;??\ _€_-;_-@_-"/>
    <numFmt numFmtId="169" formatCode="_(&quot;$&quot;\ * #,##0.00_);_(&quot;$&quot;\ * \(#,##0.00\);_(&quot;$&quot;\ * &quot;-&quot;??_);_(@_)"/>
    <numFmt numFmtId="170" formatCode="_(* #,##0.00_);_(* \(#,##0.00\);_(* &quot;-&quot;??_);_(@_)"/>
    <numFmt numFmtId="171" formatCode="&quot;$&quot;#,##0"/>
    <numFmt numFmtId="172" formatCode="_-&quot;$&quot;* #,##0_-;\-&quot;$&quot;* #,##0_-;_-&quot;$&quot;* &quot;-&quot;??_-;_-@_-"/>
    <numFmt numFmtId="173" formatCode="_(* #,##0_);_(* \(#,##0\);_(* &quot;-&quot;??_);_(@_)"/>
    <numFmt numFmtId="174" formatCode="&quot;$&quot;\ #,##0"/>
    <numFmt numFmtId="175" formatCode="_ &quot;$&quot;\ * #,##0_ ;_ &quot;$&quot;\ * \-#,##0_ ;_ &quot;$&quot;\ * &quot;-&quot;_ ;_ @_ "/>
    <numFmt numFmtId="176" formatCode="_ &quot;$ &quot;* #,##0.00_ ;_ &quot;$ &quot;* \-#,##0.00_ ;_ &quot;$ &quot;* \-??_ ;_ @_ "/>
    <numFmt numFmtId="177" formatCode="_ &quot;$&quot;\ * #,##0_ ;_ &quot;$&quot;\ * \-#,##0_ ;_ &quot;$&quot;\ * &quot;-&quot;??_ ;_ @_ "/>
    <numFmt numFmtId="178" formatCode="_ &quot;$&quot;\ * #,##0.00_ ;_ &quot;$&quot;\ * \-#,##0.00_ ;_ &quot;$&quot;\ * &quot;-&quot;??_ ;_ @_ "/>
    <numFmt numFmtId="179" formatCode="_(* #,##0.0_);_(* \(#,##0.0\);_(* &quot;-&quot;??_);_(@_)"/>
    <numFmt numFmtId="180" formatCode="_(&quot;$&quot;\ * #,##0.0_);_(&quot;$&quot;\ * \(#,##0.0\);_(&quot;$&quot;\ * &quot;-&quot;??_);_(@_)"/>
    <numFmt numFmtId="181" formatCode="#,##0.0"/>
    <numFmt numFmtId="182" formatCode="0.000%"/>
    <numFmt numFmtId="183" formatCode="0.0"/>
    <numFmt numFmtId="184" formatCode="_(&quot;$&quot;\ * #,##0_);_(&quot;$&quot;\ * \(#,##0\);_(&quot;$&quot;\ * &quot;-&quot;??_);_(@_)"/>
    <numFmt numFmtId="185" formatCode="&quot;$&quot;#,##0.0"/>
    <numFmt numFmtId="186" formatCode="_(&quot;$&quot;\ * #,##0.0_);_(&quot;$&quot;\ * \(#,##0.0\);_(&quot;$&quot;\ * &quot;-&quot;?_);_(@_)"/>
    <numFmt numFmtId="187" formatCode="_(&quot;$&quot;* #,##0.00_);_(&quot;$&quot;* \(#,##0.00\);_(&quot;$&quot;* &quot;-&quot;??_);_(@_)"/>
    <numFmt numFmtId="188" formatCode="[$-F800]dddd\,\ mmmm\ dd\,\ yyyy"/>
    <numFmt numFmtId="189" formatCode="&quot;$&quot;\ #,##0;[Red]\(&quot;$&quot;\ #,##0\)"/>
    <numFmt numFmtId="190" formatCode="0.0%"/>
    <numFmt numFmtId="191" formatCode="0.0000"/>
    <numFmt numFmtId="192" formatCode="0.000000"/>
    <numFmt numFmtId="193" formatCode="&quot;$&quot;#,##0;[Red]&quot;$&quot;#,##0"/>
  </numFmts>
  <fonts count="183"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sz val="11"/>
      <color rgb="FF000000"/>
      <name val="Calibri"/>
      <family val="2"/>
    </font>
    <font>
      <sz val="11"/>
      <color theme="1"/>
      <name val="Calibri"/>
      <family val="2"/>
      <scheme val="minor"/>
    </font>
    <font>
      <b/>
      <sz val="10"/>
      <color rgb="FF009999"/>
      <name val="Verdana"/>
      <family val="2"/>
    </font>
    <font>
      <sz val="11"/>
      <color rgb="FF000000"/>
      <name val="Calibri"/>
      <family val="2"/>
    </font>
    <font>
      <b/>
      <sz val="11"/>
      <color theme="1"/>
      <name val="Calibri"/>
      <family val="2"/>
      <scheme val="minor"/>
    </font>
    <font>
      <sz val="11"/>
      <name val="Calibri"/>
      <family val="2"/>
      <scheme val="minor"/>
    </font>
    <font>
      <b/>
      <sz val="11"/>
      <name val="Calibri"/>
      <family val="2"/>
      <scheme val="minor"/>
    </font>
    <font>
      <b/>
      <sz val="11"/>
      <color indexed="8"/>
      <name val="Calibri"/>
      <family val="2"/>
      <scheme val="minor"/>
    </font>
    <font>
      <b/>
      <sz val="11"/>
      <color rgb="FF000000"/>
      <name val="Calibri"/>
      <family val="2"/>
    </font>
    <font>
      <sz val="10"/>
      <color rgb="FF000000"/>
      <name val="Arial"/>
      <family val="2"/>
    </font>
    <font>
      <sz val="9"/>
      <color indexed="81"/>
      <name val="Tahoma"/>
      <family val="2"/>
    </font>
    <font>
      <b/>
      <sz val="9"/>
      <color indexed="81"/>
      <name val="Tahoma"/>
      <family val="2"/>
    </font>
    <font>
      <sz val="11"/>
      <color rgb="FF000000"/>
      <name val="Arial"/>
      <family val="2"/>
    </font>
    <font>
      <b/>
      <sz val="11"/>
      <color theme="0"/>
      <name val="Calibri"/>
      <family val="2"/>
      <scheme val="minor"/>
    </font>
    <font>
      <b/>
      <sz val="11"/>
      <color theme="1"/>
      <name val="Arial"/>
      <family val="2"/>
    </font>
    <font>
      <sz val="11"/>
      <color theme="1"/>
      <name val="Arial"/>
      <family val="2"/>
    </font>
    <font>
      <sz val="11"/>
      <name val="Arial"/>
      <family val="2"/>
    </font>
    <font>
      <b/>
      <sz val="11"/>
      <name val="Arial"/>
      <family val="2"/>
    </font>
    <font>
      <sz val="14"/>
      <color theme="1"/>
      <name val="Calibri"/>
      <family val="2"/>
      <scheme val="minor"/>
    </font>
    <font>
      <sz val="11"/>
      <color rgb="FF000000"/>
      <name val="Calibri"/>
      <family val="2"/>
    </font>
    <font>
      <b/>
      <sz val="10"/>
      <name val="Arial"/>
      <family val="2"/>
    </font>
    <font>
      <b/>
      <sz val="11"/>
      <name val="Calibri"/>
      <family val="2"/>
    </font>
    <font>
      <b/>
      <sz val="11"/>
      <color indexed="10"/>
      <name val="Calibri"/>
      <family val="2"/>
    </font>
    <font>
      <b/>
      <sz val="11"/>
      <color rgb="FFFFFFFF"/>
      <name val="Calibri"/>
      <family val="2"/>
    </font>
    <font>
      <sz val="8"/>
      <color rgb="FF000000"/>
      <name val="Arial"/>
      <family val="2"/>
    </font>
    <font>
      <b/>
      <sz val="10"/>
      <color rgb="FF000000"/>
      <name val="Arial"/>
      <family val="2"/>
    </font>
    <font>
      <b/>
      <sz val="10"/>
      <color rgb="FFFF0000"/>
      <name val="Arial"/>
      <family val="2"/>
    </font>
    <font>
      <sz val="11"/>
      <name val="Calibri"/>
      <family val="2"/>
    </font>
    <font>
      <b/>
      <sz val="11"/>
      <color rgb="FFFF0000"/>
      <name val="Calibri"/>
      <family val="2"/>
    </font>
    <font>
      <sz val="11"/>
      <color rgb="FF000000"/>
      <name val="Calibri"/>
      <family val="2"/>
    </font>
    <font>
      <b/>
      <sz val="11"/>
      <color rgb="FFFFFFFF"/>
      <name val="Calibri"/>
      <family val="2"/>
    </font>
    <font>
      <sz val="11"/>
      <color rgb="FFFF0000"/>
      <name val="Calibri"/>
      <family val="2"/>
      <scheme val="minor"/>
    </font>
    <font>
      <sz val="10"/>
      <color theme="1"/>
      <name val="Arial"/>
      <family val="2"/>
    </font>
    <font>
      <b/>
      <sz val="10"/>
      <color theme="1"/>
      <name val="Arial"/>
      <family val="2"/>
    </font>
    <font>
      <sz val="9"/>
      <color theme="1"/>
      <name val="Arial"/>
      <family val="2"/>
    </font>
    <font>
      <b/>
      <sz val="10"/>
      <color rgb="FF000000"/>
      <name val="Calibri"/>
      <family val="2"/>
    </font>
    <font>
      <sz val="11"/>
      <color rgb="FF000000"/>
      <name val="Calibri"/>
      <family val="2"/>
    </font>
    <font>
      <b/>
      <sz val="11"/>
      <color rgb="FFFFFFFF"/>
      <name val="Calibri"/>
      <family val="2"/>
    </font>
    <font>
      <b/>
      <sz val="11"/>
      <color rgb="FFFF0000"/>
      <name val="Calibri"/>
      <family val="2"/>
      <scheme val="minor"/>
    </font>
    <font>
      <sz val="11"/>
      <color rgb="FF000000"/>
      <name val="Calibri"/>
      <family val="2"/>
      <scheme val="minor"/>
    </font>
    <font>
      <sz val="11"/>
      <color theme="1"/>
      <name val="Calibri"/>
      <family val="2"/>
    </font>
    <font>
      <sz val="11"/>
      <color rgb="FFFF0000"/>
      <name val="Calibri"/>
      <family val="2"/>
    </font>
    <font>
      <b/>
      <i/>
      <u/>
      <sz val="48"/>
      <color rgb="FFFF0000"/>
      <name val="Calibri"/>
      <family val="2"/>
    </font>
    <font>
      <b/>
      <sz val="10"/>
      <color indexed="8"/>
      <name val="Arial"/>
      <family val="2"/>
    </font>
    <font>
      <sz val="10"/>
      <color indexed="8"/>
      <name val="Arial"/>
      <family val="2"/>
    </font>
    <font>
      <b/>
      <sz val="11"/>
      <color rgb="FFFFFFFF"/>
      <name val="Calibri"/>
      <family val="2"/>
    </font>
    <font>
      <sz val="10"/>
      <color rgb="FF000000"/>
      <name val="Calibri"/>
      <family val="2"/>
    </font>
    <font>
      <sz val="9"/>
      <color rgb="FF000000"/>
      <name val="Calibri"/>
      <family val="2"/>
    </font>
    <font>
      <sz val="11"/>
      <color rgb="FFFFFFFF"/>
      <name val="Calibri"/>
      <family val="2"/>
    </font>
    <font>
      <sz val="11"/>
      <color rgb="FF000000"/>
      <name val="Calibri"/>
      <family val="2"/>
    </font>
    <font>
      <b/>
      <sz val="10"/>
      <color rgb="FFFF0000"/>
      <name val="Calibri"/>
      <family val="2"/>
    </font>
    <font>
      <b/>
      <sz val="10"/>
      <color rgb="FFFFFFFF"/>
      <name val="Calibri"/>
      <family val="2"/>
    </font>
    <font>
      <b/>
      <sz val="11"/>
      <color rgb="FFFF0000"/>
      <name val="Arial"/>
      <family val="2"/>
    </font>
    <font>
      <b/>
      <sz val="11"/>
      <color rgb="FF000000"/>
      <name val="Arial"/>
      <family val="2"/>
    </font>
    <font>
      <b/>
      <sz val="10"/>
      <color theme="1" tint="4.9989318521683403E-2"/>
      <name val="Arial"/>
      <family val="2"/>
    </font>
    <font>
      <b/>
      <sz val="11"/>
      <color theme="1"/>
      <name val="Calibri"/>
      <family val="2"/>
    </font>
    <font>
      <b/>
      <sz val="16"/>
      <color rgb="FFFF0000"/>
      <name val="Calibri"/>
      <family val="2"/>
    </font>
    <font>
      <b/>
      <sz val="11"/>
      <color rgb="FFFFFFFF"/>
      <name val="Calibri"/>
      <family val="2"/>
    </font>
    <font>
      <b/>
      <sz val="11"/>
      <color rgb="FF000000"/>
      <name val="Calibri"/>
      <family val="2"/>
    </font>
    <font>
      <b/>
      <sz val="11"/>
      <color theme="0"/>
      <name val="Calibri"/>
      <family val="2"/>
    </font>
    <font>
      <b/>
      <sz val="28"/>
      <color rgb="FFFF0000"/>
      <name val="Calibri"/>
      <family val="2"/>
    </font>
    <font>
      <b/>
      <sz val="11"/>
      <color theme="1" tint="0.14999847407452621"/>
      <name val="Calibri"/>
      <family val="2"/>
    </font>
    <font>
      <b/>
      <sz val="11"/>
      <color rgb="FF000000"/>
      <name val="Calibri"/>
      <family val="2"/>
    </font>
    <font>
      <b/>
      <sz val="11"/>
      <color rgb="FFFFFFFF"/>
      <name val="Calibri"/>
      <family val="2"/>
    </font>
    <font>
      <sz val="10"/>
      <name val="Calibri"/>
      <family val="2"/>
    </font>
    <font>
      <sz val="8"/>
      <name val="Arial"/>
      <family val="2"/>
    </font>
    <font>
      <sz val="9"/>
      <name val="Lucida Sans"/>
      <family val="2"/>
    </font>
    <font>
      <b/>
      <sz val="10"/>
      <name val="Lucida Sans"/>
      <family val="2"/>
    </font>
    <font>
      <sz val="10"/>
      <name val="Lucida Sans"/>
      <family val="2"/>
    </font>
    <font>
      <b/>
      <sz val="10"/>
      <color indexed="9"/>
      <name val="Arial"/>
      <family val="2"/>
    </font>
    <font>
      <sz val="10"/>
      <color theme="1"/>
      <name val="Calibri"/>
      <family val="2"/>
      <scheme val="minor"/>
    </font>
    <font>
      <sz val="9"/>
      <name val="Calibri"/>
      <family val="2"/>
      <scheme val="minor"/>
    </font>
    <font>
      <sz val="11"/>
      <color indexed="8"/>
      <name val="Calibri"/>
      <family val="2"/>
      <scheme val="minor"/>
    </font>
    <font>
      <sz val="11"/>
      <color theme="0"/>
      <name val="Calibri"/>
      <family val="2"/>
    </font>
    <font>
      <b/>
      <u val="singleAccounting"/>
      <sz val="11"/>
      <color rgb="FFFFFFFF"/>
      <name val="Calibri"/>
      <family val="2"/>
    </font>
    <font>
      <u val="singleAccounting"/>
      <sz val="11"/>
      <color rgb="FF000000"/>
      <name val="Calibri"/>
      <family val="2"/>
    </font>
  </fonts>
  <fills count="32">
    <fill>
      <patternFill patternType="none"/>
    </fill>
    <fill>
      <patternFill patternType="gray125"/>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0"/>
        <bgColor indexed="64"/>
      </patternFill>
    </fill>
    <fill>
      <patternFill patternType="solid">
        <fgColor rgb="FFFFFF00"/>
        <bgColor indexed="64"/>
      </patternFill>
    </fill>
    <fill>
      <patternFill patternType="solid">
        <fgColor rgb="FFA5A5A5"/>
      </patternFill>
    </fill>
    <fill>
      <patternFill patternType="solid">
        <fgColor rgb="FF00B0F0"/>
        <bgColor indexed="64"/>
      </patternFill>
    </fill>
    <fill>
      <patternFill patternType="solid">
        <fgColor theme="5"/>
        <bgColor indexed="64"/>
      </patternFill>
    </fill>
    <fill>
      <patternFill patternType="solid">
        <fgColor rgb="FF1F497D"/>
        <bgColor rgb="FF000000"/>
      </patternFill>
    </fill>
    <fill>
      <patternFill patternType="solid">
        <fgColor rgb="FFE26B0A"/>
        <bgColor rgb="FF000000"/>
      </patternFill>
    </fill>
    <fill>
      <patternFill patternType="solid">
        <fgColor indexed="9"/>
        <bgColor indexed="64"/>
      </patternFill>
    </fill>
    <fill>
      <patternFill patternType="solid">
        <fgColor theme="6"/>
        <bgColor indexed="64"/>
      </patternFill>
    </fill>
    <fill>
      <patternFill patternType="solid">
        <fgColor rgb="FFFFC000"/>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rgb="FFD9D9D9"/>
        <bgColor indexed="64"/>
      </patternFill>
    </fill>
    <fill>
      <patternFill patternType="solid">
        <fgColor rgb="FFF2F2F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0070C0"/>
        <bgColor rgb="FF000000"/>
      </patternFill>
    </fill>
    <fill>
      <patternFill patternType="solid">
        <fgColor rgb="FFFCD5B4"/>
        <bgColor rgb="FF000000"/>
      </patternFill>
    </fill>
    <fill>
      <patternFill patternType="solid">
        <fgColor indexed="22"/>
        <bgColor indexed="64"/>
      </patternFill>
    </fill>
    <fill>
      <patternFill patternType="solid">
        <fgColor theme="3" tint="0.39997558519241921"/>
        <bgColor indexed="64"/>
      </patternFill>
    </fill>
    <fill>
      <patternFill patternType="solid">
        <fgColor theme="9" tint="-0.249977111117893"/>
        <bgColor indexed="64"/>
      </patternFill>
    </fill>
    <fill>
      <patternFill patternType="solid">
        <fgColor theme="9" tint="-0.249977111117893"/>
        <bgColor rgb="FF000000"/>
      </patternFill>
    </fill>
    <fill>
      <patternFill patternType="solid">
        <fgColor theme="5" tint="0.39997558519241921"/>
        <bgColor indexed="64"/>
      </patternFill>
    </fill>
  </fills>
  <borders count="4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theme="0" tint="-0.34998626667073579"/>
      </left>
      <right/>
      <top style="thin">
        <color theme="0" tint="-0.34998626667073579"/>
      </top>
      <bottom style="thin">
        <color theme="0" tint="-0.34998626667073579"/>
      </bottom>
      <diagonal/>
    </border>
    <border>
      <left style="double">
        <color rgb="FF3F3F3F"/>
      </left>
      <right style="double">
        <color rgb="FF3F3F3F"/>
      </right>
      <top style="double">
        <color rgb="FF3F3F3F"/>
      </top>
      <bottom style="double">
        <color rgb="FF3F3F3F"/>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indexed="64"/>
      </left>
      <right/>
      <top style="medium">
        <color indexed="64"/>
      </top>
      <bottom style="medium">
        <color indexed="64"/>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s>
  <cellStyleXfs count="16329">
    <xf numFmtId="0" fontId="0" fillId="0" borderId="0"/>
    <xf numFmtId="175" fontId="106" fillId="0" borderId="0" applyFont="0" applyFill="0" applyBorder="0" applyAlignment="0" applyProtection="0"/>
    <xf numFmtId="175" fontId="106" fillId="0" borderId="0" applyFill="0" applyBorder="0" applyAlignment="0" applyProtection="0"/>
    <xf numFmtId="176" fontId="106" fillId="0" borderId="0" applyFill="0" applyBorder="0" applyAlignment="0" applyProtection="0"/>
    <xf numFmtId="177" fontId="106" fillId="0" borderId="0" applyFill="0" applyBorder="0" applyAlignment="0" applyProtection="0"/>
    <xf numFmtId="177" fontId="106" fillId="0" borderId="0" applyFill="0" applyBorder="0" applyAlignment="0" applyProtection="0"/>
    <xf numFmtId="177" fontId="106" fillId="0" borderId="0" applyFill="0" applyBorder="0" applyAlignment="0" applyProtection="0"/>
    <xf numFmtId="177" fontId="106" fillId="0" borderId="0" applyFill="0" applyBorder="0" applyAlignment="0" applyProtection="0"/>
    <xf numFmtId="177" fontId="106" fillId="0" borderId="0" applyFill="0" applyBorder="0" applyAlignment="0" applyProtection="0"/>
    <xf numFmtId="167" fontId="106" fillId="0" borderId="0" applyFill="0" applyBorder="0" applyAlignment="0" applyProtection="0"/>
    <xf numFmtId="178" fontId="106" fillId="0" borderId="0" applyFill="0" applyBorder="0" applyAlignment="0" applyProtection="0"/>
    <xf numFmtId="179" fontId="106" fillId="0" borderId="0" applyFill="0" applyBorder="0" applyAlignment="0" applyProtection="0"/>
    <xf numFmtId="180" fontId="106" fillId="0" borderId="0" applyFill="0" applyBorder="0" applyAlignment="0" applyProtection="0"/>
    <xf numFmtId="0" fontId="106" fillId="0" borderId="0" applyFill="0" applyBorder="0" applyAlignment="0" applyProtection="0"/>
    <xf numFmtId="181" fontId="106" fillId="0" borderId="0" applyFill="0" applyBorder="0" applyAlignment="0" applyProtection="0"/>
    <xf numFmtId="182" fontId="106" fillId="0" borderId="0" applyFill="0" applyBorder="0" applyAlignment="0" applyProtection="0"/>
    <xf numFmtId="169" fontId="106" fillId="0" borderId="0" applyFont="0" applyFill="0" applyBorder="0" applyAlignment="0" applyProtection="0"/>
    <xf numFmtId="22" fontId="109" fillId="8" borderId="9">
      <alignment horizontal="center" vertical="center" wrapText="1"/>
    </xf>
    <xf numFmtId="41" fontId="110" fillId="0" borderId="0" applyFont="0" applyFill="0" applyBorder="0" applyAlignment="0" applyProtection="0"/>
    <xf numFmtId="43" fontId="108" fillId="0" borderId="0" applyFont="0" applyFill="0" applyBorder="0" applyAlignment="0" applyProtection="0"/>
    <xf numFmtId="170" fontId="108" fillId="0" borderId="0" applyFont="0" applyFill="0" applyBorder="0" applyAlignment="0" applyProtection="0"/>
    <xf numFmtId="43" fontId="108"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170" fontId="108" fillId="0" borderId="0" applyFont="0" applyFill="0" applyBorder="0" applyAlignment="0" applyProtection="0"/>
    <xf numFmtId="43" fontId="108" fillId="0" borderId="0" applyFont="0" applyFill="0" applyBorder="0" applyAlignment="0" applyProtection="0"/>
    <xf numFmtId="168" fontId="108" fillId="0" borderId="0" applyFont="0" applyFill="0" applyBorder="0" applyAlignment="0" applyProtection="0"/>
    <xf numFmtId="178" fontId="106" fillId="0" borderId="0" applyFont="0" applyFill="0" applyBorder="0" applyAlignment="0" applyProtection="0"/>
    <xf numFmtId="169" fontId="110" fillId="0" borderId="0" applyFont="0" applyFill="0" applyBorder="0" applyAlignment="0" applyProtection="0"/>
    <xf numFmtId="169"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9" fontId="108" fillId="0" borderId="0" applyFont="0" applyFill="0" applyBorder="0" applyAlignment="0" applyProtection="0"/>
    <xf numFmtId="166" fontId="108" fillId="0" borderId="0" applyFont="0" applyFill="0" applyBorder="0" applyAlignment="0" applyProtection="0"/>
    <xf numFmtId="166" fontId="110" fillId="0" borderId="0" applyFont="0" applyFill="0" applyBorder="0" applyAlignment="0" applyProtection="0"/>
    <xf numFmtId="166" fontId="110" fillId="0" borderId="0" applyFont="0" applyFill="0" applyBorder="0" applyAlignment="0" applyProtection="0"/>
    <xf numFmtId="166" fontId="108" fillId="0" borderId="0" applyFont="0" applyFill="0" applyBorder="0" applyAlignment="0" applyProtection="0"/>
    <xf numFmtId="166" fontId="108" fillId="0" borderId="0" applyFont="0" applyFill="0" applyBorder="0" applyAlignment="0" applyProtection="0"/>
    <xf numFmtId="0" fontId="106" fillId="0" borderId="0" applyFont="0" applyFill="0" applyBorder="0" applyAlignment="0" applyProtection="0"/>
    <xf numFmtId="180" fontId="106" fillId="0" borderId="0" applyFont="0" applyFill="0" applyBorder="0" applyAlignment="0" applyProtection="0"/>
    <xf numFmtId="0" fontId="106" fillId="0" borderId="0" applyFont="0" applyFill="0" applyBorder="0" applyAlignment="0" applyProtection="0"/>
    <xf numFmtId="179" fontId="106" fillId="0" borderId="0" applyFont="0" applyFill="0" applyBorder="0" applyAlignment="0" applyProtection="0"/>
    <xf numFmtId="180" fontId="106" fillId="0" borderId="0" applyFont="0" applyFill="0" applyBorder="0" applyAlignment="0" applyProtection="0"/>
    <xf numFmtId="179" fontId="106" fillId="0" borderId="0" applyFont="0" applyFill="0" applyBorder="0" applyAlignment="0" applyProtection="0"/>
    <xf numFmtId="180" fontId="106" fillId="0" borderId="0" applyFont="0" applyFill="0" applyBorder="0" applyAlignment="0" applyProtection="0"/>
    <xf numFmtId="179" fontId="106" fillId="0" borderId="0" applyFont="0" applyFill="0" applyBorder="0" applyAlignment="0" applyProtection="0"/>
    <xf numFmtId="180" fontId="106" fillId="0" borderId="0" applyFont="0" applyFill="0" applyBorder="0" applyAlignment="0" applyProtection="0"/>
    <xf numFmtId="176" fontId="106" fillId="0" borderId="0" applyFont="0" applyFill="0" applyBorder="0" applyAlignment="0" applyProtection="0"/>
    <xf numFmtId="179" fontId="106" fillId="0" borderId="0" applyFont="0" applyFill="0" applyBorder="0" applyAlignment="0" applyProtection="0"/>
    <xf numFmtId="179" fontId="106" fillId="0" borderId="0" applyFont="0" applyFill="0" applyBorder="0" applyAlignment="0" applyProtection="0"/>
    <xf numFmtId="180" fontId="106" fillId="0" borderId="0" applyFont="0" applyFill="0" applyBorder="0" applyAlignment="0" applyProtection="0"/>
    <xf numFmtId="183" fontId="106" fillId="0" borderId="0" applyFont="0" applyFill="0" applyBorder="0" applyAlignment="0" applyProtection="0"/>
    <xf numFmtId="180" fontId="106" fillId="0" borderId="0" applyFont="0" applyFill="0" applyBorder="0" applyAlignment="0" applyProtection="0"/>
    <xf numFmtId="183" fontId="106" fillId="0" borderId="0" applyFont="0" applyFill="0" applyBorder="0" applyAlignment="0" applyProtection="0"/>
    <xf numFmtId="180" fontId="106" fillId="0" borderId="0" applyFont="0" applyFill="0" applyBorder="0" applyAlignment="0" applyProtection="0"/>
    <xf numFmtId="183" fontId="106" fillId="0" borderId="0" applyFont="0" applyFill="0" applyBorder="0" applyAlignment="0" applyProtection="0"/>
    <xf numFmtId="180" fontId="106" fillId="0" borderId="0" applyFont="0" applyFill="0" applyBorder="0" applyAlignment="0" applyProtection="0"/>
    <xf numFmtId="176" fontId="106" fillId="0" borderId="0" applyFont="0" applyFill="0" applyBorder="0" applyAlignment="0" applyProtection="0"/>
    <xf numFmtId="180" fontId="106" fillId="0" borderId="0" applyFont="0" applyFill="0" applyBorder="0" applyAlignment="0" applyProtection="0"/>
    <xf numFmtId="176"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78" fontId="106" fillId="0" borderId="0" applyFont="0" applyFill="0" applyBorder="0" applyAlignment="0" applyProtection="0"/>
    <xf numFmtId="0" fontId="106" fillId="0" borderId="0" applyFont="0" applyFill="0" applyBorder="0" applyAlignment="0" applyProtection="0"/>
    <xf numFmtId="0" fontId="106" fillId="0" borderId="0" applyFont="0" applyFill="0" applyBorder="0" applyAlignment="0" applyProtection="0"/>
    <xf numFmtId="0" fontId="106" fillId="0" borderId="0" applyFont="0" applyFill="0" applyBorder="0" applyAlignment="0" applyProtection="0"/>
    <xf numFmtId="183" fontId="106" fillId="0" borderId="0" applyFont="0" applyFill="0" applyBorder="0" applyAlignment="0" applyProtection="0"/>
    <xf numFmtId="184" fontId="106" fillId="0" borderId="0" applyFont="0" applyFill="0" applyBorder="0" applyAlignment="0" applyProtection="0"/>
    <xf numFmtId="185" fontId="106" fillId="0" borderId="0" applyFont="0" applyFill="0" applyBorder="0" applyAlignment="0" applyProtection="0"/>
    <xf numFmtId="185" fontId="106" fillId="0" borderId="0" applyFont="0" applyFill="0" applyBorder="0" applyAlignment="0" applyProtection="0"/>
    <xf numFmtId="183" fontId="106" fillId="0" borderId="0" applyFont="0" applyFill="0" applyBorder="0" applyAlignment="0" applyProtection="0"/>
    <xf numFmtId="184" fontId="106" fillId="0" borderId="0" applyFont="0" applyFill="0" applyBorder="0" applyAlignment="0" applyProtection="0"/>
    <xf numFmtId="184" fontId="106" fillId="0" borderId="0" applyFont="0" applyFill="0" applyBorder="0" applyAlignment="0" applyProtection="0"/>
    <xf numFmtId="184" fontId="106" fillId="0" borderId="0" applyFont="0" applyFill="0" applyBorder="0" applyAlignment="0" applyProtection="0"/>
    <xf numFmtId="180" fontId="106" fillId="0" borderId="0" applyFont="0" applyFill="0" applyBorder="0" applyAlignment="0" applyProtection="0"/>
    <xf numFmtId="178" fontId="106" fillId="0" borderId="0" applyFont="0" applyFill="0" applyBorder="0" applyAlignment="0" applyProtection="0"/>
    <xf numFmtId="0" fontId="106" fillId="0" borderId="0" applyFont="0" applyFill="0" applyBorder="0" applyAlignment="0" applyProtection="0"/>
    <xf numFmtId="178" fontId="106" fillId="0" borderId="0" applyFont="0" applyFill="0" applyBorder="0" applyAlignment="0" applyProtection="0"/>
    <xf numFmtId="185" fontId="106" fillId="0" borderId="0" applyFont="0" applyFill="0" applyBorder="0" applyAlignment="0" applyProtection="0"/>
    <xf numFmtId="180" fontId="106" fillId="0" borderId="0" applyFont="0" applyFill="0" applyBorder="0" applyAlignment="0" applyProtection="0"/>
    <xf numFmtId="180" fontId="106" fillId="0" borderId="0" applyFont="0" applyFill="0" applyBorder="0" applyAlignment="0" applyProtection="0"/>
    <xf numFmtId="0" fontId="106" fillId="0" borderId="0" applyFont="0" applyFill="0" applyBorder="0" applyAlignment="0" applyProtection="0"/>
    <xf numFmtId="178" fontId="106" fillId="0" borderId="0" applyFont="0" applyFill="0" applyBorder="0" applyAlignment="0" applyProtection="0"/>
    <xf numFmtId="181"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6"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69" fontId="110" fillId="0" borderId="0" applyFont="0" applyFill="0" applyBorder="0" applyAlignment="0" applyProtection="0"/>
    <xf numFmtId="169" fontId="110"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86" fontId="106"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86" fontId="106" fillId="0" borderId="0" applyFont="0" applyFill="0" applyBorder="0" applyAlignment="0" applyProtection="0"/>
    <xf numFmtId="180" fontId="106" fillId="0" borderId="0" applyFont="0" applyFill="0" applyBorder="0" applyAlignment="0" applyProtection="0"/>
    <xf numFmtId="176" fontId="106" fillId="0" borderId="0" applyFont="0" applyFill="0" applyBorder="0" applyAlignment="0" applyProtection="0"/>
    <xf numFmtId="179" fontId="106" fillId="0" borderId="0" applyFont="0" applyFill="0" applyBorder="0" applyAlignment="0" applyProtection="0"/>
    <xf numFmtId="180" fontId="106" fillId="0" borderId="0" applyFont="0" applyFill="0" applyBorder="0" applyAlignment="0" applyProtection="0"/>
    <xf numFmtId="187" fontId="106" fillId="0" borderId="0" applyFont="0" applyFill="0" applyBorder="0" applyAlignment="0" applyProtection="0"/>
    <xf numFmtId="180" fontId="106" fillId="0" borderId="0" applyFont="0" applyFill="0" applyBorder="0" applyAlignment="0" applyProtection="0"/>
    <xf numFmtId="166" fontId="106" fillId="0" borderId="0" applyFont="0" applyFill="0" applyBorder="0" applyAlignment="0" applyProtection="0"/>
    <xf numFmtId="187" fontId="106" fillId="0" borderId="0" applyFont="0" applyFill="0" applyBorder="0" applyAlignment="0" applyProtection="0"/>
    <xf numFmtId="180" fontId="106" fillId="0" borderId="0" applyFont="0" applyFill="0" applyBorder="0" applyAlignment="0" applyProtection="0"/>
    <xf numFmtId="166" fontId="106" fillId="0" borderId="0" applyFont="0" applyFill="0" applyBorder="0" applyAlignment="0" applyProtection="0"/>
    <xf numFmtId="187" fontId="106" fillId="0" borderId="0" applyFont="0" applyFill="0" applyBorder="0" applyAlignment="0" applyProtection="0"/>
    <xf numFmtId="180" fontId="106" fillId="0" borderId="0" applyFont="0" applyFill="0" applyBorder="0" applyAlignment="0" applyProtection="0"/>
    <xf numFmtId="166" fontId="106" fillId="0" borderId="0" applyFont="0" applyFill="0" applyBorder="0" applyAlignment="0" applyProtection="0"/>
    <xf numFmtId="169" fontId="110"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74" fontId="106"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84" fontId="105"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184"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176" fontId="105" fillId="0" borderId="0" applyFont="0" applyFill="0" applyBorder="0" applyAlignment="0" applyProtection="0"/>
    <xf numFmtId="0" fontId="105" fillId="0" borderId="0" applyFont="0" applyFill="0" applyBorder="0" applyAlignment="0" applyProtection="0"/>
    <xf numFmtId="180" fontId="105" fillId="0" borderId="0" applyFont="0" applyFill="0" applyBorder="0" applyAlignment="0" applyProtection="0"/>
    <xf numFmtId="182" fontId="105" fillId="0" borderId="0" applyFont="0" applyFill="0" applyBorder="0" applyAlignment="0" applyProtection="0"/>
    <xf numFmtId="182" fontId="105" fillId="0" borderId="0" applyFont="0" applyFill="0" applyBorder="0" applyAlignment="0" applyProtection="0"/>
    <xf numFmtId="182"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82" fontId="105" fillId="0" borderId="0" applyFont="0" applyFill="0" applyBorder="0" applyAlignment="0" applyProtection="0"/>
    <xf numFmtId="185" fontId="105" fillId="0" borderId="0" applyFont="0" applyFill="0" applyBorder="0" applyAlignment="0" applyProtection="0"/>
    <xf numFmtId="185" fontId="105" fillId="0" borderId="0" applyFont="0" applyFill="0" applyBorder="0" applyAlignment="0" applyProtection="0"/>
    <xf numFmtId="185" fontId="105" fillId="0" borderId="0" applyFont="0" applyFill="0" applyBorder="0" applyAlignment="0" applyProtection="0"/>
    <xf numFmtId="185" fontId="105" fillId="0" borderId="0" applyFont="0" applyFill="0" applyBorder="0" applyAlignment="0" applyProtection="0"/>
    <xf numFmtId="185" fontId="105" fillId="0" borderId="0" applyFont="0" applyFill="0" applyBorder="0" applyAlignment="0" applyProtection="0"/>
    <xf numFmtId="179" fontId="105" fillId="0" borderId="0" applyFont="0" applyFill="0" applyBorder="0" applyAlignment="0" applyProtection="0"/>
    <xf numFmtId="179" fontId="105" fillId="0" borderId="0" applyFont="0" applyFill="0" applyBorder="0" applyAlignment="0" applyProtection="0"/>
    <xf numFmtId="186" fontId="105"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78" fontId="106"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87" fontId="108" fillId="0" borderId="0" applyFont="0" applyFill="0" applyBorder="0" applyAlignment="0" applyProtection="0"/>
    <xf numFmtId="166" fontId="108" fillId="0" borderId="0" applyFont="0" applyFill="0" applyBorder="0" applyAlignment="0" applyProtection="0"/>
    <xf numFmtId="166"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78" fontId="106"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78" fontId="106" fillId="0" borderId="0" applyFont="0" applyFill="0" applyBorder="0" applyAlignment="0" applyProtection="0"/>
    <xf numFmtId="169" fontId="105" fillId="0" borderId="0" applyFont="0" applyFill="0" applyBorder="0" applyAlignment="0" applyProtection="0"/>
    <xf numFmtId="175" fontId="105" fillId="0" borderId="0" applyFont="0" applyFill="0" applyBorder="0" applyAlignment="0" applyProtection="0"/>
    <xf numFmtId="0" fontId="106"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0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06" fillId="0" borderId="0"/>
    <xf numFmtId="0" fontId="106" fillId="0" borderId="0"/>
    <xf numFmtId="0" fontId="106" fillId="0" borderId="0"/>
    <xf numFmtId="0" fontId="106" fillId="0" borderId="0"/>
    <xf numFmtId="0" fontId="106"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08"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06"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08" fillId="0" borderId="0"/>
    <xf numFmtId="0" fontId="110" fillId="0" borderId="0"/>
    <xf numFmtId="0" fontId="110" fillId="0" borderId="0"/>
    <xf numFmtId="0" fontId="106"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110" fillId="0" borderId="0"/>
    <xf numFmtId="9" fontId="108" fillId="0" borderId="0" applyFont="0" applyFill="0" applyBorder="0" applyAlignment="0" applyProtection="0"/>
    <xf numFmtId="9" fontId="106" fillId="0" borderId="0" applyFont="0" applyFill="0" applyBorder="0" applyAlignment="0" applyProtection="0"/>
    <xf numFmtId="9" fontId="105" fillId="0" borderId="0" applyFont="0" applyFill="0" applyBorder="0" applyAlignment="0" applyProtection="0"/>
    <xf numFmtId="0" fontId="104" fillId="0" borderId="0"/>
    <xf numFmtId="0" fontId="107" fillId="0" borderId="0"/>
    <xf numFmtId="0" fontId="107" fillId="0" borderId="0"/>
    <xf numFmtId="0" fontId="103" fillId="0" borderId="0"/>
    <xf numFmtId="0" fontId="107" fillId="0" borderId="0"/>
    <xf numFmtId="0" fontId="107" fillId="0" borderId="0"/>
    <xf numFmtId="0" fontId="107" fillId="0" borderId="0"/>
    <xf numFmtId="0" fontId="107" fillId="0" borderId="0"/>
    <xf numFmtId="9" fontId="102" fillId="0" borderId="0" applyFont="0" applyFill="0" applyBorder="0" applyAlignment="0" applyProtection="0"/>
    <xf numFmtId="0" fontId="107" fillId="0" borderId="0"/>
    <xf numFmtId="9" fontId="107" fillId="0" borderId="0" applyFont="0" applyFill="0" applyBorder="0" applyAlignment="0" applyProtection="0"/>
    <xf numFmtId="169" fontId="107" fillId="0" borderId="0" applyFont="0" applyFill="0" applyBorder="0" applyAlignment="0" applyProtection="0"/>
    <xf numFmtId="0" fontId="107" fillId="0" borderId="0"/>
    <xf numFmtId="0" fontId="102" fillId="0" borderId="0"/>
    <xf numFmtId="9" fontId="101" fillId="0" borderId="0" applyFont="0" applyFill="0" applyBorder="0" applyAlignment="0" applyProtection="0"/>
    <xf numFmtId="0" fontId="100" fillId="0" borderId="0"/>
    <xf numFmtId="9" fontId="99" fillId="0" borderId="0" applyFont="0" applyFill="0" applyBorder="0" applyAlignment="0" applyProtection="0"/>
    <xf numFmtId="166" fontId="107" fillId="0" borderId="0" applyFont="0" applyFill="0" applyBorder="0" applyAlignment="0" applyProtection="0"/>
    <xf numFmtId="0" fontId="98" fillId="0" borderId="0"/>
    <xf numFmtId="9" fontId="98" fillId="0" borderId="0" applyFont="0" applyFill="0" applyBorder="0" applyAlignment="0" applyProtection="0"/>
    <xf numFmtId="9" fontId="97" fillId="0" borderId="0" applyFont="0" applyFill="0" applyBorder="0" applyAlignment="0" applyProtection="0"/>
    <xf numFmtId="0" fontId="97" fillId="0" borderId="0"/>
    <xf numFmtId="0" fontId="96" fillId="0" borderId="0"/>
    <xf numFmtId="0" fontId="95" fillId="0" borderId="0"/>
    <xf numFmtId="9" fontId="94" fillId="0" borderId="0" applyFont="0" applyFill="0" applyBorder="0" applyAlignment="0" applyProtection="0"/>
    <xf numFmtId="0" fontId="107" fillId="0" borderId="0"/>
    <xf numFmtId="9" fontId="93" fillId="0" borderId="0" applyFont="0" applyFill="0" applyBorder="0" applyAlignment="0" applyProtection="0"/>
    <xf numFmtId="0" fontId="93" fillId="0" borderId="0"/>
    <xf numFmtId="0" fontId="92" fillId="0" borderId="0"/>
    <xf numFmtId="0" fontId="91" fillId="0" borderId="0"/>
    <xf numFmtId="0" fontId="90" fillId="0" borderId="0"/>
    <xf numFmtId="9" fontId="89" fillId="0" borderId="0" applyFont="0" applyFill="0" applyBorder="0" applyAlignment="0" applyProtection="0"/>
    <xf numFmtId="9" fontId="88" fillId="0" borderId="0" applyFont="0" applyFill="0" applyBorder="0" applyAlignment="0" applyProtection="0"/>
    <xf numFmtId="0" fontId="87" fillId="0" borderId="0"/>
    <xf numFmtId="0" fontId="86" fillId="0" borderId="0"/>
    <xf numFmtId="41" fontId="107" fillId="0" borderId="0" applyFont="0" applyFill="0" applyBorder="0" applyAlignment="0" applyProtection="0"/>
    <xf numFmtId="0" fontId="85" fillId="0" borderId="0"/>
    <xf numFmtId="0" fontId="84" fillId="0" borderId="0"/>
    <xf numFmtId="170" fontId="84" fillId="0" borderId="0" applyFont="0" applyFill="0" applyBorder="0" applyAlignment="0" applyProtection="0"/>
    <xf numFmtId="0" fontId="106" fillId="0" borderId="0" applyFont="0" applyFill="0" applyBorder="0" applyAlignment="0" applyProtection="0"/>
    <xf numFmtId="170" fontId="84" fillId="0" borderId="0" applyFont="0" applyFill="0" applyBorder="0" applyAlignment="0" applyProtection="0"/>
    <xf numFmtId="168" fontId="84"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9" fontId="84" fillId="0" borderId="0" applyFont="0" applyFill="0" applyBorder="0" applyAlignment="0" applyProtection="0"/>
    <xf numFmtId="169" fontId="107" fillId="0" borderId="0" applyFont="0" applyFill="0" applyBorder="0" applyAlignment="0" applyProtection="0"/>
    <xf numFmtId="169" fontId="107" fillId="0" borderId="0" applyFont="0" applyFill="0" applyBorder="0" applyAlignment="0" applyProtection="0"/>
    <xf numFmtId="187" fontId="84"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6" fillId="0" borderId="0"/>
    <xf numFmtId="0" fontId="84" fillId="0" borderId="0"/>
    <xf numFmtId="0" fontId="84"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84" fillId="0" borderId="0"/>
    <xf numFmtId="0" fontId="84" fillId="0" borderId="0"/>
    <xf numFmtId="0" fontId="106" fillId="0" borderId="0"/>
    <xf numFmtId="0" fontId="84" fillId="0" borderId="0"/>
    <xf numFmtId="0" fontId="106"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6"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84"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6"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6"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84"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9" fontId="107" fillId="0" borderId="0" applyFont="0" applyFill="0" applyBorder="0" applyAlignment="0" applyProtection="0"/>
    <xf numFmtId="9" fontId="84" fillId="0" borderId="0" applyFont="0" applyFill="0" applyBorder="0" applyAlignment="0" applyProtection="0"/>
    <xf numFmtId="0" fontId="107" fillId="0" borderId="0"/>
    <xf numFmtId="166" fontId="84" fillId="0" borderId="0" applyFont="0" applyFill="0" applyBorder="0" applyAlignment="0" applyProtection="0"/>
    <xf numFmtId="166"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84" fillId="0" borderId="0" applyFont="0" applyFill="0" applyBorder="0" applyAlignment="0" applyProtection="0"/>
    <xf numFmtId="0" fontId="107" fillId="0" borderId="0"/>
    <xf numFmtId="166" fontId="107" fillId="0" borderId="0" applyFont="0" applyFill="0" applyBorder="0" applyAlignment="0" applyProtection="0"/>
    <xf numFmtId="166" fontId="107" fillId="0" borderId="0" applyFont="0" applyFill="0" applyBorder="0" applyAlignment="0" applyProtection="0"/>
    <xf numFmtId="166" fontId="84"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166" fontId="107" fillId="0" borderId="0" applyFont="0" applyFill="0" applyBorder="0" applyAlignment="0" applyProtection="0"/>
    <xf numFmtId="0" fontId="107" fillId="0" borderId="0"/>
    <xf numFmtId="16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84" fillId="2" borderId="0" applyNumberFormat="0" applyBorder="0" applyAlignment="0" applyProtection="0"/>
    <xf numFmtId="0" fontId="84" fillId="3" borderId="0" applyNumberFormat="0" applyBorder="0" applyAlignment="0" applyProtection="0"/>
    <xf numFmtId="0" fontId="84" fillId="4" borderId="0" applyNumberFormat="0" applyBorder="0" applyAlignment="0" applyProtection="0"/>
    <xf numFmtId="0" fontId="84" fillId="6" borderId="0" applyNumberFormat="0" applyBorder="0" applyAlignment="0" applyProtection="0"/>
    <xf numFmtId="0" fontId="84" fillId="7" borderId="0" applyNumberFormat="0" applyBorder="0" applyAlignment="0" applyProtection="0"/>
    <xf numFmtId="0" fontId="84" fillId="5" borderId="0" applyNumberFormat="0" applyBorder="0" applyAlignment="0" applyProtection="0"/>
    <xf numFmtId="0" fontId="107" fillId="0" borderId="0"/>
    <xf numFmtId="0" fontId="107" fillId="0" borderId="0"/>
    <xf numFmtId="0" fontId="107" fillId="0" borderId="0"/>
    <xf numFmtId="43" fontId="84" fillId="0" borderId="0" applyFont="0" applyFill="0" applyBorder="0" applyAlignment="0" applyProtection="0"/>
    <xf numFmtId="0" fontId="107" fillId="0" borderId="0"/>
    <xf numFmtId="0" fontId="107" fillId="0" borderId="0"/>
    <xf numFmtId="0" fontId="107" fillId="0" borderId="0"/>
    <xf numFmtId="0" fontId="107" fillId="0" borderId="0"/>
    <xf numFmtId="0" fontId="83" fillId="0" borderId="0"/>
    <xf numFmtId="0" fontId="82" fillId="0" borderId="0"/>
    <xf numFmtId="0" fontId="81" fillId="0" borderId="0"/>
    <xf numFmtId="9" fontId="80" fillId="0" borderId="0" applyFont="0" applyFill="0" applyBorder="0" applyAlignment="0" applyProtection="0"/>
    <xf numFmtId="0" fontId="80" fillId="0" borderId="0"/>
    <xf numFmtId="9" fontId="79" fillId="0" borderId="0" applyFont="0" applyFill="0" applyBorder="0" applyAlignment="0" applyProtection="0"/>
    <xf numFmtId="41" fontId="107" fillId="0" borderId="0" applyFont="0" applyFill="0" applyBorder="0" applyAlignment="0" applyProtection="0"/>
    <xf numFmtId="166" fontId="79" fillId="0" borderId="0" applyFont="0" applyFill="0" applyBorder="0" applyAlignment="0" applyProtection="0"/>
    <xf numFmtId="0" fontId="107" fillId="0" borderId="0"/>
    <xf numFmtId="0" fontId="79" fillId="0" borderId="0"/>
    <xf numFmtId="0" fontId="79" fillId="0" borderId="0"/>
    <xf numFmtId="0" fontId="79" fillId="0" borderId="0"/>
    <xf numFmtId="0" fontId="79" fillId="0" borderId="0"/>
    <xf numFmtId="9" fontId="107" fillId="0" borderId="0" applyFont="0" applyFill="0" applyBorder="0" applyAlignment="0" applyProtection="0"/>
    <xf numFmtId="9" fontId="78" fillId="0" borderId="0" applyFont="0" applyFill="0" applyBorder="0" applyAlignment="0" applyProtection="0"/>
    <xf numFmtId="9" fontId="78" fillId="0" borderId="0" applyFont="0" applyFill="0" applyBorder="0" applyAlignment="0" applyProtection="0"/>
    <xf numFmtId="0" fontId="120" fillId="10" borderId="10" applyNumberFormat="0" applyAlignment="0" applyProtection="0"/>
    <xf numFmtId="0" fontId="77" fillId="2"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5" borderId="0" applyNumberFormat="0" applyBorder="0" applyAlignment="0" applyProtection="0"/>
    <xf numFmtId="0" fontId="77" fillId="6" borderId="0" applyNumberFormat="0" applyBorder="0" applyAlignment="0" applyProtection="0"/>
    <xf numFmtId="0" fontId="77" fillId="7" borderId="0" applyNumberFormat="0" applyBorder="0" applyAlignment="0" applyProtection="0"/>
    <xf numFmtId="0" fontId="77" fillId="0" borderId="0"/>
    <xf numFmtId="166" fontId="77" fillId="0" borderId="0" applyFont="0" applyFill="0" applyBorder="0" applyAlignment="0" applyProtection="0"/>
    <xf numFmtId="9" fontId="77" fillId="0" borderId="0" applyFont="0" applyFill="0" applyBorder="0" applyAlignment="0" applyProtection="0"/>
    <xf numFmtId="0" fontId="76" fillId="0" borderId="0"/>
    <xf numFmtId="0" fontId="75" fillId="0" borderId="0"/>
    <xf numFmtId="0" fontId="74" fillId="0" borderId="0"/>
    <xf numFmtId="0" fontId="73" fillId="0" borderId="0"/>
    <xf numFmtId="0" fontId="72" fillId="0" borderId="0"/>
    <xf numFmtId="0" fontId="71" fillId="0" borderId="0"/>
    <xf numFmtId="0" fontId="70" fillId="0" borderId="0"/>
    <xf numFmtId="169" fontId="126" fillId="0" borderId="0" applyFont="0" applyFill="0" applyBorder="0" applyAlignment="0" applyProtection="0"/>
    <xf numFmtId="0" fontId="69" fillId="0" borderId="0"/>
    <xf numFmtId="0" fontId="68" fillId="0" borderId="0"/>
    <xf numFmtId="0" fontId="68" fillId="0" borderId="0"/>
    <xf numFmtId="0" fontId="65" fillId="0" borderId="0"/>
    <xf numFmtId="0" fontId="64" fillId="0" borderId="0"/>
    <xf numFmtId="9" fontId="64" fillId="0" borderId="0" applyFont="0" applyFill="0" applyBorder="0" applyAlignment="0" applyProtection="0"/>
    <xf numFmtId="9" fontId="64" fillId="0" borderId="0" applyFont="0" applyFill="0" applyBorder="0" applyAlignment="0" applyProtection="0"/>
    <xf numFmtId="0" fontId="126" fillId="0" borderId="0"/>
    <xf numFmtId="0" fontId="63" fillId="0" borderId="0"/>
    <xf numFmtId="0" fontId="62" fillId="0" borderId="0"/>
    <xf numFmtId="9" fontId="61" fillId="0" borderId="0" applyFont="0" applyFill="0" applyBorder="0" applyAlignment="0" applyProtection="0"/>
    <xf numFmtId="0" fontId="61" fillId="2" borderId="0" applyNumberFormat="0" applyBorder="0" applyAlignment="0" applyProtection="0"/>
    <xf numFmtId="0" fontId="61" fillId="2" borderId="0" applyNumberFormat="0" applyBorder="0" applyAlignment="0" applyProtection="0"/>
    <xf numFmtId="0" fontId="61" fillId="3" borderId="0" applyNumberFormat="0" applyBorder="0" applyAlignment="0" applyProtection="0"/>
    <xf numFmtId="0" fontId="61" fillId="3" borderId="0" applyNumberFormat="0" applyBorder="0" applyAlignment="0" applyProtection="0"/>
    <xf numFmtId="0" fontId="61" fillId="4" borderId="0" applyNumberFormat="0" applyBorder="0" applyAlignment="0" applyProtection="0"/>
    <xf numFmtId="0" fontId="61" fillId="4"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6" borderId="0" applyNumberFormat="0" applyBorder="0" applyAlignment="0" applyProtection="0"/>
    <xf numFmtId="0" fontId="61" fillId="6"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170" fontId="61" fillId="0" borderId="0" applyFont="0" applyFill="0" applyBorder="0" applyAlignment="0" applyProtection="0"/>
    <xf numFmtId="170"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170" fontId="61" fillId="0" borderId="0" applyFont="0" applyFill="0" applyBorder="0" applyAlignment="0" applyProtection="0"/>
    <xf numFmtId="170" fontId="61" fillId="0" borderId="0" applyFont="0" applyFill="0" applyBorder="0" applyAlignment="0" applyProtection="0"/>
    <xf numFmtId="168" fontId="61" fillId="0" borderId="0" applyFont="0" applyFill="0" applyBorder="0" applyAlignment="0" applyProtection="0"/>
    <xf numFmtId="168" fontId="61" fillId="0" borderId="0" applyFont="0" applyFill="0" applyBorder="0" applyAlignment="0" applyProtection="0"/>
    <xf numFmtId="169" fontId="61" fillId="0" borderId="0" applyFont="0" applyFill="0" applyBorder="0" applyAlignment="0" applyProtection="0"/>
    <xf numFmtId="169"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69" fontId="107" fillId="0" borderId="0" applyFont="0" applyFill="0" applyBorder="0" applyAlignment="0" applyProtection="0"/>
    <xf numFmtId="166" fontId="61" fillId="0" borderId="0" applyFont="0" applyFill="0" applyBorder="0" applyAlignment="0" applyProtection="0"/>
    <xf numFmtId="166" fontId="61" fillId="0" borderId="0" applyFont="0" applyFill="0" applyBorder="0" applyAlignment="0" applyProtection="0"/>
    <xf numFmtId="187" fontId="61" fillId="0" borderId="0" applyFont="0" applyFill="0" applyBorder="0" applyAlignment="0" applyProtection="0"/>
    <xf numFmtId="187" fontId="61" fillId="0" borderId="0" applyFont="0" applyFill="0" applyBorder="0" applyAlignment="0" applyProtection="0"/>
    <xf numFmtId="0" fontId="61" fillId="0" borderId="0"/>
    <xf numFmtId="0" fontId="61" fillId="0" borderId="0"/>
    <xf numFmtId="0" fontId="107" fillId="0" borderId="0"/>
    <xf numFmtId="0" fontId="61" fillId="0" borderId="0"/>
    <xf numFmtId="0" fontId="10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107" fillId="0" borderId="0"/>
    <xf numFmtId="0" fontId="61" fillId="0" borderId="0"/>
    <xf numFmtId="0" fontId="61" fillId="0" borderId="0"/>
    <xf numFmtId="0" fontId="61" fillId="0" borderId="0"/>
    <xf numFmtId="0" fontId="61"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60" fillId="0" borderId="0"/>
    <xf numFmtId="0" fontId="107" fillId="0" borderId="0"/>
    <xf numFmtId="0" fontId="59" fillId="0" borderId="0"/>
    <xf numFmtId="43" fontId="58" fillId="0" borderId="0" applyFont="0" applyFill="0" applyBorder="0" applyAlignment="0" applyProtection="0"/>
    <xf numFmtId="170" fontId="58" fillId="0" borderId="0" applyFont="0" applyFill="0" applyBorder="0" applyAlignment="0" applyProtection="0"/>
    <xf numFmtId="43" fontId="58" fillId="0" borderId="0" applyFont="0" applyFill="0" applyBorder="0" applyAlignment="0" applyProtection="0"/>
    <xf numFmtId="170" fontId="58" fillId="0" borderId="0" applyFont="0" applyFill="0" applyBorder="0" applyAlignment="0" applyProtection="0"/>
    <xf numFmtId="43" fontId="58" fillId="0" borderId="0" applyFont="0" applyFill="0" applyBorder="0" applyAlignment="0" applyProtection="0"/>
    <xf numFmtId="168" fontId="58" fillId="0" borderId="0" applyFont="0" applyFill="0" applyBorder="0" applyAlignment="0" applyProtection="0"/>
    <xf numFmtId="16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43" fontId="107" fillId="0" borderId="0" applyFont="0" applyFill="0" applyBorder="0" applyAlignment="0" applyProtection="0"/>
    <xf numFmtId="187" fontId="58" fillId="0" borderId="0" applyFont="0" applyFill="0" applyBorder="0" applyAlignment="0" applyProtection="0"/>
    <xf numFmtId="166"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43" fontId="107"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170" fontId="58" fillId="0" borderId="0" applyFont="0" applyFill="0" applyBorder="0" applyAlignment="0" applyProtection="0"/>
    <xf numFmtId="170" fontId="58" fillId="0" borderId="0" applyFont="0" applyFill="0" applyBorder="0" applyAlignment="0" applyProtection="0"/>
    <xf numFmtId="168" fontId="58" fillId="0" borderId="0" applyFont="0" applyFill="0" applyBorder="0" applyAlignment="0" applyProtection="0"/>
    <xf numFmtId="43" fontId="107" fillId="0" borderId="0" applyFont="0" applyFill="0" applyBorder="0" applyAlignment="0" applyProtection="0"/>
    <xf numFmtId="169" fontId="58" fillId="0" borderId="0" applyFont="0" applyFill="0" applyBorder="0" applyAlignment="0" applyProtection="0"/>
    <xf numFmtId="187"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0" fontId="58" fillId="2" borderId="0" applyNumberFormat="0" applyBorder="0" applyAlignment="0" applyProtection="0"/>
    <xf numFmtId="0" fontId="58" fillId="3" borderId="0" applyNumberFormat="0" applyBorder="0" applyAlignment="0" applyProtection="0"/>
    <xf numFmtId="0" fontId="58" fillId="4" borderId="0" applyNumberFormat="0" applyBorder="0" applyAlignment="0" applyProtection="0"/>
    <xf numFmtId="0" fontId="58" fillId="6" borderId="0" applyNumberFormat="0" applyBorder="0" applyAlignment="0" applyProtection="0"/>
    <xf numFmtId="0" fontId="58" fillId="7" borderId="0" applyNumberFormat="0" applyBorder="0" applyAlignment="0" applyProtection="0"/>
    <xf numFmtId="0" fontId="58" fillId="5" borderId="0" applyNumberFormat="0" applyBorder="0" applyAlignment="0" applyProtection="0"/>
    <xf numFmtId="43" fontId="58" fillId="0" borderId="0" applyFont="0" applyFill="0" applyBorder="0" applyAlignment="0" applyProtection="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166"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166"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9" fontId="58" fillId="0" borderId="0" applyFont="0" applyFill="0" applyBorder="0" applyAlignment="0" applyProtection="0"/>
    <xf numFmtId="0" fontId="58" fillId="2" borderId="0" applyNumberFormat="0" applyBorder="0" applyAlignment="0" applyProtection="0"/>
    <xf numFmtId="0" fontId="58" fillId="2" borderId="0" applyNumberFormat="0" applyBorder="0" applyAlignment="0" applyProtection="0"/>
    <xf numFmtId="0" fontId="58" fillId="3" borderId="0" applyNumberFormat="0" applyBorder="0" applyAlignment="0" applyProtection="0"/>
    <xf numFmtId="0" fontId="58" fillId="3" borderId="0" applyNumberFormat="0" applyBorder="0" applyAlignment="0" applyProtection="0"/>
    <xf numFmtId="0" fontId="58" fillId="4" borderId="0" applyNumberFormat="0" applyBorder="0" applyAlignment="0" applyProtection="0"/>
    <xf numFmtId="0" fontId="58" fillId="4" borderId="0" applyNumberFormat="0" applyBorder="0" applyAlignment="0" applyProtection="0"/>
    <xf numFmtId="0" fontId="58" fillId="5" borderId="0" applyNumberFormat="0" applyBorder="0" applyAlignment="0" applyProtection="0"/>
    <xf numFmtId="0" fontId="58" fillId="5" borderId="0" applyNumberFormat="0" applyBorder="0" applyAlignment="0" applyProtection="0"/>
    <xf numFmtId="0" fontId="58" fillId="6" borderId="0" applyNumberFormat="0" applyBorder="0" applyAlignment="0" applyProtection="0"/>
    <xf numFmtId="0" fontId="58" fillId="6" borderId="0" applyNumberFormat="0" applyBorder="0" applyAlignment="0" applyProtection="0"/>
    <xf numFmtId="0" fontId="58" fillId="7" borderId="0" applyNumberFormat="0" applyBorder="0" applyAlignment="0" applyProtection="0"/>
    <xf numFmtId="0" fontId="58" fillId="7" borderId="0" applyNumberFormat="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0" fontId="58" fillId="0" borderId="0" applyFont="0" applyFill="0" applyBorder="0" applyAlignment="0" applyProtection="0"/>
    <xf numFmtId="170" fontId="58" fillId="0" borderId="0" applyFont="0" applyFill="0" applyBorder="0" applyAlignment="0" applyProtection="0"/>
    <xf numFmtId="168" fontId="58" fillId="0" borderId="0" applyFont="0" applyFill="0" applyBorder="0" applyAlignment="0" applyProtection="0"/>
    <xf numFmtId="168" fontId="58" fillId="0" borderId="0" applyFont="0" applyFill="0" applyBorder="0" applyAlignment="0" applyProtection="0"/>
    <xf numFmtId="169" fontId="58" fillId="0" borderId="0" applyFont="0" applyFill="0" applyBorder="0" applyAlignment="0" applyProtection="0"/>
    <xf numFmtId="16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87" fontId="58" fillId="0" borderId="0" applyFont="0" applyFill="0" applyBorder="0" applyAlignment="0" applyProtection="0"/>
    <xf numFmtId="187"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43" fontId="58" fillId="0" borderId="0" applyFont="0" applyFill="0" applyBorder="0" applyAlignment="0" applyProtection="0"/>
    <xf numFmtId="9" fontId="58" fillId="0" borderId="0" applyFont="0" applyFill="0" applyBorder="0" applyAlignment="0" applyProtection="0"/>
    <xf numFmtId="166" fontId="58" fillId="0" borderId="0" applyFont="0" applyFill="0" applyBorder="0" applyAlignment="0" applyProtection="0"/>
    <xf numFmtId="43" fontId="58" fillId="0" borderId="0" applyFont="0" applyFill="0" applyBorder="0" applyAlignment="0" applyProtection="0"/>
    <xf numFmtId="170" fontId="58" fillId="0" borderId="0" applyFont="0" applyFill="0" applyBorder="0" applyAlignment="0" applyProtection="0"/>
    <xf numFmtId="43" fontId="58" fillId="0" borderId="0" applyFont="0" applyFill="0" applyBorder="0" applyAlignment="0" applyProtection="0"/>
    <xf numFmtId="170" fontId="58" fillId="0" borderId="0" applyFont="0" applyFill="0" applyBorder="0" applyAlignment="0" applyProtection="0"/>
    <xf numFmtId="168" fontId="58" fillId="0" borderId="0" applyFont="0" applyFill="0" applyBorder="0" applyAlignment="0" applyProtection="0"/>
    <xf numFmtId="16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87" fontId="58" fillId="0" borderId="0" applyFont="0" applyFill="0" applyBorder="0" applyAlignment="0" applyProtection="0"/>
    <xf numFmtId="166"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170" fontId="58" fillId="0" borderId="0" applyFont="0" applyFill="0" applyBorder="0" applyAlignment="0" applyProtection="0"/>
    <xf numFmtId="170" fontId="58" fillId="0" borderId="0" applyFont="0" applyFill="0" applyBorder="0" applyAlignment="0" applyProtection="0"/>
    <xf numFmtId="168" fontId="58" fillId="0" borderId="0" applyFont="0" applyFill="0" applyBorder="0" applyAlignment="0" applyProtection="0"/>
    <xf numFmtId="169" fontId="58" fillId="0" borderId="0" applyFont="0" applyFill="0" applyBorder="0" applyAlignment="0" applyProtection="0"/>
    <xf numFmtId="187"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0" fontId="58" fillId="2" borderId="0" applyNumberFormat="0" applyBorder="0" applyAlignment="0" applyProtection="0"/>
    <xf numFmtId="0" fontId="58" fillId="3" borderId="0" applyNumberFormat="0" applyBorder="0" applyAlignment="0" applyProtection="0"/>
    <xf numFmtId="0" fontId="58" fillId="4" borderId="0" applyNumberFormat="0" applyBorder="0" applyAlignment="0" applyProtection="0"/>
    <xf numFmtId="0" fontId="58" fillId="6" borderId="0" applyNumberFormat="0" applyBorder="0" applyAlignment="0" applyProtection="0"/>
    <xf numFmtId="0" fontId="58" fillId="7" borderId="0" applyNumberFormat="0" applyBorder="0" applyAlignment="0" applyProtection="0"/>
    <xf numFmtId="0" fontId="58" fillId="5" borderId="0" applyNumberFormat="0" applyBorder="0" applyAlignment="0" applyProtection="0"/>
    <xf numFmtId="43" fontId="58" fillId="0" borderId="0" applyFont="0" applyFill="0" applyBorder="0" applyAlignment="0" applyProtection="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166"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166"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0" fontId="58" fillId="0" borderId="0"/>
    <xf numFmtId="43" fontId="58" fillId="0" borderId="0" applyFont="0" applyFill="0" applyBorder="0" applyAlignment="0" applyProtection="0"/>
    <xf numFmtId="170" fontId="58" fillId="0" borderId="0" applyFont="0" applyFill="0" applyBorder="0" applyAlignment="0" applyProtection="0"/>
    <xf numFmtId="43" fontId="58" fillId="0" borderId="0" applyFont="0" applyFill="0" applyBorder="0" applyAlignment="0" applyProtection="0"/>
    <xf numFmtId="170" fontId="58" fillId="0" borderId="0" applyFont="0" applyFill="0" applyBorder="0" applyAlignment="0" applyProtection="0"/>
    <xf numFmtId="43" fontId="58" fillId="0" borderId="0" applyFont="0" applyFill="0" applyBorder="0" applyAlignment="0" applyProtection="0"/>
    <xf numFmtId="168" fontId="58" fillId="0" borderId="0" applyFont="0" applyFill="0" applyBorder="0" applyAlignment="0" applyProtection="0"/>
    <xf numFmtId="16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187" fontId="58" fillId="0" borderId="0" applyFont="0" applyFill="0" applyBorder="0" applyAlignment="0" applyProtection="0"/>
    <xf numFmtId="166"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170" fontId="58" fillId="0" borderId="0" applyFont="0" applyFill="0" applyBorder="0" applyAlignment="0" applyProtection="0"/>
    <xf numFmtId="170" fontId="58" fillId="0" borderId="0" applyFont="0" applyFill="0" applyBorder="0" applyAlignment="0" applyProtection="0"/>
    <xf numFmtId="168" fontId="58" fillId="0" borderId="0" applyFont="0" applyFill="0" applyBorder="0" applyAlignment="0" applyProtection="0"/>
    <xf numFmtId="169" fontId="58" fillId="0" borderId="0" applyFont="0" applyFill="0" applyBorder="0" applyAlignment="0" applyProtection="0"/>
    <xf numFmtId="187"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66" fontId="58" fillId="0" borderId="0" applyFont="0" applyFill="0" applyBorder="0" applyAlignment="0" applyProtection="0"/>
    <xf numFmtId="166" fontId="58" fillId="0" borderId="0" applyFont="0" applyFill="0" applyBorder="0" applyAlignment="0" applyProtection="0"/>
    <xf numFmtId="0" fontId="58" fillId="2" borderId="0" applyNumberFormat="0" applyBorder="0" applyAlignment="0" applyProtection="0"/>
    <xf numFmtId="0" fontId="58" fillId="3" borderId="0" applyNumberFormat="0" applyBorder="0" applyAlignment="0" applyProtection="0"/>
    <xf numFmtId="0" fontId="58" fillId="4" borderId="0" applyNumberFormat="0" applyBorder="0" applyAlignment="0" applyProtection="0"/>
    <xf numFmtId="0" fontId="58" fillId="6" borderId="0" applyNumberFormat="0" applyBorder="0" applyAlignment="0" applyProtection="0"/>
    <xf numFmtId="0" fontId="58" fillId="7" borderId="0" applyNumberFormat="0" applyBorder="0" applyAlignment="0" applyProtection="0"/>
    <xf numFmtId="0" fontId="58" fillId="5" borderId="0" applyNumberFormat="0" applyBorder="0" applyAlignment="0" applyProtection="0"/>
    <xf numFmtId="43" fontId="58" fillId="0" borderId="0" applyFont="0" applyFill="0" applyBorder="0" applyAlignment="0" applyProtection="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9" fontId="58" fillId="0" borderId="0" applyFont="0" applyFill="0" applyBorder="0" applyAlignment="0" applyProtection="0"/>
    <xf numFmtId="166"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2" borderId="0" applyNumberFormat="0" applyBorder="0" applyAlignment="0" applyProtection="0"/>
    <xf numFmtId="0" fontId="58" fillId="3" borderId="0" applyNumberFormat="0" applyBorder="0" applyAlignment="0" applyProtection="0"/>
    <xf numFmtId="0" fontId="58" fillId="4" borderId="0" applyNumberFormat="0" applyBorder="0" applyAlignment="0" applyProtection="0"/>
    <xf numFmtId="0" fontId="58" fillId="5" borderId="0" applyNumberFormat="0" applyBorder="0" applyAlignment="0" applyProtection="0"/>
    <xf numFmtId="0" fontId="58" fillId="6" borderId="0" applyNumberFormat="0" applyBorder="0" applyAlignment="0" applyProtection="0"/>
    <xf numFmtId="0" fontId="58" fillId="7" borderId="0" applyNumberFormat="0" applyBorder="0" applyAlignment="0" applyProtection="0"/>
    <xf numFmtId="0" fontId="58" fillId="0" borderId="0"/>
    <xf numFmtId="166"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0" fontId="58" fillId="0" borderId="0"/>
    <xf numFmtId="0" fontId="58" fillId="0" borderId="0"/>
    <xf numFmtId="0" fontId="58" fillId="0" borderId="0"/>
    <xf numFmtId="9" fontId="58" fillId="0" borderId="0" applyFont="0" applyFill="0" applyBorder="0" applyAlignment="0" applyProtection="0"/>
    <xf numFmtId="0" fontId="58" fillId="0" borderId="0"/>
    <xf numFmtId="43" fontId="107" fillId="0" borderId="0" applyFont="0" applyFill="0" applyBorder="0" applyAlignment="0" applyProtection="0"/>
    <xf numFmtId="0" fontId="57" fillId="0" borderId="0"/>
    <xf numFmtId="0" fontId="56" fillId="0" borderId="0"/>
    <xf numFmtId="9" fontId="55" fillId="0" borderId="0" applyFont="0" applyFill="0" applyBorder="0" applyAlignment="0" applyProtection="0"/>
    <xf numFmtId="0" fontId="55" fillId="0" borderId="0"/>
    <xf numFmtId="0" fontId="54" fillId="0" borderId="0"/>
    <xf numFmtId="43" fontId="54" fillId="0" borderId="0" applyFont="0" applyFill="0" applyBorder="0" applyAlignment="0" applyProtection="0"/>
    <xf numFmtId="9" fontId="54" fillId="0" borderId="0" applyFont="0" applyFill="0" applyBorder="0" applyAlignment="0" applyProtection="0"/>
    <xf numFmtId="166" fontId="54"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36" fillId="0" borderId="0" applyFont="0" applyFill="0" applyBorder="0" applyAlignment="0" applyProtection="0"/>
    <xf numFmtId="0" fontId="51" fillId="0" borderId="0"/>
    <xf numFmtId="0" fontId="50" fillId="0" borderId="0"/>
    <xf numFmtId="0" fontId="49" fillId="0" borderId="0"/>
    <xf numFmtId="0" fontId="48" fillId="0" borderId="0"/>
    <xf numFmtId="43" fontId="47" fillId="0" borderId="0" applyFont="0" applyFill="0" applyBorder="0" applyAlignment="0" applyProtection="0"/>
    <xf numFmtId="170" fontId="47" fillId="0" borderId="0" applyFont="0" applyFill="0" applyBorder="0" applyAlignment="0" applyProtection="0"/>
    <xf numFmtId="43" fontId="47" fillId="0" borderId="0" applyFont="0" applyFill="0" applyBorder="0" applyAlignment="0" applyProtection="0"/>
    <xf numFmtId="170" fontId="47" fillId="0" borderId="0" applyFont="0" applyFill="0" applyBorder="0" applyAlignment="0" applyProtection="0"/>
    <xf numFmtId="43" fontId="47" fillId="0" borderId="0" applyFont="0" applyFill="0" applyBorder="0" applyAlignment="0" applyProtection="0"/>
    <xf numFmtId="168" fontId="47" fillId="0" borderId="0" applyFont="0" applyFill="0" applyBorder="0" applyAlignment="0" applyProtection="0"/>
    <xf numFmtId="169"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0" fontId="47" fillId="0" borderId="0"/>
    <xf numFmtId="43" fontId="47" fillId="0" borderId="0" applyFont="0" applyFill="0" applyBorder="0" applyAlignment="0" applyProtection="0"/>
    <xf numFmtId="0" fontId="106" fillId="0" borderId="0" applyFont="0"/>
    <xf numFmtId="0" fontId="136" fillId="0" borderId="0"/>
    <xf numFmtId="187" fontId="47" fillId="0" borderId="0" applyFont="0" applyFill="0" applyBorder="0" applyAlignment="0" applyProtection="0"/>
    <xf numFmtId="166" fontId="47"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9" fontId="136" fillId="0" borderId="0" applyFont="0" applyFill="0" applyBorder="0" applyAlignment="0" applyProtection="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0" fontId="47" fillId="0" borderId="0"/>
    <xf numFmtId="0" fontId="47" fillId="2" borderId="0" applyNumberFormat="0" applyBorder="0" applyAlignment="0" applyProtection="0"/>
    <xf numFmtId="0" fontId="47" fillId="3" borderId="0" applyNumberFormat="0" applyBorder="0" applyAlignment="0" applyProtection="0"/>
    <xf numFmtId="0" fontId="47" fillId="4" borderId="0" applyNumberFormat="0" applyBorder="0" applyAlignment="0" applyProtection="0"/>
    <xf numFmtId="0" fontId="47" fillId="5" borderId="0" applyNumberFormat="0" applyBorder="0" applyAlignment="0" applyProtection="0"/>
    <xf numFmtId="0" fontId="47" fillId="6" borderId="0" applyNumberFormat="0" applyBorder="0" applyAlignment="0" applyProtection="0"/>
    <xf numFmtId="0" fontId="47" fillId="7" borderId="0" applyNumberFormat="0" applyBorder="0" applyAlignment="0" applyProtection="0"/>
    <xf numFmtId="43" fontId="47" fillId="0" borderId="0" applyFont="0" applyFill="0" applyBorder="0" applyAlignment="0" applyProtection="0"/>
    <xf numFmtId="170" fontId="47" fillId="0" borderId="0" applyFont="0" applyFill="0" applyBorder="0" applyAlignment="0" applyProtection="0"/>
    <xf numFmtId="43" fontId="47" fillId="0" borderId="0" applyFont="0" applyFill="0" applyBorder="0" applyAlignment="0" applyProtection="0"/>
    <xf numFmtId="170" fontId="47" fillId="0" borderId="0" applyFont="0" applyFill="0" applyBorder="0" applyAlignment="0" applyProtection="0"/>
    <xf numFmtId="43" fontId="47" fillId="0" borderId="0" applyFont="0" applyFill="0" applyBorder="0" applyAlignment="0" applyProtection="0"/>
    <xf numFmtId="168" fontId="47" fillId="0" borderId="0" applyFont="0" applyFill="0" applyBorder="0" applyAlignment="0" applyProtection="0"/>
    <xf numFmtId="169"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187" fontId="47" fillId="0" borderId="0" applyFont="0" applyFill="0" applyBorder="0" applyAlignment="0" applyProtection="0"/>
    <xf numFmtId="166" fontId="47" fillId="0" borderId="0" applyFont="0" applyFill="0" applyBorder="0" applyAlignment="0" applyProtection="0"/>
    <xf numFmtId="0" fontId="107" fillId="0" borderId="0"/>
    <xf numFmtId="0" fontId="47" fillId="0" borderId="0"/>
    <xf numFmtId="43" fontId="107"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107" fillId="0" borderId="0"/>
    <xf numFmtId="0" fontId="107" fillId="0" borderId="0"/>
    <xf numFmtId="0" fontId="47" fillId="0" borderId="0"/>
    <xf numFmtId="0" fontId="47" fillId="0" borderId="0"/>
    <xf numFmtId="166"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0" fontId="47" fillId="0" borderId="0"/>
    <xf numFmtId="43" fontId="107" fillId="0" borderId="0" applyFont="0" applyFill="0" applyBorder="0" applyAlignment="0" applyProtection="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0" fontId="47" fillId="0" borderId="0"/>
    <xf numFmtId="166"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43" fontId="47" fillId="0" borderId="0" applyFont="0" applyFill="0" applyBorder="0" applyAlignment="0" applyProtection="0"/>
    <xf numFmtId="170" fontId="47" fillId="0" borderId="0" applyFont="0" applyFill="0" applyBorder="0" applyAlignment="0" applyProtection="0"/>
    <xf numFmtId="43" fontId="47" fillId="0" borderId="0" applyFont="0" applyFill="0" applyBorder="0" applyAlignment="0" applyProtection="0"/>
    <xf numFmtId="170" fontId="47" fillId="0" borderId="0" applyFont="0" applyFill="0" applyBorder="0" applyAlignment="0" applyProtection="0"/>
    <xf numFmtId="43" fontId="47" fillId="0" borderId="0" applyFont="0" applyFill="0" applyBorder="0" applyAlignment="0" applyProtection="0"/>
    <xf numFmtId="168" fontId="47" fillId="0" borderId="0" applyFont="0" applyFill="0" applyBorder="0" applyAlignment="0" applyProtection="0"/>
    <xf numFmtId="169"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187" fontId="47" fillId="0" borderId="0" applyFont="0" applyFill="0" applyBorder="0" applyAlignment="0" applyProtection="0"/>
    <xf numFmtId="166" fontId="47"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170" fontId="47" fillId="0" borderId="0" applyFont="0" applyFill="0" applyBorder="0" applyAlignment="0" applyProtection="0"/>
    <xf numFmtId="170" fontId="47" fillId="0" borderId="0" applyFont="0" applyFill="0" applyBorder="0" applyAlignment="0" applyProtection="0"/>
    <xf numFmtId="168" fontId="47" fillId="0" borderId="0" applyFont="0" applyFill="0" applyBorder="0" applyAlignment="0" applyProtection="0"/>
    <xf numFmtId="169" fontId="47" fillId="0" borderId="0" applyFont="0" applyFill="0" applyBorder="0" applyAlignment="0" applyProtection="0"/>
    <xf numFmtId="187" fontId="47"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166" fontId="47" fillId="0" borderId="0" applyFont="0" applyFill="0" applyBorder="0" applyAlignment="0" applyProtection="0"/>
    <xf numFmtId="166" fontId="47" fillId="0" borderId="0" applyFont="0" applyFill="0" applyBorder="0" applyAlignment="0" applyProtection="0"/>
    <xf numFmtId="0" fontId="47" fillId="2" borderId="0" applyNumberFormat="0" applyBorder="0" applyAlignment="0" applyProtection="0"/>
    <xf numFmtId="0" fontId="47" fillId="3" borderId="0" applyNumberFormat="0" applyBorder="0" applyAlignment="0" applyProtection="0"/>
    <xf numFmtId="0" fontId="47" fillId="4" borderId="0" applyNumberFormat="0" applyBorder="0" applyAlignment="0" applyProtection="0"/>
    <xf numFmtId="0" fontId="47" fillId="6" borderId="0" applyNumberFormat="0" applyBorder="0" applyAlignment="0" applyProtection="0"/>
    <xf numFmtId="0" fontId="47" fillId="7" borderId="0" applyNumberFormat="0" applyBorder="0" applyAlignment="0" applyProtection="0"/>
    <xf numFmtId="0" fontId="47" fillId="5" borderId="0" applyNumberFormat="0" applyBorder="0" applyAlignment="0" applyProtection="0"/>
    <xf numFmtId="43" fontId="47" fillId="0" borderId="0" applyFont="0" applyFill="0" applyBorder="0" applyAlignment="0" applyProtection="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9" fontId="47" fillId="0" borderId="0" applyFont="0" applyFill="0" applyBorder="0" applyAlignment="0" applyProtection="0"/>
    <xf numFmtId="166" fontId="47" fillId="0" borderId="0" applyFont="0" applyFill="0" applyBorder="0" applyAlignment="0" applyProtection="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2" borderId="0" applyNumberFormat="0" applyBorder="0" applyAlignment="0" applyProtection="0"/>
    <xf numFmtId="0" fontId="47" fillId="3" borderId="0" applyNumberFormat="0" applyBorder="0" applyAlignment="0" applyProtection="0"/>
    <xf numFmtId="0" fontId="47" fillId="4" borderId="0" applyNumberFormat="0" applyBorder="0" applyAlignment="0" applyProtection="0"/>
    <xf numFmtId="0" fontId="47" fillId="5" borderId="0" applyNumberFormat="0" applyBorder="0" applyAlignment="0" applyProtection="0"/>
    <xf numFmtId="0" fontId="47" fillId="6" borderId="0" applyNumberFormat="0" applyBorder="0" applyAlignment="0" applyProtection="0"/>
    <xf numFmtId="0" fontId="47" fillId="7" borderId="0" applyNumberFormat="0" applyBorder="0" applyAlignment="0" applyProtection="0"/>
    <xf numFmtId="0" fontId="47" fillId="0" borderId="0"/>
    <xf numFmtId="166"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0" fontId="136" fillId="0" borderId="0"/>
    <xf numFmtId="0" fontId="47" fillId="0" borderId="0"/>
    <xf numFmtId="0" fontId="47" fillId="0" borderId="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9" fontId="47" fillId="0" borderId="0" applyFont="0" applyFill="0" applyBorder="0" applyAlignment="0" applyProtection="0"/>
    <xf numFmtId="0" fontId="47" fillId="0" borderId="0"/>
    <xf numFmtId="0" fontId="47" fillId="0" borderId="0"/>
    <xf numFmtId="43" fontId="136" fillId="0" borderId="0" applyFont="0" applyFill="0" applyBorder="0" applyAlignment="0" applyProtection="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0" fontId="47" fillId="0" borderId="0"/>
    <xf numFmtId="0" fontId="47" fillId="0" borderId="0"/>
    <xf numFmtId="9" fontId="47" fillId="0" borderId="0" applyFont="0" applyFill="0" applyBorder="0" applyAlignment="0" applyProtection="0"/>
    <xf numFmtId="0" fontId="47" fillId="0" borderId="0"/>
    <xf numFmtId="43" fontId="136" fillId="0" borderId="0" applyFont="0" applyFill="0" applyBorder="0" applyAlignment="0" applyProtection="0"/>
    <xf numFmtId="0" fontId="46" fillId="0" borderId="0"/>
    <xf numFmtId="0" fontId="45" fillId="0" borderId="0"/>
    <xf numFmtId="0" fontId="44" fillId="0" borderId="0"/>
    <xf numFmtId="0" fontId="43" fillId="0" borderId="0"/>
    <xf numFmtId="0" fontId="42" fillId="0" borderId="0"/>
    <xf numFmtId="165" fontId="107"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5" borderId="0" applyNumberFormat="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107" fillId="0" borderId="0" applyFont="0" applyFill="0" applyBorder="0" applyAlignment="0" applyProtection="0"/>
    <xf numFmtId="9" fontId="41" fillId="0" borderId="0" applyFont="0" applyFill="0" applyBorder="0" applyAlignment="0" applyProtection="0"/>
    <xf numFmtId="0" fontId="41" fillId="2" borderId="0" applyNumberFormat="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5" borderId="0" applyNumberFormat="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0" fontId="41" fillId="2" borderId="0" applyNumberFormat="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166"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5" borderId="0" applyNumberFormat="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5" borderId="0" applyNumberFormat="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166"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0" fontId="41" fillId="0" borderId="0"/>
    <xf numFmtId="43"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187"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170" fontId="41" fillId="0" borderId="0" applyFont="0" applyFill="0" applyBorder="0" applyAlignment="0" applyProtection="0"/>
    <xf numFmtId="170" fontId="41" fillId="0" borderId="0" applyFont="0" applyFill="0" applyBorder="0" applyAlignment="0" applyProtection="0"/>
    <xf numFmtId="168" fontId="41" fillId="0" borderId="0" applyFont="0" applyFill="0" applyBorder="0" applyAlignment="0" applyProtection="0"/>
    <xf numFmtId="169" fontId="41" fillId="0" borderId="0" applyFont="0" applyFill="0" applyBorder="0" applyAlignment="0" applyProtection="0"/>
    <xf numFmtId="187"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6" fontId="41" fillId="0" borderId="0" applyFont="0" applyFill="0" applyBorder="0" applyAlignment="0" applyProtection="0"/>
    <xf numFmtId="166"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5" borderId="0" applyNumberFormat="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166"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0" borderId="0"/>
    <xf numFmtId="166"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43" fontId="107" fillId="0" borderId="0" applyFont="0" applyFill="0" applyBorder="0" applyAlignment="0" applyProtection="0"/>
    <xf numFmtId="0" fontId="40" fillId="0" borderId="0"/>
    <xf numFmtId="0" fontId="39" fillId="0" borderId="0"/>
    <xf numFmtId="0" fontId="38" fillId="0" borderId="0"/>
    <xf numFmtId="0" fontId="37" fillId="0" borderId="0"/>
    <xf numFmtId="0" fontId="36" fillId="0" borderId="0"/>
    <xf numFmtId="0" fontId="35" fillId="0" borderId="0"/>
    <xf numFmtId="0" fontId="34" fillId="0" borderId="0"/>
    <xf numFmtId="0" fontId="33" fillId="0" borderId="0"/>
    <xf numFmtId="9" fontId="32" fillId="0" borderId="0" applyFont="0" applyFill="0" applyBorder="0" applyAlignment="0" applyProtection="0"/>
    <xf numFmtId="9" fontId="32" fillId="0" borderId="0" applyFont="0" applyFill="0" applyBorder="0" applyAlignment="0" applyProtection="0"/>
    <xf numFmtId="0" fontId="32" fillId="0" borderId="0"/>
    <xf numFmtId="169" fontId="32" fillId="0" borderId="0" applyFont="0" applyFill="0" applyBorder="0" applyAlignment="0" applyProtection="0"/>
    <xf numFmtId="9" fontId="32" fillId="0" borderId="0" applyFont="0" applyFill="0" applyBorder="0" applyAlignment="0" applyProtection="0"/>
    <xf numFmtId="43" fontId="143"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0" fontId="31" fillId="0" borderId="0"/>
    <xf numFmtId="0" fontId="30" fillId="0" borderId="0"/>
    <xf numFmtId="0" fontId="29"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107"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43" fontId="21" fillId="0" borderId="0" applyFont="0" applyFill="0" applyBorder="0" applyAlignment="0" applyProtection="0"/>
    <xf numFmtId="0" fontId="107" fillId="0" borderId="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107"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107"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107"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43" fontId="107"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43"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70"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170" fontId="21" fillId="0" borderId="0" applyFont="0" applyFill="0" applyBorder="0" applyAlignment="0" applyProtection="0"/>
    <xf numFmtId="170"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8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5" borderId="0" applyNumberFormat="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0" borderId="0"/>
    <xf numFmtId="166"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107" fillId="0" borderId="0" applyFont="0" applyFill="0" applyBorder="0" applyAlignment="0" applyProtection="0"/>
    <xf numFmtId="0" fontId="19"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0" borderId="0"/>
    <xf numFmtId="43"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0" borderId="0"/>
    <xf numFmtId="43"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9" fontId="18" fillId="0" borderId="0" applyFont="0" applyFill="0" applyBorder="0" applyAlignment="0" applyProtection="0"/>
    <xf numFmtId="9" fontId="18" fillId="0" borderId="0" applyFont="0" applyFill="0" applyBorder="0" applyAlignment="0" applyProtection="0"/>
    <xf numFmtId="43" fontId="10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0" borderId="0"/>
    <xf numFmtId="43"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2"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0" borderId="0"/>
    <xf numFmtId="43"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87"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8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3" fillId="0" borderId="0"/>
    <xf numFmtId="9" fontId="17" fillId="0" borderId="0" applyFont="0" applyFill="0" applyBorder="0" applyAlignment="0" applyProtection="0"/>
    <xf numFmtId="9" fontId="16" fillId="0" borderId="0" applyFont="0" applyFill="0" applyBorder="0" applyAlignment="0" applyProtection="0"/>
    <xf numFmtId="0" fontId="15" fillId="0" borderId="0"/>
    <xf numFmtId="0" fontId="14" fillId="0" borderId="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2"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41" fontId="105" fillId="0" borderId="0" applyFont="0" applyFill="0" applyBorder="0" applyAlignment="0" applyProtection="0"/>
    <xf numFmtId="41" fontId="105" fillId="0" borderId="0" applyFont="0" applyFill="0" applyBorder="0" applyAlignment="0" applyProtection="0"/>
    <xf numFmtId="41"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43"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70"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8" fontId="105" fillId="0" borderId="0" applyFont="0" applyFill="0" applyBorder="0" applyAlignment="0" applyProtection="0"/>
    <xf numFmtId="165"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9" fontId="105" fillId="0" borderId="0" applyFont="0" applyFill="0" applyBorder="0" applyAlignment="0" applyProtection="0"/>
    <xf numFmtId="169"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66"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187" fontId="105"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0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9" fontId="12" fillId="0" borderId="0" applyFont="0" applyFill="0" applyBorder="0" applyAlignment="0" applyProtection="0"/>
    <xf numFmtId="166" fontId="143" fillId="0" borderId="0" applyFont="0" applyFill="0" applyBorder="0" applyAlignment="0" applyProtection="0"/>
    <xf numFmtId="0" fontId="11" fillId="0" borderId="0"/>
    <xf numFmtId="169" fontId="11" fillId="0" borderId="0" applyFont="0" applyFill="0" applyBorder="0" applyAlignment="0" applyProtection="0"/>
    <xf numFmtId="9" fontId="11" fillId="0" borderId="0" applyFont="0" applyFill="0" applyBorder="0" applyAlignment="0" applyProtection="0"/>
    <xf numFmtId="0" fontId="11" fillId="0" borderId="0"/>
    <xf numFmtId="0" fontId="10" fillId="0" borderId="0"/>
    <xf numFmtId="165" fontId="156" fillId="0" borderId="0" applyFont="0" applyFill="0" applyBorder="0" applyAlignment="0" applyProtection="0"/>
    <xf numFmtId="9" fontId="8" fillId="0" borderId="0" applyFont="0" applyFill="0" applyBorder="0" applyAlignment="0" applyProtection="0"/>
    <xf numFmtId="0" fontId="7" fillId="0" borderId="0"/>
    <xf numFmtId="0" fontId="6" fillId="0" borderId="0"/>
    <xf numFmtId="0" fontId="5" fillId="0" borderId="0"/>
    <xf numFmtId="169" fontId="5" fillId="0" borderId="0" applyFont="0" applyFill="0" applyBorder="0" applyAlignment="0" applyProtection="0"/>
    <xf numFmtId="9" fontId="5" fillId="0" borderId="0" applyFont="0" applyFill="0" applyBorder="0" applyAlignment="0" applyProtection="0"/>
    <xf numFmtId="0" fontId="4" fillId="0" borderId="0"/>
    <xf numFmtId="9" fontId="3" fillId="0" borderId="0" applyFont="0" applyFill="0" applyBorder="0" applyAlignment="0" applyProtection="0"/>
    <xf numFmtId="0" fontId="2" fillId="0" borderId="0"/>
    <xf numFmtId="166" fontId="2" fillId="0" borderId="0" applyFont="0" applyFill="0" applyBorder="0" applyAlignment="0" applyProtection="0"/>
    <xf numFmtId="0" fontId="1" fillId="0" borderId="0"/>
  </cellStyleXfs>
  <cellXfs count="1664">
    <xf numFmtId="0" fontId="0" fillId="0" borderId="0" xfId="0"/>
    <xf numFmtId="0" fontId="77" fillId="0" borderId="0" xfId="855"/>
    <xf numFmtId="0" fontId="121" fillId="2" borderId="0" xfId="849" applyFont="1" applyBorder="1" applyAlignment="1">
      <alignment horizontal="center" vertical="center"/>
    </xf>
    <xf numFmtId="172" fontId="122" fillId="0" borderId="1" xfId="792" applyNumberFormat="1" applyFont="1" applyBorder="1" applyAlignment="1">
      <alignment horizontal="center" vertical="center"/>
    </xf>
    <xf numFmtId="171" fontId="77" fillId="0" borderId="0" xfId="855" applyNumberFormat="1"/>
    <xf numFmtId="172" fontId="77" fillId="0" borderId="0" xfId="855" applyNumberFormat="1"/>
    <xf numFmtId="0" fontId="111" fillId="0" borderId="0" xfId="855" applyFont="1" applyAlignment="1">
      <alignment horizontal="center"/>
    </xf>
    <xf numFmtId="172" fontId="111" fillId="0" borderId="0" xfId="856" applyNumberFormat="1" applyFont="1" applyAlignment="1">
      <alignment horizontal="center"/>
    </xf>
    <xf numFmtId="9" fontId="77" fillId="0" borderId="0" xfId="855" applyNumberFormat="1"/>
    <xf numFmtId="0" fontId="77" fillId="0" borderId="0" xfId="855" applyAlignment="1">
      <alignment horizontal="center" vertical="center"/>
    </xf>
    <xf numFmtId="172" fontId="77" fillId="0" borderId="0" xfId="792" applyNumberFormat="1" applyFont="1" applyAlignment="1">
      <alignment horizontal="center" vertical="center"/>
    </xf>
    <xf numFmtId="171" fontId="77" fillId="0" borderId="0" xfId="855" applyNumberFormat="1" applyAlignment="1">
      <alignment horizontal="center" vertical="center"/>
    </xf>
    <xf numFmtId="171" fontId="77" fillId="0" borderId="0" xfId="855" applyNumberFormat="1" applyFont="1" applyAlignment="1">
      <alignment horizontal="center" vertical="center"/>
    </xf>
    <xf numFmtId="0" fontId="77" fillId="0" borderId="0" xfId="855" applyFont="1" applyAlignment="1">
      <alignment horizontal="center" vertical="center"/>
    </xf>
    <xf numFmtId="9" fontId="107" fillId="0" borderId="0" xfId="857" applyFont="1" applyAlignment="1">
      <alignment horizontal="center" vertical="center"/>
    </xf>
    <xf numFmtId="0" fontId="77" fillId="0" borderId="0" xfId="855" applyNumberFormat="1" applyAlignment="1">
      <alignment horizontal="center" vertical="center"/>
    </xf>
    <xf numFmtId="0" fontId="125" fillId="0" borderId="0" xfId="855" applyFont="1" applyAlignment="1">
      <alignment horizontal="center" vertical="center"/>
    </xf>
    <xf numFmtId="0" fontId="67" fillId="0" borderId="0" xfId="855" applyFont="1" applyAlignment="1">
      <alignment horizontal="center" vertical="center"/>
    </xf>
    <xf numFmtId="171" fontId="107" fillId="0" borderId="0" xfId="857" applyNumberFormat="1" applyFont="1" applyAlignment="1">
      <alignment horizontal="center" vertical="center"/>
    </xf>
    <xf numFmtId="0" fontId="66" fillId="0" borderId="0" xfId="855" applyFont="1" applyAlignment="1">
      <alignment horizontal="center" vertical="center"/>
    </xf>
    <xf numFmtId="0" fontId="127" fillId="8" borderId="11" xfId="824" applyFont="1" applyFill="1" applyBorder="1" applyAlignment="1">
      <alignment vertical="center"/>
    </xf>
    <xf numFmtId="0" fontId="127" fillId="8" borderId="17" xfId="824" applyFont="1" applyFill="1" applyBorder="1" applyAlignment="1">
      <alignment vertical="center"/>
    </xf>
    <xf numFmtId="0" fontId="127" fillId="8" borderId="0" xfId="567" applyFont="1" applyFill="1" applyBorder="1" applyAlignment="1">
      <alignment horizontal="center" vertical="center"/>
    </xf>
    <xf numFmtId="0" fontId="115" fillId="0" borderId="0" xfId="569" applyFont="1" applyBorder="1" applyAlignment="1">
      <alignment vertical="center"/>
    </xf>
    <xf numFmtId="0" fontId="128" fillId="0" borderId="1" xfId="568" applyFont="1" applyFill="1" applyBorder="1" applyAlignment="1">
      <alignment horizontal="center" vertical="center"/>
    </xf>
    <xf numFmtId="0" fontId="128" fillId="0" borderId="1" xfId="568" applyFont="1" applyFill="1" applyBorder="1" applyAlignment="1">
      <alignment horizontal="center" vertical="center" wrapText="1"/>
    </xf>
    <xf numFmtId="0" fontId="128" fillId="0" borderId="1" xfId="571" applyFont="1" applyFill="1" applyBorder="1" applyAlignment="1">
      <alignment horizontal="center" vertical="center"/>
    </xf>
    <xf numFmtId="171" fontId="128" fillId="0" borderId="1" xfId="571" applyNumberFormat="1" applyFont="1" applyFill="1" applyBorder="1" applyAlignment="1">
      <alignment horizontal="center" vertical="center"/>
    </xf>
    <xf numFmtId="9" fontId="128" fillId="0" borderId="1" xfId="876" applyFont="1" applyFill="1" applyBorder="1" applyAlignment="1">
      <alignment horizontal="center" vertical="center"/>
    </xf>
    <xf numFmtId="0" fontId="128" fillId="0" borderId="1" xfId="571" applyNumberFormat="1" applyFont="1"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189" fontId="0" fillId="0" borderId="1" xfId="0" applyNumberFormat="1" applyBorder="1" applyAlignment="1">
      <alignment vertical="center" wrapText="1"/>
    </xf>
    <xf numFmtId="0" fontId="0" fillId="0" borderId="1" xfId="0" applyNumberFormat="1" applyBorder="1" applyAlignment="1">
      <alignment horizontal="center" vertical="center"/>
    </xf>
    <xf numFmtId="172" fontId="107" fillId="0" borderId="1" xfId="792" applyNumberFormat="1" applyFont="1" applyBorder="1" applyAlignment="1">
      <alignment horizontal="center" vertical="center"/>
    </xf>
    <xf numFmtId="9" fontId="107" fillId="0" borderId="1" xfId="784" applyFont="1" applyBorder="1" applyAlignment="1">
      <alignment horizontal="center" vertical="center"/>
    </xf>
    <xf numFmtId="0" fontId="0" fillId="9" borderId="1" xfId="0"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30" fillId="13" borderId="1" xfId="0" applyFont="1" applyFill="1" applyBorder="1" applyAlignment="1">
      <alignment vertical="center" wrapText="1"/>
    </xf>
    <xf numFmtId="0" fontId="130" fillId="14" borderId="1" xfId="0" applyFont="1" applyFill="1" applyBorder="1" applyAlignment="1">
      <alignment horizontal="center" vertical="center" wrapText="1"/>
    </xf>
    <xf numFmtId="0" fontId="130" fillId="14" borderId="1" xfId="0" applyFont="1" applyFill="1" applyBorder="1" applyAlignment="1">
      <alignment vertical="center" wrapText="1"/>
    </xf>
    <xf numFmtId="189" fontId="130" fillId="14" borderId="1" xfId="0" applyNumberFormat="1" applyFont="1" applyFill="1" applyBorder="1" applyAlignment="1">
      <alignment vertical="center" wrapText="1"/>
    </xf>
    <xf numFmtId="0" fontId="130" fillId="14" borderId="1" xfId="0" applyNumberFormat="1" applyFont="1" applyFill="1" applyBorder="1" applyAlignment="1">
      <alignment horizontal="center" vertical="center" wrapText="1"/>
    </xf>
    <xf numFmtId="172" fontId="130" fillId="14" borderId="1" xfId="792" applyNumberFormat="1" applyFont="1" applyFill="1" applyBorder="1" applyAlignment="1">
      <alignment horizontal="center" vertical="center" wrapText="1"/>
    </xf>
    <xf numFmtId="9" fontId="130" fillId="14" borderId="1" xfId="784" applyFont="1" applyFill="1" applyBorder="1" applyAlignment="1">
      <alignment horizontal="center" vertical="center" wrapText="1"/>
    </xf>
    <xf numFmtId="172" fontId="130" fillId="14" borderId="1" xfId="784" applyNumberFormat="1" applyFont="1" applyFill="1" applyBorder="1" applyAlignment="1">
      <alignment horizontal="center" vertical="center" wrapText="1"/>
    </xf>
    <xf numFmtId="0" fontId="107" fillId="0" borderId="0" xfId="568"/>
    <xf numFmtId="0" fontId="127" fillId="0" borderId="23" xfId="0" applyFont="1" applyBorder="1" applyAlignment="1">
      <alignment horizontal="center" vertical="center" wrapText="1"/>
    </xf>
    <xf numFmtId="184" fontId="127" fillId="0" borderId="1" xfId="573" applyNumberFormat="1" applyFont="1" applyBorder="1" applyAlignment="1">
      <alignment vertical="center"/>
    </xf>
    <xf numFmtId="9" fontId="107" fillId="0" borderId="0" xfId="840" applyNumberFormat="1" applyBorder="1"/>
    <xf numFmtId="0" fontId="127" fillId="0" borderId="1" xfId="0" applyFont="1" applyBorder="1" applyAlignment="1">
      <alignment horizontal="center" vertical="center" wrapText="1"/>
    </xf>
    <xf numFmtId="0" fontId="107" fillId="0" borderId="0" xfId="840"/>
    <xf numFmtId="0" fontId="107" fillId="0" borderId="0" xfId="840" applyAlignment="1">
      <alignment horizontal="center"/>
    </xf>
    <xf numFmtId="9" fontId="127" fillId="0" borderId="1" xfId="0" applyNumberFormat="1" applyFont="1" applyBorder="1" applyAlignment="1">
      <alignment horizontal="center" vertical="center" wrapText="1"/>
    </xf>
    <xf numFmtId="184" fontId="127" fillId="0" borderId="21" xfId="573" applyNumberFormat="1" applyFont="1" applyBorder="1" applyAlignment="1">
      <alignment vertical="center"/>
    </xf>
    <xf numFmtId="9" fontId="127" fillId="0" borderId="1" xfId="0" applyNumberFormat="1" applyFont="1" applyBorder="1" applyAlignment="1">
      <alignment horizontal="center" vertical="center"/>
    </xf>
    <xf numFmtId="0" fontId="107" fillId="0" borderId="0" xfId="840" applyBorder="1"/>
    <xf numFmtId="0" fontId="106" fillId="0" borderId="0" xfId="567" applyFont="1" applyFill="1" applyAlignment="1">
      <alignment horizontal="left" vertical="center" wrapText="1"/>
    </xf>
    <xf numFmtId="0" fontId="131" fillId="0" borderId="0" xfId="568" applyFont="1"/>
    <xf numFmtId="0" fontId="106" fillId="15" borderId="0" xfId="567" applyFont="1" applyFill="1" applyAlignment="1">
      <alignment horizontal="left" vertical="center" wrapText="1"/>
    </xf>
    <xf numFmtId="0" fontId="127" fillId="0" borderId="1" xfId="0" applyFont="1" applyBorder="1" applyAlignment="1">
      <alignment horizontal="center" vertical="center"/>
    </xf>
    <xf numFmtId="0" fontId="0" fillId="0" borderId="0" xfId="0" applyBorder="1"/>
    <xf numFmtId="189" fontId="116" fillId="0" borderId="0" xfId="642" applyNumberFormat="1" applyFont="1" applyBorder="1" applyAlignment="1">
      <alignment horizontal="center" vertical="center"/>
    </xf>
    <xf numFmtId="0" fontId="107" fillId="0" borderId="0" xfId="840" applyAlignment="1">
      <alignment horizontal="center" vertical="center"/>
    </xf>
    <xf numFmtId="189" fontId="132" fillId="0" borderId="0" xfId="642" applyNumberFormat="1" applyFont="1" applyBorder="1" applyAlignment="1">
      <alignment vertical="center"/>
    </xf>
    <xf numFmtId="0" fontId="133" fillId="0" borderId="1" xfId="568" applyFont="1" applyBorder="1" applyAlignment="1">
      <alignment horizontal="center" vertical="center"/>
    </xf>
    <xf numFmtId="0" fontId="133" fillId="0" borderId="1" xfId="568" applyFont="1" applyBorder="1" applyAlignment="1">
      <alignment horizontal="center" vertical="center" wrapText="1"/>
    </xf>
    <xf numFmtId="0" fontId="127" fillId="0" borderId="0" xfId="0" applyNumberFormat="1" applyFont="1" applyFill="1" applyBorder="1" applyAlignment="1">
      <alignment vertical="center"/>
    </xf>
    <xf numFmtId="0" fontId="106" fillId="0" borderId="1" xfId="642" applyFont="1" applyBorder="1" applyAlignment="1">
      <alignment horizontal="center" vertical="center"/>
    </xf>
    <xf numFmtId="189" fontId="116" fillId="0" borderId="1" xfId="642" applyNumberFormat="1" applyFont="1" applyBorder="1" applyAlignment="1">
      <alignment horizontal="center" vertical="center"/>
    </xf>
    <xf numFmtId="9" fontId="116" fillId="0" borderId="1" xfId="642" applyNumberFormat="1" applyFont="1" applyBorder="1" applyAlignment="1">
      <alignment horizontal="center" vertical="center"/>
    </xf>
    <xf numFmtId="0" fontId="127" fillId="0" borderId="1" xfId="642" applyFont="1" applyBorder="1" applyAlignment="1">
      <alignment horizontal="center" vertical="center"/>
    </xf>
    <xf numFmtId="9" fontId="132" fillId="0" borderId="1" xfId="642" applyNumberFormat="1" applyFont="1" applyBorder="1" applyAlignment="1">
      <alignment horizontal="center" vertical="center"/>
    </xf>
    <xf numFmtId="1" fontId="127" fillId="0" borderId="0" xfId="0" applyNumberFormat="1" applyFont="1" applyFill="1" applyBorder="1" applyAlignment="1">
      <alignment vertical="center"/>
    </xf>
    <xf numFmtId="0" fontId="0" fillId="0" borderId="0" xfId="0" applyBorder="1" applyAlignment="1">
      <alignment horizontal="center" vertical="center"/>
    </xf>
    <xf numFmtId="0" fontId="107" fillId="0" borderId="0" xfId="568" applyBorder="1"/>
    <xf numFmtId="0" fontId="0" fillId="0" borderId="0" xfId="0" applyAlignment="1">
      <alignment horizontal="center" vertical="center"/>
    </xf>
    <xf numFmtId="177" fontId="127" fillId="15" borderId="1" xfId="0" applyNumberFormat="1" applyFont="1" applyFill="1" applyBorder="1" applyAlignment="1">
      <alignment horizontal="center" vertical="center"/>
    </xf>
    <xf numFmtId="0" fontId="127" fillId="15" borderId="1" xfId="0" applyFont="1" applyFill="1" applyBorder="1" applyAlignment="1">
      <alignment horizontal="center" vertical="center"/>
    </xf>
    <xf numFmtId="0" fontId="0" fillId="0" borderId="0" xfId="0" applyAlignment="1">
      <alignment horizontal="center"/>
    </xf>
    <xf numFmtId="0" fontId="127" fillId="8" borderId="12" xfId="824" applyFont="1" applyFill="1" applyBorder="1" applyAlignment="1">
      <alignment vertical="center"/>
    </xf>
    <xf numFmtId="0" fontId="107" fillId="0" borderId="0" xfId="814"/>
    <xf numFmtId="0" fontId="127" fillId="8" borderId="18" xfId="824" applyFont="1" applyFill="1" applyBorder="1" applyAlignment="1">
      <alignment vertical="center"/>
    </xf>
    <xf numFmtId="0" fontId="107" fillId="0" borderId="1" xfId="814" applyBorder="1" applyAlignment="1">
      <alignment vertical="center" wrapText="1"/>
    </xf>
    <xf numFmtId="189" fontId="107" fillId="0" borderId="1" xfId="814" applyNumberFormat="1" applyBorder="1" applyAlignment="1">
      <alignment vertical="center" wrapText="1"/>
    </xf>
    <xf numFmtId="0" fontId="107" fillId="0" borderId="1" xfId="814" applyNumberFormat="1" applyBorder="1" applyAlignment="1">
      <alignment horizontal="center" vertical="center"/>
    </xf>
    <xf numFmtId="172" fontId="134" fillId="9" borderId="1" xfId="792" applyNumberFormat="1" applyFont="1" applyFill="1" applyBorder="1" applyAlignment="1">
      <alignment horizontal="center" vertical="center"/>
    </xf>
    <xf numFmtId="9" fontId="134" fillId="9" borderId="1" xfId="784" applyFont="1" applyFill="1" applyBorder="1" applyAlignment="1">
      <alignment horizontal="center" vertical="center"/>
    </xf>
    <xf numFmtId="172" fontId="107" fillId="0" borderId="1" xfId="792" applyNumberFormat="1" applyFont="1" applyFill="1" applyBorder="1" applyAlignment="1">
      <alignment horizontal="center" vertical="center"/>
    </xf>
    <xf numFmtId="9" fontId="107" fillId="0" borderId="1" xfId="784" applyFont="1" applyFill="1" applyBorder="1" applyAlignment="1">
      <alignment horizontal="center" vertical="center"/>
    </xf>
    <xf numFmtId="0" fontId="130" fillId="13" borderId="1" xfId="814" applyFont="1" applyFill="1" applyBorder="1" applyAlignment="1">
      <alignment vertical="center" wrapText="1"/>
    </xf>
    <xf numFmtId="0" fontId="130" fillId="14" borderId="1" xfId="814" applyFont="1" applyFill="1" applyBorder="1" applyAlignment="1">
      <alignment vertical="center" wrapText="1"/>
    </xf>
    <xf numFmtId="189" fontId="130" fillId="14" borderId="1" xfId="814" applyNumberFormat="1" applyFont="1" applyFill="1" applyBorder="1" applyAlignment="1">
      <alignment vertical="center" wrapText="1"/>
    </xf>
    <xf numFmtId="0" fontId="127" fillId="0" borderId="23" xfId="814" applyFont="1" applyBorder="1" applyAlignment="1">
      <alignment horizontal="center" vertical="center" wrapText="1"/>
    </xf>
    <xf numFmtId="9" fontId="107" fillId="0" borderId="0" xfId="563" applyNumberFormat="1" applyBorder="1"/>
    <xf numFmtId="0" fontId="127" fillId="0" borderId="1" xfId="814" applyFont="1" applyBorder="1" applyAlignment="1">
      <alignment horizontal="center" vertical="center" wrapText="1"/>
    </xf>
    <xf numFmtId="0" fontId="107" fillId="0" borderId="0" xfId="563"/>
    <xf numFmtId="0" fontId="107" fillId="0" borderId="0" xfId="563" applyAlignment="1">
      <alignment horizontal="center"/>
    </xf>
    <xf numFmtId="9" fontId="127" fillId="0" borderId="1" xfId="814" applyNumberFormat="1" applyFont="1" applyBorder="1" applyAlignment="1">
      <alignment horizontal="center" vertical="center" wrapText="1"/>
    </xf>
    <xf numFmtId="9" fontId="127" fillId="0" borderId="1" xfId="814" applyNumberFormat="1" applyFont="1" applyBorder="1" applyAlignment="1">
      <alignment horizontal="center" vertical="center"/>
    </xf>
    <xf numFmtId="0" fontId="127" fillId="0" borderId="1" xfId="814" applyFont="1" applyBorder="1" applyAlignment="1">
      <alignment horizontal="center" vertical="center"/>
    </xf>
    <xf numFmtId="0" fontId="107" fillId="0" borderId="0" xfId="814" applyBorder="1"/>
    <xf numFmtId="0" fontId="107" fillId="0" borderId="0" xfId="563" applyAlignment="1">
      <alignment horizontal="center" vertical="center"/>
    </xf>
    <xf numFmtId="0" fontId="127" fillId="0" borderId="0" xfId="814" applyNumberFormat="1" applyFont="1" applyFill="1" applyBorder="1" applyAlignment="1">
      <alignment vertical="center"/>
    </xf>
    <xf numFmtId="189" fontId="132" fillId="0" borderId="1" xfId="642" applyNumberFormat="1" applyFont="1" applyBorder="1" applyAlignment="1">
      <alignment horizontal="center" vertical="center"/>
    </xf>
    <xf numFmtId="1" fontId="127" fillId="0" borderId="0" xfId="814" applyNumberFormat="1" applyFont="1" applyFill="1" applyBorder="1" applyAlignment="1">
      <alignment vertical="center"/>
    </xf>
    <xf numFmtId="0" fontId="107" fillId="0" borderId="0" xfId="814" applyBorder="1" applyAlignment="1">
      <alignment horizontal="center" vertical="center"/>
    </xf>
    <xf numFmtId="0" fontId="107" fillId="0" borderId="0" xfId="814" applyAlignment="1">
      <alignment horizontal="center" vertical="center"/>
    </xf>
    <xf numFmtId="177" fontId="127" fillId="15" borderId="1" xfId="814" applyNumberFormat="1" applyFont="1" applyFill="1" applyBorder="1" applyAlignment="1">
      <alignment horizontal="center" vertical="center"/>
    </xf>
    <xf numFmtId="0" fontId="127" fillId="15" borderId="1" xfId="814" applyFont="1" applyFill="1" applyBorder="1" applyAlignment="1">
      <alignment horizontal="center" vertical="center"/>
    </xf>
    <xf numFmtId="9" fontId="128" fillId="0" borderId="1" xfId="986" applyFont="1" applyFill="1" applyBorder="1" applyAlignment="1">
      <alignment horizontal="center" vertical="center"/>
    </xf>
    <xf numFmtId="0" fontId="0" fillId="0" borderId="1" xfId="0" applyNumberFormat="1" applyFill="1" applyBorder="1" applyAlignment="1">
      <alignment horizontal="center" vertical="center"/>
    </xf>
    <xf numFmtId="0" fontId="107" fillId="0" borderId="1" xfId="0" applyFont="1" applyBorder="1" applyAlignment="1">
      <alignment vertical="center" wrapText="1"/>
    </xf>
    <xf numFmtId="189" fontId="107" fillId="0" borderId="1" xfId="840" applyNumberFormat="1" applyBorder="1" applyAlignment="1">
      <alignment vertical="center" wrapText="1"/>
    </xf>
    <xf numFmtId="0" fontId="130" fillId="13" borderId="1" xfId="840" applyFont="1" applyFill="1" applyBorder="1" applyAlignment="1">
      <alignment vertical="center" wrapText="1"/>
    </xf>
    <xf numFmtId="0" fontId="130" fillId="14" borderId="1" xfId="840" applyFont="1" applyFill="1" applyBorder="1" applyAlignment="1">
      <alignment vertical="center" wrapText="1"/>
    </xf>
    <xf numFmtId="189" fontId="130" fillId="14" borderId="1" xfId="840" applyNumberFormat="1" applyFont="1" applyFill="1" applyBorder="1" applyAlignment="1">
      <alignment vertical="center" wrapText="1"/>
    </xf>
    <xf numFmtId="9" fontId="107" fillId="0" borderId="26" xfId="784" applyFont="1" applyFill="1" applyBorder="1" applyAlignment="1">
      <alignment horizontal="right" vertical="center"/>
    </xf>
    <xf numFmtId="0" fontId="127" fillId="8" borderId="11" xfId="566" applyFont="1" applyFill="1" applyBorder="1" applyAlignment="1">
      <alignment vertical="center"/>
    </xf>
    <xf numFmtId="0" fontId="127" fillId="8" borderId="12" xfId="566" applyFont="1" applyFill="1" applyBorder="1" applyAlignment="1">
      <alignment vertical="center"/>
    </xf>
    <xf numFmtId="0" fontId="127" fillId="8" borderId="17" xfId="566" applyFont="1" applyFill="1" applyBorder="1" applyAlignment="1">
      <alignment vertical="center"/>
    </xf>
    <xf numFmtId="0" fontId="127" fillId="8" borderId="18" xfId="566" applyFont="1" applyFill="1" applyBorder="1" applyAlignment="1">
      <alignment vertical="center"/>
    </xf>
    <xf numFmtId="189" fontId="116" fillId="0" borderId="0" xfId="574" applyNumberFormat="1" applyFont="1" applyBorder="1" applyAlignment="1">
      <alignment horizontal="center" vertical="center"/>
    </xf>
    <xf numFmtId="189" fontId="132" fillId="0" borderId="0" xfId="574" applyNumberFormat="1" applyFont="1" applyBorder="1" applyAlignment="1">
      <alignment vertical="center"/>
    </xf>
    <xf numFmtId="0" fontId="106" fillId="0" borderId="1" xfId="574" applyFont="1" applyBorder="1" applyAlignment="1">
      <alignment horizontal="center" vertical="center"/>
    </xf>
    <xf numFmtId="189" fontId="116" fillId="0" borderId="1" xfId="574" applyNumberFormat="1" applyFont="1" applyBorder="1" applyAlignment="1">
      <alignment horizontal="center" vertical="center"/>
    </xf>
    <xf numFmtId="9" fontId="116" fillId="0" borderId="1" xfId="574" applyNumberFormat="1" applyFont="1" applyBorder="1" applyAlignment="1">
      <alignment horizontal="center" vertical="center"/>
    </xf>
    <xf numFmtId="0" fontId="127" fillId="0" borderId="1" xfId="574" applyFont="1" applyBorder="1" applyAlignment="1">
      <alignment horizontal="center" vertical="center"/>
    </xf>
    <xf numFmtId="189" fontId="132" fillId="0" borderId="1" xfId="574" applyNumberFormat="1" applyFont="1" applyBorder="1" applyAlignment="1">
      <alignment horizontal="center" vertical="center"/>
    </xf>
    <xf numFmtId="9" fontId="132" fillId="0" borderId="1" xfId="574" applyNumberFormat="1" applyFont="1" applyBorder="1" applyAlignment="1">
      <alignment horizontal="center" vertical="center"/>
    </xf>
    <xf numFmtId="9" fontId="107" fillId="0" borderId="0" xfId="814" applyNumberFormat="1"/>
    <xf numFmtId="0" fontId="128" fillId="0" borderId="22" xfId="568" applyFont="1" applyFill="1" applyBorder="1" applyAlignment="1">
      <alignment horizontal="center" vertical="center"/>
    </xf>
    <xf numFmtId="0" fontId="128" fillId="0" borderId="22" xfId="568" applyFont="1" applyFill="1" applyBorder="1" applyAlignment="1">
      <alignment horizontal="center" vertical="center" wrapText="1"/>
    </xf>
    <xf numFmtId="0" fontId="128" fillId="0" borderId="22" xfId="571" applyFont="1" applyFill="1" applyBorder="1" applyAlignment="1">
      <alignment horizontal="center" vertical="center"/>
    </xf>
    <xf numFmtId="171" fontId="128" fillId="0" borderId="22" xfId="571" applyNumberFormat="1" applyFont="1" applyFill="1" applyBorder="1" applyAlignment="1">
      <alignment horizontal="center" vertical="center"/>
    </xf>
    <xf numFmtId="9" fontId="128" fillId="0" borderId="22" xfId="998" applyFont="1" applyFill="1" applyBorder="1" applyAlignment="1">
      <alignment horizontal="center" vertical="center"/>
    </xf>
    <xf numFmtId="0" fontId="128" fillId="0" borderId="22" xfId="571" applyNumberFormat="1" applyFont="1" applyFill="1" applyBorder="1" applyAlignment="1">
      <alignment horizontal="center" vertical="center"/>
    </xf>
    <xf numFmtId="184" fontId="127" fillId="0" borderId="0" xfId="573" applyNumberFormat="1" applyFont="1" applyBorder="1" applyAlignment="1">
      <alignment vertical="center"/>
    </xf>
    <xf numFmtId="9" fontId="107" fillId="0" borderId="0" xfId="784" applyFont="1"/>
    <xf numFmtId="189" fontId="107" fillId="0" borderId="0" xfId="814" applyNumberFormat="1"/>
    <xf numFmtId="0" fontId="128" fillId="0" borderId="1" xfId="0" applyFont="1" applyFill="1" applyBorder="1" applyAlignment="1">
      <alignment horizontal="center" vertical="center" wrapText="1"/>
    </xf>
    <xf numFmtId="0" fontId="134" fillId="9" borderId="1" xfId="0" applyNumberFormat="1" applyFont="1" applyFill="1" applyBorder="1" applyAlignment="1">
      <alignment horizontal="center" vertical="center"/>
    </xf>
    <xf numFmtId="172" fontId="107" fillId="0" borderId="1" xfId="792" applyNumberFormat="1" applyFont="1" applyFill="1" applyBorder="1" applyAlignment="1">
      <alignment horizontal="center" vertical="center" wrapText="1"/>
    </xf>
    <xf numFmtId="9" fontId="107" fillId="0" borderId="1" xfId="784" applyFont="1" applyFill="1" applyBorder="1" applyAlignment="1">
      <alignment horizontal="center" vertical="center" wrapText="1"/>
    </xf>
    <xf numFmtId="0" fontId="0" fillId="0" borderId="1" xfId="0" applyNumberFormat="1" applyFill="1" applyBorder="1" applyAlignment="1">
      <alignment horizontal="center" vertical="center" wrapText="1"/>
    </xf>
    <xf numFmtId="14" fontId="59" fillId="0" borderId="0" xfId="855" applyNumberFormat="1" applyFont="1" applyAlignment="1">
      <alignment horizontal="center" vertical="center"/>
    </xf>
    <xf numFmtId="0" fontId="0" fillId="9" borderId="1" xfId="0" applyNumberFormat="1" applyFill="1" applyBorder="1" applyAlignment="1">
      <alignment horizontal="center" vertical="center"/>
    </xf>
    <xf numFmtId="0" fontId="0" fillId="0" borderId="0" xfId="0"/>
    <xf numFmtId="0" fontId="0" fillId="0" borderId="1" xfId="0" applyNumberFormat="1" applyBorder="1" applyAlignment="1">
      <alignment horizontal="center" vertical="center"/>
    </xf>
    <xf numFmtId="0" fontId="130" fillId="14" borderId="1" xfId="0" applyNumberFormat="1" applyFont="1" applyFill="1" applyBorder="1" applyAlignment="1">
      <alignment horizontal="center" vertical="center" wrapText="1"/>
    </xf>
    <xf numFmtId="0" fontId="127" fillId="0" borderId="23" xfId="0" applyFont="1" applyBorder="1" applyAlignment="1">
      <alignment horizontal="center" vertical="center" wrapText="1"/>
    </xf>
    <xf numFmtId="0" fontId="127" fillId="0" borderId="1" xfId="0" applyFont="1" applyBorder="1" applyAlignment="1">
      <alignment horizontal="center" vertical="center" wrapText="1"/>
    </xf>
    <xf numFmtId="9" fontId="127" fillId="0" borderId="1" xfId="0" applyNumberFormat="1" applyFont="1" applyBorder="1" applyAlignment="1">
      <alignment horizontal="center" vertical="center" wrapText="1"/>
    </xf>
    <xf numFmtId="9" fontId="127" fillId="0" borderId="1" xfId="0" applyNumberFormat="1" applyFont="1" applyBorder="1" applyAlignment="1">
      <alignment horizontal="center" vertical="center"/>
    </xf>
    <xf numFmtId="0" fontId="127" fillId="0" borderId="1" xfId="0" applyFont="1" applyBorder="1" applyAlignment="1">
      <alignment horizontal="center" vertical="center"/>
    </xf>
    <xf numFmtId="177" fontId="127" fillId="15" borderId="1" xfId="0" applyNumberFormat="1" applyFont="1" applyFill="1" applyBorder="1" applyAlignment="1">
      <alignment horizontal="center" vertical="center"/>
    </xf>
    <xf numFmtId="0" fontId="127" fillId="15" borderId="1" xfId="0" applyFont="1" applyFill="1" applyBorder="1" applyAlignment="1">
      <alignment horizontal="center" vertical="center"/>
    </xf>
    <xf numFmtId="0" fontId="0" fillId="0" borderId="1" xfId="0" applyNumberFormat="1" applyFill="1" applyBorder="1" applyAlignment="1">
      <alignment horizontal="center" vertical="center"/>
    </xf>
    <xf numFmtId="0" fontId="128" fillId="0" borderId="1" xfId="0" applyFont="1" applyFill="1" applyBorder="1" applyAlignment="1">
      <alignment horizontal="center" vertical="center"/>
    </xf>
    <xf numFmtId="0" fontId="0" fillId="9" borderId="1" xfId="0" applyNumberFormat="1" applyFill="1" applyBorder="1" applyAlignment="1">
      <alignment horizontal="center" vertical="center" wrapText="1"/>
    </xf>
    <xf numFmtId="172" fontId="107" fillId="9" borderId="1" xfId="792" applyNumberFormat="1" applyFont="1" applyFill="1" applyBorder="1" applyAlignment="1">
      <alignment horizontal="center" vertical="center" wrapText="1"/>
    </xf>
    <xf numFmtId="9" fontId="107" fillId="9" borderId="1" xfId="784" applyFont="1" applyFill="1" applyBorder="1" applyAlignment="1">
      <alignment horizontal="center" vertical="center" wrapText="1"/>
    </xf>
    <xf numFmtId="0" fontId="0" fillId="0" borderId="1" xfId="0" applyNumberFormat="1" applyBorder="1" applyAlignment="1">
      <alignment horizontal="center" vertical="center" wrapText="1"/>
    </xf>
    <xf numFmtId="172" fontId="107" fillId="0" borderId="1" xfId="792" applyNumberFormat="1" applyFont="1" applyBorder="1" applyAlignment="1">
      <alignment horizontal="center" vertical="center" wrapText="1"/>
    </xf>
    <xf numFmtId="9" fontId="107" fillId="0" borderId="1" xfId="784" applyFont="1" applyBorder="1" applyAlignment="1">
      <alignment horizontal="center" vertical="center" wrapText="1"/>
    </xf>
    <xf numFmtId="0" fontId="107" fillId="9" borderId="1" xfId="814"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27" fillId="8" borderId="11" xfId="824" applyFont="1" applyFill="1" applyBorder="1" applyAlignment="1">
      <alignment vertical="center"/>
    </xf>
    <xf numFmtId="0" fontId="127" fillId="8" borderId="17" xfId="824" applyFont="1" applyFill="1" applyBorder="1" applyAlignment="1">
      <alignment vertical="center"/>
    </xf>
    <xf numFmtId="0" fontId="115" fillId="0" borderId="0" xfId="569" applyFont="1" applyBorder="1" applyAlignment="1">
      <alignment vertical="center"/>
    </xf>
    <xf numFmtId="0" fontId="128" fillId="0" borderId="1" xfId="571" applyFont="1" applyFill="1" applyBorder="1" applyAlignment="1">
      <alignment horizontal="center" vertical="center"/>
    </xf>
    <xf numFmtId="171" fontId="128" fillId="0" borderId="1" xfId="571" applyNumberFormat="1" applyFont="1" applyFill="1" applyBorder="1" applyAlignment="1">
      <alignment horizontal="center" vertical="center"/>
    </xf>
    <xf numFmtId="0" fontId="128" fillId="0" borderId="1" xfId="571" applyNumberFormat="1" applyFont="1" applyFill="1" applyBorder="1" applyAlignment="1">
      <alignment horizontal="center" vertical="center"/>
    </xf>
    <xf numFmtId="172" fontId="107" fillId="0" borderId="1" xfId="792" applyNumberFormat="1" applyFont="1" applyBorder="1" applyAlignment="1">
      <alignment horizontal="center" vertical="center"/>
    </xf>
    <xf numFmtId="9" fontId="107" fillId="0" borderId="1" xfId="784" applyFont="1" applyBorder="1" applyAlignment="1">
      <alignment horizontal="center" vertical="center"/>
    </xf>
    <xf numFmtId="172" fontId="130" fillId="14" borderId="1" xfId="792" applyNumberFormat="1" applyFont="1" applyFill="1" applyBorder="1" applyAlignment="1">
      <alignment horizontal="center" vertical="center" wrapText="1"/>
    </xf>
    <xf numFmtId="9" fontId="130" fillId="14" borderId="1" xfId="784" applyFont="1" applyFill="1" applyBorder="1" applyAlignment="1">
      <alignment horizontal="center" vertical="center" wrapText="1"/>
    </xf>
    <xf numFmtId="172" fontId="130" fillId="14" borderId="1" xfId="784" applyNumberFormat="1" applyFont="1" applyFill="1" applyBorder="1" applyAlignment="1">
      <alignment horizontal="center" vertical="center" wrapText="1"/>
    </xf>
    <xf numFmtId="0" fontId="107" fillId="0" borderId="0" xfId="568"/>
    <xf numFmtId="184" fontId="127" fillId="0" borderId="1" xfId="573" applyNumberFormat="1" applyFont="1" applyBorder="1" applyAlignment="1">
      <alignment vertical="center"/>
    </xf>
    <xf numFmtId="184" fontId="127" fillId="0" borderId="21" xfId="573" applyNumberFormat="1" applyFont="1" applyBorder="1" applyAlignment="1">
      <alignment vertical="center"/>
    </xf>
    <xf numFmtId="0" fontId="106" fillId="0" borderId="0" xfId="567" applyFont="1" applyFill="1" applyAlignment="1">
      <alignment horizontal="left" vertical="center" wrapText="1"/>
    </xf>
    <xf numFmtId="0" fontId="131" fillId="0" borderId="0" xfId="568" applyFont="1"/>
    <xf numFmtId="0" fontId="106" fillId="15" borderId="0" xfId="567" applyFont="1" applyFill="1" applyAlignment="1">
      <alignment horizontal="left" vertical="center" wrapText="1"/>
    </xf>
    <xf numFmtId="0" fontId="133" fillId="0" borderId="1" xfId="568" applyFont="1" applyBorder="1" applyAlignment="1">
      <alignment horizontal="center" vertical="center"/>
    </xf>
    <xf numFmtId="0" fontId="133" fillId="0" borderId="1" xfId="568" applyFont="1" applyBorder="1" applyAlignment="1">
      <alignment horizontal="center" vertical="center" wrapText="1"/>
    </xf>
    <xf numFmtId="0" fontId="127" fillId="8" borderId="12" xfId="824" applyFont="1" applyFill="1" applyBorder="1" applyAlignment="1">
      <alignment vertical="center"/>
    </xf>
    <xf numFmtId="0" fontId="107" fillId="0" borderId="0" xfId="814"/>
    <xf numFmtId="0" fontId="127" fillId="8" borderId="18" xfId="824" applyFont="1" applyFill="1" applyBorder="1" applyAlignment="1">
      <alignment vertical="center"/>
    </xf>
    <xf numFmtId="0" fontId="107" fillId="0" borderId="1" xfId="814" applyBorder="1" applyAlignment="1">
      <alignment horizontal="center" vertical="center" wrapText="1"/>
    </xf>
    <xf numFmtId="189" fontId="107" fillId="0" borderId="1" xfId="814" applyNumberFormat="1" applyBorder="1" applyAlignment="1">
      <alignment vertical="center" wrapText="1"/>
    </xf>
    <xf numFmtId="0" fontId="107" fillId="0" borderId="1" xfId="814" applyNumberFormat="1" applyFill="1" applyBorder="1" applyAlignment="1">
      <alignment horizontal="center" vertical="center"/>
    </xf>
    <xf numFmtId="172" fontId="107" fillId="0" borderId="1" xfId="792" applyNumberFormat="1" applyFont="1" applyFill="1" applyBorder="1" applyAlignment="1">
      <alignment horizontal="center" vertical="center"/>
    </xf>
    <xf numFmtId="9" fontId="107" fillId="0" borderId="1" xfId="784" applyFont="1" applyFill="1" applyBorder="1" applyAlignment="1">
      <alignment horizontal="center" vertical="center"/>
    </xf>
    <xf numFmtId="0" fontId="130" fillId="13" borderId="1" xfId="814" applyFont="1" applyFill="1" applyBorder="1" applyAlignment="1">
      <alignment vertical="center" wrapText="1"/>
    </xf>
    <xf numFmtId="0" fontId="130" fillId="14" borderId="1" xfId="814" applyFont="1" applyFill="1" applyBorder="1" applyAlignment="1">
      <alignment horizontal="center" vertical="center" wrapText="1"/>
    </xf>
    <xf numFmtId="0" fontId="130" fillId="14" borderId="1" xfId="814" applyFont="1" applyFill="1" applyBorder="1" applyAlignment="1">
      <alignment vertical="center" wrapText="1"/>
    </xf>
    <xf numFmtId="189" fontId="130" fillId="14" borderId="1" xfId="814" applyNumberFormat="1" applyFont="1" applyFill="1" applyBorder="1" applyAlignment="1">
      <alignment vertical="center" wrapText="1"/>
    </xf>
    <xf numFmtId="0" fontId="130" fillId="14" borderId="1" xfId="814" applyNumberFormat="1" applyFont="1" applyFill="1" applyBorder="1" applyAlignment="1">
      <alignment horizontal="center" vertical="center" wrapText="1"/>
    </xf>
    <xf numFmtId="9" fontId="107" fillId="0" borderId="0" xfId="563" applyNumberFormat="1" applyBorder="1"/>
    <xf numFmtId="0" fontId="107" fillId="0" borderId="0" xfId="563"/>
    <xf numFmtId="0" fontId="106" fillId="0" borderId="1" xfId="574" applyFont="1" applyBorder="1" applyAlignment="1">
      <alignment horizontal="center" vertical="center"/>
    </xf>
    <xf numFmtId="189" fontId="116" fillId="0" borderId="1" xfId="574" applyNumberFormat="1" applyFont="1" applyBorder="1" applyAlignment="1">
      <alignment horizontal="center" vertical="center"/>
    </xf>
    <xf numFmtId="9" fontId="116" fillId="0" borderId="1" xfId="574" applyNumberFormat="1" applyFont="1" applyBorder="1" applyAlignment="1">
      <alignment horizontal="center" vertical="center"/>
    </xf>
    <xf numFmtId="0" fontId="127" fillId="0" borderId="1" xfId="574" applyFont="1" applyBorder="1" applyAlignment="1">
      <alignment horizontal="center" vertical="center"/>
    </xf>
    <xf numFmtId="189" fontId="132" fillId="0" borderId="1" xfId="574" applyNumberFormat="1" applyFont="1" applyBorder="1" applyAlignment="1">
      <alignment horizontal="center" vertical="center"/>
    </xf>
    <xf numFmtId="9" fontId="132" fillId="0" borderId="1" xfId="574" applyNumberFormat="1" applyFont="1" applyBorder="1" applyAlignment="1">
      <alignment horizontal="center" vertical="center"/>
    </xf>
    <xf numFmtId="0" fontId="128" fillId="0" borderId="1" xfId="814" applyFont="1" applyFill="1" applyBorder="1" applyAlignment="1">
      <alignment horizontal="center" vertical="center"/>
    </xf>
    <xf numFmtId="0" fontId="128" fillId="0" borderId="1" xfId="814" applyFont="1" applyFill="1" applyBorder="1" applyAlignment="1">
      <alignment horizontal="center" vertical="center" wrapText="1"/>
    </xf>
    <xf numFmtId="9" fontId="107" fillId="0" borderId="26" xfId="784" applyFont="1" applyFill="1" applyBorder="1" applyAlignment="1">
      <alignment horizontal="center" vertical="center"/>
    </xf>
    <xf numFmtId="0" fontId="107" fillId="0" borderId="0" xfId="814" applyAlignment="1">
      <alignment horizontal="center"/>
    </xf>
    <xf numFmtId="0" fontId="127" fillId="8" borderId="0" xfId="567" applyFont="1" applyFill="1" applyBorder="1" applyAlignment="1">
      <alignment horizontal="center" vertical="center"/>
    </xf>
    <xf numFmtId="0" fontId="0" fillId="0" borderId="1" xfId="0" applyBorder="1" applyAlignment="1">
      <alignment vertical="center" wrapText="1"/>
    </xf>
    <xf numFmtId="0" fontId="54" fillId="0" borderId="0" xfId="1476" applyFont="1" applyAlignment="1">
      <alignment horizontal="center" vertical="center"/>
    </xf>
    <xf numFmtId="0" fontId="54" fillId="0" borderId="0" xfId="1476" applyFont="1" applyFill="1" applyAlignment="1">
      <alignment horizontal="center" vertical="center"/>
    </xf>
    <xf numFmtId="1" fontId="54" fillId="0" borderId="0" xfId="1476" applyNumberFormat="1" applyFont="1" applyAlignment="1">
      <alignment horizontal="center" vertical="center"/>
    </xf>
    <xf numFmtId="0" fontId="111" fillId="0" borderId="0" xfId="1476" applyFont="1" applyAlignment="1">
      <alignment horizontal="center" vertical="center"/>
    </xf>
    <xf numFmtId="0" fontId="54" fillId="0" borderId="0" xfId="1476" applyFont="1" applyAlignment="1">
      <alignment horizontal="center" vertical="center" wrapText="1"/>
    </xf>
    <xf numFmtId="173" fontId="112" fillId="0" borderId="0" xfId="1477" applyNumberFormat="1" applyFont="1" applyAlignment="1">
      <alignment horizontal="center" vertical="center"/>
    </xf>
    <xf numFmtId="173" fontId="107" fillId="0" borderId="0" xfId="1477" applyNumberFormat="1" applyFont="1" applyAlignment="1">
      <alignment horizontal="center" vertical="center"/>
    </xf>
    <xf numFmtId="9" fontId="107" fillId="0" borderId="0" xfId="1478" applyFont="1" applyAlignment="1">
      <alignment horizontal="center" vertical="center"/>
    </xf>
    <xf numFmtId="1" fontId="113" fillId="9" borderId="1" xfId="1476" applyNumberFormat="1" applyFont="1" applyFill="1" applyBorder="1" applyAlignment="1">
      <alignment horizontal="center" vertical="center" wrapText="1"/>
    </xf>
    <xf numFmtId="1" fontId="113" fillId="9" borderId="2" xfId="1476" applyNumberFormat="1" applyFont="1" applyFill="1" applyBorder="1" applyAlignment="1">
      <alignment horizontal="center" vertical="center" wrapText="1"/>
    </xf>
    <xf numFmtId="0" fontId="113" fillId="9" borderId="2" xfId="1476" applyFont="1" applyFill="1" applyBorder="1" applyAlignment="1">
      <alignment horizontal="center" vertical="center" wrapText="1"/>
    </xf>
    <xf numFmtId="0" fontId="113" fillId="9" borderId="1" xfId="1476" applyFont="1" applyFill="1" applyBorder="1" applyAlignment="1">
      <alignment horizontal="center" vertical="center" wrapText="1"/>
    </xf>
    <xf numFmtId="173" fontId="113" fillId="9" borderId="1" xfId="1477" applyNumberFormat="1" applyFont="1" applyFill="1" applyBorder="1" applyAlignment="1">
      <alignment horizontal="center" vertical="center" wrapText="1"/>
    </xf>
    <xf numFmtId="173" fontId="114" fillId="9" borderId="1" xfId="1477" applyNumberFormat="1" applyFont="1" applyFill="1" applyBorder="1" applyAlignment="1">
      <alignment horizontal="center" vertical="center" wrapText="1"/>
    </xf>
    <xf numFmtId="173" fontId="114" fillId="12" borderId="1" xfId="1477" applyNumberFormat="1" applyFont="1" applyFill="1" applyBorder="1" applyAlignment="1">
      <alignment horizontal="center" vertical="center" wrapText="1"/>
    </xf>
    <xf numFmtId="9" fontId="114" fillId="9" borderId="1" xfId="1478" applyFont="1" applyFill="1" applyBorder="1" applyAlignment="1">
      <alignment horizontal="center" vertical="center" wrapText="1"/>
    </xf>
    <xf numFmtId="174" fontId="114" fillId="9" borderId="1" xfId="1476" applyNumberFormat="1" applyFont="1" applyFill="1" applyBorder="1" applyAlignment="1">
      <alignment horizontal="center" vertical="center" wrapText="1"/>
    </xf>
    <xf numFmtId="173" fontId="114" fillId="16" borderId="1" xfId="1477" applyNumberFormat="1" applyFont="1" applyFill="1" applyBorder="1" applyAlignment="1">
      <alignment horizontal="center" vertical="center" wrapText="1"/>
    </xf>
    <xf numFmtId="0" fontId="54" fillId="0" borderId="0" xfId="1476" quotePrefix="1" applyFont="1" applyFill="1" applyAlignment="1">
      <alignment horizontal="center" vertical="center"/>
    </xf>
    <xf numFmtId="0" fontId="112" fillId="0" borderId="1" xfId="1476" applyFont="1" applyFill="1" applyBorder="1" applyAlignment="1">
      <alignment horizontal="center" vertical="center" wrapText="1"/>
    </xf>
    <xf numFmtId="1" fontId="112" fillId="0" borderId="1" xfId="1476" applyNumberFormat="1" applyFont="1" applyFill="1" applyBorder="1" applyAlignment="1">
      <alignment horizontal="center" vertical="center" wrapText="1"/>
    </xf>
    <xf numFmtId="1" fontId="54" fillId="0" borderId="0" xfId="1476" applyNumberFormat="1" applyFont="1" applyFill="1" applyAlignment="1">
      <alignment horizontal="center" vertical="center"/>
    </xf>
    <xf numFmtId="9" fontId="107" fillId="0" borderId="0" xfId="1478" applyFont="1" applyFill="1" applyAlignment="1">
      <alignment horizontal="center" vertical="center"/>
    </xf>
    <xf numFmtId="1" fontId="54" fillId="0" borderId="0" xfId="1476" applyNumberFormat="1" applyFont="1" applyFill="1" applyBorder="1" applyAlignment="1">
      <alignment horizontal="center" vertical="center"/>
    </xf>
    <xf numFmtId="0" fontId="54" fillId="0" borderId="0" xfId="1476" applyFont="1" applyFill="1" applyBorder="1" applyAlignment="1">
      <alignment horizontal="center" vertical="center"/>
    </xf>
    <xf numFmtId="0" fontId="54" fillId="0" borderId="0" xfId="1476" applyFont="1" applyFill="1" applyBorder="1" applyAlignment="1">
      <alignment horizontal="center" vertical="center" wrapText="1"/>
    </xf>
    <xf numFmtId="164" fontId="107" fillId="0" borderId="0" xfId="1479" applyNumberFormat="1" applyFont="1" applyFill="1" applyBorder="1" applyAlignment="1">
      <alignment horizontal="center" vertical="center"/>
    </xf>
    <xf numFmtId="164" fontId="115" fillId="0" borderId="0" xfId="1479" applyNumberFormat="1" applyFont="1" applyFill="1" applyBorder="1" applyAlignment="1">
      <alignment horizontal="center" vertical="center"/>
    </xf>
    <xf numFmtId="9" fontId="115" fillId="0" borderId="0" xfId="1478" applyFont="1" applyFill="1" applyBorder="1" applyAlignment="1">
      <alignment horizontal="center" vertical="center"/>
    </xf>
    <xf numFmtId="0" fontId="54" fillId="0" borderId="0" xfId="1476" applyFont="1" applyFill="1" applyAlignment="1">
      <alignment horizontal="center" vertical="center" wrapText="1"/>
    </xf>
    <xf numFmtId="164" fontId="107" fillId="0" borderId="0" xfId="1479" applyNumberFormat="1" applyFont="1" applyFill="1" applyAlignment="1">
      <alignment horizontal="center" vertical="center"/>
    </xf>
    <xf numFmtId="164" fontId="115" fillId="9" borderId="1" xfId="1479" applyNumberFormat="1" applyFont="1" applyFill="1" applyBorder="1" applyAlignment="1">
      <alignment horizontal="center" vertical="center"/>
    </xf>
    <xf numFmtId="164" fontId="107" fillId="0" borderId="0" xfId="1479" applyNumberFormat="1" applyFont="1" applyAlignment="1">
      <alignment horizontal="center" vertical="center"/>
    </xf>
    <xf numFmtId="0" fontId="53" fillId="0" borderId="0" xfId="1476" applyFont="1" applyFill="1" applyBorder="1" applyAlignment="1">
      <alignment horizontal="center" vertical="center"/>
    </xf>
    <xf numFmtId="0" fontId="127" fillId="8" borderId="0" xfId="567" applyFont="1" applyFill="1" applyBorder="1" applyAlignment="1">
      <alignment horizontal="center" vertical="center"/>
    </xf>
    <xf numFmtId="0" fontId="107" fillId="0" borderId="1" xfId="814" applyBorder="1" applyAlignment="1">
      <alignment vertical="center" wrapText="1"/>
    </xf>
    <xf numFmtId="9" fontId="128" fillId="0" borderId="1" xfId="1481" applyFont="1" applyFill="1" applyBorder="1" applyAlignment="1">
      <alignment horizontal="center" vertical="center"/>
    </xf>
    <xf numFmtId="190" fontId="116" fillId="0" borderId="1" xfId="574" applyNumberFormat="1" applyFont="1" applyBorder="1" applyAlignment="1">
      <alignment horizontal="center" vertical="center"/>
    </xf>
    <xf numFmtId="190" fontId="132" fillId="0" borderId="1" xfId="574" applyNumberFormat="1" applyFont="1" applyBorder="1" applyAlignment="1">
      <alignment horizontal="center" vertical="center"/>
    </xf>
    <xf numFmtId="0" fontId="127" fillId="8" borderId="0" xfId="567" applyFont="1" applyFill="1" applyBorder="1" applyAlignment="1">
      <alignment horizontal="center" vertical="center"/>
    </xf>
    <xf numFmtId="0" fontId="107" fillId="0" borderId="1" xfId="814" applyBorder="1" applyAlignment="1">
      <alignment vertical="center" wrapText="1"/>
    </xf>
    <xf numFmtId="9" fontId="77" fillId="0" borderId="0" xfId="1483" applyFont="1" applyAlignment="1">
      <alignment horizontal="center" vertical="center"/>
    </xf>
    <xf numFmtId="0" fontId="137" fillId="13" borderId="1" xfId="0" applyFont="1" applyFill="1" applyBorder="1" applyAlignment="1">
      <alignment vertical="center" wrapText="1"/>
    </xf>
    <xf numFmtId="0" fontId="137" fillId="14" borderId="1" xfId="0" applyFont="1" applyFill="1" applyBorder="1" applyAlignment="1">
      <alignment vertical="center" wrapText="1"/>
    </xf>
    <xf numFmtId="189" fontId="137" fillId="14" borderId="1" xfId="0" applyNumberFormat="1" applyFont="1" applyFill="1" applyBorder="1" applyAlignment="1">
      <alignment vertical="center" wrapText="1"/>
    </xf>
    <xf numFmtId="0" fontId="140" fillId="0" borderId="0" xfId="1580" applyFont="1" applyAlignment="1">
      <alignment vertical="center"/>
    </xf>
    <xf numFmtId="14" fontId="140" fillId="19" borderId="23" xfId="1500" applyNumberFormat="1" applyFont="1" applyFill="1" applyBorder="1" applyAlignment="1">
      <alignment horizontal="center" vertical="center" wrapText="1"/>
    </xf>
    <xf numFmtId="0" fontId="140" fillId="19" borderId="22" xfId="1500" applyFont="1" applyFill="1" applyBorder="1" applyAlignment="1">
      <alignment horizontal="center" vertical="center" wrapText="1"/>
    </xf>
    <xf numFmtId="0" fontId="140" fillId="22" borderId="1" xfId="1580" applyFont="1" applyFill="1" applyBorder="1" applyAlignment="1">
      <alignment vertical="center"/>
    </xf>
    <xf numFmtId="9" fontId="140" fillId="22" borderId="1" xfId="1699" applyFont="1" applyFill="1" applyBorder="1" applyAlignment="1">
      <alignment vertical="center"/>
    </xf>
    <xf numFmtId="0" fontId="139" fillId="0" borderId="0" xfId="1580" applyFont="1" applyAlignment="1">
      <alignment vertical="center"/>
    </xf>
    <xf numFmtId="0" fontId="139" fillId="0" borderId="4" xfId="1580" applyFont="1" applyBorder="1" applyAlignment="1">
      <alignment vertical="center"/>
    </xf>
    <xf numFmtId="9" fontId="139" fillId="0" borderId="1" xfId="1699" applyFont="1" applyBorder="1" applyAlignment="1">
      <alignment vertical="center"/>
    </xf>
    <xf numFmtId="0" fontId="140" fillId="22" borderId="1" xfId="1580" applyFont="1" applyFill="1" applyBorder="1" applyAlignment="1">
      <alignment horizontal="center" vertical="center"/>
    </xf>
    <xf numFmtId="0" fontId="113" fillId="9" borderId="1" xfId="1517" applyFont="1" applyFill="1" applyBorder="1" applyAlignment="1">
      <alignment horizontal="center" vertical="center" wrapText="1"/>
    </xf>
    <xf numFmtId="0" fontId="112" fillId="0" borderId="1" xfId="1517" applyFont="1" applyFill="1" applyBorder="1" applyAlignment="1">
      <alignment horizontal="center" vertical="center" wrapText="1"/>
    </xf>
    <xf numFmtId="0" fontId="139" fillId="0" borderId="1" xfId="1580" applyFont="1" applyBorder="1" applyAlignment="1">
      <alignment horizontal="left" vertical="center" wrapText="1"/>
    </xf>
    <xf numFmtId="174" fontId="114" fillId="9" borderId="1" xfId="1570" applyNumberFormat="1" applyFont="1" applyFill="1" applyBorder="1" applyAlignment="1">
      <alignment horizontal="center" vertical="center" wrapText="1"/>
    </xf>
    <xf numFmtId="0" fontId="47" fillId="8" borderId="1" xfId="1570" applyFont="1" applyFill="1" applyBorder="1" applyAlignment="1">
      <alignment horizontal="center" vertical="center"/>
    </xf>
    <xf numFmtId="0" fontId="112" fillId="0" borderId="1" xfId="1570" applyFont="1" applyFill="1" applyBorder="1" applyAlignment="1">
      <alignment horizontal="center" vertical="center" wrapText="1"/>
    </xf>
    <xf numFmtId="0" fontId="47" fillId="0" borderId="1" xfId="1570" applyFont="1" applyFill="1" applyBorder="1" applyAlignment="1">
      <alignment horizontal="center" vertical="center"/>
    </xf>
    <xf numFmtId="0" fontId="138" fillId="0" borderId="1" xfId="1570" applyFont="1" applyFill="1" applyBorder="1" applyAlignment="1">
      <alignment horizontal="center" vertical="center" wrapText="1"/>
    </xf>
    <xf numFmtId="0" fontId="47" fillId="17" borderId="1" xfId="1570" applyFont="1" applyFill="1" applyBorder="1" applyAlignment="1">
      <alignment horizontal="center" vertical="center"/>
    </xf>
    <xf numFmtId="0" fontId="112" fillId="0" borderId="1" xfId="1570" applyFont="1" applyFill="1" applyBorder="1" applyAlignment="1">
      <alignment horizontal="center" vertical="center" wrapText="1"/>
    </xf>
    <xf numFmtId="0" fontId="122" fillId="0" borderId="0" xfId="1580" applyFont="1"/>
    <xf numFmtId="0" fontId="139" fillId="0" borderId="1" xfId="1580" applyFont="1" applyBorder="1" applyAlignment="1">
      <alignment vertical="center"/>
    </xf>
    <xf numFmtId="0" fontId="47" fillId="0" borderId="1" xfId="1570" applyFont="1" applyFill="1" applyBorder="1" applyAlignment="1">
      <alignment horizontal="center" vertical="center"/>
    </xf>
    <xf numFmtId="0" fontId="112" fillId="18" borderId="1" xfId="1570" applyFont="1" applyFill="1" applyBorder="1" applyAlignment="1">
      <alignment horizontal="center" vertical="center" wrapText="1"/>
    </xf>
    <xf numFmtId="0" fontId="47" fillId="18" borderId="1" xfId="1570" applyFont="1" applyFill="1" applyBorder="1" applyAlignment="1">
      <alignment horizontal="center" vertical="center"/>
    </xf>
    <xf numFmtId="0" fontId="112" fillId="0" borderId="1" xfId="1570" applyFont="1" applyFill="1" applyBorder="1" applyAlignment="1">
      <alignment horizontal="center" vertical="center" wrapText="1"/>
    </xf>
    <xf numFmtId="0" fontId="127" fillId="19" borderId="26" xfId="1500" applyFont="1" applyFill="1" applyBorder="1" applyAlignment="1">
      <alignment horizontal="center" vertical="center" wrapText="1"/>
    </xf>
    <xf numFmtId="0" fontId="112" fillId="0" borderId="1" xfId="1570" applyFont="1" applyFill="1" applyBorder="1" applyAlignment="1">
      <alignment horizontal="center" vertical="center" wrapText="1"/>
    </xf>
    <xf numFmtId="0" fontId="47" fillId="0" borderId="1" xfId="1570" applyFont="1" applyFill="1" applyBorder="1" applyAlignment="1">
      <alignment horizontal="center" vertical="center"/>
    </xf>
    <xf numFmtId="0" fontId="0" fillId="9" borderId="1" xfId="0" applyNumberFormat="1" applyFill="1" applyBorder="1" applyAlignment="1">
      <alignment horizontal="center" vertical="center"/>
    </xf>
    <xf numFmtId="172" fontId="130" fillId="14" borderId="1" xfId="792" applyNumberFormat="1" applyFont="1" applyFill="1" applyBorder="1" applyAlignment="1">
      <alignment horizontal="center" vertical="center" wrapText="1"/>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12" fillId="0" borderId="1" xfId="1570" applyFont="1" applyFill="1" applyBorder="1" applyAlignment="1">
      <alignment horizontal="center" vertical="center"/>
    </xf>
    <xf numFmtId="0" fontId="107" fillId="9" borderId="1" xfId="814" applyNumberFormat="1" applyFill="1" applyBorder="1" applyAlignment="1">
      <alignment horizontal="center" vertical="center"/>
    </xf>
    <xf numFmtId="0" fontId="127" fillId="8" borderId="0" xfId="567" applyFont="1" applyFill="1" applyBorder="1" applyAlignment="1">
      <alignment horizontal="center" vertical="center"/>
    </xf>
    <xf numFmtId="0" fontId="107" fillId="0" borderId="1" xfId="814" applyBorder="1" applyAlignment="1">
      <alignment vertical="center" wrapText="1"/>
    </xf>
    <xf numFmtId="184" fontId="139" fillId="0" borderId="1" xfId="1655" applyNumberFormat="1" applyFont="1" applyBorder="1" applyAlignment="1">
      <alignment vertical="center"/>
    </xf>
    <xf numFmtId="0" fontId="130" fillId="14" borderId="2" xfId="0" applyNumberFormat="1" applyFont="1" applyFill="1" applyBorder="1" applyAlignment="1">
      <alignment horizontal="center" vertical="center" wrapText="1"/>
    </xf>
    <xf numFmtId="9" fontId="107" fillId="0" borderId="22" xfId="784" applyFont="1" applyFill="1" applyBorder="1" applyAlignment="1">
      <alignment horizontal="center" vertical="center"/>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07" fillId="0" borderId="1" xfId="840" applyBorder="1" applyAlignment="1">
      <alignment vertical="center" wrapText="1"/>
    </xf>
    <xf numFmtId="0" fontId="0" fillId="0" borderId="0" xfId="0"/>
    <xf numFmtId="0" fontId="0" fillId="9" borderId="1" xfId="0"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30" fillId="14" borderId="1" xfId="0" applyNumberFormat="1" applyFont="1" applyFill="1" applyBorder="1" applyAlignment="1">
      <alignment horizontal="center" vertical="center" wrapText="1"/>
    </xf>
    <xf numFmtId="172" fontId="130" fillId="14" borderId="1" xfId="792" applyNumberFormat="1" applyFont="1" applyFill="1" applyBorder="1" applyAlignment="1">
      <alignment horizontal="center" vertical="center" wrapText="1"/>
    </xf>
    <xf numFmtId="9" fontId="130" fillId="14" borderId="1" xfId="784" applyFont="1" applyFill="1" applyBorder="1" applyAlignment="1">
      <alignment horizontal="center" vertical="center" wrapText="1"/>
    </xf>
    <xf numFmtId="0" fontId="0" fillId="9" borderId="1" xfId="0" applyNumberFormat="1" applyFill="1" applyBorder="1" applyAlignment="1">
      <alignment horizontal="center" vertical="center" wrapText="1"/>
    </xf>
    <xf numFmtId="172" fontId="107" fillId="9" borderId="1" xfId="792" applyNumberFormat="1" applyFont="1" applyFill="1" applyBorder="1" applyAlignment="1">
      <alignment horizontal="center" vertical="center" wrapText="1"/>
    </xf>
    <xf numFmtId="9" fontId="107" fillId="9" borderId="1" xfId="784" applyFont="1" applyFill="1" applyBorder="1" applyAlignment="1">
      <alignment horizontal="center" vertical="center" wrapText="1"/>
    </xf>
    <xf numFmtId="0" fontId="127" fillId="8" borderId="0" xfId="567" applyFont="1"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9" fontId="0" fillId="0" borderId="0" xfId="0" applyNumberFormat="1"/>
    <xf numFmtId="0" fontId="107" fillId="0" borderId="1" xfId="814" applyBorder="1" applyAlignment="1">
      <alignment vertical="center" wrapText="1"/>
    </xf>
    <xf numFmtId="0" fontId="107" fillId="0" borderId="1" xfId="814" applyBorder="1" applyAlignment="1">
      <alignment vertical="top" wrapText="1"/>
    </xf>
    <xf numFmtId="171" fontId="121" fillId="2" borderId="1" xfId="849" applyNumberFormat="1" applyFont="1" applyBorder="1" applyAlignment="1">
      <alignment horizontal="center" vertical="center"/>
    </xf>
    <xf numFmtId="188" fontId="121" fillId="2" borderId="1" xfId="849" applyNumberFormat="1" applyFont="1" applyBorder="1" applyAlignment="1">
      <alignment horizontal="center" vertical="center" wrapText="1"/>
    </xf>
    <xf numFmtId="0" fontId="121" fillId="4" borderId="1" xfId="851" applyFont="1" applyBorder="1" applyAlignment="1">
      <alignment horizontal="center" vertical="center"/>
    </xf>
    <xf numFmtId="171" fontId="123" fillId="0" borderId="1" xfId="848" applyNumberFormat="1" applyFont="1" applyFill="1" applyBorder="1" applyAlignment="1">
      <alignment horizontal="center" vertical="center"/>
    </xf>
    <xf numFmtId="9" fontId="123" fillId="0" borderId="1" xfId="848" applyNumberFormat="1" applyFont="1" applyFill="1" applyBorder="1" applyAlignment="1">
      <alignment horizontal="center" vertical="center"/>
    </xf>
    <xf numFmtId="0" fontId="121" fillId="6" borderId="1" xfId="853" applyFont="1" applyBorder="1" applyAlignment="1">
      <alignment horizontal="center" vertical="center"/>
    </xf>
    <xf numFmtId="0" fontId="121" fillId="7" borderId="1" xfId="854" applyFont="1" applyBorder="1" applyAlignment="1">
      <alignment horizontal="center" vertical="center"/>
    </xf>
    <xf numFmtId="172" fontId="119" fillId="0" borderId="1" xfId="792" applyNumberFormat="1" applyFont="1" applyFill="1" applyBorder="1" applyAlignment="1" applyProtection="1">
      <alignment horizontal="left" vertical="center"/>
    </xf>
    <xf numFmtId="0" fontId="121" fillId="3" borderId="1" xfId="850" applyFont="1" applyBorder="1" applyAlignment="1">
      <alignment horizontal="center" vertical="center"/>
    </xf>
    <xf numFmtId="0" fontId="121" fillId="11" borderId="1" xfId="852" applyFont="1" applyFill="1" applyBorder="1" applyAlignment="1">
      <alignment horizontal="center" vertical="center"/>
    </xf>
    <xf numFmtId="171" fontId="124" fillId="11" borderId="1" xfId="848" applyNumberFormat="1" applyFont="1" applyFill="1" applyBorder="1" applyAlignment="1">
      <alignment horizontal="center" vertical="center"/>
    </xf>
    <xf numFmtId="9" fontId="124" fillId="11" borderId="1" xfId="848" applyNumberFormat="1" applyFont="1" applyFill="1" applyBorder="1" applyAlignment="1">
      <alignment horizontal="center" vertical="center"/>
    </xf>
    <xf numFmtId="9" fontId="123" fillId="11" borderId="1" xfId="848" applyNumberFormat="1" applyFont="1" applyFill="1" applyBorder="1" applyAlignment="1">
      <alignment horizontal="center" vertical="center"/>
    </xf>
    <xf numFmtId="9" fontId="107" fillId="0" borderId="0" xfId="1483" applyFont="1" applyAlignment="1">
      <alignment horizontal="center"/>
    </xf>
    <xf numFmtId="189" fontId="107" fillId="0" borderId="1" xfId="0" applyNumberFormat="1" applyFont="1" applyBorder="1"/>
    <xf numFmtId="184" fontId="142" fillId="0" borderId="1" xfId="814" applyNumberFormat="1" applyFont="1" applyBorder="1"/>
    <xf numFmtId="0" fontId="130" fillId="14" borderId="22" xfId="0" applyNumberFormat="1" applyFont="1" applyFill="1" applyBorder="1" applyAlignment="1">
      <alignment horizontal="center" vertical="center" wrapText="1"/>
    </xf>
    <xf numFmtId="172" fontId="130" fillId="14" borderId="22" xfId="792" applyNumberFormat="1" applyFont="1" applyFill="1" applyBorder="1" applyAlignment="1">
      <alignment horizontal="center" vertical="center" wrapText="1"/>
    </xf>
    <xf numFmtId="9" fontId="130" fillId="14" borderId="22" xfId="784" applyFont="1" applyFill="1" applyBorder="1" applyAlignment="1">
      <alignment horizontal="center" vertical="center" wrapText="1"/>
    </xf>
    <xf numFmtId="0" fontId="130" fillId="14" borderId="23" xfId="0" applyNumberFormat="1" applyFont="1" applyFill="1" applyBorder="1" applyAlignment="1">
      <alignment horizontal="center" vertical="center" wrapText="1"/>
    </xf>
    <xf numFmtId="172" fontId="130" fillId="14" borderId="23" xfId="792" applyNumberFormat="1" applyFont="1" applyFill="1" applyBorder="1" applyAlignment="1">
      <alignment horizontal="center" vertical="center" wrapText="1"/>
    </xf>
    <xf numFmtId="9" fontId="130" fillId="14" borderId="23" xfId="784" applyFont="1" applyFill="1" applyBorder="1" applyAlignment="1">
      <alignment horizontal="center" vertical="center" wrapText="1"/>
    </xf>
    <xf numFmtId="0" fontId="0" fillId="9" borderId="30" xfId="0" applyNumberFormat="1" applyFill="1" applyBorder="1" applyAlignment="1">
      <alignment horizontal="center" vertical="center"/>
    </xf>
    <xf numFmtId="172" fontId="107" fillId="9" borderId="31" xfId="792" applyNumberFormat="1" applyFont="1" applyFill="1" applyBorder="1" applyAlignment="1">
      <alignment horizontal="center" vertical="center"/>
    </xf>
    <xf numFmtId="9" fontId="107" fillId="9" borderId="32" xfId="784" applyFont="1" applyFill="1" applyBorder="1" applyAlignment="1">
      <alignment horizontal="center" vertical="center"/>
    </xf>
    <xf numFmtId="0" fontId="0" fillId="0" borderId="22" xfId="0" applyNumberFormat="1" applyFill="1" applyBorder="1" applyAlignment="1">
      <alignment horizontal="center" vertical="center"/>
    </xf>
    <xf numFmtId="172" fontId="107" fillId="0" borderId="22" xfId="792" applyNumberFormat="1" applyFont="1" applyFill="1" applyBorder="1" applyAlignment="1">
      <alignment horizontal="center" vertical="center"/>
    </xf>
    <xf numFmtId="172" fontId="130" fillId="14" borderId="23" xfId="784" applyNumberFormat="1" applyFont="1" applyFill="1" applyBorder="1" applyAlignment="1">
      <alignment horizontal="center" vertical="center" wrapText="1"/>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07" fillId="0" borderId="1" xfId="840" applyBorder="1" applyAlignment="1">
      <alignment vertical="center" wrapText="1"/>
    </xf>
    <xf numFmtId="9" fontId="128" fillId="0" borderId="1" xfId="2706" applyFont="1" applyFill="1" applyBorder="1" applyAlignment="1">
      <alignment horizontal="center" vertical="center"/>
    </xf>
    <xf numFmtId="0" fontId="107" fillId="0" borderId="1" xfId="840" applyBorder="1" applyAlignment="1">
      <alignment horizontal="center" vertical="center" wrapText="1"/>
    </xf>
    <xf numFmtId="9" fontId="107" fillId="0" borderId="24" xfId="784" applyFont="1" applyFill="1" applyBorder="1" applyAlignment="1">
      <alignment horizontal="right" vertical="center"/>
    </xf>
    <xf numFmtId="190" fontId="116" fillId="0" borderId="1" xfId="642" applyNumberFormat="1" applyFont="1" applyBorder="1" applyAlignment="1">
      <alignment horizontal="center" vertical="center"/>
    </xf>
    <xf numFmtId="190" fontId="132" fillId="0" borderId="1" xfId="642" applyNumberFormat="1" applyFont="1" applyBorder="1" applyAlignment="1">
      <alignment horizontal="center" vertical="center"/>
    </xf>
    <xf numFmtId="9" fontId="128" fillId="0" borderId="22" xfId="2713" applyFont="1" applyFill="1" applyBorder="1" applyAlignment="1">
      <alignment horizontal="center" vertical="center"/>
    </xf>
    <xf numFmtId="172" fontId="130" fillId="14" borderId="1" xfId="814" applyNumberFormat="1" applyFont="1" applyFill="1" applyBorder="1" applyAlignment="1">
      <alignment vertical="center" wrapText="1"/>
    </xf>
    <xf numFmtId="0" fontId="0" fillId="23" borderId="1" xfId="0" applyNumberFormat="1" applyFill="1" applyBorder="1" applyAlignment="1">
      <alignment horizontal="center" vertical="center"/>
    </xf>
    <xf numFmtId="172" fontId="107" fillId="23" borderId="1" xfId="792" applyNumberFormat="1" applyFont="1" applyFill="1" applyBorder="1" applyAlignment="1">
      <alignment horizontal="center" vertical="center"/>
    </xf>
    <xf numFmtId="9" fontId="107" fillId="23" borderId="1" xfId="784" applyFont="1" applyFill="1" applyBorder="1" applyAlignment="1">
      <alignment horizontal="center" vertical="center"/>
    </xf>
    <xf numFmtId="0" fontId="107" fillId="0" borderId="1" xfId="814" applyFill="1" applyBorder="1" applyAlignment="1">
      <alignment horizontal="center" vertical="center" wrapText="1"/>
    </xf>
    <xf numFmtId="0" fontId="130" fillId="14" borderId="1" xfId="840" applyFont="1" applyFill="1" applyBorder="1" applyAlignment="1">
      <alignment horizontal="center" vertical="center" wrapText="1"/>
    </xf>
    <xf numFmtId="0" fontId="134" fillId="0" borderId="0" xfId="0" applyFont="1" applyFill="1"/>
    <xf numFmtId="0" fontId="107" fillId="0" borderId="0" xfId="814" applyFont="1"/>
    <xf numFmtId="9" fontId="128" fillId="0" borderId="1" xfId="2710" applyFont="1" applyFill="1" applyBorder="1" applyAlignment="1">
      <alignment horizontal="center" vertical="center"/>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44" fillId="13" borderId="1" xfId="0" applyFont="1" applyFill="1" applyBorder="1" applyAlignment="1">
      <alignment vertical="center" wrapText="1"/>
    </xf>
    <xf numFmtId="0" fontId="144" fillId="14" borderId="1" xfId="0" applyFont="1" applyFill="1" applyBorder="1" applyAlignment="1">
      <alignment vertical="center" wrapText="1"/>
    </xf>
    <xf numFmtId="189" fontId="144" fillId="14" borderId="1" xfId="0" applyNumberFormat="1" applyFont="1" applyFill="1"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16" fillId="0" borderId="0" xfId="814" applyFont="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107" fillId="0" borderId="0" xfId="814" applyAlignment="1">
      <alignment horizontal="center" vertical="center" wrapText="1"/>
    </xf>
    <xf numFmtId="2" fontId="107" fillId="0" borderId="1" xfId="814" applyNumberFormat="1" applyBorder="1" applyAlignment="1">
      <alignment vertical="center" wrapText="1"/>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12" fillId="0" borderId="1" xfId="3430" applyFont="1" applyFill="1" applyBorder="1" applyAlignment="1">
      <alignment horizontal="center" vertical="center" wrapText="1"/>
    </xf>
    <xf numFmtId="0" fontId="138" fillId="0" borderId="1" xfId="3430" applyFont="1" applyFill="1" applyBorder="1" applyAlignment="1">
      <alignment horizontal="center" vertical="center" wrapText="1"/>
    </xf>
    <xf numFmtId="0" fontId="0" fillId="9" borderId="1" xfId="0"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12" fillId="0" borderId="1" xfId="4391" applyFont="1" applyFill="1" applyBorder="1" applyAlignment="1">
      <alignment horizontal="center" vertical="center"/>
    </xf>
    <xf numFmtId="0" fontId="138" fillId="0" borderId="1" xfId="4391" applyFont="1" applyFill="1" applyBorder="1" applyAlignment="1">
      <alignment horizontal="center" vertical="center"/>
    </xf>
    <xf numFmtId="0" fontId="20" fillId="0" borderId="0" xfId="855" applyFont="1" applyAlignment="1">
      <alignment horizontal="center" vertical="center"/>
    </xf>
    <xf numFmtId="0" fontId="19" fillId="0" borderId="0" xfId="855" applyFont="1" applyAlignment="1">
      <alignment horizontal="center" vertical="center"/>
    </xf>
    <xf numFmtId="0" fontId="0" fillId="9" borderId="1" xfId="0"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30" fillId="14" borderId="1" xfId="0" applyNumberFormat="1" applyFont="1" applyFill="1" applyBorder="1" applyAlignment="1">
      <alignment horizontal="center" vertical="center" wrapText="1"/>
    </xf>
    <xf numFmtId="0" fontId="0" fillId="0" borderId="1" xfId="0" applyNumberFormat="1" applyFill="1" applyBorder="1" applyAlignment="1">
      <alignment horizontal="center" vertical="center"/>
    </xf>
    <xf numFmtId="0" fontId="130" fillId="14" borderId="1" xfId="0" applyNumberFormat="1" applyFont="1" applyFill="1" applyBorder="1" applyAlignment="1">
      <alignment horizontal="center" vertical="center" wrapText="1"/>
    </xf>
    <xf numFmtId="0" fontId="0" fillId="0" borderId="1" xfId="0" applyNumberFormat="1" applyFill="1" applyBorder="1" applyAlignment="1">
      <alignment horizontal="center" vertical="center" wrapText="1"/>
    </xf>
    <xf numFmtId="0" fontId="0" fillId="9" borderId="1" xfId="0" applyNumberFormat="1" applyFill="1" applyBorder="1" applyAlignment="1">
      <alignment horizontal="center" vertical="center" wrapText="1"/>
    </xf>
    <xf numFmtId="172" fontId="107" fillId="9" borderId="1" xfId="792" applyNumberFormat="1" applyFont="1" applyFill="1" applyBorder="1" applyAlignment="1">
      <alignment horizontal="center" vertical="center" wrapText="1"/>
    </xf>
    <xf numFmtId="9" fontId="107" fillId="9" borderId="1" xfId="784" applyFont="1" applyFill="1" applyBorder="1" applyAlignment="1">
      <alignment horizontal="center" vertical="center" wrapText="1"/>
    </xf>
    <xf numFmtId="0" fontId="0" fillId="9" borderId="1" xfId="0" applyNumberFormat="1" applyFill="1" applyBorder="1" applyAlignment="1">
      <alignment horizontal="center" vertical="center" wrapText="1"/>
    </xf>
    <xf numFmtId="172" fontId="107" fillId="9" borderId="1" xfId="792" applyNumberFormat="1" applyFont="1" applyFill="1" applyBorder="1" applyAlignment="1">
      <alignment horizontal="center" vertical="center" wrapText="1"/>
    </xf>
    <xf numFmtId="9" fontId="107" fillId="9" borderId="1" xfId="784" applyFont="1" applyFill="1" applyBorder="1" applyAlignment="1">
      <alignment horizontal="center" vertical="center" wrapText="1"/>
    </xf>
    <xf numFmtId="2" fontId="0" fillId="9" borderId="1" xfId="0" applyNumberFormat="1" applyFill="1" applyBorder="1" applyAlignment="1">
      <alignment horizontal="center" vertical="center"/>
    </xf>
    <xf numFmtId="0" fontId="0" fillId="0" borderId="1" xfId="0" applyNumberFormat="1" applyBorder="1" applyAlignment="1">
      <alignment horizontal="center" vertical="center"/>
    </xf>
    <xf numFmtId="0" fontId="0" fillId="9" borderId="1" xfId="0"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0" fontId="130" fillId="14" borderId="1" xfId="0" applyNumberFormat="1" applyFont="1" applyFill="1" applyBorder="1" applyAlignment="1">
      <alignment horizontal="center" vertical="center" wrapText="1"/>
    </xf>
    <xf numFmtId="0" fontId="0" fillId="9" borderId="1" xfId="0" applyNumberFormat="1" applyFill="1" applyBorder="1" applyAlignment="1">
      <alignment horizontal="center" vertical="center"/>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9" fontId="130" fillId="14" borderId="1" xfId="784" applyFont="1" applyFill="1" applyBorder="1" applyAlignment="1">
      <alignment horizontal="center" vertical="center" wrapText="1"/>
    </xf>
    <xf numFmtId="172" fontId="107" fillId="0" borderId="1" xfId="792" applyNumberFormat="1" applyFont="1" applyFill="1" applyBorder="1" applyAlignment="1">
      <alignment horizontal="center" vertical="center"/>
    </xf>
    <xf numFmtId="9" fontId="107" fillId="0" borderId="1" xfId="784" applyFont="1" applyFill="1" applyBorder="1" applyAlignment="1">
      <alignment horizontal="center" vertical="center"/>
    </xf>
    <xf numFmtId="0" fontId="0" fillId="0" borderId="1" xfId="0" applyNumberFormat="1" applyFill="1" applyBorder="1" applyAlignment="1">
      <alignment horizontal="center" vertical="center"/>
    </xf>
    <xf numFmtId="0" fontId="130" fillId="14" borderId="1" xfId="0" applyNumberFormat="1" applyFont="1" applyFill="1" applyBorder="1" applyAlignment="1">
      <alignment horizontal="center" vertical="center" wrapText="1"/>
    </xf>
    <xf numFmtId="172" fontId="107" fillId="9" borderId="1" xfId="792" applyNumberFormat="1" applyFont="1" applyFill="1" applyBorder="1" applyAlignment="1">
      <alignment horizontal="center" vertical="center"/>
    </xf>
    <xf numFmtId="9" fontId="107" fillId="9" borderId="1" xfId="784" applyFont="1" applyFill="1" applyBorder="1" applyAlignment="1">
      <alignment horizontal="center" vertical="center"/>
    </xf>
    <xf numFmtId="9" fontId="130" fillId="14" borderId="1" xfId="784" applyFont="1" applyFill="1" applyBorder="1" applyAlignment="1">
      <alignment horizontal="center" vertical="center" wrapText="1"/>
    </xf>
    <xf numFmtId="0" fontId="0" fillId="0" borderId="1" xfId="0" applyNumberFormat="1" applyFill="1" applyBorder="1" applyAlignment="1">
      <alignment horizontal="center" vertical="center"/>
    </xf>
    <xf numFmtId="0" fontId="0" fillId="9" borderId="1" xfId="0" applyNumberFormat="1" applyFill="1" applyBorder="1" applyAlignment="1">
      <alignment horizontal="center" vertical="center"/>
    </xf>
    <xf numFmtId="0" fontId="127" fillId="8" borderId="0" xfId="567" applyFont="1" applyFill="1" applyBorder="1" applyAlignment="1">
      <alignment horizontal="center" vertical="center"/>
    </xf>
    <xf numFmtId="1" fontId="145" fillId="0" borderId="0" xfId="1476" applyNumberFormat="1" applyFont="1" applyAlignment="1">
      <alignment horizontal="left" vertical="center"/>
    </xf>
    <xf numFmtId="0" fontId="127" fillId="8" borderId="0" xfId="567" applyFont="1" applyFill="1" applyBorder="1" applyAlignment="1">
      <alignment horizontal="center" vertical="center"/>
    </xf>
    <xf numFmtId="0" fontId="143" fillId="0" borderId="0" xfId="8504"/>
    <xf numFmtId="0" fontId="143" fillId="8" borderId="0" xfId="8504" applyFill="1"/>
    <xf numFmtId="0" fontId="127" fillId="15" borderId="1" xfId="8504" applyFont="1" applyFill="1" applyBorder="1" applyAlignment="1">
      <alignment horizontal="center" vertical="center"/>
    </xf>
    <xf numFmtId="177" fontId="127" fillId="15" borderId="1" xfId="8504" applyNumberFormat="1" applyFont="1" applyFill="1" applyBorder="1" applyAlignment="1">
      <alignment horizontal="center" vertical="center"/>
    </xf>
    <xf numFmtId="0" fontId="127" fillId="0" borderId="1" xfId="8504" applyFont="1" applyBorder="1" applyAlignment="1">
      <alignment horizontal="center" vertical="center"/>
    </xf>
    <xf numFmtId="9" fontId="127" fillId="0" borderId="1" xfId="8504" applyNumberFormat="1" applyFont="1" applyBorder="1" applyAlignment="1">
      <alignment horizontal="center" vertical="center"/>
    </xf>
    <xf numFmtId="0" fontId="127" fillId="0" borderId="1" xfId="8504" applyFont="1" applyBorder="1" applyAlignment="1">
      <alignment horizontal="center" vertical="center" wrapText="1"/>
    </xf>
    <xf numFmtId="9" fontId="127" fillId="0" borderId="1" xfId="8504" applyNumberFormat="1" applyFont="1" applyBorder="1" applyAlignment="1">
      <alignment horizontal="center" vertical="center" wrapText="1"/>
    </xf>
    <xf numFmtId="0" fontId="127" fillId="0" borderId="23" xfId="8504" applyFont="1" applyBorder="1" applyAlignment="1">
      <alignment horizontal="center" vertical="center" wrapText="1"/>
    </xf>
    <xf numFmtId="0" fontId="130" fillId="14" borderId="1" xfId="8504" applyNumberFormat="1" applyFont="1" applyFill="1" applyBorder="1" applyAlignment="1">
      <alignment horizontal="center" vertical="center" wrapText="1"/>
    </xf>
    <xf numFmtId="189" fontId="144" fillId="14" borderId="1" xfId="8504" applyNumberFormat="1" applyFont="1" applyFill="1" applyBorder="1" applyAlignment="1">
      <alignment vertical="center" wrapText="1"/>
    </xf>
    <xf numFmtId="0" fontId="144" fillId="14" borderId="1" xfId="8504" applyFont="1" applyFill="1" applyBorder="1" applyAlignment="1">
      <alignment vertical="center" wrapText="1"/>
    </xf>
    <xf numFmtId="0" fontId="144" fillId="13" borderId="1" xfId="8504" applyFont="1" applyFill="1" applyBorder="1" applyAlignment="1">
      <alignment vertical="center" wrapText="1"/>
    </xf>
    <xf numFmtId="0" fontId="143" fillId="0" borderId="1" xfId="8504" applyNumberFormat="1" applyBorder="1" applyAlignment="1">
      <alignment horizontal="center" vertical="center"/>
    </xf>
    <xf numFmtId="0" fontId="107" fillId="0" borderId="1" xfId="784" applyNumberFormat="1" applyFont="1" applyFill="1" applyBorder="1" applyAlignment="1">
      <alignment horizontal="center" vertical="center"/>
    </xf>
    <xf numFmtId="0" fontId="143" fillId="0" borderId="1" xfId="8504" applyNumberFormat="1" applyFill="1" applyBorder="1" applyAlignment="1">
      <alignment horizontal="center" vertical="center"/>
    </xf>
    <xf numFmtId="189" fontId="143" fillId="0" borderId="1" xfId="8504" applyNumberFormat="1" applyBorder="1" applyAlignment="1">
      <alignment vertical="center" wrapText="1"/>
    </xf>
    <xf numFmtId="0" fontId="143" fillId="0" borderId="1" xfId="8504" applyBorder="1" applyAlignment="1">
      <alignment vertical="center" wrapText="1"/>
    </xf>
    <xf numFmtId="189" fontId="143" fillId="8" borderId="1" xfId="8504" applyNumberFormat="1" applyFill="1" applyBorder="1" applyAlignment="1">
      <alignment vertical="center" wrapText="1"/>
    </xf>
    <xf numFmtId="0" fontId="143" fillId="8" borderId="1" xfId="8504" applyFill="1" applyBorder="1" applyAlignment="1">
      <alignment vertical="center" wrapText="1"/>
    </xf>
    <xf numFmtId="189" fontId="130" fillId="14" borderId="1" xfId="8504" applyNumberFormat="1" applyFont="1" applyFill="1" applyBorder="1" applyAlignment="1">
      <alignment vertical="center" wrapText="1"/>
    </xf>
    <xf numFmtId="0" fontId="130" fillId="14" borderId="1" xfId="8504" applyFont="1" applyFill="1" applyBorder="1" applyAlignment="1">
      <alignment vertical="center" wrapText="1"/>
    </xf>
    <xf numFmtId="0" fontId="130" fillId="13" borderId="1" xfId="8504" applyFont="1" applyFill="1" applyBorder="1" applyAlignment="1">
      <alignment vertical="center" wrapText="1"/>
    </xf>
    <xf numFmtId="9" fontId="128" fillId="0" borderId="1" xfId="8505" applyFont="1" applyFill="1" applyBorder="1" applyAlignment="1">
      <alignment horizontal="center" vertical="center"/>
    </xf>
    <xf numFmtId="0" fontId="128" fillId="0" borderId="1" xfId="8504" applyFont="1" applyFill="1" applyBorder="1" applyAlignment="1">
      <alignment horizontal="center" vertical="center"/>
    </xf>
    <xf numFmtId="0" fontId="128" fillId="0" borderId="1" xfId="8504" applyFont="1" applyFill="1" applyBorder="1" applyAlignment="1">
      <alignment horizontal="center" vertical="center" wrapText="1"/>
    </xf>
    <xf numFmtId="9" fontId="143" fillId="0" borderId="0" xfId="8504" applyNumberFormat="1"/>
    <xf numFmtId="0" fontId="143" fillId="0" borderId="0" xfId="8504" applyAlignment="1">
      <alignment horizontal="center"/>
    </xf>
    <xf numFmtId="0" fontId="130" fillId="14" borderId="1" xfId="8504" applyFont="1" applyFill="1" applyBorder="1" applyAlignment="1">
      <alignment horizontal="center" vertical="center" wrapText="1"/>
    </xf>
    <xf numFmtId="189" fontId="134" fillId="0" borderId="1" xfId="840" applyNumberFormat="1" applyFont="1" applyBorder="1" applyAlignment="1">
      <alignment vertical="center" wrapText="1"/>
    </xf>
    <xf numFmtId="0" fontId="143" fillId="0" borderId="1" xfId="8504" applyBorder="1" applyAlignment="1">
      <alignment horizontal="center" vertical="center" wrapText="1"/>
    </xf>
    <xf numFmtId="0" fontId="128" fillId="14" borderId="1" xfId="840" applyFont="1" applyFill="1" applyBorder="1" applyAlignment="1">
      <alignment vertical="center" wrapText="1"/>
    </xf>
    <xf numFmtId="0" fontId="134" fillId="0" borderId="1" xfId="8504" applyFont="1" applyBorder="1" applyAlignment="1">
      <alignment horizontal="center" vertical="center" wrapText="1"/>
    </xf>
    <xf numFmtId="0" fontId="143" fillId="8" borderId="1" xfId="8504" applyFill="1" applyBorder="1" applyAlignment="1">
      <alignment horizontal="center" vertical="center" wrapText="1"/>
    </xf>
    <xf numFmtId="9" fontId="128" fillId="0" borderId="1" xfId="8506" applyFont="1" applyFill="1" applyBorder="1" applyAlignment="1">
      <alignment horizontal="center" vertical="center"/>
    </xf>
    <xf numFmtId="0" fontId="144" fillId="14" borderId="1" xfId="8504" applyFont="1" applyFill="1" applyBorder="1" applyAlignment="1">
      <alignment horizontal="center" vertical="center" wrapText="1"/>
    </xf>
    <xf numFmtId="0" fontId="143" fillId="0" borderId="1" xfId="8504" applyBorder="1" applyAlignment="1">
      <alignment horizontal="right" vertical="center" wrapText="1"/>
    </xf>
    <xf numFmtId="0" fontId="143" fillId="9" borderId="1" xfId="8504" applyNumberFormat="1" applyFill="1" applyBorder="1" applyAlignment="1">
      <alignment horizontal="center" vertical="center"/>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27" fillId="8" borderId="0" xfId="567" applyFont="1"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right" vertical="center" wrapText="1"/>
    </xf>
    <xf numFmtId="0" fontId="106" fillId="0" borderId="23" xfId="0" applyFont="1" applyBorder="1" applyAlignment="1">
      <alignment horizontal="center" vertical="center" wrapText="1"/>
    </xf>
    <xf numFmtId="184" fontId="106" fillId="0" borderId="1" xfId="573" applyNumberFormat="1" applyFont="1" applyBorder="1" applyAlignment="1">
      <alignment vertical="center"/>
    </xf>
    <xf numFmtId="9" fontId="106" fillId="0" borderId="1" xfId="0" applyNumberFormat="1" applyFont="1" applyBorder="1" applyAlignment="1">
      <alignment horizontal="center" vertical="center" wrapText="1"/>
    </xf>
    <xf numFmtId="184" fontId="106" fillId="0" borderId="21" xfId="573" applyNumberFormat="1" applyFont="1" applyBorder="1" applyAlignment="1">
      <alignment vertical="center"/>
    </xf>
    <xf numFmtId="0" fontId="106" fillId="0" borderId="1" xfId="0" applyFont="1" applyBorder="1" applyAlignment="1">
      <alignment horizontal="center" vertical="center" wrapText="1"/>
    </xf>
    <xf numFmtId="9" fontId="106" fillId="0" borderId="1" xfId="0" applyNumberFormat="1" applyFont="1" applyBorder="1" applyAlignment="1">
      <alignment horizontal="center" vertical="center"/>
    </xf>
    <xf numFmtId="0" fontId="139" fillId="0" borderId="0" xfId="1580" applyFont="1" applyAlignment="1">
      <alignment vertical="center"/>
    </xf>
    <xf numFmtId="184" fontId="139" fillId="0" borderId="1" xfId="1655" applyNumberFormat="1" applyFont="1" applyBorder="1" applyAlignment="1">
      <alignment vertical="center"/>
    </xf>
    <xf numFmtId="0" fontId="140" fillId="22" borderId="1" xfId="1580" applyFont="1" applyFill="1" applyBorder="1" applyAlignment="1">
      <alignment horizontal="center" vertical="center"/>
    </xf>
    <xf numFmtId="0" fontId="139" fillId="0" borderId="0" xfId="1580" applyFont="1" applyAlignment="1">
      <alignment vertical="center"/>
    </xf>
    <xf numFmtId="1" fontId="139" fillId="0" borderId="1" xfId="1580" applyNumberFormat="1" applyFont="1" applyBorder="1" applyAlignment="1">
      <alignment vertical="center"/>
    </xf>
    <xf numFmtId="0" fontId="127" fillId="8" borderId="0" xfId="567" applyFont="1" applyFill="1" applyBorder="1" applyAlignment="1">
      <alignment horizontal="center" vertical="center"/>
    </xf>
    <xf numFmtId="0" fontId="143" fillId="8" borderId="1" xfId="8504" applyFill="1" applyBorder="1" applyAlignment="1">
      <alignment vertical="center" wrapText="1"/>
    </xf>
    <xf numFmtId="0" fontId="143" fillId="0" borderId="1" xfId="8504" applyBorder="1" applyAlignment="1">
      <alignment vertical="center" wrapText="1"/>
    </xf>
    <xf numFmtId="0" fontId="107" fillId="0" borderId="1" xfId="8504" applyFont="1" applyBorder="1" applyAlignment="1">
      <alignment vertical="center" wrapText="1"/>
    </xf>
    <xf numFmtId="0" fontId="139" fillId="0" borderId="0" xfId="1580" applyFont="1" applyBorder="1" applyAlignment="1">
      <alignment horizontal="center" vertical="center"/>
    </xf>
    <xf numFmtId="0" fontId="139" fillId="0" borderId="0" xfId="1580" applyFont="1" applyAlignment="1">
      <alignment vertical="center"/>
    </xf>
    <xf numFmtId="184" fontId="139" fillId="0" borderId="1" xfId="1655" applyNumberFormat="1" applyFont="1" applyBorder="1" applyAlignment="1">
      <alignment vertical="center"/>
    </xf>
    <xf numFmtId="0" fontId="140" fillId="22" borderId="1" xfId="1580" applyFont="1" applyFill="1" applyBorder="1" applyAlignment="1">
      <alignment horizontal="center" vertical="center"/>
    </xf>
    <xf numFmtId="0" fontId="127" fillId="8" borderId="0" xfId="567" applyFont="1" applyFill="1" applyBorder="1" applyAlignment="1">
      <alignment horizontal="center" vertical="center"/>
    </xf>
    <xf numFmtId="0" fontId="107" fillId="0" borderId="1" xfId="814" applyBorder="1" applyAlignment="1">
      <alignment horizontal="center"/>
    </xf>
    <xf numFmtId="0" fontId="106" fillId="0" borderId="1" xfId="814" applyFont="1" applyBorder="1" applyAlignment="1">
      <alignment horizontal="center" vertical="center" wrapText="1"/>
    </xf>
    <xf numFmtId="9" fontId="128" fillId="0" borderId="1" xfId="16310" applyFont="1" applyFill="1" applyBorder="1" applyAlignment="1">
      <alignment horizontal="center" vertical="center"/>
    </xf>
    <xf numFmtId="0" fontId="127" fillId="0" borderId="0" xfId="8504" applyFont="1" applyBorder="1" applyAlignment="1">
      <alignment horizontal="center" vertical="center"/>
    </xf>
    <xf numFmtId="0" fontId="128" fillId="0" borderId="1" xfId="8504" applyFont="1" applyFill="1" applyBorder="1" applyAlignment="1">
      <alignment vertical="center"/>
    </xf>
    <xf numFmtId="0" fontId="143" fillId="0" borderId="1" xfId="8504" applyFill="1" applyBorder="1" applyAlignment="1">
      <alignment vertical="center" wrapText="1"/>
    </xf>
    <xf numFmtId="0" fontId="143" fillId="0" borderId="1" xfId="8504" applyBorder="1" applyAlignment="1">
      <alignment vertical="top" wrapText="1"/>
    </xf>
    <xf numFmtId="0" fontId="115" fillId="0" borderId="0" xfId="8504" applyFont="1" applyAlignment="1">
      <alignment horizontal="center"/>
    </xf>
    <xf numFmtId="0" fontId="115" fillId="0" borderId="0" xfId="8504" applyFont="1"/>
    <xf numFmtId="0" fontId="127" fillId="8" borderId="0" xfId="567" applyFont="1" applyFill="1" applyBorder="1" applyAlignment="1">
      <alignment horizontal="center" vertical="center"/>
    </xf>
    <xf numFmtId="0" fontId="0" fillId="0" borderId="1" xfId="0" applyBorder="1" applyAlignment="1">
      <alignment vertical="center" wrapText="1"/>
    </xf>
    <xf numFmtId="0" fontId="149" fillId="9" borderId="0" xfId="0" applyFont="1" applyFill="1"/>
    <xf numFmtId="0" fontId="107" fillId="0" borderId="0" xfId="814"/>
    <xf numFmtId="0" fontId="107" fillId="0" borderId="1" xfId="814" applyBorder="1"/>
    <xf numFmtId="172" fontId="107" fillId="0" borderId="1" xfId="16311" applyNumberFormat="1" applyFont="1" applyBorder="1"/>
    <xf numFmtId="172" fontId="130" fillId="14" borderId="1" xfId="16311" applyNumberFormat="1" applyFont="1" applyFill="1" applyBorder="1" applyAlignment="1">
      <alignment vertical="center" wrapText="1"/>
    </xf>
    <xf numFmtId="172" fontId="107" fillId="0" borderId="0" xfId="16311" applyNumberFormat="1" applyFont="1"/>
    <xf numFmtId="172" fontId="115" fillId="0" borderId="1" xfId="16311" applyNumberFormat="1" applyFont="1" applyBorder="1"/>
    <xf numFmtId="9" fontId="128" fillId="0" borderId="1" xfId="1483" applyFont="1" applyFill="1" applyBorder="1" applyAlignment="1">
      <alignment horizontal="center" vertical="center"/>
    </xf>
    <xf numFmtId="9" fontId="130" fillId="14" borderId="1" xfId="1483" applyFont="1" applyFill="1" applyBorder="1" applyAlignment="1">
      <alignment horizontal="center" vertical="center" wrapText="1"/>
    </xf>
    <xf numFmtId="9" fontId="107" fillId="0" borderId="1" xfId="1483" applyFont="1" applyBorder="1" applyAlignment="1">
      <alignment horizontal="center"/>
    </xf>
    <xf numFmtId="9" fontId="133" fillId="0" borderId="1" xfId="1483" applyFont="1" applyBorder="1" applyAlignment="1">
      <alignment horizontal="center" vertical="center"/>
    </xf>
    <xf numFmtId="9" fontId="116" fillId="0" borderId="1" xfId="1483" applyFont="1" applyBorder="1" applyAlignment="1">
      <alignment horizontal="center" vertical="center"/>
    </xf>
    <xf numFmtId="172" fontId="128" fillId="0" borderId="1" xfId="16311" applyNumberFormat="1" applyFont="1" applyFill="1" applyBorder="1" applyAlignment="1">
      <alignment horizontal="center" vertical="center"/>
    </xf>
    <xf numFmtId="172" fontId="130" fillId="14" borderId="1" xfId="16311" applyNumberFormat="1" applyFont="1" applyFill="1" applyBorder="1" applyAlignment="1">
      <alignment horizontal="center" vertical="center" wrapText="1"/>
    </xf>
    <xf numFmtId="172" fontId="133" fillId="0" borderId="1" xfId="16311" applyNumberFormat="1" applyFont="1" applyBorder="1" applyAlignment="1">
      <alignment horizontal="center" vertical="center" wrapText="1"/>
    </xf>
    <xf numFmtId="172" fontId="116" fillId="0" borderId="1" xfId="16311" applyNumberFormat="1" applyFont="1" applyBorder="1" applyAlignment="1">
      <alignment horizontal="center" vertical="center"/>
    </xf>
    <xf numFmtId="172" fontId="132" fillId="0" borderId="1" xfId="16311" applyNumberFormat="1" applyFont="1" applyBorder="1" applyAlignment="1">
      <alignment horizontal="center" vertical="center"/>
    </xf>
    <xf numFmtId="0" fontId="115" fillId="0" borderId="1" xfId="814" applyFont="1" applyBorder="1" applyAlignment="1">
      <alignment horizontal="center"/>
    </xf>
    <xf numFmtId="9" fontId="116" fillId="0" borderId="1" xfId="1483" applyNumberFormat="1" applyFont="1" applyBorder="1" applyAlignment="1">
      <alignment horizontal="center" vertical="center"/>
    </xf>
    <xf numFmtId="9" fontId="107" fillId="0" borderId="0" xfId="1483" applyNumberFormat="1" applyFont="1" applyAlignment="1">
      <alignment horizontal="center"/>
    </xf>
    <xf numFmtId="0" fontId="107" fillId="0" borderId="1" xfId="814" applyBorder="1" applyAlignment="1">
      <alignment horizontal="left" wrapText="1"/>
    </xf>
    <xf numFmtId="0" fontId="107" fillId="9" borderId="1" xfId="814" applyFill="1" applyBorder="1" applyAlignment="1">
      <alignment horizontal="center" vertical="center"/>
    </xf>
    <xf numFmtId="172" fontId="107" fillId="9" borderId="1" xfId="16311" applyNumberFormat="1" applyFont="1" applyFill="1" applyBorder="1" applyAlignment="1">
      <alignment vertical="center"/>
    </xf>
    <xf numFmtId="9" fontId="107" fillId="9" borderId="1" xfId="1483" applyFont="1" applyFill="1" applyBorder="1" applyAlignment="1">
      <alignment horizontal="center" vertical="center"/>
    </xf>
    <xf numFmtId="10" fontId="143" fillId="0" borderId="0" xfId="1483" applyNumberFormat="1" applyFont="1"/>
    <xf numFmtId="0" fontId="0" fillId="0" borderId="1" xfId="0" applyBorder="1" applyAlignment="1">
      <alignment horizontal="center" vertical="center"/>
    </xf>
    <xf numFmtId="0" fontId="0" fillId="9" borderId="1" xfId="0" applyFill="1" applyBorder="1" applyAlignment="1">
      <alignment horizontal="center" vertical="center"/>
    </xf>
    <xf numFmtId="0" fontId="143" fillId="9" borderId="1" xfId="8504" applyFill="1" applyBorder="1" applyAlignment="1">
      <alignment horizontal="center" vertical="center" wrapText="1"/>
    </xf>
    <xf numFmtId="0" fontId="115" fillId="0" borderId="0" xfId="0" applyFont="1"/>
    <xf numFmtId="189" fontId="115" fillId="0" borderId="0" xfId="0" applyNumberFormat="1" applyFont="1"/>
    <xf numFmtId="9" fontId="128" fillId="0" borderId="2" xfId="876" applyFont="1" applyFill="1" applyBorder="1" applyAlignment="1">
      <alignment horizontal="center" vertical="center"/>
    </xf>
    <xf numFmtId="0" fontId="152" fillId="13" borderId="1" xfId="0" applyFont="1" applyFill="1" applyBorder="1" applyAlignment="1">
      <alignment vertical="center" wrapText="1"/>
    </xf>
    <xf numFmtId="0" fontId="152" fillId="14" borderId="1" xfId="0" applyFont="1" applyFill="1" applyBorder="1" applyAlignment="1">
      <alignment vertical="center" wrapText="1"/>
    </xf>
    <xf numFmtId="189" fontId="152" fillId="14" borderId="1" xfId="0" applyNumberFormat="1" applyFont="1" applyFill="1" applyBorder="1" applyAlignment="1">
      <alignment vertical="center" wrapText="1"/>
    </xf>
    <xf numFmtId="0" fontId="106" fillId="0" borderId="1" xfId="0" applyFont="1" applyBorder="1" applyAlignment="1">
      <alignment horizontal="center" vertical="center"/>
    </xf>
    <xf numFmtId="9" fontId="107" fillId="0" borderId="0" xfId="814" applyNumberFormat="1" applyAlignment="1">
      <alignment horizontal="center" vertical="center"/>
    </xf>
    <xf numFmtId="0" fontId="106" fillId="0" borderId="23" xfId="8504" applyFont="1" applyBorder="1" applyAlignment="1">
      <alignment horizontal="center" vertical="center" wrapText="1"/>
    </xf>
    <xf numFmtId="9" fontId="106" fillId="0" borderId="1" xfId="8504" applyNumberFormat="1" applyFont="1" applyBorder="1" applyAlignment="1">
      <alignment horizontal="center" vertical="center" wrapText="1"/>
    </xf>
    <xf numFmtId="0" fontId="106" fillId="0" borderId="1" xfId="8504" applyFont="1" applyBorder="1" applyAlignment="1">
      <alignment horizontal="center" vertical="center" wrapText="1"/>
    </xf>
    <xf numFmtId="184" fontId="153" fillId="0" borderId="1" xfId="814" applyNumberFormat="1" applyFont="1" applyBorder="1"/>
    <xf numFmtId="9" fontId="106" fillId="0" borderId="1" xfId="8504" applyNumberFormat="1" applyFont="1" applyBorder="1" applyAlignment="1">
      <alignment horizontal="center" vertical="center"/>
    </xf>
    <xf numFmtId="0" fontId="106" fillId="0" borderId="1" xfId="8504" applyFont="1" applyBorder="1" applyAlignment="1">
      <alignment horizontal="center" vertical="center"/>
    </xf>
    <xf numFmtId="9" fontId="143" fillId="0" borderId="0" xfId="8504" applyNumberFormat="1" applyAlignment="1">
      <alignment horizontal="center" vertical="center"/>
    </xf>
    <xf numFmtId="172" fontId="107" fillId="0" borderId="0" xfId="814" applyNumberFormat="1"/>
    <xf numFmtId="191" fontId="107" fillId="0" borderId="0" xfId="814" applyNumberFormat="1"/>
    <xf numFmtId="192" fontId="107" fillId="0" borderId="0" xfId="814" applyNumberFormat="1"/>
    <xf numFmtId="172" fontId="107" fillId="9" borderId="0" xfId="1483" applyNumberFormat="1" applyFont="1" applyFill="1" applyAlignment="1">
      <alignment horizontal="center"/>
    </xf>
    <xf numFmtId="0" fontId="0" fillId="9" borderId="0" xfId="0" applyFill="1" applyAlignment="1">
      <alignment horizontal="center" vertical="center"/>
    </xf>
    <xf numFmtId="172" fontId="0" fillId="0" borderId="1" xfId="9931" applyNumberFormat="1" applyFont="1" applyBorder="1"/>
    <xf numFmtId="0" fontId="154" fillId="0" borderId="0" xfId="0" applyFont="1"/>
    <xf numFmtId="9" fontId="0" fillId="0" borderId="0" xfId="0" applyNumberFormat="1" applyAlignment="1">
      <alignment horizontal="center" vertical="center"/>
    </xf>
    <xf numFmtId="0" fontId="155" fillId="14" borderId="1" xfId="8504" applyNumberFormat="1" applyFont="1" applyFill="1" applyBorder="1" applyAlignment="1">
      <alignment horizontal="center" vertical="center" wrapText="1"/>
    </xf>
    <xf numFmtId="0" fontId="107" fillId="0" borderId="0" xfId="8504" applyFont="1"/>
    <xf numFmtId="9" fontId="115" fillId="0" borderId="0" xfId="8504" applyNumberFormat="1" applyFont="1" applyAlignment="1">
      <alignment horizontal="center" vertical="center"/>
    </xf>
    <xf numFmtId="0" fontId="137" fillId="14" borderId="1" xfId="0" applyFont="1" applyFill="1" applyBorder="1" applyAlignment="1">
      <alignment horizontal="center" vertical="center" wrapText="1"/>
    </xf>
    <xf numFmtId="9" fontId="106" fillId="0" borderId="1" xfId="814" applyNumberFormat="1" applyFont="1" applyBorder="1" applyAlignment="1">
      <alignment horizontal="center" vertical="center" wrapText="1"/>
    </xf>
    <xf numFmtId="9" fontId="106" fillId="0" borderId="1" xfId="814" applyNumberFormat="1" applyFont="1" applyBorder="1" applyAlignment="1">
      <alignment horizontal="center" vertical="center"/>
    </xf>
    <xf numFmtId="0" fontId="106" fillId="0" borderId="1" xfId="814" applyFont="1" applyBorder="1" applyAlignment="1">
      <alignment horizontal="center" vertical="center"/>
    </xf>
    <xf numFmtId="0" fontId="106" fillId="0" borderId="21" xfId="0" applyFont="1" applyBorder="1" applyAlignment="1">
      <alignment horizontal="center" vertical="center" wrapText="1"/>
    </xf>
    <xf numFmtId="9" fontId="107" fillId="0" borderId="0" xfId="563" applyNumberFormat="1" applyBorder="1" applyAlignment="1">
      <alignment horizontal="center" vertical="center"/>
    </xf>
    <xf numFmtId="9" fontId="115" fillId="0" borderId="0" xfId="840" applyNumberFormat="1" applyFont="1" applyBorder="1"/>
    <xf numFmtId="9" fontId="115" fillId="0" borderId="0" xfId="840" applyNumberFormat="1" applyFont="1" applyBorder="1" applyAlignment="1">
      <alignment horizontal="center" vertical="center"/>
    </xf>
    <xf numFmtId="9" fontId="115" fillId="0" borderId="0" xfId="814" applyNumberFormat="1" applyFont="1" applyAlignment="1">
      <alignment horizontal="center" vertical="center"/>
    </xf>
    <xf numFmtId="9" fontId="115" fillId="0" borderId="0" xfId="8504" applyNumberFormat="1" applyFont="1"/>
    <xf numFmtId="190" fontId="143" fillId="0" borderId="0" xfId="8504" applyNumberFormat="1" applyAlignment="1">
      <alignment horizontal="center" vertical="center"/>
    </xf>
    <xf numFmtId="190" fontId="115" fillId="0" borderId="0" xfId="8504" applyNumberFormat="1" applyFont="1" applyAlignment="1">
      <alignment horizontal="center" vertical="center"/>
    </xf>
    <xf numFmtId="190" fontId="143" fillId="0" borderId="0" xfId="8504" applyNumberFormat="1"/>
    <xf numFmtId="183" fontId="143" fillId="9" borderId="1" xfId="8504" applyNumberFormat="1" applyFill="1" applyBorder="1" applyAlignment="1">
      <alignment horizontal="center" vertical="center"/>
    </xf>
    <xf numFmtId="0" fontId="107" fillId="0" borderId="1" xfId="814" applyBorder="1" applyAlignment="1">
      <alignment horizontal="center"/>
    </xf>
    <xf numFmtId="0" fontId="107" fillId="0" borderId="0" xfId="814"/>
    <xf numFmtId="0" fontId="107" fillId="0" borderId="0" xfId="814"/>
    <xf numFmtId="172" fontId="148" fillId="9" borderId="1" xfId="792" applyNumberFormat="1" applyFont="1" applyFill="1" applyBorder="1" applyAlignment="1">
      <alignment horizontal="center" vertical="center"/>
    </xf>
    <xf numFmtId="9" fontId="148" fillId="9" borderId="1" xfId="784" applyFont="1" applyFill="1" applyBorder="1" applyAlignment="1">
      <alignment horizontal="center" vertical="center"/>
    </xf>
    <xf numFmtId="190" fontId="107" fillId="0" borderId="0" xfId="814" applyNumberFormat="1" applyAlignment="1">
      <alignment horizontal="center" vertical="center"/>
    </xf>
    <xf numFmtId="9" fontId="107" fillId="0" borderId="1" xfId="1483" applyFont="1" applyFill="1" applyBorder="1" applyAlignment="1">
      <alignment horizontal="center"/>
    </xf>
    <xf numFmtId="0" fontId="107" fillId="0" borderId="1" xfId="814" applyFont="1" applyBorder="1" applyAlignment="1">
      <alignment horizontal="center"/>
    </xf>
    <xf numFmtId="0" fontId="143" fillId="0" borderId="0" xfId="8504" applyAlignment="1">
      <alignment horizontal="center" vertical="center"/>
    </xf>
    <xf numFmtId="184" fontId="142" fillId="0" borderId="1" xfId="814" applyNumberFormat="1" applyFont="1" applyBorder="1" applyAlignment="1">
      <alignment horizontal="center" vertical="center"/>
    </xf>
    <xf numFmtId="0" fontId="148" fillId="9" borderId="1" xfId="0" applyFont="1" applyFill="1" applyBorder="1" applyAlignment="1">
      <alignment horizontal="center" vertical="center"/>
    </xf>
    <xf numFmtId="190" fontId="107" fillId="0" borderId="0" xfId="8504" applyNumberFormat="1" applyFont="1"/>
    <xf numFmtId="0" fontId="0" fillId="0" borderId="0" xfId="0"/>
    <xf numFmtId="9" fontId="107" fillId="0" borderId="0" xfId="840" applyNumberFormat="1" applyBorder="1" applyAlignment="1">
      <alignment horizontal="center" vertical="center"/>
    </xf>
    <xf numFmtId="2" fontId="128" fillId="0" borderId="1" xfId="571" applyNumberFormat="1" applyFont="1" applyFill="1" applyBorder="1" applyAlignment="1">
      <alignment horizontal="center" vertical="center"/>
    </xf>
    <xf numFmtId="2" fontId="106" fillId="0" borderId="23" xfId="0" applyNumberFormat="1" applyFont="1" applyBorder="1" applyAlignment="1">
      <alignment horizontal="center" vertical="center" wrapText="1"/>
    </xf>
    <xf numFmtId="2" fontId="106" fillId="0" borderId="1" xfId="0" applyNumberFormat="1" applyFont="1" applyBorder="1" applyAlignment="1">
      <alignment horizontal="center" vertical="center" wrapText="1"/>
    </xf>
    <xf numFmtId="2" fontId="127" fillId="0" borderId="1" xfId="0" applyNumberFormat="1" applyFont="1" applyBorder="1" applyAlignment="1">
      <alignment horizontal="center" vertical="center" wrapText="1"/>
    </xf>
    <xf numFmtId="2" fontId="106" fillId="0" borderId="1" xfId="0" applyNumberFormat="1" applyFont="1" applyBorder="1" applyAlignment="1">
      <alignment horizontal="center" vertical="center"/>
    </xf>
    <xf numFmtId="2" fontId="107" fillId="0" borderId="0" xfId="814" applyNumberFormat="1"/>
    <xf numFmtId="2" fontId="0" fillId="0" borderId="0" xfId="0" applyNumberFormat="1"/>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0" fillId="0" borderId="0" xfId="0"/>
    <xf numFmtId="0" fontId="107" fillId="0" borderId="0" xfId="814"/>
    <xf numFmtId="9" fontId="107" fillId="0" borderId="1" xfId="1483" applyFont="1" applyFill="1" applyBorder="1" applyAlignment="1">
      <alignment horizontal="center" vertical="center"/>
    </xf>
    <xf numFmtId="9" fontId="127" fillId="0" borderId="12" xfId="1483" applyFont="1" applyBorder="1" applyAlignment="1">
      <alignment horizontal="center" vertical="center"/>
    </xf>
    <xf numFmtId="9" fontId="127" fillId="0" borderId="18" xfId="1483" applyFont="1" applyBorder="1" applyAlignment="1">
      <alignment horizontal="center" vertical="center"/>
    </xf>
    <xf numFmtId="9" fontId="0" fillId="0" borderId="0" xfId="1483" applyFont="1"/>
    <xf numFmtId="9" fontId="132" fillId="0" borderId="1" xfId="1483" applyFont="1" applyBorder="1" applyAlignment="1">
      <alignment horizontal="center" vertical="center"/>
    </xf>
    <xf numFmtId="9" fontId="107" fillId="0" borderId="0" xfId="1483" applyFont="1"/>
    <xf numFmtId="9" fontId="143" fillId="0" borderId="0" xfId="1483" applyFont="1"/>
    <xf numFmtId="9" fontId="143" fillId="0" borderId="0" xfId="1483" applyFont="1" applyAlignment="1">
      <alignment horizontal="center" vertical="center"/>
    </xf>
    <xf numFmtId="0" fontId="107" fillId="9" borderId="1" xfId="8504" applyNumberFormat="1" applyFont="1" applyFill="1" applyBorder="1" applyAlignment="1">
      <alignment horizontal="center" vertical="center"/>
    </xf>
    <xf numFmtId="190" fontId="143" fillId="0" borderId="0" xfId="1483" applyNumberFormat="1" applyFont="1" applyAlignment="1">
      <alignment horizontal="center" vertical="center"/>
    </xf>
    <xf numFmtId="190" fontId="107" fillId="0" borderId="0" xfId="814" applyNumberFormat="1"/>
    <xf numFmtId="9" fontId="107" fillId="0" borderId="0" xfId="1483" applyFont="1" applyAlignment="1">
      <alignment horizontal="center" vertical="center"/>
    </xf>
    <xf numFmtId="190" fontId="115" fillId="0" borderId="0" xfId="8504" applyNumberFormat="1" applyFont="1"/>
    <xf numFmtId="9" fontId="107" fillId="0" borderId="0" xfId="840" applyNumberFormat="1" applyFont="1" applyBorder="1" applyAlignment="1">
      <alignment horizontal="center" vertical="center"/>
    </xf>
    <xf numFmtId="164" fontId="112" fillId="0" borderId="1" xfId="1479" applyNumberFormat="1" applyFont="1" applyFill="1" applyBorder="1" applyAlignment="1">
      <alignment horizontal="center" vertical="center"/>
    </xf>
    <xf numFmtId="0" fontId="107" fillId="0" borderId="0" xfId="814"/>
    <xf numFmtId="189" fontId="116" fillId="0" borderId="5" xfId="642" applyNumberFormat="1" applyFont="1" applyBorder="1" applyAlignment="1">
      <alignment horizontal="center" vertical="center"/>
    </xf>
    <xf numFmtId="9" fontId="116" fillId="0" borderId="2" xfId="642" applyNumberFormat="1" applyFont="1" applyBorder="1" applyAlignment="1">
      <alignment horizontal="center" vertical="center"/>
    </xf>
    <xf numFmtId="190" fontId="139" fillId="0" borderId="1" xfId="1699" applyNumberFormat="1" applyFont="1" applyBorder="1" applyAlignment="1">
      <alignment vertical="center"/>
    </xf>
    <xf numFmtId="190" fontId="140" fillId="22" borderId="1" xfId="1699" applyNumberFormat="1" applyFont="1" applyFill="1" applyBorder="1" applyAlignment="1">
      <alignment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0" fillId="0" borderId="0" xfId="0"/>
    <xf numFmtId="0" fontId="107" fillId="0" borderId="0" xfId="814"/>
    <xf numFmtId="190" fontId="115" fillId="0" borderId="0" xfId="814" applyNumberFormat="1" applyFont="1" applyAlignment="1">
      <alignment horizontal="center" vertical="center"/>
    </xf>
    <xf numFmtId="9" fontId="143" fillId="9" borderId="1" xfId="8504" applyNumberFormat="1" applyFill="1" applyBorder="1" applyAlignment="1">
      <alignment horizontal="center" vertical="center"/>
    </xf>
    <xf numFmtId="190" fontId="107" fillId="0" borderId="0" xfId="563" applyNumberFormat="1" applyBorder="1"/>
    <xf numFmtId="190" fontId="107" fillId="0" borderId="0" xfId="563" applyNumberFormat="1" applyBorder="1" applyAlignment="1">
      <alignment horizontal="center" vertical="center"/>
    </xf>
    <xf numFmtId="190" fontId="132" fillId="0" borderId="1" xfId="1483" applyNumberFormat="1" applyFont="1" applyBorder="1" applyAlignment="1">
      <alignment horizontal="center" vertical="center"/>
    </xf>
    <xf numFmtId="190" fontId="115" fillId="0" borderId="26" xfId="784" applyNumberFormat="1" applyFont="1" applyFill="1" applyBorder="1" applyAlignment="1">
      <alignment horizontal="center" vertical="center"/>
    </xf>
    <xf numFmtId="190" fontId="116" fillId="0" borderId="1" xfId="1483" applyNumberFormat="1" applyFont="1" applyBorder="1" applyAlignment="1">
      <alignment horizontal="center" vertical="center"/>
    </xf>
    <xf numFmtId="190" fontId="107" fillId="0" borderId="0" xfId="784" applyNumberFormat="1" applyFont="1" applyFill="1" applyBorder="1" applyAlignment="1">
      <alignment horizontal="center" vertical="center"/>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0" fillId="0" borderId="0" xfId="0"/>
    <xf numFmtId="0" fontId="0" fillId="0" borderId="1" xfId="0" applyFill="1" applyBorder="1" applyAlignment="1">
      <alignment vertical="center" wrapText="1"/>
    </xf>
    <xf numFmtId="0" fontId="127" fillId="8" borderId="0" xfId="567" applyFont="1" applyFill="1" applyBorder="1" applyAlignment="1">
      <alignment horizontal="center" vertical="center"/>
    </xf>
    <xf numFmtId="0" fontId="0" fillId="0" borderId="1" xfId="0" applyBorder="1" applyAlignment="1">
      <alignment vertical="center" wrapText="1"/>
    </xf>
    <xf numFmtId="0" fontId="107" fillId="0" borderId="0" xfId="0" applyFont="1"/>
    <xf numFmtId="0" fontId="0" fillId="0" borderId="0" xfId="0"/>
    <xf numFmtId="0" fontId="0" fillId="0" borderId="1" xfId="0" applyFill="1" applyBorder="1" applyAlignment="1">
      <alignment vertical="center" wrapText="1"/>
    </xf>
    <xf numFmtId="0" fontId="0" fillId="0" borderId="0" xfId="0" applyAlignment="1">
      <alignment vertical="center" wrapText="1"/>
    </xf>
    <xf numFmtId="189" fontId="0" fillId="0" borderId="0" xfId="0" applyNumberFormat="1" applyAlignment="1">
      <alignment vertical="center" wrapText="1"/>
    </xf>
    <xf numFmtId="0" fontId="130" fillId="13" borderId="0" xfId="0" applyFont="1" applyFill="1" applyAlignment="1">
      <alignment vertical="center" wrapText="1"/>
    </xf>
    <xf numFmtId="0" fontId="130" fillId="14" borderId="0" xfId="0" applyFont="1" applyFill="1" applyAlignment="1">
      <alignment vertical="center" wrapText="1"/>
    </xf>
    <xf numFmtId="189" fontId="130" fillId="14" borderId="0" xfId="0" applyNumberFormat="1" applyFont="1" applyFill="1" applyAlignment="1">
      <alignment vertical="center" wrapText="1"/>
    </xf>
    <xf numFmtId="189" fontId="0" fillId="0" borderId="0" xfId="0" applyNumberFormat="1"/>
    <xf numFmtId="0" fontId="0" fillId="0" borderId="0" xfId="0" applyFont="1" applyFill="1" applyBorder="1"/>
    <xf numFmtId="0" fontId="107" fillId="0" borderId="0" xfId="0" applyFont="1" applyFill="1" applyBorder="1" applyAlignment="1">
      <alignment horizontal="right"/>
    </xf>
    <xf numFmtId="190" fontId="143" fillId="0" borderId="0" xfId="1483" applyNumberFormat="1" applyFont="1" applyBorder="1" applyAlignment="1">
      <alignment horizontal="center" vertical="center"/>
    </xf>
    <xf numFmtId="0" fontId="143" fillId="0" borderId="0" xfId="8504" applyBorder="1"/>
    <xf numFmtId="9" fontId="128" fillId="0" borderId="0" xfId="16310" applyFont="1" applyFill="1" applyBorder="1" applyAlignment="1">
      <alignment horizontal="center" vertical="center"/>
    </xf>
    <xf numFmtId="0" fontId="106" fillId="0" borderId="0" xfId="8504" applyFont="1" applyBorder="1" applyAlignment="1">
      <alignment horizontal="center" vertical="center"/>
    </xf>
    <xf numFmtId="0" fontId="127" fillId="0" borderId="0" xfId="814" applyFont="1" applyBorder="1" applyAlignment="1">
      <alignment horizontal="center" vertical="center" wrapText="1"/>
    </xf>
    <xf numFmtId="9" fontId="106" fillId="0" borderId="0" xfId="8504" applyNumberFormat="1" applyFont="1" applyBorder="1" applyAlignment="1">
      <alignment horizontal="center" vertical="center"/>
    </xf>
    <xf numFmtId="0" fontId="0" fillId="0" borderId="1" xfId="0" applyBorder="1"/>
    <xf numFmtId="0" fontId="130" fillId="25" borderId="1" xfId="0" applyFont="1" applyFill="1" applyBorder="1" applyAlignment="1">
      <alignment horizontal="center" vertical="center"/>
    </xf>
    <xf numFmtId="0" fontId="115" fillId="26" borderId="1" xfId="0" applyFont="1" applyFill="1" applyBorder="1" applyAlignment="1">
      <alignment horizontal="center" vertical="center"/>
    </xf>
    <xf numFmtId="0" fontId="115" fillId="26" borderId="1" xfId="0" applyFont="1" applyFill="1" applyBorder="1" applyAlignment="1">
      <alignment horizontal="center" vertical="center" wrapText="1"/>
    </xf>
    <xf numFmtId="0" fontId="0" fillId="0" borderId="1" xfId="0" applyFont="1" applyFill="1" applyBorder="1" applyAlignment="1">
      <alignment vertical="center" wrapText="1"/>
    </xf>
    <xf numFmtId="189" fontId="0" fillId="0" borderId="1" xfId="0" applyNumberFormat="1" applyFont="1" applyFill="1" applyBorder="1" applyAlignment="1">
      <alignment vertical="center" wrapText="1"/>
    </xf>
    <xf numFmtId="0" fontId="106" fillId="8" borderId="0" xfId="567" applyFont="1" applyFill="1" applyAlignment="1">
      <alignment horizontal="left" vertical="center" wrapText="1"/>
    </xf>
    <xf numFmtId="9" fontId="123" fillId="0" borderId="1" xfId="8504" applyNumberFormat="1" applyFont="1" applyBorder="1" applyAlignment="1">
      <alignment horizontal="center" vertical="center" wrapText="1"/>
    </xf>
    <xf numFmtId="9" fontId="107" fillId="0" borderId="1" xfId="8504" applyNumberFormat="1" applyFont="1" applyBorder="1"/>
    <xf numFmtId="183" fontId="123" fillId="0" borderId="23" xfId="8504" applyNumberFormat="1" applyFont="1" applyBorder="1" applyAlignment="1">
      <alignment horizontal="center" vertical="center" wrapText="1"/>
    </xf>
    <xf numFmtId="183" fontId="123" fillId="0" borderId="1" xfId="8504" applyNumberFormat="1" applyFont="1" applyBorder="1" applyAlignment="1">
      <alignment horizontal="center" vertical="center" wrapText="1"/>
    </xf>
    <xf numFmtId="165" fontId="0" fillId="0" borderId="1" xfId="16317" applyFont="1" applyFill="1" applyBorder="1" applyAlignment="1">
      <alignment vertical="center" wrapText="1"/>
    </xf>
    <xf numFmtId="9" fontId="130" fillId="14" borderId="1" xfId="0" applyNumberFormat="1" applyFont="1" applyFill="1" applyBorder="1" applyAlignment="1">
      <alignment vertical="center" wrapText="1"/>
    </xf>
    <xf numFmtId="172" fontId="0" fillId="0" borderId="1" xfId="0" applyNumberFormat="1" applyBorder="1"/>
    <xf numFmtId="184" fontId="107" fillId="0" borderId="1" xfId="814" applyNumberFormat="1" applyFont="1" applyBorder="1" applyAlignment="1">
      <alignment vertical="center"/>
    </xf>
    <xf numFmtId="165" fontId="107" fillId="0" borderId="1" xfId="16317" applyFont="1" applyBorder="1" applyAlignment="1">
      <alignment horizontal="center" vertical="center"/>
    </xf>
    <xf numFmtId="9" fontId="123" fillId="0" borderId="23" xfId="8504" applyNumberFormat="1" applyFont="1" applyBorder="1" applyAlignment="1">
      <alignment horizontal="center" vertical="center" wrapText="1"/>
    </xf>
    <xf numFmtId="190" fontId="143" fillId="0" borderId="0" xfId="8504" applyNumberFormat="1" applyFill="1" applyBorder="1" applyAlignment="1">
      <alignment horizontal="center" vertical="center"/>
    </xf>
    <xf numFmtId="165" fontId="0" fillId="0" borderId="1" xfId="16317" applyFont="1" applyBorder="1"/>
    <xf numFmtId="190" fontId="0" fillId="0" borderId="0" xfId="1483" applyNumberFormat="1" applyFont="1"/>
    <xf numFmtId="0" fontId="130" fillId="25" borderId="1" xfId="840" applyFont="1" applyFill="1" applyBorder="1" applyAlignment="1">
      <alignment horizontal="center" vertical="center"/>
    </xf>
    <xf numFmtId="0" fontId="115" fillId="0" borderId="1" xfId="0" applyFont="1" applyBorder="1"/>
    <xf numFmtId="189" fontId="115" fillId="0" borderId="1" xfId="0" applyNumberFormat="1" applyFont="1" applyBorder="1"/>
    <xf numFmtId="189" fontId="0" fillId="0" borderId="1" xfId="0" applyNumberFormat="1" applyBorder="1"/>
    <xf numFmtId="189" fontId="130" fillId="14" borderId="1" xfId="0" applyNumberFormat="1" applyFont="1" applyFill="1" applyBorder="1" applyAlignment="1">
      <alignment horizontal="center" vertical="center" wrapText="1"/>
    </xf>
    <xf numFmtId="9" fontId="0" fillId="0" borderId="1" xfId="1483" applyFont="1" applyBorder="1" applyAlignment="1">
      <alignment horizontal="center" vertical="center"/>
    </xf>
    <xf numFmtId="165" fontId="0" fillId="0" borderId="1" xfId="16317" applyFont="1" applyBorder="1" applyAlignment="1">
      <alignment horizontal="center" vertical="center"/>
    </xf>
    <xf numFmtId="0" fontId="115" fillId="0" borderId="23" xfId="0" applyFont="1" applyBorder="1"/>
    <xf numFmtId="189" fontId="115" fillId="0" borderId="23" xfId="0" applyNumberFormat="1" applyFont="1" applyBorder="1"/>
    <xf numFmtId="165" fontId="0" fillId="0" borderId="23" xfId="16317" applyFont="1" applyBorder="1"/>
    <xf numFmtId="9" fontId="107" fillId="0" borderId="1" xfId="840" applyNumberFormat="1" applyFont="1" applyBorder="1"/>
    <xf numFmtId="0" fontId="115" fillId="0" borderId="1" xfId="840" applyFont="1" applyBorder="1"/>
    <xf numFmtId="9" fontId="115" fillId="0" borderId="1" xfId="840" applyNumberFormat="1" applyFont="1" applyBorder="1"/>
    <xf numFmtId="9" fontId="115" fillId="0" borderId="0" xfId="0" applyNumberFormat="1" applyFont="1"/>
    <xf numFmtId="9" fontId="115" fillId="0" borderId="1" xfId="0" applyNumberFormat="1" applyFont="1" applyBorder="1"/>
    <xf numFmtId="0" fontId="158" fillId="13" borderId="1" xfId="0" applyFont="1" applyFill="1" applyBorder="1" applyAlignment="1">
      <alignment vertical="center" wrapText="1"/>
    </xf>
    <xf numFmtId="0" fontId="123" fillId="0" borderId="23" xfId="8504" applyFont="1" applyBorder="1" applyAlignment="1">
      <alignment horizontal="center" vertical="center" wrapText="1"/>
    </xf>
    <xf numFmtId="165" fontId="107" fillId="0" borderId="23" xfId="16317" applyFont="1" applyBorder="1"/>
    <xf numFmtId="184" fontId="123" fillId="0" borderId="1" xfId="573" applyNumberFormat="1" applyFont="1" applyBorder="1" applyAlignment="1">
      <alignment vertical="center"/>
    </xf>
    <xf numFmtId="0" fontId="123" fillId="0" borderId="1" xfId="8504" applyFont="1" applyBorder="1" applyAlignment="1">
      <alignment horizontal="center" vertical="center" wrapText="1"/>
    </xf>
    <xf numFmtId="0" fontId="123" fillId="0" borderId="1" xfId="814" applyFont="1" applyBorder="1" applyAlignment="1">
      <alignment horizontal="center" vertical="center" wrapText="1"/>
    </xf>
    <xf numFmtId="0" fontId="124" fillId="0" borderId="1" xfId="814" applyFont="1" applyBorder="1" applyAlignment="1">
      <alignment horizontal="center" vertical="center" wrapText="1"/>
    </xf>
    <xf numFmtId="190" fontId="107" fillId="0" borderId="0" xfId="1483" applyNumberFormat="1" applyFont="1"/>
    <xf numFmtId="9" fontId="123" fillId="0" borderId="1" xfId="8504" applyNumberFormat="1" applyFont="1" applyBorder="1" applyAlignment="1">
      <alignment horizontal="center" vertical="center"/>
    </xf>
    <xf numFmtId="172" fontId="107" fillId="0" borderId="1" xfId="0" applyNumberFormat="1" applyFont="1" applyBorder="1"/>
    <xf numFmtId="0" fontId="123" fillId="0" borderId="1" xfId="8504" applyFont="1" applyBorder="1" applyAlignment="1">
      <alignment horizontal="center" vertical="center"/>
    </xf>
    <xf numFmtId="0" fontId="159" fillId="0" borderId="1" xfId="568" applyFont="1" applyBorder="1" applyAlignment="1">
      <alignment horizontal="center" vertical="center"/>
    </xf>
    <xf numFmtId="0" fontId="159" fillId="0" borderId="1" xfId="568" applyFont="1" applyBorder="1" applyAlignment="1">
      <alignment horizontal="center" vertical="center" wrapText="1"/>
    </xf>
    <xf numFmtId="0" fontId="123" fillId="0" borderId="1" xfId="642" applyFont="1" applyBorder="1" applyAlignment="1">
      <alignment horizontal="center" vertical="center"/>
    </xf>
    <xf numFmtId="189" fontId="119" fillId="0" borderId="1" xfId="642" applyNumberFormat="1" applyFont="1" applyBorder="1" applyAlignment="1">
      <alignment horizontal="center" vertical="center"/>
    </xf>
    <xf numFmtId="190" fontId="119" fillId="0" borderId="1" xfId="642" applyNumberFormat="1" applyFont="1" applyBorder="1" applyAlignment="1">
      <alignment horizontal="center" vertical="center"/>
    </xf>
    <xf numFmtId="0" fontId="124" fillId="0" borderId="1" xfId="642" applyFont="1" applyBorder="1" applyAlignment="1">
      <alignment horizontal="center" vertical="center"/>
    </xf>
    <xf numFmtId="189" fontId="160" fillId="0" borderId="1" xfId="642" applyNumberFormat="1" applyFont="1" applyBorder="1" applyAlignment="1">
      <alignment horizontal="center" vertical="center"/>
    </xf>
    <xf numFmtId="190" fontId="160" fillId="0" borderId="1" xfId="642" applyNumberFormat="1" applyFont="1" applyBorder="1" applyAlignment="1">
      <alignment horizontal="center" vertical="center"/>
    </xf>
    <xf numFmtId="177" fontId="124" fillId="15" borderId="1" xfId="8504" applyNumberFormat="1" applyFont="1" applyFill="1" applyBorder="1" applyAlignment="1">
      <alignment horizontal="center" vertical="center"/>
    </xf>
    <xf numFmtId="0" fontId="124" fillId="15" borderId="1" xfId="8504" applyFont="1" applyFill="1" applyBorder="1" applyAlignment="1">
      <alignment horizontal="center" vertical="center"/>
    </xf>
    <xf numFmtId="165" fontId="107" fillId="0" borderId="23" xfId="16317" applyFont="1" applyBorder="1" applyAlignment="1">
      <alignment vertical="center"/>
    </xf>
    <xf numFmtId="0" fontId="107" fillId="0" borderId="0" xfId="0" applyFont="1" applyAlignment="1">
      <alignment vertical="center"/>
    </xf>
    <xf numFmtId="0" fontId="127" fillId="8" borderId="0" xfId="567" applyFont="1" applyFill="1" applyBorder="1" applyAlignment="1">
      <alignment horizontal="center" vertical="center"/>
    </xf>
    <xf numFmtId="0" fontId="0" fillId="0" borderId="1" xfId="0" applyBorder="1" applyAlignment="1">
      <alignment vertical="center" wrapText="1"/>
    </xf>
    <xf numFmtId="0" fontId="0" fillId="0" borderId="0" xfId="0"/>
    <xf numFmtId="0" fontId="9" fillId="0" borderId="0" xfId="1476"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127" fillId="0" borderId="5" xfId="8504" applyNumberFormat="1" applyFont="1" applyFill="1" applyBorder="1" applyAlignment="1">
      <alignment horizontal="center" vertical="center"/>
    </xf>
    <xf numFmtId="0" fontId="127" fillId="0" borderId="2" xfId="8504" applyNumberFormat="1" applyFont="1" applyFill="1" applyBorder="1" applyAlignment="1">
      <alignment horizontal="center" vertical="center"/>
    </xf>
    <xf numFmtId="1" fontId="127" fillId="0" borderId="5" xfId="8504" applyNumberFormat="1" applyFont="1" applyFill="1" applyBorder="1" applyAlignment="1">
      <alignment horizontal="center" vertical="center"/>
    </xf>
    <xf numFmtId="1" fontId="127" fillId="0" borderId="2" xfId="8504" applyNumberFormat="1" applyFont="1" applyFill="1" applyBorder="1" applyAlignment="1">
      <alignment horizontal="center" vertical="center"/>
    </xf>
    <xf numFmtId="0" fontId="107" fillId="0" borderId="0" xfId="814"/>
    <xf numFmtId="1" fontId="127" fillId="0" borderId="5" xfId="0" applyNumberFormat="1" applyFont="1" applyFill="1" applyBorder="1" applyAlignment="1">
      <alignment horizontal="center" vertical="center"/>
    </xf>
    <xf numFmtId="1" fontId="127" fillId="0" borderId="2" xfId="0" applyNumberFormat="1" applyFont="1" applyFill="1" applyBorder="1" applyAlignment="1">
      <alignment horizontal="center" vertical="center"/>
    </xf>
    <xf numFmtId="0" fontId="0" fillId="0" borderId="1" xfId="0" applyBorder="1" applyAlignment="1">
      <alignment vertical="center" wrapText="1"/>
    </xf>
    <xf numFmtId="0" fontId="127" fillId="0" borderId="5" xfId="0" applyNumberFormat="1" applyFont="1" applyFill="1" applyBorder="1" applyAlignment="1">
      <alignment horizontal="center" vertical="center"/>
    </xf>
    <xf numFmtId="0" fontId="127" fillId="0" borderId="2" xfId="0" applyNumberFormat="1"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0" fillId="0" borderId="0" xfId="0"/>
    <xf numFmtId="0" fontId="127" fillId="0" borderId="5" xfId="8504" applyNumberFormat="1" applyFont="1" applyFill="1" applyBorder="1" applyAlignment="1">
      <alignment horizontal="center" vertical="center"/>
    </xf>
    <xf numFmtId="0" fontId="127" fillId="0" borderId="2" xfId="8504" applyNumberFormat="1" applyFont="1" applyFill="1" applyBorder="1" applyAlignment="1">
      <alignment horizontal="center" vertical="center"/>
    </xf>
    <xf numFmtId="0" fontId="107" fillId="0" borderId="0" xfId="814"/>
    <xf numFmtId="184" fontId="107" fillId="0" borderId="1" xfId="814" applyNumberFormat="1" applyBorder="1"/>
    <xf numFmtId="184" fontId="107" fillId="0" borderId="1" xfId="814" applyNumberFormat="1" applyBorder="1" applyAlignment="1">
      <alignment horizontal="center"/>
    </xf>
    <xf numFmtId="190" fontId="107" fillId="0" borderId="1" xfId="814" applyNumberFormat="1" applyBorder="1" applyAlignment="1">
      <alignment horizontal="center"/>
    </xf>
    <xf numFmtId="9" fontId="107" fillId="0" borderId="1" xfId="814" applyNumberFormat="1" applyBorder="1"/>
    <xf numFmtId="0" fontId="127" fillId="0" borderId="1" xfId="8504" applyNumberFormat="1" applyFont="1" applyFill="1" applyBorder="1" applyAlignment="1">
      <alignment horizontal="center" vertical="center"/>
    </xf>
    <xf numFmtId="9" fontId="107" fillId="0" borderId="1" xfId="814" applyNumberFormat="1" applyBorder="1" applyAlignment="1">
      <alignment horizontal="center"/>
    </xf>
    <xf numFmtId="9" fontId="143" fillId="0" borderId="1" xfId="8504" applyNumberFormat="1" applyBorder="1" applyAlignment="1">
      <alignment horizontal="center" vertical="center"/>
    </xf>
    <xf numFmtId="9" fontId="107" fillId="0" borderId="0" xfId="814" applyNumberFormat="1" applyAlignment="1">
      <alignment horizontal="center"/>
    </xf>
    <xf numFmtId="2" fontId="107" fillId="9" borderId="1" xfId="1483" applyNumberFormat="1" applyFont="1" applyFill="1" applyBorder="1" applyAlignment="1">
      <alignment horizontal="center" vertical="center"/>
    </xf>
    <xf numFmtId="189" fontId="116" fillId="0" borderId="1" xfId="642" applyNumberFormat="1" applyFont="1" applyBorder="1" applyAlignment="1">
      <alignment vertical="center"/>
    </xf>
    <xf numFmtId="184" fontId="161" fillId="0" borderId="1" xfId="573" applyNumberFormat="1" applyFont="1" applyBorder="1" applyAlignment="1">
      <alignment vertical="center"/>
    </xf>
    <xf numFmtId="0" fontId="112" fillId="0" borderId="1" xfId="1476" applyFont="1" applyFill="1" applyBorder="1" applyAlignment="1">
      <alignment horizontal="center" vertical="center"/>
    </xf>
    <xf numFmtId="1" fontId="0" fillId="0" borderId="1" xfId="0" applyNumberFormat="1" applyBorder="1" applyAlignment="1">
      <alignment horizontal="center" vertical="center"/>
    </xf>
    <xf numFmtId="165" fontId="0" fillId="9" borderId="1" xfId="16317" applyFont="1" applyFill="1" applyBorder="1" applyAlignment="1">
      <alignment horizontal="center" vertical="center"/>
    </xf>
    <xf numFmtId="9" fontId="0" fillId="9" borderId="1" xfId="1483" applyFont="1" applyFill="1" applyBorder="1" applyAlignment="1">
      <alignment horizontal="center" vertical="center"/>
    </xf>
    <xf numFmtId="0" fontId="0" fillId="0" borderId="1" xfId="0" applyBorder="1" applyAlignment="1">
      <alignment vertical="center"/>
    </xf>
    <xf numFmtId="1" fontId="143" fillId="0" borderId="1" xfId="8504" applyNumberFormat="1" applyBorder="1" applyAlignment="1">
      <alignment horizontal="center" vertical="center"/>
    </xf>
    <xf numFmtId="1" fontId="130" fillId="14" borderId="1" xfId="8504" applyNumberFormat="1" applyFont="1" applyFill="1" applyBorder="1" applyAlignment="1">
      <alignment horizontal="center" vertical="center" wrapText="1"/>
    </xf>
    <xf numFmtId="183" fontId="143" fillId="0" borderId="1" xfId="8504" applyNumberFormat="1" applyBorder="1" applyAlignment="1">
      <alignment horizontal="center" vertical="center"/>
    </xf>
    <xf numFmtId="0" fontId="147" fillId="9" borderId="1" xfId="0" applyNumberFormat="1" applyFont="1" applyFill="1" applyBorder="1" applyAlignment="1">
      <alignment horizontal="center" vertical="center"/>
    </xf>
    <xf numFmtId="172" fontId="147" fillId="9" borderId="1" xfId="792" applyNumberFormat="1" applyFont="1" applyFill="1" applyBorder="1" applyAlignment="1">
      <alignment horizontal="center" vertical="center"/>
    </xf>
    <xf numFmtId="9" fontId="147" fillId="9" borderId="1" xfId="784" applyFont="1" applyFill="1" applyBorder="1" applyAlignment="1">
      <alignment horizontal="center" vertical="center"/>
    </xf>
    <xf numFmtId="0" fontId="162" fillId="9" borderId="1" xfId="0" applyNumberFormat="1" applyFont="1" applyFill="1" applyBorder="1" applyAlignment="1">
      <alignment horizontal="center" vertical="center"/>
    </xf>
    <xf numFmtId="172" fontId="162" fillId="9" borderId="1" xfId="792" applyNumberFormat="1" applyFont="1" applyFill="1" applyBorder="1" applyAlignment="1">
      <alignment horizontal="center" vertical="center"/>
    </xf>
    <xf numFmtId="9" fontId="162" fillId="9" borderId="1" xfId="784" applyFont="1" applyFill="1" applyBorder="1" applyAlignment="1">
      <alignment horizontal="center" vertical="center"/>
    </xf>
    <xf numFmtId="0" fontId="107" fillId="0" borderId="1" xfId="11024" applyNumberFormat="1" applyFill="1" applyBorder="1" applyAlignment="1">
      <alignment horizontal="center" vertical="center"/>
    </xf>
    <xf numFmtId="0" fontId="107" fillId="9" borderId="1" xfId="11024" applyNumberFormat="1" applyFill="1" applyBorder="1" applyAlignment="1">
      <alignment horizontal="center" vertical="center"/>
    </xf>
    <xf numFmtId="0" fontId="107" fillId="9" borderId="1" xfId="11024" applyFill="1" applyBorder="1" applyAlignment="1">
      <alignment horizontal="center" vertical="center" wrapText="1"/>
    </xf>
    <xf numFmtId="0" fontId="107" fillId="0" borderId="0" xfId="814"/>
    <xf numFmtId="183" fontId="107" fillId="0" borderId="1" xfId="8504" applyNumberFormat="1"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107" fillId="0" borderId="0" xfId="814"/>
    <xf numFmtId="0" fontId="107" fillId="0" borderId="1" xfId="8504" applyNumberFormat="1" applyFont="1" applyFill="1" applyBorder="1" applyAlignment="1">
      <alignment horizontal="center" vertical="center"/>
    </xf>
    <xf numFmtId="0" fontId="127" fillId="0" borderId="5" xfId="642" applyFont="1" applyBorder="1" applyAlignment="1">
      <alignment horizontal="center" vertical="center"/>
    </xf>
    <xf numFmtId="9" fontId="132" fillId="0" borderId="2" xfId="1483" applyFont="1" applyBorder="1" applyAlignment="1">
      <alignment horizontal="center" vertical="center"/>
    </xf>
    <xf numFmtId="0" fontId="127" fillId="0" borderId="21" xfId="814" applyFont="1" applyBorder="1" applyAlignment="1">
      <alignment horizontal="center" vertical="center" wrapText="1"/>
    </xf>
    <xf numFmtId="9" fontId="127" fillId="0" borderId="21" xfId="814" applyNumberFormat="1" applyFont="1" applyBorder="1" applyAlignment="1">
      <alignment horizontal="center" vertical="center" wrapText="1"/>
    </xf>
    <xf numFmtId="9" fontId="127" fillId="0" borderId="21" xfId="814" applyNumberFormat="1" applyFont="1" applyBorder="1" applyAlignment="1">
      <alignment horizontal="center" vertical="center"/>
    </xf>
    <xf numFmtId="0" fontId="106" fillId="0" borderId="5" xfId="642" applyFont="1" applyBorder="1" applyAlignment="1">
      <alignment horizontal="center" vertical="center"/>
    </xf>
    <xf numFmtId="189" fontId="116" fillId="0" borderId="6" xfId="642" applyNumberFormat="1" applyFont="1" applyBorder="1" applyAlignment="1">
      <alignment horizontal="center" vertical="center"/>
    </xf>
    <xf numFmtId="9" fontId="116" fillId="0" borderId="2" xfId="1483" applyFont="1" applyBorder="1" applyAlignment="1">
      <alignment horizontal="center" vertical="center"/>
    </xf>
    <xf numFmtId="189" fontId="127" fillId="0" borderId="1" xfId="642" applyNumberFormat="1" applyFont="1" applyBorder="1" applyAlignment="1">
      <alignment horizontal="center" vertical="center"/>
    </xf>
    <xf numFmtId="190" fontId="115" fillId="0" borderId="0" xfId="814" applyNumberFormat="1" applyFont="1"/>
    <xf numFmtId="172" fontId="115" fillId="0" borderId="1" xfId="792" applyNumberFormat="1" applyFont="1" applyFill="1" applyBorder="1" applyAlignment="1">
      <alignment horizontal="center" vertical="center"/>
    </xf>
    <xf numFmtId="165" fontId="107" fillId="0" borderId="1" xfId="16317" applyFont="1" applyBorder="1"/>
    <xf numFmtId="9" fontId="0" fillId="0" borderId="0" xfId="1483" applyNumberFormat="1" applyFont="1" applyAlignment="1">
      <alignment horizontal="center" vertical="center"/>
    </xf>
    <xf numFmtId="0" fontId="0" fillId="0" borderId="0" xfId="0"/>
    <xf numFmtId="0" fontId="0" fillId="0" borderId="0" xfId="0"/>
    <xf numFmtId="0" fontId="134" fillId="0" borderId="0" xfId="0" applyFont="1"/>
    <xf numFmtId="0" fontId="0" fillId="0" borderId="0" xfId="0"/>
    <xf numFmtId="0" fontId="0" fillId="0" borderId="1" xfId="0" applyBorder="1" applyAlignment="1">
      <alignment vertical="center" wrapText="1"/>
    </xf>
    <xf numFmtId="0" fontId="127" fillId="8" borderId="0" xfId="567"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107" fillId="0" borderId="1" xfId="840" applyBorder="1" applyAlignment="1">
      <alignment vertical="center" wrapText="1"/>
    </xf>
    <xf numFmtId="0" fontId="0" fillId="0" borderId="0" xfId="0"/>
    <xf numFmtId="0" fontId="107" fillId="0" borderId="0" xfId="814"/>
    <xf numFmtId="0" fontId="0" fillId="0" borderId="1" xfId="0" applyBorder="1" applyAlignment="1">
      <alignment horizontal="left" vertical="center" wrapText="1"/>
    </xf>
    <xf numFmtId="0" fontId="153" fillId="0" borderId="23" xfId="0" applyFont="1" applyBorder="1" applyAlignment="1">
      <alignment vertical="center" wrapText="1"/>
    </xf>
    <xf numFmtId="0" fontId="0" fillId="0" borderId="1" xfId="0"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127" fillId="8" borderId="0" xfId="567" applyFont="1" applyFill="1" applyBorder="1" applyAlignment="1">
      <alignment horizontal="center" vertical="center"/>
    </xf>
    <xf numFmtId="0" fontId="0" fillId="0" borderId="1" xfId="0" applyBorder="1" applyAlignment="1">
      <alignment vertical="center" wrapText="1"/>
    </xf>
    <xf numFmtId="0" fontId="0" fillId="0" borderId="0" xfId="0"/>
    <xf numFmtId="0" fontId="107" fillId="0" borderId="0" xfId="814"/>
    <xf numFmtId="0" fontId="134" fillId="0" borderId="1" xfId="0" applyFont="1" applyBorder="1" applyAlignment="1">
      <alignment vertical="center" wrapText="1"/>
    </xf>
    <xf numFmtId="0" fontId="107" fillId="0" borderId="1" xfId="0" applyFont="1" applyBorder="1" applyAlignment="1">
      <alignment horizontal="left" vertical="center" wrapText="1"/>
    </xf>
    <xf numFmtId="0" fontId="134" fillId="0" borderId="1" xfId="0" applyFont="1" applyBorder="1"/>
    <xf numFmtId="0" fontId="134" fillId="0" borderId="1" xfId="0" applyFont="1" applyBorder="1" applyAlignment="1">
      <alignment horizontal="left" vertical="center" wrapText="1"/>
    </xf>
    <xf numFmtId="0" fontId="107" fillId="0" borderId="1" xfId="0" applyFont="1" applyBorder="1"/>
    <xf numFmtId="2" fontId="0" fillId="0" borderId="1" xfId="0" applyNumberFormat="1" applyBorder="1" applyAlignment="1">
      <alignment horizontal="center" vertical="center"/>
    </xf>
    <xf numFmtId="189" fontId="153" fillId="0" borderId="1" xfId="0" applyNumberFormat="1" applyFont="1" applyBorder="1" applyAlignment="1">
      <alignment vertical="center" wrapText="1"/>
    </xf>
    <xf numFmtId="0" fontId="158" fillId="14" borderId="23" xfId="0" applyFont="1" applyFill="1" applyBorder="1" applyAlignment="1">
      <alignment horizontal="center" vertical="center" wrapText="1"/>
    </xf>
    <xf numFmtId="189" fontId="158" fillId="14" borderId="23" xfId="0" applyNumberFormat="1" applyFont="1" applyFill="1" applyBorder="1" applyAlignment="1">
      <alignment vertical="center" wrapText="1"/>
    </xf>
    <xf numFmtId="0" fontId="0" fillId="8" borderId="1" xfId="0" applyFill="1" applyBorder="1" applyAlignment="1">
      <alignment horizontal="center" vertical="center" wrapText="1"/>
    </xf>
    <xf numFmtId="9" fontId="127" fillId="0" borderId="21" xfId="0" applyNumberFormat="1" applyFont="1" applyBorder="1" applyAlignment="1">
      <alignment horizontal="center" vertical="center" wrapText="1"/>
    </xf>
    <xf numFmtId="0" fontId="127" fillId="0" borderId="21" xfId="0" applyFont="1" applyBorder="1" applyAlignment="1">
      <alignment horizontal="center" vertical="center" wrapText="1"/>
    </xf>
    <xf numFmtId="9" fontId="127" fillId="0" borderId="21" xfId="0" applyNumberFormat="1" applyFont="1" applyBorder="1" applyAlignment="1">
      <alignment horizontal="center" vertical="center"/>
    </xf>
    <xf numFmtId="0" fontId="128" fillId="9" borderId="1" xfId="568" applyFont="1" applyFill="1" applyBorder="1" applyAlignment="1">
      <alignment horizontal="center" vertical="center" wrapText="1"/>
    </xf>
    <xf numFmtId="0" fontId="128" fillId="9" borderId="1" xfId="568" applyFont="1" applyFill="1" applyBorder="1" applyAlignment="1">
      <alignment horizontal="center" vertical="center"/>
    </xf>
    <xf numFmtId="0" fontId="128" fillId="9" borderId="1" xfId="814" applyFont="1" applyFill="1" applyBorder="1" applyAlignment="1">
      <alignment horizontal="center" vertical="center" wrapText="1"/>
    </xf>
    <xf numFmtId="0" fontId="128" fillId="9" borderId="1" xfId="814" applyFont="1" applyFill="1" applyBorder="1" applyAlignment="1">
      <alignment horizontal="center" vertical="center"/>
    </xf>
    <xf numFmtId="0" fontId="128" fillId="9" borderId="1" xfId="0" applyFont="1" applyFill="1" applyBorder="1" applyAlignment="1">
      <alignment horizontal="center" vertical="center" wrapText="1"/>
    </xf>
    <xf numFmtId="0" fontId="128" fillId="9" borderId="1" xfId="0" applyFont="1" applyFill="1" applyBorder="1" applyAlignment="1">
      <alignment horizontal="center" vertical="center"/>
    </xf>
    <xf numFmtId="0" fontId="128" fillId="9" borderId="22" xfId="568" applyFont="1" applyFill="1" applyBorder="1" applyAlignment="1">
      <alignment horizontal="center" vertical="center"/>
    </xf>
    <xf numFmtId="0" fontId="128" fillId="9" borderId="22" xfId="568" applyFont="1" applyFill="1" applyBorder="1" applyAlignment="1">
      <alignment horizontal="center" vertical="center" wrapText="1"/>
    </xf>
    <xf numFmtId="1" fontId="0" fillId="0" borderId="1" xfId="0" applyNumberFormat="1" applyFill="1" applyBorder="1" applyAlignment="1">
      <alignment horizontal="center" vertical="center"/>
    </xf>
    <xf numFmtId="0" fontId="128" fillId="9" borderId="1" xfId="8504" applyFont="1" applyFill="1" applyBorder="1" applyAlignment="1">
      <alignment horizontal="center" vertical="center"/>
    </xf>
    <xf numFmtId="0" fontId="128" fillId="9" borderId="1" xfId="8504" applyFont="1" applyFill="1" applyBorder="1" applyAlignment="1">
      <alignment horizontal="center" vertical="center" wrapText="1"/>
    </xf>
    <xf numFmtId="0" fontId="163" fillId="0" borderId="0" xfId="814" applyFont="1" applyAlignment="1">
      <alignment vertical="center"/>
    </xf>
    <xf numFmtId="0" fontId="0" fillId="8" borderId="0" xfId="0" applyFill="1"/>
    <xf numFmtId="190" fontId="115" fillId="0" borderId="0" xfId="1483" applyNumberFormat="1" applyFont="1"/>
    <xf numFmtId="0" fontId="0" fillId="0" borderId="1" xfId="0" applyBorder="1" applyAlignment="1">
      <alignment wrapText="1"/>
    </xf>
    <xf numFmtId="0" fontId="0" fillId="0" borderId="1" xfId="0" applyBorder="1" applyAlignment="1">
      <alignment vertical="center"/>
    </xf>
    <xf numFmtId="189" fontId="0" fillId="0" borderId="23" xfId="16317" applyNumberFormat="1" applyFont="1" applyBorder="1"/>
    <xf numFmtId="0" fontId="107" fillId="0" borderId="23" xfId="0" applyFont="1" applyBorder="1" applyAlignment="1">
      <alignment horizontal="center"/>
    </xf>
    <xf numFmtId="189" fontId="107" fillId="0" borderId="23" xfId="0" applyNumberFormat="1" applyFont="1" applyBorder="1" applyAlignment="1">
      <alignment horizontal="center"/>
    </xf>
    <xf numFmtId="0" fontId="139" fillId="0" borderId="0" xfId="1580" applyFont="1" applyAlignment="1">
      <alignment vertical="center"/>
    </xf>
    <xf numFmtId="184" fontId="139" fillId="0" borderId="1" xfId="1655" applyNumberFormat="1" applyFont="1" applyBorder="1" applyAlignment="1">
      <alignment vertical="center"/>
    </xf>
    <xf numFmtId="0" fontId="140" fillId="22" borderId="1" xfId="1580" applyFont="1" applyFill="1" applyBorder="1" applyAlignment="1">
      <alignment horizontal="center" vertical="center"/>
    </xf>
    <xf numFmtId="0" fontId="127" fillId="0" borderId="5" xfId="0" applyNumberFormat="1" applyFont="1" applyFill="1" applyBorder="1" applyAlignment="1">
      <alignment horizontal="center" vertical="center"/>
    </xf>
    <xf numFmtId="0" fontId="127" fillId="0" borderId="2" xfId="0" applyNumberFormat="1" applyFont="1" applyFill="1" applyBorder="1" applyAlignment="1">
      <alignment horizontal="center" vertical="center"/>
    </xf>
    <xf numFmtId="0" fontId="0" fillId="0" borderId="1" xfId="0" applyBorder="1" applyAlignment="1">
      <alignment vertical="center" wrapText="1"/>
    </xf>
    <xf numFmtId="0" fontId="107" fillId="0" borderId="1" xfId="0" applyFont="1" applyBorder="1" applyAlignment="1">
      <alignment vertical="center" wrapText="1"/>
    </xf>
    <xf numFmtId="0" fontId="127" fillId="8" borderId="0" xfId="567"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107" fillId="0" borderId="1" xfId="814" applyBorder="1" applyAlignment="1">
      <alignment vertical="center" wrapText="1"/>
    </xf>
    <xf numFmtId="0" fontId="0" fillId="0" borderId="0" xfId="0"/>
    <xf numFmtId="0" fontId="127" fillId="0" borderId="5" xfId="8504" applyNumberFormat="1" applyFont="1" applyFill="1" applyBorder="1" applyAlignment="1">
      <alignment horizontal="center" vertical="center"/>
    </xf>
    <xf numFmtId="0" fontId="127" fillId="0" borderId="2" xfId="8504" applyNumberFormat="1" applyFont="1" applyFill="1" applyBorder="1" applyAlignment="1">
      <alignment horizontal="center" vertical="center"/>
    </xf>
    <xf numFmtId="0" fontId="107" fillId="0" borderId="0" xfId="814"/>
    <xf numFmtId="0" fontId="127" fillId="0" borderId="5" xfId="642" applyFont="1" applyBorder="1" applyAlignment="1">
      <alignment horizontal="center" vertical="center"/>
    </xf>
    <xf numFmtId="0" fontId="164" fillId="14" borderId="1" xfId="0" applyFont="1" applyFill="1" applyBorder="1" applyAlignment="1">
      <alignment vertical="center" wrapText="1"/>
    </xf>
    <xf numFmtId="189" fontId="107" fillId="0" borderId="23" xfId="16317" applyNumberFormat="1" applyFont="1" applyBorder="1"/>
    <xf numFmtId="190" fontId="115" fillId="0" borderId="0" xfId="1483" applyNumberFormat="1" applyFont="1" applyAlignment="1">
      <alignment horizontal="center" vertical="center"/>
    </xf>
    <xf numFmtId="190" fontId="107" fillId="0" borderId="0" xfId="1483" applyNumberFormat="1" applyFont="1" applyAlignment="1">
      <alignment horizontal="center" vertical="center"/>
    </xf>
    <xf numFmtId="0" fontId="165" fillId="26" borderId="1" xfId="0" applyFont="1" applyFill="1" applyBorder="1" applyAlignment="1">
      <alignment horizontal="center" vertical="center" wrapText="1"/>
    </xf>
    <xf numFmtId="189" fontId="0" fillId="0" borderId="1" xfId="0" applyNumberFormat="1" applyBorder="1" applyAlignment="1">
      <alignment horizontal="right" vertical="center"/>
    </xf>
    <xf numFmtId="189" fontId="130" fillId="14" borderId="1" xfId="0" applyNumberFormat="1" applyFont="1" applyFill="1" applyBorder="1" applyAlignment="1"/>
    <xf numFmtId="0" fontId="134" fillId="0" borderId="1" xfId="0" applyFont="1" applyBorder="1" applyAlignment="1">
      <alignment vertical="center"/>
    </xf>
    <xf numFmtId="189" fontId="134" fillId="0" borderId="1" xfId="0" applyNumberFormat="1" applyFont="1" applyBorder="1" applyAlignment="1">
      <alignment horizontal="right" vertical="center"/>
    </xf>
    <xf numFmtId="0" fontId="107" fillId="0" borderId="1" xfId="784" applyNumberFormat="1" applyFont="1" applyBorder="1" applyAlignment="1">
      <alignment horizontal="center" vertical="center" wrapText="1"/>
    </xf>
    <xf numFmtId="184" fontId="139" fillId="0" borderId="1" xfId="1655" applyNumberFormat="1" applyFont="1" applyBorder="1" applyAlignment="1">
      <alignment vertical="center"/>
    </xf>
    <xf numFmtId="0" fontId="140" fillId="22" borderId="1" xfId="1580" applyFont="1" applyFill="1" applyBorder="1" applyAlignment="1">
      <alignment horizontal="center" vertical="center"/>
    </xf>
    <xf numFmtId="0" fontId="139" fillId="0" borderId="0" xfId="1580" applyFont="1" applyAlignment="1">
      <alignment vertical="center"/>
    </xf>
    <xf numFmtId="189" fontId="130" fillId="14" borderId="23" xfId="814" applyNumberFormat="1" applyFont="1" applyFill="1" applyBorder="1" applyAlignment="1">
      <alignment vertical="center" wrapText="1"/>
    </xf>
    <xf numFmtId="0" fontId="107" fillId="0" borderId="1" xfId="1483" applyNumberFormat="1" applyFont="1" applyFill="1" applyBorder="1" applyAlignment="1">
      <alignment horizontal="center" vertical="center"/>
    </xf>
    <xf numFmtId="189" fontId="132" fillId="0" borderId="5" xfId="642" applyNumberFormat="1" applyFont="1" applyBorder="1" applyAlignment="1">
      <alignment horizontal="center" vertical="center"/>
    </xf>
    <xf numFmtId="9" fontId="132" fillId="0" borderId="2" xfId="642" applyNumberFormat="1" applyFont="1" applyBorder="1" applyAlignment="1">
      <alignment horizontal="center" vertical="center"/>
    </xf>
    <xf numFmtId="184" fontId="142" fillId="0" borderId="0" xfId="814" applyNumberFormat="1" applyFont="1" applyBorder="1"/>
    <xf numFmtId="0" fontId="163" fillId="0" borderId="0" xfId="0" applyFont="1" applyAlignment="1">
      <alignment vertical="center"/>
    </xf>
    <xf numFmtId="9" fontId="107" fillId="0" borderId="1" xfId="784" applyNumberFormat="1" applyFont="1" applyBorder="1" applyAlignment="1">
      <alignment horizontal="center" vertical="center"/>
    </xf>
    <xf numFmtId="0" fontId="167" fillId="0" borderId="0" xfId="814" applyFont="1" applyAlignment="1">
      <alignment vertical="center"/>
    </xf>
    <xf numFmtId="189" fontId="132" fillId="0" borderId="1" xfId="16317" applyNumberFormat="1" applyFont="1" applyBorder="1" applyAlignment="1">
      <alignment horizontal="center" vertical="center"/>
    </xf>
    <xf numFmtId="191" fontId="143" fillId="9" borderId="1" xfId="8504" applyNumberFormat="1" applyFill="1" applyBorder="1" applyAlignment="1">
      <alignment horizontal="center" vertical="center"/>
    </xf>
    <xf numFmtId="189" fontId="130" fillId="14" borderId="23" xfId="8504" applyNumberFormat="1" applyFont="1" applyFill="1" applyBorder="1" applyAlignment="1">
      <alignment vertical="center" wrapText="1"/>
    </xf>
    <xf numFmtId="1" fontId="143" fillId="0" borderId="1" xfId="8504" applyNumberFormat="1" applyFill="1" applyBorder="1" applyAlignment="1">
      <alignment horizontal="center" vertical="center"/>
    </xf>
    <xf numFmtId="0" fontId="128" fillId="0" borderId="1" xfId="840" applyFont="1" applyFill="1" applyBorder="1" applyAlignment="1">
      <alignment horizontal="center" vertical="center"/>
    </xf>
    <xf numFmtId="0" fontId="0" fillId="0" borderId="1" xfId="1483" applyNumberFormat="1" applyFont="1" applyBorder="1" applyAlignment="1">
      <alignment horizontal="center" vertical="center"/>
    </xf>
    <xf numFmtId="0" fontId="115" fillId="0" borderId="0" xfId="0" applyFont="1" applyBorder="1"/>
    <xf numFmtId="9" fontId="115" fillId="0" borderId="5" xfId="0" applyNumberFormat="1" applyFont="1" applyBorder="1"/>
    <xf numFmtId="0" fontId="0" fillId="0" borderId="5" xfId="0" applyBorder="1"/>
    <xf numFmtId="193" fontId="115" fillId="0" borderId="1" xfId="0" applyNumberFormat="1" applyFont="1" applyBorder="1"/>
    <xf numFmtId="0" fontId="106" fillId="0" borderId="5" xfId="8504" applyFont="1" applyBorder="1" applyAlignment="1">
      <alignment horizontal="center" vertical="center" wrapText="1"/>
    </xf>
    <xf numFmtId="9" fontId="106" fillId="0" borderId="5" xfId="8504" applyNumberFormat="1" applyFont="1" applyBorder="1" applyAlignment="1">
      <alignment horizontal="center" vertical="center" wrapText="1"/>
    </xf>
    <xf numFmtId="0" fontId="106" fillId="0" borderId="5" xfId="814" applyFont="1" applyBorder="1" applyAlignment="1">
      <alignment horizontal="center" vertical="center" wrapText="1"/>
    </xf>
    <xf numFmtId="0" fontId="127" fillId="0" borderId="5" xfId="814" applyFont="1" applyBorder="1" applyAlignment="1">
      <alignment horizontal="center" vertical="center" wrapText="1"/>
    </xf>
    <xf numFmtId="9" fontId="106" fillId="0" borderId="5" xfId="8504" applyNumberFormat="1" applyFont="1" applyBorder="1" applyAlignment="1">
      <alignment horizontal="center" vertical="center"/>
    </xf>
    <xf numFmtId="0" fontId="106" fillId="0" borderId="5" xfId="8504" applyFont="1" applyBorder="1" applyAlignment="1">
      <alignment horizontal="center" vertical="center"/>
    </xf>
    <xf numFmtId="0" fontId="0" fillId="0" borderId="1" xfId="0" applyFill="1" applyBorder="1" applyAlignment="1">
      <alignment horizontal="center" vertical="center"/>
    </xf>
    <xf numFmtId="165" fontId="0" fillId="0" borderId="1" xfId="16317" applyFont="1" applyFill="1" applyBorder="1" applyAlignment="1">
      <alignment horizontal="center" vertical="center"/>
    </xf>
    <xf numFmtId="9" fontId="0" fillId="0" borderId="1" xfId="1483" applyFont="1" applyFill="1" applyBorder="1" applyAlignment="1">
      <alignment horizontal="center" vertical="center"/>
    </xf>
    <xf numFmtId="2" fontId="0" fillId="0" borderId="1" xfId="0" applyNumberFormat="1" applyBorder="1" applyAlignment="1">
      <alignment vertical="center" wrapText="1"/>
    </xf>
    <xf numFmtId="172" fontId="107" fillId="0" borderId="1" xfId="16311" applyNumberFormat="1" applyFont="1" applyBorder="1" applyAlignment="1">
      <alignment vertical="center"/>
    </xf>
    <xf numFmtId="0" fontId="107" fillId="0" borderId="1" xfId="814" applyBorder="1" applyAlignment="1">
      <alignment horizontal="center" vertical="center"/>
    </xf>
    <xf numFmtId="172" fontId="107" fillId="0" borderId="1" xfId="16311" applyNumberFormat="1" applyFont="1" applyBorder="1" applyAlignment="1">
      <alignment horizontal="center" vertical="center"/>
    </xf>
    <xf numFmtId="9" fontId="107" fillId="0" borderId="1" xfId="1483" applyFont="1" applyBorder="1" applyAlignment="1">
      <alignment horizontal="center" vertical="center"/>
    </xf>
    <xf numFmtId="166" fontId="0" fillId="0" borderId="1" xfId="9931" applyFont="1" applyBorder="1" applyAlignment="1">
      <alignment horizontal="center" vertical="center"/>
    </xf>
    <xf numFmtId="0" fontId="115" fillId="0" borderId="1" xfId="814" applyFont="1" applyBorder="1" applyAlignment="1">
      <alignment horizontal="center" vertical="center"/>
    </xf>
    <xf numFmtId="9" fontId="140" fillId="22" borderId="1" xfId="1699" applyFont="1" applyFill="1" applyBorder="1" applyAlignment="1">
      <alignment horizontal="center" vertical="center"/>
    </xf>
    <xf numFmtId="172" fontId="107" fillId="9" borderId="1" xfId="16311" applyNumberFormat="1" applyFont="1" applyFill="1" applyBorder="1" applyAlignment="1">
      <alignment horizontal="center" vertical="center"/>
    </xf>
    <xf numFmtId="172" fontId="115" fillId="0" borderId="1" xfId="9931" applyNumberFormat="1" applyFont="1" applyBorder="1" applyAlignment="1">
      <alignment horizontal="center" vertical="center"/>
    </xf>
    <xf numFmtId="9" fontId="115" fillId="0" borderId="1" xfId="1483" applyFont="1" applyBorder="1" applyAlignment="1">
      <alignment horizontal="center" vertical="center"/>
    </xf>
    <xf numFmtId="0" fontId="107" fillId="0" borderId="1" xfId="814" applyFont="1" applyBorder="1" applyAlignment="1">
      <alignment horizontal="center" vertical="center"/>
    </xf>
    <xf numFmtId="172" fontId="107" fillId="0" borderId="1" xfId="9931" applyNumberFormat="1" applyFont="1" applyBorder="1" applyAlignment="1">
      <alignment horizontal="center" vertical="center"/>
    </xf>
    <xf numFmtId="9" fontId="107" fillId="0" borderId="1" xfId="814" applyNumberFormat="1" applyFont="1" applyBorder="1" applyAlignment="1">
      <alignment horizontal="center" vertical="center"/>
    </xf>
    <xf numFmtId="166" fontId="107" fillId="0" borderId="1" xfId="9931" applyFont="1" applyBorder="1" applyAlignment="1">
      <alignment horizontal="center" vertical="center"/>
    </xf>
    <xf numFmtId="0" fontId="122" fillId="0" borderId="0" xfId="16321" applyFont="1"/>
    <xf numFmtId="0" fontId="139" fillId="0" borderId="0" xfId="16321" applyFont="1" applyAlignment="1">
      <alignment vertical="center"/>
    </xf>
    <xf numFmtId="0" fontId="139" fillId="0" borderId="1" xfId="16321" applyFont="1" applyBorder="1" applyAlignment="1">
      <alignment vertical="center"/>
    </xf>
    <xf numFmtId="0" fontId="139" fillId="0" borderId="1" xfId="16321" applyFont="1" applyBorder="1" applyAlignment="1">
      <alignment horizontal="left" vertical="center" wrapText="1"/>
    </xf>
    <xf numFmtId="184" fontId="139" fillId="0" borderId="1" xfId="16322" applyNumberFormat="1" applyFont="1" applyBorder="1" applyAlignment="1">
      <alignment vertical="center"/>
    </xf>
    <xf numFmtId="0" fontId="140" fillId="0" borderId="0" xfId="16321" applyFont="1" applyAlignment="1">
      <alignment vertical="center"/>
    </xf>
    <xf numFmtId="0" fontId="140" fillId="22" borderId="1" xfId="16321" applyFont="1" applyFill="1" applyBorder="1" applyAlignment="1">
      <alignment horizontal="center" vertical="center"/>
    </xf>
    <xf numFmtId="9" fontId="139" fillId="0" borderId="1" xfId="16323" applyFont="1" applyBorder="1" applyAlignment="1">
      <alignment vertical="center"/>
    </xf>
    <xf numFmtId="0" fontId="140" fillId="22" borderId="1" xfId="16321" applyFont="1" applyFill="1" applyBorder="1" applyAlignment="1">
      <alignment vertical="center"/>
    </xf>
    <xf numFmtId="9" fontId="140" fillId="22" borderId="1" xfId="16323" applyFont="1" applyFill="1" applyBorder="1" applyAlignment="1">
      <alignment vertical="center"/>
    </xf>
    <xf numFmtId="0" fontId="139" fillId="0" borderId="4" xfId="16321" applyFont="1" applyBorder="1" applyAlignment="1">
      <alignment vertical="center"/>
    </xf>
    <xf numFmtId="0" fontId="107" fillId="0" borderId="1" xfId="814" applyNumberFormat="1" applyBorder="1" applyAlignment="1">
      <alignment horizontal="center" vertical="center" wrapText="1"/>
    </xf>
    <xf numFmtId="0" fontId="107" fillId="9" borderId="1" xfId="814" applyNumberFormat="1" applyFill="1" applyBorder="1" applyAlignment="1">
      <alignment horizontal="center" vertical="center" wrapText="1"/>
    </xf>
    <xf numFmtId="164" fontId="134" fillId="0" borderId="1" xfId="1479" applyNumberFormat="1" applyFont="1" applyFill="1" applyBorder="1" applyAlignment="1">
      <alignment horizontal="center" vertical="center"/>
    </xf>
    <xf numFmtId="9" fontId="112" fillId="0" borderId="1" xfId="1478" applyFont="1" applyFill="1" applyBorder="1" applyAlignment="1">
      <alignment horizontal="center" vertical="center"/>
    </xf>
    <xf numFmtId="0" fontId="112" fillId="0" borderId="0" xfId="1476" applyFont="1" applyFill="1" applyAlignment="1">
      <alignment horizontal="center" vertical="center"/>
    </xf>
    <xf numFmtId="164" fontId="112" fillId="0" borderId="0" xfId="1476" applyNumberFormat="1" applyFont="1" applyFill="1" applyBorder="1" applyAlignment="1">
      <alignment horizontal="center" vertical="center"/>
    </xf>
    <xf numFmtId="9" fontId="112" fillId="0" borderId="0" xfId="1476" applyNumberFormat="1" applyFont="1" applyFill="1" applyBorder="1" applyAlignment="1">
      <alignment horizontal="center" vertical="center"/>
    </xf>
    <xf numFmtId="9" fontId="112" fillId="0" borderId="0" xfId="1476" applyNumberFormat="1" applyFont="1" applyFill="1" applyAlignment="1">
      <alignment horizontal="center" vertical="center"/>
    </xf>
    <xf numFmtId="9" fontId="112" fillId="0" borderId="1" xfId="1483" applyFont="1" applyFill="1" applyBorder="1" applyAlignment="1">
      <alignment horizontal="center" vertical="center"/>
    </xf>
    <xf numFmtId="1" fontId="112" fillId="0" borderId="0" xfId="1476" applyNumberFormat="1" applyFont="1" applyFill="1" applyBorder="1" applyAlignment="1">
      <alignment horizontal="center" vertical="center" wrapText="1"/>
    </xf>
    <xf numFmtId="2" fontId="107" fillId="9" borderId="1" xfId="814" applyNumberFormat="1" applyFill="1" applyBorder="1" applyAlignment="1">
      <alignment horizontal="center" vertical="center"/>
    </xf>
    <xf numFmtId="0" fontId="147" fillId="9" borderId="1" xfId="8504" applyNumberFormat="1" applyFont="1" applyFill="1" applyBorder="1" applyAlignment="1">
      <alignment horizontal="center" vertical="center"/>
    </xf>
    <xf numFmtId="1" fontId="143" fillId="9" borderId="1" xfId="8504" applyNumberFormat="1" applyFill="1" applyBorder="1" applyAlignment="1">
      <alignment horizontal="center" vertical="center"/>
    </xf>
    <xf numFmtId="2" fontId="143" fillId="9" borderId="1" xfId="8504" applyNumberFormat="1" applyFill="1" applyBorder="1" applyAlignment="1">
      <alignment horizontal="center" vertical="center"/>
    </xf>
    <xf numFmtId="183" fontId="123" fillId="9" borderId="1" xfId="8504" applyNumberFormat="1" applyFont="1" applyFill="1" applyBorder="1" applyAlignment="1">
      <alignment horizontal="center" vertical="center" wrapText="1"/>
    </xf>
    <xf numFmtId="165" fontId="107" fillId="9" borderId="1" xfId="16317" applyFont="1" applyFill="1" applyBorder="1" applyAlignment="1">
      <alignment horizontal="center" vertical="center"/>
    </xf>
    <xf numFmtId="9" fontId="107" fillId="9" borderId="1" xfId="8504" applyNumberFormat="1" applyFont="1" applyFill="1" applyBorder="1"/>
    <xf numFmtId="0" fontId="0" fillId="9" borderId="1" xfId="1483" applyNumberFormat="1" applyFont="1" applyFill="1" applyBorder="1" applyAlignment="1">
      <alignment horizontal="center" vertical="center"/>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107" fillId="0" borderId="1" xfId="814" applyBorder="1" applyAlignment="1">
      <alignment vertical="center" wrapText="1"/>
    </xf>
    <xf numFmtId="0" fontId="0" fillId="0" borderId="0" xfId="0"/>
    <xf numFmtId="0" fontId="107" fillId="0" borderId="0" xfId="814"/>
    <xf numFmtId="184" fontId="139" fillId="0" borderId="1" xfId="1655" applyNumberFormat="1" applyFont="1" applyBorder="1" applyAlignment="1">
      <alignment vertical="center"/>
    </xf>
    <xf numFmtId="0" fontId="140" fillId="22" borderId="1" xfId="1580" applyFont="1" applyFill="1" applyBorder="1" applyAlignment="1">
      <alignment horizontal="center" vertical="center"/>
    </xf>
    <xf numFmtId="0" fontId="139" fillId="0" borderId="0" xfId="1580" applyFont="1" applyAlignment="1">
      <alignment vertical="center"/>
    </xf>
    <xf numFmtId="0" fontId="127" fillId="8" borderId="0" xfId="567"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107" fillId="0" borderId="1" xfId="814" applyBorder="1" applyAlignment="1">
      <alignment vertical="center" wrapText="1"/>
    </xf>
    <xf numFmtId="0" fontId="0" fillId="0" borderId="0" xfId="0"/>
    <xf numFmtId="0" fontId="107" fillId="0" borderId="0" xfId="814"/>
    <xf numFmtId="0" fontId="169" fillId="26" borderId="1" xfId="0" applyFont="1" applyFill="1" applyBorder="1" applyAlignment="1">
      <alignment horizontal="center" vertical="center" wrapText="1"/>
    </xf>
    <xf numFmtId="0" fontId="170" fillId="14" borderId="1" xfId="0" applyFont="1" applyFill="1" applyBorder="1" applyAlignment="1">
      <alignment vertical="center" wrapText="1"/>
    </xf>
    <xf numFmtId="0" fontId="0" fillId="0" borderId="0" xfId="0"/>
    <xf numFmtId="0" fontId="107" fillId="0" borderId="0" xfId="0" applyFont="1"/>
    <xf numFmtId="9" fontId="128" fillId="0" borderId="1" xfId="16325" applyFont="1" applyFill="1" applyBorder="1" applyAlignment="1">
      <alignment horizontal="center" vertical="center"/>
    </xf>
    <xf numFmtId="9" fontId="132" fillId="0" borderId="2" xfId="1483" applyNumberFormat="1" applyFont="1" applyFill="1" applyBorder="1" applyAlignment="1">
      <alignment horizontal="center" vertical="center"/>
    </xf>
    <xf numFmtId="9" fontId="115" fillId="0" borderId="23" xfId="0" applyNumberFormat="1" applyFont="1" applyBorder="1"/>
    <xf numFmtId="0" fontId="134" fillId="0" borderId="0" xfId="0" applyFont="1" applyAlignment="1">
      <alignment horizontal="center"/>
    </xf>
    <xf numFmtId="0" fontId="139" fillId="0" borderId="0" xfId="1580" applyFont="1" applyBorder="1" applyAlignment="1">
      <alignment vertical="center"/>
    </xf>
    <xf numFmtId="190" fontId="0" fillId="0" borderId="0" xfId="1483" applyNumberFormat="1" applyFont="1" applyAlignment="1">
      <alignment horizontal="center"/>
    </xf>
    <xf numFmtId="190" fontId="0" fillId="0" borderId="0" xfId="1483" applyNumberFormat="1" applyFont="1" applyAlignment="1">
      <alignment horizontal="center" vertical="center"/>
    </xf>
    <xf numFmtId="193" fontId="107" fillId="0" borderId="1" xfId="0" applyNumberFormat="1" applyFont="1" applyBorder="1"/>
    <xf numFmtId="0" fontId="134" fillId="0" borderId="1" xfId="0" applyFont="1" applyFill="1" applyBorder="1" applyAlignment="1">
      <alignment horizontal="center" vertical="center"/>
    </xf>
    <xf numFmtId="9" fontId="115" fillId="0" borderId="0" xfId="1483" applyNumberFormat="1" applyFont="1"/>
    <xf numFmtId="9" fontId="0" fillId="0" borderId="0" xfId="1483" applyNumberFormat="1" applyFont="1"/>
    <xf numFmtId="0" fontId="0" fillId="0" borderId="0" xfId="0" applyAlignment="1"/>
    <xf numFmtId="0" fontId="0" fillId="0" borderId="1" xfId="0" applyBorder="1" applyAlignment="1"/>
    <xf numFmtId="0" fontId="127" fillId="0" borderId="1" xfId="814" applyFont="1" applyBorder="1" applyAlignment="1">
      <alignment horizontal="center" wrapText="1"/>
    </xf>
    <xf numFmtId="172" fontId="107" fillId="0" borderId="1" xfId="792" applyNumberFormat="1" applyFont="1" applyFill="1" applyBorder="1" applyAlignment="1">
      <alignment horizontal="center"/>
    </xf>
    <xf numFmtId="190" fontId="0" fillId="0" borderId="0" xfId="1483" applyNumberFormat="1" applyFont="1" applyAlignment="1"/>
    <xf numFmtId="0" fontId="127" fillId="0" borderId="5" xfId="8504" applyNumberFormat="1" applyFont="1" applyFill="1" applyBorder="1" applyAlignment="1">
      <alignment horizontal="center" vertical="center"/>
    </xf>
    <xf numFmtId="189" fontId="107" fillId="9" borderId="1" xfId="784" applyNumberFormat="1" applyFont="1" applyFill="1" applyBorder="1" applyAlignment="1">
      <alignment horizontal="center" vertical="center" wrapText="1"/>
    </xf>
    <xf numFmtId="9" fontId="107" fillId="0" borderId="0" xfId="814" applyNumberFormat="1" applyFill="1" applyAlignment="1">
      <alignment horizontal="center" vertical="center"/>
    </xf>
    <xf numFmtId="189" fontId="107" fillId="9" borderId="1" xfId="784" applyNumberFormat="1" applyFont="1" applyFill="1" applyBorder="1" applyAlignment="1">
      <alignment horizontal="center" vertical="center"/>
    </xf>
    <xf numFmtId="9" fontId="171" fillId="0" borderId="0" xfId="0" applyNumberFormat="1" applyFont="1" applyFill="1" applyAlignment="1">
      <alignment horizontal="center" vertical="center"/>
    </xf>
    <xf numFmtId="9" fontId="106" fillId="0" borderId="1" xfId="642" applyNumberFormat="1" applyFont="1" applyFill="1" applyBorder="1" applyAlignment="1">
      <alignment horizontal="center" vertical="center"/>
    </xf>
    <xf numFmtId="190" fontId="124" fillId="0" borderId="1" xfId="642" applyNumberFormat="1" applyFont="1" applyFill="1" applyBorder="1" applyAlignment="1">
      <alignment horizontal="center" vertical="center"/>
    </xf>
    <xf numFmtId="190" fontId="128" fillId="0" borderId="0" xfId="1483" applyNumberFormat="1" applyFont="1" applyFill="1"/>
    <xf numFmtId="189" fontId="131" fillId="0" borderId="0" xfId="568" applyNumberFormat="1" applyFont="1"/>
    <xf numFmtId="9" fontId="134" fillId="0" borderId="1" xfId="1479" applyNumberFormat="1" applyFont="1" applyFill="1" applyBorder="1" applyAlignment="1">
      <alignment horizontal="center" vertical="center"/>
    </xf>
    <xf numFmtId="9" fontId="112" fillId="0" borderId="1" xfId="1479" applyNumberFormat="1" applyFont="1" applyFill="1" applyBorder="1" applyAlignment="1">
      <alignment horizontal="center" vertical="center"/>
    </xf>
    <xf numFmtId="190" fontId="112" fillId="0" borderId="1" xfId="1478" applyNumberFormat="1" applyFont="1" applyFill="1" applyBorder="1" applyAlignment="1">
      <alignment horizontal="center" vertical="center"/>
    </xf>
    <xf numFmtId="165" fontId="134" fillId="0" borderId="1" xfId="1479" applyNumberFormat="1" applyFont="1" applyFill="1" applyBorder="1" applyAlignment="1">
      <alignment horizontal="center" vertical="center"/>
    </xf>
    <xf numFmtId="165" fontId="112" fillId="0" borderId="1" xfId="16317" applyFont="1" applyFill="1" applyBorder="1" applyAlignment="1">
      <alignment horizontal="center" vertical="center"/>
    </xf>
    <xf numFmtId="165" fontId="112" fillId="0" borderId="1" xfId="1479" applyNumberFormat="1" applyFont="1" applyFill="1" applyBorder="1" applyAlignment="1">
      <alignment horizontal="center" vertical="center"/>
    </xf>
    <xf numFmtId="165" fontId="112" fillId="0" borderId="1" xfId="16317" applyFont="1" applyFill="1" applyBorder="1" applyAlignment="1">
      <alignment vertical="center"/>
    </xf>
    <xf numFmtId="165" fontId="134" fillId="0" borderId="1" xfId="16317" applyFont="1" applyFill="1" applyBorder="1" applyAlignment="1">
      <alignment horizontal="center" vertical="center"/>
    </xf>
    <xf numFmtId="165" fontId="112" fillId="0" borderId="1" xfId="1478" applyNumberFormat="1" applyFont="1" applyFill="1" applyBorder="1" applyAlignment="1">
      <alignment horizontal="center" vertical="center"/>
    </xf>
    <xf numFmtId="0" fontId="106" fillId="0" borderId="1" xfId="302" applyBorder="1" applyAlignment="1">
      <alignment horizontal="center" vertical="center"/>
    </xf>
    <xf numFmtId="0" fontId="106" fillId="0" borderId="0" xfId="302"/>
    <xf numFmtId="0" fontId="106" fillId="0" borderId="1" xfId="302" applyBorder="1" applyAlignment="1">
      <alignment horizontal="center" vertical="top" wrapText="1"/>
    </xf>
    <xf numFmtId="15" fontId="172" fillId="0" borderId="1" xfId="302" applyNumberFormat="1" applyFont="1" applyBorder="1" applyAlignment="1">
      <alignment horizontal="center" vertical="center"/>
    </xf>
    <xf numFmtId="0" fontId="106" fillId="0" borderId="8" xfId="302" applyFont="1" applyBorder="1" applyAlignment="1">
      <alignment horizontal="center"/>
    </xf>
    <xf numFmtId="0" fontId="123" fillId="0" borderId="8" xfId="302" applyFont="1" applyBorder="1" applyAlignment="1"/>
    <xf numFmtId="15" fontId="172" fillId="0" borderId="25" xfId="302" applyNumberFormat="1" applyFont="1" applyBorder="1" applyAlignment="1">
      <alignment horizontal="center" vertical="center"/>
    </xf>
    <xf numFmtId="0" fontId="106" fillId="0" borderId="0" xfId="302" applyBorder="1" applyAlignment="1"/>
    <xf numFmtId="0" fontId="106" fillId="0" borderId="0" xfId="302" applyBorder="1"/>
    <xf numFmtId="0" fontId="106" fillId="0" borderId="25" xfId="302" applyBorder="1"/>
    <xf numFmtId="0" fontId="173" fillId="0" borderId="12" xfId="302" applyFont="1" applyBorder="1"/>
    <xf numFmtId="0" fontId="106" fillId="0" borderId="12" xfId="302" applyBorder="1"/>
    <xf numFmtId="0" fontId="106" fillId="0" borderId="34" xfId="302" applyBorder="1"/>
    <xf numFmtId="0" fontId="173" fillId="0" borderId="1" xfId="302" applyFont="1" applyBorder="1" applyAlignment="1">
      <alignment horizontal="center" vertical="center"/>
    </xf>
    <xf numFmtId="0" fontId="173" fillId="0" borderId="0" xfId="302" applyFont="1" applyBorder="1"/>
    <xf numFmtId="0" fontId="174" fillId="0" borderId="0" xfId="302" applyFont="1" applyFill="1" applyBorder="1" applyAlignment="1">
      <alignment horizontal="center" vertical="center"/>
    </xf>
    <xf numFmtId="0" fontId="173" fillId="0" borderId="0" xfId="302" applyFont="1" applyBorder="1" applyAlignment="1">
      <alignment horizontal="center" vertical="center"/>
    </xf>
    <xf numFmtId="0" fontId="173" fillId="0" borderId="4" xfId="302" applyFont="1" applyBorder="1"/>
    <xf numFmtId="0" fontId="106" fillId="0" borderId="21" xfId="302" applyBorder="1"/>
    <xf numFmtId="0" fontId="106" fillId="0" borderId="0" xfId="302" applyAlignment="1">
      <alignment vertical="center"/>
    </xf>
    <xf numFmtId="0" fontId="106" fillId="8" borderId="24" xfId="302" applyNumberFormat="1" applyFont="1" applyFill="1" applyBorder="1" applyAlignment="1">
      <alignment vertical="center" wrapText="1"/>
    </xf>
    <xf numFmtId="0" fontId="106" fillId="8" borderId="0" xfId="302" applyNumberFormat="1" applyFont="1" applyFill="1" applyBorder="1" applyAlignment="1">
      <alignment vertical="center" wrapText="1"/>
    </xf>
    <xf numFmtId="0" fontId="106" fillId="8" borderId="25" xfId="302" applyNumberFormat="1" applyFont="1" applyFill="1" applyBorder="1" applyAlignment="1">
      <alignment vertical="center" wrapText="1"/>
    </xf>
    <xf numFmtId="0" fontId="106" fillId="0" borderId="0" xfId="302" applyFont="1" applyAlignment="1">
      <alignment vertical="center"/>
    </xf>
    <xf numFmtId="0" fontId="106" fillId="8" borderId="24" xfId="302" applyNumberFormat="1" applyFont="1" applyFill="1" applyBorder="1" applyAlignment="1">
      <alignment vertical="center"/>
    </xf>
    <xf numFmtId="0" fontId="176" fillId="28" borderId="1" xfId="16326" applyFont="1" applyFill="1" applyBorder="1" applyAlignment="1">
      <alignment horizontal="center" vertical="center" wrapText="1"/>
    </xf>
    <xf numFmtId="0" fontId="171" fillId="0" borderId="1" xfId="16326" applyFont="1" applyFill="1" applyBorder="1" applyAlignment="1">
      <alignment horizontal="center" vertical="center" wrapText="1"/>
    </xf>
    <xf numFmtId="14" fontId="106" fillId="0" borderId="1" xfId="16326" applyNumberFormat="1" applyFont="1" applyFill="1" applyBorder="1" applyAlignment="1">
      <alignment horizontal="center" vertical="center" wrapText="1"/>
    </xf>
    <xf numFmtId="0" fontId="106" fillId="0" borderId="1" xfId="16326" applyFont="1" applyFill="1" applyBorder="1" applyAlignment="1">
      <alignment horizontal="center" vertical="center" wrapText="1"/>
    </xf>
    <xf numFmtId="184" fontId="106" fillId="0" borderId="1" xfId="16327" applyNumberFormat="1" applyFont="1" applyFill="1" applyBorder="1" applyAlignment="1">
      <alignment horizontal="center" vertical="center" wrapText="1"/>
    </xf>
    <xf numFmtId="0" fontId="106" fillId="8" borderId="0" xfId="302" applyNumberFormat="1" applyFont="1" applyFill="1" applyBorder="1" applyAlignment="1">
      <alignment vertical="center"/>
    </xf>
    <xf numFmtId="184" fontId="127" fillId="0" borderId="23" xfId="16327" applyNumberFormat="1" applyFont="1" applyFill="1" applyBorder="1" applyAlignment="1">
      <alignment horizontal="center" vertical="center" wrapText="1"/>
    </xf>
    <xf numFmtId="190" fontId="2" fillId="0" borderId="1" xfId="16326" applyNumberFormat="1" applyBorder="1" applyAlignment="1">
      <alignment horizontal="center"/>
    </xf>
    <xf numFmtId="0" fontId="106" fillId="8" borderId="25" xfId="302" applyNumberFormat="1" applyFont="1" applyFill="1" applyBorder="1" applyAlignment="1">
      <alignment vertical="center"/>
    </xf>
    <xf numFmtId="184" fontId="127" fillId="9" borderId="1" xfId="302" applyNumberFormat="1" applyFont="1" applyFill="1" applyBorder="1" applyAlignment="1">
      <alignment horizontal="center" vertical="center"/>
    </xf>
    <xf numFmtId="0" fontId="106" fillId="8" borderId="3" xfId="302" applyNumberFormat="1" applyFont="1" applyFill="1" applyBorder="1" applyAlignment="1">
      <alignment vertical="center"/>
    </xf>
    <xf numFmtId="0" fontId="106" fillId="8" borderId="4" xfId="302" applyNumberFormat="1" applyFont="1" applyFill="1" applyBorder="1" applyAlignment="1">
      <alignment vertical="center"/>
    </xf>
    <xf numFmtId="0" fontId="106" fillId="8" borderId="21" xfId="302" applyNumberFormat="1" applyFont="1" applyFill="1" applyBorder="1" applyAlignment="1">
      <alignment vertical="center"/>
    </xf>
    <xf numFmtId="0" fontId="173" fillId="0" borderId="0" xfId="302" applyFont="1" applyBorder="1" applyAlignment="1">
      <alignment horizontal="left" vertical="center"/>
    </xf>
    <xf numFmtId="0" fontId="106" fillId="0" borderId="0" xfId="302" applyBorder="1" applyAlignment="1">
      <alignment horizontal="left"/>
    </xf>
    <xf numFmtId="0" fontId="173" fillId="0" borderId="42" xfId="302" applyFont="1" applyBorder="1" applyAlignment="1">
      <alignment horizontal="center" vertical="center"/>
    </xf>
    <xf numFmtId="0" fontId="173" fillId="0" borderId="43" xfId="302" applyFont="1" applyBorder="1" applyAlignment="1">
      <alignment horizontal="center" vertical="center"/>
    </xf>
    <xf numFmtId="0" fontId="173" fillId="0" borderId="44" xfId="302" applyFont="1" applyBorder="1" applyAlignment="1">
      <alignment horizontal="center" vertical="center"/>
    </xf>
    <xf numFmtId="0" fontId="173" fillId="0" borderId="39" xfId="302" applyFont="1" applyBorder="1" applyAlignment="1">
      <alignment horizontal="center" vertical="center"/>
    </xf>
    <xf numFmtId="0" fontId="173" fillId="0" borderId="0" xfId="302" applyFont="1"/>
    <xf numFmtId="0" fontId="2" fillId="0" borderId="0" xfId="16326"/>
    <xf numFmtId="172" fontId="143" fillId="0" borderId="0" xfId="16311" applyNumberFormat="1"/>
    <xf numFmtId="172" fontId="0" fillId="0" borderId="0" xfId="16311" applyNumberFormat="1" applyFont="1"/>
    <xf numFmtId="0" fontId="0" fillId="0" borderId="1" xfId="0" applyBorder="1" applyAlignment="1">
      <alignment vertical="center" wrapText="1"/>
    </xf>
    <xf numFmtId="0" fontId="0" fillId="0" borderId="0" xfId="0"/>
    <xf numFmtId="0" fontId="139" fillId="0" borderId="0" xfId="1580" applyFont="1" applyAlignment="1">
      <alignment vertical="center"/>
    </xf>
    <xf numFmtId="0" fontId="127" fillId="8" borderId="0" xfId="567"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0" fillId="0" borderId="0" xfId="0"/>
    <xf numFmtId="0" fontId="107" fillId="0" borderId="0" xfId="814"/>
    <xf numFmtId="0" fontId="0" fillId="0" borderId="0" xfId="0" applyAlignment="1">
      <alignment vertical="center" wrapText="1"/>
    </xf>
    <xf numFmtId="0" fontId="127" fillId="0" borderId="5" xfId="0" applyNumberFormat="1" applyFont="1" applyFill="1" applyBorder="1" applyAlignment="1">
      <alignment horizontal="center" vertical="center"/>
    </xf>
    <xf numFmtId="0" fontId="127" fillId="0" borderId="2" xfId="0" applyNumberFormat="1" applyFont="1" applyFill="1" applyBorder="1" applyAlignment="1">
      <alignment horizontal="center" vertical="center"/>
    </xf>
    <xf numFmtId="1" fontId="127" fillId="0" borderId="5" xfId="0" applyNumberFormat="1" applyFont="1" applyFill="1" applyBorder="1" applyAlignment="1">
      <alignment horizontal="center" vertical="center"/>
    </xf>
    <xf numFmtId="1" fontId="127" fillId="0" borderId="2" xfId="0" applyNumberFormat="1" applyFont="1" applyFill="1" applyBorder="1" applyAlignment="1">
      <alignment horizontal="center" vertical="center"/>
    </xf>
    <xf numFmtId="0" fontId="127" fillId="8" borderId="0" xfId="567" applyFont="1" applyFill="1" applyBorder="1" applyAlignment="1">
      <alignment horizontal="center" vertical="center"/>
    </xf>
    <xf numFmtId="0" fontId="127" fillId="0" borderId="12" xfId="824" applyFont="1" applyBorder="1" applyAlignment="1">
      <alignment horizontal="center" vertical="center"/>
    </xf>
    <xf numFmtId="0" fontId="127" fillId="0" borderId="18" xfId="824" applyFont="1" applyBorder="1" applyAlignment="1">
      <alignment horizontal="center" vertical="center"/>
    </xf>
    <xf numFmtId="0" fontId="0" fillId="0" borderId="0" xfId="0"/>
    <xf numFmtId="0" fontId="107" fillId="0" borderId="0" xfId="814"/>
    <xf numFmtId="0" fontId="127" fillId="0" borderId="5" xfId="8504" applyNumberFormat="1" applyFont="1" applyFill="1" applyBorder="1" applyAlignment="1">
      <alignment horizontal="center" vertical="center"/>
    </xf>
    <xf numFmtId="0" fontId="127" fillId="0" borderId="2" xfId="8504" applyNumberFormat="1" applyFont="1" applyFill="1" applyBorder="1" applyAlignment="1">
      <alignment horizontal="center" vertical="center"/>
    </xf>
    <xf numFmtId="1" fontId="127" fillId="0" borderId="5" xfId="8504" applyNumberFormat="1" applyFont="1" applyFill="1" applyBorder="1" applyAlignment="1">
      <alignment horizontal="center" vertical="center"/>
    </xf>
    <xf numFmtId="1" fontId="127" fillId="0" borderId="2" xfId="8504" applyNumberFormat="1" applyFont="1" applyFill="1" applyBorder="1" applyAlignment="1">
      <alignment horizontal="center" vertical="center"/>
    </xf>
    <xf numFmtId="0" fontId="127" fillId="0" borderId="25" xfId="824" applyFont="1" applyBorder="1" applyAlignment="1">
      <alignment horizontal="center" vertical="center"/>
    </xf>
    <xf numFmtId="0" fontId="127" fillId="0" borderId="5" xfId="642" applyFont="1" applyBorder="1" applyAlignment="1">
      <alignment horizontal="center" vertical="center"/>
    </xf>
    <xf numFmtId="0" fontId="0" fillId="0" borderId="0" xfId="0" applyAlignment="1">
      <alignment vertical="center" wrapText="1"/>
    </xf>
    <xf numFmtId="0" fontId="107" fillId="0" borderId="0" xfId="0" applyFont="1" applyAlignment="1">
      <alignment vertical="center" wrapText="1"/>
    </xf>
    <xf numFmtId="0" fontId="1" fillId="0" borderId="0" xfId="1476" applyFont="1" applyFill="1" applyAlignment="1">
      <alignment horizontal="center" vertical="center"/>
    </xf>
    <xf numFmtId="1" fontId="112" fillId="0" borderId="2" xfId="1476" applyNumberFormat="1" applyFont="1" applyFill="1" applyBorder="1" applyAlignment="1">
      <alignment horizontal="center" vertical="center" wrapText="1"/>
    </xf>
    <xf numFmtId="0" fontId="112" fillId="0" borderId="2" xfId="1476" applyFont="1" applyFill="1" applyBorder="1" applyAlignment="1">
      <alignment horizontal="center" vertical="center" wrapText="1"/>
    </xf>
    <xf numFmtId="173" fontId="112" fillId="0" borderId="1" xfId="1477" applyNumberFormat="1" applyFont="1" applyFill="1" applyBorder="1" applyAlignment="1">
      <alignment horizontal="center" vertical="center" wrapText="1"/>
    </xf>
    <xf numFmtId="173" fontId="179" fillId="0" borderId="1" xfId="1477" applyNumberFormat="1" applyFont="1" applyFill="1" applyBorder="1" applyAlignment="1">
      <alignment horizontal="center" vertical="center" wrapText="1"/>
    </xf>
    <xf numFmtId="174" fontId="179" fillId="0" borderId="1" xfId="1476" applyNumberFormat="1" applyFont="1" applyFill="1" applyBorder="1" applyAlignment="1">
      <alignment horizontal="center" vertical="center" wrapText="1"/>
    </xf>
    <xf numFmtId="9" fontId="179" fillId="0" borderId="1" xfId="1478" applyFont="1" applyFill="1" applyBorder="1" applyAlignment="1">
      <alignment horizontal="center" vertical="center" wrapText="1"/>
    </xf>
    <xf numFmtId="0" fontId="1" fillId="0" borderId="0" xfId="1476" quotePrefix="1" applyFont="1" applyFill="1" applyAlignment="1">
      <alignment horizontal="center" vertical="center"/>
    </xf>
    <xf numFmtId="0" fontId="127" fillId="8" borderId="0" xfId="567" applyFont="1" applyFill="1" applyBorder="1" applyAlignment="1">
      <alignment horizontal="center" vertical="center"/>
    </xf>
    <xf numFmtId="0" fontId="0" fillId="0" borderId="0" xfId="0"/>
    <xf numFmtId="0" fontId="0" fillId="0" borderId="0" xfId="0" applyAlignment="1">
      <alignment vertical="center" wrapText="1"/>
    </xf>
    <xf numFmtId="0" fontId="107" fillId="0" borderId="0" xfId="0" applyFont="1" applyAlignment="1">
      <alignment vertical="center" wrapText="1"/>
    </xf>
    <xf numFmtId="0" fontId="106" fillId="0" borderId="1" xfId="642" applyFont="1" applyFill="1" applyBorder="1" applyAlignment="1">
      <alignment horizontal="center" vertical="center"/>
    </xf>
    <xf numFmtId="0" fontId="180" fillId="0" borderId="1" xfId="0" applyNumberFormat="1" applyFont="1" applyFill="1" applyBorder="1" applyAlignment="1">
      <alignment horizontal="center" vertical="center"/>
    </xf>
    <xf numFmtId="172" fontId="166" fillId="29" borderId="1" xfId="792" applyNumberFormat="1" applyFont="1" applyFill="1" applyBorder="1" applyAlignment="1">
      <alignment horizontal="center" vertical="center"/>
    </xf>
    <xf numFmtId="172" fontId="181" fillId="14" borderId="1" xfId="792" applyNumberFormat="1" applyFont="1" applyFill="1" applyBorder="1" applyAlignment="1">
      <alignment horizontal="center" vertical="center" wrapText="1"/>
    </xf>
    <xf numFmtId="172" fontId="182" fillId="0" borderId="1" xfId="792" applyNumberFormat="1" applyFont="1" applyFill="1" applyBorder="1" applyAlignment="1">
      <alignment horizontal="center" vertical="center"/>
    </xf>
    <xf numFmtId="0" fontId="106" fillId="0" borderId="26" xfId="574" applyFont="1" applyFill="1" applyBorder="1" applyAlignment="1">
      <alignment horizontal="center" vertical="center"/>
    </xf>
    <xf numFmtId="0" fontId="0" fillId="29" borderId="1" xfId="0" applyNumberFormat="1" applyFill="1" applyBorder="1" applyAlignment="1">
      <alignment horizontal="center" vertical="center"/>
    </xf>
    <xf numFmtId="2" fontId="0" fillId="0" borderId="1" xfId="0" applyNumberFormat="1" applyFill="1" applyBorder="1" applyAlignment="1">
      <alignment horizontal="center" vertical="center"/>
    </xf>
    <xf numFmtId="0" fontId="0" fillId="29" borderId="1" xfId="0" applyNumberFormat="1" applyFill="1" applyBorder="1" applyAlignment="1">
      <alignment horizontal="center" vertical="center" wrapText="1"/>
    </xf>
    <xf numFmtId="172" fontId="166" fillId="29" borderId="1" xfId="792" applyNumberFormat="1" applyFont="1" applyFill="1" applyBorder="1" applyAlignment="1">
      <alignment horizontal="center" vertical="center" wrapText="1"/>
    </xf>
    <xf numFmtId="9" fontId="166" fillId="29" borderId="1" xfId="784" applyFont="1" applyFill="1" applyBorder="1" applyAlignment="1">
      <alignment horizontal="center" vertical="center" wrapText="1"/>
    </xf>
    <xf numFmtId="9" fontId="107" fillId="0" borderId="1" xfId="784" applyNumberFormat="1" applyFont="1" applyFill="1" applyBorder="1" applyAlignment="1">
      <alignment horizontal="center" vertical="center"/>
    </xf>
    <xf numFmtId="9" fontId="166" fillId="29" borderId="1" xfId="784" applyNumberFormat="1" applyFont="1" applyFill="1" applyBorder="1" applyAlignment="1">
      <alignment horizontal="center" vertical="center"/>
    </xf>
    <xf numFmtId="0" fontId="166" fillId="29" borderId="1" xfId="8504" applyNumberFormat="1" applyFont="1" applyFill="1" applyBorder="1" applyAlignment="1">
      <alignment horizontal="center" vertical="center"/>
    </xf>
    <xf numFmtId="9" fontId="166" fillId="30" borderId="1" xfId="784" applyFont="1" applyFill="1" applyBorder="1" applyAlignment="1">
      <alignment horizontal="center" vertical="center" wrapText="1"/>
    </xf>
    <xf numFmtId="9" fontId="166" fillId="29" borderId="1" xfId="784" applyFont="1" applyFill="1" applyBorder="1" applyAlignment="1">
      <alignment horizontal="center" vertical="center"/>
    </xf>
    <xf numFmtId="9" fontId="130" fillId="14" borderId="1" xfId="784" applyNumberFormat="1" applyFont="1" applyFill="1" applyBorder="1" applyAlignment="1">
      <alignment horizontal="center" vertical="center" wrapText="1"/>
    </xf>
    <xf numFmtId="0" fontId="166" fillId="29" borderId="1" xfId="0" applyNumberFormat="1" applyFont="1" applyFill="1" applyBorder="1" applyAlignment="1">
      <alignment horizontal="center" vertical="center"/>
    </xf>
    <xf numFmtId="0" fontId="166" fillId="29" borderId="1" xfId="0" applyNumberFormat="1" applyFont="1" applyFill="1" applyBorder="1" applyAlignment="1">
      <alignment horizontal="center" vertical="center" wrapText="1"/>
    </xf>
    <xf numFmtId="2" fontId="166" fillId="30" borderId="1" xfId="0" applyNumberFormat="1" applyFont="1" applyFill="1" applyBorder="1" applyAlignment="1">
      <alignment horizontal="center" vertical="center" wrapText="1"/>
    </xf>
    <xf numFmtId="0" fontId="166" fillId="30" borderId="1" xfId="0" applyNumberFormat="1" applyFont="1" applyFill="1" applyBorder="1" applyAlignment="1">
      <alignment horizontal="center" vertical="center" wrapText="1"/>
    </xf>
    <xf numFmtId="9" fontId="107" fillId="0" borderId="1" xfId="784" applyNumberFormat="1" applyFont="1" applyBorder="1" applyAlignment="1">
      <alignment horizontal="center" vertical="center" wrapText="1"/>
    </xf>
    <xf numFmtId="9" fontId="166" fillId="29" borderId="1" xfId="784" applyNumberFormat="1" applyFont="1" applyFill="1" applyBorder="1" applyAlignment="1">
      <alignment horizontal="center" vertical="center" wrapText="1"/>
    </xf>
    <xf numFmtId="9" fontId="107" fillId="0" borderId="1" xfId="1483" applyNumberFormat="1" applyFont="1" applyFill="1" applyBorder="1" applyAlignment="1">
      <alignment horizontal="center" vertical="center"/>
    </xf>
    <xf numFmtId="9" fontId="166" fillId="29" borderId="1" xfId="1483" applyFont="1" applyFill="1" applyBorder="1" applyAlignment="1">
      <alignment horizontal="center" vertical="center"/>
    </xf>
    <xf numFmtId="0" fontId="166" fillId="30" borderId="1" xfId="8504" applyNumberFormat="1" applyFont="1" applyFill="1" applyBorder="1" applyAlignment="1">
      <alignment horizontal="center" vertical="center" wrapText="1"/>
    </xf>
    <xf numFmtId="0" fontId="166" fillId="29" borderId="1" xfId="784" applyNumberFormat="1" applyFont="1" applyFill="1" applyBorder="1" applyAlignment="1">
      <alignment horizontal="center" vertical="center"/>
    </xf>
    <xf numFmtId="172" fontId="166" fillId="30" borderId="1" xfId="784" applyNumberFormat="1" applyFont="1" applyFill="1" applyBorder="1" applyAlignment="1">
      <alignment horizontal="center" vertical="center" wrapText="1"/>
    </xf>
    <xf numFmtId="9" fontId="127" fillId="0" borderId="1" xfId="642" applyNumberFormat="1" applyFont="1" applyFill="1" applyBorder="1" applyAlignment="1">
      <alignment horizontal="center" vertical="center"/>
    </xf>
    <xf numFmtId="0" fontId="166" fillId="29" borderId="1" xfId="1483" applyNumberFormat="1" applyFont="1" applyFill="1" applyBorder="1" applyAlignment="1">
      <alignment horizontal="center" vertical="center"/>
    </xf>
    <xf numFmtId="0" fontId="166" fillId="29" borderId="1" xfId="0" applyFont="1" applyFill="1" applyBorder="1" applyAlignment="1">
      <alignment horizontal="center" vertical="center"/>
    </xf>
    <xf numFmtId="165" fontId="166" fillId="29" borderId="1" xfId="16317" applyFont="1" applyFill="1" applyBorder="1" applyAlignment="1">
      <alignment horizontal="center" vertical="center"/>
    </xf>
    <xf numFmtId="0" fontId="166" fillId="30" borderId="1" xfId="0" applyFont="1" applyFill="1" applyBorder="1" applyAlignment="1">
      <alignment horizontal="center" vertical="center" wrapText="1"/>
    </xf>
    <xf numFmtId="189" fontId="0" fillId="0" borderId="1" xfId="1483" applyNumberFormat="1" applyFont="1" applyBorder="1" applyAlignment="1">
      <alignment horizontal="center" vertical="center"/>
    </xf>
    <xf numFmtId="189" fontId="166" fillId="29" borderId="1" xfId="1483" applyNumberFormat="1" applyFont="1" applyFill="1" applyBorder="1" applyAlignment="1">
      <alignment horizontal="center" vertical="center"/>
    </xf>
    <xf numFmtId="9" fontId="0" fillId="0" borderId="1" xfId="1483" applyNumberFormat="1" applyFont="1" applyBorder="1" applyAlignment="1">
      <alignment horizontal="center" vertical="center"/>
    </xf>
    <xf numFmtId="189" fontId="166" fillId="30" borderId="1" xfId="0" applyNumberFormat="1" applyFont="1" applyFill="1" applyBorder="1" applyAlignment="1">
      <alignment horizontal="center" vertical="center" wrapText="1"/>
    </xf>
    <xf numFmtId="9" fontId="166" fillId="30" borderId="1" xfId="1483" applyFont="1" applyFill="1" applyBorder="1" applyAlignment="1">
      <alignment horizontal="center" vertical="center" wrapText="1"/>
    </xf>
    <xf numFmtId="189" fontId="107" fillId="0" borderId="0" xfId="0" applyNumberFormat="1" applyFont="1" applyAlignment="1">
      <alignment vertical="center" wrapText="1"/>
    </xf>
    <xf numFmtId="166" fontId="0" fillId="0" borderId="0" xfId="792" applyFont="1"/>
    <xf numFmtId="193" fontId="0" fillId="0" borderId="0" xfId="0" applyNumberFormat="1"/>
    <xf numFmtId="193" fontId="115" fillId="0" borderId="0" xfId="0" applyNumberFormat="1" applyFont="1"/>
    <xf numFmtId="9" fontId="106" fillId="0" borderId="1" xfId="11024" applyNumberFormat="1" applyFont="1" applyBorder="1" applyAlignment="1">
      <alignment horizontal="center" vertical="center" wrapText="1"/>
    </xf>
    <xf numFmtId="0" fontId="106" fillId="0" borderId="1" xfId="11024" applyFont="1" applyBorder="1" applyAlignment="1">
      <alignment horizontal="center" vertical="center" wrapText="1"/>
    </xf>
    <xf numFmtId="0" fontId="0" fillId="0" borderId="0" xfId="0" applyBorder="1" applyAlignment="1"/>
    <xf numFmtId="0" fontId="115" fillId="0" borderId="0" xfId="0" applyFont="1" applyBorder="1" applyAlignment="1"/>
    <xf numFmtId="9" fontId="106" fillId="0" borderId="1" xfId="11024" applyNumberFormat="1" applyFont="1" applyBorder="1" applyAlignment="1">
      <alignment horizontal="center" vertical="center"/>
    </xf>
    <xf numFmtId="0" fontId="106" fillId="0" borderId="1" xfId="11024" applyFont="1" applyBorder="1" applyAlignment="1">
      <alignment horizontal="center" vertical="center"/>
    </xf>
    <xf numFmtId="165" fontId="0" fillId="0" borderId="1" xfId="1740" applyFont="1" applyBorder="1" applyAlignment="1">
      <alignment horizontal="center" vertical="center"/>
    </xf>
    <xf numFmtId="0" fontId="106" fillId="0" borderId="23" xfId="11024" applyFont="1" applyBorder="1" applyAlignment="1">
      <alignment horizontal="center" vertical="center" wrapText="1"/>
    </xf>
    <xf numFmtId="189" fontId="107" fillId="0" borderId="23" xfId="1740" applyNumberFormat="1" applyFont="1" applyBorder="1"/>
    <xf numFmtId="189" fontId="0" fillId="0" borderId="23" xfId="1740" applyNumberFormat="1" applyFont="1" applyBorder="1"/>
    <xf numFmtId="165" fontId="0" fillId="0" borderId="1" xfId="1740" applyFont="1" applyBorder="1"/>
    <xf numFmtId="190" fontId="115" fillId="0" borderId="0" xfId="784" applyNumberFormat="1" applyFont="1"/>
    <xf numFmtId="177" fontId="127" fillId="15" borderId="1" xfId="11024" applyNumberFormat="1" applyFont="1" applyFill="1" applyBorder="1" applyAlignment="1">
      <alignment horizontal="center" vertical="center"/>
    </xf>
    <xf numFmtId="0" fontId="127" fillId="15" borderId="1" xfId="11024" applyFont="1" applyFill="1" applyBorder="1" applyAlignment="1">
      <alignment horizontal="center" vertical="center"/>
    </xf>
    <xf numFmtId="165" fontId="134" fillId="0" borderId="1" xfId="16310" applyNumberFormat="1" applyFont="1" applyFill="1" applyBorder="1" applyAlignment="1">
      <alignment horizontal="center" vertical="center"/>
    </xf>
    <xf numFmtId="9" fontId="134" fillId="0" borderId="1" xfId="16310" applyFont="1" applyFill="1" applyBorder="1" applyAlignment="1">
      <alignment horizontal="center" vertical="center"/>
    </xf>
    <xf numFmtId="0" fontId="134" fillId="0" borderId="1" xfId="16310" applyNumberFormat="1" applyFont="1" applyFill="1" applyBorder="1" applyAlignment="1">
      <alignment horizontal="center" vertical="center"/>
    </xf>
    <xf numFmtId="189" fontId="166" fillId="29" borderId="1" xfId="16310" applyNumberFormat="1" applyFont="1" applyFill="1" applyBorder="1" applyAlignment="1">
      <alignment horizontal="center" vertical="center"/>
    </xf>
    <xf numFmtId="9" fontId="166" fillId="29" borderId="1" xfId="16310" applyFont="1" applyFill="1" applyBorder="1" applyAlignment="1">
      <alignment horizontal="center" vertical="center"/>
    </xf>
    <xf numFmtId="0" fontId="166" fillId="29" borderId="1" xfId="16310" applyNumberFormat="1" applyFont="1" applyFill="1" applyBorder="1" applyAlignment="1">
      <alignment horizontal="center" vertical="center"/>
    </xf>
    <xf numFmtId="165" fontId="166" fillId="29" borderId="1" xfId="1740" applyFont="1" applyFill="1" applyBorder="1" applyAlignment="1">
      <alignment horizontal="center" vertical="center"/>
    </xf>
    <xf numFmtId="0" fontId="107" fillId="0" borderId="0" xfId="0" applyFont="1" applyBorder="1" applyAlignment="1">
      <alignment horizontal="center"/>
    </xf>
    <xf numFmtId="9" fontId="106" fillId="0" borderId="0" xfId="11024" applyNumberFormat="1" applyFont="1" applyBorder="1" applyAlignment="1">
      <alignment horizontal="center" vertical="center" wrapText="1"/>
    </xf>
    <xf numFmtId="0" fontId="106" fillId="0" borderId="0" xfId="11024" applyFont="1" applyBorder="1" applyAlignment="1">
      <alignment horizontal="center" vertical="center" wrapText="1"/>
    </xf>
    <xf numFmtId="0" fontId="106" fillId="0" borderId="0" xfId="814" applyFont="1" applyBorder="1" applyAlignment="1">
      <alignment horizontal="center" vertical="center" wrapText="1"/>
    </xf>
    <xf numFmtId="0" fontId="0" fillId="0" borderId="0" xfId="0" applyAlignment="1">
      <alignment horizontal="center" vertical="center" wrapText="1"/>
    </xf>
    <xf numFmtId="0" fontId="155" fillId="25" borderId="0" xfId="0" applyFont="1" applyFill="1"/>
    <xf numFmtId="0" fontId="0" fillId="26" borderId="0" xfId="0" applyFill="1"/>
    <xf numFmtId="165" fontId="166" fillId="29" borderId="1" xfId="16310" applyNumberFormat="1" applyFont="1" applyFill="1" applyBorder="1" applyAlignment="1">
      <alignment horizontal="center" vertical="center"/>
    </xf>
    <xf numFmtId="0" fontId="130" fillId="25" borderId="0" xfId="0" applyFont="1" applyFill="1" applyAlignment="1">
      <alignment horizontal="center" vertical="center"/>
    </xf>
    <xf numFmtId="0" fontId="115" fillId="26" borderId="0" xfId="0" applyFont="1" applyFill="1" applyAlignment="1">
      <alignment horizontal="center" vertical="center"/>
    </xf>
    <xf numFmtId="0" fontId="115" fillId="26" borderId="0" xfId="0" applyFont="1" applyFill="1" applyAlignment="1">
      <alignment horizontal="center" vertical="center" wrapText="1"/>
    </xf>
    <xf numFmtId="0" fontId="0" fillId="0" borderId="0" xfId="0" applyAlignment="1">
      <alignment vertical="top" wrapText="1"/>
    </xf>
    <xf numFmtId="189" fontId="0" fillId="0" borderId="0" xfId="792" applyNumberFormat="1" applyFont="1"/>
    <xf numFmtId="189" fontId="0" fillId="0" borderId="0" xfId="0" applyNumberFormat="1" applyAlignment="1">
      <alignment horizontal="center" vertical="center" wrapText="1"/>
    </xf>
    <xf numFmtId="0" fontId="134" fillId="0" borderId="0" xfId="0" applyFont="1" applyAlignment="1">
      <alignment horizontal="center" vertical="center" wrapText="1"/>
    </xf>
    <xf numFmtId="189" fontId="134" fillId="0" borderId="0" xfId="0" applyNumberFormat="1" applyFont="1" applyAlignment="1">
      <alignment horizontal="center" vertical="center" wrapText="1"/>
    </xf>
    <xf numFmtId="0" fontId="130" fillId="14" borderId="0" xfId="0" applyFont="1" applyFill="1" applyAlignment="1">
      <alignment horizontal="center" vertical="center" wrapText="1"/>
    </xf>
    <xf numFmtId="0" fontId="166" fillId="25" borderId="0" xfId="0" applyFont="1" applyFill="1" applyAlignment="1">
      <alignment horizontal="center" vertical="center"/>
    </xf>
    <xf numFmtId="0" fontId="166" fillId="30" borderId="0" xfId="0" applyFont="1" applyFill="1" applyAlignment="1">
      <alignment horizontal="center" vertical="center"/>
    </xf>
    <xf numFmtId="0" fontId="166" fillId="30" borderId="0" xfId="0" applyFont="1" applyFill="1" applyAlignment="1">
      <alignment horizontal="center" vertical="center" wrapText="1"/>
    </xf>
    <xf numFmtId="0" fontId="147" fillId="0" borderId="0" xfId="0" applyFont="1" applyAlignment="1">
      <alignment vertical="center" wrapText="1"/>
    </xf>
    <xf numFmtId="0" fontId="147" fillId="0" borderId="0" xfId="0" applyFont="1" applyAlignment="1">
      <alignment horizontal="center" vertical="center" wrapText="1"/>
    </xf>
    <xf numFmtId="189" fontId="147" fillId="0" borderId="0" xfId="0" applyNumberFormat="1" applyFont="1" applyAlignment="1">
      <alignment vertical="center" wrapText="1"/>
    </xf>
    <xf numFmtId="0" fontId="162" fillId="13" borderId="0" xfId="0" applyFont="1" applyFill="1" applyAlignment="1">
      <alignment vertical="center" wrapText="1"/>
    </xf>
    <xf numFmtId="0" fontId="166" fillId="13" borderId="0" xfId="0" applyFont="1" applyFill="1" applyAlignment="1">
      <alignment vertical="center" wrapText="1"/>
    </xf>
    <xf numFmtId="0" fontId="162" fillId="14" borderId="0" xfId="0" applyFont="1" applyFill="1" applyAlignment="1">
      <alignment vertical="center" wrapText="1"/>
    </xf>
    <xf numFmtId="189" fontId="166" fillId="14" borderId="0" xfId="0" applyNumberFormat="1" applyFont="1" applyFill="1" applyAlignment="1">
      <alignment vertical="center" wrapText="1"/>
    </xf>
    <xf numFmtId="2" fontId="0" fillId="0" borderId="0" xfId="0" applyNumberFormat="1" applyAlignment="1">
      <alignment vertical="center" wrapText="1"/>
    </xf>
    <xf numFmtId="0" fontId="0" fillId="0" borderId="0" xfId="0" applyAlignment="1">
      <alignment wrapText="1"/>
    </xf>
    <xf numFmtId="189" fontId="0" fillId="0" borderId="0" xfId="0" applyNumberFormat="1" applyAlignment="1">
      <alignment wrapText="1"/>
    </xf>
    <xf numFmtId="189" fontId="0" fillId="0" borderId="0" xfId="0" applyNumberFormat="1" applyAlignment="1">
      <alignment horizontal="right"/>
    </xf>
    <xf numFmtId="0" fontId="0" fillId="0" borderId="0" xfId="0" applyAlignment="1">
      <alignment horizontal="left" vertical="center"/>
    </xf>
    <xf numFmtId="0" fontId="0" fillId="0" borderId="0" xfId="0" applyAlignment="1">
      <alignment vertical="center"/>
    </xf>
    <xf numFmtId="0" fontId="130" fillId="25" borderId="0" xfId="0" applyFont="1" applyFill="1" applyAlignment="1">
      <alignment vertical="center"/>
    </xf>
    <xf numFmtId="189" fontId="130" fillId="14" borderId="0" xfId="0" applyNumberFormat="1" applyFont="1" applyFill="1" applyAlignment="1"/>
    <xf numFmtId="0" fontId="130" fillId="14" borderId="0" xfId="0" applyFont="1" applyFill="1" applyAlignment="1"/>
    <xf numFmtId="9" fontId="166" fillId="29" borderId="1" xfId="16310" applyNumberFormat="1" applyFont="1" applyFill="1" applyBorder="1" applyAlignment="1">
      <alignment horizontal="center" vertical="center"/>
    </xf>
    <xf numFmtId="0" fontId="0" fillId="29" borderId="0" xfId="0" applyFill="1"/>
    <xf numFmtId="0" fontId="139" fillId="0" borderId="0" xfId="1580" applyFont="1" applyAlignment="1">
      <alignment vertical="center"/>
    </xf>
    <xf numFmtId="184" fontId="139" fillId="0" borderId="1" xfId="1655" applyNumberFormat="1" applyFont="1" applyBorder="1" applyAlignment="1">
      <alignment vertical="center"/>
    </xf>
    <xf numFmtId="0" fontId="140" fillId="22" borderId="1" xfId="1580" applyFont="1" applyFill="1" applyBorder="1" applyAlignment="1">
      <alignment horizontal="center" vertical="center"/>
    </xf>
    <xf numFmtId="0" fontId="0" fillId="0" borderId="1" xfId="0" applyBorder="1" applyAlignment="1">
      <alignment vertical="center" wrapText="1"/>
    </xf>
    <xf numFmtId="0" fontId="127" fillId="8" borderId="0" xfId="567" applyFont="1" applyFill="1" applyBorder="1" applyAlignment="1">
      <alignment horizontal="center" vertical="center"/>
    </xf>
    <xf numFmtId="0" fontId="0" fillId="0" borderId="0" xfId="0"/>
    <xf numFmtId="0" fontId="0" fillId="0" borderId="1" xfId="0" applyFill="1" applyBorder="1" applyAlignment="1">
      <alignment vertical="center" wrapText="1"/>
    </xf>
    <xf numFmtId="0" fontId="0" fillId="0" borderId="0" xfId="0" applyAlignment="1">
      <alignment vertical="center" wrapText="1"/>
    </xf>
    <xf numFmtId="172" fontId="0" fillId="0" borderId="0" xfId="792" applyNumberFormat="1" applyFont="1"/>
    <xf numFmtId="2" fontId="0" fillId="0" borderId="0" xfId="0" applyNumberFormat="1" applyFill="1" applyAlignment="1">
      <alignment vertical="center" wrapText="1"/>
    </xf>
    <xf numFmtId="172" fontId="0" fillId="0" borderId="0" xfId="792" applyNumberFormat="1" applyFont="1" applyAlignment="1"/>
    <xf numFmtId="0" fontId="130" fillId="14" borderId="0" xfId="0" applyFont="1" applyFill="1" applyAlignment="1">
      <alignment wrapText="1"/>
    </xf>
    <xf numFmtId="0" fontId="130" fillId="25" borderId="0" xfId="840" applyFont="1" applyFill="1" applyAlignment="1">
      <alignment horizontal="center" vertical="center"/>
    </xf>
    <xf numFmtId="0" fontId="115" fillId="26" borderId="0" xfId="840" applyFont="1" applyFill="1" applyAlignment="1">
      <alignment horizontal="center" vertical="center"/>
    </xf>
    <xf numFmtId="0" fontId="115" fillId="26" borderId="0" xfId="840" applyFont="1" applyFill="1" applyAlignment="1">
      <alignment horizontal="center" vertical="center" wrapText="1"/>
    </xf>
    <xf numFmtId="0" fontId="107" fillId="0" borderId="0" xfId="840" applyAlignment="1">
      <alignment vertical="center" wrapText="1"/>
    </xf>
    <xf numFmtId="189" fontId="107" fillId="0" borderId="0" xfId="840" applyNumberFormat="1" applyAlignment="1">
      <alignment vertical="center" wrapText="1"/>
    </xf>
    <xf numFmtId="0" fontId="130" fillId="13" borderId="0" xfId="840" applyFont="1" applyFill="1" applyAlignment="1">
      <alignment vertical="center" wrapText="1"/>
    </xf>
    <xf numFmtId="0" fontId="130" fillId="14" borderId="0" xfId="840" applyFont="1" applyFill="1" applyAlignment="1">
      <alignment vertical="center" wrapText="1"/>
    </xf>
    <xf numFmtId="189" fontId="130" fillId="14" borderId="0" xfId="840" applyNumberFormat="1" applyFont="1" applyFill="1" applyAlignment="1">
      <alignment vertical="center" wrapText="1"/>
    </xf>
    <xf numFmtId="189" fontId="130" fillId="30" borderId="0" xfId="0" applyNumberFormat="1" applyFont="1" applyFill="1" applyAlignment="1">
      <alignment vertical="center" wrapText="1"/>
    </xf>
    <xf numFmtId="0" fontId="0" fillId="0" borderId="0" xfId="0" applyFill="1" applyAlignment="1">
      <alignment vertical="center" wrapText="1"/>
    </xf>
    <xf numFmtId="189" fontId="0" fillId="0" borderId="0" xfId="0" applyNumberFormat="1" applyFill="1" applyAlignment="1">
      <alignment vertical="center" wrapText="1"/>
    </xf>
    <xf numFmtId="184" fontId="130" fillId="14" borderId="0" xfId="792" applyNumberFormat="1" applyFont="1" applyFill="1" applyAlignment="1">
      <alignment vertical="center" wrapText="1"/>
    </xf>
    <xf numFmtId="1" fontId="112" fillId="18" borderId="1" xfId="1476" applyNumberFormat="1" applyFont="1" applyFill="1" applyBorder="1" applyAlignment="1">
      <alignment horizontal="center" vertical="center" wrapText="1"/>
    </xf>
    <xf numFmtId="0" fontId="112" fillId="18" borderId="1" xfId="1476" applyFont="1" applyFill="1" applyBorder="1" applyAlignment="1">
      <alignment horizontal="center" vertical="center" wrapText="1"/>
    </xf>
    <xf numFmtId="164" fontId="112" fillId="18" borderId="1" xfId="1479" applyNumberFormat="1" applyFont="1" applyFill="1" applyBorder="1" applyAlignment="1">
      <alignment horizontal="center" vertical="center"/>
    </xf>
    <xf numFmtId="164" fontId="134" fillId="18" borderId="1" xfId="1479" applyNumberFormat="1" applyFont="1" applyFill="1" applyBorder="1" applyAlignment="1">
      <alignment horizontal="center" vertical="center"/>
    </xf>
    <xf numFmtId="9" fontId="134" fillId="18" borderId="1" xfId="1479" applyNumberFormat="1" applyFont="1" applyFill="1" applyBorder="1" applyAlignment="1">
      <alignment horizontal="center" vertical="center"/>
    </xf>
    <xf numFmtId="0" fontId="112" fillId="18" borderId="1" xfId="1476" applyFont="1" applyFill="1" applyBorder="1" applyAlignment="1">
      <alignment horizontal="center" vertical="center"/>
    </xf>
    <xf numFmtId="1" fontId="112" fillId="18" borderId="1" xfId="1476" applyNumberFormat="1" applyFont="1" applyFill="1" applyBorder="1" applyAlignment="1">
      <alignment horizontal="center" vertical="center"/>
    </xf>
    <xf numFmtId="9" fontId="112" fillId="18" borderId="1" xfId="1478" applyFont="1" applyFill="1" applyBorder="1" applyAlignment="1">
      <alignment horizontal="center" vertical="center"/>
    </xf>
    <xf numFmtId="172" fontId="112" fillId="18" borderId="1" xfId="16311" applyNumberFormat="1" applyFont="1" applyFill="1" applyBorder="1" applyAlignment="1">
      <alignment horizontal="center" vertical="center"/>
    </xf>
    <xf numFmtId="172" fontId="112" fillId="18" borderId="1" xfId="16311" applyNumberFormat="1" applyFont="1" applyFill="1" applyBorder="1" applyAlignment="1">
      <alignment horizontal="center" vertical="center" wrapText="1"/>
    </xf>
    <xf numFmtId="9" fontId="112" fillId="18" borderId="1" xfId="1483" applyFont="1" applyFill="1" applyBorder="1" applyAlignment="1">
      <alignment horizontal="center" vertical="center"/>
    </xf>
    <xf numFmtId="166" fontId="112" fillId="18" borderId="1" xfId="16311" applyFont="1" applyFill="1" applyBorder="1" applyAlignment="1">
      <alignment horizontal="center" vertical="center" wrapText="1"/>
    </xf>
    <xf numFmtId="166" fontId="112" fillId="18" borderId="1" xfId="16311" applyFont="1" applyFill="1" applyBorder="1" applyAlignment="1">
      <alignment horizontal="center" vertical="center"/>
    </xf>
    <xf numFmtId="172" fontId="112" fillId="18" borderId="1" xfId="1476" applyNumberFormat="1" applyFont="1" applyFill="1" applyBorder="1" applyAlignment="1">
      <alignment horizontal="center" vertical="center"/>
    </xf>
    <xf numFmtId="165" fontId="134" fillId="18" borderId="1" xfId="1479" applyNumberFormat="1" applyFont="1" applyFill="1" applyBorder="1" applyAlignment="1">
      <alignment horizontal="center" vertical="center"/>
    </xf>
    <xf numFmtId="165" fontId="112" fillId="18" borderId="1" xfId="16317" applyFont="1" applyFill="1" applyBorder="1" applyAlignment="1">
      <alignment horizontal="center" vertical="center"/>
    </xf>
    <xf numFmtId="165" fontId="112" fillId="18" borderId="1" xfId="1479" applyNumberFormat="1" applyFont="1" applyFill="1" applyBorder="1" applyAlignment="1">
      <alignment horizontal="center" vertical="center"/>
    </xf>
    <xf numFmtId="165" fontId="112" fillId="18" borderId="1" xfId="1478" applyNumberFormat="1" applyFont="1" applyFill="1" applyBorder="1" applyAlignment="1">
      <alignment horizontal="center" vertical="center"/>
    </xf>
    <xf numFmtId="0" fontId="1" fillId="31" borderId="0" xfId="1476" applyFont="1" applyFill="1" applyAlignment="1">
      <alignment horizontal="center" vertical="center"/>
    </xf>
    <xf numFmtId="1" fontId="112" fillId="31" borderId="1" xfId="1476" applyNumberFormat="1" applyFont="1" applyFill="1" applyBorder="1" applyAlignment="1">
      <alignment horizontal="center" vertical="center" wrapText="1"/>
    </xf>
    <xf numFmtId="0" fontId="112" fillId="31" borderId="1" xfId="1476" applyFont="1" applyFill="1" applyBorder="1" applyAlignment="1">
      <alignment horizontal="center" vertical="center" wrapText="1"/>
    </xf>
    <xf numFmtId="164" fontId="112" fillId="31" borderId="1" xfId="1479" applyNumberFormat="1" applyFont="1" applyFill="1" applyBorder="1" applyAlignment="1">
      <alignment horizontal="center" vertical="center"/>
    </xf>
    <xf numFmtId="164" fontId="134" fillId="31" borderId="1" xfId="1479" applyNumberFormat="1" applyFont="1" applyFill="1" applyBorder="1" applyAlignment="1">
      <alignment horizontal="center" vertical="center"/>
    </xf>
    <xf numFmtId="9" fontId="112" fillId="31" borderId="1" xfId="1478" applyFont="1" applyFill="1" applyBorder="1" applyAlignment="1">
      <alignment horizontal="center" vertical="center"/>
    </xf>
    <xf numFmtId="0" fontId="112" fillId="31" borderId="1" xfId="1476" applyFont="1" applyFill="1" applyBorder="1" applyAlignment="1">
      <alignment horizontal="center" vertical="center"/>
    </xf>
    <xf numFmtId="164" fontId="112" fillId="31" borderId="0" xfId="1476" applyNumberFormat="1" applyFont="1" applyFill="1" applyBorder="1" applyAlignment="1">
      <alignment horizontal="center" vertical="center"/>
    </xf>
    <xf numFmtId="9" fontId="112" fillId="31" borderId="0" xfId="1476" applyNumberFormat="1" applyFont="1" applyFill="1" applyBorder="1" applyAlignment="1">
      <alignment horizontal="center" vertical="center"/>
    </xf>
    <xf numFmtId="9" fontId="112" fillId="31" borderId="0" xfId="1476" applyNumberFormat="1" applyFont="1" applyFill="1" applyAlignment="1">
      <alignment horizontal="center" vertical="center"/>
    </xf>
    <xf numFmtId="0" fontId="112" fillId="31" borderId="0" xfId="1476" applyFont="1" applyFill="1" applyAlignment="1">
      <alignment horizontal="center" vertical="center"/>
    </xf>
    <xf numFmtId="0" fontId="121" fillId="2" borderId="27" xfId="849" applyFont="1" applyBorder="1" applyAlignment="1">
      <alignment horizontal="center" vertical="center"/>
    </xf>
    <xf numFmtId="0" fontId="121" fillId="2" borderId="28" xfId="849" applyFont="1" applyBorder="1" applyAlignment="1">
      <alignment horizontal="center" vertical="center"/>
    </xf>
    <xf numFmtId="0" fontId="121" fillId="2" borderId="29" xfId="849" applyFont="1" applyBorder="1" applyAlignment="1">
      <alignment horizontal="center" vertical="center"/>
    </xf>
    <xf numFmtId="0" fontId="121" fillId="2" borderId="1" xfId="849" applyFont="1" applyBorder="1" applyAlignment="1">
      <alignment horizontal="center" vertical="center"/>
    </xf>
    <xf numFmtId="0" fontId="121" fillId="2" borderId="1" xfId="849" applyFont="1" applyBorder="1" applyAlignment="1">
      <alignment horizontal="center" vertical="center" wrapText="1"/>
    </xf>
    <xf numFmtId="0" fontId="111" fillId="0" borderId="1" xfId="1476" applyFont="1" applyBorder="1" applyAlignment="1">
      <alignment horizontal="center" vertical="center"/>
    </xf>
    <xf numFmtId="1" fontId="54" fillId="0" borderId="1" xfId="1476" applyNumberFormat="1" applyFont="1" applyBorder="1" applyAlignment="1">
      <alignment horizontal="center" vertical="center"/>
    </xf>
    <xf numFmtId="0" fontId="111" fillId="0" borderId="5" xfId="1476" applyFont="1" applyBorder="1" applyAlignment="1">
      <alignment horizontal="center" vertical="center"/>
    </xf>
    <xf numFmtId="0" fontId="111" fillId="0" borderId="6" xfId="1476" applyFont="1" applyBorder="1" applyAlignment="1">
      <alignment horizontal="center" vertical="center"/>
    </xf>
    <xf numFmtId="0" fontId="111" fillId="0" borderId="7" xfId="1476" applyFont="1" applyBorder="1" applyAlignment="1">
      <alignment horizontal="center" vertical="center"/>
    </xf>
    <xf numFmtId="0" fontId="111" fillId="0" borderId="8" xfId="1476" applyFont="1" applyBorder="1" applyAlignment="1">
      <alignment horizontal="center" vertical="center"/>
    </xf>
    <xf numFmtId="0" fontId="111" fillId="0" borderId="3" xfId="1476" applyFont="1" applyBorder="1" applyAlignment="1">
      <alignment horizontal="center" vertical="center"/>
    </xf>
    <xf numFmtId="0" fontId="111" fillId="0" borderId="4" xfId="1476" applyFont="1" applyBorder="1" applyAlignment="1">
      <alignment horizontal="center" vertical="center"/>
    </xf>
    <xf numFmtId="17" fontId="111" fillId="0" borderId="1" xfId="1476" applyNumberFormat="1" applyFont="1" applyBorder="1" applyAlignment="1">
      <alignment horizontal="center" vertical="center"/>
    </xf>
    <xf numFmtId="0" fontId="116" fillId="0" borderId="5" xfId="1580" applyFont="1" applyBorder="1" applyAlignment="1">
      <alignment vertical="center" wrapText="1"/>
    </xf>
    <xf numFmtId="0" fontId="116" fillId="0" borderId="6" xfId="1580" applyFont="1" applyBorder="1" applyAlignment="1">
      <alignment vertical="center" wrapText="1"/>
    </xf>
    <xf numFmtId="0" fontId="116" fillId="0" borderId="2" xfId="1580" applyFont="1" applyBorder="1" applyAlignment="1">
      <alignment vertical="center" wrapText="1"/>
    </xf>
    <xf numFmtId="164" fontId="116" fillId="0" borderId="1" xfId="1580" applyNumberFormat="1" applyFont="1" applyBorder="1" applyAlignment="1">
      <alignment horizontal="center" vertical="center"/>
    </xf>
    <xf numFmtId="0" fontId="116" fillId="0" borderId="1" xfId="1580" applyFont="1" applyBorder="1" applyAlignment="1">
      <alignment horizontal="center" vertical="center"/>
    </xf>
    <xf numFmtId="0" fontId="139" fillId="0" borderId="0" xfId="1580" applyFont="1" applyBorder="1" applyAlignment="1">
      <alignment horizontal="center" vertical="center"/>
    </xf>
    <xf numFmtId="0" fontId="139" fillId="0" borderId="8" xfId="1580" applyFont="1" applyBorder="1" applyAlignment="1">
      <alignment horizontal="center" vertical="center"/>
    </xf>
    <xf numFmtId="184" fontId="140" fillId="22" borderId="1" xfId="1655" applyNumberFormat="1" applyFont="1" applyFill="1" applyBorder="1" applyAlignment="1">
      <alignment vertical="center"/>
    </xf>
    <xf numFmtId="0" fontId="139" fillId="0" borderId="0" xfId="1580" applyFont="1" applyAlignment="1">
      <alignment vertical="center"/>
    </xf>
    <xf numFmtId="184" fontId="139" fillId="0" borderId="1" xfId="1655" applyNumberFormat="1" applyFont="1" applyBorder="1" applyAlignment="1">
      <alignment vertical="center"/>
    </xf>
    <xf numFmtId="0" fontId="132" fillId="21" borderId="1" xfId="1580" applyFont="1" applyFill="1" applyBorder="1" applyAlignment="1">
      <alignment horizontal="right" vertical="center"/>
    </xf>
    <xf numFmtId="184" fontId="132" fillId="21" borderId="1" xfId="1655" applyNumberFormat="1" applyFont="1" applyFill="1" applyBorder="1" applyAlignment="1">
      <alignment horizontal="center" vertical="center"/>
    </xf>
    <xf numFmtId="0" fontId="116" fillId="0" borderId="1" xfId="1580" applyFont="1" applyBorder="1" applyAlignment="1">
      <alignment horizontal="right" vertical="center"/>
    </xf>
    <xf numFmtId="184" fontId="116" fillId="0" borderId="1" xfId="1655" applyNumberFormat="1" applyFont="1" applyBorder="1" applyAlignment="1">
      <alignment horizontal="center" vertical="center"/>
    </xf>
    <xf numFmtId="0" fontId="132" fillId="20" borderId="1" xfId="1580" applyFont="1" applyFill="1" applyBorder="1" applyAlignment="1">
      <alignment horizontal="right" vertical="center"/>
    </xf>
    <xf numFmtId="184" fontId="139" fillId="20" borderId="1" xfId="1655" applyNumberFormat="1" applyFont="1" applyFill="1" applyBorder="1" applyAlignment="1">
      <alignment vertical="center"/>
    </xf>
    <xf numFmtId="0" fontId="140" fillId="22" borderId="1" xfId="1580" applyFont="1" applyFill="1" applyBorder="1" applyAlignment="1">
      <alignment horizontal="center" vertical="center"/>
    </xf>
    <xf numFmtId="0" fontId="139" fillId="0" borderId="0" xfId="1580" applyFont="1" applyAlignment="1">
      <alignment horizontal="justify" vertical="center" wrapText="1"/>
    </xf>
    <xf numFmtId="0" fontId="140" fillId="20" borderId="1" xfId="1580" applyFont="1" applyFill="1" applyBorder="1" applyAlignment="1">
      <alignment horizontal="center" vertical="center"/>
    </xf>
    <xf numFmtId="0" fontId="116" fillId="0" borderId="1" xfId="1580" applyFont="1" applyBorder="1" applyAlignment="1">
      <alignment vertical="center"/>
    </xf>
    <xf numFmtId="1" fontId="139" fillId="0" borderId="5" xfId="1580" applyNumberFormat="1" applyFont="1" applyBorder="1" applyAlignment="1">
      <alignment horizontal="left" vertical="center" wrapText="1"/>
    </xf>
    <xf numFmtId="0" fontId="139" fillId="0" borderId="2" xfId="1580" applyFont="1" applyBorder="1" applyAlignment="1">
      <alignment horizontal="left" vertical="center" wrapText="1"/>
    </xf>
    <xf numFmtId="0" fontId="139" fillId="0" borderId="5" xfId="1580" applyFont="1" applyBorder="1" applyAlignment="1">
      <alignment vertical="center" wrapText="1"/>
    </xf>
    <xf numFmtId="0" fontId="139" fillId="0" borderId="2" xfId="1580" applyFont="1" applyBorder="1" applyAlignment="1">
      <alignment vertical="center" wrapText="1"/>
    </xf>
    <xf numFmtId="0" fontId="106" fillId="0" borderId="22" xfId="1580" applyFont="1" applyBorder="1" applyAlignment="1">
      <alignment horizontal="center" vertical="center"/>
    </xf>
    <xf numFmtId="0" fontId="106" fillId="0" borderId="26" xfId="1580" applyFont="1" applyBorder="1" applyAlignment="1">
      <alignment horizontal="center" vertical="center"/>
    </xf>
    <xf numFmtId="0" fontId="106" fillId="0" borderId="23" xfId="1580" applyFont="1" applyBorder="1" applyAlignment="1">
      <alignment horizontal="center" vertical="center"/>
    </xf>
    <xf numFmtId="0" fontId="127" fillId="0" borderId="7" xfId="1580" applyFont="1" applyBorder="1" applyAlignment="1">
      <alignment horizontal="center" vertical="center" wrapText="1"/>
    </xf>
    <xf numFmtId="0" fontId="127" fillId="0" borderId="8" xfId="1580" applyFont="1" applyBorder="1" applyAlignment="1">
      <alignment horizontal="center" vertical="center" wrapText="1"/>
    </xf>
    <xf numFmtId="0" fontId="127" fillId="0" borderId="20" xfId="1580" applyFont="1" applyBorder="1" applyAlignment="1">
      <alignment horizontal="center" vertical="center" wrapText="1"/>
    </xf>
    <xf numFmtId="0" fontId="127" fillId="0" borderId="24" xfId="1580" applyFont="1" applyBorder="1" applyAlignment="1">
      <alignment horizontal="center" vertical="center" wrapText="1"/>
    </xf>
    <xf numFmtId="0" fontId="127" fillId="0" borderId="0" xfId="1580" applyFont="1" applyBorder="1" applyAlignment="1">
      <alignment horizontal="center" vertical="center" wrapText="1"/>
    </xf>
    <xf numFmtId="0" fontId="127" fillId="0" borderId="25" xfId="1580" applyFont="1" applyBorder="1" applyAlignment="1">
      <alignment horizontal="center" vertical="center" wrapText="1"/>
    </xf>
    <xf numFmtId="0" fontId="127" fillId="0" borderId="3" xfId="1580" applyFont="1" applyBorder="1" applyAlignment="1">
      <alignment horizontal="center" vertical="center" wrapText="1"/>
    </xf>
    <xf numFmtId="0" fontId="127" fillId="0" borderId="4" xfId="1580" applyFont="1" applyBorder="1" applyAlignment="1">
      <alignment horizontal="center" vertical="center" wrapText="1"/>
    </xf>
    <xf numFmtId="0" fontId="127" fillId="0" borderId="21" xfId="1580" applyFont="1" applyBorder="1" applyAlignment="1">
      <alignment horizontal="center" vertical="center" wrapText="1"/>
    </xf>
    <xf numFmtId="0" fontId="139" fillId="0" borderId="5" xfId="1580" applyFont="1" applyBorder="1" applyAlignment="1">
      <alignment horizontal="center" vertical="center" wrapText="1"/>
    </xf>
    <xf numFmtId="0" fontId="139" fillId="0" borderId="6" xfId="1580" applyFont="1" applyBorder="1" applyAlignment="1">
      <alignment horizontal="center" vertical="center" wrapText="1"/>
    </xf>
    <xf numFmtId="0" fontId="139" fillId="0" borderId="2" xfId="1580" applyFont="1" applyBorder="1" applyAlignment="1">
      <alignment horizontal="center" vertical="center" wrapText="1"/>
    </xf>
    <xf numFmtId="0" fontId="139" fillId="0" borderId="5" xfId="1580" applyFont="1" applyBorder="1" applyAlignment="1">
      <alignment horizontal="left" vertical="center" wrapText="1"/>
    </xf>
    <xf numFmtId="0" fontId="141" fillId="0" borderId="0" xfId="1580" applyFont="1" applyAlignment="1">
      <alignment horizontal="justify" vertical="center" wrapText="1"/>
    </xf>
    <xf numFmtId="0" fontId="127" fillId="0" borderId="5" xfId="0" applyNumberFormat="1" applyFont="1" applyFill="1" applyBorder="1" applyAlignment="1">
      <alignment horizontal="center" vertical="center"/>
    </xf>
    <xf numFmtId="0" fontId="127" fillId="0" borderId="2" xfId="0" applyNumberFormat="1" applyFont="1" applyFill="1" applyBorder="1" applyAlignment="1">
      <alignment horizontal="center" vertical="center"/>
    </xf>
    <xf numFmtId="1" fontId="127" fillId="0" borderId="5" xfId="0" applyNumberFormat="1" applyFont="1" applyFill="1" applyBorder="1" applyAlignment="1">
      <alignment horizontal="center" vertical="center"/>
    </xf>
    <xf numFmtId="1" fontId="127" fillId="0" borderId="2" xfId="0" applyNumberFormat="1" applyFont="1" applyFill="1" applyBorder="1" applyAlignment="1">
      <alignment horizontal="center" vertical="center"/>
    </xf>
    <xf numFmtId="0" fontId="0" fillId="0" borderId="1" xfId="0" applyBorder="1" applyAlignment="1">
      <alignment vertical="center" wrapText="1"/>
    </xf>
    <xf numFmtId="0" fontId="107" fillId="0" borderId="1" xfId="0" applyFont="1" applyBorder="1" applyAlignment="1">
      <alignment vertical="center" wrapText="1"/>
    </xf>
    <xf numFmtId="0" fontId="127" fillId="8" borderId="0" xfId="567" applyFont="1" applyFill="1" applyBorder="1" applyAlignment="1">
      <alignment horizontal="center" vertical="center" wrapText="1"/>
    </xf>
    <xf numFmtId="0" fontId="127" fillId="8" borderId="0" xfId="567" applyFont="1" applyFill="1" applyBorder="1" applyAlignment="1">
      <alignment horizontal="center" vertical="center"/>
    </xf>
    <xf numFmtId="17" fontId="115" fillId="9" borderId="7" xfId="568" applyNumberFormat="1" applyFont="1" applyFill="1" applyBorder="1" applyAlignment="1">
      <alignment horizontal="center" vertical="center"/>
    </xf>
    <xf numFmtId="17" fontId="115" fillId="9" borderId="8" xfId="568" applyNumberFormat="1" applyFont="1" applyFill="1" applyBorder="1" applyAlignment="1">
      <alignment horizontal="center" vertical="center"/>
    </xf>
    <xf numFmtId="17" fontId="115" fillId="9" borderId="20" xfId="568" applyNumberFormat="1" applyFont="1" applyFill="1" applyBorder="1" applyAlignment="1">
      <alignment horizontal="center" vertical="center"/>
    </xf>
    <xf numFmtId="17" fontId="115" fillId="9" borderId="3" xfId="568" applyNumberFormat="1" applyFont="1" applyFill="1" applyBorder="1" applyAlignment="1">
      <alignment horizontal="center" vertical="center"/>
    </xf>
    <xf numFmtId="17" fontId="115" fillId="9" borderId="4" xfId="568" applyNumberFormat="1" applyFont="1" applyFill="1" applyBorder="1" applyAlignment="1">
      <alignment horizontal="center" vertical="center"/>
    </xf>
    <xf numFmtId="17" fontId="115" fillId="9" borderId="21" xfId="568" applyNumberFormat="1" applyFont="1" applyFill="1" applyBorder="1" applyAlignment="1">
      <alignment horizontal="center" vertical="center"/>
    </xf>
    <xf numFmtId="17" fontId="115" fillId="9" borderId="1" xfId="569" applyNumberFormat="1" applyFont="1" applyFill="1" applyBorder="1" applyAlignment="1">
      <alignment horizontal="center" vertical="center"/>
    </xf>
    <xf numFmtId="17" fontId="115" fillId="9" borderId="22" xfId="569" applyNumberFormat="1" applyFont="1" applyFill="1" applyBorder="1" applyAlignment="1">
      <alignment horizontal="center" vertical="center"/>
    </xf>
    <xf numFmtId="0" fontId="107" fillId="8" borderId="0" xfId="567" applyFont="1" applyFill="1" applyBorder="1" applyAlignment="1">
      <alignment horizontal="left" vertical="center" wrapText="1"/>
    </xf>
    <xf numFmtId="0" fontId="107" fillId="8" borderId="0" xfId="567" applyFont="1" applyFill="1" applyBorder="1" applyAlignment="1">
      <alignment horizontal="left" vertical="center"/>
    </xf>
    <xf numFmtId="0" fontId="127" fillId="0" borderId="15" xfId="824" applyFont="1" applyFill="1" applyBorder="1" applyAlignment="1">
      <alignment horizontal="center" vertical="center" wrapText="1"/>
    </xf>
    <xf numFmtId="0" fontId="127" fillId="0" borderId="16" xfId="824" applyFont="1" applyFill="1" applyBorder="1" applyAlignment="1">
      <alignment horizontal="center" vertical="center" wrapText="1"/>
    </xf>
    <xf numFmtId="0" fontId="127" fillId="0" borderId="15" xfId="824" applyFont="1" applyBorder="1" applyAlignment="1">
      <alignment horizontal="center" vertical="center"/>
    </xf>
    <xf numFmtId="0" fontId="127" fillId="0" borderId="16" xfId="824" applyFont="1" applyBorder="1" applyAlignment="1">
      <alignment horizontal="center" vertical="center"/>
    </xf>
    <xf numFmtId="0" fontId="127" fillId="0" borderId="11" xfId="824" applyFont="1" applyBorder="1" applyAlignment="1">
      <alignment horizontal="center" vertical="center"/>
    </xf>
    <xf numFmtId="0" fontId="127" fillId="0" borderId="12" xfId="824" applyFont="1" applyBorder="1" applyAlignment="1">
      <alignment horizontal="center" vertical="center"/>
    </xf>
    <xf numFmtId="0" fontId="127" fillId="0" borderId="13" xfId="824" applyFont="1" applyBorder="1" applyAlignment="1">
      <alignment horizontal="center" vertical="center"/>
    </xf>
    <xf numFmtId="0" fontId="127" fillId="0" borderId="17" xfId="824" applyFont="1" applyBorder="1" applyAlignment="1">
      <alignment horizontal="center" vertical="center"/>
    </xf>
    <xf numFmtId="0" fontId="127" fillId="0" borderId="18" xfId="824" applyFont="1" applyBorder="1" applyAlignment="1">
      <alignment horizontal="center" vertical="center"/>
    </xf>
    <xf numFmtId="0" fontId="127" fillId="0" borderId="19" xfId="824" applyFont="1" applyBorder="1" applyAlignment="1">
      <alignment horizontal="center" vertical="center"/>
    </xf>
    <xf numFmtId="0" fontId="107" fillId="8" borderId="0" xfId="567" applyFill="1" applyBorder="1" applyAlignment="1">
      <alignment horizontal="left" vertical="center" wrapText="1"/>
    </xf>
    <xf numFmtId="0" fontId="107" fillId="0" borderId="1" xfId="814" applyBorder="1" applyAlignment="1">
      <alignment vertical="center" wrapText="1"/>
    </xf>
    <xf numFmtId="0" fontId="107" fillId="0" borderId="1" xfId="814" applyFont="1" applyBorder="1" applyAlignment="1">
      <alignment vertical="center" wrapText="1"/>
    </xf>
    <xf numFmtId="0" fontId="127" fillId="0" borderId="15" xfId="824" applyFont="1" applyFill="1" applyBorder="1" applyAlignment="1">
      <alignment horizontal="center" vertical="center"/>
    </xf>
    <xf numFmtId="0" fontId="127" fillId="0" borderId="16" xfId="824" applyFont="1" applyFill="1" applyBorder="1" applyAlignment="1">
      <alignment horizontal="center" vertical="center"/>
    </xf>
    <xf numFmtId="0" fontId="107" fillId="8" borderId="0" xfId="918" applyFont="1" applyFill="1" applyBorder="1" applyAlignment="1">
      <alignment horizontal="left" vertical="center" wrapText="1"/>
    </xf>
    <xf numFmtId="0" fontId="107" fillId="8" borderId="0" xfId="918" applyFont="1" applyFill="1" applyBorder="1" applyAlignment="1">
      <alignment horizontal="left" vertical="center"/>
    </xf>
    <xf numFmtId="0" fontId="107" fillId="8" borderId="0" xfId="918" applyFill="1" applyBorder="1" applyAlignment="1">
      <alignment horizontal="left" vertical="center" wrapText="1"/>
    </xf>
    <xf numFmtId="0" fontId="127" fillId="0" borderId="5" xfId="814" applyNumberFormat="1" applyFont="1" applyFill="1" applyBorder="1" applyAlignment="1">
      <alignment horizontal="center" vertical="center"/>
    </xf>
    <xf numFmtId="0" fontId="127" fillId="0" borderId="2" xfId="814" applyNumberFormat="1" applyFont="1" applyFill="1" applyBorder="1" applyAlignment="1">
      <alignment horizontal="center" vertical="center"/>
    </xf>
    <xf numFmtId="0" fontId="107" fillId="0" borderId="1" xfId="840" applyBorder="1" applyAlignment="1">
      <alignment vertical="center" wrapText="1"/>
    </xf>
    <xf numFmtId="0" fontId="107" fillId="0" borderId="1" xfId="840" applyFont="1" applyBorder="1" applyAlignment="1">
      <alignment vertical="center" wrapText="1"/>
    </xf>
    <xf numFmtId="17" fontId="115" fillId="9" borderId="24" xfId="568" applyNumberFormat="1" applyFont="1" applyFill="1" applyBorder="1" applyAlignment="1">
      <alignment horizontal="center" vertical="center"/>
    </xf>
    <xf numFmtId="17" fontId="115" fillId="9" borderId="0" xfId="568" applyNumberFormat="1" applyFont="1" applyFill="1" applyBorder="1" applyAlignment="1">
      <alignment horizontal="center" vertical="center"/>
    </xf>
    <xf numFmtId="17" fontId="115" fillId="9" borderId="25" xfId="568" applyNumberFormat="1" applyFont="1" applyFill="1" applyBorder="1" applyAlignment="1">
      <alignment horizontal="center" vertical="center"/>
    </xf>
    <xf numFmtId="0" fontId="127" fillId="0" borderId="14" xfId="824" applyFont="1" applyFill="1" applyBorder="1" applyAlignment="1">
      <alignment horizontal="center" vertical="center" wrapText="1"/>
    </xf>
    <xf numFmtId="0" fontId="127" fillId="0" borderId="14" xfId="824" applyFont="1" applyBorder="1" applyAlignment="1">
      <alignment horizontal="center" vertical="center"/>
    </xf>
    <xf numFmtId="0" fontId="107" fillId="0" borderId="1" xfId="814" applyFill="1" applyBorder="1" applyAlignment="1">
      <alignment vertical="center" wrapText="1"/>
    </xf>
    <xf numFmtId="0" fontId="127" fillId="0" borderId="15" xfId="566" applyFont="1" applyFill="1" applyBorder="1" applyAlignment="1">
      <alignment horizontal="center" vertical="center"/>
    </xf>
    <xf numFmtId="0" fontId="127" fillId="0" borderId="16" xfId="566" applyFont="1" applyFill="1" applyBorder="1" applyAlignment="1">
      <alignment horizontal="center" vertical="center"/>
    </xf>
    <xf numFmtId="0" fontId="127" fillId="0" borderId="15" xfId="566" applyFont="1" applyBorder="1" applyAlignment="1">
      <alignment horizontal="center" vertical="center"/>
    </xf>
    <xf numFmtId="0" fontId="127" fillId="0" borderId="16" xfId="566" applyFont="1" applyBorder="1" applyAlignment="1">
      <alignment horizontal="center" vertical="center"/>
    </xf>
    <xf numFmtId="0" fontId="107" fillId="8" borderId="4" xfId="567" applyFont="1" applyFill="1" applyBorder="1" applyAlignment="1">
      <alignment horizontal="left" vertical="center" wrapText="1"/>
    </xf>
    <xf numFmtId="0" fontId="107" fillId="8" borderId="21" xfId="567" applyFont="1" applyFill="1" applyBorder="1" applyAlignment="1">
      <alignment horizontal="left" vertical="center" wrapText="1"/>
    </xf>
    <xf numFmtId="0" fontId="127" fillId="0" borderId="11" xfId="566" applyFont="1" applyBorder="1" applyAlignment="1">
      <alignment horizontal="center" vertical="center"/>
    </xf>
    <xf numFmtId="0" fontId="127" fillId="0" borderId="12" xfId="566" applyFont="1" applyBorder="1" applyAlignment="1">
      <alignment horizontal="center" vertical="center"/>
    </xf>
    <xf numFmtId="0" fontId="127" fillId="0" borderId="13" xfId="566" applyFont="1" applyBorder="1" applyAlignment="1">
      <alignment horizontal="center" vertical="center"/>
    </xf>
    <xf numFmtId="0" fontId="127" fillId="0" borderId="17" xfId="566" applyFont="1" applyBorder="1" applyAlignment="1">
      <alignment horizontal="center" vertical="center"/>
    </xf>
    <xf numFmtId="0" fontId="127" fillId="0" borderId="18" xfId="566" applyFont="1" applyBorder="1" applyAlignment="1">
      <alignment horizontal="center" vertical="center"/>
    </xf>
    <xf numFmtId="0" fontId="127" fillId="0" borderId="19" xfId="566" applyFont="1" applyBorder="1" applyAlignment="1">
      <alignment horizontal="center" vertical="center"/>
    </xf>
    <xf numFmtId="0" fontId="107" fillId="8" borderId="25" xfId="567" applyFont="1" applyFill="1" applyBorder="1" applyAlignment="1">
      <alignment horizontal="left" vertical="center" wrapText="1"/>
    </xf>
    <xf numFmtId="17" fontId="115" fillId="9" borderId="7" xfId="569" applyNumberFormat="1" applyFont="1" applyFill="1" applyBorder="1" applyAlignment="1">
      <alignment horizontal="center" vertical="center"/>
    </xf>
    <xf numFmtId="17" fontId="115" fillId="9" borderId="8" xfId="569" applyNumberFormat="1" applyFont="1" applyFill="1" applyBorder="1" applyAlignment="1">
      <alignment horizontal="center" vertical="center"/>
    </xf>
    <xf numFmtId="17" fontId="115" fillId="9" borderId="20" xfId="569" applyNumberFormat="1" applyFont="1" applyFill="1" applyBorder="1" applyAlignment="1">
      <alignment horizontal="center" vertical="center"/>
    </xf>
    <xf numFmtId="17" fontId="115" fillId="9" borderId="3" xfId="569" applyNumberFormat="1" applyFont="1" applyFill="1" applyBorder="1" applyAlignment="1">
      <alignment horizontal="center" vertical="center"/>
    </xf>
    <xf numFmtId="17" fontId="115" fillId="9" borderId="4" xfId="569" applyNumberFormat="1" applyFont="1" applyFill="1" applyBorder="1" applyAlignment="1">
      <alignment horizontal="center" vertical="center"/>
    </xf>
    <xf numFmtId="17" fontId="115" fillId="9" borderId="21" xfId="569" applyNumberFormat="1" applyFont="1" applyFill="1" applyBorder="1" applyAlignment="1">
      <alignment horizontal="center" vertical="center"/>
    </xf>
    <xf numFmtId="0" fontId="107" fillId="0" borderId="1" xfId="814" applyBorder="1" applyAlignment="1">
      <alignment vertical="top" wrapText="1"/>
    </xf>
    <xf numFmtId="0" fontId="107" fillId="0" borderId="1" xfId="814" applyFont="1" applyFill="1" applyBorder="1" applyAlignment="1">
      <alignment vertical="center" wrapText="1"/>
    </xf>
    <xf numFmtId="184" fontId="139" fillId="0" borderId="5" xfId="1655" applyNumberFormat="1" applyFont="1" applyBorder="1" applyAlignment="1">
      <alignment horizontal="center" vertical="center"/>
    </xf>
    <xf numFmtId="184" fontId="139" fillId="0" borderId="2" xfId="1655" applyNumberFormat="1" applyFont="1" applyBorder="1" applyAlignment="1">
      <alignment horizontal="center" vertical="center"/>
    </xf>
    <xf numFmtId="1" fontId="127" fillId="0" borderId="5" xfId="814" applyNumberFormat="1" applyFont="1" applyFill="1" applyBorder="1" applyAlignment="1">
      <alignment horizontal="center" vertical="center"/>
    </xf>
    <xf numFmtId="1" fontId="127" fillId="0" borderId="2" xfId="814" applyNumberFormat="1" applyFont="1" applyFill="1" applyBorder="1" applyAlignment="1">
      <alignment horizontal="center" vertical="center"/>
    </xf>
    <xf numFmtId="1" fontId="139" fillId="0" borderId="5" xfId="1580" applyNumberFormat="1" applyFont="1" applyBorder="1" applyAlignment="1">
      <alignment horizontal="center" vertical="center" wrapText="1"/>
    </xf>
    <xf numFmtId="0" fontId="107" fillId="0" borderId="1" xfId="840" applyFill="1" applyBorder="1" applyAlignment="1">
      <alignment vertical="center" wrapText="1"/>
    </xf>
    <xf numFmtId="0" fontId="134" fillId="0" borderId="1" xfId="840" applyFont="1" applyBorder="1" applyAlignment="1">
      <alignment vertical="center" wrapText="1"/>
    </xf>
    <xf numFmtId="0" fontId="0" fillId="0" borderId="1" xfId="0" applyBorder="1" applyAlignment="1">
      <alignment horizontal="center"/>
    </xf>
    <xf numFmtId="0" fontId="0" fillId="0" borderId="0" xfId="0"/>
    <xf numFmtId="0" fontId="107" fillId="0" borderId="0" xfId="0" applyFont="1"/>
    <xf numFmtId="0" fontId="107" fillId="0" borderId="1" xfId="814" applyBorder="1" applyAlignment="1">
      <alignment horizontal="center"/>
    </xf>
    <xf numFmtId="0" fontId="139" fillId="0" borderId="8" xfId="1580" applyFont="1" applyFill="1" applyBorder="1" applyAlignment="1">
      <alignment horizontal="center" vertical="center"/>
    </xf>
    <xf numFmtId="184" fontId="140" fillId="22" borderId="1" xfId="1655" applyNumberFormat="1" applyFont="1" applyFill="1" applyBorder="1" applyAlignment="1">
      <alignment horizontal="center" vertical="center"/>
    </xf>
    <xf numFmtId="0" fontId="132" fillId="0" borderId="5" xfId="1580" applyFont="1" applyBorder="1" applyAlignment="1">
      <alignment vertical="center" wrapText="1"/>
    </xf>
    <xf numFmtId="0" fontId="132" fillId="0" borderId="6" xfId="1580" applyFont="1" applyBorder="1" applyAlignment="1">
      <alignment vertical="center" wrapText="1"/>
    </xf>
    <xf numFmtId="0" fontId="132" fillId="0" borderId="2" xfId="1580" applyFont="1" applyBorder="1" applyAlignment="1">
      <alignment vertical="center" wrapText="1"/>
    </xf>
    <xf numFmtId="164" fontId="132" fillId="0" borderId="1" xfId="1580" applyNumberFormat="1" applyFont="1" applyBorder="1" applyAlignment="1">
      <alignment horizontal="center" vertical="center"/>
    </xf>
    <xf numFmtId="0" fontId="132" fillId="0" borderId="1" xfId="1580" applyFont="1" applyBorder="1" applyAlignment="1">
      <alignment horizontal="center" vertical="center"/>
    </xf>
    <xf numFmtId="0" fontId="151" fillId="0" borderId="0" xfId="1580" applyFont="1" applyAlignment="1">
      <alignment horizontal="justify"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107" fillId="0" borderId="1" xfId="814" applyBorder="1" applyAlignment="1">
      <alignment horizontal="center" vertical="center"/>
    </xf>
    <xf numFmtId="0" fontId="107" fillId="0" borderId="7" xfId="814" applyBorder="1" applyAlignment="1">
      <alignment horizontal="center"/>
    </xf>
    <xf numFmtId="0" fontId="107" fillId="0" borderId="20" xfId="814" applyBorder="1" applyAlignment="1">
      <alignment horizontal="center"/>
    </xf>
    <xf numFmtId="0" fontId="107" fillId="0" borderId="3" xfId="814" applyBorder="1" applyAlignment="1">
      <alignment horizontal="center"/>
    </xf>
    <xf numFmtId="0" fontId="107" fillId="0" borderId="21" xfId="814" applyBorder="1" applyAlignment="1">
      <alignment horizontal="center"/>
    </xf>
    <xf numFmtId="0" fontId="115" fillId="0" borderId="1" xfId="814" applyFont="1" applyBorder="1" applyAlignment="1">
      <alignment horizontal="center" vertical="center"/>
    </xf>
    <xf numFmtId="0" fontId="107" fillId="0" borderId="0" xfId="814"/>
    <xf numFmtId="0" fontId="107" fillId="0" borderId="5" xfId="814" applyBorder="1" applyAlignment="1">
      <alignment horizontal="center" vertical="center" wrapText="1"/>
    </xf>
    <xf numFmtId="0" fontId="107" fillId="0" borderId="6" xfId="814" applyBorder="1" applyAlignment="1">
      <alignment horizontal="center" vertical="center" wrapText="1"/>
    </xf>
    <xf numFmtId="0" fontId="107" fillId="0" borderId="2" xfId="814" applyBorder="1" applyAlignment="1">
      <alignment horizontal="center" vertical="center" wrapText="1"/>
    </xf>
    <xf numFmtId="0" fontId="107" fillId="0" borderId="5" xfId="814" applyBorder="1" applyAlignment="1">
      <alignment horizontal="center" vertical="center"/>
    </xf>
    <xf numFmtId="0" fontId="107" fillId="0" borderId="6" xfId="814" applyBorder="1" applyAlignment="1">
      <alignment horizontal="center" vertical="center"/>
    </xf>
    <xf numFmtId="0" fontId="107" fillId="0" borderId="2" xfId="814" applyBorder="1" applyAlignment="1">
      <alignment horizontal="center" vertical="center"/>
    </xf>
    <xf numFmtId="0" fontId="139" fillId="0" borderId="0" xfId="16321" applyFont="1" applyBorder="1" applyAlignment="1">
      <alignment horizontal="center" vertical="center"/>
    </xf>
    <xf numFmtId="0" fontId="139" fillId="0" borderId="8" xfId="16321" applyFont="1" applyBorder="1" applyAlignment="1">
      <alignment horizontal="center" vertical="center"/>
    </xf>
    <xf numFmtId="184" fontId="140" fillId="22" borderId="1" xfId="16322" applyNumberFormat="1" applyFont="1" applyFill="1" applyBorder="1" applyAlignment="1">
      <alignment vertical="center"/>
    </xf>
    <xf numFmtId="0" fontId="139" fillId="0" borderId="0" xfId="16321" applyFont="1" applyAlignment="1">
      <alignment vertical="center"/>
    </xf>
    <xf numFmtId="0" fontId="140" fillId="22" borderId="1" xfId="16321" applyFont="1" applyFill="1" applyBorder="1" applyAlignment="1">
      <alignment horizontal="center" vertical="center"/>
    </xf>
    <xf numFmtId="184" fontId="139" fillId="0" borderId="1" xfId="16322" applyNumberFormat="1" applyFont="1" applyBorder="1" applyAlignment="1">
      <alignment vertical="center"/>
    </xf>
    <xf numFmtId="0" fontId="132" fillId="21" borderId="1" xfId="16321" applyFont="1" applyFill="1" applyBorder="1" applyAlignment="1">
      <alignment horizontal="right" vertical="center"/>
    </xf>
    <xf numFmtId="184" fontId="132" fillId="21" borderId="1" xfId="16322" applyNumberFormat="1" applyFont="1" applyFill="1" applyBorder="1" applyAlignment="1">
      <alignment horizontal="center" vertical="center"/>
    </xf>
    <xf numFmtId="0" fontId="116" fillId="0" borderId="1" xfId="16321" applyFont="1" applyBorder="1" applyAlignment="1">
      <alignment horizontal="right" vertical="center"/>
    </xf>
    <xf numFmtId="184" fontId="116" fillId="0" borderId="1" xfId="16322" applyNumberFormat="1" applyFont="1" applyBorder="1" applyAlignment="1">
      <alignment horizontal="center" vertical="center"/>
    </xf>
    <xf numFmtId="0" fontId="132" fillId="20" borderId="1" xfId="16321" applyFont="1" applyFill="1" applyBorder="1" applyAlignment="1">
      <alignment horizontal="right" vertical="center"/>
    </xf>
    <xf numFmtId="184" fontId="139" fillId="20" borderId="1" xfId="16322" applyNumberFormat="1" applyFont="1" applyFill="1" applyBorder="1" applyAlignment="1">
      <alignment vertical="center"/>
    </xf>
    <xf numFmtId="0" fontId="139" fillId="0" borderId="0" xfId="16321" applyFont="1" applyAlignment="1">
      <alignment horizontal="justify" vertical="center" wrapText="1"/>
    </xf>
    <xf numFmtId="0" fontId="140" fillId="20" borderId="1" xfId="16321" applyFont="1" applyFill="1" applyBorder="1" applyAlignment="1">
      <alignment horizontal="center" vertical="center"/>
    </xf>
    <xf numFmtId="0" fontId="116" fillId="0" borderId="1" xfId="16321" applyFont="1" applyBorder="1" applyAlignment="1">
      <alignment vertical="center"/>
    </xf>
    <xf numFmtId="164" fontId="116" fillId="0" borderId="1" xfId="16321" applyNumberFormat="1" applyFont="1" applyBorder="1" applyAlignment="1">
      <alignment horizontal="center" vertical="center"/>
    </xf>
    <xf numFmtId="0" fontId="116" fillId="0" borderId="1" xfId="16321" applyFont="1" applyBorder="1" applyAlignment="1">
      <alignment horizontal="center" vertical="center"/>
    </xf>
    <xf numFmtId="0" fontId="106" fillId="0" borderId="22" xfId="16321" applyFont="1" applyBorder="1" applyAlignment="1">
      <alignment horizontal="center" vertical="center"/>
    </xf>
    <xf numFmtId="0" fontId="106" fillId="0" borderId="26" xfId="16321" applyFont="1" applyBorder="1" applyAlignment="1">
      <alignment horizontal="center" vertical="center"/>
    </xf>
    <xf numFmtId="0" fontId="106" fillId="0" borderId="23" xfId="16321" applyFont="1" applyBorder="1" applyAlignment="1">
      <alignment horizontal="center" vertical="center"/>
    </xf>
    <xf numFmtId="0" fontId="127" fillId="0" borderId="7" xfId="16321" applyFont="1" applyBorder="1" applyAlignment="1">
      <alignment horizontal="center" vertical="center" wrapText="1"/>
    </xf>
    <xf numFmtId="0" fontId="127" fillId="0" borderId="8" xfId="16321" applyFont="1" applyBorder="1" applyAlignment="1">
      <alignment horizontal="center" vertical="center" wrapText="1"/>
    </xf>
    <xf numFmtId="0" fontId="127" fillId="0" borderId="20" xfId="16321" applyFont="1" applyBorder="1" applyAlignment="1">
      <alignment horizontal="center" vertical="center" wrapText="1"/>
    </xf>
    <xf numFmtId="0" fontId="127" fillId="0" borderId="24" xfId="16321" applyFont="1" applyBorder="1" applyAlignment="1">
      <alignment horizontal="center" vertical="center" wrapText="1"/>
    </xf>
    <xf numFmtId="0" fontId="127" fillId="0" borderId="0" xfId="16321" applyFont="1" applyBorder="1" applyAlignment="1">
      <alignment horizontal="center" vertical="center" wrapText="1"/>
    </xf>
    <xf numFmtId="0" fontId="127" fillId="0" borderId="25" xfId="16321" applyFont="1" applyBorder="1" applyAlignment="1">
      <alignment horizontal="center" vertical="center" wrapText="1"/>
    </xf>
    <xf numFmtId="0" fontId="127" fillId="0" borderId="3" xfId="16321" applyFont="1" applyBorder="1" applyAlignment="1">
      <alignment horizontal="center" vertical="center" wrapText="1"/>
    </xf>
    <xf numFmtId="0" fontId="127" fillId="0" borderId="4" xfId="16321" applyFont="1" applyBorder="1" applyAlignment="1">
      <alignment horizontal="center" vertical="center" wrapText="1"/>
    </xf>
    <xf numFmtId="0" fontId="127" fillId="0" borderId="21" xfId="16321" applyFont="1" applyBorder="1" applyAlignment="1">
      <alignment horizontal="center" vertical="center" wrapText="1"/>
    </xf>
    <xf numFmtId="0" fontId="139" fillId="0" borderId="5" xfId="16321" applyFont="1" applyBorder="1" applyAlignment="1">
      <alignment horizontal="center" vertical="center" wrapText="1"/>
    </xf>
    <xf numFmtId="0" fontId="139" fillId="0" borderId="6" xfId="16321" applyFont="1" applyBorder="1" applyAlignment="1">
      <alignment horizontal="center" vertical="center" wrapText="1"/>
    </xf>
    <xf numFmtId="0" fontId="139" fillId="0" borderId="2" xfId="16321" applyFont="1" applyBorder="1" applyAlignment="1">
      <alignment horizontal="center" vertical="center" wrapText="1"/>
    </xf>
    <xf numFmtId="1" fontId="139" fillId="0" borderId="5" xfId="16321" applyNumberFormat="1" applyFont="1" applyBorder="1" applyAlignment="1">
      <alignment horizontal="left" vertical="center" wrapText="1"/>
    </xf>
    <xf numFmtId="0" fontId="139" fillId="0" borderId="2" xfId="16321" applyFont="1" applyBorder="1" applyAlignment="1">
      <alignment horizontal="left" vertical="center" wrapText="1"/>
    </xf>
    <xf numFmtId="0" fontId="139" fillId="0" borderId="5" xfId="16321" applyFont="1" applyBorder="1" applyAlignment="1">
      <alignment vertical="center" wrapText="1"/>
    </xf>
    <xf numFmtId="0" fontId="139" fillId="0" borderId="2" xfId="16321" applyFont="1" applyBorder="1" applyAlignment="1">
      <alignment vertical="center" wrapText="1"/>
    </xf>
    <xf numFmtId="0" fontId="139" fillId="0" borderId="5" xfId="16321" applyFont="1" applyBorder="1" applyAlignment="1">
      <alignment horizontal="left" vertical="center" wrapText="1"/>
    </xf>
    <xf numFmtId="0" fontId="127" fillId="0" borderId="5" xfId="8504" applyNumberFormat="1" applyFont="1" applyFill="1" applyBorder="1" applyAlignment="1">
      <alignment horizontal="center" vertical="center"/>
    </xf>
    <xf numFmtId="0" fontId="127" fillId="0" borderId="2" xfId="8504" applyNumberFormat="1" applyFont="1" applyFill="1" applyBorder="1" applyAlignment="1">
      <alignment horizontal="center" vertical="center"/>
    </xf>
    <xf numFmtId="1" fontId="127" fillId="0" borderId="5" xfId="8504" applyNumberFormat="1" applyFont="1" applyFill="1" applyBorder="1" applyAlignment="1">
      <alignment horizontal="center" vertical="center"/>
    </xf>
    <xf numFmtId="1" fontId="127" fillId="0" borderId="2" xfId="8504" applyNumberFormat="1" applyFont="1" applyFill="1" applyBorder="1" applyAlignment="1">
      <alignment horizontal="center" vertical="center"/>
    </xf>
    <xf numFmtId="17" fontId="128" fillId="9" borderId="7" xfId="568" applyNumberFormat="1" applyFont="1" applyFill="1" applyBorder="1" applyAlignment="1">
      <alignment horizontal="center" vertical="center"/>
    </xf>
    <xf numFmtId="17" fontId="128" fillId="9" borderId="8" xfId="568" applyNumberFormat="1" applyFont="1" applyFill="1" applyBorder="1" applyAlignment="1">
      <alignment horizontal="center" vertical="center"/>
    </xf>
    <xf numFmtId="17" fontId="128" fillId="9" borderId="20" xfId="568" applyNumberFormat="1" applyFont="1" applyFill="1" applyBorder="1" applyAlignment="1">
      <alignment horizontal="center" vertical="center"/>
    </xf>
    <xf numFmtId="17" fontId="128" fillId="9" borderId="24" xfId="568" applyNumberFormat="1" applyFont="1" applyFill="1" applyBorder="1" applyAlignment="1">
      <alignment horizontal="center" vertical="center"/>
    </xf>
    <xf numFmtId="17" fontId="128" fillId="9" borderId="0" xfId="568" applyNumberFormat="1" applyFont="1" applyFill="1" applyBorder="1" applyAlignment="1">
      <alignment horizontal="center" vertical="center"/>
    </xf>
    <xf numFmtId="17" fontId="128" fillId="9" borderId="25" xfId="568" applyNumberFormat="1" applyFont="1" applyFill="1" applyBorder="1" applyAlignment="1">
      <alignment horizontal="center" vertical="center"/>
    </xf>
    <xf numFmtId="17" fontId="135" fillId="9" borderId="7" xfId="568" applyNumberFormat="1" applyFont="1" applyFill="1" applyBorder="1" applyAlignment="1">
      <alignment horizontal="center" vertical="center"/>
    </xf>
    <xf numFmtId="17" fontId="135" fillId="9" borderId="8" xfId="568" applyNumberFormat="1" applyFont="1" applyFill="1" applyBorder="1" applyAlignment="1">
      <alignment horizontal="center" vertical="center"/>
    </xf>
    <xf numFmtId="17" fontId="135" fillId="9" borderId="20" xfId="568" applyNumberFormat="1" applyFont="1" applyFill="1" applyBorder="1" applyAlignment="1">
      <alignment horizontal="center" vertical="center"/>
    </xf>
    <xf numFmtId="17" fontId="135" fillId="9" borderId="24" xfId="568" applyNumberFormat="1" applyFont="1" applyFill="1" applyBorder="1" applyAlignment="1">
      <alignment horizontal="center" vertical="center"/>
    </xf>
    <xf numFmtId="17" fontId="135" fillId="9" borderId="0" xfId="568" applyNumberFormat="1" applyFont="1" applyFill="1" applyBorder="1" applyAlignment="1">
      <alignment horizontal="center" vertical="center"/>
    </xf>
    <xf numFmtId="17" fontId="135" fillId="9" borderId="25" xfId="568" applyNumberFormat="1" applyFont="1" applyFill="1" applyBorder="1" applyAlignment="1">
      <alignment horizontal="center" vertical="center"/>
    </xf>
    <xf numFmtId="0" fontId="107" fillId="8" borderId="1" xfId="8504" applyFont="1" applyFill="1" applyBorder="1" applyAlignment="1">
      <alignment vertical="center" wrapText="1"/>
    </xf>
    <xf numFmtId="0" fontId="143" fillId="8" borderId="1" xfId="8504" applyFill="1" applyBorder="1" applyAlignment="1">
      <alignment vertical="center" wrapText="1"/>
    </xf>
    <xf numFmtId="0" fontId="143" fillId="0" borderId="1" xfId="8504" applyBorder="1" applyAlignment="1">
      <alignment vertical="center" wrapText="1"/>
    </xf>
    <xf numFmtId="0" fontId="107" fillId="0" borderId="1" xfId="8504" applyFont="1" applyBorder="1" applyAlignment="1">
      <alignment vertical="center" wrapText="1"/>
    </xf>
    <xf numFmtId="0" fontId="107" fillId="0" borderId="22" xfId="814" applyBorder="1" applyAlignment="1">
      <alignment horizontal="center" vertical="center" wrapText="1"/>
    </xf>
    <xf numFmtId="0" fontId="107" fillId="0" borderId="26" xfId="814" applyBorder="1" applyAlignment="1">
      <alignment horizontal="center" vertical="center" wrapText="1"/>
    </xf>
    <xf numFmtId="0" fontId="107" fillId="0" borderId="23" xfId="814" applyBorder="1" applyAlignment="1">
      <alignment horizontal="center" vertical="center" wrapText="1"/>
    </xf>
    <xf numFmtId="0" fontId="107" fillId="0" borderId="22" xfId="814" applyBorder="1" applyAlignment="1">
      <alignment wrapText="1"/>
    </xf>
    <xf numFmtId="0" fontId="107" fillId="0" borderId="26" xfId="814" applyBorder="1" applyAlignment="1">
      <alignment wrapText="1"/>
    </xf>
    <xf numFmtId="0" fontId="107" fillId="0" borderId="23" xfId="814" applyBorder="1" applyAlignment="1">
      <alignment wrapText="1"/>
    </xf>
    <xf numFmtId="17" fontId="135" fillId="9" borderId="3" xfId="568" applyNumberFormat="1" applyFont="1" applyFill="1" applyBorder="1" applyAlignment="1">
      <alignment horizontal="center" vertical="center"/>
    </xf>
    <xf numFmtId="17" fontId="135" fillId="9" borderId="4" xfId="568" applyNumberFormat="1" applyFont="1" applyFill="1" applyBorder="1" applyAlignment="1">
      <alignment horizontal="center" vertical="center"/>
    </xf>
    <xf numFmtId="17" fontId="135" fillId="9" borderId="21" xfId="568" applyNumberFormat="1" applyFont="1" applyFill="1" applyBorder="1" applyAlignment="1">
      <alignment horizontal="center" vertical="center"/>
    </xf>
    <xf numFmtId="0" fontId="107" fillId="0" borderId="5" xfId="814" applyBorder="1" applyAlignment="1">
      <alignment vertical="center" wrapText="1"/>
    </xf>
    <xf numFmtId="17" fontId="142" fillId="0" borderId="7" xfId="568" applyNumberFormat="1" applyFont="1" applyFill="1" applyBorder="1" applyAlignment="1">
      <alignment horizontal="center" vertical="center" wrapText="1"/>
    </xf>
    <xf numFmtId="17" fontId="142" fillId="0" borderId="8" xfId="568" applyNumberFormat="1" applyFont="1" applyFill="1" applyBorder="1" applyAlignment="1">
      <alignment horizontal="center" vertical="center" wrapText="1"/>
    </xf>
    <xf numFmtId="17" fontId="142" fillId="0" borderId="20" xfId="568" applyNumberFormat="1" applyFont="1" applyFill="1" applyBorder="1" applyAlignment="1">
      <alignment horizontal="center" vertical="center" wrapText="1"/>
    </xf>
    <xf numFmtId="17" fontId="142" fillId="0" borderId="3" xfId="568" applyNumberFormat="1" applyFont="1" applyFill="1" applyBorder="1" applyAlignment="1">
      <alignment horizontal="center" vertical="center" wrapText="1"/>
    </xf>
    <xf numFmtId="17" fontId="142" fillId="0" borderId="4" xfId="568" applyNumberFormat="1" applyFont="1" applyFill="1" applyBorder="1" applyAlignment="1">
      <alignment horizontal="center" vertical="center" wrapText="1"/>
    </xf>
    <xf numFmtId="17" fontId="142" fillId="0" borderId="21" xfId="568" applyNumberFormat="1" applyFont="1" applyFill="1" applyBorder="1" applyAlignment="1">
      <alignment horizontal="center" vertical="center" wrapText="1"/>
    </xf>
    <xf numFmtId="0" fontId="127" fillId="0" borderId="1" xfId="824" applyFont="1" applyFill="1" applyBorder="1" applyAlignment="1">
      <alignment horizontal="center" vertical="center" wrapText="1"/>
    </xf>
    <xf numFmtId="0" fontId="127" fillId="0" borderId="1" xfId="824" applyFont="1" applyBorder="1" applyAlignment="1">
      <alignment horizontal="center" vertical="center"/>
    </xf>
    <xf numFmtId="0" fontId="127" fillId="0" borderId="33" xfId="824" applyFont="1" applyBorder="1" applyAlignment="1">
      <alignment horizontal="center" vertical="center"/>
    </xf>
    <xf numFmtId="0" fontId="127" fillId="0" borderId="0" xfId="824" applyFont="1" applyBorder="1" applyAlignment="1">
      <alignment horizontal="center" vertical="center"/>
    </xf>
    <xf numFmtId="0" fontId="127" fillId="0" borderId="25" xfId="824" applyFont="1" applyBorder="1" applyAlignment="1">
      <alignment horizontal="center" vertical="center"/>
    </xf>
    <xf numFmtId="17" fontId="142" fillId="9" borderId="7" xfId="568" applyNumberFormat="1" applyFont="1" applyFill="1" applyBorder="1" applyAlignment="1">
      <alignment horizontal="center" vertical="center" wrapText="1"/>
    </xf>
    <xf numFmtId="17" fontId="142" fillId="9" borderId="8" xfId="568" applyNumberFormat="1" applyFont="1" applyFill="1" applyBorder="1" applyAlignment="1">
      <alignment horizontal="center" vertical="center" wrapText="1"/>
    </xf>
    <xf numFmtId="17" fontId="142" fillId="9" borderId="20" xfId="568" applyNumberFormat="1" applyFont="1" applyFill="1" applyBorder="1" applyAlignment="1">
      <alignment horizontal="center" vertical="center" wrapText="1"/>
    </xf>
    <xf numFmtId="17" fontId="142" fillId="9" borderId="3" xfId="568" applyNumberFormat="1" applyFont="1" applyFill="1" applyBorder="1" applyAlignment="1">
      <alignment horizontal="center" vertical="center" wrapText="1"/>
    </xf>
    <xf numFmtId="17" fontId="142" fillId="9" borderId="4" xfId="568" applyNumberFormat="1" applyFont="1" applyFill="1" applyBorder="1" applyAlignment="1">
      <alignment horizontal="center" vertical="center" wrapText="1"/>
    </xf>
    <xf numFmtId="17" fontId="142" fillId="9" borderId="21" xfId="568" applyNumberFormat="1" applyFont="1" applyFill="1" applyBorder="1" applyAlignment="1">
      <alignment horizontal="center" vertical="center" wrapText="1"/>
    </xf>
    <xf numFmtId="17" fontId="115" fillId="9" borderId="7" xfId="568" applyNumberFormat="1" applyFont="1" applyFill="1" applyBorder="1" applyAlignment="1">
      <alignment horizontal="center" vertical="center" wrapText="1"/>
    </xf>
    <xf numFmtId="17" fontId="115" fillId="9" borderId="8" xfId="568" applyNumberFormat="1" applyFont="1" applyFill="1" applyBorder="1" applyAlignment="1">
      <alignment horizontal="center" vertical="center" wrapText="1"/>
    </xf>
    <xf numFmtId="17" fontId="115" fillId="9" borderId="20" xfId="568" applyNumberFormat="1" applyFont="1" applyFill="1" applyBorder="1" applyAlignment="1">
      <alignment horizontal="center" vertical="center" wrapText="1"/>
    </xf>
    <xf numFmtId="17" fontId="115" fillId="9" borderId="3" xfId="568" applyNumberFormat="1" applyFont="1" applyFill="1" applyBorder="1" applyAlignment="1">
      <alignment horizontal="center" vertical="center" wrapText="1"/>
    </xf>
    <xf numFmtId="17" fontId="115" fillId="9" borderId="4" xfId="568" applyNumberFormat="1" applyFont="1" applyFill="1" applyBorder="1" applyAlignment="1">
      <alignment horizontal="center" vertical="center" wrapText="1"/>
    </xf>
    <xf numFmtId="17" fontId="115" fillId="9" borderId="21" xfId="568" applyNumberFormat="1" applyFont="1" applyFill="1" applyBorder="1" applyAlignment="1">
      <alignment horizontal="center" vertical="center" wrapText="1"/>
    </xf>
    <xf numFmtId="0" fontId="0" fillId="0" borderId="1" xfId="0" applyFill="1" applyBorder="1" applyAlignment="1">
      <alignment vertical="center" wrapText="1"/>
    </xf>
    <xf numFmtId="0" fontId="107" fillId="0" borderId="1" xfId="0" applyFont="1" applyFill="1" applyBorder="1" applyAlignment="1">
      <alignment vertical="center" wrapText="1"/>
    </xf>
    <xf numFmtId="0" fontId="107" fillId="0" borderId="1" xfId="840" applyBorder="1" applyAlignment="1">
      <alignment vertical="top" wrapText="1"/>
    </xf>
    <xf numFmtId="0" fontId="134" fillId="0" borderId="1" xfId="814" applyFont="1" applyBorder="1" applyAlignment="1">
      <alignment vertical="center" wrapText="1"/>
    </xf>
    <xf numFmtId="0" fontId="107" fillId="0" borderId="1" xfId="814" applyFont="1" applyBorder="1" applyAlignment="1">
      <alignment vertical="top" wrapText="1"/>
    </xf>
    <xf numFmtId="0" fontId="134" fillId="0" borderId="22" xfId="814" applyFont="1" applyBorder="1" applyAlignment="1">
      <alignment vertical="center" wrapText="1"/>
    </xf>
    <xf numFmtId="0" fontId="134" fillId="0" borderId="23" xfId="814" applyFont="1" applyBorder="1" applyAlignment="1">
      <alignment vertical="center" wrapText="1"/>
    </xf>
    <xf numFmtId="0" fontId="127" fillId="0" borderId="5" xfId="642" applyFont="1" applyBorder="1" applyAlignment="1">
      <alignment horizontal="center" vertical="center"/>
    </xf>
    <xf numFmtId="0" fontId="127" fillId="0" borderId="6" xfId="642" applyFont="1" applyBorder="1" applyAlignment="1">
      <alignment horizontal="center" vertical="center"/>
    </xf>
    <xf numFmtId="0" fontId="134" fillId="0" borderId="1" xfId="8504" applyFont="1" applyBorder="1" applyAlignment="1">
      <alignment vertical="center" wrapText="1"/>
    </xf>
    <xf numFmtId="0" fontId="107" fillId="24" borderId="1" xfId="814" applyFill="1" applyBorder="1" applyAlignment="1">
      <alignment vertical="center" wrapText="1"/>
    </xf>
    <xf numFmtId="0" fontId="133" fillId="8" borderId="0" xfId="567" applyFont="1" applyFill="1" applyBorder="1" applyAlignment="1">
      <alignment horizontal="center" vertical="center"/>
    </xf>
    <xf numFmtId="17" fontId="168" fillId="9" borderId="7" xfId="568" applyNumberFormat="1" applyFont="1" applyFill="1" applyBorder="1" applyAlignment="1">
      <alignment horizontal="center" vertical="center"/>
    </xf>
    <xf numFmtId="17" fontId="168" fillId="9" borderId="8" xfId="568" applyNumberFormat="1" applyFont="1" applyFill="1" applyBorder="1" applyAlignment="1">
      <alignment horizontal="center" vertical="center"/>
    </xf>
    <xf numFmtId="17" fontId="168" fillId="9" borderId="20" xfId="568" applyNumberFormat="1" applyFont="1" applyFill="1" applyBorder="1" applyAlignment="1">
      <alignment horizontal="center" vertical="center"/>
    </xf>
    <xf numFmtId="17" fontId="168" fillId="9" borderId="24" xfId="568" applyNumberFormat="1" applyFont="1" applyFill="1" applyBorder="1" applyAlignment="1">
      <alignment horizontal="center" vertical="center"/>
    </xf>
    <xf numFmtId="17" fontId="168" fillId="9" borderId="0" xfId="568" applyNumberFormat="1" applyFont="1" applyFill="1" applyBorder="1" applyAlignment="1">
      <alignment horizontal="center" vertical="center"/>
    </xf>
    <xf numFmtId="17" fontId="168" fillId="9" borderId="25" xfId="568" applyNumberFormat="1" applyFont="1" applyFill="1" applyBorder="1" applyAlignment="1">
      <alignment horizontal="center" vertical="center"/>
    </xf>
    <xf numFmtId="172" fontId="116" fillId="0" borderId="1" xfId="9931" applyNumberFormat="1" applyFont="1" applyBorder="1" applyAlignment="1">
      <alignment horizontal="center"/>
    </xf>
    <xf numFmtId="0" fontId="116" fillId="0" borderId="5" xfId="0" applyFont="1" applyBorder="1" applyAlignment="1">
      <alignment horizontal="center"/>
    </xf>
    <xf numFmtId="0" fontId="116" fillId="0" borderId="2" xfId="0" applyFont="1" applyBorder="1" applyAlignment="1">
      <alignment horizontal="center"/>
    </xf>
    <xf numFmtId="0" fontId="116" fillId="0" borderId="1" xfId="0" applyFont="1" applyBorder="1" applyAlignment="1">
      <alignment horizontal="center"/>
    </xf>
    <xf numFmtId="0" fontId="107" fillId="0" borderId="22" xfId="8504" applyFont="1" applyBorder="1" applyAlignment="1">
      <alignment horizontal="left" vertical="center" wrapText="1"/>
    </xf>
    <xf numFmtId="0" fontId="107" fillId="0" borderId="23" xfId="8504" applyFont="1" applyBorder="1" applyAlignment="1">
      <alignment horizontal="left" vertical="center" wrapText="1"/>
    </xf>
    <xf numFmtId="0" fontId="107" fillId="8" borderId="1" xfId="0" applyFont="1" applyFill="1" applyBorder="1" applyAlignment="1">
      <alignment vertical="center" wrapText="1"/>
    </xf>
    <xf numFmtId="0" fontId="107" fillId="0" borderId="1" xfId="0" applyFont="1" applyBorder="1" applyAlignment="1">
      <alignment horizontal="left" vertical="center" wrapText="1"/>
    </xf>
    <xf numFmtId="0" fontId="0" fillId="0" borderId="1" xfId="0" applyBorder="1" applyAlignment="1">
      <alignment horizontal="left" vertical="center" wrapText="1"/>
    </xf>
    <xf numFmtId="0" fontId="107" fillId="0" borderId="1" xfId="8504" applyFont="1" applyBorder="1" applyAlignment="1">
      <alignment horizontal="center" vertical="center" wrapText="1"/>
    </xf>
    <xf numFmtId="0" fontId="107" fillId="0" borderId="1" xfId="8504" applyFont="1" applyBorder="1" applyAlignment="1">
      <alignment horizontal="center" vertical="top" wrapText="1"/>
    </xf>
    <xf numFmtId="0" fontId="127" fillId="0" borderId="1" xfId="8504" applyNumberFormat="1" applyFont="1" applyFill="1" applyBorder="1" applyAlignment="1">
      <alignment horizontal="center" vertical="center"/>
    </xf>
    <xf numFmtId="1" fontId="127" fillId="0" borderId="1" xfId="8504" applyNumberFormat="1" applyFont="1" applyFill="1" applyBorder="1" applyAlignment="1">
      <alignment horizontal="center" vertical="center"/>
    </xf>
    <xf numFmtId="0" fontId="0" fillId="0" borderId="1" xfId="0" applyFont="1" applyFill="1" applyBorder="1" applyAlignment="1">
      <alignment vertical="center" wrapText="1"/>
    </xf>
    <xf numFmtId="0" fontId="127" fillId="8" borderId="0" xfId="567" applyFont="1" applyFill="1" applyBorder="1" applyAlignment="1">
      <alignment horizontal="center" vertical="top" wrapText="1"/>
    </xf>
    <xf numFmtId="0" fontId="127" fillId="8" borderId="0" xfId="567" applyFont="1" applyFill="1" applyBorder="1" applyAlignment="1">
      <alignment horizontal="center" vertical="top"/>
    </xf>
    <xf numFmtId="0" fontId="0" fillId="0" borderId="0" xfId="0" applyAlignment="1">
      <alignment vertical="center" wrapText="1"/>
    </xf>
    <xf numFmtId="0" fontId="107" fillId="8" borderId="1" xfId="0" applyFont="1" applyFill="1" applyBorder="1" applyAlignment="1">
      <alignment horizontal="left" vertical="top" wrapText="1"/>
    </xf>
    <xf numFmtId="0" fontId="0" fillId="8" borderId="1" xfId="0" applyFill="1" applyBorder="1" applyAlignment="1">
      <alignment horizontal="left" vertical="top" wrapText="1"/>
    </xf>
    <xf numFmtId="0" fontId="134" fillId="0" borderId="1" xfId="0" applyFont="1" applyBorder="1" applyAlignment="1">
      <alignment vertical="center" wrapText="1"/>
    </xf>
    <xf numFmtId="0" fontId="107" fillId="0" borderId="0" xfId="0" applyFont="1" applyAlignment="1">
      <alignment vertical="center" wrapText="1"/>
    </xf>
    <xf numFmtId="1" fontId="124" fillId="0" borderId="5" xfId="8504" applyNumberFormat="1" applyFont="1" applyFill="1" applyBorder="1" applyAlignment="1">
      <alignment horizontal="center" vertical="center"/>
    </xf>
    <xf numFmtId="1" fontId="124" fillId="0" borderId="2" xfId="8504" applyNumberFormat="1" applyFont="1" applyFill="1" applyBorder="1" applyAlignment="1">
      <alignment horizontal="center" vertical="center"/>
    </xf>
    <xf numFmtId="0" fontId="124" fillId="0" borderId="5" xfId="8504" applyNumberFormat="1" applyFont="1" applyFill="1" applyBorder="1" applyAlignment="1">
      <alignment horizontal="center" vertical="center"/>
    </xf>
    <xf numFmtId="0" fontId="124" fillId="0" borderId="2" xfId="8504" applyNumberFormat="1" applyFont="1" applyFill="1" applyBorder="1" applyAlignment="1">
      <alignment horizontal="center" vertical="center"/>
    </xf>
    <xf numFmtId="0" fontId="107"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0" fillId="0" borderId="22" xfId="0" applyBorder="1" applyAlignment="1">
      <alignment vertical="center" wrapText="1"/>
    </xf>
    <xf numFmtId="0" fontId="0" fillId="0" borderId="23" xfId="0" applyBorder="1" applyAlignment="1">
      <alignment vertical="center" wrapText="1"/>
    </xf>
    <xf numFmtId="17" fontId="115" fillId="9" borderId="24" xfId="568" applyNumberFormat="1" applyFont="1" applyFill="1" applyBorder="1" applyAlignment="1">
      <alignment horizontal="center" vertical="center" wrapText="1"/>
    </xf>
    <xf numFmtId="17" fontId="115" fillId="9" borderId="0" xfId="568" applyNumberFormat="1" applyFont="1" applyFill="1" applyBorder="1" applyAlignment="1">
      <alignment horizontal="center" vertical="center" wrapText="1"/>
    </xf>
    <xf numFmtId="17" fontId="115" fillId="9" borderId="25" xfId="568" applyNumberFormat="1" applyFont="1" applyFill="1" applyBorder="1" applyAlignment="1">
      <alignment horizontal="center" vertical="center" wrapText="1"/>
    </xf>
    <xf numFmtId="0" fontId="127" fillId="8" borderId="33" xfId="824" applyFont="1" applyFill="1" applyBorder="1" applyAlignment="1">
      <alignment horizontal="center" vertical="center" wrapText="1"/>
    </xf>
    <xf numFmtId="0" fontId="127" fillId="8" borderId="0" xfId="824" applyFont="1" applyFill="1" applyBorder="1" applyAlignment="1">
      <alignment horizontal="center" vertical="center" wrapText="1"/>
    </xf>
    <xf numFmtId="0" fontId="130" fillId="13" borderId="1" xfId="0" applyFont="1" applyFill="1" applyBorder="1"/>
    <xf numFmtId="0" fontId="0" fillId="0" borderId="1" xfId="0" applyBorder="1" applyAlignment="1">
      <alignment vertical="center"/>
    </xf>
    <xf numFmtId="0" fontId="107" fillId="0" borderId="1" xfId="840" applyFont="1" applyBorder="1" applyAlignment="1">
      <alignment horizontal="left" vertical="center" wrapText="1"/>
    </xf>
    <xf numFmtId="0" fontId="107" fillId="0" borderId="1" xfId="840" applyBorder="1" applyAlignment="1">
      <alignment horizontal="left" vertical="center" wrapText="1"/>
    </xf>
    <xf numFmtId="0" fontId="127" fillId="8" borderId="1" xfId="824" applyFont="1" applyFill="1" applyBorder="1" applyAlignment="1">
      <alignment horizontal="center" vertical="center" wrapText="1"/>
    </xf>
    <xf numFmtId="0" fontId="127" fillId="8" borderId="5" xfId="824" applyFont="1" applyFill="1" applyBorder="1" applyAlignment="1">
      <alignment horizontal="center" vertical="center" wrapText="1"/>
    </xf>
    <xf numFmtId="0" fontId="127" fillId="8" borderId="6" xfId="824" applyFont="1" applyFill="1" applyBorder="1" applyAlignment="1">
      <alignment horizontal="center" vertical="center" wrapText="1"/>
    </xf>
    <xf numFmtId="0" fontId="127" fillId="8" borderId="2" xfId="824" applyFont="1" applyFill="1" applyBorder="1" applyAlignment="1">
      <alignment horizontal="center" vertical="center" wrapText="1"/>
    </xf>
    <xf numFmtId="0" fontId="107" fillId="0" borderId="0" xfId="814" applyAlignment="1">
      <alignment vertical="center" wrapText="1"/>
    </xf>
    <xf numFmtId="0" fontId="130" fillId="13" borderId="1" xfId="0" applyFont="1" applyFill="1" applyBorder="1" applyAlignment="1">
      <alignment vertical="center"/>
    </xf>
    <xf numFmtId="165" fontId="116" fillId="0" borderId="1" xfId="1580" applyNumberFormat="1" applyFont="1" applyBorder="1" applyAlignment="1">
      <alignment horizontal="center" vertical="center"/>
    </xf>
    <xf numFmtId="0" fontId="141" fillId="0" borderId="0" xfId="1580" applyFont="1" applyAlignment="1">
      <alignment horizontal="justify" vertical="top" wrapText="1"/>
    </xf>
    <xf numFmtId="0" fontId="153" fillId="0" borderId="26" xfId="0" applyFont="1" applyBorder="1" applyAlignment="1">
      <alignment horizontal="center" vertical="center" wrapText="1"/>
    </xf>
    <xf numFmtId="0" fontId="153" fillId="0" borderId="23" xfId="0" applyFont="1" applyBorder="1" applyAlignment="1">
      <alignment horizontal="center" vertical="center" wrapText="1"/>
    </xf>
    <xf numFmtId="0" fontId="153" fillId="0" borderId="23" xfId="0" applyFont="1" applyBorder="1" applyAlignment="1">
      <alignment vertical="center" wrapText="1"/>
    </xf>
    <xf numFmtId="0" fontId="153" fillId="0" borderId="1" xfId="0" applyFont="1" applyBorder="1" applyAlignment="1">
      <alignment vertical="center" wrapText="1"/>
    </xf>
    <xf numFmtId="0" fontId="134" fillId="0" borderId="1" xfId="0" applyFont="1" applyBorder="1" applyAlignment="1">
      <alignment vertical="center"/>
    </xf>
    <xf numFmtId="0" fontId="166" fillId="13" borderId="1" xfId="0" applyFont="1" applyFill="1" applyBorder="1"/>
    <xf numFmtId="189" fontId="166" fillId="14" borderId="1" xfId="0" applyNumberFormat="1" applyFont="1" applyFill="1" applyBorder="1" applyAlignment="1">
      <alignment horizontal="right"/>
    </xf>
    <xf numFmtId="0" fontId="166" fillId="14" borderId="1" xfId="0" applyFont="1" applyFill="1" applyBorder="1"/>
    <xf numFmtId="0" fontId="127" fillId="0" borderId="5" xfId="11024" applyNumberFormat="1" applyFont="1" applyFill="1" applyBorder="1" applyAlignment="1">
      <alignment horizontal="center" vertical="center"/>
    </xf>
    <xf numFmtId="0" fontId="127" fillId="0" borderId="2" xfId="11024" applyNumberFormat="1" applyFont="1" applyFill="1" applyBorder="1" applyAlignment="1">
      <alignment horizontal="center" vertical="center"/>
    </xf>
    <xf numFmtId="0" fontId="134" fillId="0" borderId="0" xfId="0" applyFont="1" applyAlignment="1">
      <alignment vertical="center" wrapText="1"/>
    </xf>
    <xf numFmtId="0" fontId="147" fillId="0" borderId="0" xfId="0" applyFont="1"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vertical="center"/>
    </xf>
    <xf numFmtId="0" fontId="107" fillId="0" borderId="0" xfId="0" applyFont="1" applyAlignment="1">
      <alignment horizontal="left" vertical="center" wrapText="1"/>
    </xf>
    <xf numFmtId="0" fontId="130" fillId="13" borderId="0" xfId="0" applyFont="1" applyFill="1"/>
    <xf numFmtId="189" fontId="130" fillId="14" borderId="0" xfId="0" applyNumberFormat="1" applyFont="1" applyFill="1" applyAlignment="1">
      <alignment horizontal="right"/>
    </xf>
    <xf numFmtId="0" fontId="130" fillId="14" borderId="0" xfId="0" applyFont="1" applyFill="1"/>
    <xf numFmtId="0" fontId="130" fillId="14" borderId="0" xfId="0" applyFont="1" applyFill="1" applyAlignment="1"/>
    <xf numFmtId="0" fontId="107" fillId="0" borderId="0" xfId="0" applyFont="1" applyAlignment="1">
      <alignment horizontal="left" vertical="top" wrapText="1"/>
    </xf>
    <xf numFmtId="0" fontId="0" fillId="0" borderId="0" xfId="0" applyAlignment="1">
      <alignment horizontal="left" vertical="top" wrapText="1"/>
    </xf>
    <xf numFmtId="0" fontId="107" fillId="8" borderId="0" xfId="0" applyFont="1" applyFill="1" applyAlignment="1">
      <alignment vertical="center" wrapText="1"/>
    </xf>
    <xf numFmtId="0" fontId="0" fillId="8" borderId="0" xfId="0" applyFill="1" applyAlignment="1">
      <alignment vertical="center" wrapText="1"/>
    </xf>
    <xf numFmtId="0" fontId="107" fillId="0" borderId="0" xfId="840" applyAlignment="1">
      <alignment vertical="center" wrapText="1"/>
    </xf>
    <xf numFmtId="0" fontId="107" fillId="0" borderId="0" xfId="840" applyFont="1" applyAlignment="1">
      <alignment vertical="center" wrapText="1"/>
    </xf>
    <xf numFmtId="0" fontId="107" fillId="0" borderId="0" xfId="0" applyFont="1" applyAlignment="1">
      <alignment vertical="top" wrapText="1"/>
    </xf>
    <xf numFmtId="0" fontId="0" fillId="0" borderId="0" xfId="0" applyAlignment="1">
      <alignment vertical="top" wrapText="1"/>
    </xf>
    <xf numFmtId="0" fontId="0" fillId="0" borderId="0" xfId="0" applyFill="1" applyAlignment="1">
      <alignment vertical="center" wrapText="1"/>
    </xf>
    <xf numFmtId="0" fontId="134" fillId="0" borderId="0" xfId="0" applyFont="1" applyFill="1" applyAlignment="1">
      <alignment vertical="center" wrapText="1"/>
    </xf>
    <xf numFmtId="0" fontId="174" fillId="0" borderId="30" xfId="302" applyFont="1" applyBorder="1" applyAlignment="1">
      <alignment horizontal="center" vertical="center"/>
    </xf>
    <xf numFmtId="0" fontId="174" fillId="0" borderId="31" xfId="302" applyFont="1" applyBorder="1" applyAlignment="1">
      <alignment horizontal="center" vertical="center"/>
    </xf>
    <xf numFmtId="0" fontId="127" fillId="0" borderId="32" xfId="302" applyFont="1" applyBorder="1" applyAlignment="1">
      <alignment horizontal="center" vertical="center"/>
    </xf>
    <xf numFmtId="0" fontId="174" fillId="0" borderId="14" xfId="302" applyFont="1" applyBorder="1" applyAlignment="1">
      <alignment horizontal="center" vertical="center"/>
    </xf>
    <xf numFmtId="0" fontId="174" fillId="0" borderId="15" xfId="302" applyFont="1" applyBorder="1" applyAlignment="1">
      <alignment horizontal="center" vertical="center"/>
    </xf>
    <xf numFmtId="0" fontId="127" fillId="0" borderId="15" xfId="302" applyFont="1" applyBorder="1" applyAlignment="1">
      <alignment horizontal="center" vertical="center"/>
    </xf>
    <xf numFmtId="0" fontId="106" fillId="0" borderId="15" xfId="302" applyBorder="1" applyAlignment="1">
      <alignment horizontal="center" vertical="center"/>
    </xf>
    <xf numFmtId="0" fontId="106" fillId="0" borderId="41" xfId="302" applyBorder="1" applyAlignment="1">
      <alignment horizontal="center" vertical="center"/>
    </xf>
    <xf numFmtId="0" fontId="173" fillId="0" borderId="11" xfId="302" applyFont="1" applyBorder="1" applyAlignment="1">
      <alignment horizontal="center" vertical="center"/>
    </xf>
    <xf numFmtId="0" fontId="106" fillId="0" borderId="12" xfId="302" applyBorder="1" applyAlignment="1">
      <alignment horizontal="center" vertical="center"/>
    </xf>
    <xf numFmtId="0" fontId="106" fillId="0" borderId="34" xfId="302" applyBorder="1" applyAlignment="1">
      <alignment horizontal="center" vertical="center"/>
    </xf>
    <xf numFmtId="0" fontId="106" fillId="0" borderId="17" xfId="302" applyBorder="1" applyAlignment="1">
      <alignment horizontal="center" vertical="center"/>
    </xf>
    <xf numFmtId="0" fontId="106" fillId="0" borderId="18" xfId="302" applyBorder="1" applyAlignment="1">
      <alignment horizontal="center" vertical="center"/>
    </xf>
    <xf numFmtId="0" fontId="106" fillId="0" borderId="45" xfId="302" applyBorder="1" applyAlignment="1">
      <alignment horizontal="center" vertical="center"/>
    </xf>
    <xf numFmtId="0" fontId="178" fillId="0" borderId="5" xfId="302" applyFont="1" applyBorder="1" applyAlignment="1">
      <alignment horizontal="center" vertical="center" wrapText="1"/>
    </xf>
    <xf numFmtId="0" fontId="178" fillId="0" borderId="2" xfId="302" applyFont="1" applyBorder="1" applyAlignment="1">
      <alignment horizontal="center" vertical="center" wrapText="1"/>
    </xf>
    <xf numFmtId="0" fontId="177" fillId="0" borderId="5" xfId="302" applyFont="1" applyFill="1" applyBorder="1" applyAlignment="1">
      <alignment horizontal="center" vertical="center"/>
    </xf>
    <xf numFmtId="0" fontId="177" fillId="0" borderId="2" xfId="302" applyFont="1" applyFill="1" applyBorder="1" applyAlignment="1">
      <alignment horizontal="center" vertical="center"/>
    </xf>
    <xf numFmtId="0" fontId="174" fillId="27" borderId="0" xfId="302" applyFont="1" applyFill="1" applyBorder="1" applyAlignment="1">
      <alignment vertical="center"/>
    </xf>
    <xf numFmtId="0" fontId="127" fillId="27" borderId="0" xfId="302" applyFont="1" applyFill="1" applyBorder="1" applyAlignment="1">
      <alignment vertical="center"/>
    </xf>
    <xf numFmtId="0" fontId="127" fillId="27" borderId="25" xfId="302" applyFont="1" applyFill="1" applyBorder="1" applyAlignment="1">
      <alignment vertical="center"/>
    </xf>
    <xf numFmtId="0" fontId="111" fillId="0" borderId="3" xfId="302" applyFont="1" applyBorder="1" applyAlignment="1">
      <alignment horizontal="center" vertical="center" wrapText="1"/>
    </xf>
    <xf numFmtId="0" fontId="111" fillId="0" borderId="21" xfId="302" applyFont="1" applyBorder="1" applyAlignment="1">
      <alignment horizontal="center" vertical="center" wrapText="1"/>
    </xf>
    <xf numFmtId="0" fontId="106" fillId="0" borderId="5" xfId="302" applyBorder="1" applyAlignment="1">
      <alignment horizontal="center" vertical="center" wrapText="1"/>
    </xf>
    <xf numFmtId="0" fontId="106" fillId="0" borderId="2" xfId="302" applyBorder="1" applyAlignment="1">
      <alignment horizontal="center" vertical="center" wrapText="1"/>
    </xf>
    <xf numFmtId="0" fontId="111" fillId="9" borderId="5" xfId="302" applyFont="1" applyFill="1" applyBorder="1" applyAlignment="1">
      <alignment horizontal="center" vertical="center"/>
    </xf>
    <xf numFmtId="0" fontId="111" fillId="9" borderId="2" xfId="302" applyFont="1" applyFill="1" applyBorder="1" applyAlignment="1">
      <alignment horizontal="center" vertical="center"/>
    </xf>
    <xf numFmtId="17" fontId="2" fillId="0" borderId="1" xfId="16326" applyNumberFormat="1" applyBorder="1" applyAlignment="1">
      <alignment horizontal="center" vertical="center"/>
    </xf>
    <xf numFmtId="0" fontId="127" fillId="0" borderId="0" xfId="302" applyFont="1" applyBorder="1" applyAlignment="1"/>
    <xf numFmtId="0" fontId="127" fillId="0" borderId="25" xfId="302" applyFont="1" applyBorder="1" applyAlignment="1"/>
    <xf numFmtId="0" fontId="175" fillId="0" borderId="7" xfId="302" applyFont="1" applyBorder="1" applyAlignment="1">
      <alignment horizontal="left" vertical="top" wrapText="1"/>
    </xf>
    <xf numFmtId="0" fontId="175" fillId="0" borderId="8" xfId="302" applyFont="1" applyBorder="1" applyAlignment="1">
      <alignment horizontal="left" vertical="top" wrapText="1"/>
    </xf>
    <xf numFmtId="0" fontId="175" fillId="0" borderId="20" xfId="302" applyFont="1" applyBorder="1" applyAlignment="1">
      <alignment horizontal="left" vertical="top" wrapText="1"/>
    </xf>
    <xf numFmtId="0" fontId="175" fillId="0" borderId="24" xfId="302" applyFont="1" applyBorder="1" applyAlignment="1">
      <alignment horizontal="left" vertical="top" wrapText="1"/>
    </xf>
    <xf numFmtId="0" fontId="175" fillId="0" borderId="0" xfId="302" applyFont="1" applyBorder="1" applyAlignment="1">
      <alignment horizontal="left" vertical="top" wrapText="1"/>
    </xf>
    <xf numFmtId="0" fontId="175" fillId="0" borderId="25" xfId="302" applyFont="1" applyBorder="1" applyAlignment="1">
      <alignment horizontal="left" vertical="top" wrapText="1"/>
    </xf>
    <xf numFmtId="0" fontId="106" fillId="8" borderId="24" xfId="302" applyNumberFormat="1" applyFont="1" applyFill="1" applyBorder="1" applyAlignment="1">
      <alignment horizontal="left" vertical="center" wrapText="1"/>
    </xf>
    <xf numFmtId="0" fontId="106" fillId="8" borderId="0" xfId="302" applyNumberFormat="1" applyFont="1" applyFill="1" applyBorder="1" applyAlignment="1">
      <alignment horizontal="left" vertical="center" wrapText="1"/>
    </xf>
    <xf numFmtId="0" fontId="106" fillId="8" borderId="25" xfId="302" applyNumberFormat="1" applyFont="1" applyFill="1" applyBorder="1" applyAlignment="1">
      <alignment horizontal="left" vertical="center" wrapText="1"/>
    </xf>
    <xf numFmtId="0" fontId="120" fillId="28" borderId="1" xfId="16326" applyFont="1" applyFill="1" applyBorder="1" applyAlignment="1">
      <alignment horizontal="center" vertical="center"/>
    </xf>
    <xf numFmtId="14" fontId="106" fillId="0" borderId="1" xfId="16326" applyNumberFormat="1" applyFont="1" applyFill="1" applyBorder="1" applyAlignment="1">
      <alignment horizontal="center" vertical="center" wrapText="1"/>
    </xf>
    <xf numFmtId="0" fontId="106" fillId="0" borderId="1" xfId="16326" applyFont="1" applyFill="1" applyBorder="1" applyAlignment="1">
      <alignment horizontal="center" vertical="center" wrapText="1"/>
    </xf>
    <xf numFmtId="184" fontId="106" fillId="0" borderId="1" xfId="16327" applyNumberFormat="1" applyFont="1" applyFill="1" applyBorder="1" applyAlignment="1">
      <alignment horizontal="center" vertical="center" wrapText="1"/>
    </xf>
    <xf numFmtId="0" fontId="106" fillId="0" borderId="8" xfId="302" applyFont="1" applyBorder="1" applyAlignment="1">
      <alignment horizontal="left" vertical="top" wrapText="1"/>
    </xf>
    <xf numFmtId="0" fontId="106" fillId="0" borderId="20" xfId="302" applyFont="1" applyBorder="1" applyAlignment="1">
      <alignment horizontal="left" vertical="top" wrapText="1"/>
    </xf>
    <xf numFmtId="0" fontId="106" fillId="0" borderId="3" xfId="302" applyFont="1" applyBorder="1" applyAlignment="1">
      <alignment horizontal="left" vertical="top" wrapText="1"/>
    </xf>
    <xf numFmtId="0" fontId="106" fillId="0" borderId="4" xfId="302" applyFont="1" applyBorder="1" applyAlignment="1">
      <alignment horizontal="left" vertical="top" wrapText="1"/>
    </xf>
    <xf numFmtId="0" fontId="106" fillId="0" borderId="21" xfId="302" applyFont="1" applyBorder="1" applyAlignment="1">
      <alignment horizontal="left" vertical="top" wrapText="1"/>
    </xf>
    <xf numFmtId="0" fontId="127" fillId="0" borderId="39" xfId="302" applyFont="1" applyBorder="1" applyAlignment="1">
      <alignment vertical="center"/>
    </xf>
    <xf numFmtId="0" fontId="127" fillId="0" borderId="40" xfId="302" applyFont="1" applyBorder="1" applyAlignment="1">
      <alignment vertical="center"/>
    </xf>
    <xf numFmtId="0" fontId="106" fillId="0" borderId="40" xfId="302" applyFont="1" applyBorder="1" applyAlignment="1"/>
    <xf numFmtId="0" fontId="173" fillId="0" borderId="0" xfId="302" applyFont="1" applyBorder="1" applyAlignment="1">
      <alignment vertical="center"/>
    </xf>
    <xf numFmtId="0" fontId="174" fillId="27" borderId="5" xfId="302" applyFont="1" applyFill="1" applyBorder="1" applyAlignment="1">
      <alignment horizontal="center" vertical="center"/>
    </xf>
    <xf numFmtId="0" fontId="174" fillId="27" borderId="6" xfId="302" applyFont="1" applyFill="1" applyBorder="1" applyAlignment="1">
      <alignment horizontal="center" vertical="center"/>
    </xf>
    <xf numFmtId="0" fontId="174" fillId="27" borderId="2" xfId="302" applyFont="1" applyFill="1" applyBorder="1" applyAlignment="1">
      <alignment horizontal="center" vertical="center"/>
    </xf>
    <xf numFmtId="0" fontId="174" fillId="0" borderId="6" xfId="302" applyFont="1" applyBorder="1" applyAlignment="1">
      <alignment horizontal="center" vertical="center"/>
    </xf>
    <xf numFmtId="0" fontId="174" fillId="0" borderId="2" xfId="302" applyFont="1" applyBorder="1" applyAlignment="1">
      <alignment horizontal="center" vertical="center"/>
    </xf>
    <xf numFmtId="0" fontId="173" fillId="0" borderId="4" xfId="302" applyFont="1" applyBorder="1" applyAlignment="1">
      <alignment horizontal="center"/>
    </xf>
    <xf numFmtId="0" fontId="173" fillId="0" borderId="6" xfId="302" applyFont="1" applyBorder="1" applyAlignment="1">
      <alignment horizontal="center"/>
    </xf>
    <xf numFmtId="0" fontId="174" fillId="0" borderId="38" xfId="302" applyFont="1" applyBorder="1" applyAlignment="1">
      <alignment horizontal="center" vertical="center"/>
    </xf>
    <xf numFmtId="0" fontId="127" fillId="0" borderId="38" xfId="302" applyFont="1" applyBorder="1" applyAlignment="1">
      <alignment horizontal="center" vertical="center"/>
    </xf>
    <xf numFmtId="0" fontId="174" fillId="0" borderId="7" xfId="302" applyFont="1" applyBorder="1" applyAlignment="1">
      <alignment horizontal="left" vertical="center" wrapText="1"/>
    </xf>
    <xf numFmtId="0" fontId="127" fillId="0" borderId="8" xfId="302" applyFont="1" applyBorder="1" applyAlignment="1">
      <alignment horizontal="left" vertical="center" wrapText="1"/>
    </xf>
    <xf numFmtId="0" fontId="127" fillId="0" borderId="8" xfId="302" applyFont="1" applyBorder="1" applyAlignment="1">
      <alignment horizontal="left" wrapText="1"/>
    </xf>
    <xf numFmtId="0" fontId="127" fillId="0" borderId="20" xfId="302" applyFont="1" applyBorder="1" applyAlignment="1">
      <alignment horizontal="left" wrapText="1"/>
    </xf>
    <xf numFmtId="0" fontId="127" fillId="0" borderId="24" xfId="302" applyFont="1" applyBorder="1" applyAlignment="1">
      <alignment horizontal="left" vertical="center" wrapText="1"/>
    </xf>
    <xf numFmtId="0" fontId="127" fillId="0" borderId="0" xfId="302" applyFont="1" applyBorder="1" applyAlignment="1">
      <alignment horizontal="left" vertical="center" wrapText="1"/>
    </xf>
    <xf numFmtId="0" fontId="127" fillId="0" borderId="0" xfId="302" applyFont="1" applyBorder="1" applyAlignment="1">
      <alignment horizontal="left" wrapText="1"/>
    </xf>
    <xf numFmtId="0" fontId="127" fillId="0" borderId="25" xfId="302" applyFont="1" applyBorder="1" applyAlignment="1">
      <alignment horizontal="left" wrapText="1"/>
    </xf>
    <xf numFmtId="0" fontId="127" fillId="0" borderId="3" xfId="302" applyFont="1" applyBorder="1" applyAlignment="1">
      <alignment horizontal="left" vertical="center" wrapText="1"/>
    </xf>
    <xf numFmtId="0" fontId="127" fillId="0" borderId="4" xfId="302" applyFont="1" applyBorder="1" applyAlignment="1">
      <alignment horizontal="left" vertical="center" wrapText="1"/>
    </xf>
    <xf numFmtId="0" fontId="127" fillId="0" borderId="4" xfId="302" applyFont="1" applyBorder="1" applyAlignment="1">
      <alignment horizontal="left" wrapText="1"/>
    </xf>
    <xf numFmtId="0" fontId="127" fillId="0" borderId="21" xfId="302" applyFont="1" applyBorder="1" applyAlignment="1">
      <alignment horizontal="left" wrapText="1"/>
    </xf>
    <xf numFmtId="0" fontId="174" fillId="0" borderId="1" xfId="302" applyFont="1" applyBorder="1" applyAlignment="1">
      <alignment horizontal="center" vertical="center"/>
    </xf>
    <xf numFmtId="0" fontId="127" fillId="0" borderId="1" xfId="302" applyFont="1" applyBorder="1" applyAlignment="1">
      <alignment horizontal="center" vertical="center"/>
    </xf>
    <xf numFmtId="0" fontId="106" fillId="0" borderId="8" xfId="302" applyBorder="1"/>
    <xf numFmtId="0" fontId="106" fillId="0" borderId="20" xfId="302" applyBorder="1"/>
    <xf numFmtId="0" fontId="106" fillId="0" borderId="0" xfId="302" applyBorder="1"/>
    <xf numFmtId="0" fontId="106" fillId="0" borderId="25" xfId="302" applyBorder="1"/>
    <xf numFmtId="0" fontId="106" fillId="0" borderId="4" xfId="302" applyBorder="1"/>
    <xf numFmtId="0" fontId="106" fillId="0" borderId="21" xfId="302" applyBorder="1"/>
    <xf numFmtId="0" fontId="124" fillId="0" borderId="5" xfId="302" applyFont="1" applyBorder="1" applyAlignment="1">
      <alignment horizontal="center" vertical="center" wrapText="1"/>
    </xf>
    <xf numFmtId="0" fontId="106" fillId="0" borderId="6" xfId="302" applyBorder="1"/>
    <xf numFmtId="0" fontId="106" fillId="0" borderId="2" xfId="302" applyBorder="1"/>
    <xf numFmtId="0" fontId="124" fillId="0" borderId="7" xfId="302" applyFont="1" applyBorder="1" applyAlignment="1">
      <alignment horizontal="center" vertical="center" wrapText="1"/>
    </xf>
    <xf numFmtId="0" fontId="106" fillId="0" borderId="8" xfId="302" applyFont="1" applyBorder="1"/>
    <xf numFmtId="0" fontId="106" fillId="0" borderId="20" xfId="302" applyFont="1" applyBorder="1"/>
    <xf numFmtId="0" fontId="106" fillId="0" borderId="3" xfId="302" applyFont="1" applyBorder="1"/>
    <xf numFmtId="0" fontId="106" fillId="0" borderId="4" xfId="302" applyFont="1" applyBorder="1"/>
    <xf numFmtId="0" fontId="106" fillId="0" borderId="21" xfId="302" applyFont="1" applyBorder="1"/>
    <xf numFmtId="0" fontId="127" fillId="0" borderId="8" xfId="302" applyFont="1" applyBorder="1" applyAlignment="1">
      <alignment horizontal="center"/>
    </xf>
    <xf numFmtId="0" fontId="174" fillId="0" borderId="35" xfId="302" applyFont="1" applyFill="1" applyBorder="1" applyAlignment="1">
      <alignment horizontal="left" vertical="top" wrapText="1"/>
    </xf>
    <xf numFmtId="0" fontId="174" fillId="0" borderId="36" xfId="302" applyFont="1" applyFill="1" applyBorder="1" applyAlignment="1">
      <alignment horizontal="left" vertical="top" wrapText="1"/>
    </xf>
    <xf numFmtId="0" fontId="174" fillId="0" borderId="37" xfId="302" applyFont="1" applyFill="1" applyBorder="1" applyAlignment="1">
      <alignment horizontal="left" vertical="top" wrapText="1"/>
    </xf>
  </cellXfs>
  <cellStyles count="16329">
    <cellStyle name="40% - Énfasis1" xfId="849" builtinId="31"/>
    <cellStyle name="40% - Énfasis1 2" xfId="818"/>
    <cellStyle name="40% - Énfasis1 2 2" xfId="877"/>
    <cellStyle name="40% - Énfasis1 2 2 2" xfId="1410"/>
    <cellStyle name="40% - Énfasis1 2 2 2 2" xfId="2381"/>
    <cellStyle name="40% - Énfasis1 2 2 2 2 2" xfId="4326"/>
    <cellStyle name="40% - Énfasis1 2 2 2 2 2 2" xfId="8179"/>
    <cellStyle name="40% - Énfasis1 2 2 2 2 2 2 2" xfId="8514"/>
    <cellStyle name="40% - Énfasis1 2 2 2 2 2 3" xfId="8513"/>
    <cellStyle name="40% - Énfasis1 2 2 2 2 3" xfId="6241"/>
    <cellStyle name="40% - Énfasis1 2 2 2 2 3 2" xfId="8515"/>
    <cellStyle name="40% - Énfasis1 2 2 2 2 4" xfId="8512"/>
    <cellStyle name="40% - Énfasis1 2 2 2 3" xfId="3365"/>
    <cellStyle name="40% - Énfasis1 2 2 2 3 2" xfId="7223"/>
    <cellStyle name="40% - Énfasis1 2 2 2 3 2 2" xfId="8517"/>
    <cellStyle name="40% - Énfasis1 2 2 2 3 3" xfId="8516"/>
    <cellStyle name="40% - Énfasis1 2 2 2 4" xfId="5285"/>
    <cellStyle name="40% - Énfasis1 2 2 2 4 2" xfId="8518"/>
    <cellStyle name="40% - Énfasis1 2 2 2 5" xfId="8511"/>
    <cellStyle name="40% - Énfasis1 2 2 3" xfId="1117"/>
    <cellStyle name="40% - Énfasis1 2 2 3 2" xfId="2088"/>
    <cellStyle name="40% - Énfasis1 2 2 3 2 2" xfId="4033"/>
    <cellStyle name="40% - Énfasis1 2 2 3 2 2 2" xfId="7886"/>
    <cellStyle name="40% - Énfasis1 2 2 3 2 2 2 2" xfId="8522"/>
    <cellStyle name="40% - Énfasis1 2 2 3 2 2 3" xfId="8521"/>
    <cellStyle name="40% - Énfasis1 2 2 3 2 3" xfId="5948"/>
    <cellStyle name="40% - Énfasis1 2 2 3 2 3 2" xfId="8523"/>
    <cellStyle name="40% - Énfasis1 2 2 3 2 4" xfId="8520"/>
    <cellStyle name="40% - Énfasis1 2 2 3 3" xfId="3072"/>
    <cellStyle name="40% - Énfasis1 2 2 3 3 2" xfId="6930"/>
    <cellStyle name="40% - Énfasis1 2 2 3 3 2 2" xfId="8525"/>
    <cellStyle name="40% - Énfasis1 2 2 3 3 3" xfId="8524"/>
    <cellStyle name="40% - Énfasis1 2 2 3 4" xfId="4992"/>
    <cellStyle name="40% - Énfasis1 2 2 3 4 2" xfId="8526"/>
    <cellStyle name="40% - Énfasis1 2 2 3 5" xfId="8519"/>
    <cellStyle name="40% - Énfasis1 2 2 4" xfId="1671"/>
    <cellStyle name="40% - Énfasis1 2 2 4 2" xfId="2632"/>
    <cellStyle name="40% - Énfasis1 2 2 4 2 2" xfId="4577"/>
    <cellStyle name="40% - Énfasis1 2 2 4 2 2 2" xfId="8430"/>
    <cellStyle name="40% - Énfasis1 2 2 4 2 2 2 2" xfId="8530"/>
    <cellStyle name="40% - Énfasis1 2 2 4 2 2 3" xfId="8529"/>
    <cellStyle name="40% - Énfasis1 2 2 4 2 3" xfId="6492"/>
    <cellStyle name="40% - Énfasis1 2 2 4 2 3 2" xfId="8531"/>
    <cellStyle name="40% - Énfasis1 2 2 4 2 4" xfId="8528"/>
    <cellStyle name="40% - Énfasis1 2 2 4 3" xfId="3618"/>
    <cellStyle name="40% - Énfasis1 2 2 4 3 2" xfId="7474"/>
    <cellStyle name="40% - Énfasis1 2 2 4 3 2 2" xfId="8533"/>
    <cellStyle name="40% - Énfasis1 2 2 4 3 3" xfId="8532"/>
    <cellStyle name="40% - Énfasis1 2 2 4 4" xfId="5536"/>
    <cellStyle name="40% - Énfasis1 2 2 4 4 2" xfId="8534"/>
    <cellStyle name="40% - Énfasis1 2 2 4 5" xfId="8527"/>
    <cellStyle name="40% - Énfasis1 2 2 5" xfId="1856"/>
    <cellStyle name="40% - Énfasis1 2 2 5 2" xfId="3801"/>
    <cellStyle name="40% - Énfasis1 2 2 5 2 2" xfId="7654"/>
    <cellStyle name="40% - Énfasis1 2 2 5 2 2 2" xfId="8537"/>
    <cellStyle name="40% - Énfasis1 2 2 5 2 3" xfId="8536"/>
    <cellStyle name="40% - Énfasis1 2 2 5 3" xfId="5716"/>
    <cellStyle name="40% - Énfasis1 2 2 5 3 2" xfId="8538"/>
    <cellStyle name="40% - Énfasis1 2 2 5 4" xfId="8535"/>
    <cellStyle name="40% - Énfasis1 2 2 6" xfId="2840"/>
    <cellStyle name="40% - Énfasis1 2 2 6 2" xfId="6698"/>
    <cellStyle name="40% - Énfasis1 2 2 6 2 2" xfId="8540"/>
    <cellStyle name="40% - Énfasis1 2 2 6 3" xfId="8539"/>
    <cellStyle name="40% - Énfasis1 2 2 7" xfId="4760"/>
    <cellStyle name="40% - Énfasis1 2 2 7 2" xfId="8541"/>
    <cellStyle name="40% - Énfasis1 2 2 8" xfId="8510"/>
    <cellStyle name="40% - Énfasis1 2 3" xfId="1309"/>
    <cellStyle name="40% - Énfasis1 2 3 2" xfId="2280"/>
    <cellStyle name="40% - Énfasis1 2 3 2 2" xfId="4225"/>
    <cellStyle name="40% - Énfasis1 2 3 2 2 2" xfId="8078"/>
    <cellStyle name="40% - Énfasis1 2 3 2 2 2 2" xfId="8545"/>
    <cellStyle name="40% - Énfasis1 2 3 2 2 3" xfId="8544"/>
    <cellStyle name="40% - Énfasis1 2 3 2 3" xfId="6140"/>
    <cellStyle name="40% - Énfasis1 2 3 2 3 2" xfId="8546"/>
    <cellStyle name="40% - Énfasis1 2 3 2 4" xfId="8543"/>
    <cellStyle name="40% - Énfasis1 2 3 3" xfId="3264"/>
    <cellStyle name="40% - Énfasis1 2 3 3 2" xfId="7122"/>
    <cellStyle name="40% - Énfasis1 2 3 3 2 2" xfId="8548"/>
    <cellStyle name="40% - Énfasis1 2 3 3 3" xfId="8547"/>
    <cellStyle name="40% - Énfasis1 2 3 4" xfId="5184"/>
    <cellStyle name="40% - Énfasis1 2 3 4 2" xfId="8549"/>
    <cellStyle name="40% - Énfasis1 2 3 5" xfId="8542"/>
    <cellStyle name="40% - Énfasis1 2 4" xfId="1077"/>
    <cellStyle name="40% - Énfasis1 2 4 2" xfId="2048"/>
    <cellStyle name="40% - Énfasis1 2 4 2 2" xfId="3993"/>
    <cellStyle name="40% - Énfasis1 2 4 2 2 2" xfId="7846"/>
    <cellStyle name="40% - Énfasis1 2 4 2 2 2 2" xfId="8553"/>
    <cellStyle name="40% - Énfasis1 2 4 2 2 3" xfId="8552"/>
    <cellStyle name="40% - Énfasis1 2 4 2 3" xfId="5908"/>
    <cellStyle name="40% - Énfasis1 2 4 2 3 2" xfId="8554"/>
    <cellStyle name="40% - Énfasis1 2 4 2 4" xfId="8551"/>
    <cellStyle name="40% - Énfasis1 2 4 3" xfId="3032"/>
    <cellStyle name="40% - Énfasis1 2 4 3 2" xfId="6890"/>
    <cellStyle name="40% - Énfasis1 2 4 3 2 2" xfId="8556"/>
    <cellStyle name="40% - Énfasis1 2 4 3 3" xfId="8555"/>
    <cellStyle name="40% - Énfasis1 2 4 4" xfId="4952"/>
    <cellStyle name="40% - Énfasis1 2 4 4 2" xfId="8557"/>
    <cellStyle name="40% - Énfasis1 2 4 5" xfId="8550"/>
    <cellStyle name="40% - Énfasis1 2 5" xfId="1536"/>
    <cellStyle name="40% - Énfasis1 2 5 2" xfId="2502"/>
    <cellStyle name="40% - Énfasis1 2 5 2 2" xfId="4447"/>
    <cellStyle name="40% - Énfasis1 2 5 2 2 2" xfId="8300"/>
    <cellStyle name="40% - Énfasis1 2 5 2 2 2 2" xfId="8561"/>
    <cellStyle name="40% - Énfasis1 2 5 2 2 3" xfId="8560"/>
    <cellStyle name="40% - Énfasis1 2 5 2 3" xfId="6362"/>
    <cellStyle name="40% - Énfasis1 2 5 2 3 2" xfId="8562"/>
    <cellStyle name="40% - Énfasis1 2 5 2 4" xfId="8559"/>
    <cellStyle name="40% - Énfasis1 2 5 3" xfId="3488"/>
    <cellStyle name="40% - Énfasis1 2 5 3 2" xfId="7344"/>
    <cellStyle name="40% - Énfasis1 2 5 3 2 2" xfId="8564"/>
    <cellStyle name="40% - Énfasis1 2 5 3 3" xfId="8563"/>
    <cellStyle name="40% - Énfasis1 2 5 4" xfId="5406"/>
    <cellStyle name="40% - Énfasis1 2 5 4 2" xfId="8565"/>
    <cellStyle name="40% - Énfasis1 2 5 5" xfId="8558"/>
    <cellStyle name="40% - Énfasis1 2 6" xfId="1809"/>
    <cellStyle name="40% - Énfasis1 2 6 2" xfId="3755"/>
    <cellStyle name="40% - Énfasis1 2 6 2 2" xfId="7608"/>
    <cellStyle name="40% - Énfasis1 2 6 2 2 2" xfId="8568"/>
    <cellStyle name="40% - Énfasis1 2 6 2 3" xfId="8567"/>
    <cellStyle name="40% - Énfasis1 2 6 3" xfId="5670"/>
    <cellStyle name="40% - Énfasis1 2 6 3 2" xfId="8569"/>
    <cellStyle name="40% - Énfasis1 2 6 4" xfId="8566"/>
    <cellStyle name="40% - Énfasis1 2 7" xfId="2793"/>
    <cellStyle name="40% - Énfasis1 2 7 2" xfId="6652"/>
    <cellStyle name="40% - Énfasis1 2 7 2 2" xfId="8571"/>
    <cellStyle name="40% - Énfasis1 2 7 3" xfId="8570"/>
    <cellStyle name="40% - Énfasis1 2 8" xfId="4720"/>
    <cellStyle name="40% - Énfasis1 2 8 2" xfId="8572"/>
    <cellStyle name="40% - Énfasis1 2 9" xfId="8509"/>
    <cellStyle name="40% - Énfasis1 3" xfId="878"/>
    <cellStyle name="40% - Énfasis1 3 2" xfId="1430"/>
    <cellStyle name="40% - Énfasis1 3 2 2" xfId="2401"/>
    <cellStyle name="40% - Énfasis1 3 2 2 2" xfId="4346"/>
    <cellStyle name="40% - Énfasis1 3 2 2 2 2" xfId="8199"/>
    <cellStyle name="40% - Énfasis1 3 2 2 2 2 2" xfId="8577"/>
    <cellStyle name="40% - Énfasis1 3 2 2 2 3" xfId="8576"/>
    <cellStyle name="40% - Énfasis1 3 2 2 3" xfId="6261"/>
    <cellStyle name="40% - Énfasis1 3 2 2 3 2" xfId="8578"/>
    <cellStyle name="40% - Énfasis1 3 2 2 4" xfId="8575"/>
    <cellStyle name="40% - Énfasis1 3 2 3" xfId="3385"/>
    <cellStyle name="40% - Énfasis1 3 2 3 2" xfId="7243"/>
    <cellStyle name="40% - Énfasis1 3 2 3 2 2" xfId="8580"/>
    <cellStyle name="40% - Énfasis1 3 2 3 3" xfId="8579"/>
    <cellStyle name="40% - Énfasis1 3 2 4" xfId="5305"/>
    <cellStyle name="40% - Énfasis1 3 2 4 2" xfId="8581"/>
    <cellStyle name="40% - Énfasis1 3 2 5" xfId="8574"/>
    <cellStyle name="40% - Énfasis1 3 3" xfId="1118"/>
    <cellStyle name="40% - Énfasis1 3 3 2" xfId="2089"/>
    <cellStyle name="40% - Énfasis1 3 3 2 2" xfId="4034"/>
    <cellStyle name="40% - Énfasis1 3 3 2 2 2" xfId="7887"/>
    <cellStyle name="40% - Énfasis1 3 3 2 2 2 2" xfId="8585"/>
    <cellStyle name="40% - Énfasis1 3 3 2 2 3" xfId="8584"/>
    <cellStyle name="40% - Énfasis1 3 3 2 3" xfId="5949"/>
    <cellStyle name="40% - Énfasis1 3 3 2 3 2" xfId="8586"/>
    <cellStyle name="40% - Énfasis1 3 3 2 4" xfId="8583"/>
    <cellStyle name="40% - Énfasis1 3 3 3" xfId="3073"/>
    <cellStyle name="40% - Énfasis1 3 3 3 2" xfId="6931"/>
    <cellStyle name="40% - Énfasis1 3 3 3 2 2" xfId="8588"/>
    <cellStyle name="40% - Énfasis1 3 3 3 3" xfId="8587"/>
    <cellStyle name="40% - Énfasis1 3 3 4" xfId="4993"/>
    <cellStyle name="40% - Énfasis1 3 3 4 2" xfId="8589"/>
    <cellStyle name="40% - Énfasis1 3 3 5" xfId="8582"/>
    <cellStyle name="40% - Énfasis1 3 4" xfId="1691"/>
    <cellStyle name="40% - Énfasis1 3 4 2" xfId="2652"/>
    <cellStyle name="40% - Énfasis1 3 4 2 2" xfId="4597"/>
    <cellStyle name="40% - Énfasis1 3 4 2 2 2" xfId="8450"/>
    <cellStyle name="40% - Énfasis1 3 4 2 2 2 2" xfId="8593"/>
    <cellStyle name="40% - Énfasis1 3 4 2 2 3" xfId="8592"/>
    <cellStyle name="40% - Énfasis1 3 4 2 3" xfId="6512"/>
    <cellStyle name="40% - Énfasis1 3 4 2 3 2" xfId="8594"/>
    <cellStyle name="40% - Énfasis1 3 4 2 4" xfId="8591"/>
    <cellStyle name="40% - Énfasis1 3 4 3" xfId="3638"/>
    <cellStyle name="40% - Énfasis1 3 4 3 2" xfId="7494"/>
    <cellStyle name="40% - Énfasis1 3 4 3 2 2" xfId="8596"/>
    <cellStyle name="40% - Énfasis1 3 4 3 3" xfId="8595"/>
    <cellStyle name="40% - Énfasis1 3 4 4" xfId="5556"/>
    <cellStyle name="40% - Énfasis1 3 4 4 2" xfId="8597"/>
    <cellStyle name="40% - Énfasis1 3 4 5" xfId="8590"/>
    <cellStyle name="40% - Énfasis1 3 5" xfId="1857"/>
    <cellStyle name="40% - Énfasis1 3 5 2" xfId="3802"/>
    <cellStyle name="40% - Énfasis1 3 5 2 2" xfId="7655"/>
    <cellStyle name="40% - Énfasis1 3 5 2 2 2" xfId="8600"/>
    <cellStyle name="40% - Énfasis1 3 5 2 3" xfId="8599"/>
    <cellStyle name="40% - Énfasis1 3 5 3" xfId="5717"/>
    <cellStyle name="40% - Énfasis1 3 5 3 2" xfId="8601"/>
    <cellStyle name="40% - Énfasis1 3 5 4" xfId="8598"/>
    <cellStyle name="40% - Énfasis1 3 6" xfId="2841"/>
    <cellStyle name="40% - Énfasis1 3 6 2" xfId="6699"/>
    <cellStyle name="40% - Énfasis1 3 6 2 2" xfId="8603"/>
    <cellStyle name="40% - Énfasis1 3 6 3" xfId="8602"/>
    <cellStyle name="40% - Énfasis1 3 7" xfId="4761"/>
    <cellStyle name="40% - Énfasis1 3 7 2" xfId="8604"/>
    <cellStyle name="40% - Énfasis1 3 8" xfId="8573"/>
    <cellStyle name="40% - Énfasis1 4" xfId="1829"/>
    <cellStyle name="40% - Énfasis1 4 2" xfId="3775"/>
    <cellStyle name="40% - Énfasis1 4 2 2" xfId="7628"/>
    <cellStyle name="40% - Énfasis1 4 2 2 2" xfId="8607"/>
    <cellStyle name="40% - Énfasis1 4 2 3" xfId="8606"/>
    <cellStyle name="40% - Énfasis1 4 3" xfId="5690"/>
    <cellStyle name="40% - Énfasis1 4 3 2" xfId="8608"/>
    <cellStyle name="40% - Énfasis1 4 4" xfId="8605"/>
    <cellStyle name="40% - Énfasis1 5" xfId="2813"/>
    <cellStyle name="40% - Énfasis1 5 2" xfId="6672"/>
    <cellStyle name="40% - Énfasis1 5 2 2" xfId="8610"/>
    <cellStyle name="40% - Énfasis1 5 3" xfId="8609"/>
    <cellStyle name="40% - Énfasis2" xfId="850" builtinId="35"/>
    <cellStyle name="40% - Énfasis2 2" xfId="819"/>
    <cellStyle name="40% - Énfasis2 2 2" xfId="879"/>
    <cellStyle name="40% - Énfasis2 2 2 2" xfId="1411"/>
    <cellStyle name="40% - Énfasis2 2 2 2 2" xfId="2382"/>
    <cellStyle name="40% - Énfasis2 2 2 2 2 2" xfId="4327"/>
    <cellStyle name="40% - Énfasis2 2 2 2 2 2 2" xfId="8180"/>
    <cellStyle name="40% - Énfasis2 2 2 2 2 2 2 2" xfId="8616"/>
    <cellStyle name="40% - Énfasis2 2 2 2 2 2 3" xfId="8615"/>
    <cellStyle name="40% - Énfasis2 2 2 2 2 3" xfId="6242"/>
    <cellStyle name="40% - Énfasis2 2 2 2 2 3 2" xfId="8617"/>
    <cellStyle name="40% - Énfasis2 2 2 2 2 4" xfId="8614"/>
    <cellStyle name="40% - Énfasis2 2 2 2 3" xfId="3366"/>
    <cellStyle name="40% - Énfasis2 2 2 2 3 2" xfId="7224"/>
    <cellStyle name="40% - Énfasis2 2 2 2 3 2 2" xfId="8619"/>
    <cellStyle name="40% - Énfasis2 2 2 2 3 3" xfId="8618"/>
    <cellStyle name="40% - Énfasis2 2 2 2 4" xfId="5286"/>
    <cellStyle name="40% - Énfasis2 2 2 2 4 2" xfId="8620"/>
    <cellStyle name="40% - Énfasis2 2 2 2 5" xfId="8613"/>
    <cellStyle name="40% - Énfasis2 2 2 3" xfId="1119"/>
    <cellStyle name="40% - Énfasis2 2 2 3 2" xfId="2090"/>
    <cellStyle name="40% - Énfasis2 2 2 3 2 2" xfId="4035"/>
    <cellStyle name="40% - Énfasis2 2 2 3 2 2 2" xfId="7888"/>
    <cellStyle name="40% - Énfasis2 2 2 3 2 2 2 2" xfId="8624"/>
    <cellStyle name="40% - Énfasis2 2 2 3 2 2 3" xfId="8623"/>
    <cellStyle name="40% - Énfasis2 2 2 3 2 3" xfId="5950"/>
    <cellStyle name="40% - Énfasis2 2 2 3 2 3 2" xfId="8625"/>
    <cellStyle name="40% - Énfasis2 2 2 3 2 4" xfId="8622"/>
    <cellStyle name="40% - Énfasis2 2 2 3 3" xfId="3074"/>
    <cellStyle name="40% - Énfasis2 2 2 3 3 2" xfId="6932"/>
    <cellStyle name="40% - Énfasis2 2 2 3 3 2 2" xfId="8627"/>
    <cellStyle name="40% - Énfasis2 2 2 3 3 3" xfId="8626"/>
    <cellStyle name="40% - Énfasis2 2 2 3 4" xfId="4994"/>
    <cellStyle name="40% - Énfasis2 2 2 3 4 2" xfId="8628"/>
    <cellStyle name="40% - Énfasis2 2 2 3 5" xfId="8621"/>
    <cellStyle name="40% - Énfasis2 2 2 4" xfId="1672"/>
    <cellStyle name="40% - Énfasis2 2 2 4 2" xfId="2633"/>
    <cellStyle name="40% - Énfasis2 2 2 4 2 2" xfId="4578"/>
    <cellStyle name="40% - Énfasis2 2 2 4 2 2 2" xfId="8431"/>
    <cellStyle name="40% - Énfasis2 2 2 4 2 2 2 2" xfId="8632"/>
    <cellStyle name="40% - Énfasis2 2 2 4 2 2 3" xfId="8631"/>
    <cellStyle name="40% - Énfasis2 2 2 4 2 3" xfId="6493"/>
    <cellStyle name="40% - Énfasis2 2 2 4 2 3 2" xfId="8633"/>
    <cellStyle name="40% - Énfasis2 2 2 4 2 4" xfId="8630"/>
    <cellStyle name="40% - Énfasis2 2 2 4 3" xfId="3619"/>
    <cellStyle name="40% - Énfasis2 2 2 4 3 2" xfId="7475"/>
    <cellStyle name="40% - Énfasis2 2 2 4 3 2 2" xfId="8635"/>
    <cellStyle name="40% - Énfasis2 2 2 4 3 3" xfId="8634"/>
    <cellStyle name="40% - Énfasis2 2 2 4 4" xfId="5537"/>
    <cellStyle name="40% - Énfasis2 2 2 4 4 2" xfId="8636"/>
    <cellStyle name="40% - Énfasis2 2 2 4 5" xfId="8629"/>
    <cellStyle name="40% - Énfasis2 2 2 5" xfId="1858"/>
    <cellStyle name="40% - Énfasis2 2 2 5 2" xfId="3803"/>
    <cellStyle name="40% - Énfasis2 2 2 5 2 2" xfId="7656"/>
    <cellStyle name="40% - Énfasis2 2 2 5 2 2 2" xfId="8639"/>
    <cellStyle name="40% - Énfasis2 2 2 5 2 3" xfId="8638"/>
    <cellStyle name="40% - Énfasis2 2 2 5 3" xfId="5718"/>
    <cellStyle name="40% - Énfasis2 2 2 5 3 2" xfId="8640"/>
    <cellStyle name="40% - Énfasis2 2 2 5 4" xfId="8637"/>
    <cellStyle name="40% - Énfasis2 2 2 6" xfId="2842"/>
    <cellStyle name="40% - Énfasis2 2 2 6 2" xfId="6700"/>
    <cellStyle name="40% - Énfasis2 2 2 6 2 2" xfId="8642"/>
    <cellStyle name="40% - Énfasis2 2 2 6 3" xfId="8641"/>
    <cellStyle name="40% - Énfasis2 2 2 7" xfId="4762"/>
    <cellStyle name="40% - Énfasis2 2 2 7 2" xfId="8643"/>
    <cellStyle name="40% - Énfasis2 2 2 8" xfId="8612"/>
    <cellStyle name="40% - Énfasis2 2 3" xfId="1310"/>
    <cellStyle name="40% - Énfasis2 2 3 2" xfId="2281"/>
    <cellStyle name="40% - Énfasis2 2 3 2 2" xfId="4226"/>
    <cellStyle name="40% - Énfasis2 2 3 2 2 2" xfId="8079"/>
    <cellStyle name="40% - Énfasis2 2 3 2 2 2 2" xfId="8647"/>
    <cellStyle name="40% - Énfasis2 2 3 2 2 3" xfId="8646"/>
    <cellStyle name="40% - Énfasis2 2 3 2 3" xfId="6141"/>
    <cellStyle name="40% - Énfasis2 2 3 2 3 2" xfId="8648"/>
    <cellStyle name="40% - Énfasis2 2 3 2 4" xfId="8645"/>
    <cellStyle name="40% - Énfasis2 2 3 3" xfId="3265"/>
    <cellStyle name="40% - Énfasis2 2 3 3 2" xfId="7123"/>
    <cellStyle name="40% - Énfasis2 2 3 3 2 2" xfId="8650"/>
    <cellStyle name="40% - Énfasis2 2 3 3 3" xfId="8649"/>
    <cellStyle name="40% - Énfasis2 2 3 4" xfId="5185"/>
    <cellStyle name="40% - Énfasis2 2 3 4 2" xfId="8651"/>
    <cellStyle name="40% - Énfasis2 2 3 5" xfId="8644"/>
    <cellStyle name="40% - Énfasis2 2 4" xfId="1078"/>
    <cellStyle name="40% - Énfasis2 2 4 2" xfId="2049"/>
    <cellStyle name="40% - Énfasis2 2 4 2 2" xfId="3994"/>
    <cellStyle name="40% - Énfasis2 2 4 2 2 2" xfId="7847"/>
    <cellStyle name="40% - Énfasis2 2 4 2 2 2 2" xfId="8655"/>
    <cellStyle name="40% - Énfasis2 2 4 2 2 3" xfId="8654"/>
    <cellStyle name="40% - Énfasis2 2 4 2 3" xfId="5909"/>
    <cellStyle name="40% - Énfasis2 2 4 2 3 2" xfId="8656"/>
    <cellStyle name="40% - Énfasis2 2 4 2 4" xfId="8653"/>
    <cellStyle name="40% - Énfasis2 2 4 3" xfId="3033"/>
    <cellStyle name="40% - Énfasis2 2 4 3 2" xfId="6891"/>
    <cellStyle name="40% - Énfasis2 2 4 3 2 2" xfId="8658"/>
    <cellStyle name="40% - Énfasis2 2 4 3 3" xfId="8657"/>
    <cellStyle name="40% - Énfasis2 2 4 4" xfId="4953"/>
    <cellStyle name="40% - Énfasis2 2 4 4 2" xfId="8659"/>
    <cellStyle name="40% - Énfasis2 2 4 5" xfId="8652"/>
    <cellStyle name="40% - Énfasis2 2 5" xfId="1537"/>
    <cellStyle name="40% - Énfasis2 2 5 2" xfId="2503"/>
    <cellStyle name="40% - Énfasis2 2 5 2 2" xfId="4448"/>
    <cellStyle name="40% - Énfasis2 2 5 2 2 2" xfId="8301"/>
    <cellStyle name="40% - Énfasis2 2 5 2 2 2 2" xfId="8663"/>
    <cellStyle name="40% - Énfasis2 2 5 2 2 3" xfId="8662"/>
    <cellStyle name="40% - Énfasis2 2 5 2 3" xfId="6363"/>
    <cellStyle name="40% - Énfasis2 2 5 2 3 2" xfId="8664"/>
    <cellStyle name="40% - Énfasis2 2 5 2 4" xfId="8661"/>
    <cellStyle name="40% - Énfasis2 2 5 3" xfId="3489"/>
    <cellStyle name="40% - Énfasis2 2 5 3 2" xfId="7345"/>
    <cellStyle name="40% - Énfasis2 2 5 3 2 2" xfId="8666"/>
    <cellStyle name="40% - Énfasis2 2 5 3 3" xfId="8665"/>
    <cellStyle name="40% - Énfasis2 2 5 4" xfId="5407"/>
    <cellStyle name="40% - Énfasis2 2 5 4 2" xfId="8667"/>
    <cellStyle name="40% - Énfasis2 2 5 5" xfId="8660"/>
    <cellStyle name="40% - Énfasis2 2 6" xfId="1810"/>
    <cellStyle name="40% - Énfasis2 2 6 2" xfId="3756"/>
    <cellStyle name="40% - Énfasis2 2 6 2 2" xfId="7609"/>
    <cellStyle name="40% - Énfasis2 2 6 2 2 2" xfId="8670"/>
    <cellStyle name="40% - Énfasis2 2 6 2 3" xfId="8669"/>
    <cellStyle name="40% - Énfasis2 2 6 3" xfId="5671"/>
    <cellStyle name="40% - Énfasis2 2 6 3 2" xfId="8671"/>
    <cellStyle name="40% - Énfasis2 2 6 4" xfId="8668"/>
    <cellStyle name="40% - Énfasis2 2 7" xfId="2794"/>
    <cellStyle name="40% - Énfasis2 2 7 2" xfId="6653"/>
    <cellStyle name="40% - Énfasis2 2 7 2 2" xfId="8673"/>
    <cellStyle name="40% - Énfasis2 2 7 3" xfId="8672"/>
    <cellStyle name="40% - Énfasis2 2 8" xfId="4721"/>
    <cellStyle name="40% - Énfasis2 2 8 2" xfId="8674"/>
    <cellStyle name="40% - Énfasis2 2 9" xfId="8611"/>
    <cellStyle name="40% - Énfasis2 3" xfId="880"/>
    <cellStyle name="40% - Énfasis2 3 2" xfId="1431"/>
    <cellStyle name="40% - Énfasis2 3 2 2" xfId="2402"/>
    <cellStyle name="40% - Énfasis2 3 2 2 2" xfId="4347"/>
    <cellStyle name="40% - Énfasis2 3 2 2 2 2" xfId="8200"/>
    <cellStyle name="40% - Énfasis2 3 2 2 2 2 2" xfId="8679"/>
    <cellStyle name="40% - Énfasis2 3 2 2 2 3" xfId="8678"/>
    <cellStyle name="40% - Énfasis2 3 2 2 3" xfId="6262"/>
    <cellStyle name="40% - Énfasis2 3 2 2 3 2" xfId="8680"/>
    <cellStyle name="40% - Énfasis2 3 2 2 4" xfId="8677"/>
    <cellStyle name="40% - Énfasis2 3 2 3" xfId="3386"/>
    <cellStyle name="40% - Énfasis2 3 2 3 2" xfId="7244"/>
    <cellStyle name="40% - Énfasis2 3 2 3 2 2" xfId="8682"/>
    <cellStyle name="40% - Énfasis2 3 2 3 3" xfId="8681"/>
    <cellStyle name="40% - Énfasis2 3 2 4" xfId="5306"/>
    <cellStyle name="40% - Énfasis2 3 2 4 2" xfId="8683"/>
    <cellStyle name="40% - Énfasis2 3 2 5" xfId="8676"/>
    <cellStyle name="40% - Énfasis2 3 3" xfId="1120"/>
    <cellStyle name="40% - Énfasis2 3 3 2" xfId="2091"/>
    <cellStyle name="40% - Énfasis2 3 3 2 2" xfId="4036"/>
    <cellStyle name="40% - Énfasis2 3 3 2 2 2" xfId="7889"/>
    <cellStyle name="40% - Énfasis2 3 3 2 2 2 2" xfId="8687"/>
    <cellStyle name="40% - Énfasis2 3 3 2 2 3" xfId="8686"/>
    <cellStyle name="40% - Énfasis2 3 3 2 3" xfId="5951"/>
    <cellStyle name="40% - Énfasis2 3 3 2 3 2" xfId="8688"/>
    <cellStyle name="40% - Énfasis2 3 3 2 4" xfId="8685"/>
    <cellStyle name="40% - Énfasis2 3 3 3" xfId="3075"/>
    <cellStyle name="40% - Énfasis2 3 3 3 2" xfId="6933"/>
    <cellStyle name="40% - Énfasis2 3 3 3 2 2" xfId="8690"/>
    <cellStyle name="40% - Énfasis2 3 3 3 3" xfId="8689"/>
    <cellStyle name="40% - Énfasis2 3 3 4" xfId="4995"/>
    <cellStyle name="40% - Énfasis2 3 3 4 2" xfId="8691"/>
    <cellStyle name="40% - Énfasis2 3 3 5" xfId="8684"/>
    <cellStyle name="40% - Énfasis2 3 4" xfId="1692"/>
    <cellStyle name="40% - Énfasis2 3 4 2" xfId="2653"/>
    <cellStyle name="40% - Énfasis2 3 4 2 2" xfId="4598"/>
    <cellStyle name="40% - Énfasis2 3 4 2 2 2" xfId="8451"/>
    <cellStyle name="40% - Énfasis2 3 4 2 2 2 2" xfId="8695"/>
    <cellStyle name="40% - Énfasis2 3 4 2 2 3" xfId="8694"/>
    <cellStyle name="40% - Énfasis2 3 4 2 3" xfId="6513"/>
    <cellStyle name="40% - Énfasis2 3 4 2 3 2" xfId="8696"/>
    <cellStyle name="40% - Énfasis2 3 4 2 4" xfId="8693"/>
    <cellStyle name="40% - Énfasis2 3 4 3" xfId="3639"/>
    <cellStyle name="40% - Énfasis2 3 4 3 2" xfId="7495"/>
    <cellStyle name="40% - Énfasis2 3 4 3 2 2" xfId="8698"/>
    <cellStyle name="40% - Énfasis2 3 4 3 3" xfId="8697"/>
    <cellStyle name="40% - Énfasis2 3 4 4" xfId="5557"/>
    <cellStyle name="40% - Énfasis2 3 4 4 2" xfId="8699"/>
    <cellStyle name="40% - Énfasis2 3 4 5" xfId="8692"/>
    <cellStyle name="40% - Énfasis2 3 5" xfId="1859"/>
    <cellStyle name="40% - Énfasis2 3 5 2" xfId="3804"/>
    <cellStyle name="40% - Énfasis2 3 5 2 2" xfId="7657"/>
    <cellStyle name="40% - Énfasis2 3 5 2 2 2" xfId="8702"/>
    <cellStyle name="40% - Énfasis2 3 5 2 3" xfId="8701"/>
    <cellStyle name="40% - Énfasis2 3 5 3" xfId="5719"/>
    <cellStyle name="40% - Énfasis2 3 5 3 2" xfId="8703"/>
    <cellStyle name="40% - Énfasis2 3 5 4" xfId="8700"/>
    <cellStyle name="40% - Énfasis2 3 6" xfId="2843"/>
    <cellStyle name="40% - Énfasis2 3 6 2" xfId="6701"/>
    <cellStyle name="40% - Énfasis2 3 6 2 2" xfId="8705"/>
    <cellStyle name="40% - Énfasis2 3 6 3" xfId="8704"/>
    <cellStyle name="40% - Énfasis2 3 7" xfId="4763"/>
    <cellStyle name="40% - Énfasis2 3 7 2" xfId="8706"/>
    <cellStyle name="40% - Énfasis2 3 8" xfId="8675"/>
    <cellStyle name="40% - Énfasis2 4" xfId="1830"/>
    <cellStyle name="40% - Énfasis2 4 2" xfId="3776"/>
    <cellStyle name="40% - Énfasis2 4 2 2" xfId="7629"/>
    <cellStyle name="40% - Énfasis2 4 2 2 2" xfId="8709"/>
    <cellStyle name="40% - Énfasis2 4 2 3" xfId="8708"/>
    <cellStyle name="40% - Énfasis2 4 3" xfId="5691"/>
    <cellStyle name="40% - Énfasis2 4 3 2" xfId="8710"/>
    <cellStyle name="40% - Énfasis2 4 4" xfId="8707"/>
    <cellStyle name="40% - Énfasis2 5" xfId="2814"/>
    <cellStyle name="40% - Énfasis2 5 2" xfId="6673"/>
    <cellStyle name="40% - Énfasis2 5 2 2" xfId="8712"/>
    <cellStyle name="40% - Énfasis2 5 3" xfId="8711"/>
    <cellStyle name="40% - Énfasis3" xfId="851" builtinId="39"/>
    <cellStyle name="40% - Énfasis3 2" xfId="820"/>
    <cellStyle name="40% - Énfasis3 2 2" xfId="881"/>
    <cellStyle name="40% - Énfasis3 2 2 2" xfId="1412"/>
    <cellStyle name="40% - Énfasis3 2 2 2 2" xfId="2383"/>
    <cellStyle name="40% - Énfasis3 2 2 2 2 2" xfId="4328"/>
    <cellStyle name="40% - Énfasis3 2 2 2 2 2 2" xfId="8181"/>
    <cellStyle name="40% - Énfasis3 2 2 2 2 2 2 2" xfId="8718"/>
    <cellStyle name="40% - Énfasis3 2 2 2 2 2 3" xfId="8717"/>
    <cellStyle name="40% - Énfasis3 2 2 2 2 3" xfId="6243"/>
    <cellStyle name="40% - Énfasis3 2 2 2 2 3 2" xfId="8719"/>
    <cellStyle name="40% - Énfasis3 2 2 2 2 4" xfId="8716"/>
    <cellStyle name="40% - Énfasis3 2 2 2 3" xfId="3367"/>
    <cellStyle name="40% - Énfasis3 2 2 2 3 2" xfId="7225"/>
    <cellStyle name="40% - Énfasis3 2 2 2 3 2 2" xfId="8721"/>
    <cellStyle name="40% - Énfasis3 2 2 2 3 3" xfId="8720"/>
    <cellStyle name="40% - Énfasis3 2 2 2 4" xfId="5287"/>
    <cellStyle name="40% - Énfasis3 2 2 2 4 2" xfId="8722"/>
    <cellStyle name="40% - Énfasis3 2 2 2 5" xfId="8715"/>
    <cellStyle name="40% - Énfasis3 2 2 3" xfId="1121"/>
    <cellStyle name="40% - Énfasis3 2 2 3 2" xfId="2092"/>
    <cellStyle name="40% - Énfasis3 2 2 3 2 2" xfId="4037"/>
    <cellStyle name="40% - Énfasis3 2 2 3 2 2 2" xfId="7890"/>
    <cellStyle name="40% - Énfasis3 2 2 3 2 2 2 2" xfId="8726"/>
    <cellStyle name="40% - Énfasis3 2 2 3 2 2 3" xfId="8725"/>
    <cellStyle name="40% - Énfasis3 2 2 3 2 3" xfId="5952"/>
    <cellStyle name="40% - Énfasis3 2 2 3 2 3 2" xfId="8727"/>
    <cellStyle name="40% - Énfasis3 2 2 3 2 4" xfId="8724"/>
    <cellStyle name="40% - Énfasis3 2 2 3 3" xfId="3076"/>
    <cellStyle name="40% - Énfasis3 2 2 3 3 2" xfId="6934"/>
    <cellStyle name="40% - Énfasis3 2 2 3 3 2 2" xfId="8729"/>
    <cellStyle name="40% - Énfasis3 2 2 3 3 3" xfId="8728"/>
    <cellStyle name="40% - Énfasis3 2 2 3 4" xfId="4996"/>
    <cellStyle name="40% - Énfasis3 2 2 3 4 2" xfId="8730"/>
    <cellStyle name="40% - Énfasis3 2 2 3 5" xfId="8723"/>
    <cellStyle name="40% - Énfasis3 2 2 4" xfId="1673"/>
    <cellStyle name="40% - Énfasis3 2 2 4 2" xfId="2634"/>
    <cellStyle name="40% - Énfasis3 2 2 4 2 2" xfId="4579"/>
    <cellStyle name="40% - Énfasis3 2 2 4 2 2 2" xfId="8432"/>
    <cellStyle name="40% - Énfasis3 2 2 4 2 2 2 2" xfId="8734"/>
    <cellStyle name="40% - Énfasis3 2 2 4 2 2 3" xfId="8733"/>
    <cellStyle name="40% - Énfasis3 2 2 4 2 3" xfId="6494"/>
    <cellStyle name="40% - Énfasis3 2 2 4 2 3 2" xfId="8735"/>
    <cellStyle name="40% - Énfasis3 2 2 4 2 4" xfId="8732"/>
    <cellStyle name="40% - Énfasis3 2 2 4 3" xfId="3620"/>
    <cellStyle name="40% - Énfasis3 2 2 4 3 2" xfId="7476"/>
    <cellStyle name="40% - Énfasis3 2 2 4 3 2 2" xfId="8737"/>
    <cellStyle name="40% - Énfasis3 2 2 4 3 3" xfId="8736"/>
    <cellStyle name="40% - Énfasis3 2 2 4 4" xfId="5538"/>
    <cellStyle name="40% - Énfasis3 2 2 4 4 2" xfId="8738"/>
    <cellStyle name="40% - Énfasis3 2 2 4 5" xfId="8731"/>
    <cellStyle name="40% - Énfasis3 2 2 5" xfId="1860"/>
    <cellStyle name="40% - Énfasis3 2 2 5 2" xfId="3805"/>
    <cellStyle name="40% - Énfasis3 2 2 5 2 2" xfId="7658"/>
    <cellStyle name="40% - Énfasis3 2 2 5 2 2 2" xfId="8741"/>
    <cellStyle name="40% - Énfasis3 2 2 5 2 3" xfId="8740"/>
    <cellStyle name="40% - Énfasis3 2 2 5 3" xfId="5720"/>
    <cellStyle name="40% - Énfasis3 2 2 5 3 2" xfId="8742"/>
    <cellStyle name="40% - Énfasis3 2 2 5 4" xfId="8739"/>
    <cellStyle name="40% - Énfasis3 2 2 6" xfId="2844"/>
    <cellStyle name="40% - Énfasis3 2 2 6 2" xfId="6702"/>
    <cellStyle name="40% - Énfasis3 2 2 6 2 2" xfId="8744"/>
    <cellStyle name="40% - Énfasis3 2 2 6 3" xfId="8743"/>
    <cellStyle name="40% - Énfasis3 2 2 7" xfId="4764"/>
    <cellStyle name="40% - Énfasis3 2 2 7 2" xfId="8745"/>
    <cellStyle name="40% - Énfasis3 2 2 8" xfId="8714"/>
    <cellStyle name="40% - Énfasis3 2 3" xfId="1311"/>
    <cellStyle name="40% - Énfasis3 2 3 2" xfId="2282"/>
    <cellStyle name="40% - Énfasis3 2 3 2 2" xfId="4227"/>
    <cellStyle name="40% - Énfasis3 2 3 2 2 2" xfId="8080"/>
    <cellStyle name="40% - Énfasis3 2 3 2 2 2 2" xfId="8749"/>
    <cellStyle name="40% - Énfasis3 2 3 2 2 3" xfId="8748"/>
    <cellStyle name="40% - Énfasis3 2 3 2 3" xfId="6142"/>
    <cellStyle name="40% - Énfasis3 2 3 2 3 2" xfId="8750"/>
    <cellStyle name="40% - Énfasis3 2 3 2 4" xfId="8747"/>
    <cellStyle name="40% - Énfasis3 2 3 3" xfId="3266"/>
    <cellStyle name="40% - Énfasis3 2 3 3 2" xfId="7124"/>
    <cellStyle name="40% - Énfasis3 2 3 3 2 2" xfId="8752"/>
    <cellStyle name="40% - Énfasis3 2 3 3 3" xfId="8751"/>
    <cellStyle name="40% - Énfasis3 2 3 4" xfId="5186"/>
    <cellStyle name="40% - Énfasis3 2 3 4 2" xfId="8753"/>
    <cellStyle name="40% - Énfasis3 2 3 5" xfId="8746"/>
    <cellStyle name="40% - Énfasis3 2 4" xfId="1079"/>
    <cellStyle name="40% - Énfasis3 2 4 2" xfId="2050"/>
    <cellStyle name="40% - Énfasis3 2 4 2 2" xfId="3995"/>
    <cellStyle name="40% - Énfasis3 2 4 2 2 2" xfId="7848"/>
    <cellStyle name="40% - Énfasis3 2 4 2 2 2 2" xfId="8757"/>
    <cellStyle name="40% - Énfasis3 2 4 2 2 3" xfId="8756"/>
    <cellStyle name="40% - Énfasis3 2 4 2 3" xfId="5910"/>
    <cellStyle name="40% - Énfasis3 2 4 2 3 2" xfId="8758"/>
    <cellStyle name="40% - Énfasis3 2 4 2 4" xfId="8755"/>
    <cellStyle name="40% - Énfasis3 2 4 3" xfId="3034"/>
    <cellStyle name="40% - Énfasis3 2 4 3 2" xfId="6892"/>
    <cellStyle name="40% - Énfasis3 2 4 3 2 2" xfId="8760"/>
    <cellStyle name="40% - Énfasis3 2 4 3 3" xfId="8759"/>
    <cellStyle name="40% - Énfasis3 2 4 4" xfId="4954"/>
    <cellStyle name="40% - Énfasis3 2 4 4 2" xfId="8761"/>
    <cellStyle name="40% - Énfasis3 2 4 5" xfId="8754"/>
    <cellStyle name="40% - Énfasis3 2 5" xfId="1538"/>
    <cellStyle name="40% - Énfasis3 2 5 2" xfId="2504"/>
    <cellStyle name="40% - Énfasis3 2 5 2 2" xfId="4449"/>
    <cellStyle name="40% - Énfasis3 2 5 2 2 2" xfId="8302"/>
    <cellStyle name="40% - Énfasis3 2 5 2 2 2 2" xfId="8765"/>
    <cellStyle name="40% - Énfasis3 2 5 2 2 3" xfId="8764"/>
    <cellStyle name="40% - Énfasis3 2 5 2 3" xfId="6364"/>
    <cellStyle name="40% - Énfasis3 2 5 2 3 2" xfId="8766"/>
    <cellStyle name="40% - Énfasis3 2 5 2 4" xfId="8763"/>
    <cellStyle name="40% - Énfasis3 2 5 3" xfId="3490"/>
    <cellStyle name="40% - Énfasis3 2 5 3 2" xfId="7346"/>
    <cellStyle name="40% - Énfasis3 2 5 3 2 2" xfId="8768"/>
    <cellStyle name="40% - Énfasis3 2 5 3 3" xfId="8767"/>
    <cellStyle name="40% - Énfasis3 2 5 4" xfId="5408"/>
    <cellStyle name="40% - Énfasis3 2 5 4 2" xfId="8769"/>
    <cellStyle name="40% - Énfasis3 2 5 5" xfId="8762"/>
    <cellStyle name="40% - Énfasis3 2 6" xfId="1811"/>
    <cellStyle name="40% - Énfasis3 2 6 2" xfId="3757"/>
    <cellStyle name="40% - Énfasis3 2 6 2 2" xfId="7610"/>
    <cellStyle name="40% - Énfasis3 2 6 2 2 2" xfId="8772"/>
    <cellStyle name="40% - Énfasis3 2 6 2 3" xfId="8771"/>
    <cellStyle name="40% - Énfasis3 2 6 3" xfId="5672"/>
    <cellStyle name="40% - Énfasis3 2 6 3 2" xfId="8773"/>
    <cellStyle name="40% - Énfasis3 2 6 4" xfId="8770"/>
    <cellStyle name="40% - Énfasis3 2 7" xfId="2795"/>
    <cellStyle name="40% - Énfasis3 2 7 2" xfId="6654"/>
    <cellStyle name="40% - Énfasis3 2 7 2 2" xfId="8775"/>
    <cellStyle name="40% - Énfasis3 2 7 3" xfId="8774"/>
    <cellStyle name="40% - Énfasis3 2 8" xfId="4722"/>
    <cellStyle name="40% - Énfasis3 2 8 2" xfId="8776"/>
    <cellStyle name="40% - Énfasis3 2 9" xfId="8713"/>
    <cellStyle name="40% - Énfasis3 3" xfId="882"/>
    <cellStyle name="40% - Énfasis3 3 2" xfId="1432"/>
    <cellStyle name="40% - Énfasis3 3 2 2" xfId="2403"/>
    <cellStyle name="40% - Énfasis3 3 2 2 2" xfId="4348"/>
    <cellStyle name="40% - Énfasis3 3 2 2 2 2" xfId="8201"/>
    <cellStyle name="40% - Énfasis3 3 2 2 2 2 2" xfId="8781"/>
    <cellStyle name="40% - Énfasis3 3 2 2 2 3" xfId="8780"/>
    <cellStyle name="40% - Énfasis3 3 2 2 3" xfId="6263"/>
    <cellStyle name="40% - Énfasis3 3 2 2 3 2" xfId="8782"/>
    <cellStyle name="40% - Énfasis3 3 2 2 4" xfId="8779"/>
    <cellStyle name="40% - Énfasis3 3 2 3" xfId="3387"/>
    <cellStyle name="40% - Énfasis3 3 2 3 2" xfId="7245"/>
    <cellStyle name="40% - Énfasis3 3 2 3 2 2" xfId="8784"/>
    <cellStyle name="40% - Énfasis3 3 2 3 3" xfId="8783"/>
    <cellStyle name="40% - Énfasis3 3 2 4" xfId="5307"/>
    <cellStyle name="40% - Énfasis3 3 2 4 2" xfId="8785"/>
    <cellStyle name="40% - Énfasis3 3 2 5" xfId="8778"/>
    <cellStyle name="40% - Énfasis3 3 3" xfId="1122"/>
    <cellStyle name="40% - Énfasis3 3 3 2" xfId="2093"/>
    <cellStyle name="40% - Énfasis3 3 3 2 2" xfId="4038"/>
    <cellStyle name="40% - Énfasis3 3 3 2 2 2" xfId="7891"/>
    <cellStyle name="40% - Énfasis3 3 3 2 2 2 2" xfId="8789"/>
    <cellStyle name="40% - Énfasis3 3 3 2 2 3" xfId="8788"/>
    <cellStyle name="40% - Énfasis3 3 3 2 3" xfId="5953"/>
    <cellStyle name="40% - Énfasis3 3 3 2 3 2" xfId="8790"/>
    <cellStyle name="40% - Énfasis3 3 3 2 4" xfId="8787"/>
    <cellStyle name="40% - Énfasis3 3 3 3" xfId="3077"/>
    <cellStyle name="40% - Énfasis3 3 3 3 2" xfId="6935"/>
    <cellStyle name="40% - Énfasis3 3 3 3 2 2" xfId="8792"/>
    <cellStyle name="40% - Énfasis3 3 3 3 3" xfId="8791"/>
    <cellStyle name="40% - Énfasis3 3 3 4" xfId="4997"/>
    <cellStyle name="40% - Énfasis3 3 3 4 2" xfId="8793"/>
    <cellStyle name="40% - Énfasis3 3 3 5" xfId="8786"/>
    <cellStyle name="40% - Énfasis3 3 4" xfId="1693"/>
    <cellStyle name="40% - Énfasis3 3 4 2" xfId="2654"/>
    <cellStyle name="40% - Énfasis3 3 4 2 2" xfId="4599"/>
    <cellStyle name="40% - Énfasis3 3 4 2 2 2" xfId="8452"/>
    <cellStyle name="40% - Énfasis3 3 4 2 2 2 2" xfId="8797"/>
    <cellStyle name="40% - Énfasis3 3 4 2 2 3" xfId="8796"/>
    <cellStyle name="40% - Énfasis3 3 4 2 3" xfId="6514"/>
    <cellStyle name="40% - Énfasis3 3 4 2 3 2" xfId="8798"/>
    <cellStyle name="40% - Énfasis3 3 4 2 4" xfId="8795"/>
    <cellStyle name="40% - Énfasis3 3 4 3" xfId="3640"/>
    <cellStyle name="40% - Énfasis3 3 4 3 2" xfId="7496"/>
    <cellStyle name="40% - Énfasis3 3 4 3 2 2" xfId="8800"/>
    <cellStyle name="40% - Énfasis3 3 4 3 3" xfId="8799"/>
    <cellStyle name="40% - Énfasis3 3 4 4" xfId="5558"/>
    <cellStyle name="40% - Énfasis3 3 4 4 2" xfId="8801"/>
    <cellStyle name="40% - Énfasis3 3 4 5" xfId="8794"/>
    <cellStyle name="40% - Énfasis3 3 5" xfId="1861"/>
    <cellStyle name="40% - Énfasis3 3 5 2" xfId="3806"/>
    <cellStyle name="40% - Énfasis3 3 5 2 2" xfId="7659"/>
    <cellStyle name="40% - Énfasis3 3 5 2 2 2" xfId="8804"/>
    <cellStyle name="40% - Énfasis3 3 5 2 3" xfId="8803"/>
    <cellStyle name="40% - Énfasis3 3 5 3" xfId="5721"/>
    <cellStyle name="40% - Énfasis3 3 5 3 2" xfId="8805"/>
    <cellStyle name="40% - Énfasis3 3 5 4" xfId="8802"/>
    <cellStyle name="40% - Énfasis3 3 6" xfId="2845"/>
    <cellStyle name="40% - Énfasis3 3 6 2" xfId="6703"/>
    <cellStyle name="40% - Énfasis3 3 6 2 2" xfId="8807"/>
    <cellStyle name="40% - Énfasis3 3 6 3" xfId="8806"/>
    <cellStyle name="40% - Énfasis3 3 7" xfId="4765"/>
    <cellStyle name="40% - Énfasis3 3 7 2" xfId="8808"/>
    <cellStyle name="40% - Énfasis3 3 8" xfId="8777"/>
    <cellStyle name="40% - Énfasis3 4" xfId="1831"/>
    <cellStyle name="40% - Énfasis3 4 2" xfId="3777"/>
    <cellStyle name="40% - Énfasis3 4 2 2" xfId="7630"/>
    <cellStyle name="40% - Énfasis3 4 2 2 2" xfId="8811"/>
    <cellStyle name="40% - Énfasis3 4 2 3" xfId="8810"/>
    <cellStyle name="40% - Énfasis3 4 3" xfId="5692"/>
    <cellStyle name="40% - Énfasis3 4 3 2" xfId="8812"/>
    <cellStyle name="40% - Énfasis3 4 4" xfId="8809"/>
    <cellStyle name="40% - Énfasis3 5" xfId="2815"/>
    <cellStyle name="40% - Énfasis3 5 2" xfId="6674"/>
    <cellStyle name="40% - Énfasis3 5 2 2" xfId="8814"/>
    <cellStyle name="40% - Énfasis3 5 3" xfId="8813"/>
    <cellStyle name="40% - Énfasis4" xfId="852" builtinId="43"/>
    <cellStyle name="40% - Énfasis4 2" xfId="823"/>
    <cellStyle name="40% - Énfasis4 2 2" xfId="883"/>
    <cellStyle name="40% - Énfasis4 2 2 2" xfId="1415"/>
    <cellStyle name="40% - Énfasis4 2 2 2 2" xfId="2386"/>
    <cellStyle name="40% - Énfasis4 2 2 2 2 2" xfId="4331"/>
    <cellStyle name="40% - Énfasis4 2 2 2 2 2 2" xfId="8184"/>
    <cellStyle name="40% - Énfasis4 2 2 2 2 2 2 2" xfId="8820"/>
    <cellStyle name="40% - Énfasis4 2 2 2 2 2 3" xfId="8819"/>
    <cellStyle name="40% - Énfasis4 2 2 2 2 3" xfId="6246"/>
    <cellStyle name="40% - Énfasis4 2 2 2 2 3 2" xfId="8821"/>
    <cellStyle name="40% - Énfasis4 2 2 2 2 4" xfId="8818"/>
    <cellStyle name="40% - Énfasis4 2 2 2 3" xfId="3370"/>
    <cellStyle name="40% - Énfasis4 2 2 2 3 2" xfId="7228"/>
    <cellStyle name="40% - Énfasis4 2 2 2 3 2 2" xfId="8823"/>
    <cellStyle name="40% - Énfasis4 2 2 2 3 3" xfId="8822"/>
    <cellStyle name="40% - Énfasis4 2 2 2 4" xfId="5290"/>
    <cellStyle name="40% - Énfasis4 2 2 2 4 2" xfId="8824"/>
    <cellStyle name="40% - Énfasis4 2 2 2 5" xfId="8817"/>
    <cellStyle name="40% - Énfasis4 2 2 3" xfId="1123"/>
    <cellStyle name="40% - Énfasis4 2 2 3 2" xfId="2094"/>
    <cellStyle name="40% - Énfasis4 2 2 3 2 2" xfId="4039"/>
    <cellStyle name="40% - Énfasis4 2 2 3 2 2 2" xfId="7892"/>
    <cellStyle name="40% - Énfasis4 2 2 3 2 2 2 2" xfId="8828"/>
    <cellStyle name="40% - Énfasis4 2 2 3 2 2 3" xfId="8827"/>
    <cellStyle name="40% - Énfasis4 2 2 3 2 3" xfId="5954"/>
    <cellStyle name="40% - Énfasis4 2 2 3 2 3 2" xfId="8829"/>
    <cellStyle name="40% - Énfasis4 2 2 3 2 4" xfId="8826"/>
    <cellStyle name="40% - Énfasis4 2 2 3 3" xfId="3078"/>
    <cellStyle name="40% - Énfasis4 2 2 3 3 2" xfId="6936"/>
    <cellStyle name="40% - Énfasis4 2 2 3 3 2 2" xfId="8831"/>
    <cellStyle name="40% - Énfasis4 2 2 3 3 3" xfId="8830"/>
    <cellStyle name="40% - Énfasis4 2 2 3 4" xfId="4998"/>
    <cellStyle name="40% - Énfasis4 2 2 3 4 2" xfId="8832"/>
    <cellStyle name="40% - Énfasis4 2 2 3 5" xfId="8825"/>
    <cellStyle name="40% - Énfasis4 2 2 4" xfId="1676"/>
    <cellStyle name="40% - Énfasis4 2 2 4 2" xfId="2637"/>
    <cellStyle name="40% - Énfasis4 2 2 4 2 2" xfId="4582"/>
    <cellStyle name="40% - Énfasis4 2 2 4 2 2 2" xfId="8435"/>
    <cellStyle name="40% - Énfasis4 2 2 4 2 2 2 2" xfId="8836"/>
    <cellStyle name="40% - Énfasis4 2 2 4 2 2 3" xfId="8835"/>
    <cellStyle name="40% - Énfasis4 2 2 4 2 3" xfId="6497"/>
    <cellStyle name="40% - Énfasis4 2 2 4 2 3 2" xfId="8837"/>
    <cellStyle name="40% - Énfasis4 2 2 4 2 4" xfId="8834"/>
    <cellStyle name="40% - Énfasis4 2 2 4 3" xfId="3623"/>
    <cellStyle name="40% - Énfasis4 2 2 4 3 2" xfId="7479"/>
    <cellStyle name="40% - Énfasis4 2 2 4 3 2 2" xfId="8839"/>
    <cellStyle name="40% - Énfasis4 2 2 4 3 3" xfId="8838"/>
    <cellStyle name="40% - Énfasis4 2 2 4 4" xfId="5541"/>
    <cellStyle name="40% - Énfasis4 2 2 4 4 2" xfId="8840"/>
    <cellStyle name="40% - Énfasis4 2 2 4 5" xfId="8833"/>
    <cellStyle name="40% - Énfasis4 2 2 5" xfId="1862"/>
    <cellStyle name="40% - Énfasis4 2 2 5 2" xfId="3807"/>
    <cellStyle name="40% - Énfasis4 2 2 5 2 2" xfId="7660"/>
    <cellStyle name="40% - Énfasis4 2 2 5 2 2 2" xfId="8843"/>
    <cellStyle name="40% - Énfasis4 2 2 5 2 3" xfId="8842"/>
    <cellStyle name="40% - Énfasis4 2 2 5 3" xfId="5722"/>
    <cellStyle name="40% - Énfasis4 2 2 5 3 2" xfId="8844"/>
    <cellStyle name="40% - Énfasis4 2 2 5 4" xfId="8841"/>
    <cellStyle name="40% - Énfasis4 2 2 6" xfId="2846"/>
    <cellStyle name="40% - Énfasis4 2 2 6 2" xfId="6704"/>
    <cellStyle name="40% - Énfasis4 2 2 6 2 2" xfId="8846"/>
    <cellStyle name="40% - Énfasis4 2 2 6 3" xfId="8845"/>
    <cellStyle name="40% - Énfasis4 2 2 7" xfId="4766"/>
    <cellStyle name="40% - Énfasis4 2 2 7 2" xfId="8847"/>
    <cellStyle name="40% - Énfasis4 2 2 8" xfId="8816"/>
    <cellStyle name="40% - Énfasis4 2 3" xfId="1314"/>
    <cellStyle name="40% - Énfasis4 2 3 2" xfId="2285"/>
    <cellStyle name="40% - Énfasis4 2 3 2 2" xfId="4230"/>
    <cellStyle name="40% - Énfasis4 2 3 2 2 2" xfId="8083"/>
    <cellStyle name="40% - Énfasis4 2 3 2 2 2 2" xfId="8851"/>
    <cellStyle name="40% - Énfasis4 2 3 2 2 3" xfId="8850"/>
    <cellStyle name="40% - Énfasis4 2 3 2 3" xfId="6145"/>
    <cellStyle name="40% - Énfasis4 2 3 2 3 2" xfId="8852"/>
    <cellStyle name="40% - Énfasis4 2 3 2 4" xfId="8849"/>
    <cellStyle name="40% - Énfasis4 2 3 3" xfId="3269"/>
    <cellStyle name="40% - Énfasis4 2 3 3 2" xfId="7127"/>
    <cellStyle name="40% - Énfasis4 2 3 3 2 2" xfId="8854"/>
    <cellStyle name="40% - Énfasis4 2 3 3 3" xfId="8853"/>
    <cellStyle name="40% - Énfasis4 2 3 4" xfId="5189"/>
    <cellStyle name="40% - Énfasis4 2 3 4 2" xfId="8855"/>
    <cellStyle name="40% - Énfasis4 2 3 5" xfId="8848"/>
    <cellStyle name="40% - Énfasis4 2 4" xfId="1082"/>
    <cellStyle name="40% - Énfasis4 2 4 2" xfId="2053"/>
    <cellStyle name="40% - Énfasis4 2 4 2 2" xfId="3998"/>
    <cellStyle name="40% - Énfasis4 2 4 2 2 2" xfId="7851"/>
    <cellStyle name="40% - Énfasis4 2 4 2 2 2 2" xfId="8859"/>
    <cellStyle name="40% - Énfasis4 2 4 2 2 3" xfId="8858"/>
    <cellStyle name="40% - Énfasis4 2 4 2 3" xfId="5913"/>
    <cellStyle name="40% - Énfasis4 2 4 2 3 2" xfId="8860"/>
    <cellStyle name="40% - Énfasis4 2 4 2 4" xfId="8857"/>
    <cellStyle name="40% - Énfasis4 2 4 3" xfId="3037"/>
    <cellStyle name="40% - Énfasis4 2 4 3 2" xfId="6895"/>
    <cellStyle name="40% - Énfasis4 2 4 3 2 2" xfId="8862"/>
    <cellStyle name="40% - Énfasis4 2 4 3 3" xfId="8861"/>
    <cellStyle name="40% - Énfasis4 2 4 4" xfId="4957"/>
    <cellStyle name="40% - Énfasis4 2 4 4 2" xfId="8863"/>
    <cellStyle name="40% - Énfasis4 2 4 5" xfId="8856"/>
    <cellStyle name="40% - Énfasis4 2 5" xfId="1539"/>
    <cellStyle name="40% - Énfasis4 2 5 2" xfId="2505"/>
    <cellStyle name="40% - Énfasis4 2 5 2 2" xfId="4450"/>
    <cellStyle name="40% - Énfasis4 2 5 2 2 2" xfId="8303"/>
    <cellStyle name="40% - Énfasis4 2 5 2 2 2 2" xfId="8867"/>
    <cellStyle name="40% - Énfasis4 2 5 2 2 3" xfId="8866"/>
    <cellStyle name="40% - Énfasis4 2 5 2 3" xfId="6365"/>
    <cellStyle name="40% - Énfasis4 2 5 2 3 2" xfId="8868"/>
    <cellStyle name="40% - Énfasis4 2 5 2 4" xfId="8865"/>
    <cellStyle name="40% - Énfasis4 2 5 3" xfId="3491"/>
    <cellStyle name="40% - Énfasis4 2 5 3 2" xfId="7347"/>
    <cellStyle name="40% - Énfasis4 2 5 3 2 2" xfId="8870"/>
    <cellStyle name="40% - Énfasis4 2 5 3 3" xfId="8869"/>
    <cellStyle name="40% - Énfasis4 2 5 4" xfId="5409"/>
    <cellStyle name="40% - Énfasis4 2 5 4 2" xfId="8871"/>
    <cellStyle name="40% - Énfasis4 2 5 5" xfId="8864"/>
    <cellStyle name="40% - Énfasis4 2 6" xfId="1814"/>
    <cellStyle name="40% - Énfasis4 2 6 2" xfId="3760"/>
    <cellStyle name="40% - Énfasis4 2 6 2 2" xfId="7613"/>
    <cellStyle name="40% - Énfasis4 2 6 2 2 2" xfId="8874"/>
    <cellStyle name="40% - Énfasis4 2 6 2 3" xfId="8873"/>
    <cellStyle name="40% - Énfasis4 2 6 3" xfId="5675"/>
    <cellStyle name="40% - Énfasis4 2 6 3 2" xfId="8875"/>
    <cellStyle name="40% - Énfasis4 2 6 4" xfId="8872"/>
    <cellStyle name="40% - Énfasis4 2 7" xfId="2798"/>
    <cellStyle name="40% - Énfasis4 2 7 2" xfId="6657"/>
    <cellStyle name="40% - Énfasis4 2 7 2 2" xfId="8877"/>
    <cellStyle name="40% - Énfasis4 2 7 3" xfId="8876"/>
    <cellStyle name="40% - Énfasis4 2 8" xfId="4725"/>
    <cellStyle name="40% - Énfasis4 2 8 2" xfId="8878"/>
    <cellStyle name="40% - Énfasis4 2 9" xfId="8815"/>
    <cellStyle name="40% - Énfasis4 3" xfId="884"/>
    <cellStyle name="40% - Énfasis4 3 2" xfId="1433"/>
    <cellStyle name="40% - Énfasis4 3 2 2" xfId="2404"/>
    <cellStyle name="40% - Énfasis4 3 2 2 2" xfId="4349"/>
    <cellStyle name="40% - Énfasis4 3 2 2 2 2" xfId="8202"/>
    <cellStyle name="40% - Énfasis4 3 2 2 2 2 2" xfId="8883"/>
    <cellStyle name="40% - Énfasis4 3 2 2 2 3" xfId="8882"/>
    <cellStyle name="40% - Énfasis4 3 2 2 3" xfId="6264"/>
    <cellStyle name="40% - Énfasis4 3 2 2 3 2" xfId="8884"/>
    <cellStyle name="40% - Énfasis4 3 2 2 4" xfId="8881"/>
    <cellStyle name="40% - Énfasis4 3 2 3" xfId="3388"/>
    <cellStyle name="40% - Énfasis4 3 2 3 2" xfId="7246"/>
    <cellStyle name="40% - Énfasis4 3 2 3 2 2" xfId="8886"/>
    <cellStyle name="40% - Énfasis4 3 2 3 3" xfId="8885"/>
    <cellStyle name="40% - Énfasis4 3 2 4" xfId="5308"/>
    <cellStyle name="40% - Énfasis4 3 2 4 2" xfId="8887"/>
    <cellStyle name="40% - Énfasis4 3 2 5" xfId="8880"/>
    <cellStyle name="40% - Énfasis4 3 3" xfId="1124"/>
    <cellStyle name="40% - Énfasis4 3 3 2" xfId="2095"/>
    <cellStyle name="40% - Énfasis4 3 3 2 2" xfId="4040"/>
    <cellStyle name="40% - Énfasis4 3 3 2 2 2" xfId="7893"/>
    <cellStyle name="40% - Énfasis4 3 3 2 2 2 2" xfId="8891"/>
    <cellStyle name="40% - Énfasis4 3 3 2 2 3" xfId="8890"/>
    <cellStyle name="40% - Énfasis4 3 3 2 3" xfId="5955"/>
    <cellStyle name="40% - Énfasis4 3 3 2 3 2" xfId="8892"/>
    <cellStyle name="40% - Énfasis4 3 3 2 4" xfId="8889"/>
    <cellStyle name="40% - Énfasis4 3 3 3" xfId="3079"/>
    <cellStyle name="40% - Énfasis4 3 3 3 2" xfId="6937"/>
    <cellStyle name="40% - Énfasis4 3 3 3 2 2" xfId="8894"/>
    <cellStyle name="40% - Énfasis4 3 3 3 3" xfId="8893"/>
    <cellStyle name="40% - Énfasis4 3 3 4" xfId="4999"/>
    <cellStyle name="40% - Énfasis4 3 3 4 2" xfId="8895"/>
    <cellStyle name="40% - Énfasis4 3 3 5" xfId="8888"/>
    <cellStyle name="40% - Énfasis4 3 4" xfId="1694"/>
    <cellStyle name="40% - Énfasis4 3 4 2" xfId="2655"/>
    <cellStyle name="40% - Énfasis4 3 4 2 2" xfId="4600"/>
    <cellStyle name="40% - Énfasis4 3 4 2 2 2" xfId="8453"/>
    <cellStyle name="40% - Énfasis4 3 4 2 2 2 2" xfId="8899"/>
    <cellStyle name="40% - Énfasis4 3 4 2 2 3" xfId="8898"/>
    <cellStyle name="40% - Énfasis4 3 4 2 3" xfId="6515"/>
    <cellStyle name="40% - Énfasis4 3 4 2 3 2" xfId="8900"/>
    <cellStyle name="40% - Énfasis4 3 4 2 4" xfId="8897"/>
    <cellStyle name="40% - Énfasis4 3 4 3" xfId="3641"/>
    <cellStyle name="40% - Énfasis4 3 4 3 2" xfId="7497"/>
    <cellStyle name="40% - Énfasis4 3 4 3 2 2" xfId="8902"/>
    <cellStyle name="40% - Énfasis4 3 4 3 3" xfId="8901"/>
    <cellStyle name="40% - Énfasis4 3 4 4" xfId="5559"/>
    <cellStyle name="40% - Énfasis4 3 4 4 2" xfId="8903"/>
    <cellStyle name="40% - Énfasis4 3 4 5" xfId="8896"/>
    <cellStyle name="40% - Énfasis4 3 5" xfId="1863"/>
    <cellStyle name="40% - Énfasis4 3 5 2" xfId="3808"/>
    <cellStyle name="40% - Énfasis4 3 5 2 2" xfId="7661"/>
    <cellStyle name="40% - Énfasis4 3 5 2 2 2" xfId="8906"/>
    <cellStyle name="40% - Énfasis4 3 5 2 3" xfId="8905"/>
    <cellStyle name="40% - Énfasis4 3 5 3" xfId="5723"/>
    <cellStyle name="40% - Énfasis4 3 5 3 2" xfId="8907"/>
    <cellStyle name="40% - Énfasis4 3 5 4" xfId="8904"/>
    <cellStyle name="40% - Énfasis4 3 6" xfId="2847"/>
    <cellStyle name="40% - Énfasis4 3 6 2" xfId="6705"/>
    <cellStyle name="40% - Énfasis4 3 6 2 2" xfId="8909"/>
    <cellStyle name="40% - Énfasis4 3 6 3" xfId="8908"/>
    <cellStyle name="40% - Énfasis4 3 7" xfId="4767"/>
    <cellStyle name="40% - Énfasis4 3 7 2" xfId="8910"/>
    <cellStyle name="40% - Énfasis4 3 8" xfId="8879"/>
    <cellStyle name="40% - Énfasis4 4" xfId="1832"/>
    <cellStyle name="40% - Énfasis4 4 2" xfId="3778"/>
    <cellStyle name="40% - Énfasis4 4 2 2" xfId="7631"/>
    <cellStyle name="40% - Énfasis4 4 2 2 2" xfId="8913"/>
    <cellStyle name="40% - Énfasis4 4 2 3" xfId="8912"/>
    <cellStyle name="40% - Énfasis4 4 3" xfId="5693"/>
    <cellStyle name="40% - Énfasis4 4 3 2" xfId="8914"/>
    <cellStyle name="40% - Énfasis4 4 4" xfId="8911"/>
    <cellStyle name="40% - Énfasis4 5" xfId="2816"/>
    <cellStyle name="40% - Énfasis4 5 2" xfId="6675"/>
    <cellStyle name="40% - Énfasis4 5 2 2" xfId="8916"/>
    <cellStyle name="40% - Énfasis4 5 3" xfId="8915"/>
    <cellStyle name="40% - Énfasis5" xfId="853" builtinId="47"/>
    <cellStyle name="40% - Énfasis5 2" xfId="821"/>
    <cellStyle name="40% - Énfasis5 2 2" xfId="885"/>
    <cellStyle name="40% - Énfasis5 2 2 2" xfId="1413"/>
    <cellStyle name="40% - Énfasis5 2 2 2 2" xfId="2384"/>
    <cellStyle name="40% - Énfasis5 2 2 2 2 2" xfId="4329"/>
    <cellStyle name="40% - Énfasis5 2 2 2 2 2 2" xfId="8182"/>
    <cellStyle name="40% - Énfasis5 2 2 2 2 2 2 2" xfId="8922"/>
    <cellStyle name="40% - Énfasis5 2 2 2 2 2 3" xfId="8921"/>
    <cellStyle name="40% - Énfasis5 2 2 2 2 3" xfId="6244"/>
    <cellStyle name="40% - Énfasis5 2 2 2 2 3 2" xfId="8923"/>
    <cellStyle name="40% - Énfasis5 2 2 2 2 4" xfId="8920"/>
    <cellStyle name="40% - Énfasis5 2 2 2 3" xfId="3368"/>
    <cellStyle name="40% - Énfasis5 2 2 2 3 2" xfId="7226"/>
    <cellStyle name="40% - Énfasis5 2 2 2 3 2 2" xfId="8925"/>
    <cellStyle name="40% - Énfasis5 2 2 2 3 3" xfId="8924"/>
    <cellStyle name="40% - Énfasis5 2 2 2 4" xfId="5288"/>
    <cellStyle name="40% - Énfasis5 2 2 2 4 2" xfId="8926"/>
    <cellStyle name="40% - Énfasis5 2 2 2 5" xfId="8919"/>
    <cellStyle name="40% - Énfasis5 2 2 3" xfId="1125"/>
    <cellStyle name="40% - Énfasis5 2 2 3 2" xfId="2096"/>
    <cellStyle name="40% - Énfasis5 2 2 3 2 2" xfId="4041"/>
    <cellStyle name="40% - Énfasis5 2 2 3 2 2 2" xfId="7894"/>
    <cellStyle name="40% - Énfasis5 2 2 3 2 2 2 2" xfId="8930"/>
    <cellStyle name="40% - Énfasis5 2 2 3 2 2 3" xfId="8929"/>
    <cellStyle name="40% - Énfasis5 2 2 3 2 3" xfId="5956"/>
    <cellStyle name="40% - Énfasis5 2 2 3 2 3 2" xfId="8931"/>
    <cellStyle name="40% - Énfasis5 2 2 3 2 4" xfId="8928"/>
    <cellStyle name="40% - Énfasis5 2 2 3 3" xfId="3080"/>
    <cellStyle name="40% - Énfasis5 2 2 3 3 2" xfId="6938"/>
    <cellStyle name="40% - Énfasis5 2 2 3 3 2 2" xfId="8933"/>
    <cellStyle name="40% - Énfasis5 2 2 3 3 3" xfId="8932"/>
    <cellStyle name="40% - Énfasis5 2 2 3 4" xfId="5000"/>
    <cellStyle name="40% - Énfasis5 2 2 3 4 2" xfId="8934"/>
    <cellStyle name="40% - Énfasis5 2 2 3 5" xfId="8927"/>
    <cellStyle name="40% - Énfasis5 2 2 4" xfId="1674"/>
    <cellStyle name="40% - Énfasis5 2 2 4 2" xfId="2635"/>
    <cellStyle name="40% - Énfasis5 2 2 4 2 2" xfId="4580"/>
    <cellStyle name="40% - Énfasis5 2 2 4 2 2 2" xfId="8433"/>
    <cellStyle name="40% - Énfasis5 2 2 4 2 2 2 2" xfId="8938"/>
    <cellStyle name="40% - Énfasis5 2 2 4 2 2 3" xfId="8937"/>
    <cellStyle name="40% - Énfasis5 2 2 4 2 3" xfId="6495"/>
    <cellStyle name="40% - Énfasis5 2 2 4 2 3 2" xfId="8939"/>
    <cellStyle name="40% - Énfasis5 2 2 4 2 4" xfId="8936"/>
    <cellStyle name="40% - Énfasis5 2 2 4 3" xfId="3621"/>
    <cellStyle name="40% - Énfasis5 2 2 4 3 2" xfId="7477"/>
    <cellStyle name="40% - Énfasis5 2 2 4 3 2 2" xfId="8941"/>
    <cellStyle name="40% - Énfasis5 2 2 4 3 3" xfId="8940"/>
    <cellStyle name="40% - Énfasis5 2 2 4 4" xfId="5539"/>
    <cellStyle name="40% - Énfasis5 2 2 4 4 2" xfId="8942"/>
    <cellStyle name="40% - Énfasis5 2 2 4 5" xfId="8935"/>
    <cellStyle name="40% - Énfasis5 2 2 5" xfId="1864"/>
    <cellStyle name="40% - Énfasis5 2 2 5 2" xfId="3809"/>
    <cellStyle name="40% - Énfasis5 2 2 5 2 2" xfId="7662"/>
    <cellStyle name="40% - Énfasis5 2 2 5 2 2 2" xfId="8945"/>
    <cellStyle name="40% - Énfasis5 2 2 5 2 3" xfId="8944"/>
    <cellStyle name="40% - Énfasis5 2 2 5 3" xfId="5724"/>
    <cellStyle name="40% - Énfasis5 2 2 5 3 2" xfId="8946"/>
    <cellStyle name="40% - Énfasis5 2 2 5 4" xfId="8943"/>
    <cellStyle name="40% - Énfasis5 2 2 6" xfId="2848"/>
    <cellStyle name="40% - Énfasis5 2 2 6 2" xfId="6706"/>
    <cellStyle name="40% - Énfasis5 2 2 6 2 2" xfId="8948"/>
    <cellStyle name="40% - Énfasis5 2 2 6 3" xfId="8947"/>
    <cellStyle name="40% - Énfasis5 2 2 7" xfId="4768"/>
    <cellStyle name="40% - Énfasis5 2 2 7 2" xfId="8949"/>
    <cellStyle name="40% - Énfasis5 2 2 8" xfId="8918"/>
    <cellStyle name="40% - Énfasis5 2 3" xfId="1312"/>
    <cellStyle name="40% - Énfasis5 2 3 2" xfId="2283"/>
    <cellStyle name="40% - Énfasis5 2 3 2 2" xfId="4228"/>
    <cellStyle name="40% - Énfasis5 2 3 2 2 2" xfId="8081"/>
    <cellStyle name="40% - Énfasis5 2 3 2 2 2 2" xfId="8953"/>
    <cellStyle name="40% - Énfasis5 2 3 2 2 3" xfId="8952"/>
    <cellStyle name="40% - Énfasis5 2 3 2 3" xfId="6143"/>
    <cellStyle name="40% - Énfasis5 2 3 2 3 2" xfId="8954"/>
    <cellStyle name="40% - Énfasis5 2 3 2 4" xfId="8951"/>
    <cellStyle name="40% - Énfasis5 2 3 3" xfId="3267"/>
    <cellStyle name="40% - Énfasis5 2 3 3 2" xfId="7125"/>
    <cellStyle name="40% - Énfasis5 2 3 3 2 2" xfId="8956"/>
    <cellStyle name="40% - Énfasis5 2 3 3 3" xfId="8955"/>
    <cellStyle name="40% - Énfasis5 2 3 4" xfId="5187"/>
    <cellStyle name="40% - Énfasis5 2 3 4 2" xfId="8957"/>
    <cellStyle name="40% - Énfasis5 2 3 5" xfId="8950"/>
    <cellStyle name="40% - Énfasis5 2 4" xfId="1080"/>
    <cellStyle name="40% - Énfasis5 2 4 2" xfId="2051"/>
    <cellStyle name="40% - Énfasis5 2 4 2 2" xfId="3996"/>
    <cellStyle name="40% - Énfasis5 2 4 2 2 2" xfId="7849"/>
    <cellStyle name="40% - Énfasis5 2 4 2 2 2 2" xfId="8961"/>
    <cellStyle name="40% - Énfasis5 2 4 2 2 3" xfId="8960"/>
    <cellStyle name="40% - Énfasis5 2 4 2 3" xfId="5911"/>
    <cellStyle name="40% - Énfasis5 2 4 2 3 2" xfId="8962"/>
    <cellStyle name="40% - Énfasis5 2 4 2 4" xfId="8959"/>
    <cellStyle name="40% - Énfasis5 2 4 3" xfId="3035"/>
    <cellStyle name="40% - Énfasis5 2 4 3 2" xfId="6893"/>
    <cellStyle name="40% - Énfasis5 2 4 3 2 2" xfId="8964"/>
    <cellStyle name="40% - Énfasis5 2 4 3 3" xfId="8963"/>
    <cellStyle name="40% - Énfasis5 2 4 4" xfId="4955"/>
    <cellStyle name="40% - Énfasis5 2 4 4 2" xfId="8965"/>
    <cellStyle name="40% - Énfasis5 2 4 5" xfId="8958"/>
    <cellStyle name="40% - Énfasis5 2 5" xfId="1540"/>
    <cellStyle name="40% - Énfasis5 2 5 2" xfId="2506"/>
    <cellStyle name="40% - Énfasis5 2 5 2 2" xfId="4451"/>
    <cellStyle name="40% - Énfasis5 2 5 2 2 2" xfId="8304"/>
    <cellStyle name="40% - Énfasis5 2 5 2 2 2 2" xfId="8969"/>
    <cellStyle name="40% - Énfasis5 2 5 2 2 3" xfId="8968"/>
    <cellStyle name="40% - Énfasis5 2 5 2 3" xfId="6366"/>
    <cellStyle name="40% - Énfasis5 2 5 2 3 2" xfId="8970"/>
    <cellStyle name="40% - Énfasis5 2 5 2 4" xfId="8967"/>
    <cellStyle name="40% - Énfasis5 2 5 3" xfId="3492"/>
    <cellStyle name="40% - Énfasis5 2 5 3 2" xfId="7348"/>
    <cellStyle name="40% - Énfasis5 2 5 3 2 2" xfId="8972"/>
    <cellStyle name="40% - Énfasis5 2 5 3 3" xfId="8971"/>
    <cellStyle name="40% - Énfasis5 2 5 4" xfId="5410"/>
    <cellStyle name="40% - Énfasis5 2 5 4 2" xfId="8973"/>
    <cellStyle name="40% - Énfasis5 2 5 5" xfId="8966"/>
    <cellStyle name="40% - Énfasis5 2 6" xfId="1812"/>
    <cellStyle name="40% - Énfasis5 2 6 2" xfId="3758"/>
    <cellStyle name="40% - Énfasis5 2 6 2 2" xfId="7611"/>
    <cellStyle name="40% - Énfasis5 2 6 2 2 2" xfId="8976"/>
    <cellStyle name="40% - Énfasis5 2 6 2 3" xfId="8975"/>
    <cellStyle name="40% - Énfasis5 2 6 3" xfId="5673"/>
    <cellStyle name="40% - Énfasis5 2 6 3 2" xfId="8977"/>
    <cellStyle name="40% - Énfasis5 2 6 4" xfId="8974"/>
    <cellStyle name="40% - Énfasis5 2 7" xfId="2796"/>
    <cellStyle name="40% - Énfasis5 2 7 2" xfId="6655"/>
    <cellStyle name="40% - Énfasis5 2 7 2 2" xfId="8979"/>
    <cellStyle name="40% - Énfasis5 2 7 3" xfId="8978"/>
    <cellStyle name="40% - Énfasis5 2 8" xfId="4723"/>
    <cellStyle name="40% - Énfasis5 2 8 2" xfId="8980"/>
    <cellStyle name="40% - Énfasis5 2 9" xfId="8917"/>
    <cellStyle name="40% - Énfasis5 3" xfId="886"/>
    <cellStyle name="40% - Énfasis5 3 2" xfId="1434"/>
    <cellStyle name="40% - Énfasis5 3 2 2" xfId="2405"/>
    <cellStyle name="40% - Énfasis5 3 2 2 2" xfId="4350"/>
    <cellStyle name="40% - Énfasis5 3 2 2 2 2" xfId="8203"/>
    <cellStyle name="40% - Énfasis5 3 2 2 2 2 2" xfId="8985"/>
    <cellStyle name="40% - Énfasis5 3 2 2 2 3" xfId="8984"/>
    <cellStyle name="40% - Énfasis5 3 2 2 3" xfId="6265"/>
    <cellStyle name="40% - Énfasis5 3 2 2 3 2" xfId="8986"/>
    <cellStyle name="40% - Énfasis5 3 2 2 4" xfId="8983"/>
    <cellStyle name="40% - Énfasis5 3 2 3" xfId="3389"/>
    <cellStyle name="40% - Énfasis5 3 2 3 2" xfId="7247"/>
    <cellStyle name="40% - Énfasis5 3 2 3 2 2" xfId="8988"/>
    <cellStyle name="40% - Énfasis5 3 2 3 3" xfId="8987"/>
    <cellStyle name="40% - Énfasis5 3 2 4" xfId="5309"/>
    <cellStyle name="40% - Énfasis5 3 2 4 2" xfId="8989"/>
    <cellStyle name="40% - Énfasis5 3 2 5" xfId="8982"/>
    <cellStyle name="40% - Énfasis5 3 3" xfId="1126"/>
    <cellStyle name="40% - Énfasis5 3 3 2" xfId="2097"/>
    <cellStyle name="40% - Énfasis5 3 3 2 2" xfId="4042"/>
    <cellStyle name="40% - Énfasis5 3 3 2 2 2" xfId="7895"/>
    <cellStyle name="40% - Énfasis5 3 3 2 2 2 2" xfId="8993"/>
    <cellStyle name="40% - Énfasis5 3 3 2 2 3" xfId="8992"/>
    <cellStyle name="40% - Énfasis5 3 3 2 3" xfId="5957"/>
    <cellStyle name="40% - Énfasis5 3 3 2 3 2" xfId="8994"/>
    <cellStyle name="40% - Énfasis5 3 3 2 4" xfId="8991"/>
    <cellStyle name="40% - Énfasis5 3 3 3" xfId="3081"/>
    <cellStyle name="40% - Énfasis5 3 3 3 2" xfId="6939"/>
    <cellStyle name="40% - Énfasis5 3 3 3 2 2" xfId="8996"/>
    <cellStyle name="40% - Énfasis5 3 3 3 3" xfId="8995"/>
    <cellStyle name="40% - Énfasis5 3 3 4" xfId="5001"/>
    <cellStyle name="40% - Énfasis5 3 3 4 2" xfId="8997"/>
    <cellStyle name="40% - Énfasis5 3 3 5" xfId="8990"/>
    <cellStyle name="40% - Énfasis5 3 4" xfId="1695"/>
    <cellStyle name="40% - Énfasis5 3 4 2" xfId="2656"/>
    <cellStyle name="40% - Énfasis5 3 4 2 2" xfId="4601"/>
    <cellStyle name="40% - Énfasis5 3 4 2 2 2" xfId="8454"/>
    <cellStyle name="40% - Énfasis5 3 4 2 2 2 2" xfId="9001"/>
    <cellStyle name="40% - Énfasis5 3 4 2 2 3" xfId="9000"/>
    <cellStyle name="40% - Énfasis5 3 4 2 3" xfId="6516"/>
    <cellStyle name="40% - Énfasis5 3 4 2 3 2" xfId="9002"/>
    <cellStyle name="40% - Énfasis5 3 4 2 4" xfId="8999"/>
    <cellStyle name="40% - Énfasis5 3 4 3" xfId="3642"/>
    <cellStyle name="40% - Énfasis5 3 4 3 2" xfId="7498"/>
    <cellStyle name="40% - Énfasis5 3 4 3 2 2" xfId="9004"/>
    <cellStyle name="40% - Énfasis5 3 4 3 3" xfId="9003"/>
    <cellStyle name="40% - Énfasis5 3 4 4" xfId="5560"/>
    <cellStyle name="40% - Énfasis5 3 4 4 2" xfId="9005"/>
    <cellStyle name="40% - Énfasis5 3 4 5" xfId="8998"/>
    <cellStyle name="40% - Énfasis5 3 5" xfId="1865"/>
    <cellStyle name="40% - Énfasis5 3 5 2" xfId="3810"/>
    <cellStyle name="40% - Énfasis5 3 5 2 2" xfId="7663"/>
    <cellStyle name="40% - Énfasis5 3 5 2 2 2" xfId="9008"/>
    <cellStyle name="40% - Énfasis5 3 5 2 3" xfId="9007"/>
    <cellStyle name="40% - Énfasis5 3 5 3" xfId="5725"/>
    <cellStyle name="40% - Énfasis5 3 5 3 2" xfId="9009"/>
    <cellStyle name="40% - Énfasis5 3 5 4" xfId="9006"/>
    <cellStyle name="40% - Énfasis5 3 6" xfId="2849"/>
    <cellStyle name="40% - Énfasis5 3 6 2" xfId="6707"/>
    <cellStyle name="40% - Énfasis5 3 6 2 2" xfId="9011"/>
    <cellStyle name="40% - Énfasis5 3 6 3" xfId="9010"/>
    <cellStyle name="40% - Énfasis5 3 7" xfId="4769"/>
    <cellStyle name="40% - Énfasis5 3 7 2" xfId="9012"/>
    <cellStyle name="40% - Énfasis5 3 8" xfId="8981"/>
    <cellStyle name="40% - Énfasis5 4" xfId="1833"/>
    <cellStyle name="40% - Énfasis5 4 2" xfId="3779"/>
    <cellStyle name="40% - Énfasis5 4 2 2" xfId="7632"/>
    <cellStyle name="40% - Énfasis5 4 2 2 2" xfId="9015"/>
    <cellStyle name="40% - Énfasis5 4 2 3" xfId="9014"/>
    <cellStyle name="40% - Énfasis5 4 3" xfId="5694"/>
    <cellStyle name="40% - Énfasis5 4 3 2" xfId="9016"/>
    <cellStyle name="40% - Énfasis5 4 4" xfId="9013"/>
    <cellStyle name="40% - Énfasis5 5" xfId="2817"/>
    <cellStyle name="40% - Énfasis5 5 2" xfId="6676"/>
    <cellStyle name="40% - Énfasis5 5 2 2" xfId="9018"/>
    <cellStyle name="40% - Énfasis5 5 3" xfId="9017"/>
    <cellStyle name="40% - Énfasis6" xfId="854" builtinId="51"/>
    <cellStyle name="40% - Énfasis6 2" xfId="822"/>
    <cellStyle name="40% - Énfasis6 2 2" xfId="887"/>
    <cellStyle name="40% - Énfasis6 2 2 2" xfId="1414"/>
    <cellStyle name="40% - Énfasis6 2 2 2 2" xfId="2385"/>
    <cellStyle name="40% - Énfasis6 2 2 2 2 2" xfId="4330"/>
    <cellStyle name="40% - Énfasis6 2 2 2 2 2 2" xfId="8183"/>
    <cellStyle name="40% - Énfasis6 2 2 2 2 2 2 2" xfId="9024"/>
    <cellStyle name="40% - Énfasis6 2 2 2 2 2 3" xfId="9023"/>
    <cellStyle name="40% - Énfasis6 2 2 2 2 3" xfId="6245"/>
    <cellStyle name="40% - Énfasis6 2 2 2 2 3 2" xfId="9025"/>
    <cellStyle name="40% - Énfasis6 2 2 2 2 4" xfId="9022"/>
    <cellStyle name="40% - Énfasis6 2 2 2 3" xfId="3369"/>
    <cellStyle name="40% - Énfasis6 2 2 2 3 2" xfId="7227"/>
    <cellStyle name="40% - Énfasis6 2 2 2 3 2 2" xfId="9027"/>
    <cellStyle name="40% - Énfasis6 2 2 2 3 3" xfId="9026"/>
    <cellStyle name="40% - Énfasis6 2 2 2 4" xfId="5289"/>
    <cellStyle name="40% - Énfasis6 2 2 2 4 2" xfId="9028"/>
    <cellStyle name="40% - Énfasis6 2 2 2 5" xfId="9021"/>
    <cellStyle name="40% - Énfasis6 2 2 3" xfId="1127"/>
    <cellStyle name="40% - Énfasis6 2 2 3 2" xfId="2098"/>
    <cellStyle name="40% - Énfasis6 2 2 3 2 2" xfId="4043"/>
    <cellStyle name="40% - Énfasis6 2 2 3 2 2 2" xfId="7896"/>
    <cellStyle name="40% - Énfasis6 2 2 3 2 2 2 2" xfId="9032"/>
    <cellStyle name="40% - Énfasis6 2 2 3 2 2 3" xfId="9031"/>
    <cellStyle name="40% - Énfasis6 2 2 3 2 3" xfId="5958"/>
    <cellStyle name="40% - Énfasis6 2 2 3 2 3 2" xfId="9033"/>
    <cellStyle name="40% - Énfasis6 2 2 3 2 4" xfId="9030"/>
    <cellStyle name="40% - Énfasis6 2 2 3 3" xfId="3082"/>
    <cellStyle name="40% - Énfasis6 2 2 3 3 2" xfId="6940"/>
    <cellStyle name="40% - Énfasis6 2 2 3 3 2 2" xfId="9035"/>
    <cellStyle name="40% - Énfasis6 2 2 3 3 3" xfId="9034"/>
    <cellStyle name="40% - Énfasis6 2 2 3 4" xfId="5002"/>
    <cellStyle name="40% - Énfasis6 2 2 3 4 2" xfId="9036"/>
    <cellStyle name="40% - Énfasis6 2 2 3 5" xfId="9029"/>
    <cellStyle name="40% - Énfasis6 2 2 4" xfId="1675"/>
    <cellStyle name="40% - Énfasis6 2 2 4 2" xfId="2636"/>
    <cellStyle name="40% - Énfasis6 2 2 4 2 2" xfId="4581"/>
    <cellStyle name="40% - Énfasis6 2 2 4 2 2 2" xfId="8434"/>
    <cellStyle name="40% - Énfasis6 2 2 4 2 2 2 2" xfId="9040"/>
    <cellStyle name="40% - Énfasis6 2 2 4 2 2 3" xfId="9039"/>
    <cellStyle name="40% - Énfasis6 2 2 4 2 3" xfId="6496"/>
    <cellStyle name="40% - Énfasis6 2 2 4 2 3 2" xfId="9041"/>
    <cellStyle name="40% - Énfasis6 2 2 4 2 4" xfId="9038"/>
    <cellStyle name="40% - Énfasis6 2 2 4 3" xfId="3622"/>
    <cellStyle name="40% - Énfasis6 2 2 4 3 2" xfId="7478"/>
    <cellStyle name="40% - Énfasis6 2 2 4 3 2 2" xfId="9043"/>
    <cellStyle name="40% - Énfasis6 2 2 4 3 3" xfId="9042"/>
    <cellStyle name="40% - Énfasis6 2 2 4 4" xfId="5540"/>
    <cellStyle name="40% - Énfasis6 2 2 4 4 2" xfId="9044"/>
    <cellStyle name="40% - Énfasis6 2 2 4 5" xfId="9037"/>
    <cellStyle name="40% - Énfasis6 2 2 5" xfId="1866"/>
    <cellStyle name="40% - Énfasis6 2 2 5 2" xfId="3811"/>
    <cellStyle name="40% - Énfasis6 2 2 5 2 2" xfId="7664"/>
    <cellStyle name="40% - Énfasis6 2 2 5 2 2 2" xfId="9047"/>
    <cellStyle name="40% - Énfasis6 2 2 5 2 3" xfId="9046"/>
    <cellStyle name="40% - Énfasis6 2 2 5 3" xfId="5726"/>
    <cellStyle name="40% - Énfasis6 2 2 5 3 2" xfId="9048"/>
    <cellStyle name="40% - Énfasis6 2 2 5 4" xfId="9045"/>
    <cellStyle name="40% - Énfasis6 2 2 6" xfId="2850"/>
    <cellStyle name="40% - Énfasis6 2 2 6 2" xfId="6708"/>
    <cellStyle name="40% - Énfasis6 2 2 6 2 2" xfId="9050"/>
    <cellStyle name="40% - Énfasis6 2 2 6 3" xfId="9049"/>
    <cellStyle name="40% - Énfasis6 2 2 7" xfId="4770"/>
    <cellStyle name="40% - Énfasis6 2 2 7 2" xfId="9051"/>
    <cellStyle name="40% - Énfasis6 2 2 8" xfId="9020"/>
    <cellStyle name="40% - Énfasis6 2 3" xfId="1313"/>
    <cellStyle name="40% - Énfasis6 2 3 2" xfId="2284"/>
    <cellStyle name="40% - Énfasis6 2 3 2 2" xfId="4229"/>
    <cellStyle name="40% - Énfasis6 2 3 2 2 2" xfId="8082"/>
    <cellStyle name="40% - Énfasis6 2 3 2 2 2 2" xfId="9055"/>
    <cellStyle name="40% - Énfasis6 2 3 2 2 3" xfId="9054"/>
    <cellStyle name="40% - Énfasis6 2 3 2 3" xfId="6144"/>
    <cellStyle name="40% - Énfasis6 2 3 2 3 2" xfId="9056"/>
    <cellStyle name="40% - Énfasis6 2 3 2 4" xfId="9053"/>
    <cellStyle name="40% - Énfasis6 2 3 3" xfId="3268"/>
    <cellStyle name="40% - Énfasis6 2 3 3 2" xfId="7126"/>
    <cellStyle name="40% - Énfasis6 2 3 3 2 2" xfId="9058"/>
    <cellStyle name="40% - Énfasis6 2 3 3 3" xfId="9057"/>
    <cellStyle name="40% - Énfasis6 2 3 4" xfId="5188"/>
    <cellStyle name="40% - Énfasis6 2 3 4 2" xfId="9059"/>
    <cellStyle name="40% - Énfasis6 2 3 5" xfId="9052"/>
    <cellStyle name="40% - Énfasis6 2 4" xfId="1081"/>
    <cellStyle name="40% - Énfasis6 2 4 2" xfId="2052"/>
    <cellStyle name="40% - Énfasis6 2 4 2 2" xfId="3997"/>
    <cellStyle name="40% - Énfasis6 2 4 2 2 2" xfId="7850"/>
    <cellStyle name="40% - Énfasis6 2 4 2 2 2 2" xfId="9063"/>
    <cellStyle name="40% - Énfasis6 2 4 2 2 3" xfId="9062"/>
    <cellStyle name="40% - Énfasis6 2 4 2 3" xfId="5912"/>
    <cellStyle name="40% - Énfasis6 2 4 2 3 2" xfId="9064"/>
    <cellStyle name="40% - Énfasis6 2 4 2 4" xfId="9061"/>
    <cellStyle name="40% - Énfasis6 2 4 3" xfId="3036"/>
    <cellStyle name="40% - Énfasis6 2 4 3 2" xfId="6894"/>
    <cellStyle name="40% - Énfasis6 2 4 3 2 2" xfId="9066"/>
    <cellStyle name="40% - Énfasis6 2 4 3 3" xfId="9065"/>
    <cellStyle name="40% - Énfasis6 2 4 4" xfId="4956"/>
    <cellStyle name="40% - Énfasis6 2 4 4 2" xfId="9067"/>
    <cellStyle name="40% - Énfasis6 2 4 5" xfId="9060"/>
    <cellStyle name="40% - Énfasis6 2 5" xfId="1541"/>
    <cellStyle name="40% - Énfasis6 2 5 2" xfId="2507"/>
    <cellStyle name="40% - Énfasis6 2 5 2 2" xfId="4452"/>
    <cellStyle name="40% - Énfasis6 2 5 2 2 2" xfId="8305"/>
    <cellStyle name="40% - Énfasis6 2 5 2 2 2 2" xfId="9071"/>
    <cellStyle name="40% - Énfasis6 2 5 2 2 3" xfId="9070"/>
    <cellStyle name="40% - Énfasis6 2 5 2 3" xfId="6367"/>
    <cellStyle name="40% - Énfasis6 2 5 2 3 2" xfId="9072"/>
    <cellStyle name="40% - Énfasis6 2 5 2 4" xfId="9069"/>
    <cellStyle name="40% - Énfasis6 2 5 3" xfId="3493"/>
    <cellStyle name="40% - Énfasis6 2 5 3 2" xfId="7349"/>
    <cellStyle name="40% - Énfasis6 2 5 3 2 2" xfId="9074"/>
    <cellStyle name="40% - Énfasis6 2 5 3 3" xfId="9073"/>
    <cellStyle name="40% - Énfasis6 2 5 4" xfId="5411"/>
    <cellStyle name="40% - Énfasis6 2 5 4 2" xfId="9075"/>
    <cellStyle name="40% - Énfasis6 2 5 5" xfId="9068"/>
    <cellStyle name="40% - Énfasis6 2 6" xfId="1813"/>
    <cellStyle name="40% - Énfasis6 2 6 2" xfId="3759"/>
    <cellStyle name="40% - Énfasis6 2 6 2 2" xfId="7612"/>
    <cellStyle name="40% - Énfasis6 2 6 2 2 2" xfId="9078"/>
    <cellStyle name="40% - Énfasis6 2 6 2 3" xfId="9077"/>
    <cellStyle name="40% - Énfasis6 2 6 3" xfId="5674"/>
    <cellStyle name="40% - Énfasis6 2 6 3 2" xfId="9079"/>
    <cellStyle name="40% - Énfasis6 2 6 4" xfId="9076"/>
    <cellStyle name="40% - Énfasis6 2 7" xfId="2797"/>
    <cellStyle name="40% - Énfasis6 2 7 2" xfId="6656"/>
    <cellStyle name="40% - Énfasis6 2 7 2 2" xfId="9081"/>
    <cellStyle name="40% - Énfasis6 2 7 3" xfId="9080"/>
    <cellStyle name="40% - Énfasis6 2 8" xfId="4724"/>
    <cellStyle name="40% - Énfasis6 2 8 2" xfId="9082"/>
    <cellStyle name="40% - Énfasis6 2 9" xfId="9019"/>
    <cellStyle name="40% - Énfasis6 3" xfId="888"/>
    <cellStyle name="40% - Énfasis6 3 2" xfId="1435"/>
    <cellStyle name="40% - Énfasis6 3 2 2" xfId="2406"/>
    <cellStyle name="40% - Énfasis6 3 2 2 2" xfId="4351"/>
    <cellStyle name="40% - Énfasis6 3 2 2 2 2" xfId="8204"/>
    <cellStyle name="40% - Énfasis6 3 2 2 2 2 2" xfId="9087"/>
    <cellStyle name="40% - Énfasis6 3 2 2 2 3" xfId="9086"/>
    <cellStyle name="40% - Énfasis6 3 2 2 3" xfId="6266"/>
    <cellStyle name="40% - Énfasis6 3 2 2 3 2" xfId="9088"/>
    <cellStyle name="40% - Énfasis6 3 2 2 4" xfId="9085"/>
    <cellStyle name="40% - Énfasis6 3 2 3" xfId="3390"/>
    <cellStyle name="40% - Énfasis6 3 2 3 2" xfId="7248"/>
    <cellStyle name="40% - Énfasis6 3 2 3 2 2" xfId="9090"/>
    <cellStyle name="40% - Énfasis6 3 2 3 3" xfId="9089"/>
    <cellStyle name="40% - Énfasis6 3 2 4" xfId="5310"/>
    <cellStyle name="40% - Énfasis6 3 2 4 2" xfId="9091"/>
    <cellStyle name="40% - Énfasis6 3 2 5" xfId="9084"/>
    <cellStyle name="40% - Énfasis6 3 3" xfId="1128"/>
    <cellStyle name="40% - Énfasis6 3 3 2" xfId="2099"/>
    <cellStyle name="40% - Énfasis6 3 3 2 2" xfId="4044"/>
    <cellStyle name="40% - Énfasis6 3 3 2 2 2" xfId="7897"/>
    <cellStyle name="40% - Énfasis6 3 3 2 2 2 2" xfId="9095"/>
    <cellStyle name="40% - Énfasis6 3 3 2 2 3" xfId="9094"/>
    <cellStyle name="40% - Énfasis6 3 3 2 3" xfId="5959"/>
    <cellStyle name="40% - Énfasis6 3 3 2 3 2" xfId="9096"/>
    <cellStyle name="40% - Énfasis6 3 3 2 4" xfId="9093"/>
    <cellStyle name="40% - Énfasis6 3 3 3" xfId="3083"/>
    <cellStyle name="40% - Énfasis6 3 3 3 2" xfId="6941"/>
    <cellStyle name="40% - Énfasis6 3 3 3 2 2" xfId="9098"/>
    <cellStyle name="40% - Énfasis6 3 3 3 3" xfId="9097"/>
    <cellStyle name="40% - Énfasis6 3 3 4" xfId="5003"/>
    <cellStyle name="40% - Énfasis6 3 3 4 2" xfId="9099"/>
    <cellStyle name="40% - Énfasis6 3 3 5" xfId="9092"/>
    <cellStyle name="40% - Énfasis6 3 4" xfId="1696"/>
    <cellStyle name="40% - Énfasis6 3 4 2" xfId="2657"/>
    <cellStyle name="40% - Énfasis6 3 4 2 2" xfId="4602"/>
    <cellStyle name="40% - Énfasis6 3 4 2 2 2" xfId="8455"/>
    <cellStyle name="40% - Énfasis6 3 4 2 2 2 2" xfId="9103"/>
    <cellStyle name="40% - Énfasis6 3 4 2 2 3" xfId="9102"/>
    <cellStyle name="40% - Énfasis6 3 4 2 3" xfId="6517"/>
    <cellStyle name="40% - Énfasis6 3 4 2 3 2" xfId="9104"/>
    <cellStyle name="40% - Énfasis6 3 4 2 4" xfId="9101"/>
    <cellStyle name="40% - Énfasis6 3 4 3" xfId="3643"/>
    <cellStyle name="40% - Énfasis6 3 4 3 2" xfId="7499"/>
    <cellStyle name="40% - Énfasis6 3 4 3 2 2" xfId="9106"/>
    <cellStyle name="40% - Énfasis6 3 4 3 3" xfId="9105"/>
    <cellStyle name="40% - Énfasis6 3 4 4" xfId="5561"/>
    <cellStyle name="40% - Énfasis6 3 4 4 2" xfId="9107"/>
    <cellStyle name="40% - Énfasis6 3 4 5" xfId="9100"/>
    <cellStyle name="40% - Énfasis6 3 5" xfId="1867"/>
    <cellStyle name="40% - Énfasis6 3 5 2" xfId="3812"/>
    <cellStyle name="40% - Énfasis6 3 5 2 2" xfId="7665"/>
    <cellStyle name="40% - Énfasis6 3 5 2 2 2" xfId="9110"/>
    <cellStyle name="40% - Énfasis6 3 5 2 3" xfId="9109"/>
    <cellStyle name="40% - Énfasis6 3 5 3" xfId="5727"/>
    <cellStyle name="40% - Énfasis6 3 5 3 2" xfId="9111"/>
    <cellStyle name="40% - Énfasis6 3 5 4" xfId="9108"/>
    <cellStyle name="40% - Énfasis6 3 6" xfId="2851"/>
    <cellStyle name="40% - Énfasis6 3 6 2" xfId="6709"/>
    <cellStyle name="40% - Énfasis6 3 6 2 2" xfId="9113"/>
    <cellStyle name="40% - Énfasis6 3 6 3" xfId="9112"/>
    <cellStyle name="40% - Énfasis6 3 7" xfId="4771"/>
    <cellStyle name="40% - Énfasis6 3 7 2" xfId="9114"/>
    <cellStyle name="40% - Énfasis6 3 8" xfId="9083"/>
    <cellStyle name="40% - Énfasis6 4" xfId="1834"/>
    <cellStyle name="40% - Énfasis6 4 2" xfId="3780"/>
    <cellStyle name="40% - Énfasis6 4 2 2" xfId="7633"/>
    <cellStyle name="40% - Énfasis6 4 2 2 2" xfId="9117"/>
    <cellStyle name="40% - Énfasis6 4 2 3" xfId="9116"/>
    <cellStyle name="40% - Énfasis6 4 3" xfId="5695"/>
    <cellStyle name="40% - Énfasis6 4 3 2" xfId="9118"/>
    <cellStyle name="40% - Énfasis6 4 4" xfId="9115"/>
    <cellStyle name="40% - Énfasis6 5" xfId="2818"/>
    <cellStyle name="40% - Énfasis6 5 2" xfId="6677"/>
    <cellStyle name="40% - Énfasis6 5 2 2" xfId="9120"/>
    <cellStyle name="40% - Énfasis6 5 3" xfId="9119"/>
    <cellStyle name="Celda de comprobación" xfId="848" builtinId="23"/>
    <cellStyle name="Comma 2" xfId="1"/>
    <cellStyle name="Currency 2" xfId="2"/>
    <cellStyle name="Currency 2 2" xfId="3"/>
    <cellStyle name="Currency 2 2 2" xfId="4"/>
    <cellStyle name="Currency 2 2 3" xfId="5"/>
    <cellStyle name="Currency 2 3" xfId="6"/>
    <cellStyle name="Currency 2 3 2" xfId="7"/>
    <cellStyle name="Currency 2 4" xfId="8"/>
    <cellStyle name="Currency 2 5" xfId="9"/>
    <cellStyle name="Currency 2 6" xfId="10"/>
    <cellStyle name="Currency 2 6 2" xfId="11"/>
    <cellStyle name="Currency 2 7" xfId="12"/>
    <cellStyle name="Currency 2 7 2" xfId="13"/>
    <cellStyle name="Currency 2 8" xfId="14"/>
    <cellStyle name="Currency 2 9" xfId="15"/>
    <cellStyle name="Currency 3" xfId="16"/>
    <cellStyle name="Estilo 1" xfId="17"/>
    <cellStyle name="Millares [0] 2" xfId="18"/>
    <cellStyle name="Millares [0] 2 2" xfId="838"/>
    <cellStyle name="Millares [0] 2 2 2" xfId="9122"/>
    <cellStyle name="Millares [0] 2 3" xfId="9121"/>
    <cellStyle name="Millares [0] 3" xfId="597"/>
    <cellStyle name="Millares [0] 3 2" xfId="9123"/>
    <cellStyle name="Millares 10" xfId="827"/>
    <cellStyle name="Millares 10 2" xfId="889"/>
    <cellStyle name="Millares 10 2 2" xfId="1416"/>
    <cellStyle name="Millares 10 2 2 2" xfId="2387"/>
    <cellStyle name="Millares 10 2 2 2 2" xfId="4332"/>
    <cellStyle name="Millares 10 2 2 2 2 2" xfId="8185"/>
    <cellStyle name="Millares 10 2 2 2 2 2 2" xfId="9129"/>
    <cellStyle name="Millares 10 2 2 2 2 3" xfId="9128"/>
    <cellStyle name="Millares 10 2 2 2 3" xfId="6247"/>
    <cellStyle name="Millares 10 2 2 2 3 2" xfId="9130"/>
    <cellStyle name="Millares 10 2 2 2 4" xfId="9127"/>
    <cellStyle name="Millares 10 2 2 3" xfId="3371"/>
    <cellStyle name="Millares 10 2 2 3 2" xfId="7229"/>
    <cellStyle name="Millares 10 2 2 3 2 2" xfId="9132"/>
    <cellStyle name="Millares 10 2 2 3 3" xfId="9131"/>
    <cellStyle name="Millares 10 2 2 4" xfId="5291"/>
    <cellStyle name="Millares 10 2 2 4 2" xfId="9133"/>
    <cellStyle name="Millares 10 2 2 5" xfId="9126"/>
    <cellStyle name="Millares 10 2 3" xfId="1129"/>
    <cellStyle name="Millares 10 2 3 2" xfId="2100"/>
    <cellStyle name="Millares 10 2 3 2 2" xfId="4045"/>
    <cellStyle name="Millares 10 2 3 2 2 2" xfId="7898"/>
    <cellStyle name="Millares 10 2 3 2 2 2 2" xfId="9137"/>
    <cellStyle name="Millares 10 2 3 2 2 3" xfId="9136"/>
    <cellStyle name="Millares 10 2 3 2 3" xfId="5960"/>
    <cellStyle name="Millares 10 2 3 2 3 2" xfId="9138"/>
    <cellStyle name="Millares 10 2 3 2 4" xfId="9135"/>
    <cellStyle name="Millares 10 2 3 3" xfId="3084"/>
    <cellStyle name="Millares 10 2 3 3 2" xfId="6942"/>
    <cellStyle name="Millares 10 2 3 3 2 2" xfId="9140"/>
    <cellStyle name="Millares 10 2 3 3 3" xfId="9139"/>
    <cellStyle name="Millares 10 2 3 4" xfId="5004"/>
    <cellStyle name="Millares 10 2 3 4 2" xfId="9141"/>
    <cellStyle name="Millares 10 2 3 5" xfId="9134"/>
    <cellStyle name="Millares 10 2 4" xfId="1677"/>
    <cellStyle name="Millares 10 2 4 2" xfId="2638"/>
    <cellStyle name="Millares 10 2 4 2 2" xfId="4583"/>
    <cellStyle name="Millares 10 2 4 2 2 2" xfId="8436"/>
    <cellStyle name="Millares 10 2 4 2 2 2 2" xfId="9145"/>
    <cellStyle name="Millares 10 2 4 2 2 3" xfId="9144"/>
    <cellStyle name="Millares 10 2 4 2 3" xfId="6498"/>
    <cellStyle name="Millares 10 2 4 2 3 2" xfId="9146"/>
    <cellStyle name="Millares 10 2 4 2 4" xfId="9143"/>
    <cellStyle name="Millares 10 2 4 3" xfId="3624"/>
    <cellStyle name="Millares 10 2 4 3 2" xfId="7480"/>
    <cellStyle name="Millares 10 2 4 3 2 2" xfId="9148"/>
    <cellStyle name="Millares 10 2 4 3 3" xfId="9147"/>
    <cellStyle name="Millares 10 2 4 4" xfId="5542"/>
    <cellStyle name="Millares 10 2 4 4 2" xfId="9149"/>
    <cellStyle name="Millares 10 2 4 5" xfId="9142"/>
    <cellStyle name="Millares 10 2 5" xfId="1868"/>
    <cellStyle name="Millares 10 2 5 2" xfId="3813"/>
    <cellStyle name="Millares 10 2 5 2 2" xfId="7666"/>
    <cellStyle name="Millares 10 2 5 2 2 2" xfId="9152"/>
    <cellStyle name="Millares 10 2 5 2 3" xfId="9151"/>
    <cellStyle name="Millares 10 2 5 3" xfId="5728"/>
    <cellStyle name="Millares 10 2 5 3 2" xfId="9153"/>
    <cellStyle name="Millares 10 2 5 4" xfId="9150"/>
    <cellStyle name="Millares 10 2 6" xfId="2852"/>
    <cellStyle name="Millares 10 2 6 2" xfId="6710"/>
    <cellStyle name="Millares 10 2 6 2 2" xfId="9155"/>
    <cellStyle name="Millares 10 2 6 3" xfId="9154"/>
    <cellStyle name="Millares 10 2 7" xfId="4772"/>
    <cellStyle name="Millares 10 2 7 2" xfId="9156"/>
    <cellStyle name="Millares 10 2 8" xfId="9125"/>
    <cellStyle name="Millares 10 3" xfId="1315"/>
    <cellStyle name="Millares 10 3 2" xfId="2286"/>
    <cellStyle name="Millares 10 3 2 2" xfId="4231"/>
    <cellStyle name="Millares 10 3 2 2 2" xfId="8084"/>
    <cellStyle name="Millares 10 3 2 2 2 2" xfId="9160"/>
    <cellStyle name="Millares 10 3 2 2 3" xfId="9159"/>
    <cellStyle name="Millares 10 3 2 3" xfId="6146"/>
    <cellStyle name="Millares 10 3 2 3 2" xfId="9161"/>
    <cellStyle name="Millares 10 3 2 4" xfId="9158"/>
    <cellStyle name="Millares 10 3 3" xfId="3270"/>
    <cellStyle name="Millares 10 3 3 2" xfId="7128"/>
    <cellStyle name="Millares 10 3 3 2 2" xfId="9163"/>
    <cellStyle name="Millares 10 3 3 3" xfId="9162"/>
    <cellStyle name="Millares 10 3 4" xfId="5190"/>
    <cellStyle name="Millares 10 3 4 2" xfId="9164"/>
    <cellStyle name="Millares 10 3 5" xfId="9157"/>
    <cellStyle name="Millares 10 4" xfId="1083"/>
    <cellStyle name="Millares 10 4 2" xfId="2054"/>
    <cellStyle name="Millares 10 4 2 2" xfId="3999"/>
    <cellStyle name="Millares 10 4 2 2 2" xfId="7852"/>
    <cellStyle name="Millares 10 4 2 2 2 2" xfId="9168"/>
    <cellStyle name="Millares 10 4 2 2 3" xfId="9167"/>
    <cellStyle name="Millares 10 4 2 3" xfId="5914"/>
    <cellStyle name="Millares 10 4 2 3 2" xfId="9169"/>
    <cellStyle name="Millares 10 4 2 4" xfId="9166"/>
    <cellStyle name="Millares 10 4 3" xfId="3038"/>
    <cellStyle name="Millares 10 4 3 2" xfId="6896"/>
    <cellStyle name="Millares 10 4 3 2 2" xfId="9171"/>
    <cellStyle name="Millares 10 4 3 3" xfId="9170"/>
    <cellStyle name="Millares 10 4 4" xfId="4958"/>
    <cellStyle name="Millares 10 4 4 2" xfId="9172"/>
    <cellStyle name="Millares 10 4 5" xfId="9165"/>
    <cellStyle name="Millares 10 5" xfId="1499"/>
    <cellStyle name="Millares 10 5 2" xfId="2468"/>
    <cellStyle name="Millares 10 5 2 2" xfId="4413"/>
    <cellStyle name="Millares 10 5 2 2 2" xfId="8266"/>
    <cellStyle name="Millares 10 5 2 2 2 2" xfId="9176"/>
    <cellStyle name="Millares 10 5 2 2 3" xfId="9175"/>
    <cellStyle name="Millares 10 5 2 3" xfId="6328"/>
    <cellStyle name="Millares 10 5 2 3 2" xfId="9177"/>
    <cellStyle name="Millares 10 5 2 4" xfId="9174"/>
    <cellStyle name="Millares 10 5 3" xfId="3452"/>
    <cellStyle name="Millares 10 5 3 2" xfId="7310"/>
    <cellStyle name="Millares 10 5 3 2 2" xfId="9179"/>
    <cellStyle name="Millares 10 5 3 3" xfId="9178"/>
    <cellStyle name="Millares 10 5 4" xfId="5372"/>
    <cellStyle name="Millares 10 5 4 2" xfId="9180"/>
    <cellStyle name="Millares 10 5 5" xfId="9173"/>
    <cellStyle name="Millares 10 6" xfId="1815"/>
    <cellStyle name="Millares 10 6 2" xfId="3761"/>
    <cellStyle name="Millares 10 6 2 2" xfId="7614"/>
    <cellStyle name="Millares 10 6 2 2 2" xfId="9183"/>
    <cellStyle name="Millares 10 6 2 3" xfId="9182"/>
    <cellStyle name="Millares 10 6 3" xfId="5676"/>
    <cellStyle name="Millares 10 6 3 2" xfId="9184"/>
    <cellStyle name="Millares 10 6 4" xfId="9181"/>
    <cellStyle name="Millares 10 7" xfId="2799"/>
    <cellStyle name="Millares 10 7 2" xfId="6658"/>
    <cellStyle name="Millares 10 7 2 2" xfId="9186"/>
    <cellStyle name="Millares 10 7 3" xfId="9185"/>
    <cellStyle name="Millares 10 8" xfId="4726"/>
    <cellStyle name="Millares 10 8 2" xfId="9187"/>
    <cellStyle name="Millares 10 9" xfId="9124"/>
    <cellStyle name="Millares 11" xfId="1471"/>
    <cellStyle name="Millares 11 2" xfId="9188"/>
    <cellStyle name="Millares 12" xfId="1016"/>
    <cellStyle name="Millares 12 2" xfId="9189"/>
    <cellStyle name="Millares 13" xfId="1060"/>
    <cellStyle name="Millares 13 2" xfId="9190"/>
    <cellStyle name="Millares 14" xfId="1029"/>
    <cellStyle name="Millares 14 2" xfId="9191"/>
    <cellStyle name="Millares 15" xfId="1724"/>
    <cellStyle name="Millares 15 2" xfId="3671"/>
    <cellStyle name="Millares 15 2 2" xfId="9193"/>
    <cellStyle name="Millares 15 3" xfId="9192"/>
    <cellStyle name="Millares 16" xfId="1734"/>
    <cellStyle name="Millares 16 2" xfId="3681"/>
    <cellStyle name="Millares 16 2 2" xfId="9195"/>
    <cellStyle name="Millares 16 3" xfId="9194"/>
    <cellStyle name="Millares 17" xfId="1556"/>
    <cellStyle name="Millares 17 2" xfId="9196"/>
    <cellStyle name="Millares 18" xfId="1581"/>
    <cellStyle name="Millares 18 2" xfId="9197"/>
    <cellStyle name="Millares 19" xfId="1854"/>
    <cellStyle name="Millares 19 2" xfId="9198"/>
    <cellStyle name="Millares 2" xfId="19"/>
    <cellStyle name="Millares 2 10" xfId="4652"/>
    <cellStyle name="Millares 2 10 2" xfId="9200"/>
    <cellStyle name="Millares 2 11" xfId="9199"/>
    <cellStyle name="Millares 2 2" xfId="20"/>
    <cellStyle name="Millares 2 2 10" xfId="4653"/>
    <cellStyle name="Millares 2 2 10 2" xfId="9202"/>
    <cellStyle name="Millares 2 2 11" xfId="9201"/>
    <cellStyle name="Millares 2 2 2" xfId="21"/>
    <cellStyle name="Millares 2 2 2 10" xfId="9203"/>
    <cellStyle name="Millares 2 2 2 2" xfId="789"/>
    <cellStyle name="Millares 2 2 2 2 2" xfId="890"/>
    <cellStyle name="Millares 2 2 2 2 2 2" xfId="1406"/>
    <cellStyle name="Millares 2 2 2 2 2 2 2" xfId="2377"/>
    <cellStyle name="Millares 2 2 2 2 2 2 2 2" xfId="4322"/>
    <cellStyle name="Millares 2 2 2 2 2 2 2 2 2" xfId="8175"/>
    <cellStyle name="Millares 2 2 2 2 2 2 2 2 2 2" xfId="9209"/>
    <cellStyle name="Millares 2 2 2 2 2 2 2 2 3" xfId="9208"/>
    <cellStyle name="Millares 2 2 2 2 2 2 2 3" xfId="6237"/>
    <cellStyle name="Millares 2 2 2 2 2 2 2 3 2" xfId="9210"/>
    <cellStyle name="Millares 2 2 2 2 2 2 2 4" xfId="9207"/>
    <cellStyle name="Millares 2 2 2 2 2 2 3" xfId="3361"/>
    <cellStyle name="Millares 2 2 2 2 2 2 3 2" xfId="7219"/>
    <cellStyle name="Millares 2 2 2 2 2 2 3 2 2" xfId="9212"/>
    <cellStyle name="Millares 2 2 2 2 2 2 3 3" xfId="9211"/>
    <cellStyle name="Millares 2 2 2 2 2 2 4" xfId="5281"/>
    <cellStyle name="Millares 2 2 2 2 2 2 4 2" xfId="9213"/>
    <cellStyle name="Millares 2 2 2 2 2 2 5" xfId="9206"/>
    <cellStyle name="Millares 2 2 2 2 2 3" xfId="1130"/>
    <cellStyle name="Millares 2 2 2 2 2 3 2" xfId="2101"/>
    <cellStyle name="Millares 2 2 2 2 2 3 2 2" xfId="4046"/>
    <cellStyle name="Millares 2 2 2 2 2 3 2 2 2" xfId="7899"/>
    <cellStyle name="Millares 2 2 2 2 2 3 2 2 2 2" xfId="9217"/>
    <cellStyle name="Millares 2 2 2 2 2 3 2 2 3" xfId="9216"/>
    <cellStyle name="Millares 2 2 2 2 2 3 2 3" xfId="5961"/>
    <cellStyle name="Millares 2 2 2 2 2 3 2 3 2" xfId="9218"/>
    <cellStyle name="Millares 2 2 2 2 2 3 2 4" xfId="9215"/>
    <cellStyle name="Millares 2 2 2 2 2 3 3" xfId="3085"/>
    <cellStyle name="Millares 2 2 2 2 2 3 3 2" xfId="6943"/>
    <cellStyle name="Millares 2 2 2 2 2 3 3 2 2" xfId="9220"/>
    <cellStyle name="Millares 2 2 2 2 2 3 3 3" xfId="9219"/>
    <cellStyle name="Millares 2 2 2 2 2 3 4" xfId="5005"/>
    <cellStyle name="Millares 2 2 2 2 2 3 4 2" xfId="9221"/>
    <cellStyle name="Millares 2 2 2 2 2 3 5" xfId="9214"/>
    <cellStyle name="Millares 2 2 2 2 2 4" xfId="1667"/>
    <cellStyle name="Millares 2 2 2 2 2 4 2" xfId="2628"/>
    <cellStyle name="Millares 2 2 2 2 2 4 2 2" xfId="4573"/>
    <cellStyle name="Millares 2 2 2 2 2 4 2 2 2" xfId="8426"/>
    <cellStyle name="Millares 2 2 2 2 2 4 2 2 2 2" xfId="9225"/>
    <cellStyle name="Millares 2 2 2 2 2 4 2 2 3" xfId="9224"/>
    <cellStyle name="Millares 2 2 2 2 2 4 2 3" xfId="6488"/>
    <cellStyle name="Millares 2 2 2 2 2 4 2 3 2" xfId="9226"/>
    <cellStyle name="Millares 2 2 2 2 2 4 2 4" xfId="9223"/>
    <cellStyle name="Millares 2 2 2 2 2 4 3" xfId="3614"/>
    <cellStyle name="Millares 2 2 2 2 2 4 3 2" xfId="7470"/>
    <cellStyle name="Millares 2 2 2 2 2 4 3 2 2" xfId="9228"/>
    <cellStyle name="Millares 2 2 2 2 2 4 3 3" xfId="9227"/>
    <cellStyle name="Millares 2 2 2 2 2 4 4" xfId="5532"/>
    <cellStyle name="Millares 2 2 2 2 2 4 4 2" xfId="9229"/>
    <cellStyle name="Millares 2 2 2 2 2 4 5" xfId="9222"/>
    <cellStyle name="Millares 2 2 2 2 2 5" xfId="1869"/>
    <cellStyle name="Millares 2 2 2 2 2 5 2" xfId="3814"/>
    <cellStyle name="Millares 2 2 2 2 2 5 2 2" xfId="7667"/>
    <cellStyle name="Millares 2 2 2 2 2 5 2 2 2" xfId="9232"/>
    <cellStyle name="Millares 2 2 2 2 2 5 2 3" xfId="9231"/>
    <cellStyle name="Millares 2 2 2 2 2 5 3" xfId="5729"/>
    <cellStyle name="Millares 2 2 2 2 2 5 3 2" xfId="9233"/>
    <cellStyle name="Millares 2 2 2 2 2 5 4" xfId="9230"/>
    <cellStyle name="Millares 2 2 2 2 2 6" xfId="2853"/>
    <cellStyle name="Millares 2 2 2 2 2 6 2" xfId="6711"/>
    <cellStyle name="Millares 2 2 2 2 2 6 2 2" xfId="9235"/>
    <cellStyle name="Millares 2 2 2 2 2 6 3" xfId="9234"/>
    <cellStyle name="Millares 2 2 2 2 2 7" xfId="4773"/>
    <cellStyle name="Millares 2 2 2 2 2 7 2" xfId="9236"/>
    <cellStyle name="Millares 2 2 2 2 2 8" xfId="9205"/>
    <cellStyle name="Millares 2 2 2 2 3" xfId="1305"/>
    <cellStyle name="Millares 2 2 2 2 3 2" xfId="2276"/>
    <cellStyle name="Millares 2 2 2 2 3 2 2" xfId="4221"/>
    <cellStyle name="Millares 2 2 2 2 3 2 2 2" xfId="8074"/>
    <cellStyle name="Millares 2 2 2 2 3 2 2 2 2" xfId="9240"/>
    <cellStyle name="Millares 2 2 2 2 3 2 2 3" xfId="9239"/>
    <cellStyle name="Millares 2 2 2 2 3 2 3" xfId="6136"/>
    <cellStyle name="Millares 2 2 2 2 3 2 3 2" xfId="9241"/>
    <cellStyle name="Millares 2 2 2 2 3 2 4" xfId="9238"/>
    <cellStyle name="Millares 2 2 2 2 3 3" xfId="3260"/>
    <cellStyle name="Millares 2 2 2 2 3 3 2" xfId="7118"/>
    <cellStyle name="Millares 2 2 2 2 3 3 2 2" xfId="9243"/>
    <cellStyle name="Millares 2 2 2 2 3 3 3" xfId="9242"/>
    <cellStyle name="Millares 2 2 2 2 3 4" xfId="5180"/>
    <cellStyle name="Millares 2 2 2 2 3 4 2" xfId="9244"/>
    <cellStyle name="Millares 2 2 2 2 3 5" xfId="9237"/>
    <cellStyle name="Millares 2 2 2 2 4" xfId="1073"/>
    <cellStyle name="Millares 2 2 2 2 4 2" xfId="2044"/>
    <cellStyle name="Millares 2 2 2 2 4 2 2" xfId="3989"/>
    <cellStyle name="Millares 2 2 2 2 4 2 2 2" xfId="7842"/>
    <cellStyle name="Millares 2 2 2 2 4 2 2 2 2" xfId="9248"/>
    <cellStyle name="Millares 2 2 2 2 4 2 2 3" xfId="9247"/>
    <cellStyle name="Millares 2 2 2 2 4 2 3" xfId="5904"/>
    <cellStyle name="Millares 2 2 2 2 4 2 3 2" xfId="9249"/>
    <cellStyle name="Millares 2 2 2 2 4 2 4" xfId="9246"/>
    <cellStyle name="Millares 2 2 2 2 4 3" xfId="3028"/>
    <cellStyle name="Millares 2 2 2 2 4 3 2" xfId="6886"/>
    <cellStyle name="Millares 2 2 2 2 4 3 2 2" xfId="9251"/>
    <cellStyle name="Millares 2 2 2 2 4 3 3" xfId="9250"/>
    <cellStyle name="Millares 2 2 2 2 4 4" xfId="4948"/>
    <cellStyle name="Millares 2 2 2 2 4 4 2" xfId="9252"/>
    <cellStyle name="Millares 2 2 2 2 4 5" xfId="9245"/>
    <cellStyle name="Millares 2 2 2 2 5" xfId="1544"/>
    <cellStyle name="Millares 2 2 2 2 5 2" xfId="2510"/>
    <cellStyle name="Millares 2 2 2 2 5 2 2" xfId="4455"/>
    <cellStyle name="Millares 2 2 2 2 5 2 2 2" xfId="8308"/>
    <cellStyle name="Millares 2 2 2 2 5 2 2 2 2" xfId="9256"/>
    <cellStyle name="Millares 2 2 2 2 5 2 2 3" xfId="9255"/>
    <cellStyle name="Millares 2 2 2 2 5 2 3" xfId="6370"/>
    <cellStyle name="Millares 2 2 2 2 5 2 3 2" xfId="9257"/>
    <cellStyle name="Millares 2 2 2 2 5 2 4" xfId="9254"/>
    <cellStyle name="Millares 2 2 2 2 5 3" xfId="3496"/>
    <cellStyle name="Millares 2 2 2 2 5 3 2" xfId="7352"/>
    <cellStyle name="Millares 2 2 2 2 5 3 2 2" xfId="9259"/>
    <cellStyle name="Millares 2 2 2 2 5 3 3" xfId="9258"/>
    <cellStyle name="Millares 2 2 2 2 5 4" xfId="5414"/>
    <cellStyle name="Millares 2 2 2 2 5 4 2" xfId="9260"/>
    <cellStyle name="Millares 2 2 2 2 5 5" xfId="9253"/>
    <cellStyle name="Millares 2 2 2 2 6" xfId="1805"/>
    <cellStyle name="Millares 2 2 2 2 6 2" xfId="3751"/>
    <cellStyle name="Millares 2 2 2 2 6 2 2" xfId="7604"/>
    <cellStyle name="Millares 2 2 2 2 6 2 2 2" xfId="9263"/>
    <cellStyle name="Millares 2 2 2 2 6 2 3" xfId="9262"/>
    <cellStyle name="Millares 2 2 2 2 6 3" xfId="5666"/>
    <cellStyle name="Millares 2 2 2 2 6 3 2" xfId="9264"/>
    <cellStyle name="Millares 2 2 2 2 6 4" xfId="9261"/>
    <cellStyle name="Millares 2 2 2 2 7" xfId="2789"/>
    <cellStyle name="Millares 2 2 2 2 7 2" xfId="6648"/>
    <cellStyle name="Millares 2 2 2 2 7 2 2" xfId="9266"/>
    <cellStyle name="Millares 2 2 2 2 7 3" xfId="9265"/>
    <cellStyle name="Millares 2 2 2 2 8" xfId="4716"/>
    <cellStyle name="Millares 2 2 2 2 8 2" xfId="9267"/>
    <cellStyle name="Millares 2 2 2 2 9" xfId="9204"/>
    <cellStyle name="Millares 2 2 2 3" xfId="891"/>
    <cellStyle name="Millares 2 2 2 3 2" xfId="1347"/>
    <cellStyle name="Millares 2 2 2 3 2 2" xfId="2318"/>
    <cellStyle name="Millares 2 2 2 3 2 2 2" xfId="4263"/>
    <cellStyle name="Millares 2 2 2 3 2 2 2 2" xfId="8116"/>
    <cellStyle name="Millares 2 2 2 3 2 2 2 2 2" xfId="9272"/>
    <cellStyle name="Millares 2 2 2 3 2 2 2 3" xfId="9271"/>
    <cellStyle name="Millares 2 2 2 3 2 2 3" xfId="6178"/>
    <cellStyle name="Millares 2 2 2 3 2 2 3 2" xfId="9273"/>
    <cellStyle name="Millares 2 2 2 3 2 2 4" xfId="9270"/>
    <cellStyle name="Millares 2 2 2 3 2 3" xfId="3302"/>
    <cellStyle name="Millares 2 2 2 3 2 3 2" xfId="7160"/>
    <cellStyle name="Millares 2 2 2 3 2 3 2 2" xfId="9275"/>
    <cellStyle name="Millares 2 2 2 3 2 3 3" xfId="9274"/>
    <cellStyle name="Millares 2 2 2 3 2 4" xfId="5222"/>
    <cellStyle name="Millares 2 2 2 3 2 4 2" xfId="9276"/>
    <cellStyle name="Millares 2 2 2 3 2 5" xfId="9269"/>
    <cellStyle name="Millares 2 2 2 3 3" xfId="1131"/>
    <cellStyle name="Millares 2 2 2 3 3 2" xfId="2102"/>
    <cellStyle name="Millares 2 2 2 3 3 2 2" xfId="4047"/>
    <cellStyle name="Millares 2 2 2 3 3 2 2 2" xfId="7900"/>
    <cellStyle name="Millares 2 2 2 3 3 2 2 2 2" xfId="9280"/>
    <cellStyle name="Millares 2 2 2 3 3 2 2 3" xfId="9279"/>
    <cellStyle name="Millares 2 2 2 3 3 2 3" xfId="5962"/>
    <cellStyle name="Millares 2 2 2 3 3 2 3 2" xfId="9281"/>
    <cellStyle name="Millares 2 2 2 3 3 2 4" xfId="9278"/>
    <cellStyle name="Millares 2 2 2 3 3 3" xfId="3086"/>
    <cellStyle name="Millares 2 2 2 3 3 3 2" xfId="6944"/>
    <cellStyle name="Millares 2 2 2 3 3 3 2 2" xfId="9283"/>
    <cellStyle name="Millares 2 2 2 3 3 3 3" xfId="9282"/>
    <cellStyle name="Millares 2 2 2 3 3 4" xfId="5006"/>
    <cellStyle name="Millares 2 2 2 3 3 4 2" xfId="9284"/>
    <cellStyle name="Millares 2 2 2 3 3 5" xfId="9277"/>
    <cellStyle name="Millares 2 2 2 3 4" xfId="1608"/>
    <cellStyle name="Millares 2 2 2 3 4 2" xfId="2569"/>
    <cellStyle name="Millares 2 2 2 3 4 2 2" xfId="4514"/>
    <cellStyle name="Millares 2 2 2 3 4 2 2 2" xfId="8367"/>
    <cellStyle name="Millares 2 2 2 3 4 2 2 2 2" xfId="9288"/>
    <cellStyle name="Millares 2 2 2 3 4 2 2 3" xfId="9287"/>
    <cellStyle name="Millares 2 2 2 3 4 2 3" xfId="6429"/>
    <cellStyle name="Millares 2 2 2 3 4 2 3 2" xfId="9289"/>
    <cellStyle name="Millares 2 2 2 3 4 2 4" xfId="9286"/>
    <cellStyle name="Millares 2 2 2 3 4 3" xfId="3555"/>
    <cellStyle name="Millares 2 2 2 3 4 3 2" xfId="7411"/>
    <cellStyle name="Millares 2 2 2 3 4 3 2 2" xfId="9291"/>
    <cellStyle name="Millares 2 2 2 3 4 3 3" xfId="9290"/>
    <cellStyle name="Millares 2 2 2 3 4 4" xfId="5473"/>
    <cellStyle name="Millares 2 2 2 3 4 4 2" xfId="9292"/>
    <cellStyle name="Millares 2 2 2 3 4 5" xfId="9285"/>
    <cellStyle name="Millares 2 2 2 3 5" xfId="1870"/>
    <cellStyle name="Millares 2 2 2 3 5 2" xfId="3815"/>
    <cellStyle name="Millares 2 2 2 3 5 2 2" xfId="7668"/>
    <cellStyle name="Millares 2 2 2 3 5 2 2 2" xfId="9295"/>
    <cellStyle name="Millares 2 2 2 3 5 2 3" xfId="9294"/>
    <cellStyle name="Millares 2 2 2 3 5 3" xfId="5730"/>
    <cellStyle name="Millares 2 2 2 3 5 3 2" xfId="9296"/>
    <cellStyle name="Millares 2 2 2 3 5 4" xfId="9293"/>
    <cellStyle name="Millares 2 2 2 3 6" xfId="2854"/>
    <cellStyle name="Millares 2 2 2 3 6 2" xfId="6712"/>
    <cellStyle name="Millares 2 2 2 3 6 2 2" xfId="9298"/>
    <cellStyle name="Millares 2 2 2 3 6 3" xfId="9297"/>
    <cellStyle name="Millares 2 2 2 3 7" xfId="4774"/>
    <cellStyle name="Millares 2 2 2 3 7 2" xfId="9299"/>
    <cellStyle name="Millares 2 2 2 3 8" xfId="9268"/>
    <cellStyle name="Millares 2 2 2 4" xfId="1247"/>
    <cellStyle name="Millares 2 2 2 4 2" xfId="2218"/>
    <cellStyle name="Millares 2 2 2 4 2 2" xfId="4163"/>
    <cellStyle name="Millares 2 2 2 4 2 2 2" xfId="8016"/>
    <cellStyle name="Millares 2 2 2 4 2 2 2 2" xfId="9303"/>
    <cellStyle name="Millares 2 2 2 4 2 2 3" xfId="9302"/>
    <cellStyle name="Millares 2 2 2 4 2 3" xfId="6078"/>
    <cellStyle name="Millares 2 2 2 4 2 3 2" xfId="9304"/>
    <cellStyle name="Millares 2 2 2 4 2 4" xfId="9301"/>
    <cellStyle name="Millares 2 2 2 4 3" xfId="3202"/>
    <cellStyle name="Millares 2 2 2 4 3 2" xfId="7060"/>
    <cellStyle name="Millares 2 2 2 4 3 2 2" xfId="9306"/>
    <cellStyle name="Millares 2 2 2 4 3 3" xfId="9305"/>
    <cellStyle name="Millares 2 2 2 4 4" xfId="5122"/>
    <cellStyle name="Millares 2 2 2 4 4 2" xfId="9307"/>
    <cellStyle name="Millares 2 2 2 4 5" xfId="9300"/>
    <cellStyle name="Millares 2 2 2 5" xfId="1008"/>
    <cellStyle name="Millares 2 2 2 5 2" xfId="1982"/>
    <cellStyle name="Millares 2 2 2 5 2 2" xfId="3927"/>
    <cellStyle name="Millares 2 2 2 5 2 2 2" xfId="7780"/>
    <cellStyle name="Millares 2 2 2 5 2 2 2 2" xfId="9311"/>
    <cellStyle name="Millares 2 2 2 5 2 2 3" xfId="9310"/>
    <cellStyle name="Millares 2 2 2 5 2 3" xfId="5842"/>
    <cellStyle name="Millares 2 2 2 5 2 3 2" xfId="9312"/>
    <cellStyle name="Millares 2 2 2 5 2 4" xfId="9309"/>
    <cellStyle name="Millares 2 2 2 5 3" xfId="2966"/>
    <cellStyle name="Millares 2 2 2 5 3 2" xfId="6824"/>
    <cellStyle name="Millares 2 2 2 5 3 2 2" xfId="9314"/>
    <cellStyle name="Millares 2 2 2 5 3 3" xfId="9313"/>
    <cellStyle name="Millares 2 2 2 5 4" xfId="4886"/>
    <cellStyle name="Millares 2 2 2 5 4 2" xfId="9315"/>
    <cellStyle name="Millares 2 2 2 5 5" xfId="9308"/>
    <cellStyle name="Millares 2 2 2 6" xfId="1490"/>
    <cellStyle name="Millares 2 2 2 6 2" xfId="2459"/>
    <cellStyle name="Millares 2 2 2 6 2 2" xfId="4404"/>
    <cellStyle name="Millares 2 2 2 6 2 2 2" xfId="8257"/>
    <cellStyle name="Millares 2 2 2 6 2 2 2 2" xfId="9319"/>
    <cellStyle name="Millares 2 2 2 6 2 2 3" xfId="9318"/>
    <cellStyle name="Millares 2 2 2 6 2 3" xfId="6319"/>
    <cellStyle name="Millares 2 2 2 6 2 3 2" xfId="9320"/>
    <cellStyle name="Millares 2 2 2 6 2 4" xfId="9317"/>
    <cellStyle name="Millares 2 2 2 6 3" xfId="3443"/>
    <cellStyle name="Millares 2 2 2 6 3 2" xfId="7301"/>
    <cellStyle name="Millares 2 2 2 6 3 2 2" xfId="9322"/>
    <cellStyle name="Millares 2 2 2 6 3 3" xfId="9321"/>
    <cellStyle name="Millares 2 2 2 6 4" xfId="5363"/>
    <cellStyle name="Millares 2 2 2 6 4 2" xfId="9323"/>
    <cellStyle name="Millares 2 2 2 6 5" xfId="9316"/>
    <cellStyle name="Millares 2 2 2 7" xfId="1743"/>
    <cellStyle name="Millares 2 2 2 7 2" xfId="3689"/>
    <cellStyle name="Millares 2 2 2 7 2 2" xfId="7542"/>
    <cellStyle name="Millares 2 2 2 7 2 2 2" xfId="9326"/>
    <cellStyle name="Millares 2 2 2 7 2 3" xfId="9325"/>
    <cellStyle name="Millares 2 2 2 7 3" xfId="5604"/>
    <cellStyle name="Millares 2 2 2 7 3 2" xfId="9327"/>
    <cellStyle name="Millares 2 2 2 7 4" xfId="9324"/>
    <cellStyle name="Millares 2 2 2 8" xfId="2727"/>
    <cellStyle name="Millares 2 2 2 8 2" xfId="6586"/>
    <cellStyle name="Millares 2 2 2 8 2 2" xfId="9329"/>
    <cellStyle name="Millares 2 2 2 8 3" xfId="9328"/>
    <cellStyle name="Millares 2 2 2 9" xfId="4654"/>
    <cellStyle name="Millares 2 2 2 9 2" xfId="9330"/>
    <cellStyle name="Millares 2 2 3" xfId="602"/>
    <cellStyle name="Millares 2 2 3 2" xfId="892"/>
    <cellStyle name="Millares 2 2 3 2 2" xfId="1392"/>
    <cellStyle name="Millares 2 2 3 2 2 2" xfId="2363"/>
    <cellStyle name="Millares 2 2 3 2 2 2 2" xfId="4308"/>
    <cellStyle name="Millares 2 2 3 2 2 2 2 2" xfId="8161"/>
    <cellStyle name="Millares 2 2 3 2 2 2 2 2 2" xfId="9336"/>
    <cellStyle name="Millares 2 2 3 2 2 2 2 3" xfId="9335"/>
    <cellStyle name="Millares 2 2 3 2 2 2 3" xfId="6223"/>
    <cellStyle name="Millares 2 2 3 2 2 2 3 2" xfId="9337"/>
    <cellStyle name="Millares 2 2 3 2 2 2 4" xfId="9334"/>
    <cellStyle name="Millares 2 2 3 2 2 3" xfId="3347"/>
    <cellStyle name="Millares 2 2 3 2 2 3 2" xfId="7205"/>
    <cellStyle name="Millares 2 2 3 2 2 3 2 2" xfId="9339"/>
    <cellStyle name="Millares 2 2 3 2 2 3 3" xfId="9338"/>
    <cellStyle name="Millares 2 2 3 2 2 4" xfId="5267"/>
    <cellStyle name="Millares 2 2 3 2 2 4 2" xfId="9340"/>
    <cellStyle name="Millares 2 2 3 2 2 5" xfId="9333"/>
    <cellStyle name="Millares 2 2 3 2 3" xfId="1132"/>
    <cellStyle name="Millares 2 2 3 2 3 2" xfId="2103"/>
    <cellStyle name="Millares 2 2 3 2 3 2 2" xfId="4048"/>
    <cellStyle name="Millares 2 2 3 2 3 2 2 2" xfId="7901"/>
    <cellStyle name="Millares 2 2 3 2 3 2 2 2 2" xfId="9344"/>
    <cellStyle name="Millares 2 2 3 2 3 2 2 3" xfId="9343"/>
    <cellStyle name="Millares 2 2 3 2 3 2 3" xfId="5963"/>
    <cellStyle name="Millares 2 2 3 2 3 2 3 2" xfId="9345"/>
    <cellStyle name="Millares 2 2 3 2 3 2 4" xfId="9342"/>
    <cellStyle name="Millares 2 2 3 2 3 3" xfId="3087"/>
    <cellStyle name="Millares 2 2 3 2 3 3 2" xfId="6945"/>
    <cellStyle name="Millares 2 2 3 2 3 3 2 2" xfId="9347"/>
    <cellStyle name="Millares 2 2 3 2 3 3 3" xfId="9346"/>
    <cellStyle name="Millares 2 2 3 2 3 4" xfId="5007"/>
    <cellStyle name="Millares 2 2 3 2 3 4 2" xfId="9348"/>
    <cellStyle name="Millares 2 2 3 2 3 5" xfId="9341"/>
    <cellStyle name="Millares 2 2 3 2 4" xfId="1653"/>
    <cellStyle name="Millares 2 2 3 2 4 2" xfId="2614"/>
    <cellStyle name="Millares 2 2 3 2 4 2 2" xfId="4559"/>
    <cellStyle name="Millares 2 2 3 2 4 2 2 2" xfId="8412"/>
    <cellStyle name="Millares 2 2 3 2 4 2 2 2 2" xfId="9352"/>
    <cellStyle name="Millares 2 2 3 2 4 2 2 3" xfId="9351"/>
    <cellStyle name="Millares 2 2 3 2 4 2 3" xfId="6474"/>
    <cellStyle name="Millares 2 2 3 2 4 2 3 2" xfId="9353"/>
    <cellStyle name="Millares 2 2 3 2 4 2 4" xfId="9350"/>
    <cellStyle name="Millares 2 2 3 2 4 3" xfId="3600"/>
    <cellStyle name="Millares 2 2 3 2 4 3 2" xfId="7456"/>
    <cellStyle name="Millares 2 2 3 2 4 3 2 2" xfId="9355"/>
    <cellStyle name="Millares 2 2 3 2 4 3 3" xfId="9354"/>
    <cellStyle name="Millares 2 2 3 2 4 4" xfId="5518"/>
    <cellStyle name="Millares 2 2 3 2 4 4 2" xfId="9356"/>
    <cellStyle name="Millares 2 2 3 2 4 5" xfId="9349"/>
    <cellStyle name="Millares 2 2 3 2 5" xfId="1871"/>
    <cellStyle name="Millares 2 2 3 2 5 2" xfId="3816"/>
    <cellStyle name="Millares 2 2 3 2 5 2 2" xfId="7669"/>
    <cellStyle name="Millares 2 2 3 2 5 2 2 2" xfId="9359"/>
    <cellStyle name="Millares 2 2 3 2 5 2 3" xfId="9358"/>
    <cellStyle name="Millares 2 2 3 2 5 3" xfId="5731"/>
    <cellStyle name="Millares 2 2 3 2 5 3 2" xfId="9360"/>
    <cellStyle name="Millares 2 2 3 2 5 4" xfId="9357"/>
    <cellStyle name="Millares 2 2 3 2 6" xfId="2855"/>
    <cellStyle name="Millares 2 2 3 2 6 2" xfId="6713"/>
    <cellStyle name="Millares 2 2 3 2 6 2 2" xfId="9362"/>
    <cellStyle name="Millares 2 2 3 2 6 3" xfId="9361"/>
    <cellStyle name="Millares 2 2 3 2 7" xfId="4775"/>
    <cellStyle name="Millares 2 2 3 2 7 2" xfId="9363"/>
    <cellStyle name="Millares 2 2 3 2 8" xfId="9332"/>
    <cellStyle name="Millares 2 2 3 3" xfId="1291"/>
    <cellStyle name="Millares 2 2 3 3 2" xfId="2262"/>
    <cellStyle name="Millares 2 2 3 3 2 2" xfId="4207"/>
    <cellStyle name="Millares 2 2 3 3 2 2 2" xfId="8060"/>
    <cellStyle name="Millares 2 2 3 3 2 2 2 2" xfId="9367"/>
    <cellStyle name="Millares 2 2 3 3 2 2 3" xfId="9366"/>
    <cellStyle name="Millares 2 2 3 3 2 3" xfId="6122"/>
    <cellStyle name="Millares 2 2 3 3 2 3 2" xfId="9368"/>
    <cellStyle name="Millares 2 2 3 3 2 4" xfId="9365"/>
    <cellStyle name="Millares 2 2 3 3 3" xfId="3246"/>
    <cellStyle name="Millares 2 2 3 3 3 2" xfId="7104"/>
    <cellStyle name="Millares 2 2 3 3 3 2 2" xfId="9370"/>
    <cellStyle name="Millares 2 2 3 3 3 3" xfId="9369"/>
    <cellStyle name="Millares 2 2 3 3 4" xfId="5166"/>
    <cellStyle name="Millares 2 2 3 3 4 2" xfId="9371"/>
    <cellStyle name="Millares 2 2 3 3 5" xfId="9364"/>
    <cellStyle name="Millares 2 2 3 4" xfId="1058"/>
    <cellStyle name="Millares 2 2 3 4 2" xfId="2030"/>
    <cellStyle name="Millares 2 2 3 4 2 2" xfId="3975"/>
    <cellStyle name="Millares 2 2 3 4 2 2 2" xfId="7828"/>
    <cellStyle name="Millares 2 2 3 4 2 2 2 2" xfId="9375"/>
    <cellStyle name="Millares 2 2 3 4 2 2 3" xfId="9374"/>
    <cellStyle name="Millares 2 2 3 4 2 3" xfId="5890"/>
    <cellStyle name="Millares 2 2 3 4 2 3 2" xfId="9376"/>
    <cellStyle name="Millares 2 2 3 4 2 4" xfId="9373"/>
    <cellStyle name="Millares 2 2 3 4 3" xfId="3014"/>
    <cellStyle name="Millares 2 2 3 4 3 2" xfId="6872"/>
    <cellStyle name="Millares 2 2 3 4 3 2 2" xfId="9378"/>
    <cellStyle name="Millares 2 2 3 4 3 3" xfId="9377"/>
    <cellStyle name="Millares 2 2 3 4 4" xfId="4934"/>
    <cellStyle name="Millares 2 2 3 4 4 2" xfId="9379"/>
    <cellStyle name="Millares 2 2 3 4 5" xfId="9372"/>
    <cellStyle name="Millares 2 2 3 5" xfId="1543"/>
    <cellStyle name="Millares 2 2 3 5 2" xfId="2509"/>
    <cellStyle name="Millares 2 2 3 5 2 2" xfId="4454"/>
    <cellStyle name="Millares 2 2 3 5 2 2 2" xfId="8307"/>
    <cellStyle name="Millares 2 2 3 5 2 2 2 2" xfId="9383"/>
    <cellStyle name="Millares 2 2 3 5 2 2 3" xfId="9382"/>
    <cellStyle name="Millares 2 2 3 5 2 3" xfId="6369"/>
    <cellStyle name="Millares 2 2 3 5 2 3 2" xfId="9384"/>
    <cellStyle name="Millares 2 2 3 5 2 4" xfId="9381"/>
    <cellStyle name="Millares 2 2 3 5 3" xfId="3495"/>
    <cellStyle name="Millares 2 2 3 5 3 2" xfId="7351"/>
    <cellStyle name="Millares 2 2 3 5 3 2 2" xfId="9386"/>
    <cellStyle name="Millares 2 2 3 5 3 3" xfId="9385"/>
    <cellStyle name="Millares 2 2 3 5 4" xfId="5413"/>
    <cellStyle name="Millares 2 2 3 5 4 2" xfId="9387"/>
    <cellStyle name="Millares 2 2 3 5 5" xfId="9380"/>
    <cellStyle name="Millares 2 2 3 6" xfId="1791"/>
    <cellStyle name="Millares 2 2 3 6 2" xfId="3737"/>
    <cellStyle name="Millares 2 2 3 6 2 2" xfId="7590"/>
    <cellStyle name="Millares 2 2 3 6 2 2 2" xfId="9390"/>
    <cellStyle name="Millares 2 2 3 6 2 3" xfId="9389"/>
    <cellStyle name="Millares 2 2 3 6 3" xfId="5652"/>
    <cellStyle name="Millares 2 2 3 6 3 2" xfId="9391"/>
    <cellStyle name="Millares 2 2 3 6 4" xfId="9388"/>
    <cellStyle name="Millares 2 2 3 7" xfId="2775"/>
    <cellStyle name="Millares 2 2 3 7 2" xfId="6634"/>
    <cellStyle name="Millares 2 2 3 7 2 2" xfId="9393"/>
    <cellStyle name="Millares 2 2 3 7 3" xfId="9392"/>
    <cellStyle name="Millares 2 2 3 8" xfId="4702"/>
    <cellStyle name="Millares 2 2 3 8 2" xfId="9394"/>
    <cellStyle name="Millares 2 2 3 9" xfId="9331"/>
    <cellStyle name="Millares 2 2 4" xfId="893"/>
    <cellStyle name="Millares 2 2 4 2" xfId="1346"/>
    <cellStyle name="Millares 2 2 4 2 2" xfId="2317"/>
    <cellStyle name="Millares 2 2 4 2 2 2" xfId="4262"/>
    <cellStyle name="Millares 2 2 4 2 2 2 2" xfId="8115"/>
    <cellStyle name="Millares 2 2 4 2 2 2 2 2" xfId="9399"/>
    <cellStyle name="Millares 2 2 4 2 2 2 3" xfId="9398"/>
    <cellStyle name="Millares 2 2 4 2 2 3" xfId="6177"/>
    <cellStyle name="Millares 2 2 4 2 2 3 2" xfId="9400"/>
    <cellStyle name="Millares 2 2 4 2 2 4" xfId="9397"/>
    <cellStyle name="Millares 2 2 4 2 3" xfId="3301"/>
    <cellStyle name="Millares 2 2 4 2 3 2" xfId="7159"/>
    <cellStyle name="Millares 2 2 4 2 3 2 2" xfId="9402"/>
    <cellStyle name="Millares 2 2 4 2 3 3" xfId="9401"/>
    <cellStyle name="Millares 2 2 4 2 4" xfId="5221"/>
    <cellStyle name="Millares 2 2 4 2 4 2" xfId="9403"/>
    <cellStyle name="Millares 2 2 4 2 5" xfId="9396"/>
    <cellStyle name="Millares 2 2 4 3" xfId="1133"/>
    <cellStyle name="Millares 2 2 4 3 2" xfId="2104"/>
    <cellStyle name="Millares 2 2 4 3 2 2" xfId="4049"/>
    <cellStyle name="Millares 2 2 4 3 2 2 2" xfId="7902"/>
    <cellStyle name="Millares 2 2 4 3 2 2 2 2" xfId="9407"/>
    <cellStyle name="Millares 2 2 4 3 2 2 3" xfId="9406"/>
    <cellStyle name="Millares 2 2 4 3 2 3" xfId="5964"/>
    <cellStyle name="Millares 2 2 4 3 2 3 2" xfId="9408"/>
    <cellStyle name="Millares 2 2 4 3 2 4" xfId="9405"/>
    <cellStyle name="Millares 2 2 4 3 3" xfId="3088"/>
    <cellStyle name="Millares 2 2 4 3 3 2" xfId="6946"/>
    <cellStyle name="Millares 2 2 4 3 3 2 2" xfId="9410"/>
    <cellStyle name="Millares 2 2 4 3 3 3" xfId="9409"/>
    <cellStyle name="Millares 2 2 4 3 4" xfId="5008"/>
    <cellStyle name="Millares 2 2 4 3 4 2" xfId="9411"/>
    <cellStyle name="Millares 2 2 4 3 5" xfId="9404"/>
    <cellStyle name="Millares 2 2 4 4" xfId="1607"/>
    <cellStyle name="Millares 2 2 4 4 2" xfId="2568"/>
    <cellStyle name="Millares 2 2 4 4 2 2" xfId="4513"/>
    <cellStyle name="Millares 2 2 4 4 2 2 2" xfId="8366"/>
    <cellStyle name="Millares 2 2 4 4 2 2 2 2" xfId="9415"/>
    <cellStyle name="Millares 2 2 4 4 2 2 3" xfId="9414"/>
    <cellStyle name="Millares 2 2 4 4 2 3" xfId="6428"/>
    <cellStyle name="Millares 2 2 4 4 2 3 2" xfId="9416"/>
    <cellStyle name="Millares 2 2 4 4 2 4" xfId="9413"/>
    <cellStyle name="Millares 2 2 4 4 3" xfId="3554"/>
    <cellStyle name="Millares 2 2 4 4 3 2" xfId="7410"/>
    <cellStyle name="Millares 2 2 4 4 3 2 2" xfId="9418"/>
    <cellStyle name="Millares 2 2 4 4 3 3" xfId="9417"/>
    <cellStyle name="Millares 2 2 4 4 4" xfId="5472"/>
    <cellStyle name="Millares 2 2 4 4 4 2" xfId="9419"/>
    <cellStyle name="Millares 2 2 4 4 5" xfId="9412"/>
    <cellStyle name="Millares 2 2 4 5" xfId="1872"/>
    <cellStyle name="Millares 2 2 4 5 2" xfId="3817"/>
    <cellStyle name="Millares 2 2 4 5 2 2" xfId="7670"/>
    <cellStyle name="Millares 2 2 4 5 2 2 2" xfId="9422"/>
    <cellStyle name="Millares 2 2 4 5 2 3" xfId="9421"/>
    <cellStyle name="Millares 2 2 4 5 3" xfId="5732"/>
    <cellStyle name="Millares 2 2 4 5 3 2" xfId="9423"/>
    <cellStyle name="Millares 2 2 4 5 4" xfId="9420"/>
    <cellStyle name="Millares 2 2 4 6" xfId="2856"/>
    <cellStyle name="Millares 2 2 4 6 2" xfId="6714"/>
    <cellStyle name="Millares 2 2 4 6 2 2" xfId="9425"/>
    <cellStyle name="Millares 2 2 4 6 3" xfId="9424"/>
    <cellStyle name="Millares 2 2 4 7" xfId="4776"/>
    <cellStyle name="Millares 2 2 4 7 2" xfId="9426"/>
    <cellStyle name="Millares 2 2 4 8" xfId="9395"/>
    <cellStyle name="Millares 2 2 5" xfId="1246"/>
    <cellStyle name="Millares 2 2 5 2" xfId="2217"/>
    <cellStyle name="Millares 2 2 5 2 2" xfId="4162"/>
    <cellStyle name="Millares 2 2 5 2 2 2" xfId="8015"/>
    <cellStyle name="Millares 2 2 5 2 2 2 2" xfId="9430"/>
    <cellStyle name="Millares 2 2 5 2 2 3" xfId="9429"/>
    <cellStyle name="Millares 2 2 5 2 3" xfId="6077"/>
    <cellStyle name="Millares 2 2 5 2 3 2" xfId="9431"/>
    <cellStyle name="Millares 2 2 5 2 4" xfId="9428"/>
    <cellStyle name="Millares 2 2 5 3" xfId="3201"/>
    <cellStyle name="Millares 2 2 5 3 2" xfId="7059"/>
    <cellStyle name="Millares 2 2 5 3 2 2" xfId="9433"/>
    <cellStyle name="Millares 2 2 5 3 3" xfId="9432"/>
    <cellStyle name="Millares 2 2 5 4" xfId="5121"/>
    <cellStyle name="Millares 2 2 5 4 2" xfId="9434"/>
    <cellStyle name="Millares 2 2 5 5" xfId="9427"/>
    <cellStyle name="Millares 2 2 6" xfId="1007"/>
    <cellStyle name="Millares 2 2 6 2" xfId="1981"/>
    <cellStyle name="Millares 2 2 6 2 2" xfId="3926"/>
    <cellStyle name="Millares 2 2 6 2 2 2" xfId="7779"/>
    <cellStyle name="Millares 2 2 6 2 2 2 2" xfId="9438"/>
    <cellStyle name="Millares 2 2 6 2 2 3" xfId="9437"/>
    <cellStyle name="Millares 2 2 6 2 3" xfId="5841"/>
    <cellStyle name="Millares 2 2 6 2 3 2" xfId="9439"/>
    <cellStyle name="Millares 2 2 6 2 4" xfId="9436"/>
    <cellStyle name="Millares 2 2 6 3" xfId="2965"/>
    <cellStyle name="Millares 2 2 6 3 2" xfId="6823"/>
    <cellStyle name="Millares 2 2 6 3 2 2" xfId="9441"/>
    <cellStyle name="Millares 2 2 6 3 3" xfId="9440"/>
    <cellStyle name="Millares 2 2 6 4" xfId="4885"/>
    <cellStyle name="Millares 2 2 6 4 2" xfId="9442"/>
    <cellStyle name="Millares 2 2 6 5" xfId="9435"/>
    <cellStyle name="Millares 2 2 7" xfId="1489"/>
    <cellStyle name="Millares 2 2 7 2" xfId="2458"/>
    <cellStyle name="Millares 2 2 7 2 2" xfId="4403"/>
    <cellStyle name="Millares 2 2 7 2 2 2" xfId="8256"/>
    <cellStyle name="Millares 2 2 7 2 2 2 2" xfId="9446"/>
    <cellStyle name="Millares 2 2 7 2 2 3" xfId="9445"/>
    <cellStyle name="Millares 2 2 7 2 3" xfId="6318"/>
    <cellStyle name="Millares 2 2 7 2 3 2" xfId="9447"/>
    <cellStyle name="Millares 2 2 7 2 4" xfId="9444"/>
    <cellStyle name="Millares 2 2 7 3" xfId="3442"/>
    <cellStyle name="Millares 2 2 7 3 2" xfId="7300"/>
    <cellStyle name="Millares 2 2 7 3 2 2" xfId="9449"/>
    <cellStyle name="Millares 2 2 7 3 3" xfId="9448"/>
    <cellStyle name="Millares 2 2 7 4" xfId="5362"/>
    <cellStyle name="Millares 2 2 7 4 2" xfId="9450"/>
    <cellStyle name="Millares 2 2 7 5" xfId="9443"/>
    <cellStyle name="Millares 2 2 8" xfId="1742"/>
    <cellStyle name="Millares 2 2 8 2" xfId="3688"/>
    <cellStyle name="Millares 2 2 8 2 2" xfId="7541"/>
    <cellStyle name="Millares 2 2 8 2 2 2" xfId="9453"/>
    <cellStyle name="Millares 2 2 8 2 3" xfId="9452"/>
    <cellStyle name="Millares 2 2 8 3" xfId="5603"/>
    <cellStyle name="Millares 2 2 8 3 2" xfId="9454"/>
    <cellStyle name="Millares 2 2 8 4" xfId="9451"/>
    <cellStyle name="Millares 2 2 9" xfId="2726"/>
    <cellStyle name="Millares 2 2 9 2" xfId="6585"/>
    <cellStyle name="Millares 2 2 9 2 2" xfId="9456"/>
    <cellStyle name="Millares 2 2 9 3" xfId="9455"/>
    <cellStyle name="Millares 2 3" xfId="601"/>
    <cellStyle name="Millares 2 3 2" xfId="1542"/>
    <cellStyle name="Millares 2 3 2 2" xfId="2508"/>
    <cellStyle name="Millares 2 3 2 2 2" xfId="4453"/>
    <cellStyle name="Millares 2 3 2 2 2 2" xfId="8306"/>
    <cellStyle name="Millares 2 3 2 2 2 2 2" xfId="9460"/>
    <cellStyle name="Millares 2 3 2 2 2 3" xfId="9459"/>
    <cellStyle name="Millares 2 3 2 2 3" xfId="6368"/>
    <cellStyle name="Millares 2 3 2 2 3 2" xfId="9461"/>
    <cellStyle name="Millares 2 3 2 2 4" xfId="9458"/>
    <cellStyle name="Millares 2 3 2 3" xfId="3494"/>
    <cellStyle name="Millares 2 3 2 3 2" xfId="7350"/>
    <cellStyle name="Millares 2 3 2 3 2 2" xfId="9463"/>
    <cellStyle name="Millares 2 3 2 3 3" xfId="9462"/>
    <cellStyle name="Millares 2 3 2 4" xfId="5412"/>
    <cellStyle name="Millares 2 3 2 4 2" xfId="9464"/>
    <cellStyle name="Millares 2 3 2 5" xfId="9457"/>
    <cellStyle name="Millares 2 4" xfId="894"/>
    <cellStyle name="Millares 2 4 2" xfId="1345"/>
    <cellStyle name="Millares 2 4 2 2" xfId="2316"/>
    <cellStyle name="Millares 2 4 2 2 2" xfId="4261"/>
    <cellStyle name="Millares 2 4 2 2 2 2" xfId="8114"/>
    <cellStyle name="Millares 2 4 2 2 2 2 2" xfId="9469"/>
    <cellStyle name="Millares 2 4 2 2 2 3" xfId="9468"/>
    <cellStyle name="Millares 2 4 2 2 3" xfId="6176"/>
    <cellStyle name="Millares 2 4 2 2 3 2" xfId="9470"/>
    <cellStyle name="Millares 2 4 2 2 4" xfId="9467"/>
    <cellStyle name="Millares 2 4 2 3" xfId="3300"/>
    <cellStyle name="Millares 2 4 2 3 2" xfId="7158"/>
    <cellStyle name="Millares 2 4 2 3 2 2" xfId="9472"/>
    <cellStyle name="Millares 2 4 2 3 3" xfId="9471"/>
    <cellStyle name="Millares 2 4 2 4" xfId="5220"/>
    <cellStyle name="Millares 2 4 2 4 2" xfId="9473"/>
    <cellStyle name="Millares 2 4 2 5" xfId="9466"/>
    <cellStyle name="Millares 2 4 3" xfId="1134"/>
    <cellStyle name="Millares 2 4 3 2" xfId="2105"/>
    <cellStyle name="Millares 2 4 3 2 2" xfId="4050"/>
    <cellStyle name="Millares 2 4 3 2 2 2" xfId="7903"/>
    <cellStyle name="Millares 2 4 3 2 2 2 2" xfId="9477"/>
    <cellStyle name="Millares 2 4 3 2 2 3" xfId="9476"/>
    <cellStyle name="Millares 2 4 3 2 3" xfId="5965"/>
    <cellStyle name="Millares 2 4 3 2 3 2" xfId="9478"/>
    <cellStyle name="Millares 2 4 3 2 4" xfId="9475"/>
    <cellStyle name="Millares 2 4 3 3" xfId="3089"/>
    <cellStyle name="Millares 2 4 3 3 2" xfId="6947"/>
    <cellStyle name="Millares 2 4 3 3 2 2" xfId="9480"/>
    <cellStyle name="Millares 2 4 3 3 3" xfId="9479"/>
    <cellStyle name="Millares 2 4 3 4" xfId="5009"/>
    <cellStyle name="Millares 2 4 3 4 2" xfId="9481"/>
    <cellStyle name="Millares 2 4 3 5" xfId="9474"/>
    <cellStyle name="Millares 2 4 4" xfId="1606"/>
    <cellStyle name="Millares 2 4 4 2" xfId="2567"/>
    <cellStyle name="Millares 2 4 4 2 2" xfId="4512"/>
    <cellStyle name="Millares 2 4 4 2 2 2" xfId="8365"/>
    <cellStyle name="Millares 2 4 4 2 2 2 2" xfId="9485"/>
    <cellStyle name="Millares 2 4 4 2 2 3" xfId="9484"/>
    <cellStyle name="Millares 2 4 4 2 3" xfId="6427"/>
    <cellStyle name="Millares 2 4 4 2 3 2" xfId="9486"/>
    <cellStyle name="Millares 2 4 4 2 4" xfId="9483"/>
    <cellStyle name="Millares 2 4 4 3" xfId="3553"/>
    <cellStyle name="Millares 2 4 4 3 2" xfId="7409"/>
    <cellStyle name="Millares 2 4 4 3 2 2" xfId="9488"/>
    <cellStyle name="Millares 2 4 4 3 3" xfId="9487"/>
    <cellStyle name="Millares 2 4 4 4" xfId="5471"/>
    <cellStyle name="Millares 2 4 4 4 2" xfId="9489"/>
    <cellStyle name="Millares 2 4 4 5" xfId="9482"/>
    <cellStyle name="Millares 2 4 5" xfId="1873"/>
    <cellStyle name="Millares 2 4 5 2" xfId="3818"/>
    <cellStyle name="Millares 2 4 5 2 2" xfId="7671"/>
    <cellStyle name="Millares 2 4 5 2 2 2" xfId="9492"/>
    <cellStyle name="Millares 2 4 5 2 3" xfId="9491"/>
    <cellStyle name="Millares 2 4 5 3" xfId="5733"/>
    <cellStyle name="Millares 2 4 5 3 2" xfId="9493"/>
    <cellStyle name="Millares 2 4 5 4" xfId="9490"/>
    <cellStyle name="Millares 2 4 6" xfId="2857"/>
    <cellStyle name="Millares 2 4 6 2" xfId="6715"/>
    <cellStyle name="Millares 2 4 6 2 2" xfId="9495"/>
    <cellStyle name="Millares 2 4 6 3" xfId="9494"/>
    <cellStyle name="Millares 2 4 7" xfId="4777"/>
    <cellStyle name="Millares 2 4 7 2" xfId="9496"/>
    <cellStyle name="Millares 2 4 8" xfId="9465"/>
    <cellStyle name="Millares 2 5" xfId="1245"/>
    <cellStyle name="Millares 2 5 2" xfId="2216"/>
    <cellStyle name="Millares 2 5 2 2" xfId="4161"/>
    <cellStyle name="Millares 2 5 2 2 2" xfId="8014"/>
    <cellStyle name="Millares 2 5 2 2 2 2" xfId="9500"/>
    <cellStyle name="Millares 2 5 2 2 3" xfId="9499"/>
    <cellStyle name="Millares 2 5 2 3" xfId="6076"/>
    <cellStyle name="Millares 2 5 2 3 2" xfId="9501"/>
    <cellStyle name="Millares 2 5 2 4" xfId="9498"/>
    <cellStyle name="Millares 2 5 3" xfId="3200"/>
    <cellStyle name="Millares 2 5 3 2" xfId="7058"/>
    <cellStyle name="Millares 2 5 3 2 2" xfId="9503"/>
    <cellStyle name="Millares 2 5 3 3" xfId="9502"/>
    <cellStyle name="Millares 2 5 4" xfId="5120"/>
    <cellStyle name="Millares 2 5 4 2" xfId="9504"/>
    <cellStyle name="Millares 2 5 5" xfId="9497"/>
    <cellStyle name="Millares 2 6" xfId="1006"/>
    <cellStyle name="Millares 2 6 2" xfId="1980"/>
    <cellStyle name="Millares 2 6 2 2" xfId="3925"/>
    <cellStyle name="Millares 2 6 2 2 2" xfId="7778"/>
    <cellStyle name="Millares 2 6 2 2 2 2" xfId="9508"/>
    <cellStyle name="Millares 2 6 2 2 3" xfId="9507"/>
    <cellStyle name="Millares 2 6 2 3" xfId="5840"/>
    <cellStyle name="Millares 2 6 2 3 2" xfId="9509"/>
    <cellStyle name="Millares 2 6 2 4" xfId="9506"/>
    <cellStyle name="Millares 2 6 3" xfId="2964"/>
    <cellStyle name="Millares 2 6 3 2" xfId="6822"/>
    <cellStyle name="Millares 2 6 3 2 2" xfId="9511"/>
    <cellStyle name="Millares 2 6 3 3" xfId="9510"/>
    <cellStyle name="Millares 2 6 4" xfId="4884"/>
    <cellStyle name="Millares 2 6 4 2" xfId="9512"/>
    <cellStyle name="Millares 2 6 5" xfId="9505"/>
    <cellStyle name="Millares 2 7" xfId="1488"/>
    <cellStyle name="Millares 2 7 2" xfId="2457"/>
    <cellStyle name="Millares 2 7 2 2" xfId="4402"/>
    <cellStyle name="Millares 2 7 2 2 2" xfId="8255"/>
    <cellStyle name="Millares 2 7 2 2 2 2" xfId="9516"/>
    <cellStyle name="Millares 2 7 2 2 3" xfId="9515"/>
    <cellStyle name="Millares 2 7 2 3" xfId="6317"/>
    <cellStyle name="Millares 2 7 2 3 2" xfId="9517"/>
    <cellStyle name="Millares 2 7 2 4" xfId="9514"/>
    <cellStyle name="Millares 2 7 3" xfId="3441"/>
    <cellStyle name="Millares 2 7 3 2" xfId="7299"/>
    <cellStyle name="Millares 2 7 3 2 2" xfId="9519"/>
    <cellStyle name="Millares 2 7 3 3" xfId="9518"/>
    <cellStyle name="Millares 2 7 4" xfId="5361"/>
    <cellStyle name="Millares 2 7 4 2" xfId="9520"/>
    <cellStyle name="Millares 2 7 5" xfId="9513"/>
    <cellStyle name="Millares 2 8" xfId="1741"/>
    <cellStyle name="Millares 2 8 2" xfId="3687"/>
    <cellStyle name="Millares 2 8 2 2" xfId="7540"/>
    <cellStyle name="Millares 2 8 2 2 2" xfId="9523"/>
    <cellStyle name="Millares 2 8 2 3" xfId="9522"/>
    <cellStyle name="Millares 2 8 3" xfId="5602"/>
    <cellStyle name="Millares 2 8 3 2" xfId="9524"/>
    <cellStyle name="Millares 2 8 4" xfId="9521"/>
    <cellStyle name="Millares 2 9" xfId="2725"/>
    <cellStyle name="Millares 2 9 2" xfId="6584"/>
    <cellStyle name="Millares 2 9 2 2" xfId="9526"/>
    <cellStyle name="Millares 2 9 3" xfId="9525"/>
    <cellStyle name="Millares 20" xfId="2697"/>
    <cellStyle name="Millares 20 2" xfId="9527"/>
    <cellStyle name="Millares 21" xfId="2711"/>
    <cellStyle name="Millares 21 2" xfId="6570"/>
    <cellStyle name="Millares 21 2 2" xfId="9529"/>
    <cellStyle name="Millares 21 3" xfId="9528"/>
    <cellStyle name="Millares 22" xfId="2838"/>
    <cellStyle name="Millares 22 2" xfId="9530"/>
    <cellStyle name="Millares 23" xfId="4650"/>
    <cellStyle name="Millares 23 2" xfId="9531"/>
    <cellStyle name="Millares 3" xfId="22"/>
    <cellStyle name="Millares 3 2" xfId="23"/>
    <cellStyle name="Millares 3 2 2" xfId="24"/>
    <cellStyle name="Millares 3 2 2 2" xfId="25"/>
    <cellStyle name="Millares 3 2 2 2 2" xfId="26"/>
    <cellStyle name="Millares 3 2 2 3" xfId="27"/>
    <cellStyle name="Millares 3 2 3" xfId="28"/>
    <cellStyle name="Millares 3 3" xfId="29"/>
    <cellStyle name="Millares 3 3 2" xfId="30"/>
    <cellStyle name="Millares 3 4" xfId="31"/>
    <cellStyle name="Millares 3 4 2" xfId="32"/>
    <cellStyle name="Millares 3 4 2 2" xfId="33"/>
    <cellStyle name="Millares 3 4 3" xfId="34"/>
    <cellStyle name="Millares 3 5" xfId="35"/>
    <cellStyle name="Millares 4" xfId="36"/>
    <cellStyle name="Millares 4 2" xfId="37"/>
    <cellStyle name="Millares 4 2 2" xfId="38"/>
    <cellStyle name="Millares 4 3" xfId="39"/>
    <cellStyle name="Millares 5" xfId="40"/>
    <cellStyle name="Millares 5 2" xfId="41"/>
    <cellStyle name="Millares 6" xfId="42"/>
    <cellStyle name="Millares 6 2" xfId="43"/>
    <cellStyle name="Millares 7" xfId="44"/>
    <cellStyle name="Millares 7 2" xfId="45"/>
    <cellStyle name="Millares 8" xfId="46"/>
    <cellStyle name="Millares 8 10" xfId="4655"/>
    <cellStyle name="Millares 8 10 2" xfId="9533"/>
    <cellStyle name="Millares 8 11" xfId="9532"/>
    <cellStyle name="Millares 8 2" xfId="47"/>
    <cellStyle name="Millares 8 2 10" xfId="9534"/>
    <cellStyle name="Millares 8 2 2" xfId="790"/>
    <cellStyle name="Millares 8 2 2 2" xfId="895"/>
    <cellStyle name="Millares 8 2 2 2 2" xfId="1407"/>
    <cellStyle name="Millares 8 2 2 2 2 2" xfId="2378"/>
    <cellStyle name="Millares 8 2 2 2 2 2 2" xfId="4323"/>
    <cellStyle name="Millares 8 2 2 2 2 2 2 2" xfId="8176"/>
    <cellStyle name="Millares 8 2 2 2 2 2 2 2 2" xfId="9540"/>
    <cellStyle name="Millares 8 2 2 2 2 2 2 3" xfId="9539"/>
    <cellStyle name="Millares 8 2 2 2 2 2 3" xfId="6238"/>
    <cellStyle name="Millares 8 2 2 2 2 2 3 2" xfId="9541"/>
    <cellStyle name="Millares 8 2 2 2 2 2 4" xfId="9538"/>
    <cellStyle name="Millares 8 2 2 2 2 3" xfId="3362"/>
    <cellStyle name="Millares 8 2 2 2 2 3 2" xfId="7220"/>
    <cellStyle name="Millares 8 2 2 2 2 3 2 2" xfId="9543"/>
    <cellStyle name="Millares 8 2 2 2 2 3 3" xfId="9542"/>
    <cellStyle name="Millares 8 2 2 2 2 4" xfId="5282"/>
    <cellStyle name="Millares 8 2 2 2 2 4 2" xfId="9544"/>
    <cellStyle name="Millares 8 2 2 2 2 5" xfId="9537"/>
    <cellStyle name="Millares 8 2 2 2 3" xfId="1135"/>
    <cellStyle name="Millares 8 2 2 2 3 2" xfId="2106"/>
    <cellStyle name="Millares 8 2 2 2 3 2 2" xfId="4051"/>
    <cellStyle name="Millares 8 2 2 2 3 2 2 2" xfId="7904"/>
    <cellStyle name="Millares 8 2 2 2 3 2 2 2 2" xfId="9548"/>
    <cellStyle name="Millares 8 2 2 2 3 2 2 3" xfId="9547"/>
    <cellStyle name="Millares 8 2 2 2 3 2 3" xfId="5966"/>
    <cellStyle name="Millares 8 2 2 2 3 2 3 2" xfId="9549"/>
    <cellStyle name="Millares 8 2 2 2 3 2 4" xfId="9546"/>
    <cellStyle name="Millares 8 2 2 2 3 3" xfId="3090"/>
    <cellStyle name="Millares 8 2 2 2 3 3 2" xfId="6948"/>
    <cellStyle name="Millares 8 2 2 2 3 3 2 2" xfId="9551"/>
    <cellStyle name="Millares 8 2 2 2 3 3 3" xfId="9550"/>
    <cellStyle name="Millares 8 2 2 2 3 4" xfId="5010"/>
    <cellStyle name="Millares 8 2 2 2 3 4 2" xfId="9552"/>
    <cellStyle name="Millares 8 2 2 2 3 5" xfId="9545"/>
    <cellStyle name="Millares 8 2 2 2 4" xfId="1668"/>
    <cellStyle name="Millares 8 2 2 2 4 2" xfId="2629"/>
    <cellStyle name="Millares 8 2 2 2 4 2 2" xfId="4574"/>
    <cellStyle name="Millares 8 2 2 2 4 2 2 2" xfId="8427"/>
    <cellStyle name="Millares 8 2 2 2 4 2 2 2 2" xfId="9556"/>
    <cellStyle name="Millares 8 2 2 2 4 2 2 3" xfId="9555"/>
    <cellStyle name="Millares 8 2 2 2 4 2 3" xfId="6489"/>
    <cellStyle name="Millares 8 2 2 2 4 2 3 2" xfId="9557"/>
    <cellStyle name="Millares 8 2 2 2 4 2 4" xfId="9554"/>
    <cellStyle name="Millares 8 2 2 2 4 3" xfId="3615"/>
    <cellStyle name="Millares 8 2 2 2 4 3 2" xfId="7471"/>
    <cellStyle name="Millares 8 2 2 2 4 3 2 2" xfId="9559"/>
    <cellStyle name="Millares 8 2 2 2 4 3 3" xfId="9558"/>
    <cellStyle name="Millares 8 2 2 2 4 4" xfId="5533"/>
    <cellStyle name="Millares 8 2 2 2 4 4 2" xfId="9560"/>
    <cellStyle name="Millares 8 2 2 2 4 5" xfId="9553"/>
    <cellStyle name="Millares 8 2 2 2 5" xfId="1874"/>
    <cellStyle name="Millares 8 2 2 2 5 2" xfId="3819"/>
    <cellStyle name="Millares 8 2 2 2 5 2 2" xfId="7672"/>
    <cellStyle name="Millares 8 2 2 2 5 2 2 2" xfId="9563"/>
    <cellStyle name="Millares 8 2 2 2 5 2 3" xfId="9562"/>
    <cellStyle name="Millares 8 2 2 2 5 3" xfId="5734"/>
    <cellStyle name="Millares 8 2 2 2 5 3 2" xfId="9564"/>
    <cellStyle name="Millares 8 2 2 2 5 4" xfId="9561"/>
    <cellStyle name="Millares 8 2 2 2 6" xfId="2858"/>
    <cellStyle name="Millares 8 2 2 2 6 2" xfId="6716"/>
    <cellStyle name="Millares 8 2 2 2 6 2 2" xfId="9566"/>
    <cellStyle name="Millares 8 2 2 2 6 3" xfId="9565"/>
    <cellStyle name="Millares 8 2 2 2 7" xfId="4778"/>
    <cellStyle name="Millares 8 2 2 2 7 2" xfId="9567"/>
    <cellStyle name="Millares 8 2 2 2 8" xfId="9536"/>
    <cellStyle name="Millares 8 2 2 3" xfId="1306"/>
    <cellStyle name="Millares 8 2 2 3 2" xfId="2277"/>
    <cellStyle name="Millares 8 2 2 3 2 2" xfId="4222"/>
    <cellStyle name="Millares 8 2 2 3 2 2 2" xfId="8075"/>
    <cellStyle name="Millares 8 2 2 3 2 2 2 2" xfId="9571"/>
    <cellStyle name="Millares 8 2 2 3 2 2 3" xfId="9570"/>
    <cellStyle name="Millares 8 2 2 3 2 3" xfId="6137"/>
    <cellStyle name="Millares 8 2 2 3 2 3 2" xfId="9572"/>
    <cellStyle name="Millares 8 2 2 3 2 4" xfId="9569"/>
    <cellStyle name="Millares 8 2 2 3 3" xfId="3261"/>
    <cellStyle name="Millares 8 2 2 3 3 2" xfId="7119"/>
    <cellStyle name="Millares 8 2 2 3 3 2 2" xfId="9574"/>
    <cellStyle name="Millares 8 2 2 3 3 3" xfId="9573"/>
    <cellStyle name="Millares 8 2 2 3 4" xfId="5181"/>
    <cellStyle name="Millares 8 2 2 3 4 2" xfId="9575"/>
    <cellStyle name="Millares 8 2 2 3 5" xfId="9568"/>
    <cellStyle name="Millares 8 2 2 4" xfId="1074"/>
    <cellStyle name="Millares 8 2 2 4 2" xfId="2045"/>
    <cellStyle name="Millares 8 2 2 4 2 2" xfId="3990"/>
    <cellStyle name="Millares 8 2 2 4 2 2 2" xfId="7843"/>
    <cellStyle name="Millares 8 2 2 4 2 2 2 2" xfId="9579"/>
    <cellStyle name="Millares 8 2 2 4 2 2 3" xfId="9578"/>
    <cellStyle name="Millares 8 2 2 4 2 3" xfId="5905"/>
    <cellStyle name="Millares 8 2 2 4 2 3 2" xfId="9580"/>
    <cellStyle name="Millares 8 2 2 4 2 4" xfId="9577"/>
    <cellStyle name="Millares 8 2 2 4 3" xfId="3029"/>
    <cellStyle name="Millares 8 2 2 4 3 2" xfId="6887"/>
    <cellStyle name="Millares 8 2 2 4 3 2 2" xfId="9582"/>
    <cellStyle name="Millares 8 2 2 4 3 3" xfId="9581"/>
    <cellStyle name="Millares 8 2 2 4 4" xfId="4949"/>
    <cellStyle name="Millares 8 2 2 4 4 2" xfId="9583"/>
    <cellStyle name="Millares 8 2 2 4 5" xfId="9576"/>
    <cellStyle name="Millares 8 2 2 5" xfId="1546"/>
    <cellStyle name="Millares 8 2 2 5 2" xfId="2512"/>
    <cellStyle name="Millares 8 2 2 5 2 2" xfId="4457"/>
    <cellStyle name="Millares 8 2 2 5 2 2 2" xfId="8310"/>
    <cellStyle name="Millares 8 2 2 5 2 2 2 2" xfId="9587"/>
    <cellStyle name="Millares 8 2 2 5 2 2 3" xfId="9586"/>
    <cellStyle name="Millares 8 2 2 5 2 3" xfId="6372"/>
    <cellStyle name="Millares 8 2 2 5 2 3 2" xfId="9588"/>
    <cellStyle name="Millares 8 2 2 5 2 4" xfId="9585"/>
    <cellStyle name="Millares 8 2 2 5 3" xfId="3498"/>
    <cellStyle name="Millares 8 2 2 5 3 2" xfId="7354"/>
    <cellStyle name="Millares 8 2 2 5 3 2 2" xfId="9590"/>
    <cellStyle name="Millares 8 2 2 5 3 3" xfId="9589"/>
    <cellStyle name="Millares 8 2 2 5 4" xfId="5416"/>
    <cellStyle name="Millares 8 2 2 5 4 2" xfId="9591"/>
    <cellStyle name="Millares 8 2 2 5 5" xfId="9584"/>
    <cellStyle name="Millares 8 2 2 6" xfId="1806"/>
    <cellStyle name="Millares 8 2 2 6 2" xfId="3752"/>
    <cellStyle name="Millares 8 2 2 6 2 2" xfId="7605"/>
    <cellStyle name="Millares 8 2 2 6 2 2 2" xfId="9594"/>
    <cellStyle name="Millares 8 2 2 6 2 3" xfId="9593"/>
    <cellStyle name="Millares 8 2 2 6 3" xfId="5667"/>
    <cellStyle name="Millares 8 2 2 6 3 2" xfId="9595"/>
    <cellStyle name="Millares 8 2 2 6 4" xfId="9592"/>
    <cellStyle name="Millares 8 2 2 7" xfId="2790"/>
    <cellStyle name="Millares 8 2 2 7 2" xfId="6649"/>
    <cellStyle name="Millares 8 2 2 7 2 2" xfId="9597"/>
    <cellStyle name="Millares 8 2 2 7 3" xfId="9596"/>
    <cellStyle name="Millares 8 2 2 8" xfId="4717"/>
    <cellStyle name="Millares 8 2 2 8 2" xfId="9598"/>
    <cellStyle name="Millares 8 2 2 9" xfId="9535"/>
    <cellStyle name="Millares 8 2 3" xfId="896"/>
    <cellStyle name="Millares 8 2 3 2" xfId="1349"/>
    <cellStyle name="Millares 8 2 3 2 2" xfId="2320"/>
    <cellStyle name="Millares 8 2 3 2 2 2" xfId="4265"/>
    <cellStyle name="Millares 8 2 3 2 2 2 2" xfId="8118"/>
    <cellStyle name="Millares 8 2 3 2 2 2 2 2" xfId="9603"/>
    <cellStyle name="Millares 8 2 3 2 2 2 3" xfId="9602"/>
    <cellStyle name="Millares 8 2 3 2 2 3" xfId="6180"/>
    <cellStyle name="Millares 8 2 3 2 2 3 2" xfId="9604"/>
    <cellStyle name="Millares 8 2 3 2 2 4" xfId="9601"/>
    <cellStyle name="Millares 8 2 3 2 3" xfId="3304"/>
    <cellStyle name="Millares 8 2 3 2 3 2" xfId="7162"/>
    <cellStyle name="Millares 8 2 3 2 3 2 2" xfId="9606"/>
    <cellStyle name="Millares 8 2 3 2 3 3" xfId="9605"/>
    <cellStyle name="Millares 8 2 3 2 4" xfId="5224"/>
    <cellStyle name="Millares 8 2 3 2 4 2" xfId="9607"/>
    <cellStyle name="Millares 8 2 3 2 5" xfId="9600"/>
    <cellStyle name="Millares 8 2 3 3" xfId="1136"/>
    <cellStyle name="Millares 8 2 3 3 2" xfId="2107"/>
    <cellStyle name="Millares 8 2 3 3 2 2" xfId="4052"/>
    <cellStyle name="Millares 8 2 3 3 2 2 2" xfId="7905"/>
    <cellStyle name="Millares 8 2 3 3 2 2 2 2" xfId="9611"/>
    <cellStyle name="Millares 8 2 3 3 2 2 3" xfId="9610"/>
    <cellStyle name="Millares 8 2 3 3 2 3" xfId="5967"/>
    <cellStyle name="Millares 8 2 3 3 2 3 2" xfId="9612"/>
    <cellStyle name="Millares 8 2 3 3 2 4" xfId="9609"/>
    <cellStyle name="Millares 8 2 3 3 3" xfId="3091"/>
    <cellStyle name="Millares 8 2 3 3 3 2" xfId="6949"/>
    <cellStyle name="Millares 8 2 3 3 3 2 2" xfId="9614"/>
    <cellStyle name="Millares 8 2 3 3 3 3" xfId="9613"/>
    <cellStyle name="Millares 8 2 3 3 4" xfId="5011"/>
    <cellStyle name="Millares 8 2 3 3 4 2" xfId="9615"/>
    <cellStyle name="Millares 8 2 3 3 5" xfId="9608"/>
    <cellStyle name="Millares 8 2 3 4" xfId="1610"/>
    <cellStyle name="Millares 8 2 3 4 2" xfId="2571"/>
    <cellStyle name="Millares 8 2 3 4 2 2" xfId="4516"/>
    <cellStyle name="Millares 8 2 3 4 2 2 2" xfId="8369"/>
    <cellStyle name="Millares 8 2 3 4 2 2 2 2" xfId="9619"/>
    <cellStyle name="Millares 8 2 3 4 2 2 3" xfId="9618"/>
    <cellStyle name="Millares 8 2 3 4 2 3" xfId="6431"/>
    <cellStyle name="Millares 8 2 3 4 2 3 2" xfId="9620"/>
    <cellStyle name="Millares 8 2 3 4 2 4" xfId="9617"/>
    <cellStyle name="Millares 8 2 3 4 3" xfId="3557"/>
    <cellStyle name="Millares 8 2 3 4 3 2" xfId="7413"/>
    <cellStyle name="Millares 8 2 3 4 3 2 2" xfId="9622"/>
    <cellStyle name="Millares 8 2 3 4 3 3" xfId="9621"/>
    <cellStyle name="Millares 8 2 3 4 4" xfId="5475"/>
    <cellStyle name="Millares 8 2 3 4 4 2" xfId="9623"/>
    <cellStyle name="Millares 8 2 3 4 5" xfId="9616"/>
    <cellStyle name="Millares 8 2 3 5" xfId="1875"/>
    <cellStyle name="Millares 8 2 3 5 2" xfId="3820"/>
    <cellStyle name="Millares 8 2 3 5 2 2" xfId="7673"/>
    <cellStyle name="Millares 8 2 3 5 2 2 2" xfId="9626"/>
    <cellStyle name="Millares 8 2 3 5 2 3" xfId="9625"/>
    <cellStyle name="Millares 8 2 3 5 3" xfId="5735"/>
    <cellStyle name="Millares 8 2 3 5 3 2" xfId="9627"/>
    <cellStyle name="Millares 8 2 3 5 4" xfId="9624"/>
    <cellStyle name="Millares 8 2 3 6" xfId="2859"/>
    <cellStyle name="Millares 8 2 3 6 2" xfId="6717"/>
    <cellStyle name="Millares 8 2 3 6 2 2" xfId="9629"/>
    <cellStyle name="Millares 8 2 3 6 3" xfId="9628"/>
    <cellStyle name="Millares 8 2 3 7" xfId="4779"/>
    <cellStyle name="Millares 8 2 3 7 2" xfId="9630"/>
    <cellStyle name="Millares 8 2 3 8" xfId="9599"/>
    <cellStyle name="Millares 8 2 4" xfId="1242"/>
    <cellStyle name="Millares 8 2 4 2" xfId="1477"/>
    <cellStyle name="Millares 8 2 4 2 2" xfId="2447"/>
    <cellStyle name="Millares 8 2 4 2 2 2" xfId="4392"/>
    <cellStyle name="Millares 8 2 4 2 2 2 2" xfId="8245"/>
    <cellStyle name="Millares 8 2 4 2 2 2 2 2" xfId="9635"/>
    <cellStyle name="Millares 8 2 4 2 2 2 3" xfId="9634"/>
    <cellStyle name="Millares 8 2 4 2 2 3" xfId="6307"/>
    <cellStyle name="Millares 8 2 4 2 2 3 2" xfId="9636"/>
    <cellStyle name="Millares 8 2 4 2 2 4" xfId="9633"/>
    <cellStyle name="Millares 8 2 4 2 3" xfId="3431"/>
    <cellStyle name="Millares 8 2 4 2 3 2" xfId="7289"/>
    <cellStyle name="Millares 8 2 4 2 3 2 2" xfId="9638"/>
    <cellStyle name="Millares 8 2 4 2 3 3" xfId="9637"/>
    <cellStyle name="Millares 8 2 4 2 4" xfId="5351"/>
    <cellStyle name="Millares 8 2 4 2 4 2" xfId="9639"/>
    <cellStyle name="Millares 8 2 4 2 5" xfId="9632"/>
    <cellStyle name="Millares 8 2 4 3" xfId="2213"/>
    <cellStyle name="Millares 8 2 4 3 2" xfId="4158"/>
    <cellStyle name="Millares 8 2 4 3 2 2" xfId="8011"/>
    <cellStyle name="Millares 8 2 4 3 2 2 2" xfId="9642"/>
    <cellStyle name="Millares 8 2 4 3 2 3" xfId="9641"/>
    <cellStyle name="Millares 8 2 4 3 3" xfId="6073"/>
    <cellStyle name="Millares 8 2 4 3 3 2" xfId="9643"/>
    <cellStyle name="Millares 8 2 4 3 4" xfId="9640"/>
    <cellStyle name="Millares 8 2 4 4" xfId="3197"/>
    <cellStyle name="Millares 8 2 4 4 2" xfId="7055"/>
    <cellStyle name="Millares 8 2 4 4 2 2" xfId="9645"/>
    <cellStyle name="Millares 8 2 4 4 3" xfId="9644"/>
    <cellStyle name="Millares 8 2 4 5" xfId="5117"/>
    <cellStyle name="Millares 8 2 4 5 2" xfId="9646"/>
    <cellStyle name="Millares 8 2 4 6" xfId="9631"/>
    <cellStyle name="Millares 8 2 5" xfId="1010"/>
    <cellStyle name="Millares 8 2 5 2" xfId="1984"/>
    <cellStyle name="Millares 8 2 5 2 2" xfId="3929"/>
    <cellStyle name="Millares 8 2 5 2 2 2" xfId="7782"/>
    <cellStyle name="Millares 8 2 5 2 2 2 2" xfId="9650"/>
    <cellStyle name="Millares 8 2 5 2 2 3" xfId="9649"/>
    <cellStyle name="Millares 8 2 5 2 3" xfId="5844"/>
    <cellStyle name="Millares 8 2 5 2 3 2" xfId="9651"/>
    <cellStyle name="Millares 8 2 5 2 4" xfId="9648"/>
    <cellStyle name="Millares 8 2 5 3" xfId="2968"/>
    <cellStyle name="Millares 8 2 5 3 2" xfId="6826"/>
    <cellStyle name="Millares 8 2 5 3 2 2" xfId="9653"/>
    <cellStyle name="Millares 8 2 5 3 3" xfId="9652"/>
    <cellStyle name="Millares 8 2 5 4" xfId="4888"/>
    <cellStyle name="Millares 8 2 5 4 2" xfId="9654"/>
    <cellStyle name="Millares 8 2 5 5" xfId="9647"/>
    <cellStyle name="Millares 8 2 6" xfId="1492"/>
    <cellStyle name="Millares 8 2 6 2" xfId="2461"/>
    <cellStyle name="Millares 8 2 6 2 2" xfId="4406"/>
    <cellStyle name="Millares 8 2 6 2 2 2" xfId="8259"/>
    <cellStyle name="Millares 8 2 6 2 2 2 2" xfId="9658"/>
    <cellStyle name="Millares 8 2 6 2 2 3" xfId="9657"/>
    <cellStyle name="Millares 8 2 6 2 3" xfId="6321"/>
    <cellStyle name="Millares 8 2 6 2 3 2" xfId="9659"/>
    <cellStyle name="Millares 8 2 6 2 4" xfId="9656"/>
    <cellStyle name="Millares 8 2 6 3" xfId="3445"/>
    <cellStyle name="Millares 8 2 6 3 2" xfId="7303"/>
    <cellStyle name="Millares 8 2 6 3 2 2" xfId="9661"/>
    <cellStyle name="Millares 8 2 6 3 3" xfId="9660"/>
    <cellStyle name="Millares 8 2 6 4" xfId="5365"/>
    <cellStyle name="Millares 8 2 6 4 2" xfId="9662"/>
    <cellStyle name="Millares 8 2 6 5" xfId="9655"/>
    <cellStyle name="Millares 8 2 7" xfId="1745"/>
    <cellStyle name="Millares 8 2 7 2" xfId="3691"/>
    <cellStyle name="Millares 8 2 7 2 2" xfId="7544"/>
    <cellStyle name="Millares 8 2 7 2 2 2" xfId="9665"/>
    <cellStyle name="Millares 8 2 7 2 3" xfId="9664"/>
    <cellStyle name="Millares 8 2 7 3" xfId="5606"/>
    <cellStyle name="Millares 8 2 7 3 2" xfId="9666"/>
    <cellStyle name="Millares 8 2 7 4" xfId="9663"/>
    <cellStyle name="Millares 8 2 8" xfId="2729"/>
    <cellStyle name="Millares 8 2 8 2" xfId="6588"/>
    <cellStyle name="Millares 8 2 8 2 2" xfId="9668"/>
    <cellStyle name="Millares 8 2 8 3" xfId="9667"/>
    <cellStyle name="Millares 8 2 9" xfId="4656"/>
    <cellStyle name="Millares 8 2 9 2" xfId="9669"/>
    <cellStyle name="Millares 8 3" xfId="600"/>
    <cellStyle name="Millares 8 3 2" xfId="897"/>
    <cellStyle name="Millares 8 3 2 2" xfId="1391"/>
    <cellStyle name="Millares 8 3 2 2 2" xfId="2362"/>
    <cellStyle name="Millares 8 3 2 2 2 2" xfId="4307"/>
    <cellStyle name="Millares 8 3 2 2 2 2 2" xfId="8160"/>
    <cellStyle name="Millares 8 3 2 2 2 2 2 2" xfId="9675"/>
    <cellStyle name="Millares 8 3 2 2 2 2 3" xfId="9674"/>
    <cellStyle name="Millares 8 3 2 2 2 3" xfId="6222"/>
    <cellStyle name="Millares 8 3 2 2 2 3 2" xfId="9676"/>
    <cellStyle name="Millares 8 3 2 2 2 4" xfId="9673"/>
    <cellStyle name="Millares 8 3 2 2 3" xfId="3346"/>
    <cellStyle name="Millares 8 3 2 2 3 2" xfId="7204"/>
    <cellStyle name="Millares 8 3 2 2 3 2 2" xfId="9678"/>
    <cellStyle name="Millares 8 3 2 2 3 3" xfId="9677"/>
    <cellStyle name="Millares 8 3 2 2 4" xfId="5266"/>
    <cellStyle name="Millares 8 3 2 2 4 2" xfId="9679"/>
    <cellStyle name="Millares 8 3 2 2 5" xfId="9672"/>
    <cellStyle name="Millares 8 3 2 3" xfId="1137"/>
    <cellStyle name="Millares 8 3 2 3 2" xfId="2108"/>
    <cellStyle name="Millares 8 3 2 3 2 2" xfId="4053"/>
    <cellStyle name="Millares 8 3 2 3 2 2 2" xfId="7906"/>
    <cellStyle name="Millares 8 3 2 3 2 2 2 2" xfId="9683"/>
    <cellStyle name="Millares 8 3 2 3 2 2 3" xfId="9682"/>
    <cellStyle name="Millares 8 3 2 3 2 3" xfId="5968"/>
    <cellStyle name="Millares 8 3 2 3 2 3 2" xfId="9684"/>
    <cellStyle name="Millares 8 3 2 3 2 4" xfId="9681"/>
    <cellStyle name="Millares 8 3 2 3 3" xfId="3092"/>
    <cellStyle name="Millares 8 3 2 3 3 2" xfId="6950"/>
    <cellStyle name="Millares 8 3 2 3 3 2 2" xfId="9686"/>
    <cellStyle name="Millares 8 3 2 3 3 3" xfId="9685"/>
    <cellStyle name="Millares 8 3 2 3 4" xfId="5012"/>
    <cellStyle name="Millares 8 3 2 3 4 2" xfId="9687"/>
    <cellStyle name="Millares 8 3 2 3 5" xfId="9680"/>
    <cellStyle name="Millares 8 3 2 4" xfId="1652"/>
    <cellStyle name="Millares 8 3 2 4 2" xfId="2613"/>
    <cellStyle name="Millares 8 3 2 4 2 2" xfId="4558"/>
    <cellStyle name="Millares 8 3 2 4 2 2 2" xfId="8411"/>
    <cellStyle name="Millares 8 3 2 4 2 2 2 2" xfId="9691"/>
    <cellStyle name="Millares 8 3 2 4 2 2 3" xfId="9690"/>
    <cellStyle name="Millares 8 3 2 4 2 3" xfId="6473"/>
    <cellStyle name="Millares 8 3 2 4 2 3 2" xfId="9692"/>
    <cellStyle name="Millares 8 3 2 4 2 4" xfId="9689"/>
    <cellStyle name="Millares 8 3 2 4 3" xfId="3599"/>
    <cellStyle name="Millares 8 3 2 4 3 2" xfId="7455"/>
    <cellStyle name="Millares 8 3 2 4 3 2 2" xfId="9694"/>
    <cellStyle name="Millares 8 3 2 4 3 3" xfId="9693"/>
    <cellStyle name="Millares 8 3 2 4 4" xfId="5517"/>
    <cellStyle name="Millares 8 3 2 4 4 2" xfId="9695"/>
    <cellStyle name="Millares 8 3 2 4 5" xfId="9688"/>
    <cellStyle name="Millares 8 3 2 5" xfId="1876"/>
    <cellStyle name="Millares 8 3 2 5 2" xfId="3821"/>
    <cellStyle name="Millares 8 3 2 5 2 2" xfId="7674"/>
    <cellStyle name="Millares 8 3 2 5 2 2 2" xfId="9698"/>
    <cellStyle name="Millares 8 3 2 5 2 3" xfId="9697"/>
    <cellStyle name="Millares 8 3 2 5 3" xfId="5736"/>
    <cellStyle name="Millares 8 3 2 5 3 2" xfId="9699"/>
    <cellStyle name="Millares 8 3 2 5 4" xfId="9696"/>
    <cellStyle name="Millares 8 3 2 6" xfId="2860"/>
    <cellStyle name="Millares 8 3 2 6 2" xfId="6718"/>
    <cellStyle name="Millares 8 3 2 6 2 2" xfId="9701"/>
    <cellStyle name="Millares 8 3 2 6 3" xfId="9700"/>
    <cellStyle name="Millares 8 3 2 7" xfId="4780"/>
    <cellStyle name="Millares 8 3 2 7 2" xfId="9702"/>
    <cellStyle name="Millares 8 3 2 8" xfId="9671"/>
    <cellStyle name="Millares 8 3 3" xfId="1290"/>
    <cellStyle name="Millares 8 3 3 2" xfId="2261"/>
    <cellStyle name="Millares 8 3 3 2 2" xfId="4206"/>
    <cellStyle name="Millares 8 3 3 2 2 2" xfId="8059"/>
    <cellStyle name="Millares 8 3 3 2 2 2 2" xfId="9706"/>
    <cellStyle name="Millares 8 3 3 2 2 3" xfId="9705"/>
    <cellStyle name="Millares 8 3 3 2 3" xfId="6121"/>
    <cellStyle name="Millares 8 3 3 2 3 2" xfId="9707"/>
    <cellStyle name="Millares 8 3 3 2 4" xfId="9704"/>
    <cellStyle name="Millares 8 3 3 3" xfId="3245"/>
    <cellStyle name="Millares 8 3 3 3 2" xfId="7103"/>
    <cellStyle name="Millares 8 3 3 3 2 2" xfId="9709"/>
    <cellStyle name="Millares 8 3 3 3 3" xfId="9708"/>
    <cellStyle name="Millares 8 3 3 4" xfId="5165"/>
    <cellStyle name="Millares 8 3 3 4 2" xfId="9710"/>
    <cellStyle name="Millares 8 3 3 5" xfId="9703"/>
    <cellStyle name="Millares 8 3 4" xfId="1057"/>
    <cellStyle name="Millares 8 3 4 2" xfId="2029"/>
    <cellStyle name="Millares 8 3 4 2 2" xfId="3974"/>
    <cellStyle name="Millares 8 3 4 2 2 2" xfId="7827"/>
    <cellStyle name="Millares 8 3 4 2 2 2 2" xfId="9714"/>
    <cellStyle name="Millares 8 3 4 2 2 3" xfId="9713"/>
    <cellStyle name="Millares 8 3 4 2 3" xfId="5889"/>
    <cellStyle name="Millares 8 3 4 2 3 2" xfId="9715"/>
    <cellStyle name="Millares 8 3 4 2 4" xfId="9712"/>
    <cellStyle name="Millares 8 3 4 3" xfId="3013"/>
    <cellStyle name="Millares 8 3 4 3 2" xfId="6871"/>
    <cellStyle name="Millares 8 3 4 3 2 2" xfId="9717"/>
    <cellStyle name="Millares 8 3 4 3 3" xfId="9716"/>
    <cellStyle name="Millares 8 3 4 4" xfId="4933"/>
    <cellStyle name="Millares 8 3 4 4 2" xfId="9718"/>
    <cellStyle name="Millares 8 3 4 5" xfId="9711"/>
    <cellStyle name="Millares 8 3 5" xfId="1545"/>
    <cellStyle name="Millares 8 3 5 2" xfId="2511"/>
    <cellStyle name="Millares 8 3 5 2 2" xfId="4456"/>
    <cellStyle name="Millares 8 3 5 2 2 2" xfId="8309"/>
    <cellStyle name="Millares 8 3 5 2 2 2 2" xfId="9722"/>
    <cellStyle name="Millares 8 3 5 2 2 3" xfId="9721"/>
    <cellStyle name="Millares 8 3 5 2 3" xfId="6371"/>
    <cellStyle name="Millares 8 3 5 2 3 2" xfId="9723"/>
    <cellStyle name="Millares 8 3 5 2 4" xfId="9720"/>
    <cellStyle name="Millares 8 3 5 3" xfId="3497"/>
    <cellStyle name="Millares 8 3 5 3 2" xfId="7353"/>
    <cellStyle name="Millares 8 3 5 3 2 2" xfId="9725"/>
    <cellStyle name="Millares 8 3 5 3 3" xfId="9724"/>
    <cellStyle name="Millares 8 3 5 4" xfId="5415"/>
    <cellStyle name="Millares 8 3 5 4 2" xfId="9726"/>
    <cellStyle name="Millares 8 3 5 5" xfId="9719"/>
    <cellStyle name="Millares 8 3 6" xfId="1790"/>
    <cellStyle name="Millares 8 3 6 2" xfId="3736"/>
    <cellStyle name="Millares 8 3 6 2 2" xfId="7589"/>
    <cellStyle name="Millares 8 3 6 2 2 2" xfId="9729"/>
    <cellStyle name="Millares 8 3 6 2 3" xfId="9728"/>
    <cellStyle name="Millares 8 3 6 3" xfId="5651"/>
    <cellStyle name="Millares 8 3 6 3 2" xfId="9730"/>
    <cellStyle name="Millares 8 3 6 4" xfId="9727"/>
    <cellStyle name="Millares 8 3 7" xfId="2774"/>
    <cellStyle name="Millares 8 3 7 2" xfId="6633"/>
    <cellStyle name="Millares 8 3 7 2 2" xfId="9732"/>
    <cellStyle name="Millares 8 3 7 3" xfId="9731"/>
    <cellStyle name="Millares 8 3 8" xfId="4701"/>
    <cellStyle name="Millares 8 3 8 2" xfId="9733"/>
    <cellStyle name="Millares 8 3 9" xfId="9670"/>
    <cellStyle name="Millares 8 4" xfId="898"/>
    <cellStyle name="Millares 8 4 2" xfId="1348"/>
    <cellStyle name="Millares 8 4 2 2" xfId="2319"/>
    <cellStyle name="Millares 8 4 2 2 2" xfId="4264"/>
    <cellStyle name="Millares 8 4 2 2 2 2" xfId="8117"/>
    <cellStyle name="Millares 8 4 2 2 2 2 2" xfId="9738"/>
    <cellStyle name="Millares 8 4 2 2 2 3" xfId="9737"/>
    <cellStyle name="Millares 8 4 2 2 3" xfId="6179"/>
    <cellStyle name="Millares 8 4 2 2 3 2" xfId="9739"/>
    <cellStyle name="Millares 8 4 2 2 4" xfId="9736"/>
    <cellStyle name="Millares 8 4 2 3" xfId="3303"/>
    <cellStyle name="Millares 8 4 2 3 2" xfId="7161"/>
    <cellStyle name="Millares 8 4 2 3 2 2" xfId="9741"/>
    <cellStyle name="Millares 8 4 2 3 3" xfId="9740"/>
    <cellStyle name="Millares 8 4 2 4" xfId="5223"/>
    <cellStyle name="Millares 8 4 2 4 2" xfId="9742"/>
    <cellStyle name="Millares 8 4 2 5" xfId="9735"/>
    <cellStyle name="Millares 8 4 3" xfId="1138"/>
    <cellStyle name="Millares 8 4 3 2" xfId="2109"/>
    <cellStyle name="Millares 8 4 3 2 2" xfId="4054"/>
    <cellStyle name="Millares 8 4 3 2 2 2" xfId="7907"/>
    <cellStyle name="Millares 8 4 3 2 2 2 2" xfId="9746"/>
    <cellStyle name="Millares 8 4 3 2 2 3" xfId="9745"/>
    <cellStyle name="Millares 8 4 3 2 3" xfId="5969"/>
    <cellStyle name="Millares 8 4 3 2 3 2" xfId="9747"/>
    <cellStyle name="Millares 8 4 3 2 4" xfId="9744"/>
    <cellStyle name="Millares 8 4 3 3" xfId="3093"/>
    <cellStyle name="Millares 8 4 3 3 2" xfId="6951"/>
    <cellStyle name="Millares 8 4 3 3 2 2" xfId="9749"/>
    <cellStyle name="Millares 8 4 3 3 3" xfId="9748"/>
    <cellStyle name="Millares 8 4 3 4" xfId="5013"/>
    <cellStyle name="Millares 8 4 3 4 2" xfId="9750"/>
    <cellStyle name="Millares 8 4 3 5" xfId="9743"/>
    <cellStyle name="Millares 8 4 4" xfId="1609"/>
    <cellStyle name="Millares 8 4 4 2" xfId="2570"/>
    <cellStyle name="Millares 8 4 4 2 2" xfId="4515"/>
    <cellStyle name="Millares 8 4 4 2 2 2" xfId="8368"/>
    <cellStyle name="Millares 8 4 4 2 2 2 2" xfId="9754"/>
    <cellStyle name="Millares 8 4 4 2 2 3" xfId="9753"/>
    <cellStyle name="Millares 8 4 4 2 3" xfId="6430"/>
    <cellStyle name="Millares 8 4 4 2 3 2" xfId="9755"/>
    <cellStyle name="Millares 8 4 4 2 4" xfId="9752"/>
    <cellStyle name="Millares 8 4 4 3" xfId="3556"/>
    <cellStyle name="Millares 8 4 4 3 2" xfId="7412"/>
    <cellStyle name="Millares 8 4 4 3 2 2" xfId="9757"/>
    <cellStyle name="Millares 8 4 4 3 3" xfId="9756"/>
    <cellStyle name="Millares 8 4 4 4" xfId="5474"/>
    <cellStyle name="Millares 8 4 4 4 2" xfId="9758"/>
    <cellStyle name="Millares 8 4 4 5" xfId="9751"/>
    <cellStyle name="Millares 8 4 5" xfId="1877"/>
    <cellStyle name="Millares 8 4 5 2" xfId="3822"/>
    <cellStyle name="Millares 8 4 5 2 2" xfId="7675"/>
    <cellStyle name="Millares 8 4 5 2 2 2" xfId="9761"/>
    <cellStyle name="Millares 8 4 5 2 3" xfId="9760"/>
    <cellStyle name="Millares 8 4 5 3" xfId="5737"/>
    <cellStyle name="Millares 8 4 5 3 2" xfId="9762"/>
    <cellStyle name="Millares 8 4 5 4" xfId="9759"/>
    <cellStyle name="Millares 8 4 6" xfId="2861"/>
    <cellStyle name="Millares 8 4 6 2" xfId="6719"/>
    <cellStyle name="Millares 8 4 6 2 2" xfId="9764"/>
    <cellStyle name="Millares 8 4 6 3" xfId="9763"/>
    <cellStyle name="Millares 8 4 7" xfId="4781"/>
    <cellStyle name="Millares 8 4 7 2" xfId="9765"/>
    <cellStyle name="Millares 8 4 8" xfId="9734"/>
    <cellStyle name="Millares 8 5" xfId="1248"/>
    <cellStyle name="Millares 8 5 2" xfId="2219"/>
    <cellStyle name="Millares 8 5 2 2" xfId="4164"/>
    <cellStyle name="Millares 8 5 2 2 2" xfId="8017"/>
    <cellStyle name="Millares 8 5 2 2 2 2" xfId="9769"/>
    <cellStyle name="Millares 8 5 2 2 3" xfId="9768"/>
    <cellStyle name="Millares 8 5 2 3" xfId="6079"/>
    <cellStyle name="Millares 8 5 2 3 2" xfId="9770"/>
    <cellStyle name="Millares 8 5 2 4" xfId="9767"/>
    <cellStyle name="Millares 8 5 3" xfId="3203"/>
    <cellStyle name="Millares 8 5 3 2" xfId="7061"/>
    <cellStyle name="Millares 8 5 3 2 2" xfId="9772"/>
    <cellStyle name="Millares 8 5 3 3" xfId="9771"/>
    <cellStyle name="Millares 8 5 4" xfId="5123"/>
    <cellStyle name="Millares 8 5 4 2" xfId="9773"/>
    <cellStyle name="Millares 8 5 5" xfId="9766"/>
    <cellStyle name="Millares 8 6" xfId="1009"/>
    <cellStyle name="Millares 8 6 2" xfId="1983"/>
    <cellStyle name="Millares 8 6 2 2" xfId="3928"/>
    <cellStyle name="Millares 8 6 2 2 2" xfId="7781"/>
    <cellStyle name="Millares 8 6 2 2 2 2" xfId="9777"/>
    <cellStyle name="Millares 8 6 2 2 3" xfId="9776"/>
    <cellStyle name="Millares 8 6 2 3" xfId="5843"/>
    <cellStyle name="Millares 8 6 2 3 2" xfId="9778"/>
    <cellStyle name="Millares 8 6 2 4" xfId="9775"/>
    <cellStyle name="Millares 8 6 3" xfId="2967"/>
    <cellStyle name="Millares 8 6 3 2" xfId="6825"/>
    <cellStyle name="Millares 8 6 3 2 2" xfId="9780"/>
    <cellStyle name="Millares 8 6 3 3" xfId="9779"/>
    <cellStyle name="Millares 8 6 4" xfId="4887"/>
    <cellStyle name="Millares 8 6 4 2" xfId="9781"/>
    <cellStyle name="Millares 8 6 5" xfId="9774"/>
    <cellStyle name="Millares 8 7" xfId="1491"/>
    <cellStyle name="Millares 8 7 2" xfId="2460"/>
    <cellStyle name="Millares 8 7 2 2" xfId="4405"/>
    <cellStyle name="Millares 8 7 2 2 2" xfId="8258"/>
    <cellStyle name="Millares 8 7 2 2 2 2" xfId="9785"/>
    <cellStyle name="Millares 8 7 2 2 3" xfId="9784"/>
    <cellStyle name="Millares 8 7 2 3" xfId="6320"/>
    <cellStyle name="Millares 8 7 2 3 2" xfId="9786"/>
    <cellStyle name="Millares 8 7 2 4" xfId="9783"/>
    <cellStyle name="Millares 8 7 3" xfId="3444"/>
    <cellStyle name="Millares 8 7 3 2" xfId="7302"/>
    <cellStyle name="Millares 8 7 3 2 2" xfId="9788"/>
    <cellStyle name="Millares 8 7 3 3" xfId="9787"/>
    <cellStyle name="Millares 8 7 4" xfId="5364"/>
    <cellStyle name="Millares 8 7 4 2" xfId="9789"/>
    <cellStyle name="Millares 8 7 5" xfId="9782"/>
    <cellStyle name="Millares 8 8" xfId="1744"/>
    <cellStyle name="Millares 8 8 2" xfId="3690"/>
    <cellStyle name="Millares 8 8 2 2" xfId="7543"/>
    <cellStyle name="Millares 8 8 2 2 2" xfId="9792"/>
    <cellStyle name="Millares 8 8 2 3" xfId="9791"/>
    <cellStyle name="Millares 8 8 3" xfId="5605"/>
    <cellStyle name="Millares 8 8 3 2" xfId="9793"/>
    <cellStyle name="Millares 8 8 4" xfId="9790"/>
    <cellStyle name="Millares 8 9" xfId="2728"/>
    <cellStyle name="Millares 8 9 2" xfId="6587"/>
    <cellStyle name="Millares 8 9 2 2" xfId="9795"/>
    <cellStyle name="Millares 8 9 3" xfId="9794"/>
    <cellStyle name="Millares 9" xfId="48"/>
    <cellStyle name="Millares 9 10" xfId="9796"/>
    <cellStyle name="Millares 9 2" xfId="603"/>
    <cellStyle name="Millares 9 2 2" xfId="899"/>
    <cellStyle name="Millares 9 2 2 2" xfId="1393"/>
    <cellStyle name="Millares 9 2 2 2 2" xfId="2364"/>
    <cellStyle name="Millares 9 2 2 2 2 2" xfId="4309"/>
    <cellStyle name="Millares 9 2 2 2 2 2 2" xfId="8162"/>
    <cellStyle name="Millares 9 2 2 2 2 2 2 2" xfId="9802"/>
    <cellStyle name="Millares 9 2 2 2 2 2 3" xfId="9801"/>
    <cellStyle name="Millares 9 2 2 2 2 3" xfId="6224"/>
    <cellStyle name="Millares 9 2 2 2 2 3 2" xfId="9803"/>
    <cellStyle name="Millares 9 2 2 2 2 4" xfId="9800"/>
    <cellStyle name="Millares 9 2 2 2 3" xfId="3348"/>
    <cellStyle name="Millares 9 2 2 2 3 2" xfId="7206"/>
    <cellStyle name="Millares 9 2 2 2 3 2 2" xfId="9805"/>
    <cellStyle name="Millares 9 2 2 2 3 3" xfId="9804"/>
    <cellStyle name="Millares 9 2 2 2 4" xfId="5268"/>
    <cellStyle name="Millares 9 2 2 2 4 2" xfId="9806"/>
    <cellStyle name="Millares 9 2 2 2 5" xfId="9799"/>
    <cellStyle name="Millares 9 2 2 3" xfId="1139"/>
    <cellStyle name="Millares 9 2 2 3 2" xfId="2110"/>
    <cellStyle name="Millares 9 2 2 3 2 2" xfId="4055"/>
    <cellStyle name="Millares 9 2 2 3 2 2 2" xfId="7908"/>
    <cellStyle name="Millares 9 2 2 3 2 2 2 2" xfId="9810"/>
    <cellStyle name="Millares 9 2 2 3 2 2 3" xfId="9809"/>
    <cellStyle name="Millares 9 2 2 3 2 3" xfId="5970"/>
    <cellStyle name="Millares 9 2 2 3 2 3 2" xfId="9811"/>
    <cellStyle name="Millares 9 2 2 3 2 4" xfId="9808"/>
    <cellStyle name="Millares 9 2 2 3 3" xfId="3094"/>
    <cellStyle name="Millares 9 2 2 3 3 2" xfId="6952"/>
    <cellStyle name="Millares 9 2 2 3 3 2 2" xfId="9813"/>
    <cellStyle name="Millares 9 2 2 3 3 3" xfId="9812"/>
    <cellStyle name="Millares 9 2 2 3 4" xfId="5014"/>
    <cellStyle name="Millares 9 2 2 3 4 2" xfId="9814"/>
    <cellStyle name="Millares 9 2 2 3 5" xfId="9807"/>
    <cellStyle name="Millares 9 2 2 4" xfId="1654"/>
    <cellStyle name="Millares 9 2 2 4 2" xfId="2615"/>
    <cellStyle name="Millares 9 2 2 4 2 2" xfId="4560"/>
    <cellStyle name="Millares 9 2 2 4 2 2 2" xfId="8413"/>
    <cellStyle name="Millares 9 2 2 4 2 2 2 2" xfId="9818"/>
    <cellStyle name="Millares 9 2 2 4 2 2 3" xfId="9817"/>
    <cellStyle name="Millares 9 2 2 4 2 3" xfId="6475"/>
    <cellStyle name="Millares 9 2 2 4 2 3 2" xfId="9819"/>
    <cellStyle name="Millares 9 2 2 4 2 4" xfId="9816"/>
    <cellStyle name="Millares 9 2 2 4 3" xfId="3601"/>
    <cellStyle name="Millares 9 2 2 4 3 2" xfId="7457"/>
    <cellStyle name="Millares 9 2 2 4 3 2 2" xfId="9821"/>
    <cellStyle name="Millares 9 2 2 4 3 3" xfId="9820"/>
    <cellStyle name="Millares 9 2 2 4 4" xfId="5519"/>
    <cellStyle name="Millares 9 2 2 4 4 2" xfId="9822"/>
    <cellStyle name="Millares 9 2 2 4 5" xfId="9815"/>
    <cellStyle name="Millares 9 2 2 5" xfId="1878"/>
    <cellStyle name="Millares 9 2 2 5 2" xfId="3823"/>
    <cellStyle name="Millares 9 2 2 5 2 2" xfId="7676"/>
    <cellStyle name="Millares 9 2 2 5 2 2 2" xfId="9825"/>
    <cellStyle name="Millares 9 2 2 5 2 3" xfId="9824"/>
    <cellStyle name="Millares 9 2 2 5 3" xfId="5738"/>
    <cellStyle name="Millares 9 2 2 5 3 2" xfId="9826"/>
    <cellStyle name="Millares 9 2 2 5 4" xfId="9823"/>
    <cellStyle name="Millares 9 2 2 6" xfId="2862"/>
    <cellStyle name="Millares 9 2 2 6 2" xfId="6720"/>
    <cellStyle name="Millares 9 2 2 6 2 2" xfId="9828"/>
    <cellStyle name="Millares 9 2 2 6 3" xfId="9827"/>
    <cellStyle name="Millares 9 2 2 7" xfId="4782"/>
    <cellStyle name="Millares 9 2 2 7 2" xfId="9829"/>
    <cellStyle name="Millares 9 2 2 8" xfId="9798"/>
    <cellStyle name="Millares 9 2 3" xfId="1292"/>
    <cellStyle name="Millares 9 2 3 2" xfId="2263"/>
    <cellStyle name="Millares 9 2 3 2 2" xfId="4208"/>
    <cellStyle name="Millares 9 2 3 2 2 2" xfId="8061"/>
    <cellStyle name="Millares 9 2 3 2 2 2 2" xfId="9833"/>
    <cellStyle name="Millares 9 2 3 2 2 3" xfId="9832"/>
    <cellStyle name="Millares 9 2 3 2 3" xfId="6123"/>
    <cellStyle name="Millares 9 2 3 2 3 2" xfId="9834"/>
    <cellStyle name="Millares 9 2 3 2 4" xfId="9831"/>
    <cellStyle name="Millares 9 2 3 3" xfId="3247"/>
    <cellStyle name="Millares 9 2 3 3 2" xfId="7105"/>
    <cellStyle name="Millares 9 2 3 3 2 2" xfId="9836"/>
    <cellStyle name="Millares 9 2 3 3 3" xfId="9835"/>
    <cellStyle name="Millares 9 2 3 4" xfId="5167"/>
    <cellStyle name="Millares 9 2 3 4 2" xfId="9837"/>
    <cellStyle name="Millares 9 2 3 5" xfId="9830"/>
    <cellStyle name="Millares 9 2 4" xfId="1059"/>
    <cellStyle name="Millares 9 2 4 2" xfId="2031"/>
    <cellStyle name="Millares 9 2 4 2 2" xfId="3976"/>
    <cellStyle name="Millares 9 2 4 2 2 2" xfId="7829"/>
    <cellStyle name="Millares 9 2 4 2 2 2 2" xfId="9841"/>
    <cellStyle name="Millares 9 2 4 2 2 3" xfId="9840"/>
    <cellStyle name="Millares 9 2 4 2 3" xfId="5891"/>
    <cellStyle name="Millares 9 2 4 2 3 2" xfId="9842"/>
    <cellStyle name="Millares 9 2 4 2 4" xfId="9839"/>
    <cellStyle name="Millares 9 2 4 3" xfId="3015"/>
    <cellStyle name="Millares 9 2 4 3 2" xfId="6873"/>
    <cellStyle name="Millares 9 2 4 3 2 2" xfId="9844"/>
    <cellStyle name="Millares 9 2 4 3 3" xfId="9843"/>
    <cellStyle name="Millares 9 2 4 4" xfId="4935"/>
    <cellStyle name="Millares 9 2 4 4 2" xfId="9845"/>
    <cellStyle name="Millares 9 2 4 5" xfId="9838"/>
    <cellStyle name="Millares 9 2 5" xfId="1547"/>
    <cellStyle name="Millares 9 2 5 2" xfId="2513"/>
    <cellStyle name="Millares 9 2 5 2 2" xfId="4458"/>
    <cellStyle name="Millares 9 2 5 2 2 2" xfId="8311"/>
    <cellStyle name="Millares 9 2 5 2 2 2 2" xfId="9849"/>
    <cellStyle name="Millares 9 2 5 2 2 3" xfId="9848"/>
    <cellStyle name="Millares 9 2 5 2 3" xfId="6373"/>
    <cellStyle name="Millares 9 2 5 2 3 2" xfId="9850"/>
    <cellStyle name="Millares 9 2 5 2 4" xfId="9847"/>
    <cellStyle name="Millares 9 2 5 3" xfId="3499"/>
    <cellStyle name="Millares 9 2 5 3 2" xfId="7355"/>
    <cellStyle name="Millares 9 2 5 3 2 2" xfId="9852"/>
    <cellStyle name="Millares 9 2 5 3 3" xfId="9851"/>
    <cellStyle name="Millares 9 2 5 4" xfId="5417"/>
    <cellStyle name="Millares 9 2 5 4 2" xfId="9853"/>
    <cellStyle name="Millares 9 2 5 5" xfId="9846"/>
    <cellStyle name="Millares 9 2 6" xfId="1792"/>
    <cellStyle name="Millares 9 2 6 2" xfId="3738"/>
    <cellStyle name="Millares 9 2 6 2 2" xfId="7591"/>
    <cellStyle name="Millares 9 2 6 2 2 2" xfId="9856"/>
    <cellStyle name="Millares 9 2 6 2 3" xfId="9855"/>
    <cellStyle name="Millares 9 2 6 3" xfId="5653"/>
    <cellStyle name="Millares 9 2 6 3 2" xfId="9857"/>
    <cellStyle name="Millares 9 2 6 4" xfId="9854"/>
    <cellStyle name="Millares 9 2 7" xfId="2776"/>
    <cellStyle name="Millares 9 2 7 2" xfId="6635"/>
    <cellStyle name="Millares 9 2 7 2 2" xfId="9859"/>
    <cellStyle name="Millares 9 2 7 3" xfId="9858"/>
    <cellStyle name="Millares 9 2 8" xfId="4703"/>
    <cellStyle name="Millares 9 2 8 2" xfId="9860"/>
    <cellStyle name="Millares 9 2 9" xfId="9797"/>
    <cellStyle name="Millares 9 3" xfId="900"/>
    <cellStyle name="Millares 9 3 2" xfId="1350"/>
    <cellStyle name="Millares 9 3 2 2" xfId="2321"/>
    <cellStyle name="Millares 9 3 2 2 2" xfId="4266"/>
    <cellStyle name="Millares 9 3 2 2 2 2" xfId="8119"/>
    <cellStyle name="Millares 9 3 2 2 2 2 2" xfId="9865"/>
    <cellStyle name="Millares 9 3 2 2 2 3" xfId="9864"/>
    <cellStyle name="Millares 9 3 2 2 3" xfId="6181"/>
    <cellStyle name="Millares 9 3 2 2 3 2" xfId="9866"/>
    <cellStyle name="Millares 9 3 2 2 4" xfId="9863"/>
    <cellStyle name="Millares 9 3 2 3" xfId="3305"/>
    <cellStyle name="Millares 9 3 2 3 2" xfId="7163"/>
    <cellStyle name="Millares 9 3 2 3 2 2" xfId="9868"/>
    <cellStyle name="Millares 9 3 2 3 3" xfId="9867"/>
    <cellStyle name="Millares 9 3 2 4" xfId="5225"/>
    <cellStyle name="Millares 9 3 2 4 2" xfId="9869"/>
    <cellStyle name="Millares 9 3 2 5" xfId="9862"/>
    <cellStyle name="Millares 9 3 3" xfId="1140"/>
    <cellStyle name="Millares 9 3 3 2" xfId="2111"/>
    <cellStyle name="Millares 9 3 3 2 2" xfId="4056"/>
    <cellStyle name="Millares 9 3 3 2 2 2" xfId="7909"/>
    <cellStyle name="Millares 9 3 3 2 2 2 2" xfId="9873"/>
    <cellStyle name="Millares 9 3 3 2 2 3" xfId="9872"/>
    <cellStyle name="Millares 9 3 3 2 3" xfId="5971"/>
    <cellStyle name="Millares 9 3 3 2 3 2" xfId="9874"/>
    <cellStyle name="Millares 9 3 3 2 4" xfId="9871"/>
    <cellStyle name="Millares 9 3 3 3" xfId="3095"/>
    <cellStyle name="Millares 9 3 3 3 2" xfId="6953"/>
    <cellStyle name="Millares 9 3 3 3 2 2" xfId="9876"/>
    <cellStyle name="Millares 9 3 3 3 3" xfId="9875"/>
    <cellStyle name="Millares 9 3 3 4" xfId="5015"/>
    <cellStyle name="Millares 9 3 3 4 2" xfId="9877"/>
    <cellStyle name="Millares 9 3 3 5" xfId="9870"/>
    <cellStyle name="Millares 9 3 4" xfId="1611"/>
    <cellStyle name="Millares 9 3 4 2" xfId="2572"/>
    <cellStyle name="Millares 9 3 4 2 2" xfId="4517"/>
    <cellStyle name="Millares 9 3 4 2 2 2" xfId="8370"/>
    <cellStyle name="Millares 9 3 4 2 2 2 2" xfId="9881"/>
    <cellStyle name="Millares 9 3 4 2 2 3" xfId="9880"/>
    <cellStyle name="Millares 9 3 4 2 3" xfId="6432"/>
    <cellStyle name="Millares 9 3 4 2 3 2" xfId="9882"/>
    <cellStyle name="Millares 9 3 4 2 4" xfId="9879"/>
    <cellStyle name="Millares 9 3 4 3" xfId="3558"/>
    <cellStyle name="Millares 9 3 4 3 2" xfId="7414"/>
    <cellStyle name="Millares 9 3 4 3 2 2" xfId="9884"/>
    <cellStyle name="Millares 9 3 4 3 3" xfId="9883"/>
    <cellStyle name="Millares 9 3 4 4" xfId="5476"/>
    <cellStyle name="Millares 9 3 4 4 2" xfId="9885"/>
    <cellStyle name="Millares 9 3 4 5" xfId="9878"/>
    <cellStyle name="Millares 9 3 5" xfId="1879"/>
    <cellStyle name="Millares 9 3 5 2" xfId="3824"/>
    <cellStyle name="Millares 9 3 5 2 2" xfId="7677"/>
    <cellStyle name="Millares 9 3 5 2 2 2" xfId="9888"/>
    <cellStyle name="Millares 9 3 5 2 3" xfId="9887"/>
    <cellStyle name="Millares 9 3 5 3" xfId="5739"/>
    <cellStyle name="Millares 9 3 5 3 2" xfId="9889"/>
    <cellStyle name="Millares 9 3 5 4" xfId="9886"/>
    <cellStyle name="Millares 9 3 6" xfId="2863"/>
    <cellStyle name="Millares 9 3 6 2" xfId="6721"/>
    <cellStyle name="Millares 9 3 6 2 2" xfId="9891"/>
    <cellStyle name="Millares 9 3 6 3" xfId="9890"/>
    <cellStyle name="Millares 9 3 7" xfId="4783"/>
    <cellStyle name="Millares 9 3 7 2" xfId="9892"/>
    <cellStyle name="Millares 9 3 8" xfId="9861"/>
    <cellStyle name="Millares 9 4" xfId="1249"/>
    <cellStyle name="Millares 9 4 2" xfId="2220"/>
    <cellStyle name="Millares 9 4 2 2" xfId="4165"/>
    <cellStyle name="Millares 9 4 2 2 2" xfId="8018"/>
    <cellStyle name="Millares 9 4 2 2 2 2" xfId="9896"/>
    <cellStyle name="Millares 9 4 2 2 3" xfId="9895"/>
    <cellStyle name="Millares 9 4 2 3" xfId="6080"/>
    <cellStyle name="Millares 9 4 2 3 2" xfId="9897"/>
    <cellStyle name="Millares 9 4 2 4" xfId="9894"/>
    <cellStyle name="Millares 9 4 3" xfId="3204"/>
    <cellStyle name="Millares 9 4 3 2" xfId="7062"/>
    <cellStyle name="Millares 9 4 3 2 2" xfId="9899"/>
    <cellStyle name="Millares 9 4 3 3" xfId="9898"/>
    <cellStyle name="Millares 9 4 4" xfId="5124"/>
    <cellStyle name="Millares 9 4 4 2" xfId="9900"/>
    <cellStyle name="Millares 9 4 5" xfId="9893"/>
    <cellStyle name="Millares 9 5" xfId="1011"/>
    <cellStyle name="Millares 9 5 2" xfId="1985"/>
    <cellStyle name="Millares 9 5 2 2" xfId="3930"/>
    <cellStyle name="Millares 9 5 2 2 2" xfId="7783"/>
    <cellStyle name="Millares 9 5 2 2 2 2" xfId="9904"/>
    <cellStyle name="Millares 9 5 2 2 3" xfId="9903"/>
    <cellStyle name="Millares 9 5 2 3" xfId="5845"/>
    <cellStyle name="Millares 9 5 2 3 2" xfId="9905"/>
    <cellStyle name="Millares 9 5 2 4" xfId="9902"/>
    <cellStyle name="Millares 9 5 3" xfId="2969"/>
    <cellStyle name="Millares 9 5 3 2" xfId="6827"/>
    <cellStyle name="Millares 9 5 3 2 2" xfId="9907"/>
    <cellStyle name="Millares 9 5 3 3" xfId="9906"/>
    <cellStyle name="Millares 9 5 4" xfId="4889"/>
    <cellStyle name="Millares 9 5 4 2" xfId="9908"/>
    <cellStyle name="Millares 9 5 5" xfId="9901"/>
    <cellStyle name="Millares 9 6" xfId="1493"/>
    <cellStyle name="Millares 9 6 2" xfId="2462"/>
    <cellStyle name="Millares 9 6 2 2" xfId="4407"/>
    <cellStyle name="Millares 9 6 2 2 2" xfId="8260"/>
    <cellStyle name="Millares 9 6 2 2 2 2" xfId="9912"/>
    <cellStyle name="Millares 9 6 2 2 3" xfId="9911"/>
    <cellStyle name="Millares 9 6 2 3" xfId="6322"/>
    <cellStyle name="Millares 9 6 2 3 2" xfId="9913"/>
    <cellStyle name="Millares 9 6 2 4" xfId="9910"/>
    <cellStyle name="Millares 9 6 3" xfId="3446"/>
    <cellStyle name="Millares 9 6 3 2" xfId="7304"/>
    <cellStyle name="Millares 9 6 3 2 2" xfId="9915"/>
    <cellStyle name="Millares 9 6 3 3" xfId="9914"/>
    <cellStyle name="Millares 9 6 4" xfId="5366"/>
    <cellStyle name="Millares 9 6 4 2" xfId="9916"/>
    <cellStyle name="Millares 9 6 5" xfId="9909"/>
    <cellStyle name="Millares 9 7" xfId="1746"/>
    <cellStyle name="Millares 9 7 2" xfId="3692"/>
    <cellStyle name="Millares 9 7 2 2" xfId="7545"/>
    <cellStyle name="Millares 9 7 2 2 2" xfId="9919"/>
    <cellStyle name="Millares 9 7 2 3" xfId="9918"/>
    <cellStyle name="Millares 9 7 3" xfId="5607"/>
    <cellStyle name="Millares 9 7 3 2" xfId="9920"/>
    <cellStyle name="Millares 9 7 4" xfId="9917"/>
    <cellStyle name="Millares 9 8" xfId="2730"/>
    <cellStyle name="Millares 9 8 2" xfId="6589"/>
    <cellStyle name="Millares 9 8 2 2" xfId="9922"/>
    <cellStyle name="Millares 9 8 3" xfId="9921"/>
    <cellStyle name="Millares 9 9" xfId="4657"/>
    <cellStyle name="Millares 9 9 2" xfId="9923"/>
    <cellStyle name="Moneda" xfId="16311" builtinId="4"/>
    <cellStyle name="Moneda [0]" xfId="16317" builtinId="7"/>
    <cellStyle name="Moneda [0] 2" xfId="1740"/>
    <cellStyle name="Moneda [0] 2 2" xfId="9924"/>
    <cellStyle name="Moneda 10" xfId="49"/>
    <cellStyle name="Moneda 11" xfId="50"/>
    <cellStyle name="Moneda 11 2" xfId="51"/>
    <cellStyle name="Moneda 11 2 2" xfId="573"/>
    <cellStyle name="Moneda 11 2 2 2" xfId="9927"/>
    <cellStyle name="Moneda 11 2 3" xfId="9926"/>
    <cellStyle name="Moneda 11 3" xfId="9925"/>
    <cellStyle name="Moneda 12" xfId="52"/>
    <cellStyle name="Moneda 12 2" xfId="53"/>
    <cellStyle name="Moneda 12 2 2" xfId="54"/>
    <cellStyle name="Moneda 12 2 2 2" xfId="792"/>
    <cellStyle name="Moneda 12 2 2 2 2" xfId="9931"/>
    <cellStyle name="Moneda 12 2 2 3" xfId="9930"/>
    <cellStyle name="Moneda 12 2 3" xfId="55"/>
    <cellStyle name="Moneda 12 2 3 2" xfId="806"/>
    <cellStyle name="Moneda 12 2 3 2 2" xfId="9933"/>
    <cellStyle name="Moneda 12 2 3 3" xfId="9932"/>
    <cellStyle name="Moneda 12 2 4" xfId="605"/>
    <cellStyle name="Moneda 12 2 4 2" xfId="9934"/>
    <cellStyle name="Moneda 12 2 5" xfId="9929"/>
    <cellStyle name="Moneda 12 3" xfId="56"/>
    <cellStyle name="Moneda 12 3 2" xfId="791"/>
    <cellStyle name="Moneda 12 3 2 2" xfId="9936"/>
    <cellStyle name="Moneda 12 3 3" xfId="9935"/>
    <cellStyle name="Moneda 12 4" xfId="57"/>
    <cellStyle name="Moneda 12 4 2" xfId="802"/>
    <cellStyle name="Moneda 12 4 2 2" xfId="9938"/>
    <cellStyle name="Moneda 12 4 3" xfId="9937"/>
    <cellStyle name="Moneda 12 5" xfId="604"/>
    <cellStyle name="Moneda 12 5 2" xfId="9939"/>
    <cellStyle name="Moneda 12 6" xfId="9928"/>
    <cellStyle name="Moneda 13" xfId="58"/>
    <cellStyle name="Moneda 13 2" xfId="59"/>
    <cellStyle name="Moneda 13 2 2" xfId="60"/>
    <cellStyle name="Moneda 13 2 2 2" xfId="794"/>
    <cellStyle name="Moneda 13 2 2 2 2" xfId="9943"/>
    <cellStyle name="Moneda 13 2 2 3" xfId="9942"/>
    <cellStyle name="Moneda 13 2 3" xfId="61"/>
    <cellStyle name="Moneda 13 2 3 2" xfId="804"/>
    <cellStyle name="Moneda 13 2 3 2 2" xfId="9945"/>
    <cellStyle name="Moneda 13 2 3 3" xfId="9944"/>
    <cellStyle name="Moneda 13 2 4" xfId="607"/>
    <cellStyle name="Moneda 13 2 4 2" xfId="9946"/>
    <cellStyle name="Moneda 13 2 5" xfId="9941"/>
    <cellStyle name="Moneda 13 3" xfId="62"/>
    <cellStyle name="Moneda 13 3 2" xfId="793"/>
    <cellStyle name="Moneda 13 3 2 2" xfId="9948"/>
    <cellStyle name="Moneda 13 3 3" xfId="9947"/>
    <cellStyle name="Moneda 13 4" xfId="63"/>
    <cellStyle name="Moneda 13 4 2" xfId="803"/>
    <cellStyle name="Moneda 13 4 2 2" xfId="9950"/>
    <cellStyle name="Moneda 13 4 3" xfId="9949"/>
    <cellStyle name="Moneda 13 5" xfId="606"/>
    <cellStyle name="Moneda 13 5 2" xfId="9951"/>
    <cellStyle name="Moneda 13 6" xfId="9940"/>
    <cellStyle name="Moneda 14" xfId="64"/>
    <cellStyle name="Moneda 14 2" xfId="65"/>
    <cellStyle name="Moneda 14 2 2" xfId="66"/>
    <cellStyle name="Moneda 14 2 2 2" xfId="796"/>
    <cellStyle name="Moneda 14 2 2 2 2" xfId="9955"/>
    <cellStyle name="Moneda 14 2 2 3" xfId="9954"/>
    <cellStyle name="Moneda 14 2 3" xfId="67"/>
    <cellStyle name="Moneda 14 2 3 2" xfId="807"/>
    <cellStyle name="Moneda 14 2 3 2 2" xfId="9957"/>
    <cellStyle name="Moneda 14 2 3 3" xfId="9956"/>
    <cellStyle name="Moneda 14 2 4" xfId="609"/>
    <cellStyle name="Moneda 14 2 4 2" xfId="9958"/>
    <cellStyle name="Moneda 14 2 5" xfId="9953"/>
    <cellStyle name="Moneda 14 3" xfId="68"/>
    <cellStyle name="Moneda 14 3 2" xfId="795"/>
    <cellStyle name="Moneda 14 3 2 2" xfId="9960"/>
    <cellStyle name="Moneda 14 3 3" xfId="9959"/>
    <cellStyle name="Moneda 14 4" xfId="69"/>
    <cellStyle name="Moneda 14 4 2" xfId="805"/>
    <cellStyle name="Moneda 14 4 2 2" xfId="9962"/>
    <cellStyle name="Moneda 14 4 3" xfId="9961"/>
    <cellStyle name="Moneda 14 5" xfId="608"/>
    <cellStyle name="Moneda 14 5 2" xfId="9963"/>
    <cellStyle name="Moneda 14 6" xfId="9952"/>
    <cellStyle name="Moneda 15" xfId="70"/>
    <cellStyle name="Moneda 15 10" xfId="9964"/>
    <cellStyle name="Moneda 15 2" xfId="610"/>
    <cellStyle name="Moneda 15 2 2" xfId="901"/>
    <cellStyle name="Moneda 15 2 2 2" xfId="1394"/>
    <cellStyle name="Moneda 15 2 2 2 2" xfId="2365"/>
    <cellStyle name="Moneda 15 2 2 2 2 2" xfId="4310"/>
    <cellStyle name="Moneda 15 2 2 2 2 2 2" xfId="8163"/>
    <cellStyle name="Moneda 15 2 2 2 2 2 2 2" xfId="9970"/>
    <cellStyle name="Moneda 15 2 2 2 2 2 3" xfId="9969"/>
    <cellStyle name="Moneda 15 2 2 2 2 3" xfId="6225"/>
    <cellStyle name="Moneda 15 2 2 2 2 3 2" xfId="9971"/>
    <cellStyle name="Moneda 15 2 2 2 2 4" xfId="9968"/>
    <cellStyle name="Moneda 15 2 2 2 3" xfId="3349"/>
    <cellStyle name="Moneda 15 2 2 2 3 2" xfId="7207"/>
    <cellStyle name="Moneda 15 2 2 2 3 2 2" xfId="9973"/>
    <cellStyle name="Moneda 15 2 2 2 3 3" xfId="9972"/>
    <cellStyle name="Moneda 15 2 2 2 4" xfId="5269"/>
    <cellStyle name="Moneda 15 2 2 2 4 2" xfId="9974"/>
    <cellStyle name="Moneda 15 2 2 2 5" xfId="9967"/>
    <cellStyle name="Moneda 15 2 2 3" xfId="1141"/>
    <cellStyle name="Moneda 15 2 2 3 2" xfId="2112"/>
    <cellStyle name="Moneda 15 2 2 3 2 2" xfId="4057"/>
    <cellStyle name="Moneda 15 2 2 3 2 2 2" xfId="7910"/>
    <cellStyle name="Moneda 15 2 2 3 2 2 2 2" xfId="9978"/>
    <cellStyle name="Moneda 15 2 2 3 2 2 3" xfId="9977"/>
    <cellStyle name="Moneda 15 2 2 3 2 3" xfId="5972"/>
    <cellStyle name="Moneda 15 2 2 3 2 3 2" xfId="9979"/>
    <cellStyle name="Moneda 15 2 2 3 2 4" xfId="9976"/>
    <cellStyle name="Moneda 15 2 2 3 3" xfId="3096"/>
    <cellStyle name="Moneda 15 2 2 3 3 2" xfId="6954"/>
    <cellStyle name="Moneda 15 2 2 3 3 2 2" xfId="9981"/>
    <cellStyle name="Moneda 15 2 2 3 3 3" xfId="9980"/>
    <cellStyle name="Moneda 15 2 2 3 4" xfId="5016"/>
    <cellStyle name="Moneda 15 2 2 3 4 2" xfId="9982"/>
    <cellStyle name="Moneda 15 2 2 3 5" xfId="9975"/>
    <cellStyle name="Moneda 15 2 2 4" xfId="1655"/>
    <cellStyle name="Moneda 15 2 2 4 2" xfId="2616"/>
    <cellStyle name="Moneda 15 2 2 4 2 2" xfId="4561"/>
    <cellStyle name="Moneda 15 2 2 4 2 2 2" xfId="8414"/>
    <cellStyle name="Moneda 15 2 2 4 2 2 2 2" xfId="9986"/>
    <cellStyle name="Moneda 15 2 2 4 2 2 3" xfId="9985"/>
    <cellStyle name="Moneda 15 2 2 4 2 3" xfId="6476"/>
    <cellStyle name="Moneda 15 2 2 4 2 3 2" xfId="9987"/>
    <cellStyle name="Moneda 15 2 2 4 2 4" xfId="9984"/>
    <cellStyle name="Moneda 15 2 2 4 3" xfId="2709"/>
    <cellStyle name="Moneda 15 2 2 4 3 2" xfId="6568"/>
    <cellStyle name="Moneda 15 2 2 4 3 2 2" xfId="9989"/>
    <cellStyle name="Moneda 15 2 2 4 3 3" xfId="9988"/>
    <cellStyle name="Moneda 15 2 2 4 4" xfId="3602"/>
    <cellStyle name="Moneda 15 2 2 4 4 2" xfId="7458"/>
    <cellStyle name="Moneda 15 2 2 4 4 2 2" xfId="9991"/>
    <cellStyle name="Moneda 15 2 2 4 4 3" xfId="9990"/>
    <cellStyle name="Moneda 15 2 2 4 5" xfId="5520"/>
    <cellStyle name="Moneda 15 2 2 4 5 2" xfId="9992"/>
    <cellStyle name="Moneda 15 2 2 4 6" xfId="9993"/>
    <cellStyle name="Moneda 15 2 2 4 7" xfId="9983"/>
    <cellStyle name="Moneda 15 2 2 4 8" xfId="16313"/>
    <cellStyle name="Moneda 15 2 2 4 9" xfId="16322"/>
    <cellStyle name="Moneda 15 2 2 5" xfId="1880"/>
    <cellStyle name="Moneda 15 2 2 5 2" xfId="3825"/>
    <cellStyle name="Moneda 15 2 2 5 2 2" xfId="7678"/>
    <cellStyle name="Moneda 15 2 2 5 2 2 2" xfId="9996"/>
    <cellStyle name="Moneda 15 2 2 5 2 3" xfId="9995"/>
    <cellStyle name="Moneda 15 2 2 5 3" xfId="5740"/>
    <cellStyle name="Moneda 15 2 2 5 3 2" xfId="9997"/>
    <cellStyle name="Moneda 15 2 2 5 4" xfId="9994"/>
    <cellStyle name="Moneda 15 2 2 6" xfId="2864"/>
    <cellStyle name="Moneda 15 2 2 6 2" xfId="6722"/>
    <cellStyle name="Moneda 15 2 2 6 2 2" xfId="9999"/>
    <cellStyle name="Moneda 15 2 2 6 3" xfId="9998"/>
    <cellStyle name="Moneda 15 2 2 7" xfId="4784"/>
    <cellStyle name="Moneda 15 2 2 7 2" xfId="10000"/>
    <cellStyle name="Moneda 15 2 2 8" xfId="9966"/>
    <cellStyle name="Moneda 15 2 3" xfId="1293"/>
    <cellStyle name="Moneda 15 2 3 2" xfId="2264"/>
    <cellStyle name="Moneda 15 2 3 2 2" xfId="4209"/>
    <cellStyle name="Moneda 15 2 3 2 2 2" xfId="8062"/>
    <cellStyle name="Moneda 15 2 3 2 2 2 2" xfId="10004"/>
    <cellStyle name="Moneda 15 2 3 2 2 3" xfId="10003"/>
    <cellStyle name="Moneda 15 2 3 2 3" xfId="6124"/>
    <cellStyle name="Moneda 15 2 3 2 3 2" xfId="10005"/>
    <cellStyle name="Moneda 15 2 3 2 4" xfId="10002"/>
    <cellStyle name="Moneda 15 2 3 3" xfId="3248"/>
    <cellStyle name="Moneda 15 2 3 3 2" xfId="7106"/>
    <cellStyle name="Moneda 15 2 3 3 2 2" xfId="10007"/>
    <cellStyle name="Moneda 15 2 3 3 3" xfId="10006"/>
    <cellStyle name="Moneda 15 2 3 4" xfId="5168"/>
    <cellStyle name="Moneda 15 2 3 4 2" xfId="10008"/>
    <cellStyle name="Moneda 15 2 3 5" xfId="10001"/>
    <cellStyle name="Moneda 15 2 4" xfId="1061"/>
    <cellStyle name="Moneda 15 2 4 2" xfId="2032"/>
    <cellStyle name="Moneda 15 2 4 2 2" xfId="3977"/>
    <cellStyle name="Moneda 15 2 4 2 2 2" xfId="7830"/>
    <cellStyle name="Moneda 15 2 4 2 2 2 2" xfId="10012"/>
    <cellStyle name="Moneda 15 2 4 2 2 3" xfId="10011"/>
    <cellStyle name="Moneda 15 2 4 2 3" xfId="5892"/>
    <cellStyle name="Moneda 15 2 4 2 3 2" xfId="10013"/>
    <cellStyle name="Moneda 15 2 4 2 4" xfId="10010"/>
    <cellStyle name="Moneda 15 2 4 3" xfId="3016"/>
    <cellStyle name="Moneda 15 2 4 3 2" xfId="6874"/>
    <cellStyle name="Moneda 15 2 4 3 2 2" xfId="10015"/>
    <cellStyle name="Moneda 15 2 4 3 3" xfId="10014"/>
    <cellStyle name="Moneda 15 2 4 4" xfId="4936"/>
    <cellStyle name="Moneda 15 2 4 4 2" xfId="10016"/>
    <cellStyle name="Moneda 15 2 4 5" xfId="10009"/>
    <cellStyle name="Moneda 15 2 5" xfId="1548"/>
    <cellStyle name="Moneda 15 2 5 2" xfId="2514"/>
    <cellStyle name="Moneda 15 2 5 2 2" xfId="4459"/>
    <cellStyle name="Moneda 15 2 5 2 2 2" xfId="8312"/>
    <cellStyle name="Moneda 15 2 5 2 2 2 2" xfId="10020"/>
    <cellStyle name="Moneda 15 2 5 2 2 3" xfId="10019"/>
    <cellStyle name="Moneda 15 2 5 2 3" xfId="6374"/>
    <cellStyle name="Moneda 15 2 5 2 3 2" xfId="10021"/>
    <cellStyle name="Moneda 15 2 5 2 4" xfId="10018"/>
    <cellStyle name="Moneda 15 2 5 3" xfId="3500"/>
    <cellStyle name="Moneda 15 2 5 3 2" xfId="7356"/>
    <cellStyle name="Moneda 15 2 5 3 2 2" xfId="10023"/>
    <cellStyle name="Moneda 15 2 5 3 3" xfId="10022"/>
    <cellStyle name="Moneda 15 2 5 4" xfId="5418"/>
    <cellStyle name="Moneda 15 2 5 4 2" xfId="10024"/>
    <cellStyle name="Moneda 15 2 5 5" xfId="10017"/>
    <cellStyle name="Moneda 15 2 6" xfId="1793"/>
    <cellStyle name="Moneda 15 2 6 2" xfId="3739"/>
    <cellStyle name="Moneda 15 2 6 2 2" xfId="7592"/>
    <cellStyle name="Moneda 15 2 6 2 2 2" xfId="10027"/>
    <cellStyle name="Moneda 15 2 6 2 3" xfId="10026"/>
    <cellStyle name="Moneda 15 2 6 3" xfId="5654"/>
    <cellStyle name="Moneda 15 2 6 3 2" xfId="10028"/>
    <cellStyle name="Moneda 15 2 6 4" xfId="10025"/>
    <cellStyle name="Moneda 15 2 7" xfId="2777"/>
    <cellStyle name="Moneda 15 2 7 2" xfId="6636"/>
    <cellStyle name="Moneda 15 2 7 2 2" xfId="10030"/>
    <cellStyle name="Moneda 15 2 7 3" xfId="10029"/>
    <cellStyle name="Moneda 15 2 8" xfId="4704"/>
    <cellStyle name="Moneda 15 2 8 2" xfId="10031"/>
    <cellStyle name="Moneda 15 2 9" xfId="9965"/>
    <cellStyle name="Moneda 15 3" xfId="902"/>
    <cellStyle name="Moneda 15 3 2" xfId="1351"/>
    <cellStyle name="Moneda 15 3 2 2" xfId="2322"/>
    <cellStyle name="Moneda 15 3 2 2 2" xfId="4267"/>
    <cellStyle name="Moneda 15 3 2 2 2 2" xfId="8120"/>
    <cellStyle name="Moneda 15 3 2 2 2 2 2" xfId="10036"/>
    <cellStyle name="Moneda 15 3 2 2 2 3" xfId="10035"/>
    <cellStyle name="Moneda 15 3 2 2 3" xfId="6182"/>
    <cellStyle name="Moneda 15 3 2 2 3 2" xfId="10037"/>
    <cellStyle name="Moneda 15 3 2 2 4" xfId="10034"/>
    <cellStyle name="Moneda 15 3 2 3" xfId="3306"/>
    <cellStyle name="Moneda 15 3 2 3 2" xfId="7164"/>
    <cellStyle name="Moneda 15 3 2 3 2 2" xfId="10039"/>
    <cellStyle name="Moneda 15 3 2 3 3" xfId="10038"/>
    <cellStyle name="Moneda 15 3 2 4" xfId="5226"/>
    <cellStyle name="Moneda 15 3 2 4 2" xfId="10040"/>
    <cellStyle name="Moneda 15 3 2 5" xfId="10033"/>
    <cellStyle name="Moneda 15 3 3" xfId="1142"/>
    <cellStyle name="Moneda 15 3 3 2" xfId="2113"/>
    <cellStyle name="Moneda 15 3 3 2 2" xfId="4058"/>
    <cellStyle name="Moneda 15 3 3 2 2 2" xfId="7911"/>
    <cellStyle name="Moneda 15 3 3 2 2 2 2" xfId="10044"/>
    <cellStyle name="Moneda 15 3 3 2 2 3" xfId="10043"/>
    <cellStyle name="Moneda 15 3 3 2 3" xfId="5973"/>
    <cellStyle name="Moneda 15 3 3 2 3 2" xfId="10045"/>
    <cellStyle name="Moneda 15 3 3 2 4" xfId="10042"/>
    <cellStyle name="Moneda 15 3 3 3" xfId="3097"/>
    <cellStyle name="Moneda 15 3 3 3 2" xfId="6955"/>
    <cellStyle name="Moneda 15 3 3 3 2 2" xfId="10047"/>
    <cellStyle name="Moneda 15 3 3 3 3" xfId="10046"/>
    <cellStyle name="Moneda 15 3 3 4" xfId="5017"/>
    <cellStyle name="Moneda 15 3 3 4 2" xfId="10048"/>
    <cellStyle name="Moneda 15 3 3 5" xfId="10041"/>
    <cellStyle name="Moneda 15 3 4" xfId="1612"/>
    <cellStyle name="Moneda 15 3 4 2" xfId="2573"/>
    <cellStyle name="Moneda 15 3 4 2 2" xfId="4518"/>
    <cellStyle name="Moneda 15 3 4 2 2 2" xfId="8371"/>
    <cellStyle name="Moneda 15 3 4 2 2 2 2" xfId="10052"/>
    <cellStyle name="Moneda 15 3 4 2 2 3" xfId="10051"/>
    <cellStyle name="Moneda 15 3 4 2 3" xfId="6433"/>
    <cellStyle name="Moneda 15 3 4 2 3 2" xfId="10053"/>
    <cellStyle name="Moneda 15 3 4 2 4" xfId="10050"/>
    <cellStyle name="Moneda 15 3 4 3" xfId="3559"/>
    <cellStyle name="Moneda 15 3 4 3 2" xfId="7415"/>
    <cellStyle name="Moneda 15 3 4 3 2 2" xfId="10055"/>
    <cellStyle name="Moneda 15 3 4 3 3" xfId="10054"/>
    <cellStyle name="Moneda 15 3 4 4" xfId="5477"/>
    <cellStyle name="Moneda 15 3 4 4 2" xfId="10056"/>
    <cellStyle name="Moneda 15 3 4 5" xfId="10049"/>
    <cellStyle name="Moneda 15 3 5" xfId="1881"/>
    <cellStyle name="Moneda 15 3 5 2" xfId="3826"/>
    <cellStyle name="Moneda 15 3 5 2 2" xfId="7679"/>
    <cellStyle name="Moneda 15 3 5 2 2 2" xfId="10059"/>
    <cellStyle name="Moneda 15 3 5 2 3" xfId="10058"/>
    <cellStyle name="Moneda 15 3 5 3" xfId="5741"/>
    <cellStyle name="Moneda 15 3 5 3 2" xfId="10060"/>
    <cellStyle name="Moneda 15 3 5 4" xfId="10057"/>
    <cellStyle name="Moneda 15 3 6" xfId="2865"/>
    <cellStyle name="Moneda 15 3 6 2" xfId="6723"/>
    <cellStyle name="Moneda 15 3 6 2 2" xfId="10062"/>
    <cellStyle name="Moneda 15 3 6 3" xfId="10061"/>
    <cellStyle name="Moneda 15 3 7" xfId="4785"/>
    <cellStyle name="Moneda 15 3 7 2" xfId="10063"/>
    <cellStyle name="Moneda 15 3 8" xfId="10032"/>
    <cellStyle name="Moneda 15 4" xfId="1250"/>
    <cellStyle name="Moneda 15 4 2" xfId="2221"/>
    <cellStyle name="Moneda 15 4 2 2" xfId="4166"/>
    <cellStyle name="Moneda 15 4 2 2 2" xfId="8019"/>
    <cellStyle name="Moneda 15 4 2 2 2 2" xfId="10067"/>
    <cellStyle name="Moneda 15 4 2 2 3" xfId="10066"/>
    <cellStyle name="Moneda 15 4 2 3" xfId="6081"/>
    <cellStyle name="Moneda 15 4 2 3 2" xfId="10068"/>
    <cellStyle name="Moneda 15 4 2 4" xfId="10065"/>
    <cellStyle name="Moneda 15 4 3" xfId="3205"/>
    <cellStyle name="Moneda 15 4 3 2" xfId="7063"/>
    <cellStyle name="Moneda 15 4 3 2 2" xfId="10070"/>
    <cellStyle name="Moneda 15 4 3 3" xfId="10069"/>
    <cellStyle name="Moneda 15 4 4" xfId="5125"/>
    <cellStyle name="Moneda 15 4 4 2" xfId="10071"/>
    <cellStyle name="Moneda 15 4 5" xfId="10064"/>
    <cellStyle name="Moneda 15 5" xfId="1012"/>
    <cellStyle name="Moneda 15 5 2" xfId="1986"/>
    <cellStyle name="Moneda 15 5 2 2" xfId="3931"/>
    <cellStyle name="Moneda 15 5 2 2 2" xfId="7784"/>
    <cellStyle name="Moneda 15 5 2 2 2 2" xfId="10075"/>
    <cellStyle name="Moneda 15 5 2 2 3" xfId="10074"/>
    <cellStyle name="Moneda 15 5 2 3" xfId="5846"/>
    <cellStyle name="Moneda 15 5 2 3 2" xfId="10076"/>
    <cellStyle name="Moneda 15 5 2 4" xfId="10073"/>
    <cellStyle name="Moneda 15 5 3" xfId="2970"/>
    <cellStyle name="Moneda 15 5 3 2" xfId="6828"/>
    <cellStyle name="Moneda 15 5 3 2 2" xfId="10078"/>
    <cellStyle name="Moneda 15 5 3 3" xfId="10077"/>
    <cellStyle name="Moneda 15 5 4" xfId="4890"/>
    <cellStyle name="Moneda 15 5 4 2" xfId="10079"/>
    <cellStyle name="Moneda 15 5 5" xfId="10072"/>
    <cellStyle name="Moneda 15 6" xfId="1494"/>
    <cellStyle name="Moneda 15 6 2" xfId="2463"/>
    <cellStyle name="Moneda 15 6 2 2" xfId="4408"/>
    <cellStyle name="Moneda 15 6 2 2 2" xfId="8261"/>
    <cellStyle name="Moneda 15 6 2 2 2 2" xfId="10083"/>
    <cellStyle name="Moneda 15 6 2 2 3" xfId="10082"/>
    <cellStyle name="Moneda 15 6 2 3" xfId="6323"/>
    <cellStyle name="Moneda 15 6 2 3 2" xfId="10084"/>
    <cellStyle name="Moneda 15 6 2 4" xfId="10081"/>
    <cellStyle name="Moneda 15 6 3" xfId="3447"/>
    <cellStyle name="Moneda 15 6 3 2" xfId="7305"/>
    <cellStyle name="Moneda 15 6 3 2 2" xfId="10086"/>
    <cellStyle name="Moneda 15 6 3 3" xfId="10085"/>
    <cellStyle name="Moneda 15 6 4" xfId="5367"/>
    <cellStyle name="Moneda 15 6 4 2" xfId="10087"/>
    <cellStyle name="Moneda 15 6 5" xfId="10080"/>
    <cellStyle name="Moneda 15 7" xfId="1747"/>
    <cellStyle name="Moneda 15 7 2" xfId="3693"/>
    <cellStyle name="Moneda 15 7 2 2" xfId="7546"/>
    <cellStyle name="Moneda 15 7 2 2 2" xfId="10090"/>
    <cellStyle name="Moneda 15 7 2 3" xfId="10089"/>
    <cellStyle name="Moneda 15 7 3" xfId="5608"/>
    <cellStyle name="Moneda 15 7 3 2" xfId="10091"/>
    <cellStyle name="Moneda 15 7 4" xfId="10088"/>
    <cellStyle name="Moneda 15 8" xfId="2731"/>
    <cellStyle name="Moneda 15 8 2" xfId="6590"/>
    <cellStyle name="Moneda 15 8 2 2" xfId="10093"/>
    <cellStyle name="Moneda 15 8 3" xfId="10092"/>
    <cellStyle name="Moneda 15 9" xfId="4658"/>
    <cellStyle name="Moneda 15 9 2" xfId="10094"/>
    <cellStyle name="Moneda 16" xfId="71"/>
    <cellStyle name="Moneda 16 10" xfId="10095"/>
    <cellStyle name="Moneda 16 2" xfId="788"/>
    <cellStyle name="Moneda 16 2 2" xfId="903"/>
    <cellStyle name="Moneda 16 2 2 2" xfId="1405"/>
    <cellStyle name="Moneda 16 2 2 2 2" xfId="2376"/>
    <cellStyle name="Moneda 16 2 2 2 2 2" xfId="4321"/>
    <cellStyle name="Moneda 16 2 2 2 2 2 2" xfId="8174"/>
    <cellStyle name="Moneda 16 2 2 2 2 2 2 2" xfId="10101"/>
    <cellStyle name="Moneda 16 2 2 2 2 2 3" xfId="10100"/>
    <cellStyle name="Moneda 16 2 2 2 2 3" xfId="6236"/>
    <cellStyle name="Moneda 16 2 2 2 2 3 2" xfId="10102"/>
    <cellStyle name="Moneda 16 2 2 2 2 4" xfId="10099"/>
    <cellStyle name="Moneda 16 2 2 2 3" xfId="3360"/>
    <cellStyle name="Moneda 16 2 2 2 3 2" xfId="7218"/>
    <cellStyle name="Moneda 16 2 2 2 3 2 2" xfId="10104"/>
    <cellStyle name="Moneda 16 2 2 2 3 3" xfId="10103"/>
    <cellStyle name="Moneda 16 2 2 2 4" xfId="5280"/>
    <cellStyle name="Moneda 16 2 2 2 4 2" xfId="10105"/>
    <cellStyle name="Moneda 16 2 2 2 5" xfId="10098"/>
    <cellStyle name="Moneda 16 2 2 3" xfId="1143"/>
    <cellStyle name="Moneda 16 2 2 3 2" xfId="2114"/>
    <cellStyle name="Moneda 16 2 2 3 2 2" xfId="4059"/>
    <cellStyle name="Moneda 16 2 2 3 2 2 2" xfId="7912"/>
    <cellStyle name="Moneda 16 2 2 3 2 2 2 2" xfId="10109"/>
    <cellStyle name="Moneda 16 2 2 3 2 2 3" xfId="10108"/>
    <cellStyle name="Moneda 16 2 2 3 2 3" xfId="5974"/>
    <cellStyle name="Moneda 16 2 2 3 2 3 2" xfId="10110"/>
    <cellStyle name="Moneda 16 2 2 3 2 4" xfId="10107"/>
    <cellStyle name="Moneda 16 2 2 3 3" xfId="3098"/>
    <cellStyle name="Moneda 16 2 2 3 3 2" xfId="6956"/>
    <cellStyle name="Moneda 16 2 2 3 3 2 2" xfId="10112"/>
    <cellStyle name="Moneda 16 2 2 3 3 3" xfId="10111"/>
    <cellStyle name="Moneda 16 2 2 3 4" xfId="5018"/>
    <cellStyle name="Moneda 16 2 2 3 4 2" xfId="10113"/>
    <cellStyle name="Moneda 16 2 2 3 5" xfId="10106"/>
    <cellStyle name="Moneda 16 2 2 4" xfId="1666"/>
    <cellStyle name="Moneda 16 2 2 4 2" xfId="2627"/>
    <cellStyle name="Moneda 16 2 2 4 2 2" xfId="4572"/>
    <cellStyle name="Moneda 16 2 2 4 2 2 2" xfId="8425"/>
    <cellStyle name="Moneda 16 2 2 4 2 2 2 2" xfId="10117"/>
    <cellStyle name="Moneda 16 2 2 4 2 2 3" xfId="10116"/>
    <cellStyle name="Moneda 16 2 2 4 2 3" xfId="6487"/>
    <cellStyle name="Moneda 16 2 2 4 2 3 2" xfId="10118"/>
    <cellStyle name="Moneda 16 2 2 4 2 4" xfId="10115"/>
    <cellStyle name="Moneda 16 2 2 4 3" xfId="3613"/>
    <cellStyle name="Moneda 16 2 2 4 3 2" xfId="7469"/>
    <cellStyle name="Moneda 16 2 2 4 3 2 2" xfId="10120"/>
    <cellStyle name="Moneda 16 2 2 4 3 3" xfId="10119"/>
    <cellStyle name="Moneda 16 2 2 4 4" xfId="5531"/>
    <cellStyle name="Moneda 16 2 2 4 4 2" xfId="10121"/>
    <cellStyle name="Moneda 16 2 2 4 5" xfId="10114"/>
    <cellStyle name="Moneda 16 2 2 5" xfId="1882"/>
    <cellStyle name="Moneda 16 2 2 5 2" xfId="3827"/>
    <cellStyle name="Moneda 16 2 2 5 2 2" xfId="7680"/>
    <cellStyle name="Moneda 16 2 2 5 2 2 2" xfId="10124"/>
    <cellStyle name="Moneda 16 2 2 5 2 3" xfId="10123"/>
    <cellStyle name="Moneda 16 2 2 5 3" xfId="5742"/>
    <cellStyle name="Moneda 16 2 2 5 3 2" xfId="10125"/>
    <cellStyle name="Moneda 16 2 2 5 4" xfId="10122"/>
    <cellStyle name="Moneda 16 2 2 6" xfId="2866"/>
    <cellStyle name="Moneda 16 2 2 6 2" xfId="6724"/>
    <cellStyle name="Moneda 16 2 2 6 2 2" xfId="10127"/>
    <cellStyle name="Moneda 16 2 2 6 3" xfId="10126"/>
    <cellStyle name="Moneda 16 2 2 7" xfId="4786"/>
    <cellStyle name="Moneda 16 2 2 7 2" xfId="10128"/>
    <cellStyle name="Moneda 16 2 2 8" xfId="10097"/>
    <cellStyle name="Moneda 16 2 3" xfId="1304"/>
    <cellStyle name="Moneda 16 2 3 2" xfId="2275"/>
    <cellStyle name="Moneda 16 2 3 2 2" xfId="4220"/>
    <cellStyle name="Moneda 16 2 3 2 2 2" xfId="8073"/>
    <cellStyle name="Moneda 16 2 3 2 2 2 2" xfId="10132"/>
    <cellStyle name="Moneda 16 2 3 2 2 3" xfId="10131"/>
    <cellStyle name="Moneda 16 2 3 2 3" xfId="6135"/>
    <cellStyle name="Moneda 16 2 3 2 3 2" xfId="10133"/>
    <cellStyle name="Moneda 16 2 3 2 4" xfId="10130"/>
    <cellStyle name="Moneda 16 2 3 3" xfId="3259"/>
    <cellStyle name="Moneda 16 2 3 3 2" xfId="7117"/>
    <cellStyle name="Moneda 16 2 3 3 2 2" xfId="10135"/>
    <cellStyle name="Moneda 16 2 3 3 3" xfId="10134"/>
    <cellStyle name="Moneda 16 2 3 4" xfId="5179"/>
    <cellStyle name="Moneda 16 2 3 4 2" xfId="10136"/>
    <cellStyle name="Moneda 16 2 3 5" xfId="10129"/>
    <cellStyle name="Moneda 16 2 4" xfId="1072"/>
    <cellStyle name="Moneda 16 2 4 2" xfId="2043"/>
    <cellStyle name="Moneda 16 2 4 2 2" xfId="3988"/>
    <cellStyle name="Moneda 16 2 4 2 2 2" xfId="7841"/>
    <cellStyle name="Moneda 16 2 4 2 2 2 2" xfId="10140"/>
    <cellStyle name="Moneda 16 2 4 2 2 3" xfId="10139"/>
    <cellStyle name="Moneda 16 2 4 2 3" xfId="5903"/>
    <cellStyle name="Moneda 16 2 4 2 3 2" xfId="10141"/>
    <cellStyle name="Moneda 16 2 4 2 4" xfId="10138"/>
    <cellStyle name="Moneda 16 2 4 3" xfId="3027"/>
    <cellStyle name="Moneda 16 2 4 3 2" xfId="6885"/>
    <cellStyle name="Moneda 16 2 4 3 2 2" xfId="10143"/>
    <cellStyle name="Moneda 16 2 4 3 3" xfId="10142"/>
    <cellStyle name="Moneda 16 2 4 4" xfId="4947"/>
    <cellStyle name="Moneda 16 2 4 4 2" xfId="10144"/>
    <cellStyle name="Moneda 16 2 4 5" xfId="10137"/>
    <cellStyle name="Moneda 16 2 5" xfId="1549"/>
    <cellStyle name="Moneda 16 2 5 2" xfId="2515"/>
    <cellStyle name="Moneda 16 2 5 2 2" xfId="4460"/>
    <cellStyle name="Moneda 16 2 5 2 2 2" xfId="8313"/>
    <cellStyle name="Moneda 16 2 5 2 2 2 2" xfId="10148"/>
    <cellStyle name="Moneda 16 2 5 2 2 3" xfId="10147"/>
    <cellStyle name="Moneda 16 2 5 2 3" xfId="6375"/>
    <cellStyle name="Moneda 16 2 5 2 3 2" xfId="10149"/>
    <cellStyle name="Moneda 16 2 5 2 4" xfId="10146"/>
    <cellStyle name="Moneda 16 2 5 3" xfId="3501"/>
    <cellStyle name="Moneda 16 2 5 3 2" xfId="7357"/>
    <cellStyle name="Moneda 16 2 5 3 2 2" xfId="10151"/>
    <cellStyle name="Moneda 16 2 5 3 3" xfId="10150"/>
    <cellStyle name="Moneda 16 2 5 4" xfId="5419"/>
    <cellStyle name="Moneda 16 2 5 4 2" xfId="10152"/>
    <cellStyle name="Moneda 16 2 5 5" xfId="10145"/>
    <cellStyle name="Moneda 16 2 6" xfId="1804"/>
    <cellStyle name="Moneda 16 2 6 2" xfId="3750"/>
    <cellStyle name="Moneda 16 2 6 2 2" xfId="7603"/>
    <cellStyle name="Moneda 16 2 6 2 2 2" xfId="10155"/>
    <cellStyle name="Moneda 16 2 6 2 3" xfId="10154"/>
    <cellStyle name="Moneda 16 2 6 3" xfId="5665"/>
    <cellStyle name="Moneda 16 2 6 3 2" xfId="10156"/>
    <cellStyle name="Moneda 16 2 6 4" xfId="10153"/>
    <cellStyle name="Moneda 16 2 7" xfId="2788"/>
    <cellStyle name="Moneda 16 2 7 2" xfId="6647"/>
    <cellStyle name="Moneda 16 2 7 2 2" xfId="10158"/>
    <cellStyle name="Moneda 16 2 7 3" xfId="10157"/>
    <cellStyle name="Moneda 16 2 8" xfId="4715"/>
    <cellStyle name="Moneda 16 2 8 2" xfId="10159"/>
    <cellStyle name="Moneda 16 2 9" xfId="10096"/>
    <cellStyle name="Moneda 16 3" xfId="904"/>
    <cellStyle name="Moneda 16 3 2" xfId="1352"/>
    <cellStyle name="Moneda 16 3 2 2" xfId="2323"/>
    <cellStyle name="Moneda 16 3 2 2 2" xfId="4268"/>
    <cellStyle name="Moneda 16 3 2 2 2 2" xfId="8121"/>
    <cellStyle name="Moneda 16 3 2 2 2 2 2" xfId="10164"/>
    <cellStyle name="Moneda 16 3 2 2 2 3" xfId="10163"/>
    <cellStyle name="Moneda 16 3 2 2 3" xfId="6183"/>
    <cellStyle name="Moneda 16 3 2 2 3 2" xfId="10165"/>
    <cellStyle name="Moneda 16 3 2 2 4" xfId="10162"/>
    <cellStyle name="Moneda 16 3 2 3" xfId="3307"/>
    <cellStyle name="Moneda 16 3 2 3 2" xfId="7165"/>
    <cellStyle name="Moneda 16 3 2 3 2 2" xfId="10167"/>
    <cellStyle name="Moneda 16 3 2 3 3" xfId="10166"/>
    <cellStyle name="Moneda 16 3 2 4" xfId="5227"/>
    <cellStyle name="Moneda 16 3 2 4 2" xfId="10168"/>
    <cellStyle name="Moneda 16 3 2 5" xfId="10161"/>
    <cellStyle name="Moneda 16 3 3" xfId="1144"/>
    <cellStyle name="Moneda 16 3 3 2" xfId="2115"/>
    <cellStyle name="Moneda 16 3 3 2 2" xfId="4060"/>
    <cellStyle name="Moneda 16 3 3 2 2 2" xfId="7913"/>
    <cellStyle name="Moneda 16 3 3 2 2 2 2" xfId="10172"/>
    <cellStyle name="Moneda 16 3 3 2 2 3" xfId="10171"/>
    <cellStyle name="Moneda 16 3 3 2 3" xfId="5975"/>
    <cellStyle name="Moneda 16 3 3 2 3 2" xfId="10173"/>
    <cellStyle name="Moneda 16 3 3 2 4" xfId="10170"/>
    <cellStyle name="Moneda 16 3 3 3" xfId="3099"/>
    <cellStyle name="Moneda 16 3 3 3 2" xfId="6957"/>
    <cellStyle name="Moneda 16 3 3 3 2 2" xfId="10175"/>
    <cellStyle name="Moneda 16 3 3 3 3" xfId="10174"/>
    <cellStyle name="Moneda 16 3 3 4" xfId="5019"/>
    <cellStyle name="Moneda 16 3 3 4 2" xfId="10176"/>
    <cellStyle name="Moneda 16 3 3 5" xfId="10169"/>
    <cellStyle name="Moneda 16 3 4" xfId="1613"/>
    <cellStyle name="Moneda 16 3 4 2" xfId="2574"/>
    <cellStyle name="Moneda 16 3 4 2 2" xfId="4519"/>
    <cellStyle name="Moneda 16 3 4 2 2 2" xfId="8372"/>
    <cellStyle name="Moneda 16 3 4 2 2 2 2" xfId="10180"/>
    <cellStyle name="Moneda 16 3 4 2 2 3" xfId="10179"/>
    <cellStyle name="Moneda 16 3 4 2 3" xfId="6434"/>
    <cellStyle name="Moneda 16 3 4 2 3 2" xfId="10181"/>
    <cellStyle name="Moneda 16 3 4 2 4" xfId="10178"/>
    <cellStyle name="Moneda 16 3 4 3" xfId="3560"/>
    <cellStyle name="Moneda 16 3 4 3 2" xfId="7416"/>
    <cellStyle name="Moneda 16 3 4 3 2 2" xfId="10183"/>
    <cellStyle name="Moneda 16 3 4 3 3" xfId="10182"/>
    <cellStyle name="Moneda 16 3 4 4" xfId="5478"/>
    <cellStyle name="Moneda 16 3 4 4 2" xfId="10184"/>
    <cellStyle name="Moneda 16 3 4 5" xfId="10177"/>
    <cellStyle name="Moneda 16 3 5" xfId="1883"/>
    <cellStyle name="Moneda 16 3 5 2" xfId="3828"/>
    <cellStyle name="Moneda 16 3 5 2 2" xfId="7681"/>
    <cellStyle name="Moneda 16 3 5 2 2 2" xfId="10187"/>
    <cellStyle name="Moneda 16 3 5 2 3" xfId="10186"/>
    <cellStyle name="Moneda 16 3 5 3" xfId="5743"/>
    <cellStyle name="Moneda 16 3 5 3 2" xfId="10188"/>
    <cellStyle name="Moneda 16 3 5 4" xfId="10185"/>
    <cellStyle name="Moneda 16 3 6" xfId="2867"/>
    <cellStyle name="Moneda 16 3 6 2" xfId="6725"/>
    <cellStyle name="Moneda 16 3 6 2 2" xfId="10190"/>
    <cellStyle name="Moneda 16 3 6 3" xfId="10189"/>
    <cellStyle name="Moneda 16 3 7" xfId="4787"/>
    <cellStyle name="Moneda 16 3 7 2" xfId="10191"/>
    <cellStyle name="Moneda 16 3 8" xfId="10160"/>
    <cellStyle name="Moneda 16 4" xfId="1251"/>
    <cellStyle name="Moneda 16 4 2" xfId="2222"/>
    <cellStyle name="Moneda 16 4 2 2" xfId="4167"/>
    <cellStyle name="Moneda 16 4 2 2 2" xfId="8020"/>
    <cellStyle name="Moneda 16 4 2 2 2 2" xfId="10195"/>
    <cellStyle name="Moneda 16 4 2 2 3" xfId="10194"/>
    <cellStyle name="Moneda 16 4 2 3" xfId="6082"/>
    <cellStyle name="Moneda 16 4 2 3 2" xfId="10196"/>
    <cellStyle name="Moneda 16 4 2 4" xfId="10193"/>
    <cellStyle name="Moneda 16 4 3" xfId="3206"/>
    <cellStyle name="Moneda 16 4 3 2" xfId="7064"/>
    <cellStyle name="Moneda 16 4 3 2 2" xfId="10198"/>
    <cellStyle name="Moneda 16 4 3 3" xfId="10197"/>
    <cellStyle name="Moneda 16 4 4" xfId="5126"/>
    <cellStyle name="Moneda 16 4 4 2" xfId="10199"/>
    <cellStyle name="Moneda 16 4 5" xfId="10192"/>
    <cellStyle name="Moneda 16 5" xfId="1013"/>
    <cellStyle name="Moneda 16 5 2" xfId="1987"/>
    <cellStyle name="Moneda 16 5 2 2" xfId="3932"/>
    <cellStyle name="Moneda 16 5 2 2 2" xfId="7785"/>
    <cellStyle name="Moneda 16 5 2 2 2 2" xfId="10203"/>
    <cellStyle name="Moneda 16 5 2 2 3" xfId="10202"/>
    <cellStyle name="Moneda 16 5 2 3" xfId="5847"/>
    <cellStyle name="Moneda 16 5 2 3 2" xfId="10204"/>
    <cellStyle name="Moneda 16 5 2 4" xfId="10201"/>
    <cellStyle name="Moneda 16 5 3" xfId="2971"/>
    <cellStyle name="Moneda 16 5 3 2" xfId="6829"/>
    <cellStyle name="Moneda 16 5 3 2 2" xfId="10206"/>
    <cellStyle name="Moneda 16 5 3 3" xfId="10205"/>
    <cellStyle name="Moneda 16 5 4" xfId="4891"/>
    <cellStyle name="Moneda 16 5 4 2" xfId="10207"/>
    <cellStyle name="Moneda 16 5 5" xfId="10200"/>
    <cellStyle name="Moneda 16 6" xfId="1495"/>
    <cellStyle name="Moneda 16 6 2" xfId="2464"/>
    <cellStyle name="Moneda 16 6 2 2" xfId="4409"/>
    <cellStyle name="Moneda 16 6 2 2 2" xfId="8262"/>
    <cellStyle name="Moneda 16 6 2 2 2 2" xfId="10211"/>
    <cellStyle name="Moneda 16 6 2 2 3" xfId="10210"/>
    <cellStyle name="Moneda 16 6 2 3" xfId="6324"/>
    <cellStyle name="Moneda 16 6 2 3 2" xfId="10212"/>
    <cellStyle name="Moneda 16 6 2 4" xfId="10209"/>
    <cellStyle name="Moneda 16 6 3" xfId="3448"/>
    <cellStyle name="Moneda 16 6 3 2" xfId="7306"/>
    <cellStyle name="Moneda 16 6 3 2 2" xfId="10214"/>
    <cellStyle name="Moneda 16 6 3 3" xfId="10213"/>
    <cellStyle name="Moneda 16 6 4" xfId="5368"/>
    <cellStyle name="Moneda 16 6 4 2" xfId="10215"/>
    <cellStyle name="Moneda 16 6 5" xfId="10208"/>
    <cellStyle name="Moneda 16 7" xfId="1748"/>
    <cellStyle name="Moneda 16 7 2" xfId="3694"/>
    <cellStyle name="Moneda 16 7 2 2" xfId="7547"/>
    <cellStyle name="Moneda 16 7 2 2 2" xfId="10218"/>
    <cellStyle name="Moneda 16 7 2 3" xfId="10217"/>
    <cellStyle name="Moneda 16 7 3" xfId="5609"/>
    <cellStyle name="Moneda 16 7 3 2" xfId="10219"/>
    <cellStyle name="Moneda 16 7 4" xfId="10216"/>
    <cellStyle name="Moneda 16 8" xfId="2732"/>
    <cellStyle name="Moneda 16 8 2" xfId="6591"/>
    <cellStyle name="Moneda 16 8 2 2" xfId="10221"/>
    <cellStyle name="Moneda 16 8 3" xfId="10220"/>
    <cellStyle name="Moneda 16 9" xfId="4659"/>
    <cellStyle name="Moneda 16 9 2" xfId="10222"/>
    <cellStyle name="Moneda 17" xfId="72"/>
    <cellStyle name="Moneda 17 2" xfId="799"/>
    <cellStyle name="Moneda 17 2 2" xfId="10224"/>
    <cellStyle name="Moneda 17 3" xfId="10223"/>
    <cellStyle name="Moneda 18" xfId="73"/>
    <cellStyle name="Moneda 18 2" xfId="800"/>
    <cellStyle name="Moneda 18 2 2" xfId="10226"/>
    <cellStyle name="Moneda 18 3" xfId="10225"/>
    <cellStyle name="Moneda 19" xfId="74"/>
    <cellStyle name="Moneda 19 10" xfId="10227"/>
    <cellStyle name="Moneda 19 2" xfId="801"/>
    <cellStyle name="Moneda 19 2 2" xfId="905"/>
    <cellStyle name="Moneda 19 2 2 2" xfId="1409"/>
    <cellStyle name="Moneda 19 2 2 2 2" xfId="2380"/>
    <cellStyle name="Moneda 19 2 2 2 2 2" xfId="4325"/>
    <cellStyle name="Moneda 19 2 2 2 2 2 2" xfId="8178"/>
    <cellStyle name="Moneda 19 2 2 2 2 2 2 2" xfId="10233"/>
    <cellStyle name="Moneda 19 2 2 2 2 2 3" xfId="10232"/>
    <cellStyle name="Moneda 19 2 2 2 2 3" xfId="6240"/>
    <cellStyle name="Moneda 19 2 2 2 2 3 2" xfId="10234"/>
    <cellStyle name="Moneda 19 2 2 2 2 4" xfId="10231"/>
    <cellStyle name="Moneda 19 2 2 2 3" xfId="3364"/>
    <cellStyle name="Moneda 19 2 2 2 3 2" xfId="7222"/>
    <cellStyle name="Moneda 19 2 2 2 3 2 2" xfId="10236"/>
    <cellStyle name="Moneda 19 2 2 2 3 3" xfId="10235"/>
    <cellStyle name="Moneda 19 2 2 2 4" xfId="5284"/>
    <cellStyle name="Moneda 19 2 2 2 4 2" xfId="10237"/>
    <cellStyle name="Moneda 19 2 2 2 5" xfId="10230"/>
    <cellStyle name="Moneda 19 2 2 3" xfId="1145"/>
    <cellStyle name="Moneda 19 2 2 3 2" xfId="2116"/>
    <cellStyle name="Moneda 19 2 2 3 2 2" xfId="4061"/>
    <cellStyle name="Moneda 19 2 2 3 2 2 2" xfId="7914"/>
    <cellStyle name="Moneda 19 2 2 3 2 2 2 2" xfId="10241"/>
    <cellStyle name="Moneda 19 2 2 3 2 2 3" xfId="10240"/>
    <cellStyle name="Moneda 19 2 2 3 2 3" xfId="5976"/>
    <cellStyle name="Moneda 19 2 2 3 2 3 2" xfId="10242"/>
    <cellStyle name="Moneda 19 2 2 3 2 4" xfId="10239"/>
    <cellStyle name="Moneda 19 2 2 3 3" xfId="3100"/>
    <cellStyle name="Moneda 19 2 2 3 3 2" xfId="6958"/>
    <cellStyle name="Moneda 19 2 2 3 3 2 2" xfId="10244"/>
    <cellStyle name="Moneda 19 2 2 3 3 3" xfId="10243"/>
    <cellStyle name="Moneda 19 2 2 3 4" xfId="5020"/>
    <cellStyle name="Moneda 19 2 2 3 4 2" xfId="10245"/>
    <cellStyle name="Moneda 19 2 2 3 5" xfId="10238"/>
    <cellStyle name="Moneda 19 2 2 4" xfId="1670"/>
    <cellStyle name="Moneda 19 2 2 4 2" xfId="2631"/>
    <cellStyle name="Moneda 19 2 2 4 2 2" xfId="4576"/>
    <cellStyle name="Moneda 19 2 2 4 2 2 2" xfId="8429"/>
    <cellStyle name="Moneda 19 2 2 4 2 2 2 2" xfId="10249"/>
    <cellStyle name="Moneda 19 2 2 4 2 2 3" xfId="10248"/>
    <cellStyle name="Moneda 19 2 2 4 2 3" xfId="6491"/>
    <cellStyle name="Moneda 19 2 2 4 2 3 2" xfId="10250"/>
    <cellStyle name="Moneda 19 2 2 4 2 4" xfId="10247"/>
    <cellStyle name="Moneda 19 2 2 4 3" xfId="3617"/>
    <cellStyle name="Moneda 19 2 2 4 3 2" xfId="7473"/>
    <cellStyle name="Moneda 19 2 2 4 3 2 2" xfId="10252"/>
    <cellStyle name="Moneda 19 2 2 4 3 3" xfId="10251"/>
    <cellStyle name="Moneda 19 2 2 4 4" xfId="5535"/>
    <cellStyle name="Moneda 19 2 2 4 4 2" xfId="10253"/>
    <cellStyle name="Moneda 19 2 2 4 5" xfId="10246"/>
    <cellStyle name="Moneda 19 2 2 5" xfId="1884"/>
    <cellStyle name="Moneda 19 2 2 5 2" xfId="3829"/>
    <cellStyle name="Moneda 19 2 2 5 2 2" xfId="7682"/>
    <cellStyle name="Moneda 19 2 2 5 2 2 2" xfId="10256"/>
    <cellStyle name="Moneda 19 2 2 5 2 3" xfId="10255"/>
    <cellStyle name="Moneda 19 2 2 5 3" xfId="5744"/>
    <cellStyle name="Moneda 19 2 2 5 3 2" xfId="10257"/>
    <cellStyle name="Moneda 19 2 2 5 4" xfId="10254"/>
    <cellStyle name="Moneda 19 2 2 6" xfId="2868"/>
    <cellStyle name="Moneda 19 2 2 6 2" xfId="6726"/>
    <cellStyle name="Moneda 19 2 2 6 2 2" xfId="10259"/>
    <cellStyle name="Moneda 19 2 2 6 3" xfId="10258"/>
    <cellStyle name="Moneda 19 2 2 7" xfId="4788"/>
    <cellStyle name="Moneda 19 2 2 7 2" xfId="10260"/>
    <cellStyle name="Moneda 19 2 2 8" xfId="10229"/>
    <cellStyle name="Moneda 19 2 3" xfId="1308"/>
    <cellStyle name="Moneda 19 2 3 2" xfId="2279"/>
    <cellStyle name="Moneda 19 2 3 2 2" xfId="4224"/>
    <cellStyle name="Moneda 19 2 3 2 2 2" xfId="8077"/>
    <cellStyle name="Moneda 19 2 3 2 2 2 2" xfId="10264"/>
    <cellStyle name="Moneda 19 2 3 2 2 3" xfId="10263"/>
    <cellStyle name="Moneda 19 2 3 2 3" xfId="6139"/>
    <cellStyle name="Moneda 19 2 3 2 3 2" xfId="10265"/>
    <cellStyle name="Moneda 19 2 3 2 4" xfId="10262"/>
    <cellStyle name="Moneda 19 2 3 3" xfId="3263"/>
    <cellStyle name="Moneda 19 2 3 3 2" xfId="7121"/>
    <cellStyle name="Moneda 19 2 3 3 2 2" xfId="10267"/>
    <cellStyle name="Moneda 19 2 3 3 3" xfId="10266"/>
    <cellStyle name="Moneda 19 2 3 4" xfId="5183"/>
    <cellStyle name="Moneda 19 2 3 4 2" xfId="10268"/>
    <cellStyle name="Moneda 19 2 3 5" xfId="10261"/>
    <cellStyle name="Moneda 19 2 4" xfId="1076"/>
    <cellStyle name="Moneda 19 2 4 2" xfId="2047"/>
    <cellStyle name="Moneda 19 2 4 2 2" xfId="3992"/>
    <cellStyle name="Moneda 19 2 4 2 2 2" xfId="7845"/>
    <cellStyle name="Moneda 19 2 4 2 2 2 2" xfId="10272"/>
    <cellStyle name="Moneda 19 2 4 2 2 3" xfId="10271"/>
    <cellStyle name="Moneda 19 2 4 2 3" xfId="5907"/>
    <cellStyle name="Moneda 19 2 4 2 3 2" xfId="10273"/>
    <cellStyle name="Moneda 19 2 4 2 4" xfId="10270"/>
    <cellStyle name="Moneda 19 2 4 3" xfId="3031"/>
    <cellStyle name="Moneda 19 2 4 3 2" xfId="6889"/>
    <cellStyle name="Moneda 19 2 4 3 2 2" xfId="10275"/>
    <cellStyle name="Moneda 19 2 4 3 3" xfId="10274"/>
    <cellStyle name="Moneda 19 2 4 4" xfId="4951"/>
    <cellStyle name="Moneda 19 2 4 4 2" xfId="10276"/>
    <cellStyle name="Moneda 19 2 4 5" xfId="10269"/>
    <cellStyle name="Moneda 19 2 5" xfId="1550"/>
    <cellStyle name="Moneda 19 2 5 2" xfId="2516"/>
    <cellStyle name="Moneda 19 2 5 2 2" xfId="4461"/>
    <cellStyle name="Moneda 19 2 5 2 2 2" xfId="8314"/>
    <cellStyle name="Moneda 19 2 5 2 2 2 2" xfId="10280"/>
    <cellStyle name="Moneda 19 2 5 2 2 3" xfId="10279"/>
    <cellStyle name="Moneda 19 2 5 2 3" xfId="6376"/>
    <cellStyle name="Moneda 19 2 5 2 3 2" xfId="10281"/>
    <cellStyle name="Moneda 19 2 5 2 4" xfId="10278"/>
    <cellStyle name="Moneda 19 2 5 3" xfId="3502"/>
    <cellStyle name="Moneda 19 2 5 3 2" xfId="7358"/>
    <cellStyle name="Moneda 19 2 5 3 2 2" xfId="10283"/>
    <cellStyle name="Moneda 19 2 5 3 3" xfId="10282"/>
    <cellStyle name="Moneda 19 2 5 4" xfId="5420"/>
    <cellStyle name="Moneda 19 2 5 4 2" xfId="10284"/>
    <cellStyle name="Moneda 19 2 5 5" xfId="10277"/>
    <cellStyle name="Moneda 19 2 6" xfId="1808"/>
    <cellStyle name="Moneda 19 2 6 2" xfId="3754"/>
    <cellStyle name="Moneda 19 2 6 2 2" xfId="7607"/>
    <cellStyle name="Moneda 19 2 6 2 2 2" xfId="10287"/>
    <cellStyle name="Moneda 19 2 6 2 3" xfId="10286"/>
    <cellStyle name="Moneda 19 2 6 3" xfId="5669"/>
    <cellStyle name="Moneda 19 2 6 3 2" xfId="10288"/>
    <cellStyle name="Moneda 19 2 6 4" xfId="10285"/>
    <cellStyle name="Moneda 19 2 7" xfId="2792"/>
    <cellStyle name="Moneda 19 2 7 2" xfId="6651"/>
    <cellStyle name="Moneda 19 2 7 2 2" xfId="10290"/>
    <cellStyle name="Moneda 19 2 7 3" xfId="10289"/>
    <cellStyle name="Moneda 19 2 8" xfId="4719"/>
    <cellStyle name="Moneda 19 2 8 2" xfId="10291"/>
    <cellStyle name="Moneda 19 2 9" xfId="10228"/>
    <cellStyle name="Moneda 19 3" xfId="906"/>
    <cellStyle name="Moneda 19 3 2" xfId="1353"/>
    <cellStyle name="Moneda 19 3 2 2" xfId="2324"/>
    <cellStyle name="Moneda 19 3 2 2 2" xfId="4269"/>
    <cellStyle name="Moneda 19 3 2 2 2 2" xfId="8122"/>
    <cellStyle name="Moneda 19 3 2 2 2 2 2" xfId="10296"/>
    <cellStyle name="Moneda 19 3 2 2 2 3" xfId="10295"/>
    <cellStyle name="Moneda 19 3 2 2 3" xfId="6184"/>
    <cellStyle name="Moneda 19 3 2 2 3 2" xfId="10297"/>
    <cellStyle name="Moneda 19 3 2 2 4" xfId="10294"/>
    <cellStyle name="Moneda 19 3 2 3" xfId="3308"/>
    <cellStyle name="Moneda 19 3 2 3 2" xfId="7166"/>
    <cellStyle name="Moneda 19 3 2 3 2 2" xfId="10299"/>
    <cellStyle name="Moneda 19 3 2 3 3" xfId="10298"/>
    <cellStyle name="Moneda 19 3 2 4" xfId="5228"/>
    <cellStyle name="Moneda 19 3 2 4 2" xfId="10300"/>
    <cellStyle name="Moneda 19 3 2 5" xfId="10293"/>
    <cellStyle name="Moneda 19 3 3" xfId="1146"/>
    <cellStyle name="Moneda 19 3 3 2" xfId="2117"/>
    <cellStyle name="Moneda 19 3 3 2 2" xfId="4062"/>
    <cellStyle name="Moneda 19 3 3 2 2 2" xfId="7915"/>
    <cellStyle name="Moneda 19 3 3 2 2 2 2" xfId="10304"/>
    <cellStyle name="Moneda 19 3 3 2 2 3" xfId="10303"/>
    <cellStyle name="Moneda 19 3 3 2 3" xfId="5977"/>
    <cellStyle name="Moneda 19 3 3 2 3 2" xfId="10305"/>
    <cellStyle name="Moneda 19 3 3 2 4" xfId="10302"/>
    <cellStyle name="Moneda 19 3 3 3" xfId="3101"/>
    <cellStyle name="Moneda 19 3 3 3 2" xfId="6959"/>
    <cellStyle name="Moneda 19 3 3 3 2 2" xfId="10307"/>
    <cellStyle name="Moneda 19 3 3 3 3" xfId="10306"/>
    <cellStyle name="Moneda 19 3 3 4" xfId="5021"/>
    <cellStyle name="Moneda 19 3 3 4 2" xfId="10308"/>
    <cellStyle name="Moneda 19 3 3 5" xfId="10301"/>
    <cellStyle name="Moneda 19 3 4" xfId="1614"/>
    <cellStyle name="Moneda 19 3 4 2" xfId="2575"/>
    <cellStyle name="Moneda 19 3 4 2 2" xfId="4520"/>
    <cellStyle name="Moneda 19 3 4 2 2 2" xfId="8373"/>
    <cellStyle name="Moneda 19 3 4 2 2 2 2" xfId="10312"/>
    <cellStyle name="Moneda 19 3 4 2 2 3" xfId="10311"/>
    <cellStyle name="Moneda 19 3 4 2 3" xfId="6435"/>
    <cellStyle name="Moneda 19 3 4 2 3 2" xfId="10313"/>
    <cellStyle name="Moneda 19 3 4 2 4" xfId="10310"/>
    <cellStyle name="Moneda 19 3 4 3" xfId="3561"/>
    <cellStyle name="Moneda 19 3 4 3 2" xfId="7417"/>
    <cellStyle name="Moneda 19 3 4 3 2 2" xfId="10315"/>
    <cellStyle name="Moneda 19 3 4 3 3" xfId="10314"/>
    <cellStyle name="Moneda 19 3 4 4" xfId="5479"/>
    <cellStyle name="Moneda 19 3 4 4 2" xfId="10316"/>
    <cellStyle name="Moneda 19 3 4 5" xfId="10309"/>
    <cellStyle name="Moneda 19 3 5" xfId="1885"/>
    <cellStyle name="Moneda 19 3 5 2" xfId="3830"/>
    <cellStyle name="Moneda 19 3 5 2 2" xfId="7683"/>
    <cellStyle name="Moneda 19 3 5 2 2 2" xfId="10319"/>
    <cellStyle name="Moneda 19 3 5 2 3" xfId="10318"/>
    <cellStyle name="Moneda 19 3 5 3" xfId="5745"/>
    <cellStyle name="Moneda 19 3 5 3 2" xfId="10320"/>
    <cellStyle name="Moneda 19 3 5 4" xfId="10317"/>
    <cellStyle name="Moneda 19 3 6" xfId="2869"/>
    <cellStyle name="Moneda 19 3 6 2" xfId="6727"/>
    <cellStyle name="Moneda 19 3 6 2 2" xfId="10322"/>
    <cellStyle name="Moneda 19 3 6 3" xfId="10321"/>
    <cellStyle name="Moneda 19 3 7" xfId="4789"/>
    <cellStyle name="Moneda 19 3 7 2" xfId="10323"/>
    <cellStyle name="Moneda 19 3 8" xfId="10292"/>
    <cellStyle name="Moneda 19 4" xfId="1252"/>
    <cellStyle name="Moneda 19 4 2" xfId="2223"/>
    <cellStyle name="Moneda 19 4 2 2" xfId="4168"/>
    <cellStyle name="Moneda 19 4 2 2 2" xfId="8021"/>
    <cellStyle name="Moneda 19 4 2 2 2 2" xfId="10327"/>
    <cellStyle name="Moneda 19 4 2 2 3" xfId="10326"/>
    <cellStyle name="Moneda 19 4 2 3" xfId="6083"/>
    <cellStyle name="Moneda 19 4 2 3 2" xfId="10328"/>
    <cellStyle name="Moneda 19 4 2 4" xfId="10325"/>
    <cellStyle name="Moneda 19 4 3" xfId="3207"/>
    <cellStyle name="Moneda 19 4 3 2" xfId="7065"/>
    <cellStyle name="Moneda 19 4 3 2 2" xfId="10330"/>
    <cellStyle name="Moneda 19 4 3 3" xfId="10329"/>
    <cellStyle name="Moneda 19 4 4" xfId="5127"/>
    <cellStyle name="Moneda 19 4 4 2" xfId="10331"/>
    <cellStyle name="Moneda 19 4 5" xfId="10324"/>
    <cellStyle name="Moneda 19 5" xfId="1014"/>
    <cellStyle name="Moneda 19 5 2" xfId="1988"/>
    <cellStyle name="Moneda 19 5 2 2" xfId="3933"/>
    <cellStyle name="Moneda 19 5 2 2 2" xfId="7786"/>
    <cellStyle name="Moneda 19 5 2 2 2 2" xfId="10335"/>
    <cellStyle name="Moneda 19 5 2 2 3" xfId="10334"/>
    <cellStyle name="Moneda 19 5 2 3" xfId="5848"/>
    <cellStyle name="Moneda 19 5 2 3 2" xfId="10336"/>
    <cellStyle name="Moneda 19 5 2 4" xfId="10333"/>
    <cellStyle name="Moneda 19 5 3" xfId="2972"/>
    <cellStyle name="Moneda 19 5 3 2" xfId="6830"/>
    <cellStyle name="Moneda 19 5 3 2 2" xfId="10338"/>
    <cellStyle name="Moneda 19 5 3 3" xfId="10337"/>
    <cellStyle name="Moneda 19 5 4" xfId="4892"/>
    <cellStyle name="Moneda 19 5 4 2" xfId="10339"/>
    <cellStyle name="Moneda 19 5 5" xfId="10332"/>
    <cellStyle name="Moneda 19 6" xfId="1496"/>
    <cellStyle name="Moneda 19 6 2" xfId="2465"/>
    <cellStyle name="Moneda 19 6 2 2" xfId="4410"/>
    <cellStyle name="Moneda 19 6 2 2 2" xfId="8263"/>
    <cellStyle name="Moneda 19 6 2 2 2 2" xfId="10343"/>
    <cellStyle name="Moneda 19 6 2 2 3" xfId="10342"/>
    <cellStyle name="Moneda 19 6 2 3" xfId="6325"/>
    <cellStyle name="Moneda 19 6 2 3 2" xfId="10344"/>
    <cellStyle name="Moneda 19 6 2 4" xfId="10341"/>
    <cellStyle name="Moneda 19 6 3" xfId="3449"/>
    <cellStyle name="Moneda 19 6 3 2" xfId="7307"/>
    <cellStyle name="Moneda 19 6 3 2 2" xfId="10346"/>
    <cellStyle name="Moneda 19 6 3 3" xfId="10345"/>
    <cellStyle name="Moneda 19 6 4" xfId="5369"/>
    <cellStyle name="Moneda 19 6 4 2" xfId="10347"/>
    <cellStyle name="Moneda 19 6 5" xfId="10340"/>
    <cellStyle name="Moneda 19 7" xfId="1749"/>
    <cellStyle name="Moneda 19 7 2" xfId="3695"/>
    <cellStyle name="Moneda 19 7 2 2" xfId="7548"/>
    <cellStyle name="Moneda 19 7 2 2 2" xfId="10350"/>
    <cellStyle name="Moneda 19 7 2 3" xfId="10349"/>
    <cellStyle name="Moneda 19 7 3" xfId="5610"/>
    <cellStyle name="Moneda 19 7 3 2" xfId="10351"/>
    <cellStyle name="Moneda 19 7 4" xfId="10348"/>
    <cellStyle name="Moneda 19 8" xfId="2733"/>
    <cellStyle name="Moneda 19 8 2" xfId="6592"/>
    <cellStyle name="Moneda 19 8 2 2" xfId="10353"/>
    <cellStyle name="Moneda 19 8 3" xfId="10352"/>
    <cellStyle name="Moneda 19 9" xfId="4660"/>
    <cellStyle name="Moneda 19 9 2" xfId="10354"/>
    <cellStyle name="Moneda 2" xfId="75"/>
    <cellStyle name="Moneda 2 10" xfId="76"/>
    <cellStyle name="Moneda 2 10 2" xfId="77"/>
    <cellStyle name="Moneda 2 11" xfId="78"/>
    <cellStyle name="Moneda 2 11 2" xfId="79"/>
    <cellStyle name="Moneda 2 11 3" xfId="80"/>
    <cellStyle name="Moneda 2 12" xfId="81"/>
    <cellStyle name="Moneda 2 12 2" xfId="82"/>
    <cellStyle name="Moneda 2 13" xfId="83"/>
    <cellStyle name="Moneda 2 13 2" xfId="84"/>
    <cellStyle name="Moneda 2 14" xfId="85"/>
    <cellStyle name="Moneda 2 14 2" xfId="86"/>
    <cellStyle name="Moneda 2 14 3" xfId="87"/>
    <cellStyle name="Moneda 2 14 4" xfId="88"/>
    <cellStyle name="Moneda 2 15" xfId="89"/>
    <cellStyle name="Moneda 2 15 2" xfId="90"/>
    <cellStyle name="Moneda 2 16" xfId="91"/>
    <cellStyle name="Moneda 2 16 2" xfId="92"/>
    <cellStyle name="Moneda 2 17" xfId="93"/>
    <cellStyle name="Moneda 2 17 2" xfId="94"/>
    <cellStyle name="Moneda 2 18" xfId="95"/>
    <cellStyle name="Moneda 2 18 2" xfId="96"/>
    <cellStyle name="Moneda 2 19" xfId="97"/>
    <cellStyle name="Moneda 2 19 2" xfId="98"/>
    <cellStyle name="Moneda 2 2" xfId="99"/>
    <cellStyle name="Moneda 2 2 10" xfId="100"/>
    <cellStyle name="Moneda 2 2 11" xfId="101"/>
    <cellStyle name="Moneda 2 2 12" xfId="102"/>
    <cellStyle name="Moneda 2 2 13" xfId="103"/>
    <cellStyle name="Moneda 2 2 14" xfId="104"/>
    <cellStyle name="Moneda 2 2 15" xfId="105"/>
    <cellStyle name="Moneda 2 2 16" xfId="106"/>
    <cellStyle name="Moneda 2 2 16 2" xfId="107"/>
    <cellStyle name="Moneda 2 2 16 3" xfId="108"/>
    <cellStyle name="Moneda 2 2 2" xfId="109"/>
    <cellStyle name="Moneda 2 2 2 2" xfId="110"/>
    <cellStyle name="Moneda 2 2 2 3" xfId="111"/>
    <cellStyle name="Moneda 2 2 2 4" xfId="112"/>
    <cellStyle name="Moneda 2 2 2 5" xfId="113"/>
    <cellStyle name="Moneda 2 2 2 5 2" xfId="114"/>
    <cellStyle name="Moneda 2 2 2 5 2 2" xfId="115"/>
    <cellStyle name="Moneda 2 2 2 5 3" xfId="116"/>
    <cellStyle name="Moneda 2 2 2 5 4" xfId="117"/>
    <cellStyle name="Moneda 2 2 2 5 5" xfId="118"/>
    <cellStyle name="Moneda 2 2 2 5 6" xfId="119"/>
    <cellStyle name="Moneda 2 2 2 5 7" xfId="120"/>
    <cellStyle name="Moneda 2 2 2 6" xfId="121"/>
    <cellStyle name="Moneda 2 2 3" xfId="122"/>
    <cellStyle name="Moneda 2 2 3 2" xfId="123"/>
    <cellStyle name="Moneda 2 2 4" xfId="124"/>
    <cellStyle name="Moneda 2 2 4 2" xfId="125"/>
    <cellStyle name="Moneda 2 2 4 3" xfId="126"/>
    <cellStyle name="Moneda 2 2 4 4" xfId="127"/>
    <cellStyle name="Moneda 2 2 5" xfId="128"/>
    <cellStyle name="Moneda 2 2 5 2" xfId="129"/>
    <cellStyle name="Moneda 2 2 6" xfId="130"/>
    <cellStyle name="Moneda 2 2 6 2" xfId="131"/>
    <cellStyle name="Moneda 2 2 7" xfId="132"/>
    <cellStyle name="Moneda 2 2 8" xfId="133"/>
    <cellStyle name="Moneda 2 2 9" xfId="134"/>
    <cellStyle name="Moneda 2 20" xfId="135"/>
    <cellStyle name="Moneda 2 20 2" xfId="136"/>
    <cellStyle name="Moneda 2 21" xfId="137"/>
    <cellStyle name="Moneda 2 22" xfId="138"/>
    <cellStyle name="Moneda 2 23" xfId="139"/>
    <cellStyle name="Moneda 2 24" xfId="140"/>
    <cellStyle name="Moneda 2 25" xfId="141"/>
    <cellStyle name="Moneda 2 26" xfId="142"/>
    <cellStyle name="Moneda 2 27" xfId="143"/>
    <cellStyle name="Moneda 2 28" xfId="144"/>
    <cellStyle name="Moneda 2 28 2" xfId="145"/>
    <cellStyle name="Moneda 2 28 2 2" xfId="612"/>
    <cellStyle name="Moneda 2 28 2 2 2" xfId="10357"/>
    <cellStyle name="Moneda 2 28 2 3" xfId="10356"/>
    <cellStyle name="Moneda 2 28 3" xfId="146"/>
    <cellStyle name="Moneda 2 28 4" xfId="611"/>
    <cellStyle name="Moneda 2 28 4 2" xfId="10358"/>
    <cellStyle name="Moneda 2 28 5" xfId="10355"/>
    <cellStyle name="Moneda 2 29" xfId="147"/>
    <cellStyle name="Moneda 2 3" xfId="148"/>
    <cellStyle name="Moneda 2 3 10" xfId="149"/>
    <cellStyle name="Moneda 2 3 11" xfId="150"/>
    <cellStyle name="Moneda 2 3 12" xfId="151"/>
    <cellStyle name="Moneda 2 3 13" xfId="152"/>
    <cellStyle name="Moneda 2 3 14" xfId="153"/>
    <cellStyle name="Moneda 2 3 15" xfId="154"/>
    <cellStyle name="Moneda 2 3 16" xfId="155"/>
    <cellStyle name="Moneda 2 3 16 2" xfId="156"/>
    <cellStyle name="Moneda 2 3 16 3" xfId="157"/>
    <cellStyle name="Moneda 2 3 2" xfId="158"/>
    <cellStyle name="Moneda 2 3 3" xfId="159"/>
    <cellStyle name="Moneda 2 3 4" xfId="160"/>
    <cellStyle name="Moneda 2 3 5" xfId="161"/>
    <cellStyle name="Moneda 2 3 6" xfId="162"/>
    <cellStyle name="Moneda 2 3 7" xfId="163"/>
    <cellStyle name="Moneda 2 3 8" xfId="164"/>
    <cellStyle name="Moneda 2 3 9" xfId="165"/>
    <cellStyle name="Moneda 2 30" xfId="166"/>
    <cellStyle name="Moneda 2 31" xfId="167"/>
    <cellStyle name="Moneda 2 32" xfId="168"/>
    <cellStyle name="Moneda 2 33" xfId="169"/>
    <cellStyle name="Moneda 2 34" xfId="839"/>
    <cellStyle name="Moneda 2 34 2" xfId="907"/>
    <cellStyle name="Moneda 2 34 2 2" xfId="1423"/>
    <cellStyle name="Moneda 2 34 2 2 2" xfId="2394"/>
    <cellStyle name="Moneda 2 34 2 2 2 2" xfId="4339"/>
    <cellStyle name="Moneda 2 34 2 2 2 2 2" xfId="8192"/>
    <cellStyle name="Moneda 2 34 2 2 2 2 2 2" xfId="10364"/>
    <cellStyle name="Moneda 2 34 2 2 2 2 3" xfId="10363"/>
    <cellStyle name="Moneda 2 34 2 2 2 3" xfId="6254"/>
    <cellStyle name="Moneda 2 34 2 2 2 3 2" xfId="10365"/>
    <cellStyle name="Moneda 2 34 2 2 2 4" xfId="10362"/>
    <cellStyle name="Moneda 2 34 2 2 3" xfId="3378"/>
    <cellStyle name="Moneda 2 34 2 2 3 2" xfId="7236"/>
    <cellStyle name="Moneda 2 34 2 2 3 2 2" xfId="10367"/>
    <cellStyle name="Moneda 2 34 2 2 3 3" xfId="10366"/>
    <cellStyle name="Moneda 2 34 2 2 4" xfId="5298"/>
    <cellStyle name="Moneda 2 34 2 2 4 2" xfId="10368"/>
    <cellStyle name="Moneda 2 34 2 2 5" xfId="10361"/>
    <cellStyle name="Moneda 2 34 2 3" xfId="1147"/>
    <cellStyle name="Moneda 2 34 2 3 2" xfId="2118"/>
    <cellStyle name="Moneda 2 34 2 3 2 2" xfId="4063"/>
    <cellStyle name="Moneda 2 34 2 3 2 2 2" xfId="7916"/>
    <cellStyle name="Moneda 2 34 2 3 2 2 2 2" xfId="10372"/>
    <cellStyle name="Moneda 2 34 2 3 2 2 3" xfId="10371"/>
    <cellStyle name="Moneda 2 34 2 3 2 3" xfId="5978"/>
    <cellStyle name="Moneda 2 34 2 3 2 3 2" xfId="10373"/>
    <cellStyle name="Moneda 2 34 2 3 2 4" xfId="10370"/>
    <cellStyle name="Moneda 2 34 2 3 3" xfId="3102"/>
    <cellStyle name="Moneda 2 34 2 3 3 2" xfId="6960"/>
    <cellStyle name="Moneda 2 34 2 3 3 2 2" xfId="10375"/>
    <cellStyle name="Moneda 2 34 2 3 3 3" xfId="10374"/>
    <cellStyle name="Moneda 2 34 2 3 4" xfId="5022"/>
    <cellStyle name="Moneda 2 34 2 3 4 2" xfId="10376"/>
    <cellStyle name="Moneda 2 34 2 3 5" xfId="10369"/>
    <cellStyle name="Moneda 2 34 2 4" xfId="1684"/>
    <cellStyle name="Moneda 2 34 2 4 2" xfId="2645"/>
    <cellStyle name="Moneda 2 34 2 4 2 2" xfId="4590"/>
    <cellStyle name="Moneda 2 34 2 4 2 2 2" xfId="8443"/>
    <cellStyle name="Moneda 2 34 2 4 2 2 2 2" xfId="10380"/>
    <cellStyle name="Moneda 2 34 2 4 2 2 3" xfId="10379"/>
    <cellStyle name="Moneda 2 34 2 4 2 3" xfId="6505"/>
    <cellStyle name="Moneda 2 34 2 4 2 3 2" xfId="10381"/>
    <cellStyle name="Moneda 2 34 2 4 2 4" xfId="10378"/>
    <cellStyle name="Moneda 2 34 2 4 3" xfId="3631"/>
    <cellStyle name="Moneda 2 34 2 4 3 2" xfId="7487"/>
    <cellStyle name="Moneda 2 34 2 4 3 2 2" xfId="10383"/>
    <cellStyle name="Moneda 2 34 2 4 3 3" xfId="10382"/>
    <cellStyle name="Moneda 2 34 2 4 4" xfId="5549"/>
    <cellStyle name="Moneda 2 34 2 4 4 2" xfId="10384"/>
    <cellStyle name="Moneda 2 34 2 4 5" xfId="10377"/>
    <cellStyle name="Moneda 2 34 2 5" xfId="1886"/>
    <cellStyle name="Moneda 2 34 2 5 2" xfId="3831"/>
    <cellStyle name="Moneda 2 34 2 5 2 2" xfId="7684"/>
    <cellStyle name="Moneda 2 34 2 5 2 2 2" xfId="10387"/>
    <cellStyle name="Moneda 2 34 2 5 2 3" xfId="10386"/>
    <cellStyle name="Moneda 2 34 2 5 3" xfId="5746"/>
    <cellStyle name="Moneda 2 34 2 5 3 2" xfId="10388"/>
    <cellStyle name="Moneda 2 34 2 5 4" xfId="10385"/>
    <cellStyle name="Moneda 2 34 2 6" xfId="2870"/>
    <cellStyle name="Moneda 2 34 2 6 2" xfId="6728"/>
    <cellStyle name="Moneda 2 34 2 6 2 2" xfId="10390"/>
    <cellStyle name="Moneda 2 34 2 6 3" xfId="10389"/>
    <cellStyle name="Moneda 2 34 2 7" xfId="4790"/>
    <cellStyle name="Moneda 2 34 2 7 2" xfId="10391"/>
    <cellStyle name="Moneda 2 34 2 8" xfId="10360"/>
    <cellStyle name="Moneda 2 34 3" xfId="1322"/>
    <cellStyle name="Moneda 2 34 3 2" xfId="2293"/>
    <cellStyle name="Moneda 2 34 3 2 2" xfId="4238"/>
    <cellStyle name="Moneda 2 34 3 2 2 2" xfId="8091"/>
    <cellStyle name="Moneda 2 34 3 2 2 2 2" xfId="10395"/>
    <cellStyle name="Moneda 2 34 3 2 2 3" xfId="10394"/>
    <cellStyle name="Moneda 2 34 3 2 3" xfId="6153"/>
    <cellStyle name="Moneda 2 34 3 2 3 2" xfId="10396"/>
    <cellStyle name="Moneda 2 34 3 2 4" xfId="10393"/>
    <cellStyle name="Moneda 2 34 3 3" xfId="3277"/>
    <cellStyle name="Moneda 2 34 3 3 2" xfId="7135"/>
    <cellStyle name="Moneda 2 34 3 3 2 2" xfId="10398"/>
    <cellStyle name="Moneda 2 34 3 3 3" xfId="10397"/>
    <cellStyle name="Moneda 2 34 3 4" xfId="5197"/>
    <cellStyle name="Moneda 2 34 3 4 2" xfId="10399"/>
    <cellStyle name="Moneda 2 34 3 5" xfId="10392"/>
    <cellStyle name="Moneda 2 34 4" xfId="1090"/>
    <cellStyle name="Moneda 2 34 4 2" xfId="2061"/>
    <cellStyle name="Moneda 2 34 4 2 2" xfId="4006"/>
    <cellStyle name="Moneda 2 34 4 2 2 2" xfId="7859"/>
    <cellStyle name="Moneda 2 34 4 2 2 2 2" xfId="10403"/>
    <cellStyle name="Moneda 2 34 4 2 2 3" xfId="10402"/>
    <cellStyle name="Moneda 2 34 4 2 3" xfId="5921"/>
    <cellStyle name="Moneda 2 34 4 2 3 2" xfId="10404"/>
    <cellStyle name="Moneda 2 34 4 2 4" xfId="10401"/>
    <cellStyle name="Moneda 2 34 4 3" xfId="3045"/>
    <cellStyle name="Moneda 2 34 4 3 2" xfId="6903"/>
    <cellStyle name="Moneda 2 34 4 3 2 2" xfId="10406"/>
    <cellStyle name="Moneda 2 34 4 3 3" xfId="10405"/>
    <cellStyle name="Moneda 2 34 4 4" xfId="4965"/>
    <cellStyle name="Moneda 2 34 4 4 2" xfId="10407"/>
    <cellStyle name="Moneda 2 34 4 5" xfId="10400"/>
    <cellStyle name="Moneda 2 34 5" xfId="1551"/>
    <cellStyle name="Moneda 2 34 5 2" xfId="2517"/>
    <cellStyle name="Moneda 2 34 5 2 2" xfId="4462"/>
    <cellStyle name="Moneda 2 34 5 2 2 2" xfId="8315"/>
    <cellStyle name="Moneda 2 34 5 2 2 2 2" xfId="10411"/>
    <cellStyle name="Moneda 2 34 5 2 2 3" xfId="10410"/>
    <cellStyle name="Moneda 2 34 5 2 3" xfId="6377"/>
    <cellStyle name="Moneda 2 34 5 2 3 2" xfId="10412"/>
    <cellStyle name="Moneda 2 34 5 2 4" xfId="10409"/>
    <cellStyle name="Moneda 2 34 5 3" xfId="3503"/>
    <cellStyle name="Moneda 2 34 5 3 2" xfId="7359"/>
    <cellStyle name="Moneda 2 34 5 3 2 2" xfId="10414"/>
    <cellStyle name="Moneda 2 34 5 3 3" xfId="10413"/>
    <cellStyle name="Moneda 2 34 5 4" xfId="5421"/>
    <cellStyle name="Moneda 2 34 5 4 2" xfId="10415"/>
    <cellStyle name="Moneda 2 34 5 5" xfId="10408"/>
    <cellStyle name="Moneda 2 34 6" xfId="1822"/>
    <cellStyle name="Moneda 2 34 6 2" xfId="3768"/>
    <cellStyle name="Moneda 2 34 6 2 2" xfId="7621"/>
    <cellStyle name="Moneda 2 34 6 2 2 2" xfId="10418"/>
    <cellStyle name="Moneda 2 34 6 2 3" xfId="10417"/>
    <cellStyle name="Moneda 2 34 6 3" xfId="5683"/>
    <cellStyle name="Moneda 2 34 6 3 2" xfId="10419"/>
    <cellStyle name="Moneda 2 34 6 4" xfId="10416"/>
    <cellStyle name="Moneda 2 34 7" xfId="2806"/>
    <cellStyle name="Moneda 2 34 7 2" xfId="6665"/>
    <cellStyle name="Moneda 2 34 7 2 2" xfId="10421"/>
    <cellStyle name="Moneda 2 34 7 3" xfId="10420"/>
    <cellStyle name="Moneda 2 34 8" xfId="4733"/>
    <cellStyle name="Moneda 2 34 8 2" xfId="10422"/>
    <cellStyle name="Moneda 2 34 9" xfId="10359"/>
    <cellStyle name="Moneda 2 35" xfId="856"/>
    <cellStyle name="Moneda 2 35 2" xfId="908"/>
    <cellStyle name="Moneda 2 35 2 2" xfId="1437"/>
    <cellStyle name="Moneda 2 35 2 2 2" xfId="2408"/>
    <cellStyle name="Moneda 2 35 2 2 2 2" xfId="4353"/>
    <cellStyle name="Moneda 2 35 2 2 2 2 2" xfId="8206"/>
    <cellStyle name="Moneda 2 35 2 2 2 2 2 2" xfId="10428"/>
    <cellStyle name="Moneda 2 35 2 2 2 2 3" xfId="10427"/>
    <cellStyle name="Moneda 2 35 2 2 2 3" xfId="6268"/>
    <cellStyle name="Moneda 2 35 2 2 2 3 2" xfId="10429"/>
    <cellStyle name="Moneda 2 35 2 2 2 4" xfId="10426"/>
    <cellStyle name="Moneda 2 35 2 2 3" xfId="3392"/>
    <cellStyle name="Moneda 2 35 2 2 3 2" xfId="7250"/>
    <cellStyle name="Moneda 2 35 2 2 3 2 2" xfId="10431"/>
    <cellStyle name="Moneda 2 35 2 2 3 3" xfId="10430"/>
    <cellStyle name="Moneda 2 35 2 2 4" xfId="5312"/>
    <cellStyle name="Moneda 2 35 2 2 4 2" xfId="10432"/>
    <cellStyle name="Moneda 2 35 2 2 5" xfId="10425"/>
    <cellStyle name="Moneda 2 35 2 3" xfId="1148"/>
    <cellStyle name="Moneda 2 35 2 3 2" xfId="2119"/>
    <cellStyle name="Moneda 2 35 2 3 2 2" xfId="4064"/>
    <cellStyle name="Moneda 2 35 2 3 2 2 2" xfId="7917"/>
    <cellStyle name="Moneda 2 35 2 3 2 2 2 2" xfId="10436"/>
    <cellStyle name="Moneda 2 35 2 3 2 2 3" xfId="10435"/>
    <cellStyle name="Moneda 2 35 2 3 2 3" xfId="5979"/>
    <cellStyle name="Moneda 2 35 2 3 2 3 2" xfId="10437"/>
    <cellStyle name="Moneda 2 35 2 3 2 4" xfId="10434"/>
    <cellStyle name="Moneda 2 35 2 3 3" xfId="3103"/>
    <cellStyle name="Moneda 2 35 2 3 3 2" xfId="6961"/>
    <cellStyle name="Moneda 2 35 2 3 3 2 2" xfId="10439"/>
    <cellStyle name="Moneda 2 35 2 3 3 3" xfId="10438"/>
    <cellStyle name="Moneda 2 35 2 3 4" xfId="5023"/>
    <cellStyle name="Moneda 2 35 2 3 4 2" xfId="10440"/>
    <cellStyle name="Moneda 2 35 2 3 5" xfId="10433"/>
    <cellStyle name="Moneda 2 35 2 4" xfId="1698"/>
    <cellStyle name="Moneda 2 35 2 4 2" xfId="2659"/>
    <cellStyle name="Moneda 2 35 2 4 2 2" xfId="4604"/>
    <cellStyle name="Moneda 2 35 2 4 2 2 2" xfId="8457"/>
    <cellStyle name="Moneda 2 35 2 4 2 2 2 2" xfId="10444"/>
    <cellStyle name="Moneda 2 35 2 4 2 2 3" xfId="10443"/>
    <cellStyle name="Moneda 2 35 2 4 2 3" xfId="6519"/>
    <cellStyle name="Moneda 2 35 2 4 2 3 2" xfId="10445"/>
    <cellStyle name="Moneda 2 35 2 4 2 4" xfId="10442"/>
    <cellStyle name="Moneda 2 35 2 4 3" xfId="3645"/>
    <cellStyle name="Moneda 2 35 2 4 3 2" xfId="7501"/>
    <cellStyle name="Moneda 2 35 2 4 3 2 2" xfId="10447"/>
    <cellStyle name="Moneda 2 35 2 4 3 3" xfId="10446"/>
    <cellStyle name="Moneda 2 35 2 4 4" xfId="5563"/>
    <cellStyle name="Moneda 2 35 2 4 4 2" xfId="10448"/>
    <cellStyle name="Moneda 2 35 2 4 5" xfId="10441"/>
    <cellStyle name="Moneda 2 35 2 5" xfId="1887"/>
    <cellStyle name="Moneda 2 35 2 5 2" xfId="3832"/>
    <cellStyle name="Moneda 2 35 2 5 2 2" xfId="7685"/>
    <cellStyle name="Moneda 2 35 2 5 2 2 2" xfId="10451"/>
    <cellStyle name="Moneda 2 35 2 5 2 3" xfId="10450"/>
    <cellStyle name="Moneda 2 35 2 5 3" xfId="5747"/>
    <cellStyle name="Moneda 2 35 2 5 3 2" xfId="10452"/>
    <cellStyle name="Moneda 2 35 2 5 4" xfId="10449"/>
    <cellStyle name="Moneda 2 35 2 6" xfId="2871"/>
    <cellStyle name="Moneda 2 35 2 6 2" xfId="6729"/>
    <cellStyle name="Moneda 2 35 2 6 2 2" xfId="10454"/>
    <cellStyle name="Moneda 2 35 2 6 3" xfId="10453"/>
    <cellStyle name="Moneda 2 35 2 7" xfId="4791"/>
    <cellStyle name="Moneda 2 35 2 7 2" xfId="10455"/>
    <cellStyle name="Moneda 2 35 2 8" xfId="10424"/>
    <cellStyle name="Moneda 2 35 3" xfId="1330"/>
    <cellStyle name="Moneda 2 35 3 2" xfId="2301"/>
    <cellStyle name="Moneda 2 35 3 2 2" xfId="4246"/>
    <cellStyle name="Moneda 2 35 3 2 2 2" xfId="8099"/>
    <cellStyle name="Moneda 2 35 3 2 2 2 2" xfId="10459"/>
    <cellStyle name="Moneda 2 35 3 2 2 3" xfId="10458"/>
    <cellStyle name="Moneda 2 35 3 2 3" xfId="6161"/>
    <cellStyle name="Moneda 2 35 3 2 3 2" xfId="10460"/>
    <cellStyle name="Moneda 2 35 3 2 4" xfId="10457"/>
    <cellStyle name="Moneda 2 35 3 3" xfId="3285"/>
    <cellStyle name="Moneda 2 35 3 3 2" xfId="7143"/>
    <cellStyle name="Moneda 2 35 3 3 2 2" xfId="10462"/>
    <cellStyle name="Moneda 2 35 3 3 3" xfId="10461"/>
    <cellStyle name="Moneda 2 35 3 4" xfId="5205"/>
    <cellStyle name="Moneda 2 35 3 4 2" xfId="10463"/>
    <cellStyle name="Moneda 2 35 3 5" xfId="10456"/>
    <cellStyle name="Moneda 2 35 4" xfId="1098"/>
    <cellStyle name="Moneda 2 35 4 2" xfId="2069"/>
    <cellStyle name="Moneda 2 35 4 2 2" xfId="4014"/>
    <cellStyle name="Moneda 2 35 4 2 2 2" xfId="7867"/>
    <cellStyle name="Moneda 2 35 4 2 2 2 2" xfId="10467"/>
    <cellStyle name="Moneda 2 35 4 2 2 3" xfId="10466"/>
    <cellStyle name="Moneda 2 35 4 2 3" xfId="5929"/>
    <cellStyle name="Moneda 2 35 4 2 3 2" xfId="10468"/>
    <cellStyle name="Moneda 2 35 4 2 4" xfId="10465"/>
    <cellStyle name="Moneda 2 35 4 3" xfId="3053"/>
    <cellStyle name="Moneda 2 35 4 3 2" xfId="6911"/>
    <cellStyle name="Moneda 2 35 4 3 2 2" xfId="10470"/>
    <cellStyle name="Moneda 2 35 4 3 3" xfId="10469"/>
    <cellStyle name="Moneda 2 35 4 4" xfId="4973"/>
    <cellStyle name="Moneda 2 35 4 4 2" xfId="10471"/>
    <cellStyle name="Moneda 2 35 4 5" xfId="10464"/>
    <cellStyle name="Moneda 2 35 5" xfId="1591"/>
    <cellStyle name="Moneda 2 35 5 2" xfId="2552"/>
    <cellStyle name="Moneda 2 35 5 2 2" xfId="4497"/>
    <cellStyle name="Moneda 2 35 5 2 2 2" xfId="8350"/>
    <cellStyle name="Moneda 2 35 5 2 2 2 2" xfId="10475"/>
    <cellStyle name="Moneda 2 35 5 2 2 3" xfId="10474"/>
    <cellStyle name="Moneda 2 35 5 2 3" xfId="6412"/>
    <cellStyle name="Moneda 2 35 5 2 3 2" xfId="10476"/>
    <cellStyle name="Moneda 2 35 5 2 4" xfId="10473"/>
    <cellStyle name="Moneda 2 35 5 3" xfId="3538"/>
    <cellStyle name="Moneda 2 35 5 3 2" xfId="7394"/>
    <cellStyle name="Moneda 2 35 5 3 2 2" xfId="10478"/>
    <cellStyle name="Moneda 2 35 5 3 3" xfId="10477"/>
    <cellStyle name="Moneda 2 35 5 4" xfId="5456"/>
    <cellStyle name="Moneda 2 35 5 4 2" xfId="10479"/>
    <cellStyle name="Moneda 2 35 5 5" xfId="10472"/>
    <cellStyle name="Moneda 2 35 6" xfId="1836"/>
    <cellStyle name="Moneda 2 35 6 2" xfId="3782"/>
    <cellStyle name="Moneda 2 35 6 2 2" xfId="7635"/>
    <cellStyle name="Moneda 2 35 6 2 2 2" xfId="10482"/>
    <cellStyle name="Moneda 2 35 6 2 3" xfId="10481"/>
    <cellStyle name="Moneda 2 35 6 3" xfId="5697"/>
    <cellStyle name="Moneda 2 35 6 3 2" xfId="10483"/>
    <cellStyle name="Moneda 2 35 6 4" xfId="10480"/>
    <cellStyle name="Moneda 2 35 7" xfId="2820"/>
    <cellStyle name="Moneda 2 35 7 2" xfId="6679"/>
    <cellStyle name="Moneda 2 35 7 2 2" xfId="10485"/>
    <cellStyle name="Moneda 2 35 7 3" xfId="10484"/>
    <cellStyle name="Moneda 2 35 8" xfId="4741"/>
    <cellStyle name="Moneda 2 35 8 2" xfId="10486"/>
    <cellStyle name="Moneda 2 35 9" xfId="10423"/>
    <cellStyle name="Moneda 2 36" xfId="909"/>
    <cellStyle name="Moneda 2 36 2" xfId="1354"/>
    <cellStyle name="Moneda 2 36 2 2" xfId="2325"/>
    <cellStyle name="Moneda 2 36 2 2 2" xfId="4270"/>
    <cellStyle name="Moneda 2 36 2 2 2 2" xfId="8123"/>
    <cellStyle name="Moneda 2 36 2 2 2 2 2" xfId="10491"/>
    <cellStyle name="Moneda 2 36 2 2 2 3" xfId="10490"/>
    <cellStyle name="Moneda 2 36 2 2 3" xfId="6185"/>
    <cellStyle name="Moneda 2 36 2 2 3 2" xfId="10492"/>
    <cellStyle name="Moneda 2 36 2 2 4" xfId="10489"/>
    <cellStyle name="Moneda 2 36 2 3" xfId="3309"/>
    <cellStyle name="Moneda 2 36 2 3 2" xfId="7167"/>
    <cellStyle name="Moneda 2 36 2 3 2 2" xfId="10494"/>
    <cellStyle name="Moneda 2 36 2 3 3" xfId="10493"/>
    <cellStyle name="Moneda 2 36 2 4" xfId="5229"/>
    <cellStyle name="Moneda 2 36 2 4 2" xfId="10495"/>
    <cellStyle name="Moneda 2 36 2 5" xfId="10488"/>
    <cellStyle name="Moneda 2 36 3" xfId="1149"/>
    <cellStyle name="Moneda 2 36 3 2" xfId="2120"/>
    <cellStyle name="Moneda 2 36 3 2 2" xfId="4065"/>
    <cellStyle name="Moneda 2 36 3 2 2 2" xfId="7918"/>
    <cellStyle name="Moneda 2 36 3 2 2 2 2" xfId="10499"/>
    <cellStyle name="Moneda 2 36 3 2 2 3" xfId="10498"/>
    <cellStyle name="Moneda 2 36 3 2 3" xfId="5980"/>
    <cellStyle name="Moneda 2 36 3 2 3 2" xfId="10500"/>
    <cellStyle name="Moneda 2 36 3 2 4" xfId="10497"/>
    <cellStyle name="Moneda 2 36 3 3" xfId="3104"/>
    <cellStyle name="Moneda 2 36 3 3 2" xfId="6962"/>
    <cellStyle name="Moneda 2 36 3 3 2 2" xfId="10502"/>
    <cellStyle name="Moneda 2 36 3 3 3" xfId="10501"/>
    <cellStyle name="Moneda 2 36 3 4" xfId="5024"/>
    <cellStyle name="Moneda 2 36 3 4 2" xfId="10503"/>
    <cellStyle name="Moneda 2 36 3 5" xfId="10496"/>
    <cellStyle name="Moneda 2 36 4" xfId="1615"/>
    <cellStyle name="Moneda 2 36 4 2" xfId="2576"/>
    <cellStyle name="Moneda 2 36 4 2 2" xfId="4521"/>
    <cellStyle name="Moneda 2 36 4 2 2 2" xfId="8374"/>
    <cellStyle name="Moneda 2 36 4 2 2 2 2" xfId="10507"/>
    <cellStyle name="Moneda 2 36 4 2 2 3" xfId="10506"/>
    <cellStyle name="Moneda 2 36 4 2 3" xfId="6436"/>
    <cellStyle name="Moneda 2 36 4 2 3 2" xfId="10508"/>
    <cellStyle name="Moneda 2 36 4 2 4" xfId="10505"/>
    <cellStyle name="Moneda 2 36 4 3" xfId="3562"/>
    <cellStyle name="Moneda 2 36 4 3 2" xfId="7418"/>
    <cellStyle name="Moneda 2 36 4 3 2 2" xfId="10510"/>
    <cellStyle name="Moneda 2 36 4 3 3" xfId="10509"/>
    <cellStyle name="Moneda 2 36 4 4" xfId="5480"/>
    <cellStyle name="Moneda 2 36 4 4 2" xfId="10511"/>
    <cellStyle name="Moneda 2 36 4 5" xfId="10504"/>
    <cellStyle name="Moneda 2 36 5" xfId="1888"/>
    <cellStyle name="Moneda 2 36 5 2" xfId="3833"/>
    <cellStyle name="Moneda 2 36 5 2 2" xfId="7686"/>
    <cellStyle name="Moneda 2 36 5 2 2 2" xfId="10514"/>
    <cellStyle name="Moneda 2 36 5 2 3" xfId="10513"/>
    <cellStyle name="Moneda 2 36 5 3" xfId="5748"/>
    <cellStyle name="Moneda 2 36 5 3 2" xfId="10515"/>
    <cellStyle name="Moneda 2 36 5 4" xfId="10512"/>
    <cellStyle name="Moneda 2 36 6" xfId="2872"/>
    <cellStyle name="Moneda 2 36 6 2" xfId="6730"/>
    <cellStyle name="Moneda 2 36 6 2 2" xfId="10517"/>
    <cellStyle name="Moneda 2 36 6 3" xfId="10516"/>
    <cellStyle name="Moneda 2 36 7" xfId="4792"/>
    <cellStyle name="Moneda 2 36 7 2" xfId="10518"/>
    <cellStyle name="Moneda 2 36 8" xfId="10487"/>
    <cellStyle name="Moneda 2 37" xfId="1244"/>
    <cellStyle name="Moneda 2 37 2" xfId="1479"/>
    <cellStyle name="Moneda 2 37 2 2" xfId="2449"/>
    <cellStyle name="Moneda 2 37 2 2 2" xfId="4394"/>
    <cellStyle name="Moneda 2 37 2 2 2 2" xfId="8247"/>
    <cellStyle name="Moneda 2 37 2 2 2 2 2" xfId="10523"/>
    <cellStyle name="Moneda 2 37 2 2 2 3" xfId="10522"/>
    <cellStyle name="Moneda 2 37 2 2 3" xfId="6309"/>
    <cellStyle name="Moneda 2 37 2 2 3 2" xfId="10524"/>
    <cellStyle name="Moneda 2 37 2 2 4" xfId="10521"/>
    <cellStyle name="Moneda 2 37 2 3" xfId="3433"/>
    <cellStyle name="Moneda 2 37 2 3 2" xfId="7291"/>
    <cellStyle name="Moneda 2 37 2 3 2 2" xfId="10526"/>
    <cellStyle name="Moneda 2 37 2 3 3" xfId="10525"/>
    <cellStyle name="Moneda 2 37 2 4" xfId="5353"/>
    <cellStyle name="Moneda 2 37 2 4 2" xfId="10527"/>
    <cellStyle name="Moneda 2 37 2 5" xfId="10520"/>
    <cellStyle name="Moneda 2 37 3" xfId="2215"/>
    <cellStyle name="Moneda 2 37 3 2" xfId="4160"/>
    <cellStyle name="Moneda 2 37 3 2 2" xfId="8013"/>
    <cellStyle name="Moneda 2 37 3 2 2 2" xfId="10530"/>
    <cellStyle name="Moneda 2 37 3 2 3" xfId="10529"/>
    <cellStyle name="Moneda 2 37 3 3" xfId="6075"/>
    <cellStyle name="Moneda 2 37 3 3 2" xfId="10531"/>
    <cellStyle name="Moneda 2 37 3 4" xfId="10528"/>
    <cellStyle name="Moneda 2 37 4" xfId="3199"/>
    <cellStyle name="Moneda 2 37 4 2" xfId="7057"/>
    <cellStyle name="Moneda 2 37 4 2 2" xfId="10533"/>
    <cellStyle name="Moneda 2 37 4 3" xfId="10532"/>
    <cellStyle name="Moneda 2 37 5" xfId="5119"/>
    <cellStyle name="Moneda 2 37 5 2" xfId="10534"/>
    <cellStyle name="Moneda 2 37 6" xfId="10519"/>
    <cellStyle name="Moneda 2 38" xfId="1015"/>
    <cellStyle name="Moneda 2 38 2" xfId="1989"/>
    <cellStyle name="Moneda 2 38 2 2" xfId="3934"/>
    <cellStyle name="Moneda 2 38 2 2 2" xfId="7787"/>
    <cellStyle name="Moneda 2 38 2 2 2 2" xfId="10538"/>
    <cellStyle name="Moneda 2 38 2 2 3" xfId="10537"/>
    <cellStyle name="Moneda 2 38 2 3" xfId="5849"/>
    <cellStyle name="Moneda 2 38 2 3 2" xfId="10539"/>
    <cellStyle name="Moneda 2 38 2 4" xfId="10536"/>
    <cellStyle name="Moneda 2 38 3" xfId="2973"/>
    <cellStyle name="Moneda 2 38 3 2" xfId="6831"/>
    <cellStyle name="Moneda 2 38 3 2 2" xfId="10541"/>
    <cellStyle name="Moneda 2 38 3 3" xfId="10540"/>
    <cellStyle name="Moneda 2 38 4" xfId="4893"/>
    <cellStyle name="Moneda 2 38 4 2" xfId="10542"/>
    <cellStyle name="Moneda 2 38 5" xfId="10535"/>
    <cellStyle name="Moneda 2 39" xfId="1497"/>
    <cellStyle name="Moneda 2 39 2" xfId="2466"/>
    <cellStyle name="Moneda 2 39 2 2" xfId="4411"/>
    <cellStyle name="Moneda 2 39 2 2 2" xfId="8264"/>
    <cellStyle name="Moneda 2 39 2 2 2 2" xfId="10546"/>
    <cellStyle name="Moneda 2 39 2 2 3" xfId="10545"/>
    <cellStyle name="Moneda 2 39 2 3" xfId="6326"/>
    <cellStyle name="Moneda 2 39 2 3 2" xfId="10547"/>
    <cellStyle name="Moneda 2 39 2 4" xfId="10544"/>
    <cellStyle name="Moneda 2 39 3" xfId="3450"/>
    <cellStyle name="Moneda 2 39 3 2" xfId="7308"/>
    <cellStyle name="Moneda 2 39 3 2 2" xfId="10549"/>
    <cellStyle name="Moneda 2 39 3 3" xfId="10548"/>
    <cellStyle name="Moneda 2 39 4" xfId="5370"/>
    <cellStyle name="Moneda 2 39 4 2" xfId="10550"/>
    <cellStyle name="Moneda 2 39 5" xfId="10543"/>
    <cellStyle name="Moneda 2 4" xfId="170"/>
    <cellStyle name="Moneda 2 4 2" xfId="171"/>
    <cellStyle name="Moneda 2 4 2 2" xfId="172"/>
    <cellStyle name="Moneda 2 4 2 3" xfId="173"/>
    <cellStyle name="Moneda 2 40" xfId="1750"/>
    <cellStyle name="Moneda 2 40 2" xfId="3696"/>
    <cellStyle name="Moneda 2 40 2 2" xfId="7549"/>
    <cellStyle name="Moneda 2 40 2 2 2" xfId="10553"/>
    <cellStyle name="Moneda 2 40 2 3" xfId="10552"/>
    <cellStyle name="Moneda 2 40 3" xfId="5611"/>
    <cellStyle name="Moneda 2 40 3 2" xfId="10554"/>
    <cellStyle name="Moneda 2 40 4" xfId="10551"/>
    <cellStyle name="Moneda 2 41" xfId="2734"/>
    <cellStyle name="Moneda 2 41 2" xfId="6593"/>
    <cellStyle name="Moneda 2 41 2 2" xfId="10556"/>
    <cellStyle name="Moneda 2 41 3" xfId="10555"/>
    <cellStyle name="Moneda 2 42" xfId="4661"/>
    <cellStyle name="Moneda 2 42 2" xfId="10557"/>
    <cellStyle name="Moneda 2 5" xfId="174"/>
    <cellStyle name="Moneda 2 5 2" xfId="175"/>
    <cellStyle name="Moneda 2 6" xfId="176"/>
    <cellStyle name="Moneda 2 6 2" xfId="177"/>
    <cellStyle name="Moneda 2 6 3" xfId="178"/>
    <cellStyle name="Moneda 2 7" xfId="179"/>
    <cellStyle name="Moneda 2 7 2" xfId="180"/>
    <cellStyle name="Moneda 2 7 3" xfId="181"/>
    <cellStyle name="Moneda 2 8" xfId="182"/>
    <cellStyle name="Moneda 2 8 2" xfId="183"/>
    <cellStyle name="Moneda 2 8 3" xfId="184"/>
    <cellStyle name="Moneda 2 9" xfId="185"/>
    <cellStyle name="Moneda 2 9 2" xfId="186"/>
    <cellStyle name="Moneda 2 9 3" xfId="187"/>
    <cellStyle name="Moneda 20" xfId="188"/>
    <cellStyle name="Moneda 20 2" xfId="809"/>
    <cellStyle name="Moneda 20 2 2" xfId="10559"/>
    <cellStyle name="Moneda 20 3" xfId="10558"/>
    <cellStyle name="Moneda 21" xfId="579"/>
    <cellStyle name="Moneda 21 2" xfId="10560"/>
    <cellStyle name="Moneda 22" xfId="787"/>
    <cellStyle name="Moneda 22 2" xfId="910"/>
    <cellStyle name="Moneda 22 2 2" xfId="1404"/>
    <cellStyle name="Moneda 22 2 2 2" xfId="2375"/>
    <cellStyle name="Moneda 22 2 2 2 2" xfId="4320"/>
    <cellStyle name="Moneda 22 2 2 2 2 2" xfId="8173"/>
    <cellStyle name="Moneda 22 2 2 2 2 2 2" xfId="10566"/>
    <cellStyle name="Moneda 22 2 2 2 2 3" xfId="10565"/>
    <cellStyle name="Moneda 22 2 2 2 3" xfId="6235"/>
    <cellStyle name="Moneda 22 2 2 2 3 2" xfId="10567"/>
    <cellStyle name="Moneda 22 2 2 2 4" xfId="10564"/>
    <cellStyle name="Moneda 22 2 2 3" xfId="3359"/>
    <cellStyle name="Moneda 22 2 2 3 2" xfId="7217"/>
    <cellStyle name="Moneda 22 2 2 3 2 2" xfId="10569"/>
    <cellStyle name="Moneda 22 2 2 3 3" xfId="10568"/>
    <cellStyle name="Moneda 22 2 2 4" xfId="5279"/>
    <cellStyle name="Moneda 22 2 2 4 2" xfId="10570"/>
    <cellStyle name="Moneda 22 2 2 5" xfId="10563"/>
    <cellStyle name="Moneda 22 2 3" xfId="1150"/>
    <cellStyle name="Moneda 22 2 3 2" xfId="2121"/>
    <cellStyle name="Moneda 22 2 3 2 2" xfId="4066"/>
    <cellStyle name="Moneda 22 2 3 2 2 2" xfId="7919"/>
    <cellStyle name="Moneda 22 2 3 2 2 2 2" xfId="10574"/>
    <cellStyle name="Moneda 22 2 3 2 2 3" xfId="10573"/>
    <cellStyle name="Moneda 22 2 3 2 3" xfId="5981"/>
    <cellStyle name="Moneda 22 2 3 2 3 2" xfId="10575"/>
    <cellStyle name="Moneda 22 2 3 2 4" xfId="10572"/>
    <cellStyle name="Moneda 22 2 3 3" xfId="3105"/>
    <cellStyle name="Moneda 22 2 3 3 2" xfId="6963"/>
    <cellStyle name="Moneda 22 2 3 3 2 2" xfId="10577"/>
    <cellStyle name="Moneda 22 2 3 3 3" xfId="10576"/>
    <cellStyle name="Moneda 22 2 3 4" xfId="5025"/>
    <cellStyle name="Moneda 22 2 3 4 2" xfId="10578"/>
    <cellStyle name="Moneda 22 2 3 5" xfId="10571"/>
    <cellStyle name="Moneda 22 2 4" xfId="1665"/>
    <cellStyle name="Moneda 22 2 4 2" xfId="2626"/>
    <cellStyle name="Moneda 22 2 4 2 2" xfId="4571"/>
    <cellStyle name="Moneda 22 2 4 2 2 2" xfId="8424"/>
    <cellStyle name="Moneda 22 2 4 2 2 2 2" xfId="10582"/>
    <cellStyle name="Moneda 22 2 4 2 2 3" xfId="10581"/>
    <cellStyle name="Moneda 22 2 4 2 3" xfId="6486"/>
    <cellStyle name="Moneda 22 2 4 2 3 2" xfId="10583"/>
    <cellStyle name="Moneda 22 2 4 2 4" xfId="10580"/>
    <cellStyle name="Moneda 22 2 4 3" xfId="3612"/>
    <cellStyle name="Moneda 22 2 4 3 2" xfId="7468"/>
    <cellStyle name="Moneda 22 2 4 3 2 2" xfId="10585"/>
    <cellStyle name="Moneda 22 2 4 3 3" xfId="10584"/>
    <cellStyle name="Moneda 22 2 4 4" xfId="5530"/>
    <cellStyle name="Moneda 22 2 4 4 2" xfId="10586"/>
    <cellStyle name="Moneda 22 2 4 5" xfId="10579"/>
    <cellStyle name="Moneda 22 2 5" xfId="1889"/>
    <cellStyle name="Moneda 22 2 5 2" xfId="3834"/>
    <cellStyle name="Moneda 22 2 5 2 2" xfId="7687"/>
    <cellStyle name="Moneda 22 2 5 2 2 2" xfId="10589"/>
    <cellStyle name="Moneda 22 2 5 2 3" xfId="10588"/>
    <cellStyle name="Moneda 22 2 5 3" xfId="5749"/>
    <cellStyle name="Moneda 22 2 5 3 2" xfId="10590"/>
    <cellStyle name="Moneda 22 2 5 4" xfId="10587"/>
    <cellStyle name="Moneda 22 2 6" xfId="2873"/>
    <cellStyle name="Moneda 22 2 6 2" xfId="6731"/>
    <cellStyle name="Moneda 22 2 6 2 2" xfId="10592"/>
    <cellStyle name="Moneda 22 2 6 3" xfId="10591"/>
    <cellStyle name="Moneda 22 2 7" xfId="4793"/>
    <cellStyle name="Moneda 22 2 7 2" xfId="10593"/>
    <cellStyle name="Moneda 22 2 8" xfId="10562"/>
    <cellStyle name="Moneda 22 3" xfId="1303"/>
    <cellStyle name="Moneda 22 3 2" xfId="2274"/>
    <cellStyle name="Moneda 22 3 2 2" xfId="4219"/>
    <cellStyle name="Moneda 22 3 2 2 2" xfId="8072"/>
    <cellStyle name="Moneda 22 3 2 2 2 2" xfId="10597"/>
    <cellStyle name="Moneda 22 3 2 2 3" xfId="10596"/>
    <cellStyle name="Moneda 22 3 2 3" xfId="6134"/>
    <cellStyle name="Moneda 22 3 2 3 2" xfId="10598"/>
    <cellStyle name="Moneda 22 3 2 4" xfId="10595"/>
    <cellStyle name="Moneda 22 3 3" xfId="3258"/>
    <cellStyle name="Moneda 22 3 3 2" xfId="7116"/>
    <cellStyle name="Moneda 22 3 3 2 2" xfId="10600"/>
    <cellStyle name="Moneda 22 3 3 3" xfId="10599"/>
    <cellStyle name="Moneda 22 3 4" xfId="5178"/>
    <cellStyle name="Moneda 22 3 4 2" xfId="10601"/>
    <cellStyle name="Moneda 22 3 5" xfId="10594"/>
    <cellStyle name="Moneda 22 4" xfId="1071"/>
    <cellStyle name="Moneda 22 4 2" xfId="2042"/>
    <cellStyle name="Moneda 22 4 2 2" xfId="3987"/>
    <cellStyle name="Moneda 22 4 2 2 2" xfId="7840"/>
    <cellStyle name="Moneda 22 4 2 2 2 2" xfId="10605"/>
    <cellStyle name="Moneda 22 4 2 2 3" xfId="10604"/>
    <cellStyle name="Moneda 22 4 2 3" xfId="5902"/>
    <cellStyle name="Moneda 22 4 2 3 2" xfId="10606"/>
    <cellStyle name="Moneda 22 4 2 4" xfId="10603"/>
    <cellStyle name="Moneda 22 4 3" xfId="3026"/>
    <cellStyle name="Moneda 22 4 3 2" xfId="6884"/>
    <cellStyle name="Moneda 22 4 3 2 2" xfId="10608"/>
    <cellStyle name="Moneda 22 4 3 3" xfId="10607"/>
    <cellStyle name="Moneda 22 4 4" xfId="4946"/>
    <cellStyle name="Moneda 22 4 4 2" xfId="10609"/>
    <cellStyle name="Moneda 22 4 5" xfId="10602"/>
    <cellStyle name="Moneda 22 5" xfId="1572"/>
    <cellStyle name="Moneda 22 5 2" xfId="2534"/>
    <cellStyle name="Moneda 22 5 2 2" xfId="4479"/>
    <cellStyle name="Moneda 22 5 2 2 2" xfId="8332"/>
    <cellStyle name="Moneda 22 5 2 2 2 2" xfId="10613"/>
    <cellStyle name="Moneda 22 5 2 2 3" xfId="10612"/>
    <cellStyle name="Moneda 22 5 2 3" xfId="6394"/>
    <cellStyle name="Moneda 22 5 2 3 2" xfId="10614"/>
    <cellStyle name="Moneda 22 5 2 4" xfId="10611"/>
    <cellStyle name="Moneda 22 5 3" xfId="3520"/>
    <cellStyle name="Moneda 22 5 3 2" xfId="7376"/>
    <cellStyle name="Moneda 22 5 3 2 2" xfId="10616"/>
    <cellStyle name="Moneda 22 5 3 3" xfId="10615"/>
    <cellStyle name="Moneda 22 5 4" xfId="5438"/>
    <cellStyle name="Moneda 22 5 4 2" xfId="10617"/>
    <cellStyle name="Moneda 22 5 5" xfId="10610"/>
    <cellStyle name="Moneda 22 6" xfId="1803"/>
    <cellStyle name="Moneda 22 6 2" xfId="3749"/>
    <cellStyle name="Moneda 22 6 2 2" xfId="7602"/>
    <cellStyle name="Moneda 22 6 2 2 2" xfId="10620"/>
    <cellStyle name="Moneda 22 6 2 3" xfId="10619"/>
    <cellStyle name="Moneda 22 6 3" xfId="5664"/>
    <cellStyle name="Moneda 22 6 3 2" xfId="10621"/>
    <cellStyle name="Moneda 22 6 4" xfId="10618"/>
    <cellStyle name="Moneda 22 7" xfId="2787"/>
    <cellStyle name="Moneda 22 7 2" xfId="6646"/>
    <cellStyle name="Moneda 22 7 2 2" xfId="10623"/>
    <cellStyle name="Moneda 22 7 3" xfId="10622"/>
    <cellStyle name="Moneda 22 8" xfId="4714"/>
    <cellStyle name="Moneda 22 8 2" xfId="10624"/>
    <cellStyle name="Moneda 22 9" xfId="10561"/>
    <cellStyle name="Moneda 23" xfId="865"/>
    <cellStyle name="Moneda 23 2" xfId="911"/>
    <cellStyle name="Moneda 23 2 2" xfId="10626"/>
    <cellStyle name="Moneda 23 3" xfId="10625"/>
    <cellStyle name="Moneda 24" xfId="10627"/>
    <cellStyle name="Moneda 25" xfId="16327"/>
    <cellStyle name="Moneda 3" xfId="189"/>
    <cellStyle name="Moneda 3 10" xfId="190"/>
    <cellStyle name="Moneda 3 10 2" xfId="191"/>
    <cellStyle name="Moneda 3 11" xfId="192"/>
    <cellStyle name="Moneda 3 11 2" xfId="193"/>
    <cellStyle name="Moneda 3 12" xfId="194"/>
    <cellStyle name="Moneda 3 12 2" xfId="195"/>
    <cellStyle name="Moneda 3 13" xfId="196"/>
    <cellStyle name="Moneda 3 13 2" xfId="197"/>
    <cellStyle name="Moneda 3 14" xfId="198"/>
    <cellStyle name="Moneda 3 14 2" xfId="199"/>
    <cellStyle name="Moneda 3 15" xfId="200"/>
    <cellStyle name="Moneda 3 15 2" xfId="201"/>
    <cellStyle name="Moneda 3 16" xfId="202"/>
    <cellStyle name="Moneda 3 16 2" xfId="203"/>
    <cellStyle name="Moneda 3 17" xfId="204"/>
    <cellStyle name="Moneda 3 18" xfId="205"/>
    <cellStyle name="Moneda 3 2" xfId="206"/>
    <cellStyle name="Moneda 3 2 2" xfId="207"/>
    <cellStyle name="Moneda 3 2 2 2" xfId="208"/>
    <cellStyle name="Moneda 3 2 2 2 2" xfId="209"/>
    <cellStyle name="Moneda 3 2 2 3" xfId="210"/>
    <cellStyle name="Moneda 3 2 3" xfId="211"/>
    <cellStyle name="Moneda 3 2 3 2" xfId="212"/>
    <cellStyle name="Moneda 3 2 3 2 2" xfId="213"/>
    <cellStyle name="Moneda 3 2 3 2 2 2" xfId="214"/>
    <cellStyle name="Moneda 3 2 3 2 3" xfId="215"/>
    <cellStyle name="Moneda 3 2 3 3" xfId="216"/>
    <cellStyle name="Moneda 3 2 4" xfId="217"/>
    <cellStyle name="Moneda 3 2 4 2" xfId="218"/>
    <cellStyle name="Moneda 3 2 5" xfId="219"/>
    <cellStyle name="Moneda 3 3" xfId="220"/>
    <cellStyle name="Moneda 3 3 2" xfId="221"/>
    <cellStyle name="Moneda 3 3 2 2" xfId="222"/>
    <cellStyle name="Moneda 3 3 3" xfId="223"/>
    <cellStyle name="Moneda 3 3 3 2" xfId="224"/>
    <cellStyle name="Moneda 3 3 3 2 2" xfId="225"/>
    <cellStyle name="Moneda 3 3 3 3" xfId="226"/>
    <cellStyle name="Moneda 3 3 3 3 2" xfId="227"/>
    <cellStyle name="Moneda 3 3 3 4" xfId="228"/>
    <cellStyle name="Moneda 3 3 3 4 2" xfId="229"/>
    <cellStyle name="Moneda 3 3 3 4 2 2" xfId="230"/>
    <cellStyle name="Moneda 3 3 3 4 2 2 2" xfId="231"/>
    <cellStyle name="Moneda 3 3 3 4 2 3" xfId="232"/>
    <cellStyle name="Moneda 3 3 3 4 3" xfId="233"/>
    <cellStyle name="Moneda 3 3 3 4 3 2" xfId="234"/>
    <cellStyle name="Moneda 3 3 3 5" xfId="235"/>
    <cellStyle name="Moneda 3 3 3 5 2" xfId="236"/>
    <cellStyle name="Moneda 3 3 3 6" xfId="237"/>
    <cellStyle name="Moneda 3 3 3 6 2" xfId="238"/>
    <cellStyle name="Moneda 3 3 3 7" xfId="239"/>
    <cellStyle name="Moneda 3 3 3 7 2" xfId="240"/>
    <cellStyle name="Moneda 3 3 3 8" xfId="241"/>
    <cellStyle name="Moneda 3 3 3 8 2" xfId="242"/>
    <cellStyle name="Moneda 3 3 3 8 2 2" xfId="243"/>
    <cellStyle name="Moneda 3 3 3 9" xfId="244"/>
    <cellStyle name="Moneda 3 3 4" xfId="245"/>
    <cellStyle name="Moneda 3 3 4 2" xfId="246"/>
    <cellStyle name="Moneda 3 3 5" xfId="247"/>
    <cellStyle name="Moneda 3 4" xfId="248"/>
    <cellStyle name="Moneda 3 4 2" xfId="249"/>
    <cellStyle name="Moneda 3 5" xfId="250"/>
    <cellStyle name="Moneda 3 5 2" xfId="251"/>
    <cellStyle name="Moneda 3 6" xfId="252"/>
    <cellStyle name="Moneda 3 6 2" xfId="253"/>
    <cellStyle name="Moneda 3 7" xfId="254"/>
    <cellStyle name="Moneda 3 7 2" xfId="255"/>
    <cellStyle name="Moneda 3 8" xfId="256"/>
    <cellStyle name="Moneda 3 8 2" xfId="257"/>
    <cellStyle name="Moneda 3 9" xfId="258"/>
    <cellStyle name="Moneda 3 9 2" xfId="259"/>
    <cellStyle name="Moneda 4" xfId="260"/>
    <cellStyle name="Moneda 4 10" xfId="261"/>
    <cellStyle name="Moneda 4 11" xfId="262"/>
    <cellStyle name="Moneda 4 12" xfId="263"/>
    <cellStyle name="Moneda 4 13" xfId="264"/>
    <cellStyle name="Moneda 4 14" xfId="265"/>
    <cellStyle name="Moneda 4 15" xfId="266"/>
    <cellStyle name="Moneda 4 16" xfId="267"/>
    <cellStyle name="Moneda 4 17" xfId="268"/>
    <cellStyle name="Moneda 4 2" xfId="269"/>
    <cellStyle name="Moneda 4 2 2" xfId="270"/>
    <cellStyle name="Moneda 4 2 2 2" xfId="271"/>
    <cellStyle name="Moneda 4 2 2 2 2" xfId="272"/>
    <cellStyle name="Moneda 4 2 3" xfId="273"/>
    <cellStyle name="Moneda 4 3" xfId="274"/>
    <cellStyle name="Moneda 4 4" xfId="275"/>
    <cellStyle name="Moneda 4 4 2" xfId="276"/>
    <cellStyle name="Moneda 4 5" xfId="277"/>
    <cellStyle name="Moneda 4 6" xfId="278"/>
    <cellStyle name="Moneda 4 7" xfId="279"/>
    <cellStyle name="Moneda 4 8" xfId="280"/>
    <cellStyle name="Moneda 4 9" xfId="281"/>
    <cellStyle name="Moneda 5" xfId="282"/>
    <cellStyle name="Moneda 5 2" xfId="283"/>
    <cellStyle name="Moneda 5 2 2" xfId="284"/>
    <cellStyle name="Moneda 5 3" xfId="285"/>
    <cellStyle name="Moneda 5 3 10" xfId="4662"/>
    <cellStyle name="Moneda 5 3 10 2" xfId="10629"/>
    <cellStyle name="Moneda 5 3 11" xfId="10628"/>
    <cellStyle name="Moneda 5 3 2" xfId="286"/>
    <cellStyle name="Moneda 5 3 2 10" xfId="10630"/>
    <cellStyle name="Moneda 5 3 2 2" xfId="797"/>
    <cellStyle name="Moneda 5 3 2 2 2" xfId="912"/>
    <cellStyle name="Moneda 5 3 2 2 2 2" xfId="1408"/>
    <cellStyle name="Moneda 5 3 2 2 2 2 2" xfId="2379"/>
    <cellStyle name="Moneda 5 3 2 2 2 2 2 2" xfId="4324"/>
    <cellStyle name="Moneda 5 3 2 2 2 2 2 2 2" xfId="8177"/>
    <cellStyle name="Moneda 5 3 2 2 2 2 2 2 2 2" xfId="10636"/>
    <cellStyle name="Moneda 5 3 2 2 2 2 2 2 3" xfId="10635"/>
    <cellStyle name="Moneda 5 3 2 2 2 2 2 3" xfId="6239"/>
    <cellStyle name="Moneda 5 3 2 2 2 2 2 3 2" xfId="10637"/>
    <cellStyle name="Moneda 5 3 2 2 2 2 2 4" xfId="10634"/>
    <cellStyle name="Moneda 5 3 2 2 2 2 3" xfId="3363"/>
    <cellStyle name="Moneda 5 3 2 2 2 2 3 2" xfId="7221"/>
    <cellStyle name="Moneda 5 3 2 2 2 2 3 2 2" xfId="10639"/>
    <cellStyle name="Moneda 5 3 2 2 2 2 3 3" xfId="10638"/>
    <cellStyle name="Moneda 5 3 2 2 2 2 4" xfId="5283"/>
    <cellStyle name="Moneda 5 3 2 2 2 2 4 2" xfId="10640"/>
    <cellStyle name="Moneda 5 3 2 2 2 2 5" xfId="10633"/>
    <cellStyle name="Moneda 5 3 2 2 2 3" xfId="1151"/>
    <cellStyle name="Moneda 5 3 2 2 2 3 2" xfId="2122"/>
    <cellStyle name="Moneda 5 3 2 2 2 3 2 2" xfId="4067"/>
    <cellStyle name="Moneda 5 3 2 2 2 3 2 2 2" xfId="7920"/>
    <cellStyle name="Moneda 5 3 2 2 2 3 2 2 2 2" xfId="10644"/>
    <cellStyle name="Moneda 5 3 2 2 2 3 2 2 3" xfId="10643"/>
    <cellStyle name="Moneda 5 3 2 2 2 3 2 3" xfId="5982"/>
    <cellStyle name="Moneda 5 3 2 2 2 3 2 3 2" xfId="10645"/>
    <cellStyle name="Moneda 5 3 2 2 2 3 2 4" xfId="10642"/>
    <cellStyle name="Moneda 5 3 2 2 2 3 3" xfId="3106"/>
    <cellStyle name="Moneda 5 3 2 2 2 3 3 2" xfId="6964"/>
    <cellStyle name="Moneda 5 3 2 2 2 3 3 2 2" xfId="10647"/>
    <cellStyle name="Moneda 5 3 2 2 2 3 3 3" xfId="10646"/>
    <cellStyle name="Moneda 5 3 2 2 2 3 4" xfId="5026"/>
    <cellStyle name="Moneda 5 3 2 2 2 3 4 2" xfId="10648"/>
    <cellStyle name="Moneda 5 3 2 2 2 3 5" xfId="10641"/>
    <cellStyle name="Moneda 5 3 2 2 2 4" xfId="1669"/>
    <cellStyle name="Moneda 5 3 2 2 2 4 2" xfId="2630"/>
    <cellStyle name="Moneda 5 3 2 2 2 4 2 2" xfId="4575"/>
    <cellStyle name="Moneda 5 3 2 2 2 4 2 2 2" xfId="8428"/>
    <cellStyle name="Moneda 5 3 2 2 2 4 2 2 2 2" xfId="10652"/>
    <cellStyle name="Moneda 5 3 2 2 2 4 2 2 3" xfId="10651"/>
    <cellStyle name="Moneda 5 3 2 2 2 4 2 3" xfId="6490"/>
    <cellStyle name="Moneda 5 3 2 2 2 4 2 3 2" xfId="10653"/>
    <cellStyle name="Moneda 5 3 2 2 2 4 2 4" xfId="10650"/>
    <cellStyle name="Moneda 5 3 2 2 2 4 3" xfId="3616"/>
    <cellStyle name="Moneda 5 3 2 2 2 4 3 2" xfId="7472"/>
    <cellStyle name="Moneda 5 3 2 2 2 4 3 2 2" xfId="10655"/>
    <cellStyle name="Moneda 5 3 2 2 2 4 3 3" xfId="10654"/>
    <cellStyle name="Moneda 5 3 2 2 2 4 4" xfId="5534"/>
    <cellStyle name="Moneda 5 3 2 2 2 4 4 2" xfId="10656"/>
    <cellStyle name="Moneda 5 3 2 2 2 4 5" xfId="10649"/>
    <cellStyle name="Moneda 5 3 2 2 2 5" xfId="1890"/>
    <cellStyle name="Moneda 5 3 2 2 2 5 2" xfId="3835"/>
    <cellStyle name="Moneda 5 3 2 2 2 5 2 2" xfId="7688"/>
    <cellStyle name="Moneda 5 3 2 2 2 5 2 2 2" xfId="10659"/>
    <cellStyle name="Moneda 5 3 2 2 2 5 2 3" xfId="10658"/>
    <cellStyle name="Moneda 5 3 2 2 2 5 3" xfId="5750"/>
    <cellStyle name="Moneda 5 3 2 2 2 5 3 2" xfId="10660"/>
    <cellStyle name="Moneda 5 3 2 2 2 5 4" xfId="10657"/>
    <cellStyle name="Moneda 5 3 2 2 2 6" xfId="2874"/>
    <cellStyle name="Moneda 5 3 2 2 2 6 2" xfId="6732"/>
    <cellStyle name="Moneda 5 3 2 2 2 6 2 2" xfId="10662"/>
    <cellStyle name="Moneda 5 3 2 2 2 6 3" xfId="10661"/>
    <cellStyle name="Moneda 5 3 2 2 2 7" xfId="4794"/>
    <cellStyle name="Moneda 5 3 2 2 2 7 2" xfId="10663"/>
    <cellStyle name="Moneda 5 3 2 2 2 8" xfId="10632"/>
    <cellStyle name="Moneda 5 3 2 2 3" xfId="1307"/>
    <cellStyle name="Moneda 5 3 2 2 3 2" xfId="2278"/>
    <cellStyle name="Moneda 5 3 2 2 3 2 2" xfId="4223"/>
    <cellStyle name="Moneda 5 3 2 2 3 2 2 2" xfId="8076"/>
    <cellStyle name="Moneda 5 3 2 2 3 2 2 2 2" xfId="10667"/>
    <cellStyle name="Moneda 5 3 2 2 3 2 2 3" xfId="10666"/>
    <cellStyle name="Moneda 5 3 2 2 3 2 3" xfId="6138"/>
    <cellStyle name="Moneda 5 3 2 2 3 2 3 2" xfId="10668"/>
    <cellStyle name="Moneda 5 3 2 2 3 2 4" xfId="10665"/>
    <cellStyle name="Moneda 5 3 2 2 3 3" xfId="3262"/>
    <cellStyle name="Moneda 5 3 2 2 3 3 2" xfId="7120"/>
    <cellStyle name="Moneda 5 3 2 2 3 3 2 2" xfId="10670"/>
    <cellStyle name="Moneda 5 3 2 2 3 3 3" xfId="10669"/>
    <cellStyle name="Moneda 5 3 2 2 3 4" xfId="5182"/>
    <cellStyle name="Moneda 5 3 2 2 3 4 2" xfId="10671"/>
    <cellStyle name="Moneda 5 3 2 2 3 5" xfId="10664"/>
    <cellStyle name="Moneda 5 3 2 2 4" xfId="1075"/>
    <cellStyle name="Moneda 5 3 2 2 4 2" xfId="2046"/>
    <cellStyle name="Moneda 5 3 2 2 4 2 2" xfId="3991"/>
    <cellStyle name="Moneda 5 3 2 2 4 2 2 2" xfId="7844"/>
    <cellStyle name="Moneda 5 3 2 2 4 2 2 2 2" xfId="10675"/>
    <cellStyle name="Moneda 5 3 2 2 4 2 2 3" xfId="10674"/>
    <cellStyle name="Moneda 5 3 2 2 4 2 3" xfId="5906"/>
    <cellStyle name="Moneda 5 3 2 2 4 2 3 2" xfId="10676"/>
    <cellStyle name="Moneda 5 3 2 2 4 2 4" xfId="10673"/>
    <cellStyle name="Moneda 5 3 2 2 4 3" xfId="3030"/>
    <cellStyle name="Moneda 5 3 2 2 4 3 2" xfId="6888"/>
    <cellStyle name="Moneda 5 3 2 2 4 3 2 2" xfId="10678"/>
    <cellStyle name="Moneda 5 3 2 2 4 3 3" xfId="10677"/>
    <cellStyle name="Moneda 5 3 2 2 4 4" xfId="4950"/>
    <cellStyle name="Moneda 5 3 2 2 4 4 2" xfId="10679"/>
    <cellStyle name="Moneda 5 3 2 2 4 5" xfId="10672"/>
    <cellStyle name="Moneda 5 3 2 2 5" xfId="1553"/>
    <cellStyle name="Moneda 5 3 2 2 5 2" xfId="2519"/>
    <cellStyle name="Moneda 5 3 2 2 5 2 2" xfId="4464"/>
    <cellStyle name="Moneda 5 3 2 2 5 2 2 2" xfId="8317"/>
    <cellStyle name="Moneda 5 3 2 2 5 2 2 2 2" xfId="10683"/>
    <cellStyle name="Moneda 5 3 2 2 5 2 2 3" xfId="10682"/>
    <cellStyle name="Moneda 5 3 2 2 5 2 3" xfId="6379"/>
    <cellStyle name="Moneda 5 3 2 2 5 2 3 2" xfId="10684"/>
    <cellStyle name="Moneda 5 3 2 2 5 2 4" xfId="10681"/>
    <cellStyle name="Moneda 5 3 2 2 5 3" xfId="3505"/>
    <cellStyle name="Moneda 5 3 2 2 5 3 2" xfId="7361"/>
    <cellStyle name="Moneda 5 3 2 2 5 3 2 2" xfId="10686"/>
    <cellStyle name="Moneda 5 3 2 2 5 3 3" xfId="10685"/>
    <cellStyle name="Moneda 5 3 2 2 5 4" xfId="5423"/>
    <cellStyle name="Moneda 5 3 2 2 5 4 2" xfId="10687"/>
    <cellStyle name="Moneda 5 3 2 2 5 5" xfId="10680"/>
    <cellStyle name="Moneda 5 3 2 2 6" xfId="1807"/>
    <cellStyle name="Moneda 5 3 2 2 6 2" xfId="3753"/>
    <cellStyle name="Moneda 5 3 2 2 6 2 2" xfId="7606"/>
    <cellStyle name="Moneda 5 3 2 2 6 2 2 2" xfId="10690"/>
    <cellStyle name="Moneda 5 3 2 2 6 2 3" xfId="10689"/>
    <cellStyle name="Moneda 5 3 2 2 6 3" xfId="5668"/>
    <cellStyle name="Moneda 5 3 2 2 6 3 2" xfId="10691"/>
    <cellStyle name="Moneda 5 3 2 2 6 4" xfId="10688"/>
    <cellStyle name="Moneda 5 3 2 2 7" xfId="2791"/>
    <cellStyle name="Moneda 5 3 2 2 7 2" xfId="6650"/>
    <cellStyle name="Moneda 5 3 2 2 7 2 2" xfId="10693"/>
    <cellStyle name="Moneda 5 3 2 2 7 3" xfId="10692"/>
    <cellStyle name="Moneda 5 3 2 2 8" xfId="4718"/>
    <cellStyle name="Moneda 5 3 2 2 8 2" xfId="10694"/>
    <cellStyle name="Moneda 5 3 2 2 9" xfId="10631"/>
    <cellStyle name="Moneda 5 3 2 3" xfId="913"/>
    <cellStyle name="Moneda 5 3 2 3 2" xfId="1356"/>
    <cellStyle name="Moneda 5 3 2 3 2 2" xfId="2327"/>
    <cellStyle name="Moneda 5 3 2 3 2 2 2" xfId="4272"/>
    <cellStyle name="Moneda 5 3 2 3 2 2 2 2" xfId="8125"/>
    <cellStyle name="Moneda 5 3 2 3 2 2 2 2 2" xfId="10699"/>
    <cellStyle name="Moneda 5 3 2 3 2 2 2 3" xfId="10698"/>
    <cellStyle name="Moneda 5 3 2 3 2 2 3" xfId="6187"/>
    <cellStyle name="Moneda 5 3 2 3 2 2 3 2" xfId="10700"/>
    <cellStyle name="Moneda 5 3 2 3 2 2 4" xfId="10697"/>
    <cellStyle name="Moneda 5 3 2 3 2 3" xfId="3311"/>
    <cellStyle name="Moneda 5 3 2 3 2 3 2" xfId="7169"/>
    <cellStyle name="Moneda 5 3 2 3 2 3 2 2" xfId="10702"/>
    <cellStyle name="Moneda 5 3 2 3 2 3 3" xfId="10701"/>
    <cellStyle name="Moneda 5 3 2 3 2 4" xfId="5231"/>
    <cellStyle name="Moneda 5 3 2 3 2 4 2" xfId="10703"/>
    <cellStyle name="Moneda 5 3 2 3 2 5" xfId="10696"/>
    <cellStyle name="Moneda 5 3 2 3 3" xfId="1152"/>
    <cellStyle name="Moneda 5 3 2 3 3 2" xfId="2123"/>
    <cellStyle name="Moneda 5 3 2 3 3 2 2" xfId="4068"/>
    <cellStyle name="Moneda 5 3 2 3 3 2 2 2" xfId="7921"/>
    <cellStyle name="Moneda 5 3 2 3 3 2 2 2 2" xfId="10707"/>
    <cellStyle name="Moneda 5 3 2 3 3 2 2 3" xfId="10706"/>
    <cellStyle name="Moneda 5 3 2 3 3 2 3" xfId="5983"/>
    <cellStyle name="Moneda 5 3 2 3 3 2 3 2" xfId="10708"/>
    <cellStyle name="Moneda 5 3 2 3 3 2 4" xfId="10705"/>
    <cellStyle name="Moneda 5 3 2 3 3 3" xfId="3107"/>
    <cellStyle name="Moneda 5 3 2 3 3 3 2" xfId="6965"/>
    <cellStyle name="Moneda 5 3 2 3 3 3 2 2" xfId="10710"/>
    <cellStyle name="Moneda 5 3 2 3 3 3 3" xfId="10709"/>
    <cellStyle name="Moneda 5 3 2 3 3 4" xfId="5027"/>
    <cellStyle name="Moneda 5 3 2 3 3 4 2" xfId="10711"/>
    <cellStyle name="Moneda 5 3 2 3 3 5" xfId="10704"/>
    <cellStyle name="Moneda 5 3 2 3 4" xfId="1617"/>
    <cellStyle name="Moneda 5 3 2 3 4 2" xfId="2578"/>
    <cellStyle name="Moneda 5 3 2 3 4 2 2" xfId="4523"/>
    <cellStyle name="Moneda 5 3 2 3 4 2 2 2" xfId="8376"/>
    <cellStyle name="Moneda 5 3 2 3 4 2 2 2 2" xfId="10715"/>
    <cellStyle name="Moneda 5 3 2 3 4 2 2 3" xfId="10714"/>
    <cellStyle name="Moneda 5 3 2 3 4 2 3" xfId="6438"/>
    <cellStyle name="Moneda 5 3 2 3 4 2 3 2" xfId="10716"/>
    <cellStyle name="Moneda 5 3 2 3 4 2 4" xfId="10713"/>
    <cellStyle name="Moneda 5 3 2 3 4 3" xfId="3564"/>
    <cellStyle name="Moneda 5 3 2 3 4 3 2" xfId="7420"/>
    <cellStyle name="Moneda 5 3 2 3 4 3 2 2" xfId="10718"/>
    <cellStyle name="Moneda 5 3 2 3 4 3 3" xfId="10717"/>
    <cellStyle name="Moneda 5 3 2 3 4 4" xfId="5482"/>
    <cellStyle name="Moneda 5 3 2 3 4 4 2" xfId="10719"/>
    <cellStyle name="Moneda 5 3 2 3 4 5" xfId="10712"/>
    <cellStyle name="Moneda 5 3 2 3 5" xfId="1891"/>
    <cellStyle name="Moneda 5 3 2 3 5 2" xfId="3836"/>
    <cellStyle name="Moneda 5 3 2 3 5 2 2" xfId="7689"/>
    <cellStyle name="Moneda 5 3 2 3 5 2 2 2" xfId="10722"/>
    <cellStyle name="Moneda 5 3 2 3 5 2 3" xfId="10721"/>
    <cellStyle name="Moneda 5 3 2 3 5 3" xfId="5751"/>
    <cellStyle name="Moneda 5 3 2 3 5 3 2" xfId="10723"/>
    <cellStyle name="Moneda 5 3 2 3 5 4" xfId="10720"/>
    <cellStyle name="Moneda 5 3 2 3 6" xfId="2875"/>
    <cellStyle name="Moneda 5 3 2 3 6 2" xfId="6733"/>
    <cellStyle name="Moneda 5 3 2 3 6 2 2" xfId="10725"/>
    <cellStyle name="Moneda 5 3 2 3 6 3" xfId="10724"/>
    <cellStyle name="Moneda 5 3 2 3 7" xfId="4795"/>
    <cellStyle name="Moneda 5 3 2 3 7 2" xfId="10726"/>
    <cellStyle name="Moneda 5 3 2 3 8" xfId="10695"/>
    <cellStyle name="Moneda 5 3 2 4" xfId="1254"/>
    <cellStyle name="Moneda 5 3 2 4 2" xfId="2225"/>
    <cellStyle name="Moneda 5 3 2 4 2 2" xfId="4170"/>
    <cellStyle name="Moneda 5 3 2 4 2 2 2" xfId="8023"/>
    <cellStyle name="Moneda 5 3 2 4 2 2 2 2" xfId="10730"/>
    <cellStyle name="Moneda 5 3 2 4 2 2 3" xfId="10729"/>
    <cellStyle name="Moneda 5 3 2 4 2 3" xfId="6085"/>
    <cellStyle name="Moneda 5 3 2 4 2 3 2" xfId="10731"/>
    <cellStyle name="Moneda 5 3 2 4 2 4" xfId="10728"/>
    <cellStyle name="Moneda 5 3 2 4 3" xfId="3209"/>
    <cellStyle name="Moneda 5 3 2 4 3 2" xfId="7067"/>
    <cellStyle name="Moneda 5 3 2 4 3 2 2" xfId="10733"/>
    <cellStyle name="Moneda 5 3 2 4 3 3" xfId="10732"/>
    <cellStyle name="Moneda 5 3 2 4 4" xfId="5129"/>
    <cellStyle name="Moneda 5 3 2 4 4 2" xfId="10734"/>
    <cellStyle name="Moneda 5 3 2 4 5" xfId="10727"/>
    <cellStyle name="Moneda 5 3 2 5" xfId="1018"/>
    <cellStyle name="Moneda 5 3 2 5 2" xfId="1991"/>
    <cellStyle name="Moneda 5 3 2 5 2 2" xfId="3936"/>
    <cellStyle name="Moneda 5 3 2 5 2 2 2" xfId="7789"/>
    <cellStyle name="Moneda 5 3 2 5 2 2 2 2" xfId="10738"/>
    <cellStyle name="Moneda 5 3 2 5 2 2 3" xfId="10737"/>
    <cellStyle name="Moneda 5 3 2 5 2 3" xfId="5851"/>
    <cellStyle name="Moneda 5 3 2 5 2 3 2" xfId="10739"/>
    <cellStyle name="Moneda 5 3 2 5 2 4" xfId="10736"/>
    <cellStyle name="Moneda 5 3 2 5 3" xfId="2975"/>
    <cellStyle name="Moneda 5 3 2 5 3 2" xfId="6833"/>
    <cellStyle name="Moneda 5 3 2 5 3 2 2" xfId="10741"/>
    <cellStyle name="Moneda 5 3 2 5 3 3" xfId="10740"/>
    <cellStyle name="Moneda 5 3 2 5 4" xfId="4895"/>
    <cellStyle name="Moneda 5 3 2 5 4 2" xfId="10742"/>
    <cellStyle name="Moneda 5 3 2 5 5" xfId="10735"/>
    <cellStyle name="Moneda 5 3 2 6" xfId="1503"/>
    <cellStyle name="Moneda 5 3 2 6 2" xfId="2470"/>
    <cellStyle name="Moneda 5 3 2 6 2 2" xfId="4415"/>
    <cellStyle name="Moneda 5 3 2 6 2 2 2" xfId="8268"/>
    <cellStyle name="Moneda 5 3 2 6 2 2 2 2" xfId="10746"/>
    <cellStyle name="Moneda 5 3 2 6 2 2 3" xfId="10745"/>
    <cellStyle name="Moneda 5 3 2 6 2 3" xfId="6330"/>
    <cellStyle name="Moneda 5 3 2 6 2 3 2" xfId="10747"/>
    <cellStyle name="Moneda 5 3 2 6 2 4" xfId="10744"/>
    <cellStyle name="Moneda 5 3 2 6 3" xfId="3455"/>
    <cellStyle name="Moneda 5 3 2 6 3 2" xfId="7312"/>
    <cellStyle name="Moneda 5 3 2 6 3 2 2" xfId="10749"/>
    <cellStyle name="Moneda 5 3 2 6 3 3" xfId="10748"/>
    <cellStyle name="Moneda 5 3 2 6 4" xfId="5374"/>
    <cellStyle name="Moneda 5 3 2 6 4 2" xfId="10750"/>
    <cellStyle name="Moneda 5 3 2 6 5" xfId="10743"/>
    <cellStyle name="Moneda 5 3 2 7" xfId="1752"/>
    <cellStyle name="Moneda 5 3 2 7 2" xfId="3698"/>
    <cellStyle name="Moneda 5 3 2 7 2 2" xfId="7551"/>
    <cellStyle name="Moneda 5 3 2 7 2 2 2" xfId="10753"/>
    <cellStyle name="Moneda 5 3 2 7 2 3" xfId="10752"/>
    <cellStyle name="Moneda 5 3 2 7 3" xfId="5613"/>
    <cellStyle name="Moneda 5 3 2 7 3 2" xfId="10754"/>
    <cellStyle name="Moneda 5 3 2 7 4" xfId="10751"/>
    <cellStyle name="Moneda 5 3 2 8" xfId="2736"/>
    <cellStyle name="Moneda 5 3 2 8 2" xfId="6595"/>
    <cellStyle name="Moneda 5 3 2 8 2 2" xfId="10756"/>
    <cellStyle name="Moneda 5 3 2 8 3" xfId="10755"/>
    <cellStyle name="Moneda 5 3 2 9" xfId="4663"/>
    <cellStyle name="Moneda 5 3 2 9 2" xfId="10757"/>
    <cellStyle name="Moneda 5 3 3" xfId="613"/>
    <cellStyle name="Moneda 5 3 3 2" xfId="914"/>
    <cellStyle name="Moneda 5 3 3 2 2" xfId="1395"/>
    <cellStyle name="Moneda 5 3 3 2 2 2" xfId="2366"/>
    <cellStyle name="Moneda 5 3 3 2 2 2 2" xfId="4311"/>
    <cellStyle name="Moneda 5 3 3 2 2 2 2 2" xfId="8164"/>
    <cellStyle name="Moneda 5 3 3 2 2 2 2 2 2" xfId="10763"/>
    <cellStyle name="Moneda 5 3 3 2 2 2 2 3" xfId="10762"/>
    <cellStyle name="Moneda 5 3 3 2 2 2 3" xfId="6226"/>
    <cellStyle name="Moneda 5 3 3 2 2 2 3 2" xfId="10764"/>
    <cellStyle name="Moneda 5 3 3 2 2 2 4" xfId="10761"/>
    <cellStyle name="Moneda 5 3 3 2 2 3" xfId="3350"/>
    <cellStyle name="Moneda 5 3 3 2 2 3 2" xfId="7208"/>
    <cellStyle name="Moneda 5 3 3 2 2 3 2 2" xfId="10766"/>
    <cellStyle name="Moneda 5 3 3 2 2 3 3" xfId="10765"/>
    <cellStyle name="Moneda 5 3 3 2 2 4" xfId="5270"/>
    <cellStyle name="Moneda 5 3 3 2 2 4 2" xfId="10767"/>
    <cellStyle name="Moneda 5 3 3 2 2 5" xfId="10760"/>
    <cellStyle name="Moneda 5 3 3 2 3" xfId="1153"/>
    <cellStyle name="Moneda 5 3 3 2 3 2" xfId="2124"/>
    <cellStyle name="Moneda 5 3 3 2 3 2 2" xfId="4069"/>
    <cellStyle name="Moneda 5 3 3 2 3 2 2 2" xfId="7922"/>
    <cellStyle name="Moneda 5 3 3 2 3 2 2 2 2" xfId="10771"/>
    <cellStyle name="Moneda 5 3 3 2 3 2 2 3" xfId="10770"/>
    <cellStyle name="Moneda 5 3 3 2 3 2 3" xfId="5984"/>
    <cellStyle name="Moneda 5 3 3 2 3 2 3 2" xfId="10772"/>
    <cellStyle name="Moneda 5 3 3 2 3 2 4" xfId="10769"/>
    <cellStyle name="Moneda 5 3 3 2 3 3" xfId="3108"/>
    <cellStyle name="Moneda 5 3 3 2 3 3 2" xfId="6966"/>
    <cellStyle name="Moneda 5 3 3 2 3 3 2 2" xfId="10774"/>
    <cellStyle name="Moneda 5 3 3 2 3 3 3" xfId="10773"/>
    <cellStyle name="Moneda 5 3 3 2 3 4" xfId="5028"/>
    <cellStyle name="Moneda 5 3 3 2 3 4 2" xfId="10775"/>
    <cellStyle name="Moneda 5 3 3 2 3 5" xfId="10768"/>
    <cellStyle name="Moneda 5 3 3 2 4" xfId="1656"/>
    <cellStyle name="Moneda 5 3 3 2 4 2" xfId="2617"/>
    <cellStyle name="Moneda 5 3 3 2 4 2 2" xfId="4562"/>
    <cellStyle name="Moneda 5 3 3 2 4 2 2 2" xfId="8415"/>
    <cellStyle name="Moneda 5 3 3 2 4 2 2 2 2" xfId="10779"/>
    <cellStyle name="Moneda 5 3 3 2 4 2 2 3" xfId="10778"/>
    <cellStyle name="Moneda 5 3 3 2 4 2 3" xfId="6477"/>
    <cellStyle name="Moneda 5 3 3 2 4 2 3 2" xfId="10780"/>
    <cellStyle name="Moneda 5 3 3 2 4 2 4" xfId="10777"/>
    <cellStyle name="Moneda 5 3 3 2 4 3" xfId="3603"/>
    <cellStyle name="Moneda 5 3 3 2 4 3 2" xfId="7459"/>
    <cellStyle name="Moneda 5 3 3 2 4 3 2 2" xfId="10782"/>
    <cellStyle name="Moneda 5 3 3 2 4 3 3" xfId="10781"/>
    <cellStyle name="Moneda 5 3 3 2 4 4" xfId="5521"/>
    <cellStyle name="Moneda 5 3 3 2 4 4 2" xfId="10783"/>
    <cellStyle name="Moneda 5 3 3 2 4 5" xfId="10776"/>
    <cellStyle name="Moneda 5 3 3 2 5" xfId="1892"/>
    <cellStyle name="Moneda 5 3 3 2 5 2" xfId="3837"/>
    <cellStyle name="Moneda 5 3 3 2 5 2 2" xfId="7690"/>
    <cellStyle name="Moneda 5 3 3 2 5 2 2 2" xfId="10786"/>
    <cellStyle name="Moneda 5 3 3 2 5 2 3" xfId="10785"/>
    <cellStyle name="Moneda 5 3 3 2 5 3" xfId="5752"/>
    <cellStyle name="Moneda 5 3 3 2 5 3 2" xfId="10787"/>
    <cellStyle name="Moneda 5 3 3 2 5 4" xfId="10784"/>
    <cellStyle name="Moneda 5 3 3 2 6" xfId="2876"/>
    <cellStyle name="Moneda 5 3 3 2 6 2" xfId="6734"/>
    <cellStyle name="Moneda 5 3 3 2 6 2 2" xfId="10789"/>
    <cellStyle name="Moneda 5 3 3 2 6 3" xfId="10788"/>
    <cellStyle name="Moneda 5 3 3 2 7" xfId="4796"/>
    <cellStyle name="Moneda 5 3 3 2 7 2" xfId="10790"/>
    <cellStyle name="Moneda 5 3 3 2 8" xfId="10759"/>
    <cellStyle name="Moneda 5 3 3 3" xfId="1294"/>
    <cellStyle name="Moneda 5 3 3 3 2" xfId="2265"/>
    <cellStyle name="Moneda 5 3 3 3 2 2" xfId="4210"/>
    <cellStyle name="Moneda 5 3 3 3 2 2 2" xfId="8063"/>
    <cellStyle name="Moneda 5 3 3 3 2 2 2 2" xfId="10794"/>
    <cellStyle name="Moneda 5 3 3 3 2 2 3" xfId="10793"/>
    <cellStyle name="Moneda 5 3 3 3 2 3" xfId="6125"/>
    <cellStyle name="Moneda 5 3 3 3 2 3 2" xfId="10795"/>
    <cellStyle name="Moneda 5 3 3 3 2 4" xfId="10792"/>
    <cellStyle name="Moneda 5 3 3 3 3" xfId="3249"/>
    <cellStyle name="Moneda 5 3 3 3 3 2" xfId="7107"/>
    <cellStyle name="Moneda 5 3 3 3 3 2 2" xfId="10797"/>
    <cellStyle name="Moneda 5 3 3 3 3 3" xfId="10796"/>
    <cellStyle name="Moneda 5 3 3 3 4" xfId="5169"/>
    <cellStyle name="Moneda 5 3 3 3 4 2" xfId="10798"/>
    <cellStyle name="Moneda 5 3 3 3 5" xfId="10791"/>
    <cellStyle name="Moneda 5 3 3 4" xfId="1062"/>
    <cellStyle name="Moneda 5 3 3 4 2" xfId="2033"/>
    <cellStyle name="Moneda 5 3 3 4 2 2" xfId="3978"/>
    <cellStyle name="Moneda 5 3 3 4 2 2 2" xfId="7831"/>
    <cellStyle name="Moneda 5 3 3 4 2 2 2 2" xfId="10802"/>
    <cellStyle name="Moneda 5 3 3 4 2 2 3" xfId="10801"/>
    <cellStyle name="Moneda 5 3 3 4 2 3" xfId="5893"/>
    <cellStyle name="Moneda 5 3 3 4 2 3 2" xfId="10803"/>
    <cellStyle name="Moneda 5 3 3 4 2 4" xfId="10800"/>
    <cellStyle name="Moneda 5 3 3 4 3" xfId="3017"/>
    <cellStyle name="Moneda 5 3 3 4 3 2" xfId="6875"/>
    <cellStyle name="Moneda 5 3 3 4 3 2 2" xfId="10805"/>
    <cellStyle name="Moneda 5 3 3 4 3 3" xfId="10804"/>
    <cellStyle name="Moneda 5 3 3 4 4" xfId="4937"/>
    <cellStyle name="Moneda 5 3 3 4 4 2" xfId="10806"/>
    <cellStyle name="Moneda 5 3 3 4 5" xfId="10799"/>
    <cellStyle name="Moneda 5 3 3 5" xfId="1552"/>
    <cellStyle name="Moneda 5 3 3 5 2" xfId="2518"/>
    <cellStyle name="Moneda 5 3 3 5 2 2" xfId="4463"/>
    <cellStyle name="Moneda 5 3 3 5 2 2 2" xfId="8316"/>
    <cellStyle name="Moneda 5 3 3 5 2 2 2 2" xfId="10810"/>
    <cellStyle name="Moneda 5 3 3 5 2 2 3" xfId="10809"/>
    <cellStyle name="Moneda 5 3 3 5 2 3" xfId="6378"/>
    <cellStyle name="Moneda 5 3 3 5 2 3 2" xfId="10811"/>
    <cellStyle name="Moneda 5 3 3 5 2 4" xfId="10808"/>
    <cellStyle name="Moneda 5 3 3 5 3" xfId="3504"/>
    <cellStyle name="Moneda 5 3 3 5 3 2" xfId="7360"/>
    <cellStyle name="Moneda 5 3 3 5 3 2 2" xfId="10813"/>
    <cellStyle name="Moneda 5 3 3 5 3 3" xfId="10812"/>
    <cellStyle name="Moneda 5 3 3 5 4" xfId="5422"/>
    <cellStyle name="Moneda 5 3 3 5 4 2" xfId="10814"/>
    <cellStyle name="Moneda 5 3 3 5 5" xfId="10807"/>
    <cellStyle name="Moneda 5 3 3 6" xfId="1794"/>
    <cellStyle name="Moneda 5 3 3 6 2" xfId="3740"/>
    <cellStyle name="Moneda 5 3 3 6 2 2" xfId="7593"/>
    <cellStyle name="Moneda 5 3 3 6 2 2 2" xfId="10817"/>
    <cellStyle name="Moneda 5 3 3 6 2 3" xfId="10816"/>
    <cellStyle name="Moneda 5 3 3 6 3" xfId="5655"/>
    <cellStyle name="Moneda 5 3 3 6 3 2" xfId="10818"/>
    <cellStyle name="Moneda 5 3 3 6 4" xfId="10815"/>
    <cellStyle name="Moneda 5 3 3 7" xfId="2778"/>
    <cellStyle name="Moneda 5 3 3 7 2" xfId="6637"/>
    <cellStyle name="Moneda 5 3 3 7 2 2" xfId="10820"/>
    <cellStyle name="Moneda 5 3 3 7 3" xfId="10819"/>
    <cellStyle name="Moneda 5 3 3 8" xfId="4705"/>
    <cellStyle name="Moneda 5 3 3 8 2" xfId="10821"/>
    <cellStyle name="Moneda 5 3 3 9" xfId="10758"/>
    <cellStyle name="Moneda 5 3 4" xfId="915"/>
    <cellStyle name="Moneda 5 3 4 2" xfId="1355"/>
    <cellStyle name="Moneda 5 3 4 2 2" xfId="2326"/>
    <cellStyle name="Moneda 5 3 4 2 2 2" xfId="4271"/>
    <cellStyle name="Moneda 5 3 4 2 2 2 2" xfId="8124"/>
    <cellStyle name="Moneda 5 3 4 2 2 2 2 2" xfId="10826"/>
    <cellStyle name="Moneda 5 3 4 2 2 2 3" xfId="10825"/>
    <cellStyle name="Moneda 5 3 4 2 2 3" xfId="6186"/>
    <cellStyle name="Moneda 5 3 4 2 2 3 2" xfId="10827"/>
    <cellStyle name="Moneda 5 3 4 2 2 4" xfId="10824"/>
    <cellStyle name="Moneda 5 3 4 2 3" xfId="3310"/>
    <cellStyle name="Moneda 5 3 4 2 3 2" xfId="7168"/>
    <cellStyle name="Moneda 5 3 4 2 3 2 2" xfId="10829"/>
    <cellStyle name="Moneda 5 3 4 2 3 3" xfId="10828"/>
    <cellStyle name="Moneda 5 3 4 2 4" xfId="5230"/>
    <cellStyle name="Moneda 5 3 4 2 4 2" xfId="10830"/>
    <cellStyle name="Moneda 5 3 4 2 5" xfId="10823"/>
    <cellStyle name="Moneda 5 3 4 3" xfId="1154"/>
    <cellStyle name="Moneda 5 3 4 3 2" xfId="2125"/>
    <cellStyle name="Moneda 5 3 4 3 2 2" xfId="4070"/>
    <cellStyle name="Moneda 5 3 4 3 2 2 2" xfId="7923"/>
    <cellStyle name="Moneda 5 3 4 3 2 2 2 2" xfId="10834"/>
    <cellStyle name="Moneda 5 3 4 3 2 2 3" xfId="10833"/>
    <cellStyle name="Moneda 5 3 4 3 2 3" xfId="5985"/>
    <cellStyle name="Moneda 5 3 4 3 2 3 2" xfId="10835"/>
    <cellStyle name="Moneda 5 3 4 3 2 4" xfId="10832"/>
    <cellStyle name="Moneda 5 3 4 3 3" xfId="3109"/>
    <cellStyle name="Moneda 5 3 4 3 3 2" xfId="6967"/>
    <cellStyle name="Moneda 5 3 4 3 3 2 2" xfId="10837"/>
    <cellStyle name="Moneda 5 3 4 3 3 3" xfId="10836"/>
    <cellStyle name="Moneda 5 3 4 3 4" xfId="5029"/>
    <cellStyle name="Moneda 5 3 4 3 4 2" xfId="10838"/>
    <cellStyle name="Moneda 5 3 4 3 5" xfId="10831"/>
    <cellStyle name="Moneda 5 3 4 4" xfId="1616"/>
    <cellStyle name="Moneda 5 3 4 4 2" xfId="2577"/>
    <cellStyle name="Moneda 5 3 4 4 2 2" xfId="4522"/>
    <cellStyle name="Moneda 5 3 4 4 2 2 2" xfId="8375"/>
    <cellStyle name="Moneda 5 3 4 4 2 2 2 2" xfId="10842"/>
    <cellStyle name="Moneda 5 3 4 4 2 2 3" xfId="10841"/>
    <cellStyle name="Moneda 5 3 4 4 2 3" xfId="6437"/>
    <cellStyle name="Moneda 5 3 4 4 2 3 2" xfId="10843"/>
    <cellStyle name="Moneda 5 3 4 4 2 4" xfId="10840"/>
    <cellStyle name="Moneda 5 3 4 4 3" xfId="3563"/>
    <cellStyle name="Moneda 5 3 4 4 3 2" xfId="7419"/>
    <cellStyle name="Moneda 5 3 4 4 3 2 2" xfId="10845"/>
    <cellStyle name="Moneda 5 3 4 4 3 3" xfId="10844"/>
    <cellStyle name="Moneda 5 3 4 4 4" xfId="5481"/>
    <cellStyle name="Moneda 5 3 4 4 4 2" xfId="10846"/>
    <cellStyle name="Moneda 5 3 4 4 5" xfId="10839"/>
    <cellStyle name="Moneda 5 3 4 5" xfId="1893"/>
    <cellStyle name="Moneda 5 3 4 5 2" xfId="3838"/>
    <cellStyle name="Moneda 5 3 4 5 2 2" xfId="7691"/>
    <cellStyle name="Moneda 5 3 4 5 2 2 2" xfId="10849"/>
    <cellStyle name="Moneda 5 3 4 5 2 3" xfId="10848"/>
    <cellStyle name="Moneda 5 3 4 5 3" xfId="5753"/>
    <cellStyle name="Moneda 5 3 4 5 3 2" xfId="10850"/>
    <cellStyle name="Moneda 5 3 4 5 4" xfId="10847"/>
    <cellStyle name="Moneda 5 3 4 6" xfId="2877"/>
    <cellStyle name="Moneda 5 3 4 6 2" xfId="6735"/>
    <cellStyle name="Moneda 5 3 4 6 2 2" xfId="10852"/>
    <cellStyle name="Moneda 5 3 4 6 3" xfId="10851"/>
    <cellStyle name="Moneda 5 3 4 7" xfId="4797"/>
    <cellStyle name="Moneda 5 3 4 7 2" xfId="10853"/>
    <cellStyle name="Moneda 5 3 4 8" xfId="10822"/>
    <cellStyle name="Moneda 5 3 5" xfId="1253"/>
    <cellStyle name="Moneda 5 3 5 2" xfId="2224"/>
    <cellStyle name="Moneda 5 3 5 2 2" xfId="4169"/>
    <cellStyle name="Moneda 5 3 5 2 2 2" xfId="8022"/>
    <cellStyle name="Moneda 5 3 5 2 2 2 2" xfId="10857"/>
    <cellStyle name="Moneda 5 3 5 2 2 3" xfId="10856"/>
    <cellStyle name="Moneda 5 3 5 2 3" xfId="6084"/>
    <cellStyle name="Moneda 5 3 5 2 3 2" xfId="10858"/>
    <cellStyle name="Moneda 5 3 5 2 4" xfId="10855"/>
    <cellStyle name="Moneda 5 3 5 3" xfId="3208"/>
    <cellStyle name="Moneda 5 3 5 3 2" xfId="7066"/>
    <cellStyle name="Moneda 5 3 5 3 2 2" xfId="10860"/>
    <cellStyle name="Moneda 5 3 5 3 3" xfId="10859"/>
    <cellStyle name="Moneda 5 3 5 4" xfId="5128"/>
    <cellStyle name="Moneda 5 3 5 4 2" xfId="10861"/>
    <cellStyle name="Moneda 5 3 5 5" xfId="10854"/>
    <cellStyle name="Moneda 5 3 6" xfId="1017"/>
    <cellStyle name="Moneda 5 3 6 2" xfId="1990"/>
    <cellStyle name="Moneda 5 3 6 2 2" xfId="3935"/>
    <cellStyle name="Moneda 5 3 6 2 2 2" xfId="7788"/>
    <cellStyle name="Moneda 5 3 6 2 2 2 2" xfId="10865"/>
    <cellStyle name="Moneda 5 3 6 2 2 3" xfId="10864"/>
    <cellStyle name="Moneda 5 3 6 2 3" xfId="5850"/>
    <cellStyle name="Moneda 5 3 6 2 3 2" xfId="10866"/>
    <cellStyle name="Moneda 5 3 6 2 4" xfId="10863"/>
    <cellStyle name="Moneda 5 3 6 3" xfId="2974"/>
    <cellStyle name="Moneda 5 3 6 3 2" xfId="6832"/>
    <cellStyle name="Moneda 5 3 6 3 2 2" xfId="10868"/>
    <cellStyle name="Moneda 5 3 6 3 3" xfId="10867"/>
    <cellStyle name="Moneda 5 3 6 4" xfId="4894"/>
    <cellStyle name="Moneda 5 3 6 4 2" xfId="10869"/>
    <cellStyle name="Moneda 5 3 6 5" xfId="10862"/>
    <cellStyle name="Moneda 5 3 7" xfId="1502"/>
    <cellStyle name="Moneda 5 3 7 2" xfId="2469"/>
    <cellStyle name="Moneda 5 3 7 2 2" xfId="4414"/>
    <cellStyle name="Moneda 5 3 7 2 2 2" xfId="8267"/>
    <cellStyle name="Moneda 5 3 7 2 2 2 2" xfId="10873"/>
    <cellStyle name="Moneda 5 3 7 2 2 3" xfId="10872"/>
    <cellStyle name="Moneda 5 3 7 2 3" xfId="6329"/>
    <cellStyle name="Moneda 5 3 7 2 3 2" xfId="10874"/>
    <cellStyle name="Moneda 5 3 7 2 4" xfId="10871"/>
    <cellStyle name="Moneda 5 3 7 3" xfId="3454"/>
    <cellStyle name="Moneda 5 3 7 3 2" xfId="7311"/>
    <cellStyle name="Moneda 5 3 7 3 2 2" xfId="10876"/>
    <cellStyle name="Moneda 5 3 7 3 3" xfId="10875"/>
    <cellStyle name="Moneda 5 3 7 4" xfId="5373"/>
    <cellStyle name="Moneda 5 3 7 4 2" xfId="10877"/>
    <cellStyle name="Moneda 5 3 7 5" xfId="10870"/>
    <cellStyle name="Moneda 5 3 8" xfId="1751"/>
    <cellStyle name="Moneda 5 3 8 2" xfId="3697"/>
    <cellStyle name="Moneda 5 3 8 2 2" xfId="7550"/>
    <cellStyle name="Moneda 5 3 8 2 2 2" xfId="10880"/>
    <cellStyle name="Moneda 5 3 8 2 3" xfId="10879"/>
    <cellStyle name="Moneda 5 3 8 3" xfId="5612"/>
    <cellStyle name="Moneda 5 3 8 3 2" xfId="10881"/>
    <cellStyle name="Moneda 5 3 8 4" xfId="10878"/>
    <cellStyle name="Moneda 5 3 9" xfId="2735"/>
    <cellStyle name="Moneda 5 3 9 2" xfId="6594"/>
    <cellStyle name="Moneda 5 3 9 2 2" xfId="10883"/>
    <cellStyle name="Moneda 5 3 9 3" xfId="10882"/>
    <cellStyle name="Moneda 5 4" xfId="287"/>
    <cellStyle name="Moneda 6" xfId="288"/>
    <cellStyle name="Moneda 6 2" xfId="289"/>
    <cellStyle name="Moneda 6 2 2" xfId="290"/>
    <cellStyle name="Moneda 6 2 2 2" xfId="291"/>
    <cellStyle name="Moneda 6 3" xfId="292"/>
    <cellStyle name="Moneda 6 3 2" xfId="293"/>
    <cellStyle name="Moneda 6 4" xfId="294"/>
    <cellStyle name="Moneda 7" xfId="295"/>
    <cellStyle name="Moneda 7 2" xfId="296"/>
    <cellStyle name="Moneda 8" xfId="297"/>
    <cellStyle name="Moneda 8 2" xfId="298"/>
    <cellStyle name="Moneda 8 3" xfId="299"/>
    <cellStyle name="Moneda 9" xfId="300"/>
    <cellStyle name="Moneda 9 2" xfId="301"/>
    <cellStyle name="Normal" xfId="0" builtinId="0"/>
    <cellStyle name="Normal 10" xfId="302"/>
    <cellStyle name="Normal 100" xfId="303"/>
    <cellStyle name="Normal 100 2" xfId="814"/>
    <cellStyle name="Normal 101" xfId="304"/>
    <cellStyle name="Normal 101 2" xfId="305"/>
    <cellStyle name="Normal 101 2 2" xfId="824"/>
    <cellStyle name="Normal 101 3" xfId="566"/>
    <cellStyle name="Normal 102" xfId="306"/>
    <cellStyle name="Normal 102 2" xfId="307"/>
    <cellStyle name="Normal 102 2 2" xfId="826"/>
    <cellStyle name="Normal 102 3" xfId="815"/>
    <cellStyle name="Normal 103" xfId="308"/>
    <cellStyle name="Normal 103 2" xfId="816"/>
    <cellStyle name="Normal 104" xfId="309"/>
    <cellStyle name="Normal 104 2" xfId="825"/>
    <cellStyle name="Normal 105" xfId="310"/>
    <cellStyle name="Normal 105 2" xfId="828"/>
    <cellStyle name="Normal 106" xfId="311"/>
    <cellStyle name="Normal 106 2" xfId="312"/>
    <cellStyle name="Normal 106 2 2" xfId="830"/>
    <cellStyle name="Normal 106 3" xfId="829"/>
    <cellStyle name="Normal 107" xfId="831"/>
    <cellStyle name="Normal 107 2" xfId="1580"/>
    <cellStyle name="Normal 107 2 2" xfId="2542"/>
    <cellStyle name="Normal 107 2 2 2" xfId="4487"/>
    <cellStyle name="Normal 107 2 2 2 2" xfId="8340"/>
    <cellStyle name="Normal 107 2 2 2 2 2" xfId="10887"/>
    <cellStyle name="Normal 107 2 2 2 3" xfId="10886"/>
    <cellStyle name="Normal 107 2 2 3" xfId="6402"/>
    <cellStyle name="Normal 107 2 2 3 2" xfId="10888"/>
    <cellStyle name="Normal 107 2 2 4" xfId="10885"/>
    <cellStyle name="Normal 107 2 3" xfId="2708"/>
    <cellStyle name="Normal 107 2 3 2" xfId="6567"/>
    <cellStyle name="Normal 107 2 3 2 2" xfId="10890"/>
    <cellStyle name="Normal 107 2 3 3" xfId="10889"/>
    <cellStyle name="Normal 107 2 4" xfId="3528"/>
    <cellStyle name="Normal 107 2 4 2" xfId="7384"/>
    <cellStyle name="Normal 107 2 4 2 2" xfId="10892"/>
    <cellStyle name="Normal 107 2 4 3" xfId="10891"/>
    <cellStyle name="Normal 107 2 5" xfId="5446"/>
    <cellStyle name="Normal 107 2 5 2" xfId="10893"/>
    <cellStyle name="Normal 107 2 6" xfId="10894"/>
    <cellStyle name="Normal 107 2 7" xfId="10884"/>
    <cellStyle name="Normal 107 2 8" xfId="16312"/>
    <cellStyle name="Normal 107 2 9" xfId="16321"/>
    <cellStyle name="Normal 108" xfId="599"/>
    <cellStyle name="Normal 108 2" xfId="916"/>
    <cellStyle name="Normal 108 2 2" xfId="1390"/>
    <cellStyle name="Normal 108 2 2 2" xfId="2361"/>
    <cellStyle name="Normal 108 2 2 2 2" xfId="4306"/>
    <cellStyle name="Normal 108 2 2 2 2 2" xfId="8159"/>
    <cellStyle name="Normal 108 2 2 2 2 2 2" xfId="10900"/>
    <cellStyle name="Normal 108 2 2 2 2 3" xfId="10899"/>
    <cellStyle name="Normal 108 2 2 2 3" xfId="6221"/>
    <cellStyle name="Normal 108 2 2 2 3 2" xfId="10901"/>
    <cellStyle name="Normal 108 2 2 2 4" xfId="10898"/>
    <cellStyle name="Normal 108 2 2 3" xfId="3345"/>
    <cellStyle name="Normal 108 2 2 3 2" xfId="7203"/>
    <cellStyle name="Normal 108 2 2 3 2 2" xfId="10903"/>
    <cellStyle name="Normal 108 2 2 3 3" xfId="10902"/>
    <cellStyle name="Normal 108 2 2 4" xfId="5265"/>
    <cellStyle name="Normal 108 2 2 4 2" xfId="10904"/>
    <cellStyle name="Normal 108 2 2 5" xfId="10897"/>
    <cellStyle name="Normal 108 2 3" xfId="1155"/>
    <cellStyle name="Normal 108 2 3 2" xfId="2126"/>
    <cellStyle name="Normal 108 2 3 2 2" xfId="4071"/>
    <cellStyle name="Normal 108 2 3 2 2 2" xfId="7924"/>
    <cellStyle name="Normal 108 2 3 2 2 2 2" xfId="10908"/>
    <cellStyle name="Normal 108 2 3 2 2 3" xfId="10907"/>
    <cellStyle name="Normal 108 2 3 2 3" xfId="5986"/>
    <cellStyle name="Normal 108 2 3 2 3 2" xfId="10909"/>
    <cellStyle name="Normal 108 2 3 2 4" xfId="10906"/>
    <cellStyle name="Normal 108 2 3 3" xfId="3110"/>
    <cellStyle name="Normal 108 2 3 3 2" xfId="6968"/>
    <cellStyle name="Normal 108 2 3 3 2 2" xfId="10911"/>
    <cellStyle name="Normal 108 2 3 3 3" xfId="10910"/>
    <cellStyle name="Normal 108 2 3 4" xfId="5030"/>
    <cellStyle name="Normal 108 2 3 4 2" xfId="10912"/>
    <cellStyle name="Normal 108 2 3 5" xfId="10905"/>
    <cellStyle name="Normal 108 2 4" xfId="1651"/>
    <cellStyle name="Normal 108 2 4 2" xfId="2612"/>
    <cellStyle name="Normal 108 2 4 2 2" xfId="4557"/>
    <cellStyle name="Normal 108 2 4 2 2 2" xfId="8410"/>
    <cellStyle name="Normal 108 2 4 2 2 2 2" xfId="10916"/>
    <cellStyle name="Normal 108 2 4 2 2 3" xfId="10915"/>
    <cellStyle name="Normal 108 2 4 2 3" xfId="6472"/>
    <cellStyle name="Normal 108 2 4 2 3 2" xfId="10917"/>
    <cellStyle name="Normal 108 2 4 2 4" xfId="10914"/>
    <cellStyle name="Normal 108 2 4 3" xfId="3598"/>
    <cellStyle name="Normal 108 2 4 3 2" xfId="7454"/>
    <cellStyle name="Normal 108 2 4 3 2 2" xfId="10919"/>
    <cellStyle name="Normal 108 2 4 3 3" xfId="10918"/>
    <cellStyle name="Normal 108 2 4 4" xfId="5516"/>
    <cellStyle name="Normal 108 2 4 4 2" xfId="10920"/>
    <cellStyle name="Normal 108 2 4 5" xfId="10913"/>
    <cellStyle name="Normal 108 2 5" xfId="1894"/>
    <cellStyle name="Normal 108 2 5 2" xfId="3839"/>
    <cellStyle name="Normal 108 2 5 2 2" xfId="7692"/>
    <cellStyle name="Normal 108 2 5 2 2 2" xfId="10923"/>
    <cellStyle name="Normal 108 2 5 2 3" xfId="10922"/>
    <cellStyle name="Normal 108 2 5 3" xfId="5754"/>
    <cellStyle name="Normal 108 2 5 3 2" xfId="10924"/>
    <cellStyle name="Normal 108 2 5 4" xfId="10921"/>
    <cellStyle name="Normal 108 2 6" xfId="2878"/>
    <cellStyle name="Normal 108 2 6 2" xfId="6736"/>
    <cellStyle name="Normal 108 2 6 2 2" xfId="10926"/>
    <cellStyle name="Normal 108 2 6 3" xfId="10925"/>
    <cellStyle name="Normal 108 2 7" xfId="4798"/>
    <cellStyle name="Normal 108 2 7 2" xfId="10927"/>
    <cellStyle name="Normal 108 2 8" xfId="10896"/>
    <cellStyle name="Normal 108 3" xfId="1289"/>
    <cellStyle name="Normal 108 3 2" xfId="2260"/>
    <cellStyle name="Normal 108 3 2 2" xfId="4205"/>
    <cellStyle name="Normal 108 3 2 2 2" xfId="8058"/>
    <cellStyle name="Normal 108 3 2 2 2 2" xfId="10931"/>
    <cellStyle name="Normal 108 3 2 2 3" xfId="10930"/>
    <cellStyle name="Normal 108 3 2 3" xfId="6120"/>
    <cellStyle name="Normal 108 3 2 3 2" xfId="10932"/>
    <cellStyle name="Normal 108 3 2 4" xfId="10929"/>
    <cellStyle name="Normal 108 3 3" xfId="3244"/>
    <cellStyle name="Normal 108 3 3 2" xfId="7102"/>
    <cellStyle name="Normal 108 3 3 2 2" xfId="10934"/>
    <cellStyle name="Normal 108 3 3 3" xfId="10933"/>
    <cellStyle name="Normal 108 3 4" xfId="5164"/>
    <cellStyle name="Normal 108 3 4 2" xfId="10935"/>
    <cellStyle name="Normal 108 3 5" xfId="10928"/>
    <cellStyle name="Normal 108 4" xfId="1056"/>
    <cellStyle name="Normal 108 4 2" xfId="2028"/>
    <cellStyle name="Normal 108 4 2 2" xfId="3973"/>
    <cellStyle name="Normal 108 4 2 2 2" xfId="7826"/>
    <cellStyle name="Normal 108 4 2 2 2 2" xfId="10939"/>
    <cellStyle name="Normal 108 4 2 2 3" xfId="10938"/>
    <cellStyle name="Normal 108 4 2 3" xfId="5888"/>
    <cellStyle name="Normal 108 4 2 3 2" xfId="10940"/>
    <cellStyle name="Normal 108 4 2 4" xfId="10937"/>
    <cellStyle name="Normal 108 4 3" xfId="3012"/>
    <cellStyle name="Normal 108 4 3 2" xfId="6870"/>
    <cellStyle name="Normal 108 4 3 2 2" xfId="10942"/>
    <cellStyle name="Normal 108 4 3 3" xfId="10941"/>
    <cellStyle name="Normal 108 4 4" xfId="4932"/>
    <cellStyle name="Normal 108 4 4 2" xfId="10943"/>
    <cellStyle name="Normal 108 4 5" xfId="10936"/>
    <cellStyle name="Normal 108 5" xfId="1567"/>
    <cellStyle name="Normal 108 5 2" xfId="2531"/>
    <cellStyle name="Normal 108 5 2 2" xfId="4476"/>
    <cellStyle name="Normal 108 5 2 2 2" xfId="8329"/>
    <cellStyle name="Normal 108 5 2 2 2 2" xfId="10947"/>
    <cellStyle name="Normal 108 5 2 2 3" xfId="10946"/>
    <cellStyle name="Normal 108 5 2 3" xfId="6391"/>
    <cellStyle name="Normal 108 5 2 3 2" xfId="10948"/>
    <cellStyle name="Normal 108 5 2 4" xfId="10945"/>
    <cellStyle name="Normal 108 5 3" xfId="3517"/>
    <cellStyle name="Normal 108 5 3 2" xfId="7373"/>
    <cellStyle name="Normal 108 5 3 2 2" xfId="10950"/>
    <cellStyle name="Normal 108 5 3 3" xfId="10949"/>
    <cellStyle name="Normal 108 5 4" xfId="5435"/>
    <cellStyle name="Normal 108 5 4 2" xfId="10951"/>
    <cellStyle name="Normal 108 5 5" xfId="10944"/>
    <cellStyle name="Normal 108 6" xfId="1789"/>
    <cellStyle name="Normal 108 6 2" xfId="3735"/>
    <cellStyle name="Normal 108 6 2 2" xfId="7588"/>
    <cellStyle name="Normal 108 6 2 2 2" xfId="10954"/>
    <cellStyle name="Normal 108 6 2 3" xfId="10953"/>
    <cellStyle name="Normal 108 6 3" xfId="5650"/>
    <cellStyle name="Normal 108 6 3 2" xfId="10955"/>
    <cellStyle name="Normal 108 6 4" xfId="10952"/>
    <cellStyle name="Normal 108 7" xfId="2773"/>
    <cellStyle name="Normal 108 7 2" xfId="6632"/>
    <cellStyle name="Normal 108 7 2 2" xfId="10957"/>
    <cellStyle name="Normal 108 7 3" xfId="10956"/>
    <cellStyle name="Normal 108 8" xfId="4700"/>
    <cellStyle name="Normal 108 8 2" xfId="10958"/>
    <cellStyle name="Normal 108 9" xfId="10895"/>
    <cellStyle name="Normal 109" xfId="867"/>
    <cellStyle name="Normal 109 2" xfId="917"/>
    <cellStyle name="Normal 109 2 2" xfId="1447"/>
    <cellStyle name="Normal 109 2 2 2" xfId="2418"/>
    <cellStyle name="Normal 109 2 2 2 2" xfId="4363"/>
    <cellStyle name="Normal 109 2 2 2 2 2" xfId="8216"/>
    <cellStyle name="Normal 109 2 2 2 2 2 2" xfId="10964"/>
    <cellStyle name="Normal 109 2 2 2 2 3" xfId="10963"/>
    <cellStyle name="Normal 109 2 2 2 3" xfId="6278"/>
    <cellStyle name="Normal 109 2 2 2 3 2" xfId="10965"/>
    <cellStyle name="Normal 109 2 2 2 4" xfId="10962"/>
    <cellStyle name="Normal 109 2 2 3" xfId="3402"/>
    <cellStyle name="Normal 109 2 2 3 2" xfId="7260"/>
    <cellStyle name="Normal 109 2 2 3 2 2" xfId="10967"/>
    <cellStyle name="Normal 109 2 2 3 3" xfId="10966"/>
    <cellStyle name="Normal 109 2 2 4" xfId="5322"/>
    <cellStyle name="Normal 109 2 2 4 2" xfId="10968"/>
    <cellStyle name="Normal 109 2 2 5" xfId="10961"/>
    <cellStyle name="Normal 109 2 3" xfId="1156"/>
    <cellStyle name="Normal 109 2 3 2" xfId="2127"/>
    <cellStyle name="Normal 109 2 3 2 2" xfId="4072"/>
    <cellStyle name="Normal 109 2 3 2 2 2" xfId="7925"/>
    <cellStyle name="Normal 109 2 3 2 2 2 2" xfId="10972"/>
    <cellStyle name="Normal 109 2 3 2 2 3" xfId="10971"/>
    <cellStyle name="Normal 109 2 3 2 3" xfId="5987"/>
    <cellStyle name="Normal 109 2 3 2 3 2" xfId="10973"/>
    <cellStyle name="Normal 109 2 3 2 4" xfId="10970"/>
    <cellStyle name="Normal 109 2 3 3" xfId="3111"/>
    <cellStyle name="Normal 109 2 3 3 2" xfId="6969"/>
    <cellStyle name="Normal 109 2 3 3 2 2" xfId="10975"/>
    <cellStyle name="Normal 109 2 3 3 3" xfId="10974"/>
    <cellStyle name="Normal 109 2 3 4" xfId="5031"/>
    <cellStyle name="Normal 109 2 3 4 2" xfId="10976"/>
    <cellStyle name="Normal 109 2 3 5" xfId="10969"/>
    <cellStyle name="Normal 109 2 4" xfId="1708"/>
    <cellStyle name="Normal 109 2 4 2" xfId="2669"/>
    <cellStyle name="Normal 109 2 4 2 2" xfId="4614"/>
    <cellStyle name="Normal 109 2 4 2 2 2" xfId="8467"/>
    <cellStyle name="Normal 109 2 4 2 2 2 2" xfId="10980"/>
    <cellStyle name="Normal 109 2 4 2 2 3" xfId="10979"/>
    <cellStyle name="Normal 109 2 4 2 3" xfId="6529"/>
    <cellStyle name="Normal 109 2 4 2 3 2" xfId="10981"/>
    <cellStyle name="Normal 109 2 4 2 4" xfId="10978"/>
    <cellStyle name="Normal 109 2 4 3" xfId="3655"/>
    <cellStyle name="Normal 109 2 4 3 2" xfId="7511"/>
    <cellStyle name="Normal 109 2 4 3 2 2" xfId="10983"/>
    <cellStyle name="Normal 109 2 4 3 3" xfId="10982"/>
    <cellStyle name="Normal 109 2 4 4" xfId="5573"/>
    <cellStyle name="Normal 109 2 4 4 2" xfId="10984"/>
    <cellStyle name="Normal 109 2 4 5" xfId="10977"/>
    <cellStyle name="Normal 109 2 5" xfId="1895"/>
    <cellStyle name="Normal 109 2 5 2" xfId="3840"/>
    <cellStyle name="Normal 109 2 5 2 2" xfId="7693"/>
    <cellStyle name="Normal 109 2 5 2 2 2" xfId="10987"/>
    <cellStyle name="Normal 109 2 5 2 3" xfId="10986"/>
    <cellStyle name="Normal 109 2 5 3" xfId="5755"/>
    <cellStyle name="Normal 109 2 5 3 2" xfId="10988"/>
    <cellStyle name="Normal 109 2 5 4" xfId="10985"/>
    <cellStyle name="Normal 109 2 6" xfId="2879"/>
    <cellStyle name="Normal 109 2 6 2" xfId="6737"/>
    <cellStyle name="Normal 109 2 6 2 2" xfId="10990"/>
    <cellStyle name="Normal 109 2 6 3" xfId="10989"/>
    <cellStyle name="Normal 109 2 7" xfId="4799"/>
    <cellStyle name="Normal 109 2 7 2" xfId="10991"/>
    <cellStyle name="Normal 109 2 8" xfId="10960"/>
    <cellStyle name="Normal 109 3" xfId="1340"/>
    <cellStyle name="Normal 109 3 2" xfId="2311"/>
    <cellStyle name="Normal 109 3 2 2" xfId="4256"/>
    <cellStyle name="Normal 109 3 2 2 2" xfId="8109"/>
    <cellStyle name="Normal 109 3 2 2 2 2" xfId="10995"/>
    <cellStyle name="Normal 109 3 2 2 3" xfId="10994"/>
    <cellStyle name="Normal 109 3 2 3" xfId="6171"/>
    <cellStyle name="Normal 109 3 2 3 2" xfId="10996"/>
    <cellStyle name="Normal 109 3 2 4" xfId="10993"/>
    <cellStyle name="Normal 109 3 3" xfId="3295"/>
    <cellStyle name="Normal 109 3 3 2" xfId="7153"/>
    <cellStyle name="Normal 109 3 3 2 2" xfId="10998"/>
    <cellStyle name="Normal 109 3 3 3" xfId="10997"/>
    <cellStyle name="Normal 109 3 4" xfId="5215"/>
    <cellStyle name="Normal 109 3 4 2" xfId="10999"/>
    <cellStyle name="Normal 109 3 5" xfId="10992"/>
    <cellStyle name="Normal 109 4" xfId="1108"/>
    <cellStyle name="Normal 109 4 2" xfId="2079"/>
    <cellStyle name="Normal 109 4 2 2" xfId="4024"/>
    <cellStyle name="Normal 109 4 2 2 2" xfId="7877"/>
    <cellStyle name="Normal 109 4 2 2 2 2" xfId="11003"/>
    <cellStyle name="Normal 109 4 2 2 3" xfId="11002"/>
    <cellStyle name="Normal 109 4 2 3" xfId="5939"/>
    <cellStyle name="Normal 109 4 2 3 2" xfId="11004"/>
    <cellStyle name="Normal 109 4 2 4" xfId="11001"/>
    <cellStyle name="Normal 109 4 3" xfId="3063"/>
    <cellStyle name="Normal 109 4 3 2" xfId="6921"/>
    <cellStyle name="Normal 109 4 3 2 2" xfId="11006"/>
    <cellStyle name="Normal 109 4 3 3" xfId="11005"/>
    <cellStyle name="Normal 109 4 4" xfId="4983"/>
    <cellStyle name="Normal 109 4 4 2" xfId="11007"/>
    <cellStyle name="Normal 109 4 5" xfId="11000"/>
    <cellStyle name="Normal 109 5" xfId="1601"/>
    <cellStyle name="Normal 109 5 2" xfId="2562"/>
    <cellStyle name="Normal 109 5 2 2" xfId="4507"/>
    <cellStyle name="Normal 109 5 2 2 2" xfId="8360"/>
    <cellStyle name="Normal 109 5 2 2 2 2" xfId="11011"/>
    <cellStyle name="Normal 109 5 2 2 3" xfId="11010"/>
    <cellStyle name="Normal 109 5 2 3" xfId="6422"/>
    <cellStyle name="Normal 109 5 2 3 2" xfId="11012"/>
    <cellStyle name="Normal 109 5 2 4" xfId="11009"/>
    <cellStyle name="Normal 109 5 3" xfId="3548"/>
    <cellStyle name="Normal 109 5 3 2" xfId="7404"/>
    <cellStyle name="Normal 109 5 3 2 2" xfId="11014"/>
    <cellStyle name="Normal 109 5 3 3" xfId="11013"/>
    <cellStyle name="Normal 109 5 4" xfId="5466"/>
    <cellStyle name="Normal 109 5 4 2" xfId="11015"/>
    <cellStyle name="Normal 109 5 5" xfId="11008"/>
    <cellStyle name="Normal 109 6" xfId="1846"/>
    <cellStyle name="Normal 109 6 2" xfId="3792"/>
    <cellStyle name="Normal 109 6 2 2" xfId="7645"/>
    <cellStyle name="Normal 109 6 2 2 2" xfId="11018"/>
    <cellStyle name="Normal 109 6 2 3" xfId="11017"/>
    <cellStyle name="Normal 109 6 3" xfId="5707"/>
    <cellStyle name="Normal 109 6 3 2" xfId="11019"/>
    <cellStyle name="Normal 109 6 4" xfId="11016"/>
    <cellStyle name="Normal 109 7" xfId="2830"/>
    <cellStyle name="Normal 109 7 2" xfId="6689"/>
    <cellStyle name="Normal 109 7 2 2" xfId="11021"/>
    <cellStyle name="Normal 109 7 3" xfId="11020"/>
    <cellStyle name="Normal 109 8" xfId="4751"/>
    <cellStyle name="Normal 109 8 2" xfId="11022"/>
    <cellStyle name="Normal 109 9" xfId="10959"/>
    <cellStyle name="Normal 11" xfId="313"/>
    <cellStyle name="Normal 11 2" xfId="568"/>
    <cellStyle name="Normal 110" xfId="1501"/>
    <cellStyle name="Normal 110 2" xfId="3453"/>
    <cellStyle name="Normal 111" xfId="11023"/>
    <cellStyle name="Normal 112" xfId="16326"/>
    <cellStyle name="Normal 12" xfId="314"/>
    <cellStyle name="Normal 12 2" xfId="315"/>
    <cellStyle name="Normal 12 2 2" xfId="615"/>
    <cellStyle name="Normal 12 3" xfId="614"/>
    <cellStyle name="Normal 13" xfId="316"/>
    <cellStyle name="Normal 13 2" xfId="317"/>
    <cellStyle name="Normal 13 2 2" xfId="617"/>
    <cellStyle name="Normal 13 3" xfId="616"/>
    <cellStyle name="Normal 14" xfId="318"/>
    <cellStyle name="Normal 14 2" xfId="319"/>
    <cellStyle name="Normal 14 2 2" xfId="320"/>
    <cellStyle name="Normal 14 2 2 2" xfId="840"/>
    <cellStyle name="Normal 14 2 3" xfId="563"/>
    <cellStyle name="Normal 15" xfId="321"/>
    <cellStyle name="Normal 15 2" xfId="322"/>
    <cellStyle name="Normal 15 2 2" xfId="619"/>
    <cellStyle name="Normal 15 3" xfId="618"/>
    <cellStyle name="Normal 16" xfId="323"/>
    <cellStyle name="Normal 16 2" xfId="324"/>
    <cellStyle name="Normal 16 2 2" xfId="621"/>
    <cellStyle name="Normal 16 3" xfId="620"/>
    <cellStyle name="Normal 17" xfId="325"/>
    <cellStyle name="Normal 17 2" xfId="326"/>
    <cellStyle name="Normal 17 2 2" xfId="623"/>
    <cellStyle name="Normal 17 3" xfId="622"/>
    <cellStyle name="Normal 18" xfId="327"/>
    <cellStyle name="Normal 18 2" xfId="328"/>
    <cellStyle name="Normal 18 2 2" xfId="625"/>
    <cellStyle name="Normal 18 3" xfId="624"/>
    <cellStyle name="Normal 19" xfId="329"/>
    <cellStyle name="Normal 19 2" xfId="330"/>
    <cellStyle name="Normal 19 2 2" xfId="627"/>
    <cellStyle name="Normal 19 3" xfId="626"/>
    <cellStyle name="Normal 2" xfId="331"/>
    <cellStyle name="Normal 2 10" xfId="873"/>
    <cellStyle name="Normal 2 10 2" xfId="918"/>
    <cellStyle name="Normal 2 10 3" xfId="1713"/>
    <cellStyle name="Normal 2 10 3 2" xfId="3660"/>
    <cellStyle name="Normal 2 11" xfId="8504"/>
    <cellStyle name="Normal 2 11 2" xfId="11024"/>
    <cellStyle name="Normal 2 2" xfId="332"/>
    <cellStyle name="Normal 2 2 2" xfId="333"/>
    <cellStyle name="Normal 2 2 2 2" xfId="567"/>
    <cellStyle name="Normal 2 2 3" xfId="628"/>
    <cellStyle name="Normal 2 3" xfId="334"/>
    <cellStyle name="Normal 2 3 10" xfId="335"/>
    <cellStyle name="Normal 2 3 11" xfId="336"/>
    <cellStyle name="Normal 2 3 12" xfId="337"/>
    <cellStyle name="Normal 2 3 13" xfId="338"/>
    <cellStyle name="Normal 2 3 14" xfId="339"/>
    <cellStyle name="Normal 2 3 15" xfId="340"/>
    <cellStyle name="Normal 2 3 16" xfId="341"/>
    <cellStyle name="Normal 2 3 17" xfId="342"/>
    <cellStyle name="Normal 2 3 18" xfId="343"/>
    <cellStyle name="Normal 2 3 19" xfId="344"/>
    <cellStyle name="Normal 2 3 2" xfId="345"/>
    <cellStyle name="Normal 2 3 20" xfId="346"/>
    <cellStyle name="Normal 2 3 21" xfId="347"/>
    <cellStyle name="Normal 2 3 22" xfId="348"/>
    <cellStyle name="Normal 2 3 23" xfId="629"/>
    <cellStyle name="Normal 2 3 23 10" xfId="11025"/>
    <cellStyle name="Normal 2 3 23 2" xfId="919"/>
    <cellStyle name="Normal 2 3 23 2 2" xfId="1396"/>
    <cellStyle name="Normal 2 3 23 2 2 2" xfId="2367"/>
    <cellStyle name="Normal 2 3 23 2 2 2 2" xfId="4312"/>
    <cellStyle name="Normal 2 3 23 2 2 2 2 2" xfId="8165"/>
    <cellStyle name="Normal 2 3 23 2 2 2 2 2 2" xfId="11030"/>
    <cellStyle name="Normal 2 3 23 2 2 2 2 3" xfId="11029"/>
    <cellStyle name="Normal 2 3 23 2 2 2 3" xfId="6227"/>
    <cellStyle name="Normal 2 3 23 2 2 2 3 2" xfId="11031"/>
    <cellStyle name="Normal 2 3 23 2 2 2 4" xfId="11028"/>
    <cellStyle name="Normal 2 3 23 2 2 3" xfId="3351"/>
    <cellStyle name="Normal 2 3 23 2 2 3 2" xfId="7209"/>
    <cellStyle name="Normal 2 3 23 2 2 3 2 2" xfId="11033"/>
    <cellStyle name="Normal 2 3 23 2 2 3 3" xfId="11032"/>
    <cellStyle name="Normal 2 3 23 2 2 4" xfId="5271"/>
    <cellStyle name="Normal 2 3 23 2 2 4 2" xfId="11034"/>
    <cellStyle name="Normal 2 3 23 2 2 5" xfId="11027"/>
    <cellStyle name="Normal 2 3 23 2 3" xfId="1157"/>
    <cellStyle name="Normal 2 3 23 2 3 2" xfId="2128"/>
    <cellStyle name="Normal 2 3 23 2 3 2 2" xfId="4073"/>
    <cellStyle name="Normal 2 3 23 2 3 2 2 2" xfId="7926"/>
    <cellStyle name="Normal 2 3 23 2 3 2 2 2 2" xfId="11038"/>
    <cellStyle name="Normal 2 3 23 2 3 2 2 3" xfId="11037"/>
    <cellStyle name="Normal 2 3 23 2 3 2 3" xfId="5988"/>
    <cellStyle name="Normal 2 3 23 2 3 2 3 2" xfId="11039"/>
    <cellStyle name="Normal 2 3 23 2 3 2 4" xfId="11036"/>
    <cellStyle name="Normal 2 3 23 2 3 3" xfId="3112"/>
    <cellStyle name="Normal 2 3 23 2 3 3 2" xfId="6970"/>
    <cellStyle name="Normal 2 3 23 2 3 3 2 2" xfId="11041"/>
    <cellStyle name="Normal 2 3 23 2 3 3 3" xfId="11040"/>
    <cellStyle name="Normal 2 3 23 2 3 4" xfId="5032"/>
    <cellStyle name="Normal 2 3 23 2 3 4 2" xfId="11042"/>
    <cellStyle name="Normal 2 3 23 2 3 5" xfId="11035"/>
    <cellStyle name="Normal 2 3 23 2 4" xfId="1657"/>
    <cellStyle name="Normal 2 3 23 2 4 2" xfId="2618"/>
    <cellStyle name="Normal 2 3 23 2 4 2 2" xfId="4563"/>
    <cellStyle name="Normal 2 3 23 2 4 2 2 2" xfId="8416"/>
    <cellStyle name="Normal 2 3 23 2 4 2 2 2 2" xfId="11046"/>
    <cellStyle name="Normal 2 3 23 2 4 2 2 3" xfId="11045"/>
    <cellStyle name="Normal 2 3 23 2 4 2 3" xfId="6478"/>
    <cellStyle name="Normal 2 3 23 2 4 2 3 2" xfId="11047"/>
    <cellStyle name="Normal 2 3 23 2 4 2 4" xfId="11044"/>
    <cellStyle name="Normal 2 3 23 2 4 3" xfId="3604"/>
    <cellStyle name="Normal 2 3 23 2 4 3 2" xfId="7460"/>
    <cellStyle name="Normal 2 3 23 2 4 3 2 2" xfId="11049"/>
    <cellStyle name="Normal 2 3 23 2 4 3 3" xfId="11048"/>
    <cellStyle name="Normal 2 3 23 2 4 4" xfId="5522"/>
    <cellStyle name="Normal 2 3 23 2 4 4 2" xfId="11050"/>
    <cellStyle name="Normal 2 3 23 2 4 5" xfId="11043"/>
    <cellStyle name="Normal 2 3 23 2 5" xfId="1896"/>
    <cellStyle name="Normal 2 3 23 2 5 2" xfId="3841"/>
    <cellStyle name="Normal 2 3 23 2 5 2 2" xfId="7694"/>
    <cellStyle name="Normal 2 3 23 2 5 2 2 2" xfId="11053"/>
    <cellStyle name="Normal 2 3 23 2 5 2 3" xfId="11052"/>
    <cellStyle name="Normal 2 3 23 2 5 3" xfId="5756"/>
    <cellStyle name="Normal 2 3 23 2 5 3 2" xfId="11054"/>
    <cellStyle name="Normal 2 3 23 2 5 4" xfId="11051"/>
    <cellStyle name="Normal 2 3 23 2 6" xfId="2880"/>
    <cellStyle name="Normal 2 3 23 2 6 2" xfId="6738"/>
    <cellStyle name="Normal 2 3 23 2 6 2 2" xfId="11056"/>
    <cellStyle name="Normal 2 3 23 2 6 3" xfId="11055"/>
    <cellStyle name="Normal 2 3 23 2 7" xfId="4800"/>
    <cellStyle name="Normal 2 3 23 2 7 2" xfId="11057"/>
    <cellStyle name="Normal 2 3 23 2 8" xfId="11026"/>
    <cellStyle name="Normal 2 3 23 3" xfId="1295"/>
    <cellStyle name="Normal 2 3 23 3 2" xfId="2266"/>
    <cellStyle name="Normal 2 3 23 3 2 2" xfId="4211"/>
    <cellStyle name="Normal 2 3 23 3 2 2 2" xfId="8064"/>
    <cellStyle name="Normal 2 3 23 3 2 2 2 2" xfId="11061"/>
    <cellStyle name="Normal 2 3 23 3 2 2 3" xfId="11060"/>
    <cellStyle name="Normal 2 3 23 3 2 3" xfId="6126"/>
    <cellStyle name="Normal 2 3 23 3 2 3 2" xfId="11062"/>
    <cellStyle name="Normal 2 3 23 3 2 4" xfId="11059"/>
    <cellStyle name="Normal 2 3 23 3 3" xfId="3250"/>
    <cellStyle name="Normal 2 3 23 3 3 2" xfId="7108"/>
    <cellStyle name="Normal 2 3 23 3 3 2 2" xfId="11064"/>
    <cellStyle name="Normal 2 3 23 3 3 3" xfId="11063"/>
    <cellStyle name="Normal 2 3 23 3 4" xfId="5170"/>
    <cellStyle name="Normal 2 3 23 3 4 2" xfId="11065"/>
    <cellStyle name="Normal 2 3 23 3 5" xfId="11058"/>
    <cellStyle name="Normal 2 3 23 4" xfId="1063"/>
    <cellStyle name="Normal 2 3 23 4 2" xfId="2034"/>
    <cellStyle name="Normal 2 3 23 4 2 2" xfId="3979"/>
    <cellStyle name="Normal 2 3 23 4 2 2 2" xfId="7832"/>
    <cellStyle name="Normal 2 3 23 4 2 2 2 2" xfId="11069"/>
    <cellStyle name="Normal 2 3 23 4 2 2 3" xfId="11068"/>
    <cellStyle name="Normal 2 3 23 4 2 3" xfId="5894"/>
    <cellStyle name="Normal 2 3 23 4 2 3 2" xfId="11070"/>
    <cellStyle name="Normal 2 3 23 4 2 4" xfId="11067"/>
    <cellStyle name="Normal 2 3 23 4 3" xfId="3018"/>
    <cellStyle name="Normal 2 3 23 4 3 2" xfId="6876"/>
    <cellStyle name="Normal 2 3 23 4 3 2 2" xfId="11072"/>
    <cellStyle name="Normal 2 3 23 4 3 3" xfId="11071"/>
    <cellStyle name="Normal 2 3 23 4 4" xfId="4938"/>
    <cellStyle name="Normal 2 3 23 4 4 2" xfId="11073"/>
    <cellStyle name="Normal 2 3 23 4 5" xfId="11066"/>
    <cellStyle name="Normal 2 3 23 5" xfId="1554"/>
    <cellStyle name="Normal 2 3 23 6" xfId="1516"/>
    <cellStyle name="Normal 2 3 23 6 2" xfId="2483"/>
    <cellStyle name="Normal 2 3 23 6 2 2" xfId="4428"/>
    <cellStyle name="Normal 2 3 23 6 2 2 2" xfId="8281"/>
    <cellStyle name="Normal 2 3 23 6 2 2 2 2" xfId="11077"/>
    <cellStyle name="Normal 2 3 23 6 2 2 3" xfId="11076"/>
    <cellStyle name="Normal 2 3 23 6 2 3" xfId="6343"/>
    <cellStyle name="Normal 2 3 23 6 2 3 2" xfId="11078"/>
    <cellStyle name="Normal 2 3 23 6 2 4" xfId="11075"/>
    <cellStyle name="Normal 2 3 23 6 3" xfId="3468"/>
    <cellStyle name="Normal 2 3 23 6 3 2" xfId="7325"/>
    <cellStyle name="Normal 2 3 23 6 3 2 2" xfId="11080"/>
    <cellStyle name="Normal 2 3 23 6 3 3" xfId="11079"/>
    <cellStyle name="Normal 2 3 23 6 4" xfId="5387"/>
    <cellStyle name="Normal 2 3 23 6 4 2" xfId="11081"/>
    <cellStyle name="Normal 2 3 23 6 5" xfId="11074"/>
    <cellStyle name="Normal 2 3 23 7" xfId="1795"/>
    <cellStyle name="Normal 2 3 23 7 2" xfId="3741"/>
    <cellStyle name="Normal 2 3 23 7 2 2" xfId="7594"/>
    <cellStyle name="Normal 2 3 23 7 2 2 2" xfId="11084"/>
    <cellStyle name="Normal 2 3 23 7 2 3" xfId="11083"/>
    <cellStyle name="Normal 2 3 23 7 3" xfId="5656"/>
    <cellStyle name="Normal 2 3 23 7 3 2" xfId="11085"/>
    <cellStyle name="Normal 2 3 23 7 4" xfId="11082"/>
    <cellStyle name="Normal 2 3 23 8" xfId="2779"/>
    <cellStyle name="Normal 2 3 23 8 2" xfId="6638"/>
    <cellStyle name="Normal 2 3 23 8 2 2" xfId="11087"/>
    <cellStyle name="Normal 2 3 23 8 3" xfId="11086"/>
    <cellStyle name="Normal 2 3 23 9" xfId="4706"/>
    <cellStyle name="Normal 2 3 23 9 2" xfId="11088"/>
    <cellStyle name="Normal 2 3 24" xfId="920"/>
    <cellStyle name="Normal 2 3 3" xfId="349"/>
    <cellStyle name="Normal 2 3 4" xfId="350"/>
    <cellStyle name="Normal 2 3 5" xfId="351"/>
    <cellStyle name="Normal 2 3 6" xfId="352"/>
    <cellStyle name="Normal 2 3 7" xfId="353"/>
    <cellStyle name="Normal 2 3 8" xfId="354"/>
    <cellStyle name="Normal 2 3 9" xfId="355"/>
    <cellStyle name="Normal 2 4" xfId="356"/>
    <cellStyle name="Normal 2 4 10" xfId="357"/>
    <cellStyle name="Normal 2 4 11" xfId="358"/>
    <cellStyle name="Normal 2 4 12" xfId="359"/>
    <cellStyle name="Normal 2 4 13" xfId="360"/>
    <cellStyle name="Normal 2 4 14" xfId="361"/>
    <cellStyle name="Normal 2 4 15" xfId="362"/>
    <cellStyle name="Normal 2 4 16" xfId="363"/>
    <cellStyle name="Normal 2 4 17" xfId="364"/>
    <cellStyle name="Normal 2 4 18" xfId="365"/>
    <cellStyle name="Normal 2 4 19" xfId="366"/>
    <cellStyle name="Normal 2 4 2" xfId="367"/>
    <cellStyle name="Normal 2 4 20" xfId="368"/>
    <cellStyle name="Normal 2 4 21" xfId="369"/>
    <cellStyle name="Normal 2 4 22" xfId="370"/>
    <cellStyle name="Normal 2 4 23" xfId="630"/>
    <cellStyle name="Normal 2 4 23 2" xfId="921"/>
    <cellStyle name="Normal 2 4 23 2 2" xfId="1397"/>
    <cellStyle name="Normal 2 4 23 2 2 2" xfId="2368"/>
    <cellStyle name="Normal 2 4 23 2 2 2 2" xfId="4313"/>
    <cellStyle name="Normal 2 4 23 2 2 2 2 2" xfId="8166"/>
    <cellStyle name="Normal 2 4 23 2 2 2 2 2 2" xfId="11095"/>
    <cellStyle name="Normal 2 4 23 2 2 2 2 3" xfId="11094"/>
    <cellStyle name="Normal 2 4 23 2 2 2 3" xfId="6228"/>
    <cellStyle name="Normal 2 4 23 2 2 2 3 2" xfId="11096"/>
    <cellStyle name="Normal 2 4 23 2 2 2 4" xfId="11093"/>
    <cellStyle name="Normal 2 4 23 2 2 3" xfId="3352"/>
    <cellStyle name="Normal 2 4 23 2 2 3 2" xfId="7210"/>
    <cellStyle name="Normal 2 4 23 2 2 3 2 2" xfId="11098"/>
    <cellStyle name="Normal 2 4 23 2 2 3 3" xfId="11097"/>
    <cellStyle name="Normal 2 4 23 2 2 4" xfId="5272"/>
    <cellStyle name="Normal 2 4 23 2 2 4 2" xfId="11099"/>
    <cellStyle name="Normal 2 4 23 2 2 5" xfId="11092"/>
    <cellStyle name="Normal 2 4 23 2 3" xfId="1158"/>
    <cellStyle name="Normal 2 4 23 2 3 2" xfId="2129"/>
    <cellStyle name="Normal 2 4 23 2 3 2 2" xfId="4074"/>
    <cellStyle name="Normal 2 4 23 2 3 2 2 2" xfId="7927"/>
    <cellStyle name="Normal 2 4 23 2 3 2 2 2 2" xfId="11103"/>
    <cellStyle name="Normal 2 4 23 2 3 2 2 3" xfId="11102"/>
    <cellStyle name="Normal 2 4 23 2 3 2 3" xfId="5989"/>
    <cellStyle name="Normal 2 4 23 2 3 2 3 2" xfId="11104"/>
    <cellStyle name="Normal 2 4 23 2 3 2 4" xfId="11101"/>
    <cellStyle name="Normal 2 4 23 2 3 3" xfId="3113"/>
    <cellStyle name="Normal 2 4 23 2 3 3 2" xfId="6971"/>
    <cellStyle name="Normal 2 4 23 2 3 3 2 2" xfId="11106"/>
    <cellStyle name="Normal 2 4 23 2 3 3 3" xfId="11105"/>
    <cellStyle name="Normal 2 4 23 2 3 4" xfId="5033"/>
    <cellStyle name="Normal 2 4 23 2 3 4 2" xfId="11107"/>
    <cellStyle name="Normal 2 4 23 2 3 5" xfId="11100"/>
    <cellStyle name="Normal 2 4 23 2 4" xfId="1658"/>
    <cellStyle name="Normal 2 4 23 2 4 2" xfId="2619"/>
    <cellStyle name="Normal 2 4 23 2 4 2 2" xfId="4564"/>
    <cellStyle name="Normal 2 4 23 2 4 2 2 2" xfId="8417"/>
    <cellStyle name="Normal 2 4 23 2 4 2 2 2 2" xfId="11111"/>
    <cellStyle name="Normal 2 4 23 2 4 2 2 3" xfId="11110"/>
    <cellStyle name="Normal 2 4 23 2 4 2 3" xfId="6479"/>
    <cellStyle name="Normal 2 4 23 2 4 2 3 2" xfId="11112"/>
    <cellStyle name="Normal 2 4 23 2 4 2 4" xfId="11109"/>
    <cellStyle name="Normal 2 4 23 2 4 3" xfId="3605"/>
    <cellStyle name="Normal 2 4 23 2 4 3 2" xfId="7461"/>
    <cellStyle name="Normal 2 4 23 2 4 3 2 2" xfId="11114"/>
    <cellStyle name="Normal 2 4 23 2 4 3 3" xfId="11113"/>
    <cellStyle name="Normal 2 4 23 2 4 4" xfId="5523"/>
    <cellStyle name="Normal 2 4 23 2 4 4 2" xfId="11115"/>
    <cellStyle name="Normal 2 4 23 2 4 5" xfId="11108"/>
    <cellStyle name="Normal 2 4 23 2 5" xfId="1897"/>
    <cellStyle name="Normal 2 4 23 2 5 2" xfId="3842"/>
    <cellStyle name="Normal 2 4 23 2 5 2 2" xfId="7695"/>
    <cellStyle name="Normal 2 4 23 2 5 2 2 2" xfId="11118"/>
    <cellStyle name="Normal 2 4 23 2 5 2 3" xfId="11117"/>
    <cellStyle name="Normal 2 4 23 2 5 3" xfId="5757"/>
    <cellStyle name="Normal 2 4 23 2 5 3 2" xfId="11119"/>
    <cellStyle name="Normal 2 4 23 2 5 4" xfId="11116"/>
    <cellStyle name="Normal 2 4 23 2 6" xfId="2881"/>
    <cellStyle name="Normal 2 4 23 2 6 2" xfId="6739"/>
    <cellStyle name="Normal 2 4 23 2 6 2 2" xfId="11121"/>
    <cellStyle name="Normal 2 4 23 2 6 3" xfId="11120"/>
    <cellStyle name="Normal 2 4 23 2 7" xfId="4801"/>
    <cellStyle name="Normal 2 4 23 2 7 2" xfId="11122"/>
    <cellStyle name="Normal 2 4 23 2 8" xfId="11091"/>
    <cellStyle name="Normal 2 4 23 3" xfId="1296"/>
    <cellStyle name="Normal 2 4 23 3 2" xfId="2267"/>
    <cellStyle name="Normal 2 4 23 3 2 2" xfId="4212"/>
    <cellStyle name="Normal 2 4 23 3 2 2 2" xfId="8065"/>
    <cellStyle name="Normal 2 4 23 3 2 2 2 2" xfId="11126"/>
    <cellStyle name="Normal 2 4 23 3 2 2 3" xfId="11125"/>
    <cellStyle name="Normal 2 4 23 3 2 3" xfId="6127"/>
    <cellStyle name="Normal 2 4 23 3 2 3 2" xfId="11127"/>
    <cellStyle name="Normal 2 4 23 3 2 4" xfId="11124"/>
    <cellStyle name="Normal 2 4 23 3 3" xfId="3251"/>
    <cellStyle name="Normal 2 4 23 3 3 2" xfId="7109"/>
    <cellStyle name="Normal 2 4 23 3 3 2 2" xfId="11129"/>
    <cellStyle name="Normal 2 4 23 3 3 3" xfId="11128"/>
    <cellStyle name="Normal 2 4 23 3 4" xfId="5171"/>
    <cellStyle name="Normal 2 4 23 3 4 2" xfId="11130"/>
    <cellStyle name="Normal 2 4 23 3 5" xfId="11123"/>
    <cellStyle name="Normal 2 4 23 4" xfId="1064"/>
    <cellStyle name="Normal 2 4 23 4 2" xfId="2035"/>
    <cellStyle name="Normal 2 4 23 4 2 2" xfId="3980"/>
    <cellStyle name="Normal 2 4 23 4 2 2 2" xfId="7833"/>
    <cellStyle name="Normal 2 4 23 4 2 2 2 2" xfId="11134"/>
    <cellStyle name="Normal 2 4 23 4 2 2 3" xfId="11133"/>
    <cellStyle name="Normal 2 4 23 4 2 3" xfId="5895"/>
    <cellStyle name="Normal 2 4 23 4 2 3 2" xfId="11135"/>
    <cellStyle name="Normal 2 4 23 4 2 4" xfId="11132"/>
    <cellStyle name="Normal 2 4 23 4 3" xfId="3019"/>
    <cellStyle name="Normal 2 4 23 4 3 2" xfId="6877"/>
    <cellStyle name="Normal 2 4 23 4 3 2 2" xfId="11137"/>
    <cellStyle name="Normal 2 4 23 4 3 3" xfId="11136"/>
    <cellStyle name="Normal 2 4 23 4 4" xfId="4939"/>
    <cellStyle name="Normal 2 4 23 4 4 2" xfId="11138"/>
    <cellStyle name="Normal 2 4 23 4 5" xfId="11131"/>
    <cellStyle name="Normal 2 4 23 5" xfId="1555"/>
    <cellStyle name="Normal 2 4 23 5 2" xfId="2520"/>
    <cellStyle name="Normal 2 4 23 5 2 2" xfId="4465"/>
    <cellStyle name="Normal 2 4 23 5 2 2 2" xfId="8318"/>
    <cellStyle name="Normal 2 4 23 5 2 2 2 2" xfId="11142"/>
    <cellStyle name="Normal 2 4 23 5 2 2 3" xfId="11141"/>
    <cellStyle name="Normal 2 4 23 5 2 3" xfId="6380"/>
    <cellStyle name="Normal 2 4 23 5 2 3 2" xfId="11143"/>
    <cellStyle name="Normal 2 4 23 5 2 4" xfId="11140"/>
    <cellStyle name="Normal 2 4 23 5 3" xfId="3506"/>
    <cellStyle name="Normal 2 4 23 5 3 2" xfId="7362"/>
    <cellStyle name="Normal 2 4 23 5 3 2 2" xfId="11145"/>
    <cellStyle name="Normal 2 4 23 5 3 3" xfId="11144"/>
    <cellStyle name="Normal 2 4 23 5 4" xfId="5424"/>
    <cellStyle name="Normal 2 4 23 5 4 2" xfId="11146"/>
    <cellStyle name="Normal 2 4 23 5 5" xfId="11139"/>
    <cellStyle name="Normal 2 4 23 6" xfId="1796"/>
    <cellStyle name="Normal 2 4 23 6 2" xfId="3742"/>
    <cellStyle name="Normal 2 4 23 6 2 2" xfId="7595"/>
    <cellStyle name="Normal 2 4 23 6 2 2 2" xfId="11149"/>
    <cellStyle name="Normal 2 4 23 6 2 3" xfId="11148"/>
    <cellStyle name="Normal 2 4 23 6 3" xfId="5657"/>
    <cellStyle name="Normal 2 4 23 6 3 2" xfId="11150"/>
    <cellStyle name="Normal 2 4 23 6 4" xfId="11147"/>
    <cellStyle name="Normal 2 4 23 7" xfId="2780"/>
    <cellStyle name="Normal 2 4 23 7 2" xfId="6639"/>
    <cellStyle name="Normal 2 4 23 7 2 2" xfId="11152"/>
    <cellStyle name="Normal 2 4 23 7 3" xfId="11151"/>
    <cellStyle name="Normal 2 4 23 8" xfId="4707"/>
    <cellStyle name="Normal 2 4 23 8 2" xfId="11153"/>
    <cellStyle name="Normal 2 4 23 9" xfId="11090"/>
    <cellStyle name="Normal 2 4 24" xfId="922"/>
    <cellStyle name="Normal 2 4 24 2" xfId="1357"/>
    <cellStyle name="Normal 2 4 24 2 2" xfId="2328"/>
    <cellStyle name="Normal 2 4 24 2 2 2" xfId="4273"/>
    <cellStyle name="Normal 2 4 24 2 2 2 2" xfId="8126"/>
    <cellStyle name="Normal 2 4 24 2 2 2 2 2" xfId="11158"/>
    <cellStyle name="Normal 2 4 24 2 2 2 3" xfId="11157"/>
    <cellStyle name="Normal 2 4 24 2 2 3" xfId="6188"/>
    <cellStyle name="Normal 2 4 24 2 2 3 2" xfId="11159"/>
    <cellStyle name="Normal 2 4 24 2 2 4" xfId="11156"/>
    <cellStyle name="Normal 2 4 24 2 3" xfId="3312"/>
    <cellStyle name="Normal 2 4 24 2 3 2" xfId="7170"/>
    <cellStyle name="Normal 2 4 24 2 3 2 2" xfId="11161"/>
    <cellStyle name="Normal 2 4 24 2 3 3" xfId="11160"/>
    <cellStyle name="Normal 2 4 24 2 4" xfId="5232"/>
    <cellStyle name="Normal 2 4 24 2 4 2" xfId="11162"/>
    <cellStyle name="Normal 2 4 24 2 5" xfId="11155"/>
    <cellStyle name="Normal 2 4 24 3" xfId="1159"/>
    <cellStyle name="Normal 2 4 24 3 2" xfId="2130"/>
    <cellStyle name="Normal 2 4 24 3 2 2" xfId="4075"/>
    <cellStyle name="Normal 2 4 24 3 2 2 2" xfId="7928"/>
    <cellStyle name="Normal 2 4 24 3 2 2 2 2" xfId="11166"/>
    <cellStyle name="Normal 2 4 24 3 2 2 3" xfId="11165"/>
    <cellStyle name="Normal 2 4 24 3 2 3" xfId="5990"/>
    <cellStyle name="Normal 2 4 24 3 2 3 2" xfId="11167"/>
    <cellStyle name="Normal 2 4 24 3 2 4" xfId="11164"/>
    <cellStyle name="Normal 2 4 24 3 3" xfId="3114"/>
    <cellStyle name="Normal 2 4 24 3 3 2" xfId="6972"/>
    <cellStyle name="Normal 2 4 24 3 3 2 2" xfId="11169"/>
    <cellStyle name="Normal 2 4 24 3 3 3" xfId="11168"/>
    <cellStyle name="Normal 2 4 24 3 4" xfId="5034"/>
    <cellStyle name="Normal 2 4 24 3 4 2" xfId="11170"/>
    <cellStyle name="Normal 2 4 24 3 5" xfId="11163"/>
    <cellStyle name="Normal 2 4 24 4" xfId="1618"/>
    <cellStyle name="Normal 2 4 24 4 2" xfId="2579"/>
    <cellStyle name="Normal 2 4 24 4 2 2" xfId="4524"/>
    <cellStyle name="Normal 2 4 24 4 2 2 2" xfId="8377"/>
    <cellStyle name="Normal 2 4 24 4 2 2 2 2" xfId="11174"/>
    <cellStyle name="Normal 2 4 24 4 2 2 3" xfId="11173"/>
    <cellStyle name="Normal 2 4 24 4 2 3" xfId="6439"/>
    <cellStyle name="Normal 2 4 24 4 2 3 2" xfId="11175"/>
    <cellStyle name="Normal 2 4 24 4 2 4" xfId="11172"/>
    <cellStyle name="Normal 2 4 24 4 3" xfId="3565"/>
    <cellStyle name="Normal 2 4 24 4 3 2" xfId="7421"/>
    <cellStyle name="Normal 2 4 24 4 3 2 2" xfId="11177"/>
    <cellStyle name="Normal 2 4 24 4 3 3" xfId="11176"/>
    <cellStyle name="Normal 2 4 24 4 4" xfId="5483"/>
    <cellStyle name="Normal 2 4 24 4 4 2" xfId="11178"/>
    <cellStyle name="Normal 2 4 24 4 5" xfId="11171"/>
    <cellStyle name="Normal 2 4 24 5" xfId="1898"/>
    <cellStyle name="Normal 2 4 24 5 2" xfId="3843"/>
    <cellStyle name="Normal 2 4 24 5 2 2" xfId="7696"/>
    <cellStyle name="Normal 2 4 24 5 2 2 2" xfId="11181"/>
    <cellStyle name="Normal 2 4 24 5 2 3" xfId="11180"/>
    <cellStyle name="Normal 2 4 24 5 3" xfId="5758"/>
    <cellStyle name="Normal 2 4 24 5 3 2" xfId="11182"/>
    <cellStyle name="Normal 2 4 24 5 4" xfId="11179"/>
    <cellStyle name="Normal 2 4 24 6" xfId="2882"/>
    <cellStyle name="Normal 2 4 24 6 2" xfId="6740"/>
    <cellStyle name="Normal 2 4 24 6 2 2" xfId="11184"/>
    <cellStyle name="Normal 2 4 24 6 3" xfId="11183"/>
    <cellStyle name="Normal 2 4 24 7" xfId="4802"/>
    <cellStyle name="Normal 2 4 24 7 2" xfId="11185"/>
    <cellStyle name="Normal 2 4 24 8" xfId="11154"/>
    <cellStyle name="Normal 2 4 25" xfId="1255"/>
    <cellStyle name="Normal 2 4 25 2" xfId="2226"/>
    <cellStyle name="Normal 2 4 25 2 2" xfId="4171"/>
    <cellStyle name="Normal 2 4 25 2 2 2" xfId="8024"/>
    <cellStyle name="Normal 2 4 25 2 2 2 2" xfId="11189"/>
    <cellStyle name="Normal 2 4 25 2 2 3" xfId="11188"/>
    <cellStyle name="Normal 2 4 25 2 3" xfId="6086"/>
    <cellStyle name="Normal 2 4 25 2 3 2" xfId="11190"/>
    <cellStyle name="Normal 2 4 25 2 4" xfId="11187"/>
    <cellStyle name="Normal 2 4 25 3" xfId="3210"/>
    <cellStyle name="Normal 2 4 25 3 2" xfId="7068"/>
    <cellStyle name="Normal 2 4 25 3 2 2" xfId="11192"/>
    <cellStyle name="Normal 2 4 25 3 3" xfId="11191"/>
    <cellStyle name="Normal 2 4 25 4" xfId="5130"/>
    <cellStyle name="Normal 2 4 25 4 2" xfId="11193"/>
    <cellStyle name="Normal 2 4 25 5" xfId="11186"/>
    <cellStyle name="Normal 2 4 26" xfId="1019"/>
    <cellStyle name="Normal 2 4 26 2" xfId="1992"/>
    <cellStyle name="Normal 2 4 26 2 2" xfId="3937"/>
    <cellStyle name="Normal 2 4 26 2 2 2" xfId="7790"/>
    <cellStyle name="Normal 2 4 26 2 2 2 2" xfId="11197"/>
    <cellStyle name="Normal 2 4 26 2 2 3" xfId="11196"/>
    <cellStyle name="Normal 2 4 26 2 3" xfId="5852"/>
    <cellStyle name="Normal 2 4 26 2 3 2" xfId="11198"/>
    <cellStyle name="Normal 2 4 26 2 4" xfId="11195"/>
    <cellStyle name="Normal 2 4 26 3" xfId="2976"/>
    <cellStyle name="Normal 2 4 26 3 2" xfId="6834"/>
    <cellStyle name="Normal 2 4 26 3 2 2" xfId="11200"/>
    <cellStyle name="Normal 2 4 26 3 3" xfId="11199"/>
    <cellStyle name="Normal 2 4 26 4" xfId="4896"/>
    <cellStyle name="Normal 2 4 26 4 2" xfId="11201"/>
    <cellStyle name="Normal 2 4 26 5" xfId="11194"/>
    <cellStyle name="Normal 2 4 27" xfId="1504"/>
    <cellStyle name="Normal 2 4 27 2" xfId="2471"/>
    <cellStyle name="Normal 2 4 27 2 2" xfId="4416"/>
    <cellStyle name="Normal 2 4 27 2 2 2" xfId="8269"/>
    <cellStyle name="Normal 2 4 27 2 2 2 2" xfId="11205"/>
    <cellStyle name="Normal 2 4 27 2 2 3" xfId="11204"/>
    <cellStyle name="Normal 2 4 27 2 3" xfId="6331"/>
    <cellStyle name="Normal 2 4 27 2 3 2" xfId="11206"/>
    <cellStyle name="Normal 2 4 27 2 4" xfId="11203"/>
    <cellStyle name="Normal 2 4 27 3" xfId="3456"/>
    <cellStyle name="Normal 2 4 27 3 2" xfId="7313"/>
    <cellStyle name="Normal 2 4 27 3 2 2" xfId="11208"/>
    <cellStyle name="Normal 2 4 27 3 3" xfId="11207"/>
    <cellStyle name="Normal 2 4 27 4" xfId="5375"/>
    <cellStyle name="Normal 2 4 27 4 2" xfId="11209"/>
    <cellStyle name="Normal 2 4 27 5" xfId="11202"/>
    <cellStyle name="Normal 2 4 28" xfId="1753"/>
    <cellStyle name="Normal 2 4 28 2" xfId="3699"/>
    <cellStyle name="Normal 2 4 28 2 2" xfId="7552"/>
    <cellStyle name="Normal 2 4 28 2 2 2" xfId="11212"/>
    <cellStyle name="Normal 2 4 28 2 3" xfId="11211"/>
    <cellStyle name="Normal 2 4 28 3" xfId="5614"/>
    <cellStyle name="Normal 2 4 28 3 2" xfId="11213"/>
    <cellStyle name="Normal 2 4 28 4" xfId="11210"/>
    <cellStyle name="Normal 2 4 29" xfId="2737"/>
    <cellStyle name="Normal 2 4 29 2" xfId="6596"/>
    <cellStyle name="Normal 2 4 29 2 2" xfId="11215"/>
    <cellStyle name="Normal 2 4 29 3" xfId="11214"/>
    <cellStyle name="Normal 2 4 3" xfId="371"/>
    <cellStyle name="Normal 2 4 30" xfId="4664"/>
    <cellStyle name="Normal 2 4 30 2" xfId="11216"/>
    <cellStyle name="Normal 2 4 31" xfId="11089"/>
    <cellStyle name="Normal 2 4 4" xfId="372"/>
    <cellStyle name="Normal 2 4 5" xfId="373"/>
    <cellStyle name="Normal 2 4 6" xfId="374"/>
    <cellStyle name="Normal 2 4 7" xfId="375"/>
    <cellStyle name="Normal 2 4 8" xfId="376"/>
    <cellStyle name="Normal 2 4 9" xfId="377"/>
    <cellStyle name="Normal 2 5" xfId="378"/>
    <cellStyle name="Normal 2 5 2" xfId="631"/>
    <cellStyle name="Normal 2 6" xfId="379"/>
    <cellStyle name="Normal 2 6 2" xfId="632"/>
    <cellStyle name="Normal 2 7" xfId="380"/>
    <cellStyle name="Normal 2 7 2" xfId="633"/>
    <cellStyle name="Normal 2 8" xfId="381"/>
    <cellStyle name="Normal 2 8 2" xfId="817"/>
    <cellStyle name="Normal 2 9" xfId="564"/>
    <cellStyle name="Normal 20" xfId="382"/>
    <cellStyle name="Normal 20 2" xfId="383"/>
    <cellStyle name="Normal 20 2 2" xfId="635"/>
    <cellStyle name="Normal 20 3" xfId="634"/>
    <cellStyle name="Normal 21" xfId="384"/>
    <cellStyle name="Normal 21 2" xfId="385"/>
    <cellStyle name="Normal 21 2 2" xfId="637"/>
    <cellStyle name="Normal 21 3" xfId="636"/>
    <cellStyle name="Normal 22" xfId="386"/>
    <cellStyle name="Normal 22 2" xfId="387"/>
    <cellStyle name="Normal 22 2 2" xfId="639"/>
    <cellStyle name="Normal 22 3" xfId="638"/>
    <cellStyle name="Normal 23" xfId="388"/>
    <cellStyle name="Normal 23 2" xfId="389"/>
    <cellStyle name="Normal 23 2 2" xfId="641"/>
    <cellStyle name="Normal 23 3" xfId="640"/>
    <cellStyle name="Normal 24" xfId="390"/>
    <cellStyle name="Normal 24 2" xfId="391"/>
    <cellStyle name="Normal 24 2 2" xfId="642"/>
    <cellStyle name="Normal 24 3" xfId="574"/>
    <cellStyle name="Normal 25" xfId="392"/>
    <cellStyle name="Normal 25 2" xfId="393"/>
    <cellStyle name="Normal 25 2 2" xfId="644"/>
    <cellStyle name="Normal 25 3" xfId="643"/>
    <cellStyle name="Normal 26" xfId="394"/>
    <cellStyle name="Normal 26 2" xfId="395"/>
    <cellStyle name="Normal 26 2 2" xfId="646"/>
    <cellStyle name="Normal 26 3" xfId="645"/>
    <cellStyle name="Normal 27" xfId="396"/>
    <cellStyle name="Normal 27 2" xfId="397"/>
    <cellStyle name="Normal 27 2 2" xfId="648"/>
    <cellStyle name="Normal 27 3" xfId="647"/>
    <cellStyle name="Normal 28" xfId="398"/>
    <cellStyle name="Normal 28 2" xfId="399"/>
    <cellStyle name="Normal 28 2 2" xfId="650"/>
    <cellStyle name="Normal 28 3" xfId="649"/>
    <cellStyle name="Normal 29" xfId="400"/>
    <cellStyle name="Normal 29 2" xfId="401"/>
    <cellStyle name="Normal 29 2 2" xfId="652"/>
    <cellStyle name="Normal 29 3" xfId="651"/>
    <cellStyle name="Normal 3" xfId="402"/>
    <cellStyle name="Normal 3 10" xfId="403"/>
    <cellStyle name="Normal 3 100" xfId="16316"/>
    <cellStyle name="Normal 3 101" xfId="16319"/>
    <cellStyle name="Normal 3 102" xfId="16320"/>
    <cellStyle name="Normal 3 103" xfId="16324"/>
    <cellStyle name="Normal 3 104" xfId="16328"/>
    <cellStyle name="Normal 3 11" xfId="404"/>
    <cellStyle name="Normal 3 12" xfId="405"/>
    <cellStyle name="Normal 3 13" xfId="406"/>
    <cellStyle name="Normal 3 14" xfId="407"/>
    <cellStyle name="Normal 3 15" xfId="408"/>
    <cellStyle name="Normal 3 16" xfId="409"/>
    <cellStyle name="Normal 3 16 10" xfId="11218"/>
    <cellStyle name="Normal 3 16 2" xfId="841"/>
    <cellStyle name="Normal 3 16 2 2" xfId="923"/>
    <cellStyle name="Normal 3 16 2 2 2" xfId="1424"/>
    <cellStyle name="Normal 3 16 2 2 2 2" xfId="2395"/>
    <cellStyle name="Normal 3 16 2 2 2 2 2" xfId="4340"/>
    <cellStyle name="Normal 3 16 2 2 2 2 2 2" xfId="8193"/>
    <cellStyle name="Normal 3 16 2 2 2 2 2 2 2" xfId="11224"/>
    <cellStyle name="Normal 3 16 2 2 2 2 2 3" xfId="11223"/>
    <cellStyle name="Normal 3 16 2 2 2 2 3" xfId="6255"/>
    <cellStyle name="Normal 3 16 2 2 2 2 3 2" xfId="11225"/>
    <cellStyle name="Normal 3 16 2 2 2 2 4" xfId="11222"/>
    <cellStyle name="Normal 3 16 2 2 2 3" xfId="3379"/>
    <cellStyle name="Normal 3 16 2 2 2 3 2" xfId="7237"/>
    <cellStyle name="Normal 3 16 2 2 2 3 2 2" xfId="11227"/>
    <cellStyle name="Normal 3 16 2 2 2 3 3" xfId="11226"/>
    <cellStyle name="Normal 3 16 2 2 2 4" xfId="5299"/>
    <cellStyle name="Normal 3 16 2 2 2 4 2" xfId="11228"/>
    <cellStyle name="Normal 3 16 2 2 2 5" xfId="11221"/>
    <cellStyle name="Normal 3 16 2 2 3" xfId="1160"/>
    <cellStyle name="Normal 3 16 2 2 3 2" xfId="2131"/>
    <cellStyle name="Normal 3 16 2 2 3 2 2" xfId="4076"/>
    <cellStyle name="Normal 3 16 2 2 3 2 2 2" xfId="7929"/>
    <cellStyle name="Normal 3 16 2 2 3 2 2 2 2" xfId="11232"/>
    <cellStyle name="Normal 3 16 2 2 3 2 2 3" xfId="11231"/>
    <cellStyle name="Normal 3 16 2 2 3 2 3" xfId="5991"/>
    <cellStyle name="Normal 3 16 2 2 3 2 3 2" xfId="11233"/>
    <cellStyle name="Normal 3 16 2 2 3 2 4" xfId="11230"/>
    <cellStyle name="Normal 3 16 2 2 3 3" xfId="3115"/>
    <cellStyle name="Normal 3 16 2 2 3 3 2" xfId="6973"/>
    <cellStyle name="Normal 3 16 2 2 3 3 2 2" xfId="11235"/>
    <cellStyle name="Normal 3 16 2 2 3 3 3" xfId="11234"/>
    <cellStyle name="Normal 3 16 2 2 3 4" xfId="5035"/>
    <cellStyle name="Normal 3 16 2 2 3 4 2" xfId="11236"/>
    <cellStyle name="Normal 3 16 2 2 3 5" xfId="11229"/>
    <cellStyle name="Normal 3 16 2 2 4" xfId="1685"/>
    <cellStyle name="Normal 3 16 2 2 4 2" xfId="2646"/>
    <cellStyle name="Normal 3 16 2 2 4 2 2" xfId="4591"/>
    <cellStyle name="Normal 3 16 2 2 4 2 2 2" xfId="8444"/>
    <cellStyle name="Normal 3 16 2 2 4 2 2 2 2" xfId="11240"/>
    <cellStyle name="Normal 3 16 2 2 4 2 2 3" xfId="11239"/>
    <cellStyle name="Normal 3 16 2 2 4 2 3" xfId="6506"/>
    <cellStyle name="Normal 3 16 2 2 4 2 3 2" xfId="11241"/>
    <cellStyle name="Normal 3 16 2 2 4 2 4" xfId="11238"/>
    <cellStyle name="Normal 3 16 2 2 4 3" xfId="3632"/>
    <cellStyle name="Normal 3 16 2 2 4 3 2" xfId="7488"/>
    <cellStyle name="Normal 3 16 2 2 4 3 2 2" xfId="11243"/>
    <cellStyle name="Normal 3 16 2 2 4 3 3" xfId="11242"/>
    <cellStyle name="Normal 3 16 2 2 4 4" xfId="5550"/>
    <cellStyle name="Normal 3 16 2 2 4 4 2" xfId="11244"/>
    <cellStyle name="Normal 3 16 2 2 4 5" xfId="11237"/>
    <cellStyle name="Normal 3 16 2 2 5" xfId="1899"/>
    <cellStyle name="Normal 3 16 2 2 5 2" xfId="3844"/>
    <cellStyle name="Normal 3 16 2 2 5 2 2" xfId="7697"/>
    <cellStyle name="Normal 3 16 2 2 5 2 2 2" xfId="11247"/>
    <cellStyle name="Normal 3 16 2 2 5 2 3" xfId="11246"/>
    <cellStyle name="Normal 3 16 2 2 5 3" xfId="5759"/>
    <cellStyle name="Normal 3 16 2 2 5 3 2" xfId="11248"/>
    <cellStyle name="Normal 3 16 2 2 5 4" xfId="11245"/>
    <cellStyle name="Normal 3 16 2 2 6" xfId="2883"/>
    <cellStyle name="Normal 3 16 2 2 6 2" xfId="6741"/>
    <cellStyle name="Normal 3 16 2 2 6 2 2" xfId="11250"/>
    <cellStyle name="Normal 3 16 2 2 6 3" xfId="11249"/>
    <cellStyle name="Normal 3 16 2 2 7" xfId="4803"/>
    <cellStyle name="Normal 3 16 2 2 7 2" xfId="11251"/>
    <cellStyle name="Normal 3 16 2 2 8" xfId="11220"/>
    <cellStyle name="Normal 3 16 2 3" xfId="1323"/>
    <cellStyle name="Normal 3 16 2 3 2" xfId="2294"/>
    <cellStyle name="Normal 3 16 2 3 2 2" xfId="4239"/>
    <cellStyle name="Normal 3 16 2 3 2 2 2" xfId="8092"/>
    <cellStyle name="Normal 3 16 2 3 2 2 2 2" xfId="11255"/>
    <cellStyle name="Normal 3 16 2 3 2 2 3" xfId="11254"/>
    <cellStyle name="Normal 3 16 2 3 2 3" xfId="6154"/>
    <cellStyle name="Normal 3 16 2 3 2 3 2" xfId="11256"/>
    <cellStyle name="Normal 3 16 2 3 2 4" xfId="11253"/>
    <cellStyle name="Normal 3 16 2 3 3" xfId="3278"/>
    <cellStyle name="Normal 3 16 2 3 3 2" xfId="7136"/>
    <cellStyle name="Normal 3 16 2 3 3 2 2" xfId="11258"/>
    <cellStyle name="Normal 3 16 2 3 3 3" xfId="11257"/>
    <cellStyle name="Normal 3 16 2 3 4" xfId="5198"/>
    <cellStyle name="Normal 3 16 2 3 4 2" xfId="11259"/>
    <cellStyle name="Normal 3 16 2 3 5" xfId="11252"/>
    <cellStyle name="Normal 3 16 2 4" xfId="1091"/>
    <cellStyle name="Normal 3 16 2 4 2" xfId="2062"/>
    <cellStyle name="Normal 3 16 2 4 2 2" xfId="4007"/>
    <cellStyle name="Normal 3 16 2 4 2 2 2" xfId="7860"/>
    <cellStyle name="Normal 3 16 2 4 2 2 2 2" xfId="11263"/>
    <cellStyle name="Normal 3 16 2 4 2 2 3" xfId="11262"/>
    <cellStyle name="Normal 3 16 2 4 2 3" xfId="5922"/>
    <cellStyle name="Normal 3 16 2 4 2 3 2" xfId="11264"/>
    <cellStyle name="Normal 3 16 2 4 2 4" xfId="11261"/>
    <cellStyle name="Normal 3 16 2 4 3" xfId="3046"/>
    <cellStyle name="Normal 3 16 2 4 3 2" xfId="6904"/>
    <cellStyle name="Normal 3 16 2 4 3 2 2" xfId="11266"/>
    <cellStyle name="Normal 3 16 2 4 3 3" xfId="11265"/>
    <cellStyle name="Normal 3 16 2 4 4" xfId="4966"/>
    <cellStyle name="Normal 3 16 2 4 4 2" xfId="11267"/>
    <cellStyle name="Normal 3 16 2 4 5" xfId="11260"/>
    <cellStyle name="Normal 3 16 2 5" xfId="1558"/>
    <cellStyle name="Normal 3 16 2 5 2" xfId="2522"/>
    <cellStyle name="Normal 3 16 2 5 2 2" xfId="4467"/>
    <cellStyle name="Normal 3 16 2 5 2 2 2" xfId="8320"/>
    <cellStyle name="Normal 3 16 2 5 2 2 2 2" xfId="11271"/>
    <cellStyle name="Normal 3 16 2 5 2 2 3" xfId="11270"/>
    <cellStyle name="Normal 3 16 2 5 2 3" xfId="6382"/>
    <cellStyle name="Normal 3 16 2 5 2 3 2" xfId="11272"/>
    <cellStyle name="Normal 3 16 2 5 2 4" xfId="11269"/>
    <cellStyle name="Normal 3 16 2 5 3" xfId="3508"/>
    <cellStyle name="Normal 3 16 2 5 3 2" xfId="7364"/>
    <cellStyle name="Normal 3 16 2 5 3 2 2" xfId="11274"/>
    <cellStyle name="Normal 3 16 2 5 3 3" xfId="11273"/>
    <cellStyle name="Normal 3 16 2 5 4" xfId="5426"/>
    <cellStyle name="Normal 3 16 2 5 4 2" xfId="11275"/>
    <cellStyle name="Normal 3 16 2 5 5" xfId="11268"/>
    <cellStyle name="Normal 3 16 2 6" xfId="1823"/>
    <cellStyle name="Normal 3 16 2 6 2" xfId="3769"/>
    <cellStyle name="Normal 3 16 2 6 2 2" xfId="7622"/>
    <cellStyle name="Normal 3 16 2 6 2 2 2" xfId="11278"/>
    <cellStyle name="Normal 3 16 2 6 2 3" xfId="11277"/>
    <cellStyle name="Normal 3 16 2 6 3" xfId="5684"/>
    <cellStyle name="Normal 3 16 2 6 3 2" xfId="11279"/>
    <cellStyle name="Normal 3 16 2 6 4" xfId="11276"/>
    <cellStyle name="Normal 3 16 2 7" xfId="2807"/>
    <cellStyle name="Normal 3 16 2 7 2" xfId="6666"/>
    <cellStyle name="Normal 3 16 2 7 2 2" xfId="11281"/>
    <cellStyle name="Normal 3 16 2 7 3" xfId="11280"/>
    <cellStyle name="Normal 3 16 2 8" xfId="4734"/>
    <cellStyle name="Normal 3 16 2 8 2" xfId="11282"/>
    <cellStyle name="Normal 3 16 2 9" xfId="11219"/>
    <cellStyle name="Normal 3 16 3" xfId="924"/>
    <cellStyle name="Normal 3 16 3 2" xfId="1358"/>
    <cellStyle name="Normal 3 16 3 2 2" xfId="2329"/>
    <cellStyle name="Normal 3 16 3 2 2 2" xfId="4274"/>
    <cellStyle name="Normal 3 16 3 2 2 2 2" xfId="8127"/>
    <cellStyle name="Normal 3 16 3 2 2 2 2 2" xfId="11287"/>
    <cellStyle name="Normal 3 16 3 2 2 2 3" xfId="11286"/>
    <cellStyle name="Normal 3 16 3 2 2 3" xfId="6189"/>
    <cellStyle name="Normal 3 16 3 2 2 3 2" xfId="11288"/>
    <cellStyle name="Normal 3 16 3 2 2 4" xfId="11285"/>
    <cellStyle name="Normal 3 16 3 2 3" xfId="3313"/>
    <cellStyle name="Normal 3 16 3 2 3 2" xfId="7171"/>
    <cellStyle name="Normal 3 16 3 2 3 2 2" xfId="11290"/>
    <cellStyle name="Normal 3 16 3 2 3 3" xfId="11289"/>
    <cellStyle name="Normal 3 16 3 2 4" xfId="5233"/>
    <cellStyle name="Normal 3 16 3 2 4 2" xfId="11291"/>
    <cellStyle name="Normal 3 16 3 2 5" xfId="11284"/>
    <cellStyle name="Normal 3 16 3 3" xfId="1161"/>
    <cellStyle name="Normal 3 16 3 3 2" xfId="2132"/>
    <cellStyle name="Normal 3 16 3 3 2 2" xfId="4077"/>
    <cellStyle name="Normal 3 16 3 3 2 2 2" xfId="7930"/>
    <cellStyle name="Normal 3 16 3 3 2 2 2 2" xfId="11295"/>
    <cellStyle name="Normal 3 16 3 3 2 2 3" xfId="11294"/>
    <cellStyle name="Normal 3 16 3 3 2 3" xfId="5992"/>
    <cellStyle name="Normal 3 16 3 3 2 3 2" xfId="11296"/>
    <cellStyle name="Normal 3 16 3 3 2 4" xfId="11293"/>
    <cellStyle name="Normal 3 16 3 3 3" xfId="3116"/>
    <cellStyle name="Normal 3 16 3 3 3 2" xfId="6974"/>
    <cellStyle name="Normal 3 16 3 3 3 2 2" xfId="11298"/>
    <cellStyle name="Normal 3 16 3 3 3 3" xfId="11297"/>
    <cellStyle name="Normal 3 16 3 3 4" xfId="5036"/>
    <cellStyle name="Normal 3 16 3 3 4 2" xfId="11299"/>
    <cellStyle name="Normal 3 16 3 3 5" xfId="11292"/>
    <cellStyle name="Normal 3 16 3 4" xfId="1619"/>
    <cellStyle name="Normal 3 16 3 4 2" xfId="2580"/>
    <cellStyle name="Normal 3 16 3 4 2 2" xfId="4525"/>
    <cellStyle name="Normal 3 16 3 4 2 2 2" xfId="8378"/>
    <cellStyle name="Normal 3 16 3 4 2 2 2 2" xfId="11303"/>
    <cellStyle name="Normal 3 16 3 4 2 2 3" xfId="11302"/>
    <cellStyle name="Normal 3 16 3 4 2 3" xfId="6440"/>
    <cellStyle name="Normal 3 16 3 4 2 3 2" xfId="11304"/>
    <cellStyle name="Normal 3 16 3 4 2 4" xfId="11301"/>
    <cellStyle name="Normal 3 16 3 4 3" xfId="3566"/>
    <cellStyle name="Normal 3 16 3 4 3 2" xfId="7422"/>
    <cellStyle name="Normal 3 16 3 4 3 2 2" xfId="11306"/>
    <cellStyle name="Normal 3 16 3 4 3 3" xfId="11305"/>
    <cellStyle name="Normal 3 16 3 4 4" xfId="5484"/>
    <cellStyle name="Normal 3 16 3 4 4 2" xfId="11307"/>
    <cellStyle name="Normal 3 16 3 4 5" xfId="11300"/>
    <cellStyle name="Normal 3 16 3 5" xfId="1900"/>
    <cellStyle name="Normal 3 16 3 5 2" xfId="3845"/>
    <cellStyle name="Normal 3 16 3 5 2 2" xfId="7698"/>
    <cellStyle name="Normal 3 16 3 5 2 2 2" xfId="11310"/>
    <cellStyle name="Normal 3 16 3 5 2 3" xfId="11309"/>
    <cellStyle name="Normal 3 16 3 5 3" xfId="5760"/>
    <cellStyle name="Normal 3 16 3 5 3 2" xfId="11311"/>
    <cellStyle name="Normal 3 16 3 5 4" xfId="11308"/>
    <cellStyle name="Normal 3 16 3 6" xfId="2884"/>
    <cellStyle name="Normal 3 16 3 6 2" xfId="6742"/>
    <cellStyle name="Normal 3 16 3 6 2 2" xfId="11313"/>
    <cellStyle name="Normal 3 16 3 6 3" xfId="11312"/>
    <cellStyle name="Normal 3 16 3 7" xfId="4804"/>
    <cellStyle name="Normal 3 16 3 7 2" xfId="11314"/>
    <cellStyle name="Normal 3 16 3 8" xfId="11283"/>
    <cellStyle name="Normal 3 16 4" xfId="1257"/>
    <cellStyle name="Normal 3 16 4 2" xfId="2228"/>
    <cellStyle name="Normal 3 16 4 2 2" xfId="4173"/>
    <cellStyle name="Normal 3 16 4 2 2 2" xfId="8026"/>
    <cellStyle name="Normal 3 16 4 2 2 2 2" xfId="11318"/>
    <cellStyle name="Normal 3 16 4 2 2 3" xfId="11317"/>
    <cellStyle name="Normal 3 16 4 2 3" xfId="6088"/>
    <cellStyle name="Normal 3 16 4 2 3 2" xfId="11319"/>
    <cellStyle name="Normal 3 16 4 2 4" xfId="11316"/>
    <cellStyle name="Normal 3 16 4 3" xfId="3212"/>
    <cellStyle name="Normal 3 16 4 3 2" xfId="7070"/>
    <cellStyle name="Normal 3 16 4 3 2 2" xfId="11321"/>
    <cellStyle name="Normal 3 16 4 3 3" xfId="11320"/>
    <cellStyle name="Normal 3 16 4 4" xfId="5132"/>
    <cellStyle name="Normal 3 16 4 4 2" xfId="11322"/>
    <cellStyle name="Normal 3 16 4 5" xfId="11315"/>
    <cellStyle name="Normal 3 16 5" xfId="1021"/>
    <cellStyle name="Normal 3 16 5 2" xfId="1994"/>
    <cellStyle name="Normal 3 16 5 2 2" xfId="3939"/>
    <cellStyle name="Normal 3 16 5 2 2 2" xfId="7792"/>
    <cellStyle name="Normal 3 16 5 2 2 2 2" xfId="11326"/>
    <cellStyle name="Normal 3 16 5 2 2 3" xfId="11325"/>
    <cellStyle name="Normal 3 16 5 2 3" xfId="5854"/>
    <cellStyle name="Normal 3 16 5 2 3 2" xfId="11327"/>
    <cellStyle name="Normal 3 16 5 2 4" xfId="11324"/>
    <cellStyle name="Normal 3 16 5 3" xfId="2978"/>
    <cellStyle name="Normal 3 16 5 3 2" xfId="6836"/>
    <cellStyle name="Normal 3 16 5 3 2 2" xfId="11329"/>
    <cellStyle name="Normal 3 16 5 3 3" xfId="11328"/>
    <cellStyle name="Normal 3 16 5 4" xfId="4898"/>
    <cellStyle name="Normal 3 16 5 4 2" xfId="11330"/>
    <cellStyle name="Normal 3 16 5 5" xfId="11323"/>
    <cellStyle name="Normal 3 16 6" xfId="1506"/>
    <cellStyle name="Normal 3 16 6 2" xfId="2473"/>
    <cellStyle name="Normal 3 16 6 2 2" xfId="4418"/>
    <cellStyle name="Normal 3 16 6 2 2 2" xfId="8271"/>
    <cellStyle name="Normal 3 16 6 2 2 2 2" xfId="11334"/>
    <cellStyle name="Normal 3 16 6 2 2 3" xfId="11333"/>
    <cellStyle name="Normal 3 16 6 2 3" xfId="6333"/>
    <cellStyle name="Normal 3 16 6 2 3 2" xfId="11335"/>
    <cellStyle name="Normal 3 16 6 2 4" xfId="11332"/>
    <cellStyle name="Normal 3 16 6 3" xfId="3458"/>
    <cellStyle name="Normal 3 16 6 3 2" xfId="7315"/>
    <cellStyle name="Normal 3 16 6 3 2 2" xfId="11337"/>
    <cellStyle name="Normal 3 16 6 3 3" xfId="11336"/>
    <cellStyle name="Normal 3 16 6 4" xfId="5377"/>
    <cellStyle name="Normal 3 16 6 4 2" xfId="11338"/>
    <cellStyle name="Normal 3 16 6 5" xfId="11331"/>
    <cellStyle name="Normal 3 16 7" xfId="1755"/>
    <cellStyle name="Normal 3 16 7 2" xfId="3701"/>
    <cellStyle name="Normal 3 16 7 2 2" xfId="7554"/>
    <cellStyle name="Normal 3 16 7 2 2 2" xfId="11341"/>
    <cellStyle name="Normal 3 16 7 2 3" xfId="11340"/>
    <cellStyle name="Normal 3 16 7 3" xfId="5616"/>
    <cellStyle name="Normal 3 16 7 3 2" xfId="11342"/>
    <cellStyle name="Normal 3 16 7 4" xfId="11339"/>
    <cellStyle name="Normal 3 16 8" xfId="2739"/>
    <cellStyle name="Normal 3 16 8 2" xfId="6598"/>
    <cellStyle name="Normal 3 16 8 2 2" xfId="11344"/>
    <cellStyle name="Normal 3 16 8 3" xfId="11343"/>
    <cellStyle name="Normal 3 16 9" xfId="4666"/>
    <cellStyle name="Normal 3 16 9 2" xfId="11345"/>
    <cellStyle name="Normal 3 17" xfId="410"/>
    <cellStyle name="Normal 3 17 10" xfId="11346"/>
    <cellStyle name="Normal 3 17 2" xfId="842"/>
    <cellStyle name="Normal 3 17 2 2" xfId="925"/>
    <cellStyle name="Normal 3 17 2 2 2" xfId="1425"/>
    <cellStyle name="Normal 3 17 2 2 2 2" xfId="2396"/>
    <cellStyle name="Normal 3 17 2 2 2 2 2" xfId="4341"/>
    <cellStyle name="Normal 3 17 2 2 2 2 2 2" xfId="8194"/>
    <cellStyle name="Normal 3 17 2 2 2 2 2 2 2" xfId="11352"/>
    <cellStyle name="Normal 3 17 2 2 2 2 2 3" xfId="11351"/>
    <cellStyle name="Normal 3 17 2 2 2 2 3" xfId="6256"/>
    <cellStyle name="Normal 3 17 2 2 2 2 3 2" xfId="11353"/>
    <cellStyle name="Normal 3 17 2 2 2 2 4" xfId="11350"/>
    <cellStyle name="Normal 3 17 2 2 2 3" xfId="3380"/>
    <cellStyle name="Normal 3 17 2 2 2 3 2" xfId="7238"/>
    <cellStyle name="Normal 3 17 2 2 2 3 2 2" xfId="11355"/>
    <cellStyle name="Normal 3 17 2 2 2 3 3" xfId="11354"/>
    <cellStyle name="Normal 3 17 2 2 2 4" xfId="5300"/>
    <cellStyle name="Normal 3 17 2 2 2 4 2" xfId="11356"/>
    <cellStyle name="Normal 3 17 2 2 2 5" xfId="11349"/>
    <cellStyle name="Normal 3 17 2 2 3" xfId="1162"/>
    <cellStyle name="Normal 3 17 2 2 3 2" xfId="2133"/>
    <cellStyle name="Normal 3 17 2 2 3 2 2" xfId="4078"/>
    <cellStyle name="Normal 3 17 2 2 3 2 2 2" xfId="7931"/>
    <cellStyle name="Normal 3 17 2 2 3 2 2 2 2" xfId="11360"/>
    <cellStyle name="Normal 3 17 2 2 3 2 2 3" xfId="11359"/>
    <cellStyle name="Normal 3 17 2 2 3 2 3" xfId="5993"/>
    <cellStyle name="Normal 3 17 2 2 3 2 3 2" xfId="11361"/>
    <cellStyle name="Normal 3 17 2 2 3 2 4" xfId="11358"/>
    <cellStyle name="Normal 3 17 2 2 3 3" xfId="3117"/>
    <cellStyle name="Normal 3 17 2 2 3 3 2" xfId="6975"/>
    <cellStyle name="Normal 3 17 2 2 3 3 2 2" xfId="11363"/>
    <cellStyle name="Normal 3 17 2 2 3 3 3" xfId="11362"/>
    <cellStyle name="Normal 3 17 2 2 3 4" xfId="5037"/>
    <cellStyle name="Normal 3 17 2 2 3 4 2" xfId="11364"/>
    <cellStyle name="Normal 3 17 2 2 3 5" xfId="11357"/>
    <cellStyle name="Normal 3 17 2 2 4" xfId="1686"/>
    <cellStyle name="Normal 3 17 2 2 4 2" xfId="2647"/>
    <cellStyle name="Normal 3 17 2 2 4 2 2" xfId="4592"/>
    <cellStyle name="Normal 3 17 2 2 4 2 2 2" xfId="8445"/>
    <cellStyle name="Normal 3 17 2 2 4 2 2 2 2" xfId="11368"/>
    <cellStyle name="Normal 3 17 2 2 4 2 2 3" xfId="11367"/>
    <cellStyle name="Normal 3 17 2 2 4 2 3" xfId="6507"/>
    <cellStyle name="Normal 3 17 2 2 4 2 3 2" xfId="11369"/>
    <cellStyle name="Normal 3 17 2 2 4 2 4" xfId="11366"/>
    <cellStyle name="Normal 3 17 2 2 4 3" xfId="3633"/>
    <cellStyle name="Normal 3 17 2 2 4 3 2" xfId="7489"/>
    <cellStyle name="Normal 3 17 2 2 4 3 2 2" xfId="11371"/>
    <cellStyle name="Normal 3 17 2 2 4 3 3" xfId="11370"/>
    <cellStyle name="Normal 3 17 2 2 4 4" xfId="5551"/>
    <cellStyle name="Normal 3 17 2 2 4 4 2" xfId="11372"/>
    <cellStyle name="Normal 3 17 2 2 4 5" xfId="11365"/>
    <cellStyle name="Normal 3 17 2 2 5" xfId="1901"/>
    <cellStyle name="Normal 3 17 2 2 5 2" xfId="3846"/>
    <cellStyle name="Normal 3 17 2 2 5 2 2" xfId="7699"/>
    <cellStyle name="Normal 3 17 2 2 5 2 2 2" xfId="11375"/>
    <cellStyle name="Normal 3 17 2 2 5 2 3" xfId="11374"/>
    <cellStyle name="Normal 3 17 2 2 5 3" xfId="5761"/>
    <cellStyle name="Normal 3 17 2 2 5 3 2" xfId="11376"/>
    <cellStyle name="Normal 3 17 2 2 5 4" xfId="11373"/>
    <cellStyle name="Normal 3 17 2 2 6" xfId="2885"/>
    <cellStyle name="Normal 3 17 2 2 6 2" xfId="6743"/>
    <cellStyle name="Normal 3 17 2 2 6 2 2" xfId="11378"/>
    <cellStyle name="Normal 3 17 2 2 6 3" xfId="11377"/>
    <cellStyle name="Normal 3 17 2 2 7" xfId="4805"/>
    <cellStyle name="Normal 3 17 2 2 7 2" xfId="11379"/>
    <cellStyle name="Normal 3 17 2 2 8" xfId="11348"/>
    <cellStyle name="Normal 3 17 2 3" xfId="1324"/>
    <cellStyle name="Normal 3 17 2 3 2" xfId="2295"/>
    <cellStyle name="Normal 3 17 2 3 2 2" xfId="4240"/>
    <cellStyle name="Normal 3 17 2 3 2 2 2" xfId="8093"/>
    <cellStyle name="Normal 3 17 2 3 2 2 2 2" xfId="11383"/>
    <cellStyle name="Normal 3 17 2 3 2 2 3" xfId="11382"/>
    <cellStyle name="Normal 3 17 2 3 2 3" xfId="6155"/>
    <cellStyle name="Normal 3 17 2 3 2 3 2" xfId="11384"/>
    <cellStyle name="Normal 3 17 2 3 2 4" xfId="11381"/>
    <cellStyle name="Normal 3 17 2 3 3" xfId="3279"/>
    <cellStyle name="Normal 3 17 2 3 3 2" xfId="7137"/>
    <cellStyle name="Normal 3 17 2 3 3 2 2" xfId="11386"/>
    <cellStyle name="Normal 3 17 2 3 3 3" xfId="11385"/>
    <cellStyle name="Normal 3 17 2 3 4" xfId="5199"/>
    <cellStyle name="Normal 3 17 2 3 4 2" xfId="11387"/>
    <cellStyle name="Normal 3 17 2 3 5" xfId="11380"/>
    <cellStyle name="Normal 3 17 2 4" xfId="1092"/>
    <cellStyle name="Normal 3 17 2 4 2" xfId="2063"/>
    <cellStyle name="Normal 3 17 2 4 2 2" xfId="4008"/>
    <cellStyle name="Normal 3 17 2 4 2 2 2" xfId="7861"/>
    <cellStyle name="Normal 3 17 2 4 2 2 2 2" xfId="11391"/>
    <cellStyle name="Normal 3 17 2 4 2 2 3" xfId="11390"/>
    <cellStyle name="Normal 3 17 2 4 2 3" xfId="5923"/>
    <cellStyle name="Normal 3 17 2 4 2 3 2" xfId="11392"/>
    <cellStyle name="Normal 3 17 2 4 2 4" xfId="11389"/>
    <cellStyle name="Normal 3 17 2 4 3" xfId="3047"/>
    <cellStyle name="Normal 3 17 2 4 3 2" xfId="6905"/>
    <cellStyle name="Normal 3 17 2 4 3 2 2" xfId="11394"/>
    <cellStyle name="Normal 3 17 2 4 3 3" xfId="11393"/>
    <cellStyle name="Normal 3 17 2 4 4" xfId="4967"/>
    <cellStyle name="Normal 3 17 2 4 4 2" xfId="11395"/>
    <cellStyle name="Normal 3 17 2 4 5" xfId="11388"/>
    <cellStyle name="Normal 3 17 2 5" xfId="1559"/>
    <cellStyle name="Normal 3 17 2 5 2" xfId="2523"/>
    <cellStyle name="Normal 3 17 2 5 2 2" xfId="4468"/>
    <cellStyle name="Normal 3 17 2 5 2 2 2" xfId="8321"/>
    <cellStyle name="Normal 3 17 2 5 2 2 2 2" xfId="11399"/>
    <cellStyle name="Normal 3 17 2 5 2 2 3" xfId="11398"/>
    <cellStyle name="Normal 3 17 2 5 2 3" xfId="6383"/>
    <cellStyle name="Normal 3 17 2 5 2 3 2" xfId="11400"/>
    <cellStyle name="Normal 3 17 2 5 2 4" xfId="11397"/>
    <cellStyle name="Normal 3 17 2 5 3" xfId="3509"/>
    <cellStyle name="Normal 3 17 2 5 3 2" xfId="7365"/>
    <cellStyle name="Normal 3 17 2 5 3 2 2" xfId="11402"/>
    <cellStyle name="Normal 3 17 2 5 3 3" xfId="11401"/>
    <cellStyle name="Normal 3 17 2 5 4" xfId="5427"/>
    <cellStyle name="Normal 3 17 2 5 4 2" xfId="11403"/>
    <cellStyle name="Normal 3 17 2 5 5" xfId="11396"/>
    <cellStyle name="Normal 3 17 2 6" xfId="1824"/>
    <cellStyle name="Normal 3 17 2 6 2" xfId="3770"/>
    <cellStyle name="Normal 3 17 2 6 2 2" xfId="7623"/>
    <cellStyle name="Normal 3 17 2 6 2 2 2" xfId="11406"/>
    <cellStyle name="Normal 3 17 2 6 2 3" xfId="11405"/>
    <cellStyle name="Normal 3 17 2 6 3" xfId="5685"/>
    <cellStyle name="Normal 3 17 2 6 3 2" xfId="11407"/>
    <cellStyle name="Normal 3 17 2 6 4" xfId="11404"/>
    <cellStyle name="Normal 3 17 2 7" xfId="2808"/>
    <cellStyle name="Normal 3 17 2 7 2" xfId="6667"/>
    <cellStyle name="Normal 3 17 2 7 2 2" xfId="11409"/>
    <cellStyle name="Normal 3 17 2 7 3" xfId="11408"/>
    <cellStyle name="Normal 3 17 2 8" xfId="4735"/>
    <cellStyle name="Normal 3 17 2 8 2" xfId="11410"/>
    <cellStyle name="Normal 3 17 2 9" xfId="11347"/>
    <cellStyle name="Normal 3 17 3" xfId="926"/>
    <cellStyle name="Normal 3 17 3 2" xfId="1359"/>
    <cellStyle name="Normal 3 17 3 2 2" xfId="2330"/>
    <cellStyle name="Normal 3 17 3 2 2 2" xfId="4275"/>
    <cellStyle name="Normal 3 17 3 2 2 2 2" xfId="8128"/>
    <cellStyle name="Normal 3 17 3 2 2 2 2 2" xfId="11415"/>
    <cellStyle name="Normal 3 17 3 2 2 2 3" xfId="11414"/>
    <cellStyle name="Normal 3 17 3 2 2 3" xfId="6190"/>
    <cellStyle name="Normal 3 17 3 2 2 3 2" xfId="11416"/>
    <cellStyle name="Normal 3 17 3 2 2 4" xfId="11413"/>
    <cellStyle name="Normal 3 17 3 2 3" xfId="3314"/>
    <cellStyle name="Normal 3 17 3 2 3 2" xfId="7172"/>
    <cellStyle name="Normal 3 17 3 2 3 2 2" xfId="11418"/>
    <cellStyle name="Normal 3 17 3 2 3 3" xfId="11417"/>
    <cellStyle name="Normal 3 17 3 2 4" xfId="5234"/>
    <cellStyle name="Normal 3 17 3 2 4 2" xfId="11419"/>
    <cellStyle name="Normal 3 17 3 2 5" xfId="11412"/>
    <cellStyle name="Normal 3 17 3 3" xfId="1163"/>
    <cellStyle name="Normal 3 17 3 3 2" xfId="2134"/>
    <cellStyle name="Normal 3 17 3 3 2 2" xfId="4079"/>
    <cellStyle name="Normal 3 17 3 3 2 2 2" xfId="7932"/>
    <cellStyle name="Normal 3 17 3 3 2 2 2 2" xfId="11423"/>
    <cellStyle name="Normal 3 17 3 3 2 2 3" xfId="11422"/>
    <cellStyle name="Normal 3 17 3 3 2 3" xfId="5994"/>
    <cellStyle name="Normal 3 17 3 3 2 3 2" xfId="11424"/>
    <cellStyle name="Normal 3 17 3 3 2 4" xfId="11421"/>
    <cellStyle name="Normal 3 17 3 3 3" xfId="3118"/>
    <cellStyle name="Normal 3 17 3 3 3 2" xfId="6976"/>
    <cellStyle name="Normal 3 17 3 3 3 2 2" xfId="11426"/>
    <cellStyle name="Normal 3 17 3 3 3 3" xfId="11425"/>
    <cellStyle name="Normal 3 17 3 3 4" xfId="5038"/>
    <cellStyle name="Normal 3 17 3 3 4 2" xfId="11427"/>
    <cellStyle name="Normal 3 17 3 3 5" xfId="11420"/>
    <cellStyle name="Normal 3 17 3 4" xfId="1620"/>
    <cellStyle name="Normal 3 17 3 4 2" xfId="2581"/>
    <cellStyle name="Normal 3 17 3 4 2 2" xfId="4526"/>
    <cellStyle name="Normal 3 17 3 4 2 2 2" xfId="8379"/>
    <cellStyle name="Normal 3 17 3 4 2 2 2 2" xfId="11431"/>
    <cellStyle name="Normal 3 17 3 4 2 2 3" xfId="11430"/>
    <cellStyle name="Normal 3 17 3 4 2 3" xfId="6441"/>
    <cellStyle name="Normal 3 17 3 4 2 3 2" xfId="11432"/>
    <cellStyle name="Normal 3 17 3 4 2 4" xfId="11429"/>
    <cellStyle name="Normal 3 17 3 4 3" xfId="3567"/>
    <cellStyle name="Normal 3 17 3 4 3 2" xfId="7423"/>
    <cellStyle name="Normal 3 17 3 4 3 2 2" xfId="11434"/>
    <cellStyle name="Normal 3 17 3 4 3 3" xfId="11433"/>
    <cellStyle name="Normal 3 17 3 4 4" xfId="5485"/>
    <cellStyle name="Normal 3 17 3 4 4 2" xfId="11435"/>
    <cellStyle name="Normal 3 17 3 4 5" xfId="11428"/>
    <cellStyle name="Normal 3 17 3 5" xfId="1902"/>
    <cellStyle name="Normal 3 17 3 5 2" xfId="3847"/>
    <cellStyle name="Normal 3 17 3 5 2 2" xfId="7700"/>
    <cellStyle name="Normal 3 17 3 5 2 2 2" xfId="11438"/>
    <cellStyle name="Normal 3 17 3 5 2 3" xfId="11437"/>
    <cellStyle name="Normal 3 17 3 5 3" xfId="5762"/>
    <cellStyle name="Normal 3 17 3 5 3 2" xfId="11439"/>
    <cellStyle name="Normal 3 17 3 5 4" xfId="11436"/>
    <cellStyle name="Normal 3 17 3 6" xfId="2886"/>
    <cellStyle name="Normal 3 17 3 6 2" xfId="6744"/>
    <cellStyle name="Normal 3 17 3 6 2 2" xfId="11441"/>
    <cellStyle name="Normal 3 17 3 6 3" xfId="11440"/>
    <cellStyle name="Normal 3 17 3 7" xfId="4806"/>
    <cellStyle name="Normal 3 17 3 7 2" xfId="11442"/>
    <cellStyle name="Normal 3 17 3 8" xfId="11411"/>
    <cellStyle name="Normal 3 17 4" xfId="1258"/>
    <cellStyle name="Normal 3 17 4 2" xfId="2229"/>
    <cellStyle name="Normal 3 17 4 2 2" xfId="4174"/>
    <cellStyle name="Normal 3 17 4 2 2 2" xfId="8027"/>
    <cellStyle name="Normal 3 17 4 2 2 2 2" xfId="11446"/>
    <cellStyle name="Normal 3 17 4 2 2 3" xfId="11445"/>
    <cellStyle name="Normal 3 17 4 2 3" xfId="6089"/>
    <cellStyle name="Normal 3 17 4 2 3 2" xfId="11447"/>
    <cellStyle name="Normal 3 17 4 2 4" xfId="11444"/>
    <cellStyle name="Normal 3 17 4 3" xfId="3213"/>
    <cellStyle name="Normal 3 17 4 3 2" xfId="7071"/>
    <cellStyle name="Normal 3 17 4 3 2 2" xfId="11449"/>
    <cellStyle name="Normal 3 17 4 3 3" xfId="11448"/>
    <cellStyle name="Normal 3 17 4 4" xfId="5133"/>
    <cellStyle name="Normal 3 17 4 4 2" xfId="11450"/>
    <cellStyle name="Normal 3 17 4 5" xfId="11443"/>
    <cellStyle name="Normal 3 17 5" xfId="1022"/>
    <cellStyle name="Normal 3 17 5 2" xfId="1995"/>
    <cellStyle name="Normal 3 17 5 2 2" xfId="3940"/>
    <cellStyle name="Normal 3 17 5 2 2 2" xfId="7793"/>
    <cellStyle name="Normal 3 17 5 2 2 2 2" xfId="11454"/>
    <cellStyle name="Normal 3 17 5 2 2 3" xfId="11453"/>
    <cellStyle name="Normal 3 17 5 2 3" xfId="5855"/>
    <cellStyle name="Normal 3 17 5 2 3 2" xfId="11455"/>
    <cellStyle name="Normal 3 17 5 2 4" xfId="11452"/>
    <cellStyle name="Normal 3 17 5 3" xfId="2979"/>
    <cellStyle name="Normal 3 17 5 3 2" xfId="6837"/>
    <cellStyle name="Normal 3 17 5 3 2 2" xfId="11457"/>
    <cellStyle name="Normal 3 17 5 3 3" xfId="11456"/>
    <cellStyle name="Normal 3 17 5 4" xfId="4899"/>
    <cellStyle name="Normal 3 17 5 4 2" xfId="11458"/>
    <cellStyle name="Normal 3 17 5 5" xfId="11451"/>
    <cellStyle name="Normal 3 17 6" xfId="1507"/>
    <cellStyle name="Normal 3 17 6 2" xfId="2474"/>
    <cellStyle name="Normal 3 17 6 2 2" xfId="4419"/>
    <cellStyle name="Normal 3 17 6 2 2 2" xfId="8272"/>
    <cellStyle name="Normal 3 17 6 2 2 2 2" xfId="11462"/>
    <cellStyle name="Normal 3 17 6 2 2 3" xfId="11461"/>
    <cellStyle name="Normal 3 17 6 2 3" xfId="6334"/>
    <cellStyle name="Normal 3 17 6 2 3 2" xfId="11463"/>
    <cellStyle name="Normal 3 17 6 2 4" xfId="11460"/>
    <cellStyle name="Normal 3 17 6 3" xfId="3459"/>
    <cellStyle name="Normal 3 17 6 3 2" xfId="7316"/>
    <cellStyle name="Normal 3 17 6 3 2 2" xfId="11465"/>
    <cellStyle name="Normal 3 17 6 3 3" xfId="11464"/>
    <cellStyle name="Normal 3 17 6 4" xfId="5378"/>
    <cellStyle name="Normal 3 17 6 4 2" xfId="11466"/>
    <cellStyle name="Normal 3 17 6 5" xfId="11459"/>
    <cellStyle name="Normal 3 17 7" xfId="1756"/>
    <cellStyle name="Normal 3 17 7 2" xfId="3702"/>
    <cellStyle name="Normal 3 17 7 2 2" xfId="7555"/>
    <cellStyle name="Normal 3 17 7 2 2 2" xfId="11469"/>
    <cellStyle name="Normal 3 17 7 2 3" xfId="11468"/>
    <cellStyle name="Normal 3 17 7 3" xfId="5617"/>
    <cellStyle name="Normal 3 17 7 3 2" xfId="11470"/>
    <cellStyle name="Normal 3 17 7 4" xfId="11467"/>
    <cellStyle name="Normal 3 17 8" xfId="2740"/>
    <cellStyle name="Normal 3 17 8 2" xfId="6599"/>
    <cellStyle name="Normal 3 17 8 2 2" xfId="11472"/>
    <cellStyle name="Normal 3 17 8 3" xfId="11471"/>
    <cellStyle name="Normal 3 17 9" xfId="4667"/>
    <cellStyle name="Normal 3 17 9 2" xfId="11473"/>
    <cellStyle name="Normal 3 18" xfId="562"/>
    <cellStyle name="Normal 3 18 10" xfId="11474"/>
    <cellStyle name="Normal 3 18 2" xfId="843"/>
    <cellStyle name="Normal 3 18 2 2" xfId="927"/>
    <cellStyle name="Normal 3 18 2 2 2" xfId="1426"/>
    <cellStyle name="Normal 3 18 2 2 2 2" xfId="2397"/>
    <cellStyle name="Normal 3 18 2 2 2 2 2" xfId="4342"/>
    <cellStyle name="Normal 3 18 2 2 2 2 2 2" xfId="8195"/>
    <cellStyle name="Normal 3 18 2 2 2 2 2 2 2" xfId="11480"/>
    <cellStyle name="Normal 3 18 2 2 2 2 2 3" xfId="11479"/>
    <cellStyle name="Normal 3 18 2 2 2 2 3" xfId="6257"/>
    <cellStyle name="Normal 3 18 2 2 2 2 3 2" xfId="11481"/>
    <cellStyle name="Normal 3 18 2 2 2 2 4" xfId="11478"/>
    <cellStyle name="Normal 3 18 2 2 2 3" xfId="3381"/>
    <cellStyle name="Normal 3 18 2 2 2 3 2" xfId="7239"/>
    <cellStyle name="Normal 3 18 2 2 2 3 2 2" xfId="11483"/>
    <cellStyle name="Normal 3 18 2 2 2 3 3" xfId="11482"/>
    <cellStyle name="Normal 3 18 2 2 2 4" xfId="5301"/>
    <cellStyle name="Normal 3 18 2 2 2 4 2" xfId="11484"/>
    <cellStyle name="Normal 3 18 2 2 2 5" xfId="11477"/>
    <cellStyle name="Normal 3 18 2 2 3" xfId="1164"/>
    <cellStyle name="Normal 3 18 2 2 3 2" xfId="2135"/>
    <cellStyle name="Normal 3 18 2 2 3 2 2" xfId="4080"/>
    <cellStyle name="Normal 3 18 2 2 3 2 2 2" xfId="7933"/>
    <cellStyle name="Normal 3 18 2 2 3 2 2 2 2" xfId="11488"/>
    <cellStyle name="Normal 3 18 2 2 3 2 2 3" xfId="11487"/>
    <cellStyle name="Normal 3 18 2 2 3 2 3" xfId="5995"/>
    <cellStyle name="Normal 3 18 2 2 3 2 3 2" xfId="11489"/>
    <cellStyle name="Normal 3 18 2 2 3 2 4" xfId="11486"/>
    <cellStyle name="Normal 3 18 2 2 3 3" xfId="3119"/>
    <cellStyle name="Normal 3 18 2 2 3 3 2" xfId="6977"/>
    <cellStyle name="Normal 3 18 2 2 3 3 2 2" xfId="11491"/>
    <cellStyle name="Normal 3 18 2 2 3 3 3" xfId="11490"/>
    <cellStyle name="Normal 3 18 2 2 3 4" xfId="5039"/>
    <cellStyle name="Normal 3 18 2 2 3 4 2" xfId="11492"/>
    <cellStyle name="Normal 3 18 2 2 3 5" xfId="11485"/>
    <cellStyle name="Normal 3 18 2 2 4" xfId="1687"/>
    <cellStyle name="Normal 3 18 2 2 4 2" xfId="2648"/>
    <cellStyle name="Normal 3 18 2 2 4 2 2" xfId="4593"/>
    <cellStyle name="Normal 3 18 2 2 4 2 2 2" xfId="8446"/>
    <cellStyle name="Normal 3 18 2 2 4 2 2 2 2" xfId="11496"/>
    <cellStyle name="Normal 3 18 2 2 4 2 2 3" xfId="11495"/>
    <cellStyle name="Normal 3 18 2 2 4 2 3" xfId="6508"/>
    <cellStyle name="Normal 3 18 2 2 4 2 3 2" xfId="11497"/>
    <cellStyle name="Normal 3 18 2 2 4 2 4" xfId="11494"/>
    <cellStyle name="Normal 3 18 2 2 4 3" xfId="3634"/>
    <cellStyle name="Normal 3 18 2 2 4 3 2" xfId="7490"/>
    <cellStyle name="Normal 3 18 2 2 4 3 2 2" xfId="11499"/>
    <cellStyle name="Normal 3 18 2 2 4 3 3" xfId="11498"/>
    <cellStyle name="Normal 3 18 2 2 4 4" xfId="5552"/>
    <cellStyle name="Normal 3 18 2 2 4 4 2" xfId="11500"/>
    <cellStyle name="Normal 3 18 2 2 4 5" xfId="11493"/>
    <cellStyle name="Normal 3 18 2 2 5" xfId="1903"/>
    <cellStyle name="Normal 3 18 2 2 5 2" xfId="3848"/>
    <cellStyle name="Normal 3 18 2 2 5 2 2" xfId="7701"/>
    <cellStyle name="Normal 3 18 2 2 5 2 2 2" xfId="11503"/>
    <cellStyle name="Normal 3 18 2 2 5 2 3" xfId="11502"/>
    <cellStyle name="Normal 3 18 2 2 5 3" xfId="5763"/>
    <cellStyle name="Normal 3 18 2 2 5 3 2" xfId="11504"/>
    <cellStyle name="Normal 3 18 2 2 5 4" xfId="11501"/>
    <cellStyle name="Normal 3 18 2 2 6" xfId="2887"/>
    <cellStyle name="Normal 3 18 2 2 6 2" xfId="6745"/>
    <cellStyle name="Normal 3 18 2 2 6 2 2" xfId="11506"/>
    <cellStyle name="Normal 3 18 2 2 6 3" xfId="11505"/>
    <cellStyle name="Normal 3 18 2 2 7" xfId="4807"/>
    <cellStyle name="Normal 3 18 2 2 7 2" xfId="11507"/>
    <cellStyle name="Normal 3 18 2 2 8" xfId="11476"/>
    <cellStyle name="Normal 3 18 2 3" xfId="1325"/>
    <cellStyle name="Normal 3 18 2 3 2" xfId="2296"/>
    <cellStyle name="Normal 3 18 2 3 2 2" xfId="4241"/>
    <cellStyle name="Normal 3 18 2 3 2 2 2" xfId="8094"/>
    <cellStyle name="Normal 3 18 2 3 2 2 2 2" xfId="11511"/>
    <cellStyle name="Normal 3 18 2 3 2 2 3" xfId="11510"/>
    <cellStyle name="Normal 3 18 2 3 2 3" xfId="6156"/>
    <cellStyle name="Normal 3 18 2 3 2 3 2" xfId="11512"/>
    <cellStyle name="Normal 3 18 2 3 2 4" xfId="11509"/>
    <cellStyle name="Normal 3 18 2 3 3" xfId="3280"/>
    <cellStyle name="Normal 3 18 2 3 3 2" xfId="7138"/>
    <cellStyle name="Normal 3 18 2 3 3 2 2" xfId="11514"/>
    <cellStyle name="Normal 3 18 2 3 3 3" xfId="11513"/>
    <cellStyle name="Normal 3 18 2 3 4" xfId="5200"/>
    <cellStyle name="Normal 3 18 2 3 4 2" xfId="11515"/>
    <cellStyle name="Normal 3 18 2 3 5" xfId="11508"/>
    <cellStyle name="Normal 3 18 2 4" xfId="1093"/>
    <cellStyle name="Normal 3 18 2 4 2" xfId="2064"/>
    <cellStyle name="Normal 3 18 2 4 2 2" xfId="4009"/>
    <cellStyle name="Normal 3 18 2 4 2 2 2" xfId="7862"/>
    <cellStyle name="Normal 3 18 2 4 2 2 2 2" xfId="11519"/>
    <cellStyle name="Normal 3 18 2 4 2 2 3" xfId="11518"/>
    <cellStyle name="Normal 3 18 2 4 2 3" xfId="5924"/>
    <cellStyle name="Normal 3 18 2 4 2 3 2" xfId="11520"/>
    <cellStyle name="Normal 3 18 2 4 2 4" xfId="11517"/>
    <cellStyle name="Normal 3 18 2 4 3" xfId="3048"/>
    <cellStyle name="Normal 3 18 2 4 3 2" xfId="6906"/>
    <cellStyle name="Normal 3 18 2 4 3 2 2" xfId="11522"/>
    <cellStyle name="Normal 3 18 2 4 3 3" xfId="11521"/>
    <cellStyle name="Normal 3 18 2 4 4" xfId="4968"/>
    <cellStyle name="Normal 3 18 2 4 4 2" xfId="11523"/>
    <cellStyle name="Normal 3 18 2 4 5" xfId="11516"/>
    <cellStyle name="Normal 3 18 2 5" xfId="1574"/>
    <cellStyle name="Normal 3 18 2 5 2" xfId="2536"/>
    <cellStyle name="Normal 3 18 2 5 2 2" xfId="4481"/>
    <cellStyle name="Normal 3 18 2 5 2 2 2" xfId="8334"/>
    <cellStyle name="Normal 3 18 2 5 2 2 2 2" xfId="11527"/>
    <cellStyle name="Normal 3 18 2 5 2 2 3" xfId="11526"/>
    <cellStyle name="Normal 3 18 2 5 2 3" xfId="6396"/>
    <cellStyle name="Normal 3 18 2 5 2 3 2" xfId="11528"/>
    <cellStyle name="Normal 3 18 2 5 2 4" xfId="11525"/>
    <cellStyle name="Normal 3 18 2 5 3" xfId="3522"/>
    <cellStyle name="Normal 3 18 2 5 3 2" xfId="7378"/>
    <cellStyle name="Normal 3 18 2 5 3 2 2" xfId="11530"/>
    <cellStyle name="Normal 3 18 2 5 3 3" xfId="11529"/>
    <cellStyle name="Normal 3 18 2 5 4" xfId="5440"/>
    <cellStyle name="Normal 3 18 2 5 4 2" xfId="11531"/>
    <cellStyle name="Normal 3 18 2 5 5" xfId="11524"/>
    <cellStyle name="Normal 3 18 2 6" xfId="1825"/>
    <cellStyle name="Normal 3 18 2 6 2" xfId="3771"/>
    <cellStyle name="Normal 3 18 2 6 2 2" xfId="7624"/>
    <cellStyle name="Normal 3 18 2 6 2 2 2" xfId="11534"/>
    <cellStyle name="Normal 3 18 2 6 2 3" xfId="11533"/>
    <cellStyle name="Normal 3 18 2 6 3" xfId="5686"/>
    <cellStyle name="Normal 3 18 2 6 3 2" xfId="11535"/>
    <cellStyle name="Normal 3 18 2 6 4" xfId="11532"/>
    <cellStyle name="Normal 3 18 2 7" xfId="2809"/>
    <cellStyle name="Normal 3 18 2 7 2" xfId="6668"/>
    <cellStyle name="Normal 3 18 2 7 2 2" xfId="11537"/>
    <cellStyle name="Normal 3 18 2 7 3" xfId="11536"/>
    <cellStyle name="Normal 3 18 2 8" xfId="4736"/>
    <cellStyle name="Normal 3 18 2 8 2" xfId="11538"/>
    <cellStyle name="Normal 3 18 2 9" xfId="11475"/>
    <cellStyle name="Normal 3 18 3" xfId="928"/>
    <cellStyle name="Normal 3 18 3 2" xfId="1367"/>
    <cellStyle name="Normal 3 18 3 2 2" xfId="2338"/>
    <cellStyle name="Normal 3 18 3 2 2 2" xfId="4283"/>
    <cellStyle name="Normal 3 18 3 2 2 2 2" xfId="8136"/>
    <cellStyle name="Normal 3 18 3 2 2 2 2 2" xfId="11543"/>
    <cellStyle name="Normal 3 18 3 2 2 2 3" xfId="11542"/>
    <cellStyle name="Normal 3 18 3 2 2 3" xfId="6198"/>
    <cellStyle name="Normal 3 18 3 2 2 3 2" xfId="11544"/>
    <cellStyle name="Normal 3 18 3 2 2 4" xfId="11541"/>
    <cellStyle name="Normal 3 18 3 2 3" xfId="3322"/>
    <cellStyle name="Normal 3 18 3 2 3 2" xfId="7180"/>
    <cellStyle name="Normal 3 18 3 2 3 2 2" xfId="11546"/>
    <cellStyle name="Normal 3 18 3 2 3 3" xfId="11545"/>
    <cellStyle name="Normal 3 18 3 2 4" xfId="5242"/>
    <cellStyle name="Normal 3 18 3 2 4 2" xfId="11547"/>
    <cellStyle name="Normal 3 18 3 2 5" xfId="11540"/>
    <cellStyle name="Normal 3 18 3 3" xfId="1165"/>
    <cellStyle name="Normal 3 18 3 3 2" xfId="2136"/>
    <cellStyle name="Normal 3 18 3 3 2 2" xfId="4081"/>
    <cellStyle name="Normal 3 18 3 3 2 2 2" xfId="7934"/>
    <cellStyle name="Normal 3 18 3 3 2 2 2 2" xfId="11551"/>
    <cellStyle name="Normal 3 18 3 3 2 2 3" xfId="11550"/>
    <cellStyle name="Normal 3 18 3 3 2 3" xfId="5996"/>
    <cellStyle name="Normal 3 18 3 3 2 3 2" xfId="11552"/>
    <cellStyle name="Normal 3 18 3 3 2 4" xfId="11549"/>
    <cellStyle name="Normal 3 18 3 3 3" xfId="3120"/>
    <cellStyle name="Normal 3 18 3 3 3 2" xfId="6978"/>
    <cellStyle name="Normal 3 18 3 3 3 2 2" xfId="11554"/>
    <cellStyle name="Normal 3 18 3 3 3 3" xfId="11553"/>
    <cellStyle name="Normal 3 18 3 3 4" xfId="5040"/>
    <cellStyle name="Normal 3 18 3 3 4 2" xfId="11555"/>
    <cellStyle name="Normal 3 18 3 3 5" xfId="11548"/>
    <cellStyle name="Normal 3 18 3 4" xfId="1628"/>
    <cellStyle name="Normal 3 18 3 4 2" xfId="2589"/>
    <cellStyle name="Normal 3 18 3 4 2 2" xfId="4534"/>
    <cellStyle name="Normal 3 18 3 4 2 2 2" xfId="8387"/>
    <cellStyle name="Normal 3 18 3 4 2 2 2 2" xfId="11559"/>
    <cellStyle name="Normal 3 18 3 4 2 2 3" xfId="11558"/>
    <cellStyle name="Normal 3 18 3 4 2 3" xfId="6449"/>
    <cellStyle name="Normal 3 18 3 4 2 3 2" xfId="11560"/>
    <cellStyle name="Normal 3 18 3 4 2 4" xfId="11557"/>
    <cellStyle name="Normal 3 18 3 4 3" xfId="3575"/>
    <cellStyle name="Normal 3 18 3 4 3 2" xfId="7431"/>
    <cellStyle name="Normal 3 18 3 4 3 2 2" xfId="11562"/>
    <cellStyle name="Normal 3 18 3 4 3 3" xfId="11561"/>
    <cellStyle name="Normal 3 18 3 4 4" xfId="5493"/>
    <cellStyle name="Normal 3 18 3 4 4 2" xfId="11563"/>
    <cellStyle name="Normal 3 18 3 4 5" xfId="11556"/>
    <cellStyle name="Normal 3 18 3 5" xfId="1904"/>
    <cellStyle name="Normal 3 18 3 5 2" xfId="3849"/>
    <cellStyle name="Normal 3 18 3 5 2 2" xfId="7702"/>
    <cellStyle name="Normal 3 18 3 5 2 2 2" xfId="11566"/>
    <cellStyle name="Normal 3 18 3 5 2 3" xfId="11565"/>
    <cellStyle name="Normal 3 18 3 5 3" xfId="5764"/>
    <cellStyle name="Normal 3 18 3 5 3 2" xfId="11567"/>
    <cellStyle name="Normal 3 18 3 5 4" xfId="11564"/>
    <cellStyle name="Normal 3 18 3 6" xfId="2888"/>
    <cellStyle name="Normal 3 18 3 6 2" xfId="6746"/>
    <cellStyle name="Normal 3 18 3 6 2 2" xfId="11569"/>
    <cellStyle name="Normal 3 18 3 6 3" xfId="11568"/>
    <cellStyle name="Normal 3 18 3 7" xfId="4808"/>
    <cellStyle name="Normal 3 18 3 7 2" xfId="11570"/>
    <cellStyle name="Normal 3 18 3 8" xfId="11539"/>
    <cellStyle name="Normal 3 18 4" xfId="1265"/>
    <cellStyle name="Normal 3 18 4 2" xfId="2236"/>
    <cellStyle name="Normal 3 18 4 2 2" xfId="4181"/>
    <cellStyle name="Normal 3 18 4 2 2 2" xfId="8034"/>
    <cellStyle name="Normal 3 18 4 2 2 2 2" xfId="11574"/>
    <cellStyle name="Normal 3 18 4 2 2 3" xfId="11573"/>
    <cellStyle name="Normal 3 18 4 2 3" xfId="6096"/>
    <cellStyle name="Normal 3 18 4 2 3 2" xfId="11575"/>
    <cellStyle name="Normal 3 18 4 2 4" xfId="11572"/>
    <cellStyle name="Normal 3 18 4 3" xfId="3220"/>
    <cellStyle name="Normal 3 18 4 3 2" xfId="7078"/>
    <cellStyle name="Normal 3 18 4 3 2 2" xfId="11577"/>
    <cellStyle name="Normal 3 18 4 3 3" xfId="11576"/>
    <cellStyle name="Normal 3 18 4 4" xfId="5140"/>
    <cellStyle name="Normal 3 18 4 4 2" xfId="11578"/>
    <cellStyle name="Normal 3 18 4 5" xfId="11571"/>
    <cellStyle name="Normal 3 18 5" xfId="1032"/>
    <cellStyle name="Normal 3 18 5 2" xfId="2004"/>
    <cellStyle name="Normal 3 18 5 2 2" xfId="3949"/>
    <cellStyle name="Normal 3 18 5 2 2 2" xfId="7802"/>
    <cellStyle name="Normal 3 18 5 2 2 2 2" xfId="11582"/>
    <cellStyle name="Normal 3 18 5 2 2 3" xfId="11581"/>
    <cellStyle name="Normal 3 18 5 2 3" xfId="5864"/>
    <cellStyle name="Normal 3 18 5 2 3 2" xfId="11583"/>
    <cellStyle name="Normal 3 18 5 2 4" xfId="11580"/>
    <cellStyle name="Normal 3 18 5 3" xfId="2988"/>
    <cellStyle name="Normal 3 18 5 3 2" xfId="6846"/>
    <cellStyle name="Normal 3 18 5 3 2 2" xfId="11585"/>
    <cellStyle name="Normal 3 18 5 3 3" xfId="11584"/>
    <cellStyle name="Normal 3 18 5 4" xfId="4908"/>
    <cellStyle name="Normal 3 18 5 4 2" xfId="11586"/>
    <cellStyle name="Normal 3 18 5 5" xfId="11579"/>
    <cellStyle name="Normal 3 18 6" xfId="1523"/>
    <cellStyle name="Normal 3 18 6 2" xfId="2489"/>
    <cellStyle name="Normal 3 18 6 2 2" xfId="4434"/>
    <cellStyle name="Normal 3 18 6 2 2 2" xfId="8287"/>
    <cellStyle name="Normal 3 18 6 2 2 2 2" xfId="11590"/>
    <cellStyle name="Normal 3 18 6 2 2 3" xfId="11589"/>
    <cellStyle name="Normal 3 18 6 2 3" xfId="6349"/>
    <cellStyle name="Normal 3 18 6 2 3 2" xfId="11591"/>
    <cellStyle name="Normal 3 18 6 2 4" xfId="11588"/>
    <cellStyle name="Normal 3 18 6 3" xfId="3475"/>
    <cellStyle name="Normal 3 18 6 3 2" xfId="7331"/>
    <cellStyle name="Normal 3 18 6 3 2 2" xfId="11593"/>
    <cellStyle name="Normal 3 18 6 3 3" xfId="11592"/>
    <cellStyle name="Normal 3 18 6 4" xfId="5393"/>
    <cellStyle name="Normal 3 18 6 4 2" xfId="11594"/>
    <cellStyle name="Normal 3 18 6 5" xfId="11587"/>
    <cellStyle name="Normal 3 18 7" xfId="1765"/>
    <cellStyle name="Normal 3 18 7 2" xfId="3711"/>
    <cellStyle name="Normal 3 18 7 2 2" xfId="7564"/>
    <cellStyle name="Normal 3 18 7 2 2 2" xfId="11597"/>
    <cellStyle name="Normal 3 18 7 2 3" xfId="11596"/>
    <cellStyle name="Normal 3 18 7 3" xfId="5626"/>
    <cellStyle name="Normal 3 18 7 3 2" xfId="11598"/>
    <cellStyle name="Normal 3 18 7 4" xfId="11595"/>
    <cellStyle name="Normal 3 18 8" xfId="2749"/>
    <cellStyle name="Normal 3 18 8 2" xfId="6608"/>
    <cellStyle name="Normal 3 18 8 2 2" xfId="11600"/>
    <cellStyle name="Normal 3 18 8 3" xfId="11599"/>
    <cellStyle name="Normal 3 18 9" xfId="4676"/>
    <cellStyle name="Normal 3 18 9 2" xfId="11601"/>
    <cellStyle name="Normal 3 19" xfId="565"/>
    <cellStyle name="Normal 3 19 10" xfId="11602"/>
    <cellStyle name="Normal 3 19 2" xfId="844"/>
    <cellStyle name="Normal 3 19 2 2" xfId="929"/>
    <cellStyle name="Normal 3 19 2 2 2" xfId="1427"/>
    <cellStyle name="Normal 3 19 2 2 2 2" xfId="2398"/>
    <cellStyle name="Normal 3 19 2 2 2 2 2" xfId="4343"/>
    <cellStyle name="Normal 3 19 2 2 2 2 2 2" xfId="8196"/>
    <cellStyle name="Normal 3 19 2 2 2 2 2 2 2" xfId="11608"/>
    <cellStyle name="Normal 3 19 2 2 2 2 2 3" xfId="11607"/>
    <cellStyle name="Normal 3 19 2 2 2 2 3" xfId="6258"/>
    <cellStyle name="Normal 3 19 2 2 2 2 3 2" xfId="11609"/>
    <cellStyle name="Normal 3 19 2 2 2 2 4" xfId="11606"/>
    <cellStyle name="Normal 3 19 2 2 2 3" xfId="3382"/>
    <cellStyle name="Normal 3 19 2 2 2 3 2" xfId="7240"/>
    <cellStyle name="Normal 3 19 2 2 2 3 2 2" xfId="11611"/>
    <cellStyle name="Normal 3 19 2 2 2 3 3" xfId="11610"/>
    <cellStyle name="Normal 3 19 2 2 2 4" xfId="5302"/>
    <cellStyle name="Normal 3 19 2 2 2 4 2" xfId="11612"/>
    <cellStyle name="Normal 3 19 2 2 2 5" xfId="11605"/>
    <cellStyle name="Normal 3 19 2 2 3" xfId="1166"/>
    <cellStyle name="Normal 3 19 2 2 3 2" xfId="2137"/>
    <cellStyle name="Normal 3 19 2 2 3 2 2" xfId="4082"/>
    <cellStyle name="Normal 3 19 2 2 3 2 2 2" xfId="7935"/>
    <cellStyle name="Normal 3 19 2 2 3 2 2 2 2" xfId="11616"/>
    <cellStyle name="Normal 3 19 2 2 3 2 2 3" xfId="11615"/>
    <cellStyle name="Normal 3 19 2 2 3 2 3" xfId="5997"/>
    <cellStyle name="Normal 3 19 2 2 3 2 3 2" xfId="11617"/>
    <cellStyle name="Normal 3 19 2 2 3 2 4" xfId="11614"/>
    <cellStyle name="Normal 3 19 2 2 3 3" xfId="3121"/>
    <cellStyle name="Normal 3 19 2 2 3 3 2" xfId="6979"/>
    <cellStyle name="Normal 3 19 2 2 3 3 2 2" xfId="11619"/>
    <cellStyle name="Normal 3 19 2 2 3 3 3" xfId="11618"/>
    <cellStyle name="Normal 3 19 2 2 3 4" xfId="5041"/>
    <cellStyle name="Normal 3 19 2 2 3 4 2" xfId="11620"/>
    <cellStyle name="Normal 3 19 2 2 3 5" xfId="11613"/>
    <cellStyle name="Normal 3 19 2 2 4" xfId="1688"/>
    <cellStyle name="Normal 3 19 2 2 4 2" xfId="2649"/>
    <cellStyle name="Normal 3 19 2 2 4 2 2" xfId="4594"/>
    <cellStyle name="Normal 3 19 2 2 4 2 2 2" xfId="8447"/>
    <cellStyle name="Normal 3 19 2 2 4 2 2 2 2" xfId="11624"/>
    <cellStyle name="Normal 3 19 2 2 4 2 2 3" xfId="11623"/>
    <cellStyle name="Normal 3 19 2 2 4 2 3" xfId="6509"/>
    <cellStyle name="Normal 3 19 2 2 4 2 3 2" xfId="11625"/>
    <cellStyle name="Normal 3 19 2 2 4 2 4" xfId="11622"/>
    <cellStyle name="Normal 3 19 2 2 4 3" xfId="3635"/>
    <cellStyle name="Normal 3 19 2 2 4 3 2" xfId="7491"/>
    <cellStyle name="Normal 3 19 2 2 4 3 2 2" xfId="11627"/>
    <cellStyle name="Normal 3 19 2 2 4 3 3" xfId="11626"/>
    <cellStyle name="Normal 3 19 2 2 4 4" xfId="5553"/>
    <cellStyle name="Normal 3 19 2 2 4 4 2" xfId="11628"/>
    <cellStyle name="Normal 3 19 2 2 4 5" xfId="11621"/>
    <cellStyle name="Normal 3 19 2 2 5" xfId="1905"/>
    <cellStyle name="Normal 3 19 2 2 5 2" xfId="3850"/>
    <cellStyle name="Normal 3 19 2 2 5 2 2" xfId="7703"/>
    <cellStyle name="Normal 3 19 2 2 5 2 2 2" xfId="11631"/>
    <cellStyle name="Normal 3 19 2 2 5 2 3" xfId="11630"/>
    <cellStyle name="Normal 3 19 2 2 5 3" xfId="5765"/>
    <cellStyle name="Normal 3 19 2 2 5 3 2" xfId="11632"/>
    <cellStyle name="Normal 3 19 2 2 5 4" xfId="11629"/>
    <cellStyle name="Normal 3 19 2 2 6" xfId="2889"/>
    <cellStyle name="Normal 3 19 2 2 6 2" xfId="6747"/>
    <cellStyle name="Normal 3 19 2 2 6 2 2" xfId="11634"/>
    <cellStyle name="Normal 3 19 2 2 6 3" xfId="11633"/>
    <cellStyle name="Normal 3 19 2 2 7" xfId="4809"/>
    <cellStyle name="Normal 3 19 2 2 7 2" xfId="11635"/>
    <cellStyle name="Normal 3 19 2 2 8" xfId="11604"/>
    <cellStyle name="Normal 3 19 2 3" xfId="1326"/>
    <cellStyle name="Normal 3 19 2 3 2" xfId="2297"/>
    <cellStyle name="Normal 3 19 2 3 2 2" xfId="4242"/>
    <cellStyle name="Normal 3 19 2 3 2 2 2" xfId="8095"/>
    <cellStyle name="Normal 3 19 2 3 2 2 2 2" xfId="11639"/>
    <cellStyle name="Normal 3 19 2 3 2 2 3" xfId="11638"/>
    <cellStyle name="Normal 3 19 2 3 2 3" xfId="6157"/>
    <cellStyle name="Normal 3 19 2 3 2 3 2" xfId="11640"/>
    <cellStyle name="Normal 3 19 2 3 2 4" xfId="11637"/>
    <cellStyle name="Normal 3 19 2 3 3" xfId="3281"/>
    <cellStyle name="Normal 3 19 2 3 3 2" xfId="7139"/>
    <cellStyle name="Normal 3 19 2 3 3 2 2" xfId="11642"/>
    <cellStyle name="Normal 3 19 2 3 3 3" xfId="11641"/>
    <cellStyle name="Normal 3 19 2 3 4" xfId="5201"/>
    <cellStyle name="Normal 3 19 2 3 4 2" xfId="11643"/>
    <cellStyle name="Normal 3 19 2 3 5" xfId="11636"/>
    <cellStyle name="Normal 3 19 2 4" xfId="1094"/>
    <cellStyle name="Normal 3 19 2 4 2" xfId="2065"/>
    <cellStyle name="Normal 3 19 2 4 2 2" xfId="4010"/>
    <cellStyle name="Normal 3 19 2 4 2 2 2" xfId="7863"/>
    <cellStyle name="Normal 3 19 2 4 2 2 2 2" xfId="11647"/>
    <cellStyle name="Normal 3 19 2 4 2 2 3" xfId="11646"/>
    <cellStyle name="Normal 3 19 2 4 2 3" xfId="5925"/>
    <cellStyle name="Normal 3 19 2 4 2 3 2" xfId="11648"/>
    <cellStyle name="Normal 3 19 2 4 2 4" xfId="11645"/>
    <cellStyle name="Normal 3 19 2 4 3" xfId="3049"/>
    <cellStyle name="Normal 3 19 2 4 3 2" xfId="6907"/>
    <cellStyle name="Normal 3 19 2 4 3 2 2" xfId="11650"/>
    <cellStyle name="Normal 3 19 2 4 3 3" xfId="11649"/>
    <cellStyle name="Normal 3 19 2 4 4" xfId="4969"/>
    <cellStyle name="Normal 3 19 2 4 4 2" xfId="11651"/>
    <cellStyle name="Normal 3 19 2 4 5" xfId="11644"/>
    <cellStyle name="Normal 3 19 2 5" xfId="1575"/>
    <cellStyle name="Normal 3 19 2 5 2" xfId="2537"/>
    <cellStyle name="Normal 3 19 2 5 2 2" xfId="4482"/>
    <cellStyle name="Normal 3 19 2 5 2 2 2" xfId="8335"/>
    <cellStyle name="Normal 3 19 2 5 2 2 2 2" xfId="11655"/>
    <cellStyle name="Normal 3 19 2 5 2 2 3" xfId="11654"/>
    <cellStyle name="Normal 3 19 2 5 2 3" xfId="6397"/>
    <cellStyle name="Normal 3 19 2 5 2 3 2" xfId="11656"/>
    <cellStyle name="Normal 3 19 2 5 2 4" xfId="11653"/>
    <cellStyle name="Normal 3 19 2 5 3" xfId="3523"/>
    <cellStyle name="Normal 3 19 2 5 3 2" xfId="7379"/>
    <cellStyle name="Normal 3 19 2 5 3 2 2" xfId="11658"/>
    <cellStyle name="Normal 3 19 2 5 3 3" xfId="11657"/>
    <cellStyle name="Normal 3 19 2 5 4" xfId="5441"/>
    <cellStyle name="Normal 3 19 2 5 4 2" xfId="11659"/>
    <cellStyle name="Normal 3 19 2 5 5" xfId="11652"/>
    <cellStyle name="Normal 3 19 2 6" xfId="1826"/>
    <cellStyle name="Normal 3 19 2 6 2" xfId="3772"/>
    <cellStyle name="Normal 3 19 2 6 2 2" xfId="7625"/>
    <cellStyle name="Normal 3 19 2 6 2 2 2" xfId="11662"/>
    <cellStyle name="Normal 3 19 2 6 2 3" xfId="11661"/>
    <cellStyle name="Normal 3 19 2 6 3" xfId="5687"/>
    <cellStyle name="Normal 3 19 2 6 3 2" xfId="11663"/>
    <cellStyle name="Normal 3 19 2 6 4" xfId="11660"/>
    <cellStyle name="Normal 3 19 2 7" xfId="2810"/>
    <cellStyle name="Normal 3 19 2 7 2" xfId="6669"/>
    <cellStyle name="Normal 3 19 2 7 2 2" xfId="11665"/>
    <cellStyle name="Normal 3 19 2 7 3" xfId="11664"/>
    <cellStyle name="Normal 3 19 2 8" xfId="4737"/>
    <cellStyle name="Normal 3 19 2 8 2" xfId="11666"/>
    <cellStyle name="Normal 3 19 2 9" xfId="11603"/>
    <cellStyle name="Normal 3 19 3" xfId="930"/>
    <cellStyle name="Normal 3 19 3 2" xfId="1368"/>
    <cellStyle name="Normal 3 19 3 2 2" xfId="2339"/>
    <cellStyle name="Normal 3 19 3 2 2 2" xfId="4284"/>
    <cellStyle name="Normal 3 19 3 2 2 2 2" xfId="8137"/>
    <cellStyle name="Normal 3 19 3 2 2 2 2 2" xfId="11671"/>
    <cellStyle name="Normal 3 19 3 2 2 2 3" xfId="11670"/>
    <cellStyle name="Normal 3 19 3 2 2 3" xfId="6199"/>
    <cellStyle name="Normal 3 19 3 2 2 3 2" xfId="11672"/>
    <cellStyle name="Normal 3 19 3 2 2 4" xfId="11669"/>
    <cellStyle name="Normal 3 19 3 2 3" xfId="3323"/>
    <cellStyle name="Normal 3 19 3 2 3 2" xfId="7181"/>
    <cellStyle name="Normal 3 19 3 2 3 2 2" xfId="11674"/>
    <cellStyle name="Normal 3 19 3 2 3 3" xfId="11673"/>
    <cellStyle name="Normal 3 19 3 2 4" xfId="5243"/>
    <cellStyle name="Normal 3 19 3 2 4 2" xfId="11675"/>
    <cellStyle name="Normal 3 19 3 2 5" xfId="11668"/>
    <cellStyle name="Normal 3 19 3 3" xfId="1167"/>
    <cellStyle name="Normal 3 19 3 3 2" xfId="2138"/>
    <cellStyle name="Normal 3 19 3 3 2 2" xfId="4083"/>
    <cellStyle name="Normal 3 19 3 3 2 2 2" xfId="7936"/>
    <cellStyle name="Normal 3 19 3 3 2 2 2 2" xfId="11679"/>
    <cellStyle name="Normal 3 19 3 3 2 2 3" xfId="11678"/>
    <cellStyle name="Normal 3 19 3 3 2 3" xfId="5998"/>
    <cellStyle name="Normal 3 19 3 3 2 3 2" xfId="11680"/>
    <cellStyle name="Normal 3 19 3 3 2 4" xfId="11677"/>
    <cellStyle name="Normal 3 19 3 3 3" xfId="3122"/>
    <cellStyle name="Normal 3 19 3 3 3 2" xfId="6980"/>
    <cellStyle name="Normal 3 19 3 3 3 2 2" xfId="11682"/>
    <cellStyle name="Normal 3 19 3 3 3 3" xfId="11681"/>
    <cellStyle name="Normal 3 19 3 3 4" xfId="5042"/>
    <cellStyle name="Normal 3 19 3 3 4 2" xfId="11683"/>
    <cellStyle name="Normal 3 19 3 3 5" xfId="11676"/>
    <cellStyle name="Normal 3 19 3 4" xfId="1629"/>
    <cellStyle name="Normal 3 19 3 4 2" xfId="2590"/>
    <cellStyle name="Normal 3 19 3 4 2 2" xfId="4535"/>
    <cellStyle name="Normal 3 19 3 4 2 2 2" xfId="8388"/>
    <cellStyle name="Normal 3 19 3 4 2 2 2 2" xfId="11687"/>
    <cellStyle name="Normal 3 19 3 4 2 2 3" xfId="11686"/>
    <cellStyle name="Normal 3 19 3 4 2 3" xfId="6450"/>
    <cellStyle name="Normal 3 19 3 4 2 3 2" xfId="11688"/>
    <cellStyle name="Normal 3 19 3 4 2 4" xfId="11685"/>
    <cellStyle name="Normal 3 19 3 4 3" xfId="3576"/>
    <cellStyle name="Normal 3 19 3 4 3 2" xfId="7432"/>
    <cellStyle name="Normal 3 19 3 4 3 2 2" xfId="11690"/>
    <cellStyle name="Normal 3 19 3 4 3 3" xfId="11689"/>
    <cellStyle name="Normal 3 19 3 4 4" xfId="5494"/>
    <cellStyle name="Normal 3 19 3 4 4 2" xfId="11691"/>
    <cellStyle name="Normal 3 19 3 4 5" xfId="11684"/>
    <cellStyle name="Normal 3 19 3 5" xfId="1906"/>
    <cellStyle name="Normal 3 19 3 5 2" xfId="3851"/>
    <cellStyle name="Normal 3 19 3 5 2 2" xfId="7704"/>
    <cellStyle name="Normal 3 19 3 5 2 2 2" xfId="11694"/>
    <cellStyle name="Normal 3 19 3 5 2 3" xfId="11693"/>
    <cellStyle name="Normal 3 19 3 5 3" xfId="5766"/>
    <cellStyle name="Normal 3 19 3 5 3 2" xfId="11695"/>
    <cellStyle name="Normal 3 19 3 5 4" xfId="11692"/>
    <cellStyle name="Normal 3 19 3 6" xfId="2890"/>
    <cellStyle name="Normal 3 19 3 6 2" xfId="6748"/>
    <cellStyle name="Normal 3 19 3 6 2 2" xfId="11697"/>
    <cellStyle name="Normal 3 19 3 6 3" xfId="11696"/>
    <cellStyle name="Normal 3 19 3 7" xfId="4810"/>
    <cellStyle name="Normal 3 19 3 7 2" xfId="11698"/>
    <cellStyle name="Normal 3 19 3 8" xfId="11667"/>
    <cellStyle name="Normal 3 19 4" xfId="1266"/>
    <cellStyle name="Normal 3 19 4 2" xfId="2237"/>
    <cellStyle name="Normal 3 19 4 2 2" xfId="4182"/>
    <cellStyle name="Normal 3 19 4 2 2 2" xfId="8035"/>
    <cellStyle name="Normal 3 19 4 2 2 2 2" xfId="11702"/>
    <cellStyle name="Normal 3 19 4 2 2 3" xfId="11701"/>
    <cellStyle name="Normal 3 19 4 2 3" xfId="6097"/>
    <cellStyle name="Normal 3 19 4 2 3 2" xfId="11703"/>
    <cellStyle name="Normal 3 19 4 2 4" xfId="11700"/>
    <cellStyle name="Normal 3 19 4 3" xfId="3221"/>
    <cellStyle name="Normal 3 19 4 3 2" xfId="7079"/>
    <cellStyle name="Normal 3 19 4 3 2 2" xfId="11705"/>
    <cellStyle name="Normal 3 19 4 3 3" xfId="11704"/>
    <cellStyle name="Normal 3 19 4 4" xfId="5141"/>
    <cellStyle name="Normal 3 19 4 4 2" xfId="11706"/>
    <cellStyle name="Normal 3 19 4 5" xfId="11699"/>
    <cellStyle name="Normal 3 19 5" xfId="1033"/>
    <cellStyle name="Normal 3 19 5 2" xfId="2005"/>
    <cellStyle name="Normal 3 19 5 2 2" xfId="3950"/>
    <cellStyle name="Normal 3 19 5 2 2 2" xfId="7803"/>
    <cellStyle name="Normal 3 19 5 2 2 2 2" xfId="11710"/>
    <cellStyle name="Normal 3 19 5 2 2 3" xfId="11709"/>
    <cellStyle name="Normal 3 19 5 2 3" xfId="5865"/>
    <cellStyle name="Normal 3 19 5 2 3 2" xfId="11711"/>
    <cellStyle name="Normal 3 19 5 2 4" xfId="11708"/>
    <cellStyle name="Normal 3 19 5 3" xfId="2989"/>
    <cellStyle name="Normal 3 19 5 3 2" xfId="6847"/>
    <cellStyle name="Normal 3 19 5 3 2 2" xfId="11713"/>
    <cellStyle name="Normal 3 19 5 3 3" xfId="11712"/>
    <cellStyle name="Normal 3 19 5 4" xfId="4909"/>
    <cellStyle name="Normal 3 19 5 4 2" xfId="11714"/>
    <cellStyle name="Normal 3 19 5 5" xfId="11707"/>
    <cellStyle name="Normal 3 19 6" xfId="1524"/>
    <cellStyle name="Normal 3 19 6 2" xfId="2490"/>
    <cellStyle name="Normal 3 19 6 2 2" xfId="4435"/>
    <cellStyle name="Normal 3 19 6 2 2 2" xfId="8288"/>
    <cellStyle name="Normal 3 19 6 2 2 2 2" xfId="11718"/>
    <cellStyle name="Normal 3 19 6 2 2 3" xfId="11717"/>
    <cellStyle name="Normal 3 19 6 2 3" xfId="6350"/>
    <cellStyle name="Normal 3 19 6 2 3 2" xfId="11719"/>
    <cellStyle name="Normal 3 19 6 2 4" xfId="11716"/>
    <cellStyle name="Normal 3 19 6 3" xfId="3476"/>
    <cellStyle name="Normal 3 19 6 3 2" xfId="7332"/>
    <cellStyle name="Normal 3 19 6 3 2 2" xfId="11721"/>
    <cellStyle name="Normal 3 19 6 3 3" xfId="11720"/>
    <cellStyle name="Normal 3 19 6 4" xfId="5394"/>
    <cellStyle name="Normal 3 19 6 4 2" xfId="11722"/>
    <cellStyle name="Normal 3 19 6 5" xfId="11715"/>
    <cellStyle name="Normal 3 19 7" xfId="1766"/>
    <cellStyle name="Normal 3 19 7 2" xfId="3712"/>
    <cellStyle name="Normal 3 19 7 2 2" xfId="7565"/>
    <cellStyle name="Normal 3 19 7 2 2 2" xfId="11725"/>
    <cellStyle name="Normal 3 19 7 2 3" xfId="11724"/>
    <cellStyle name="Normal 3 19 7 3" xfId="5627"/>
    <cellStyle name="Normal 3 19 7 3 2" xfId="11726"/>
    <cellStyle name="Normal 3 19 7 4" xfId="11723"/>
    <cellStyle name="Normal 3 19 8" xfId="2750"/>
    <cellStyle name="Normal 3 19 8 2" xfId="6609"/>
    <cellStyle name="Normal 3 19 8 2 2" xfId="11728"/>
    <cellStyle name="Normal 3 19 8 3" xfId="11727"/>
    <cellStyle name="Normal 3 19 9" xfId="4677"/>
    <cellStyle name="Normal 3 19 9 2" xfId="11729"/>
    <cellStyle name="Normal 3 2" xfId="411"/>
    <cellStyle name="Normal 3 2 10" xfId="4668"/>
    <cellStyle name="Normal 3 2 10 2" xfId="11731"/>
    <cellStyle name="Normal 3 2 11" xfId="11730"/>
    <cellStyle name="Normal 3 2 2" xfId="412"/>
    <cellStyle name="Normal 3 2 2 10" xfId="11732"/>
    <cellStyle name="Normal 3 2 2 2" xfId="654"/>
    <cellStyle name="Normal 3 2 2 2 2" xfId="931"/>
    <cellStyle name="Normal 3 2 2 2 2 2" xfId="1399"/>
    <cellStyle name="Normal 3 2 2 2 2 2 2" xfId="2370"/>
    <cellStyle name="Normal 3 2 2 2 2 2 2 2" xfId="4315"/>
    <cellStyle name="Normal 3 2 2 2 2 2 2 2 2" xfId="8168"/>
    <cellStyle name="Normal 3 2 2 2 2 2 2 2 2 2" xfId="11738"/>
    <cellStyle name="Normal 3 2 2 2 2 2 2 2 3" xfId="11737"/>
    <cellStyle name="Normal 3 2 2 2 2 2 2 3" xfId="6230"/>
    <cellStyle name="Normal 3 2 2 2 2 2 2 3 2" xfId="11739"/>
    <cellStyle name="Normal 3 2 2 2 2 2 2 4" xfId="11736"/>
    <cellStyle name="Normal 3 2 2 2 2 2 3" xfId="3354"/>
    <cellStyle name="Normal 3 2 2 2 2 2 3 2" xfId="7212"/>
    <cellStyle name="Normal 3 2 2 2 2 2 3 2 2" xfId="11741"/>
    <cellStyle name="Normal 3 2 2 2 2 2 3 3" xfId="11740"/>
    <cellStyle name="Normal 3 2 2 2 2 2 4" xfId="5274"/>
    <cellStyle name="Normal 3 2 2 2 2 2 4 2" xfId="11742"/>
    <cellStyle name="Normal 3 2 2 2 2 2 5" xfId="11735"/>
    <cellStyle name="Normal 3 2 2 2 2 3" xfId="1168"/>
    <cellStyle name="Normal 3 2 2 2 2 3 2" xfId="2139"/>
    <cellStyle name="Normal 3 2 2 2 2 3 2 2" xfId="4084"/>
    <cellStyle name="Normal 3 2 2 2 2 3 2 2 2" xfId="7937"/>
    <cellStyle name="Normal 3 2 2 2 2 3 2 2 2 2" xfId="11746"/>
    <cellStyle name="Normal 3 2 2 2 2 3 2 2 3" xfId="11745"/>
    <cellStyle name="Normal 3 2 2 2 2 3 2 3" xfId="5999"/>
    <cellStyle name="Normal 3 2 2 2 2 3 2 3 2" xfId="11747"/>
    <cellStyle name="Normal 3 2 2 2 2 3 2 4" xfId="11744"/>
    <cellStyle name="Normal 3 2 2 2 2 3 3" xfId="3123"/>
    <cellStyle name="Normal 3 2 2 2 2 3 3 2" xfId="6981"/>
    <cellStyle name="Normal 3 2 2 2 2 3 3 2 2" xfId="11749"/>
    <cellStyle name="Normal 3 2 2 2 2 3 3 3" xfId="11748"/>
    <cellStyle name="Normal 3 2 2 2 2 3 4" xfId="5043"/>
    <cellStyle name="Normal 3 2 2 2 2 3 4 2" xfId="11750"/>
    <cellStyle name="Normal 3 2 2 2 2 3 5" xfId="11743"/>
    <cellStyle name="Normal 3 2 2 2 2 4" xfId="1660"/>
    <cellStyle name="Normal 3 2 2 2 2 4 2" xfId="2621"/>
    <cellStyle name="Normal 3 2 2 2 2 4 2 2" xfId="4566"/>
    <cellStyle name="Normal 3 2 2 2 2 4 2 2 2" xfId="8419"/>
    <cellStyle name="Normal 3 2 2 2 2 4 2 2 2 2" xfId="11754"/>
    <cellStyle name="Normal 3 2 2 2 2 4 2 2 3" xfId="11753"/>
    <cellStyle name="Normal 3 2 2 2 2 4 2 3" xfId="6481"/>
    <cellStyle name="Normal 3 2 2 2 2 4 2 3 2" xfId="11755"/>
    <cellStyle name="Normal 3 2 2 2 2 4 2 4" xfId="11752"/>
    <cellStyle name="Normal 3 2 2 2 2 4 3" xfId="3607"/>
    <cellStyle name="Normal 3 2 2 2 2 4 3 2" xfId="7463"/>
    <cellStyle name="Normal 3 2 2 2 2 4 3 2 2" xfId="11757"/>
    <cellStyle name="Normal 3 2 2 2 2 4 3 3" xfId="11756"/>
    <cellStyle name="Normal 3 2 2 2 2 4 4" xfId="5525"/>
    <cellStyle name="Normal 3 2 2 2 2 4 4 2" xfId="11758"/>
    <cellStyle name="Normal 3 2 2 2 2 4 5" xfId="11751"/>
    <cellStyle name="Normal 3 2 2 2 2 5" xfId="1907"/>
    <cellStyle name="Normal 3 2 2 2 2 5 2" xfId="3852"/>
    <cellStyle name="Normal 3 2 2 2 2 5 2 2" xfId="7705"/>
    <cellStyle name="Normal 3 2 2 2 2 5 2 2 2" xfId="11761"/>
    <cellStyle name="Normal 3 2 2 2 2 5 2 3" xfId="11760"/>
    <cellStyle name="Normal 3 2 2 2 2 5 3" xfId="5767"/>
    <cellStyle name="Normal 3 2 2 2 2 5 3 2" xfId="11762"/>
    <cellStyle name="Normal 3 2 2 2 2 5 4" xfId="11759"/>
    <cellStyle name="Normal 3 2 2 2 2 6" xfId="2891"/>
    <cellStyle name="Normal 3 2 2 2 2 6 2" xfId="6749"/>
    <cellStyle name="Normal 3 2 2 2 2 6 2 2" xfId="11764"/>
    <cellStyle name="Normal 3 2 2 2 2 6 3" xfId="11763"/>
    <cellStyle name="Normal 3 2 2 2 2 7" xfId="4811"/>
    <cellStyle name="Normal 3 2 2 2 2 7 2" xfId="11765"/>
    <cellStyle name="Normal 3 2 2 2 2 8" xfId="11734"/>
    <cellStyle name="Normal 3 2 2 2 3" xfId="1298"/>
    <cellStyle name="Normal 3 2 2 2 3 2" xfId="2269"/>
    <cellStyle name="Normal 3 2 2 2 3 2 2" xfId="4214"/>
    <cellStyle name="Normal 3 2 2 2 3 2 2 2" xfId="8067"/>
    <cellStyle name="Normal 3 2 2 2 3 2 2 2 2" xfId="11769"/>
    <cellStyle name="Normal 3 2 2 2 3 2 2 3" xfId="11768"/>
    <cellStyle name="Normal 3 2 2 2 3 2 3" xfId="6129"/>
    <cellStyle name="Normal 3 2 2 2 3 2 3 2" xfId="11770"/>
    <cellStyle name="Normal 3 2 2 2 3 2 4" xfId="11767"/>
    <cellStyle name="Normal 3 2 2 2 3 3" xfId="3253"/>
    <cellStyle name="Normal 3 2 2 2 3 3 2" xfId="7111"/>
    <cellStyle name="Normal 3 2 2 2 3 3 2 2" xfId="11772"/>
    <cellStyle name="Normal 3 2 2 2 3 3 3" xfId="11771"/>
    <cellStyle name="Normal 3 2 2 2 3 4" xfId="5173"/>
    <cellStyle name="Normal 3 2 2 2 3 4 2" xfId="11773"/>
    <cellStyle name="Normal 3 2 2 2 3 5" xfId="11766"/>
    <cellStyle name="Normal 3 2 2 2 4" xfId="1066"/>
    <cellStyle name="Normal 3 2 2 2 4 2" xfId="2037"/>
    <cellStyle name="Normal 3 2 2 2 4 2 2" xfId="3982"/>
    <cellStyle name="Normal 3 2 2 2 4 2 2 2" xfId="7835"/>
    <cellStyle name="Normal 3 2 2 2 4 2 2 2 2" xfId="11777"/>
    <cellStyle name="Normal 3 2 2 2 4 2 2 3" xfId="11776"/>
    <cellStyle name="Normal 3 2 2 2 4 2 3" xfId="5897"/>
    <cellStyle name="Normal 3 2 2 2 4 2 3 2" xfId="11778"/>
    <cellStyle name="Normal 3 2 2 2 4 2 4" xfId="11775"/>
    <cellStyle name="Normal 3 2 2 2 4 3" xfId="3021"/>
    <cellStyle name="Normal 3 2 2 2 4 3 2" xfId="6879"/>
    <cellStyle name="Normal 3 2 2 2 4 3 2 2" xfId="11780"/>
    <cellStyle name="Normal 3 2 2 2 4 3 3" xfId="11779"/>
    <cellStyle name="Normal 3 2 2 2 4 4" xfId="4941"/>
    <cellStyle name="Normal 3 2 2 2 4 4 2" xfId="11781"/>
    <cellStyle name="Normal 3 2 2 2 4 5" xfId="11774"/>
    <cellStyle name="Normal 3 2 2 2 5" xfId="1561"/>
    <cellStyle name="Normal 3 2 2 2 5 2" xfId="2525"/>
    <cellStyle name="Normal 3 2 2 2 5 2 2" xfId="4470"/>
    <cellStyle name="Normal 3 2 2 2 5 2 2 2" xfId="8323"/>
    <cellStyle name="Normal 3 2 2 2 5 2 2 2 2" xfId="11785"/>
    <cellStyle name="Normal 3 2 2 2 5 2 2 3" xfId="11784"/>
    <cellStyle name="Normal 3 2 2 2 5 2 3" xfId="6385"/>
    <cellStyle name="Normal 3 2 2 2 5 2 3 2" xfId="11786"/>
    <cellStyle name="Normal 3 2 2 2 5 2 4" xfId="11783"/>
    <cellStyle name="Normal 3 2 2 2 5 3" xfId="3511"/>
    <cellStyle name="Normal 3 2 2 2 5 3 2" xfId="7367"/>
    <cellStyle name="Normal 3 2 2 2 5 3 2 2" xfId="11788"/>
    <cellStyle name="Normal 3 2 2 2 5 3 3" xfId="11787"/>
    <cellStyle name="Normal 3 2 2 2 5 4" xfId="5429"/>
    <cellStyle name="Normal 3 2 2 2 5 4 2" xfId="11789"/>
    <cellStyle name="Normal 3 2 2 2 5 5" xfId="11782"/>
    <cellStyle name="Normal 3 2 2 2 6" xfId="1798"/>
    <cellStyle name="Normal 3 2 2 2 6 2" xfId="3744"/>
    <cellStyle name="Normal 3 2 2 2 6 2 2" xfId="7597"/>
    <cellStyle name="Normal 3 2 2 2 6 2 2 2" xfId="11792"/>
    <cellStyle name="Normal 3 2 2 2 6 2 3" xfId="11791"/>
    <cellStyle name="Normal 3 2 2 2 6 3" xfId="5659"/>
    <cellStyle name="Normal 3 2 2 2 6 3 2" xfId="11793"/>
    <cellStyle name="Normal 3 2 2 2 6 4" xfId="11790"/>
    <cellStyle name="Normal 3 2 2 2 7" xfId="2782"/>
    <cellStyle name="Normal 3 2 2 2 7 2" xfId="6641"/>
    <cellStyle name="Normal 3 2 2 2 7 2 2" xfId="11795"/>
    <cellStyle name="Normal 3 2 2 2 7 3" xfId="11794"/>
    <cellStyle name="Normal 3 2 2 2 8" xfId="4709"/>
    <cellStyle name="Normal 3 2 2 2 8 2" xfId="11796"/>
    <cellStyle name="Normal 3 2 2 2 9" xfId="11733"/>
    <cellStyle name="Normal 3 2 2 3" xfId="932"/>
    <cellStyle name="Normal 3 2 2 3 2" xfId="1361"/>
    <cellStyle name="Normal 3 2 2 3 2 2" xfId="2332"/>
    <cellStyle name="Normal 3 2 2 3 2 2 2" xfId="4277"/>
    <cellStyle name="Normal 3 2 2 3 2 2 2 2" xfId="8130"/>
    <cellStyle name="Normal 3 2 2 3 2 2 2 2 2" xfId="11801"/>
    <cellStyle name="Normal 3 2 2 3 2 2 2 3" xfId="11800"/>
    <cellStyle name="Normal 3 2 2 3 2 2 3" xfId="6192"/>
    <cellStyle name="Normal 3 2 2 3 2 2 3 2" xfId="11802"/>
    <cellStyle name="Normal 3 2 2 3 2 2 4" xfId="11799"/>
    <cellStyle name="Normal 3 2 2 3 2 3" xfId="3316"/>
    <cellStyle name="Normal 3 2 2 3 2 3 2" xfId="7174"/>
    <cellStyle name="Normal 3 2 2 3 2 3 2 2" xfId="11804"/>
    <cellStyle name="Normal 3 2 2 3 2 3 3" xfId="11803"/>
    <cellStyle name="Normal 3 2 2 3 2 4" xfId="5236"/>
    <cellStyle name="Normal 3 2 2 3 2 4 2" xfId="11805"/>
    <cellStyle name="Normal 3 2 2 3 2 5" xfId="11798"/>
    <cellStyle name="Normal 3 2 2 3 3" xfId="1169"/>
    <cellStyle name="Normal 3 2 2 3 3 2" xfId="2140"/>
    <cellStyle name="Normal 3 2 2 3 3 2 2" xfId="4085"/>
    <cellStyle name="Normal 3 2 2 3 3 2 2 2" xfId="7938"/>
    <cellStyle name="Normal 3 2 2 3 3 2 2 2 2" xfId="11809"/>
    <cellStyle name="Normal 3 2 2 3 3 2 2 3" xfId="11808"/>
    <cellStyle name="Normal 3 2 2 3 3 2 3" xfId="6000"/>
    <cellStyle name="Normal 3 2 2 3 3 2 3 2" xfId="11810"/>
    <cellStyle name="Normal 3 2 2 3 3 2 4" xfId="11807"/>
    <cellStyle name="Normal 3 2 2 3 3 3" xfId="3124"/>
    <cellStyle name="Normal 3 2 2 3 3 3 2" xfId="6982"/>
    <cellStyle name="Normal 3 2 2 3 3 3 2 2" xfId="11812"/>
    <cellStyle name="Normal 3 2 2 3 3 3 3" xfId="11811"/>
    <cellStyle name="Normal 3 2 2 3 3 4" xfId="5044"/>
    <cellStyle name="Normal 3 2 2 3 3 4 2" xfId="11813"/>
    <cellStyle name="Normal 3 2 2 3 3 5" xfId="11806"/>
    <cellStyle name="Normal 3 2 2 3 4" xfId="1622"/>
    <cellStyle name="Normal 3 2 2 3 4 2" xfId="2583"/>
    <cellStyle name="Normal 3 2 2 3 4 2 2" xfId="4528"/>
    <cellStyle name="Normal 3 2 2 3 4 2 2 2" xfId="8381"/>
    <cellStyle name="Normal 3 2 2 3 4 2 2 2 2" xfId="11817"/>
    <cellStyle name="Normal 3 2 2 3 4 2 2 3" xfId="11816"/>
    <cellStyle name="Normal 3 2 2 3 4 2 3" xfId="6443"/>
    <cellStyle name="Normal 3 2 2 3 4 2 3 2" xfId="11818"/>
    <cellStyle name="Normal 3 2 2 3 4 2 4" xfId="11815"/>
    <cellStyle name="Normal 3 2 2 3 4 3" xfId="3569"/>
    <cellStyle name="Normal 3 2 2 3 4 3 2" xfId="7425"/>
    <cellStyle name="Normal 3 2 2 3 4 3 2 2" xfId="11820"/>
    <cellStyle name="Normal 3 2 2 3 4 3 3" xfId="11819"/>
    <cellStyle name="Normal 3 2 2 3 4 4" xfId="5487"/>
    <cellStyle name="Normal 3 2 2 3 4 4 2" xfId="11821"/>
    <cellStyle name="Normal 3 2 2 3 4 5" xfId="11814"/>
    <cellStyle name="Normal 3 2 2 3 5" xfId="1908"/>
    <cellStyle name="Normal 3 2 2 3 5 2" xfId="3853"/>
    <cellStyle name="Normal 3 2 2 3 5 2 2" xfId="7706"/>
    <cellStyle name="Normal 3 2 2 3 5 2 2 2" xfId="11824"/>
    <cellStyle name="Normal 3 2 2 3 5 2 3" xfId="11823"/>
    <cellStyle name="Normal 3 2 2 3 5 3" xfId="5768"/>
    <cellStyle name="Normal 3 2 2 3 5 3 2" xfId="11825"/>
    <cellStyle name="Normal 3 2 2 3 5 4" xfId="11822"/>
    <cellStyle name="Normal 3 2 2 3 6" xfId="2892"/>
    <cellStyle name="Normal 3 2 2 3 6 2" xfId="6750"/>
    <cellStyle name="Normal 3 2 2 3 6 2 2" xfId="11827"/>
    <cellStyle name="Normal 3 2 2 3 6 3" xfId="11826"/>
    <cellStyle name="Normal 3 2 2 3 7" xfId="4812"/>
    <cellStyle name="Normal 3 2 2 3 7 2" xfId="11828"/>
    <cellStyle name="Normal 3 2 2 3 8" xfId="11797"/>
    <cellStyle name="Normal 3 2 2 4" xfId="1260"/>
    <cellStyle name="Normal 3 2 2 4 2" xfId="2231"/>
    <cellStyle name="Normal 3 2 2 4 2 2" xfId="4176"/>
    <cellStyle name="Normal 3 2 2 4 2 2 2" xfId="8029"/>
    <cellStyle name="Normal 3 2 2 4 2 2 2 2" xfId="11832"/>
    <cellStyle name="Normal 3 2 2 4 2 2 3" xfId="11831"/>
    <cellStyle name="Normal 3 2 2 4 2 3" xfId="6091"/>
    <cellStyle name="Normal 3 2 2 4 2 3 2" xfId="11833"/>
    <cellStyle name="Normal 3 2 2 4 2 4" xfId="11830"/>
    <cellStyle name="Normal 3 2 2 4 3" xfId="3215"/>
    <cellStyle name="Normal 3 2 2 4 3 2" xfId="7073"/>
    <cellStyle name="Normal 3 2 2 4 3 2 2" xfId="11835"/>
    <cellStyle name="Normal 3 2 2 4 3 3" xfId="11834"/>
    <cellStyle name="Normal 3 2 2 4 4" xfId="5135"/>
    <cellStyle name="Normal 3 2 2 4 4 2" xfId="11836"/>
    <cellStyle name="Normal 3 2 2 4 5" xfId="11829"/>
    <cellStyle name="Normal 3 2 2 5" xfId="1024"/>
    <cellStyle name="Normal 3 2 2 5 2" xfId="1997"/>
    <cellStyle name="Normal 3 2 2 5 2 2" xfId="3942"/>
    <cellStyle name="Normal 3 2 2 5 2 2 2" xfId="7795"/>
    <cellStyle name="Normal 3 2 2 5 2 2 2 2" xfId="11840"/>
    <cellStyle name="Normal 3 2 2 5 2 2 3" xfId="11839"/>
    <cellStyle name="Normal 3 2 2 5 2 3" xfId="5857"/>
    <cellStyle name="Normal 3 2 2 5 2 3 2" xfId="11841"/>
    <cellStyle name="Normal 3 2 2 5 2 4" xfId="11838"/>
    <cellStyle name="Normal 3 2 2 5 3" xfId="2981"/>
    <cellStyle name="Normal 3 2 2 5 3 2" xfId="6839"/>
    <cellStyle name="Normal 3 2 2 5 3 2 2" xfId="11843"/>
    <cellStyle name="Normal 3 2 2 5 3 3" xfId="11842"/>
    <cellStyle name="Normal 3 2 2 5 4" xfId="4901"/>
    <cellStyle name="Normal 3 2 2 5 4 2" xfId="11844"/>
    <cellStyle name="Normal 3 2 2 5 5" xfId="11837"/>
    <cellStyle name="Normal 3 2 2 6" xfId="1509"/>
    <cellStyle name="Normal 3 2 2 6 2" xfId="2476"/>
    <cellStyle name="Normal 3 2 2 6 2 2" xfId="4421"/>
    <cellStyle name="Normal 3 2 2 6 2 2 2" xfId="8274"/>
    <cellStyle name="Normal 3 2 2 6 2 2 2 2" xfId="11848"/>
    <cellStyle name="Normal 3 2 2 6 2 2 3" xfId="11847"/>
    <cellStyle name="Normal 3 2 2 6 2 3" xfId="6336"/>
    <cellStyle name="Normal 3 2 2 6 2 3 2" xfId="11849"/>
    <cellStyle name="Normal 3 2 2 6 2 4" xfId="11846"/>
    <cellStyle name="Normal 3 2 2 6 3" xfId="3461"/>
    <cellStyle name="Normal 3 2 2 6 3 2" xfId="7318"/>
    <cellStyle name="Normal 3 2 2 6 3 2 2" xfId="11851"/>
    <cellStyle name="Normal 3 2 2 6 3 3" xfId="11850"/>
    <cellStyle name="Normal 3 2 2 6 4" xfId="5380"/>
    <cellStyle name="Normal 3 2 2 6 4 2" xfId="11852"/>
    <cellStyle name="Normal 3 2 2 6 5" xfId="11845"/>
    <cellStyle name="Normal 3 2 2 7" xfId="1758"/>
    <cellStyle name="Normal 3 2 2 7 2" xfId="3704"/>
    <cellStyle name="Normal 3 2 2 7 2 2" xfId="7557"/>
    <cellStyle name="Normal 3 2 2 7 2 2 2" xfId="11855"/>
    <cellStyle name="Normal 3 2 2 7 2 3" xfId="11854"/>
    <cellStyle name="Normal 3 2 2 7 3" xfId="5619"/>
    <cellStyle name="Normal 3 2 2 7 3 2" xfId="11856"/>
    <cellStyle name="Normal 3 2 2 7 4" xfId="11853"/>
    <cellStyle name="Normal 3 2 2 8" xfId="2742"/>
    <cellStyle name="Normal 3 2 2 8 2" xfId="6601"/>
    <cellStyle name="Normal 3 2 2 8 2 2" xfId="11858"/>
    <cellStyle name="Normal 3 2 2 8 3" xfId="11857"/>
    <cellStyle name="Normal 3 2 2 9" xfId="4669"/>
    <cellStyle name="Normal 3 2 2 9 2" xfId="11859"/>
    <cellStyle name="Normal 3 2 3" xfId="653"/>
    <cellStyle name="Normal 3 2 3 2" xfId="933"/>
    <cellStyle name="Normal 3 2 3 2 2" xfId="1398"/>
    <cellStyle name="Normal 3 2 3 2 2 2" xfId="2369"/>
    <cellStyle name="Normal 3 2 3 2 2 2 2" xfId="4314"/>
    <cellStyle name="Normal 3 2 3 2 2 2 2 2" xfId="8167"/>
    <cellStyle name="Normal 3 2 3 2 2 2 2 2 2" xfId="11865"/>
    <cellStyle name="Normal 3 2 3 2 2 2 2 3" xfId="11864"/>
    <cellStyle name="Normal 3 2 3 2 2 2 3" xfId="6229"/>
    <cellStyle name="Normal 3 2 3 2 2 2 3 2" xfId="11866"/>
    <cellStyle name="Normal 3 2 3 2 2 2 4" xfId="11863"/>
    <cellStyle name="Normal 3 2 3 2 2 3" xfId="3353"/>
    <cellStyle name="Normal 3 2 3 2 2 3 2" xfId="7211"/>
    <cellStyle name="Normal 3 2 3 2 2 3 2 2" xfId="11868"/>
    <cellStyle name="Normal 3 2 3 2 2 3 3" xfId="11867"/>
    <cellStyle name="Normal 3 2 3 2 2 4" xfId="5273"/>
    <cellStyle name="Normal 3 2 3 2 2 4 2" xfId="11869"/>
    <cellStyle name="Normal 3 2 3 2 2 5" xfId="11862"/>
    <cellStyle name="Normal 3 2 3 2 3" xfId="1170"/>
    <cellStyle name="Normal 3 2 3 2 3 2" xfId="2141"/>
    <cellStyle name="Normal 3 2 3 2 3 2 2" xfId="4086"/>
    <cellStyle name="Normal 3 2 3 2 3 2 2 2" xfId="7939"/>
    <cellStyle name="Normal 3 2 3 2 3 2 2 2 2" xfId="11873"/>
    <cellStyle name="Normal 3 2 3 2 3 2 2 3" xfId="11872"/>
    <cellStyle name="Normal 3 2 3 2 3 2 3" xfId="6001"/>
    <cellStyle name="Normal 3 2 3 2 3 2 3 2" xfId="11874"/>
    <cellStyle name="Normal 3 2 3 2 3 2 4" xfId="11871"/>
    <cellStyle name="Normal 3 2 3 2 3 3" xfId="3125"/>
    <cellStyle name="Normal 3 2 3 2 3 3 2" xfId="6983"/>
    <cellStyle name="Normal 3 2 3 2 3 3 2 2" xfId="11876"/>
    <cellStyle name="Normal 3 2 3 2 3 3 3" xfId="11875"/>
    <cellStyle name="Normal 3 2 3 2 3 4" xfId="5045"/>
    <cellStyle name="Normal 3 2 3 2 3 4 2" xfId="11877"/>
    <cellStyle name="Normal 3 2 3 2 3 5" xfId="11870"/>
    <cellStyle name="Normal 3 2 3 2 4" xfId="1659"/>
    <cellStyle name="Normal 3 2 3 2 4 2" xfId="2620"/>
    <cellStyle name="Normal 3 2 3 2 4 2 2" xfId="4565"/>
    <cellStyle name="Normal 3 2 3 2 4 2 2 2" xfId="8418"/>
    <cellStyle name="Normal 3 2 3 2 4 2 2 2 2" xfId="11881"/>
    <cellStyle name="Normal 3 2 3 2 4 2 2 3" xfId="11880"/>
    <cellStyle name="Normal 3 2 3 2 4 2 3" xfId="6480"/>
    <cellStyle name="Normal 3 2 3 2 4 2 3 2" xfId="11882"/>
    <cellStyle name="Normal 3 2 3 2 4 2 4" xfId="11879"/>
    <cellStyle name="Normal 3 2 3 2 4 3" xfId="3606"/>
    <cellStyle name="Normal 3 2 3 2 4 3 2" xfId="7462"/>
    <cellStyle name="Normal 3 2 3 2 4 3 2 2" xfId="11884"/>
    <cellStyle name="Normal 3 2 3 2 4 3 3" xfId="11883"/>
    <cellStyle name="Normal 3 2 3 2 4 4" xfId="5524"/>
    <cellStyle name="Normal 3 2 3 2 4 4 2" xfId="11885"/>
    <cellStyle name="Normal 3 2 3 2 4 5" xfId="11878"/>
    <cellStyle name="Normal 3 2 3 2 5" xfId="1909"/>
    <cellStyle name="Normal 3 2 3 2 5 2" xfId="3854"/>
    <cellStyle name="Normal 3 2 3 2 5 2 2" xfId="7707"/>
    <cellStyle name="Normal 3 2 3 2 5 2 2 2" xfId="11888"/>
    <cellStyle name="Normal 3 2 3 2 5 2 3" xfId="11887"/>
    <cellStyle name="Normal 3 2 3 2 5 3" xfId="5769"/>
    <cellStyle name="Normal 3 2 3 2 5 3 2" xfId="11889"/>
    <cellStyle name="Normal 3 2 3 2 5 4" xfId="11886"/>
    <cellStyle name="Normal 3 2 3 2 6" xfId="2893"/>
    <cellStyle name="Normal 3 2 3 2 6 2" xfId="6751"/>
    <cellStyle name="Normal 3 2 3 2 6 2 2" xfId="11891"/>
    <cellStyle name="Normal 3 2 3 2 6 3" xfId="11890"/>
    <cellStyle name="Normal 3 2 3 2 7" xfId="4813"/>
    <cellStyle name="Normal 3 2 3 2 7 2" xfId="11892"/>
    <cellStyle name="Normal 3 2 3 2 8" xfId="11861"/>
    <cellStyle name="Normal 3 2 3 3" xfId="1297"/>
    <cellStyle name="Normal 3 2 3 3 2" xfId="2268"/>
    <cellStyle name="Normal 3 2 3 3 2 2" xfId="4213"/>
    <cellStyle name="Normal 3 2 3 3 2 2 2" xfId="8066"/>
    <cellStyle name="Normal 3 2 3 3 2 2 2 2" xfId="11896"/>
    <cellStyle name="Normal 3 2 3 3 2 2 3" xfId="11895"/>
    <cellStyle name="Normal 3 2 3 3 2 3" xfId="6128"/>
    <cellStyle name="Normal 3 2 3 3 2 3 2" xfId="11897"/>
    <cellStyle name="Normal 3 2 3 3 2 4" xfId="11894"/>
    <cellStyle name="Normal 3 2 3 3 3" xfId="3252"/>
    <cellStyle name="Normal 3 2 3 3 3 2" xfId="7110"/>
    <cellStyle name="Normal 3 2 3 3 3 2 2" xfId="11899"/>
    <cellStyle name="Normal 3 2 3 3 3 3" xfId="11898"/>
    <cellStyle name="Normal 3 2 3 3 4" xfId="5172"/>
    <cellStyle name="Normal 3 2 3 3 4 2" xfId="11900"/>
    <cellStyle name="Normal 3 2 3 3 5" xfId="11893"/>
    <cellStyle name="Normal 3 2 3 4" xfId="1065"/>
    <cellStyle name="Normal 3 2 3 4 2" xfId="2036"/>
    <cellStyle name="Normal 3 2 3 4 2 2" xfId="3981"/>
    <cellStyle name="Normal 3 2 3 4 2 2 2" xfId="7834"/>
    <cellStyle name="Normal 3 2 3 4 2 2 2 2" xfId="11904"/>
    <cellStyle name="Normal 3 2 3 4 2 2 3" xfId="11903"/>
    <cellStyle name="Normal 3 2 3 4 2 3" xfId="5896"/>
    <cellStyle name="Normal 3 2 3 4 2 3 2" xfId="11905"/>
    <cellStyle name="Normal 3 2 3 4 2 4" xfId="11902"/>
    <cellStyle name="Normal 3 2 3 4 3" xfId="3020"/>
    <cellStyle name="Normal 3 2 3 4 3 2" xfId="6878"/>
    <cellStyle name="Normal 3 2 3 4 3 2 2" xfId="11907"/>
    <cellStyle name="Normal 3 2 3 4 3 3" xfId="11906"/>
    <cellStyle name="Normal 3 2 3 4 4" xfId="4940"/>
    <cellStyle name="Normal 3 2 3 4 4 2" xfId="11908"/>
    <cellStyle name="Normal 3 2 3 4 5" xfId="11901"/>
    <cellStyle name="Normal 3 2 3 5" xfId="1560"/>
    <cellStyle name="Normal 3 2 3 5 2" xfId="2524"/>
    <cellStyle name="Normal 3 2 3 5 2 2" xfId="4469"/>
    <cellStyle name="Normal 3 2 3 5 2 2 2" xfId="8322"/>
    <cellStyle name="Normal 3 2 3 5 2 2 2 2" xfId="11912"/>
    <cellStyle name="Normal 3 2 3 5 2 2 3" xfId="11911"/>
    <cellStyle name="Normal 3 2 3 5 2 3" xfId="6384"/>
    <cellStyle name="Normal 3 2 3 5 2 3 2" xfId="11913"/>
    <cellStyle name="Normal 3 2 3 5 2 4" xfId="11910"/>
    <cellStyle name="Normal 3 2 3 5 3" xfId="3510"/>
    <cellStyle name="Normal 3 2 3 5 3 2" xfId="7366"/>
    <cellStyle name="Normal 3 2 3 5 3 2 2" xfId="11915"/>
    <cellStyle name="Normal 3 2 3 5 3 3" xfId="11914"/>
    <cellStyle name="Normal 3 2 3 5 4" xfId="5428"/>
    <cellStyle name="Normal 3 2 3 5 4 2" xfId="11916"/>
    <cellStyle name="Normal 3 2 3 5 5" xfId="11909"/>
    <cellStyle name="Normal 3 2 3 6" xfId="1797"/>
    <cellStyle name="Normal 3 2 3 6 2" xfId="3743"/>
    <cellStyle name="Normal 3 2 3 6 2 2" xfId="7596"/>
    <cellStyle name="Normal 3 2 3 6 2 2 2" xfId="11919"/>
    <cellStyle name="Normal 3 2 3 6 2 3" xfId="11918"/>
    <cellStyle name="Normal 3 2 3 6 3" xfId="5658"/>
    <cellStyle name="Normal 3 2 3 6 3 2" xfId="11920"/>
    <cellStyle name="Normal 3 2 3 6 4" xfId="11917"/>
    <cellStyle name="Normal 3 2 3 7" xfId="2781"/>
    <cellStyle name="Normal 3 2 3 7 2" xfId="6640"/>
    <cellStyle name="Normal 3 2 3 7 2 2" xfId="11922"/>
    <cellStyle name="Normal 3 2 3 7 3" xfId="11921"/>
    <cellStyle name="Normal 3 2 3 8" xfId="4708"/>
    <cellStyle name="Normal 3 2 3 8 2" xfId="11923"/>
    <cellStyle name="Normal 3 2 3 9" xfId="11860"/>
    <cellStyle name="Normal 3 2 4" xfId="934"/>
    <cellStyle name="Normal 3 2 4 2" xfId="1360"/>
    <cellStyle name="Normal 3 2 4 2 2" xfId="2331"/>
    <cellStyle name="Normal 3 2 4 2 2 2" xfId="4276"/>
    <cellStyle name="Normal 3 2 4 2 2 2 2" xfId="8129"/>
    <cellStyle name="Normal 3 2 4 2 2 2 2 2" xfId="11928"/>
    <cellStyle name="Normal 3 2 4 2 2 2 3" xfId="11927"/>
    <cellStyle name="Normal 3 2 4 2 2 3" xfId="6191"/>
    <cellStyle name="Normal 3 2 4 2 2 3 2" xfId="11929"/>
    <cellStyle name="Normal 3 2 4 2 2 4" xfId="11926"/>
    <cellStyle name="Normal 3 2 4 2 3" xfId="3315"/>
    <cellStyle name="Normal 3 2 4 2 3 2" xfId="7173"/>
    <cellStyle name="Normal 3 2 4 2 3 2 2" xfId="11931"/>
    <cellStyle name="Normal 3 2 4 2 3 3" xfId="11930"/>
    <cellStyle name="Normal 3 2 4 2 4" xfId="5235"/>
    <cellStyle name="Normal 3 2 4 2 4 2" xfId="11932"/>
    <cellStyle name="Normal 3 2 4 2 5" xfId="11925"/>
    <cellStyle name="Normal 3 2 4 3" xfId="1171"/>
    <cellStyle name="Normal 3 2 4 3 2" xfId="2142"/>
    <cellStyle name="Normal 3 2 4 3 2 2" xfId="4087"/>
    <cellStyle name="Normal 3 2 4 3 2 2 2" xfId="7940"/>
    <cellStyle name="Normal 3 2 4 3 2 2 2 2" xfId="11936"/>
    <cellStyle name="Normal 3 2 4 3 2 2 3" xfId="11935"/>
    <cellStyle name="Normal 3 2 4 3 2 3" xfId="6002"/>
    <cellStyle name="Normal 3 2 4 3 2 3 2" xfId="11937"/>
    <cellStyle name="Normal 3 2 4 3 2 4" xfId="11934"/>
    <cellStyle name="Normal 3 2 4 3 3" xfId="3126"/>
    <cellStyle name="Normal 3 2 4 3 3 2" xfId="6984"/>
    <cellStyle name="Normal 3 2 4 3 3 2 2" xfId="11939"/>
    <cellStyle name="Normal 3 2 4 3 3 3" xfId="11938"/>
    <cellStyle name="Normal 3 2 4 3 4" xfId="5046"/>
    <cellStyle name="Normal 3 2 4 3 4 2" xfId="11940"/>
    <cellStyle name="Normal 3 2 4 3 5" xfId="11933"/>
    <cellStyle name="Normal 3 2 4 4" xfId="1621"/>
    <cellStyle name="Normal 3 2 4 4 2" xfId="2582"/>
    <cellStyle name="Normal 3 2 4 4 2 2" xfId="4527"/>
    <cellStyle name="Normal 3 2 4 4 2 2 2" xfId="8380"/>
    <cellStyle name="Normal 3 2 4 4 2 2 2 2" xfId="11944"/>
    <cellStyle name="Normal 3 2 4 4 2 2 3" xfId="11943"/>
    <cellStyle name="Normal 3 2 4 4 2 3" xfId="6442"/>
    <cellStyle name="Normal 3 2 4 4 2 3 2" xfId="11945"/>
    <cellStyle name="Normal 3 2 4 4 2 4" xfId="11942"/>
    <cellStyle name="Normal 3 2 4 4 3" xfId="3568"/>
    <cellStyle name="Normal 3 2 4 4 3 2" xfId="7424"/>
    <cellStyle name="Normal 3 2 4 4 3 2 2" xfId="11947"/>
    <cellStyle name="Normal 3 2 4 4 3 3" xfId="11946"/>
    <cellStyle name="Normal 3 2 4 4 4" xfId="5486"/>
    <cellStyle name="Normal 3 2 4 4 4 2" xfId="11948"/>
    <cellStyle name="Normal 3 2 4 4 5" xfId="11941"/>
    <cellStyle name="Normal 3 2 4 5" xfId="1910"/>
    <cellStyle name="Normal 3 2 4 5 2" xfId="3855"/>
    <cellStyle name="Normal 3 2 4 5 2 2" xfId="7708"/>
    <cellStyle name="Normal 3 2 4 5 2 2 2" xfId="11951"/>
    <cellStyle name="Normal 3 2 4 5 2 3" xfId="11950"/>
    <cellStyle name="Normal 3 2 4 5 3" xfId="5770"/>
    <cellStyle name="Normal 3 2 4 5 3 2" xfId="11952"/>
    <cellStyle name="Normal 3 2 4 5 4" xfId="11949"/>
    <cellStyle name="Normal 3 2 4 6" xfId="2894"/>
    <cellStyle name="Normal 3 2 4 6 2" xfId="6752"/>
    <cellStyle name="Normal 3 2 4 6 2 2" xfId="11954"/>
    <cellStyle name="Normal 3 2 4 6 3" xfId="11953"/>
    <cellStyle name="Normal 3 2 4 7" xfId="4814"/>
    <cellStyle name="Normal 3 2 4 7 2" xfId="11955"/>
    <cellStyle name="Normal 3 2 4 8" xfId="11924"/>
    <cellStyle name="Normal 3 2 5" xfId="1259"/>
    <cellStyle name="Normal 3 2 5 2" xfId="2230"/>
    <cellStyle name="Normal 3 2 5 2 2" xfId="4175"/>
    <cellStyle name="Normal 3 2 5 2 2 2" xfId="8028"/>
    <cellStyle name="Normal 3 2 5 2 2 2 2" xfId="11959"/>
    <cellStyle name="Normal 3 2 5 2 2 3" xfId="11958"/>
    <cellStyle name="Normal 3 2 5 2 3" xfId="6090"/>
    <cellStyle name="Normal 3 2 5 2 3 2" xfId="11960"/>
    <cellStyle name="Normal 3 2 5 2 4" xfId="11957"/>
    <cellStyle name="Normal 3 2 5 3" xfId="3214"/>
    <cellStyle name="Normal 3 2 5 3 2" xfId="7072"/>
    <cellStyle name="Normal 3 2 5 3 2 2" xfId="11962"/>
    <cellStyle name="Normal 3 2 5 3 3" xfId="11961"/>
    <cellStyle name="Normal 3 2 5 4" xfId="5134"/>
    <cellStyle name="Normal 3 2 5 4 2" xfId="11963"/>
    <cellStyle name="Normal 3 2 5 5" xfId="11956"/>
    <cellStyle name="Normal 3 2 6" xfId="1023"/>
    <cellStyle name="Normal 3 2 6 2" xfId="1996"/>
    <cellStyle name="Normal 3 2 6 2 2" xfId="3941"/>
    <cellStyle name="Normal 3 2 6 2 2 2" xfId="7794"/>
    <cellStyle name="Normal 3 2 6 2 2 2 2" xfId="11967"/>
    <cellStyle name="Normal 3 2 6 2 2 3" xfId="11966"/>
    <cellStyle name="Normal 3 2 6 2 3" xfId="5856"/>
    <cellStyle name="Normal 3 2 6 2 3 2" xfId="11968"/>
    <cellStyle name="Normal 3 2 6 2 4" xfId="11965"/>
    <cellStyle name="Normal 3 2 6 3" xfId="2980"/>
    <cellStyle name="Normal 3 2 6 3 2" xfId="6838"/>
    <cellStyle name="Normal 3 2 6 3 2 2" xfId="11970"/>
    <cellStyle name="Normal 3 2 6 3 3" xfId="11969"/>
    <cellStyle name="Normal 3 2 6 4" xfId="4900"/>
    <cellStyle name="Normal 3 2 6 4 2" xfId="11971"/>
    <cellStyle name="Normal 3 2 6 5" xfId="11964"/>
    <cellStyle name="Normal 3 2 7" xfId="1508"/>
    <cellStyle name="Normal 3 2 7 2" xfId="2475"/>
    <cellStyle name="Normal 3 2 7 2 2" xfId="4420"/>
    <cellStyle name="Normal 3 2 7 2 2 2" xfId="8273"/>
    <cellStyle name="Normal 3 2 7 2 2 2 2" xfId="11975"/>
    <cellStyle name="Normal 3 2 7 2 2 3" xfId="11974"/>
    <cellStyle name="Normal 3 2 7 2 3" xfId="6335"/>
    <cellStyle name="Normal 3 2 7 2 3 2" xfId="11976"/>
    <cellStyle name="Normal 3 2 7 2 4" xfId="11973"/>
    <cellStyle name="Normal 3 2 7 3" xfId="3460"/>
    <cellStyle name="Normal 3 2 7 3 2" xfId="7317"/>
    <cellStyle name="Normal 3 2 7 3 2 2" xfId="11978"/>
    <cellStyle name="Normal 3 2 7 3 3" xfId="11977"/>
    <cellStyle name="Normal 3 2 7 4" xfId="5379"/>
    <cellStyle name="Normal 3 2 7 4 2" xfId="11979"/>
    <cellStyle name="Normal 3 2 7 5" xfId="11972"/>
    <cellStyle name="Normal 3 2 8" xfId="1757"/>
    <cellStyle name="Normal 3 2 8 2" xfId="3703"/>
    <cellStyle name="Normal 3 2 8 2 2" xfId="7556"/>
    <cellStyle name="Normal 3 2 8 2 2 2" xfId="11982"/>
    <cellStyle name="Normal 3 2 8 2 3" xfId="11981"/>
    <cellStyle name="Normal 3 2 8 3" xfId="5618"/>
    <cellStyle name="Normal 3 2 8 3 2" xfId="11983"/>
    <cellStyle name="Normal 3 2 8 4" xfId="11980"/>
    <cellStyle name="Normal 3 2 9" xfId="2741"/>
    <cellStyle name="Normal 3 2 9 2" xfId="6600"/>
    <cellStyle name="Normal 3 2 9 2 2" xfId="11985"/>
    <cellStyle name="Normal 3 2 9 3" xfId="11984"/>
    <cellStyle name="Normal 3 20" xfId="575"/>
    <cellStyle name="Normal 3 20 2" xfId="935"/>
    <cellStyle name="Normal 3 20 2 2" xfId="1370"/>
    <cellStyle name="Normal 3 20 2 2 2" xfId="2341"/>
    <cellStyle name="Normal 3 20 2 2 2 2" xfId="4286"/>
    <cellStyle name="Normal 3 20 2 2 2 2 2" xfId="8139"/>
    <cellStyle name="Normal 3 20 2 2 2 2 2 2" xfId="11991"/>
    <cellStyle name="Normal 3 20 2 2 2 2 3" xfId="11990"/>
    <cellStyle name="Normal 3 20 2 2 2 3" xfId="6201"/>
    <cellStyle name="Normal 3 20 2 2 2 3 2" xfId="11992"/>
    <cellStyle name="Normal 3 20 2 2 2 4" xfId="11989"/>
    <cellStyle name="Normal 3 20 2 2 3" xfId="3325"/>
    <cellStyle name="Normal 3 20 2 2 3 2" xfId="7183"/>
    <cellStyle name="Normal 3 20 2 2 3 2 2" xfId="11994"/>
    <cellStyle name="Normal 3 20 2 2 3 3" xfId="11993"/>
    <cellStyle name="Normal 3 20 2 2 4" xfId="5245"/>
    <cellStyle name="Normal 3 20 2 2 4 2" xfId="11995"/>
    <cellStyle name="Normal 3 20 2 2 5" xfId="11988"/>
    <cellStyle name="Normal 3 20 2 3" xfId="1172"/>
    <cellStyle name="Normal 3 20 2 3 2" xfId="2143"/>
    <cellStyle name="Normal 3 20 2 3 2 2" xfId="4088"/>
    <cellStyle name="Normal 3 20 2 3 2 2 2" xfId="7941"/>
    <cellStyle name="Normal 3 20 2 3 2 2 2 2" xfId="11999"/>
    <cellStyle name="Normal 3 20 2 3 2 2 3" xfId="11998"/>
    <cellStyle name="Normal 3 20 2 3 2 3" xfId="6003"/>
    <cellStyle name="Normal 3 20 2 3 2 3 2" xfId="12000"/>
    <cellStyle name="Normal 3 20 2 3 2 4" xfId="11997"/>
    <cellStyle name="Normal 3 20 2 3 3" xfId="3127"/>
    <cellStyle name="Normal 3 20 2 3 3 2" xfId="6985"/>
    <cellStyle name="Normal 3 20 2 3 3 2 2" xfId="12002"/>
    <cellStyle name="Normal 3 20 2 3 3 3" xfId="12001"/>
    <cellStyle name="Normal 3 20 2 3 4" xfId="5047"/>
    <cellStyle name="Normal 3 20 2 3 4 2" xfId="12003"/>
    <cellStyle name="Normal 3 20 2 3 5" xfId="11996"/>
    <cellStyle name="Normal 3 20 2 4" xfId="1631"/>
    <cellStyle name="Normal 3 20 2 4 2" xfId="2592"/>
    <cellStyle name="Normal 3 20 2 4 2 2" xfId="4537"/>
    <cellStyle name="Normal 3 20 2 4 2 2 2" xfId="8390"/>
    <cellStyle name="Normal 3 20 2 4 2 2 2 2" xfId="12007"/>
    <cellStyle name="Normal 3 20 2 4 2 2 3" xfId="12006"/>
    <cellStyle name="Normal 3 20 2 4 2 3" xfId="6452"/>
    <cellStyle name="Normal 3 20 2 4 2 3 2" xfId="12008"/>
    <cellStyle name="Normal 3 20 2 4 2 4" xfId="12005"/>
    <cellStyle name="Normal 3 20 2 4 3" xfId="3578"/>
    <cellStyle name="Normal 3 20 2 4 3 2" xfId="7434"/>
    <cellStyle name="Normal 3 20 2 4 3 2 2" xfId="12010"/>
    <cellStyle name="Normal 3 20 2 4 3 3" xfId="12009"/>
    <cellStyle name="Normal 3 20 2 4 4" xfId="5496"/>
    <cellStyle name="Normal 3 20 2 4 4 2" xfId="12011"/>
    <cellStyle name="Normal 3 20 2 4 5" xfId="12004"/>
    <cellStyle name="Normal 3 20 2 5" xfId="1911"/>
    <cellStyle name="Normal 3 20 2 5 2" xfId="3856"/>
    <cellStyle name="Normal 3 20 2 5 2 2" xfId="7709"/>
    <cellStyle name="Normal 3 20 2 5 2 2 2" xfId="12014"/>
    <cellStyle name="Normal 3 20 2 5 2 3" xfId="12013"/>
    <cellStyle name="Normal 3 20 2 5 3" xfId="5771"/>
    <cellStyle name="Normal 3 20 2 5 3 2" xfId="12015"/>
    <cellStyle name="Normal 3 20 2 5 4" xfId="12012"/>
    <cellStyle name="Normal 3 20 2 6" xfId="2895"/>
    <cellStyle name="Normal 3 20 2 6 2" xfId="6753"/>
    <cellStyle name="Normal 3 20 2 6 2 2" xfId="12017"/>
    <cellStyle name="Normal 3 20 2 6 3" xfId="12016"/>
    <cellStyle name="Normal 3 20 2 7" xfId="4815"/>
    <cellStyle name="Normal 3 20 2 7 2" xfId="12018"/>
    <cellStyle name="Normal 3 20 2 8" xfId="11987"/>
    <cellStyle name="Normal 3 20 3" xfId="1268"/>
    <cellStyle name="Normal 3 20 3 2" xfId="2239"/>
    <cellStyle name="Normal 3 20 3 2 2" xfId="4184"/>
    <cellStyle name="Normal 3 20 3 2 2 2" xfId="8037"/>
    <cellStyle name="Normal 3 20 3 2 2 2 2" xfId="12022"/>
    <cellStyle name="Normal 3 20 3 2 2 3" xfId="12021"/>
    <cellStyle name="Normal 3 20 3 2 3" xfId="6099"/>
    <cellStyle name="Normal 3 20 3 2 3 2" xfId="12023"/>
    <cellStyle name="Normal 3 20 3 2 4" xfId="12020"/>
    <cellStyle name="Normal 3 20 3 3" xfId="3223"/>
    <cellStyle name="Normal 3 20 3 3 2" xfId="7081"/>
    <cellStyle name="Normal 3 20 3 3 2 2" xfId="12025"/>
    <cellStyle name="Normal 3 20 3 3 3" xfId="12024"/>
    <cellStyle name="Normal 3 20 3 4" xfId="5143"/>
    <cellStyle name="Normal 3 20 3 4 2" xfId="12026"/>
    <cellStyle name="Normal 3 20 3 5" xfId="12019"/>
    <cellStyle name="Normal 3 20 4" xfId="1035"/>
    <cellStyle name="Normal 3 20 4 2" xfId="2007"/>
    <cellStyle name="Normal 3 20 4 2 2" xfId="3952"/>
    <cellStyle name="Normal 3 20 4 2 2 2" xfId="7805"/>
    <cellStyle name="Normal 3 20 4 2 2 2 2" xfId="12030"/>
    <cellStyle name="Normal 3 20 4 2 2 3" xfId="12029"/>
    <cellStyle name="Normal 3 20 4 2 3" xfId="5867"/>
    <cellStyle name="Normal 3 20 4 2 3 2" xfId="12031"/>
    <cellStyle name="Normal 3 20 4 2 4" xfId="12028"/>
    <cellStyle name="Normal 3 20 4 3" xfId="2991"/>
    <cellStyle name="Normal 3 20 4 3 2" xfId="6849"/>
    <cellStyle name="Normal 3 20 4 3 2 2" xfId="12033"/>
    <cellStyle name="Normal 3 20 4 3 3" xfId="12032"/>
    <cellStyle name="Normal 3 20 4 4" xfId="4911"/>
    <cellStyle name="Normal 3 20 4 4 2" xfId="12034"/>
    <cellStyle name="Normal 3 20 4 5" xfId="12027"/>
    <cellStyle name="Normal 3 20 5" xfId="1526"/>
    <cellStyle name="Normal 3 20 5 2" xfId="2492"/>
    <cellStyle name="Normal 3 20 5 2 2" xfId="4437"/>
    <cellStyle name="Normal 3 20 5 2 2 2" xfId="8290"/>
    <cellStyle name="Normal 3 20 5 2 2 2 2" xfId="12038"/>
    <cellStyle name="Normal 3 20 5 2 2 3" xfId="12037"/>
    <cellStyle name="Normal 3 20 5 2 3" xfId="6352"/>
    <cellStyle name="Normal 3 20 5 2 3 2" xfId="12039"/>
    <cellStyle name="Normal 3 20 5 2 4" xfId="12036"/>
    <cellStyle name="Normal 3 20 5 3" xfId="3478"/>
    <cellStyle name="Normal 3 20 5 3 2" xfId="7334"/>
    <cellStyle name="Normal 3 20 5 3 2 2" xfId="12041"/>
    <cellStyle name="Normal 3 20 5 3 3" xfId="12040"/>
    <cellStyle name="Normal 3 20 5 4" xfId="5396"/>
    <cellStyle name="Normal 3 20 5 4 2" xfId="12042"/>
    <cellStyle name="Normal 3 20 5 5" xfId="12035"/>
    <cellStyle name="Normal 3 20 6" xfId="1768"/>
    <cellStyle name="Normal 3 20 6 2" xfId="3714"/>
    <cellStyle name="Normal 3 20 6 2 2" xfId="7567"/>
    <cellStyle name="Normal 3 20 6 2 2 2" xfId="12045"/>
    <cellStyle name="Normal 3 20 6 2 3" xfId="12044"/>
    <cellStyle name="Normal 3 20 6 3" xfId="5629"/>
    <cellStyle name="Normal 3 20 6 3 2" xfId="12046"/>
    <cellStyle name="Normal 3 20 6 4" xfId="12043"/>
    <cellStyle name="Normal 3 20 7" xfId="2752"/>
    <cellStyle name="Normal 3 20 7 2" xfId="6611"/>
    <cellStyle name="Normal 3 20 7 2 2" xfId="12048"/>
    <cellStyle name="Normal 3 20 7 3" xfId="12047"/>
    <cellStyle name="Normal 3 20 8" xfId="4679"/>
    <cellStyle name="Normal 3 20 8 2" xfId="12049"/>
    <cellStyle name="Normal 3 20 9" xfId="11986"/>
    <cellStyle name="Normal 3 21" xfId="577"/>
    <cellStyle name="Normal 3 21 2" xfId="936"/>
    <cellStyle name="Normal 3 21 2 2" xfId="1372"/>
    <cellStyle name="Normal 3 21 2 2 2" xfId="2343"/>
    <cellStyle name="Normal 3 21 2 2 2 2" xfId="4288"/>
    <cellStyle name="Normal 3 21 2 2 2 2 2" xfId="8141"/>
    <cellStyle name="Normal 3 21 2 2 2 2 2 2" xfId="12055"/>
    <cellStyle name="Normal 3 21 2 2 2 2 3" xfId="12054"/>
    <cellStyle name="Normal 3 21 2 2 2 3" xfId="6203"/>
    <cellStyle name="Normal 3 21 2 2 2 3 2" xfId="12056"/>
    <cellStyle name="Normal 3 21 2 2 2 4" xfId="12053"/>
    <cellStyle name="Normal 3 21 2 2 3" xfId="3327"/>
    <cellStyle name="Normal 3 21 2 2 3 2" xfId="7185"/>
    <cellStyle name="Normal 3 21 2 2 3 2 2" xfId="12058"/>
    <cellStyle name="Normal 3 21 2 2 3 3" xfId="12057"/>
    <cellStyle name="Normal 3 21 2 2 4" xfId="5247"/>
    <cellStyle name="Normal 3 21 2 2 4 2" xfId="12059"/>
    <cellStyle name="Normal 3 21 2 2 5" xfId="12052"/>
    <cellStyle name="Normal 3 21 2 3" xfId="1173"/>
    <cellStyle name="Normal 3 21 2 3 2" xfId="2144"/>
    <cellStyle name="Normal 3 21 2 3 2 2" xfId="4089"/>
    <cellStyle name="Normal 3 21 2 3 2 2 2" xfId="7942"/>
    <cellStyle name="Normal 3 21 2 3 2 2 2 2" xfId="12063"/>
    <cellStyle name="Normal 3 21 2 3 2 2 3" xfId="12062"/>
    <cellStyle name="Normal 3 21 2 3 2 3" xfId="6004"/>
    <cellStyle name="Normal 3 21 2 3 2 3 2" xfId="12064"/>
    <cellStyle name="Normal 3 21 2 3 2 4" xfId="12061"/>
    <cellStyle name="Normal 3 21 2 3 3" xfId="3128"/>
    <cellStyle name="Normal 3 21 2 3 3 2" xfId="6986"/>
    <cellStyle name="Normal 3 21 2 3 3 2 2" xfId="12066"/>
    <cellStyle name="Normal 3 21 2 3 3 3" xfId="12065"/>
    <cellStyle name="Normal 3 21 2 3 4" xfId="5048"/>
    <cellStyle name="Normal 3 21 2 3 4 2" xfId="12067"/>
    <cellStyle name="Normal 3 21 2 3 5" xfId="12060"/>
    <cellStyle name="Normal 3 21 2 4" xfId="1633"/>
    <cellStyle name="Normal 3 21 2 4 2" xfId="2594"/>
    <cellStyle name="Normal 3 21 2 4 2 2" xfId="4539"/>
    <cellStyle name="Normal 3 21 2 4 2 2 2" xfId="8392"/>
    <cellStyle name="Normal 3 21 2 4 2 2 2 2" xfId="12071"/>
    <cellStyle name="Normal 3 21 2 4 2 2 3" xfId="12070"/>
    <cellStyle name="Normal 3 21 2 4 2 3" xfId="6454"/>
    <cellStyle name="Normal 3 21 2 4 2 3 2" xfId="12072"/>
    <cellStyle name="Normal 3 21 2 4 2 4" xfId="12069"/>
    <cellStyle name="Normal 3 21 2 4 3" xfId="3580"/>
    <cellStyle name="Normal 3 21 2 4 3 2" xfId="7436"/>
    <cellStyle name="Normal 3 21 2 4 3 2 2" xfId="12074"/>
    <cellStyle name="Normal 3 21 2 4 3 3" xfId="12073"/>
    <cellStyle name="Normal 3 21 2 4 4" xfId="5498"/>
    <cellStyle name="Normal 3 21 2 4 4 2" xfId="12075"/>
    <cellStyle name="Normal 3 21 2 4 5" xfId="12068"/>
    <cellStyle name="Normal 3 21 2 5" xfId="1912"/>
    <cellStyle name="Normal 3 21 2 5 2" xfId="3857"/>
    <cellStyle name="Normal 3 21 2 5 2 2" xfId="7710"/>
    <cellStyle name="Normal 3 21 2 5 2 2 2" xfId="12078"/>
    <cellStyle name="Normal 3 21 2 5 2 3" xfId="12077"/>
    <cellStyle name="Normal 3 21 2 5 3" xfId="5772"/>
    <cellStyle name="Normal 3 21 2 5 3 2" xfId="12079"/>
    <cellStyle name="Normal 3 21 2 5 4" xfId="12076"/>
    <cellStyle name="Normal 3 21 2 6" xfId="2896"/>
    <cellStyle name="Normal 3 21 2 6 2" xfId="6754"/>
    <cellStyle name="Normal 3 21 2 6 2 2" xfId="12081"/>
    <cellStyle name="Normal 3 21 2 6 3" xfId="12080"/>
    <cellStyle name="Normal 3 21 2 7" xfId="4816"/>
    <cellStyle name="Normal 3 21 2 7 2" xfId="12082"/>
    <cellStyle name="Normal 3 21 2 8" xfId="12051"/>
    <cellStyle name="Normal 3 21 3" xfId="1270"/>
    <cellStyle name="Normal 3 21 3 2" xfId="2241"/>
    <cellStyle name="Normal 3 21 3 2 2" xfId="4186"/>
    <cellStyle name="Normal 3 21 3 2 2 2" xfId="8039"/>
    <cellStyle name="Normal 3 21 3 2 2 2 2" xfId="12086"/>
    <cellStyle name="Normal 3 21 3 2 2 3" xfId="12085"/>
    <cellStyle name="Normal 3 21 3 2 3" xfId="6101"/>
    <cellStyle name="Normal 3 21 3 2 3 2" xfId="12087"/>
    <cellStyle name="Normal 3 21 3 2 4" xfId="12084"/>
    <cellStyle name="Normal 3 21 3 3" xfId="3225"/>
    <cellStyle name="Normal 3 21 3 3 2" xfId="7083"/>
    <cellStyle name="Normal 3 21 3 3 2 2" xfId="12089"/>
    <cellStyle name="Normal 3 21 3 3 3" xfId="12088"/>
    <cellStyle name="Normal 3 21 3 4" xfId="5145"/>
    <cellStyle name="Normal 3 21 3 4 2" xfId="12090"/>
    <cellStyle name="Normal 3 21 3 5" xfId="12083"/>
    <cellStyle name="Normal 3 21 4" xfId="1037"/>
    <cellStyle name="Normal 3 21 4 2" xfId="2009"/>
    <cellStyle name="Normal 3 21 4 2 2" xfId="3954"/>
    <cellStyle name="Normal 3 21 4 2 2 2" xfId="7807"/>
    <cellStyle name="Normal 3 21 4 2 2 2 2" xfId="12094"/>
    <cellStyle name="Normal 3 21 4 2 2 3" xfId="12093"/>
    <cellStyle name="Normal 3 21 4 2 3" xfId="5869"/>
    <cellStyle name="Normal 3 21 4 2 3 2" xfId="12095"/>
    <cellStyle name="Normal 3 21 4 2 4" xfId="12092"/>
    <cellStyle name="Normal 3 21 4 3" xfId="2993"/>
    <cellStyle name="Normal 3 21 4 3 2" xfId="6851"/>
    <cellStyle name="Normal 3 21 4 3 2 2" xfId="12097"/>
    <cellStyle name="Normal 3 21 4 3 3" xfId="12096"/>
    <cellStyle name="Normal 3 21 4 4" xfId="4913"/>
    <cellStyle name="Normal 3 21 4 4 2" xfId="12098"/>
    <cellStyle name="Normal 3 21 4 5" xfId="12091"/>
    <cellStyle name="Normal 3 21 5" xfId="1528"/>
    <cellStyle name="Normal 3 21 5 2" xfId="2494"/>
    <cellStyle name="Normal 3 21 5 2 2" xfId="4439"/>
    <cellStyle name="Normal 3 21 5 2 2 2" xfId="8292"/>
    <cellStyle name="Normal 3 21 5 2 2 2 2" xfId="12102"/>
    <cellStyle name="Normal 3 21 5 2 2 3" xfId="12101"/>
    <cellStyle name="Normal 3 21 5 2 3" xfId="6354"/>
    <cellStyle name="Normal 3 21 5 2 3 2" xfId="12103"/>
    <cellStyle name="Normal 3 21 5 2 4" xfId="12100"/>
    <cellStyle name="Normal 3 21 5 3" xfId="3480"/>
    <cellStyle name="Normal 3 21 5 3 2" xfId="7336"/>
    <cellStyle name="Normal 3 21 5 3 2 2" xfId="12105"/>
    <cellStyle name="Normal 3 21 5 3 3" xfId="12104"/>
    <cellStyle name="Normal 3 21 5 4" xfId="5398"/>
    <cellStyle name="Normal 3 21 5 4 2" xfId="12106"/>
    <cellStyle name="Normal 3 21 5 5" xfId="12099"/>
    <cellStyle name="Normal 3 21 6" xfId="1770"/>
    <cellStyle name="Normal 3 21 6 2" xfId="3716"/>
    <cellStyle name="Normal 3 21 6 2 2" xfId="7569"/>
    <cellStyle name="Normal 3 21 6 2 2 2" xfId="12109"/>
    <cellStyle name="Normal 3 21 6 2 3" xfId="12108"/>
    <cellStyle name="Normal 3 21 6 3" xfId="5631"/>
    <cellStyle name="Normal 3 21 6 3 2" xfId="12110"/>
    <cellStyle name="Normal 3 21 6 4" xfId="12107"/>
    <cellStyle name="Normal 3 21 7" xfId="2754"/>
    <cellStyle name="Normal 3 21 7 2" xfId="6613"/>
    <cellStyle name="Normal 3 21 7 2 2" xfId="12112"/>
    <cellStyle name="Normal 3 21 7 3" xfId="12111"/>
    <cellStyle name="Normal 3 21 8" xfId="4681"/>
    <cellStyle name="Normal 3 21 8 2" xfId="12113"/>
    <cellStyle name="Normal 3 21 9" xfId="12050"/>
    <cellStyle name="Normal 3 22" xfId="580"/>
    <cellStyle name="Normal 3 22 2" xfId="937"/>
    <cellStyle name="Normal 3 22 2 2" xfId="1374"/>
    <cellStyle name="Normal 3 22 2 2 2" xfId="2345"/>
    <cellStyle name="Normal 3 22 2 2 2 2" xfId="4290"/>
    <cellStyle name="Normal 3 22 2 2 2 2 2" xfId="8143"/>
    <cellStyle name="Normal 3 22 2 2 2 2 2 2" xfId="12119"/>
    <cellStyle name="Normal 3 22 2 2 2 2 3" xfId="12118"/>
    <cellStyle name="Normal 3 22 2 2 2 3" xfId="6205"/>
    <cellStyle name="Normal 3 22 2 2 2 3 2" xfId="12120"/>
    <cellStyle name="Normal 3 22 2 2 2 4" xfId="12117"/>
    <cellStyle name="Normal 3 22 2 2 3" xfId="3329"/>
    <cellStyle name="Normal 3 22 2 2 3 2" xfId="7187"/>
    <cellStyle name="Normal 3 22 2 2 3 2 2" xfId="12122"/>
    <cellStyle name="Normal 3 22 2 2 3 3" xfId="12121"/>
    <cellStyle name="Normal 3 22 2 2 4" xfId="5249"/>
    <cellStyle name="Normal 3 22 2 2 4 2" xfId="12123"/>
    <cellStyle name="Normal 3 22 2 2 5" xfId="12116"/>
    <cellStyle name="Normal 3 22 2 3" xfId="1174"/>
    <cellStyle name="Normal 3 22 2 3 2" xfId="2145"/>
    <cellStyle name="Normal 3 22 2 3 2 2" xfId="4090"/>
    <cellStyle name="Normal 3 22 2 3 2 2 2" xfId="7943"/>
    <cellStyle name="Normal 3 22 2 3 2 2 2 2" xfId="12127"/>
    <cellStyle name="Normal 3 22 2 3 2 2 3" xfId="12126"/>
    <cellStyle name="Normal 3 22 2 3 2 3" xfId="6005"/>
    <cellStyle name="Normal 3 22 2 3 2 3 2" xfId="12128"/>
    <cellStyle name="Normal 3 22 2 3 2 4" xfId="12125"/>
    <cellStyle name="Normal 3 22 2 3 3" xfId="3129"/>
    <cellStyle name="Normal 3 22 2 3 3 2" xfId="6987"/>
    <cellStyle name="Normal 3 22 2 3 3 2 2" xfId="12130"/>
    <cellStyle name="Normal 3 22 2 3 3 3" xfId="12129"/>
    <cellStyle name="Normal 3 22 2 3 4" xfId="5049"/>
    <cellStyle name="Normal 3 22 2 3 4 2" xfId="12131"/>
    <cellStyle name="Normal 3 22 2 3 5" xfId="12124"/>
    <cellStyle name="Normal 3 22 2 4" xfId="1635"/>
    <cellStyle name="Normal 3 22 2 4 2" xfId="2596"/>
    <cellStyle name="Normal 3 22 2 4 2 2" xfId="4541"/>
    <cellStyle name="Normal 3 22 2 4 2 2 2" xfId="8394"/>
    <cellStyle name="Normal 3 22 2 4 2 2 2 2" xfId="12135"/>
    <cellStyle name="Normal 3 22 2 4 2 2 3" xfId="12134"/>
    <cellStyle name="Normal 3 22 2 4 2 3" xfId="6456"/>
    <cellStyle name="Normal 3 22 2 4 2 3 2" xfId="12136"/>
    <cellStyle name="Normal 3 22 2 4 2 4" xfId="12133"/>
    <cellStyle name="Normal 3 22 2 4 3" xfId="3582"/>
    <cellStyle name="Normal 3 22 2 4 3 2" xfId="7438"/>
    <cellStyle name="Normal 3 22 2 4 3 2 2" xfId="12138"/>
    <cellStyle name="Normal 3 22 2 4 3 3" xfId="12137"/>
    <cellStyle name="Normal 3 22 2 4 4" xfId="5500"/>
    <cellStyle name="Normal 3 22 2 4 4 2" xfId="12139"/>
    <cellStyle name="Normal 3 22 2 4 5" xfId="12132"/>
    <cellStyle name="Normal 3 22 2 5" xfId="1913"/>
    <cellStyle name="Normal 3 22 2 5 2" xfId="3858"/>
    <cellStyle name="Normal 3 22 2 5 2 2" xfId="7711"/>
    <cellStyle name="Normal 3 22 2 5 2 2 2" xfId="12142"/>
    <cellStyle name="Normal 3 22 2 5 2 3" xfId="12141"/>
    <cellStyle name="Normal 3 22 2 5 3" xfId="5773"/>
    <cellStyle name="Normal 3 22 2 5 3 2" xfId="12143"/>
    <cellStyle name="Normal 3 22 2 5 4" xfId="12140"/>
    <cellStyle name="Normal 3 22 2 6" xfId="2897"/>
    <cellStyle name="Normal 3 22 2 6 2" xfId="6755"/>
    <cellStyle name="Normal 3 22 2 6 2 2" xfId="12145"/>
    <cellStyle name="Normal 3 22 2 6 3" xfId="12144"/>
    <cellStyle name="Normal 3 22 2 7" xfId="4817"/>
    <cellStyle name="Normal 3 22 2 7 2" xfId="12146"/>
    <cellStyle name="Normal 3 22 2 8" xfId="12115"/>
    <cellStyle name="Normal 3 22 3" xfId="1272"/>
    <cellStyle name="Normal 3 22 3 2" xfId="2243"/>
    <cellStyle name="Normal 3 22 3 2 2" xfId="4188"/>
    <cellStyle name="Normal 3 22 3 2 2 2" xfId="8041"/>
    <cellStyle name="Normal 3 22 3 2 2 2 2" xfId="12150"/>
    <cellStyle name="Normal 3 22 3 2 2 3" xfId="12149"/>
    <cellStyle name="Normal 3 22 3 2 3" xfId="6103"/>
    <cellStyle name="Normal 3 22 3 2 3 2" xfId="12151"/>
    <cellStyle name="Normal 3 22 3 2 4" xfId="12148"/>
    <cellStyle name="Normal 3 22 3 3" xfId="3227"/>
    <cellStyle name="Normal 3 22 3 3 2" xfId="7085"/>
    <cellStyle name="Normal 3 22 3 3 2 2" xfId="12153"/>
    <cellStyle name="Normal 3 22 3 3 3" xfId="12152"/>
    <cellStyle name="Normal 3 22 3 4" xfId="5147"/>
    <cellStyle name="Normal 3 22 3 4 2" xfId="12154"/>
    <cellStyle name="Normal 3 22 3 5" xfId="12147"/>
    <cellStyle name="Normal 3 22 4" xfId="1039"/>
    <cellStyle name="Normal 3 22 4 2" xfId="2011"/>
    <cellStyle name="Normal 3 22 4 2 2" xfId="3956"/>
    <cellStyle name="Normal 3 22 4 2 2 2" xfId="7809"/>
    <cellStyle name="Normal 3 22 4 2 2 2 2" xfId="12158"/>
    <cellStyle name="Normal 3 22 4 2 2 3" xfId="12157"/>
    <cellStyle name="Normal 3 22 4 2 3" xfId="5871"/>
    <cellStyle name="Normal 3 22 4 2 3 2" xfId="12159"/>
    <cellStyle name="Normal 3 22 4 2 4" xfId="12156"/>
    <cellStyle name="Normal 3 22 4 3" xfId="2995"/>
    <cellStyle name="Normal 3 22 4 3 2" xfId="6853"/>
    <cellStyle name="Normal 3 22 4 3 2 2" xfId="12161"/>
    <cellStyle name="Normal 3 22 4 3 3" xfId="12160"/>
    <cellStyle name="Normal 3 22 4 4" xfId="4915"/>
    <cellStyle name="Normal 3 22 4 4 2" xfId="12162"/>
    <cellStyle name="Normal 3 22 4 5" xfId="12155"/>
    <cellStyle name="Normal 3 22 5" xfId="1530"/>
    <cellStyle name="Normal 3 22 5 2" xfId="2496"/>
    <cellStyle name="Normal 3 22 5 2 2" xfId="4441"/>
    <cellStyle name="Normal 3 22 5 2 2 2" xfId="8294"/>
    <cellStyle name="Normal 3 22 5 2 2 2 2" xfId="12166"/>
    <cellStyle name="Normal 3 22 5 2 2 3" xfId="12165"/>
    <cellStyle name="Normal 3 22 5 2 3" xfId="6356"/>
    <cellStyle name="Normal 3 22 5 2 3 2" xfId="12167"/>
    <cellStyle name="Normal 3 22 5 2 4" xfId="12164"/>
    <cellStyle name="Normal 3 22 5 3" xfId="3482"/>
    <cellStyle name="Normal 3 22 5 3 2" xfId="7338"/>
    <cellStyle name="Normal 3 22 5 3 2 2" xfId="12169"/>
    <cellStyle name="Normal 3 22 5 3 3" xfId="12168"/>
    <cellStyle name="Normal 3 22 5 4" xfId="5400"/>
    <cellStyle name="Normal 3 22 5 4 2" xfId="12170"/>
    <cellStyle name="Normal 3 22 5 5" xfId="12163"/>
    <cellStyle name="Normal 3 22 6" xfId="1772"/>
    <cellStyle name="Normal 3 22 6 2" xfId="3718"/>
    <cellStyle name="Normal 3 22 6 2 2" xfId="7571"/>
    <cellStyle name="Normal 3 22 6 2 2 2" xfId="12173"/>
    <cellStyle name="Normal 3 22 6 2 3" xfId="12172"/>
    <cellStyle name="Normal 3 22 6 3" xfId="5633"/>
    <cellStyle name="Normal 3 22 6 3 2" xfId="12174"/>
    <cellStyle name="Normal 3 22 6 4" xfId="12171"/>
    <cellStyle name="Normal 3 22 7" xfId="2756"/>
    <cellStyle name="Normal 3 22 7 2" xfId="6615"/>
    <cellStyle name="Normal 3 22 7 2 2" xfId="12176"/>
    <cellStyle name="Normal 3 22 7 3" xfId="12175"/>
    <cellStyle name="Normal 3 22 8" xfId="4683"/>
    <cellStyle name="Normal 3 22 8 2" xfId="12177"/>
    <cellStyle name="Normal 3 22 9" xfId="12114"/>
    <cellStyle name="Normal 3 23" xfId="583"/>
    <cellStyle name="Normal 3 23 2" xfId="938"/>
    <cellStyle name="Normal 3 23 2 2" xfId="1377"/>
    <cellStyle name="Normal 3 23 2 2 2" xfId="2348"/>
    <cellStyle name="Normal 3 23 2 2 2 2" xfId="4293"/>
    <cellStyle name="Normal 3 23 2 2 2 2 2" xfId="8146"/>
    <cellStyle name="Normal 3 23 2 2 2 2 2 2" xfId="12183"/>
    <cellStyle name="Normal 3 23 2 2 2 2 3" xfId="12182"/>
    <cellStyle name="Normal 3 23 2 2 2 3" xfId="6208"/>
    <cellStyle name="Normal 3 23 2 2 2 3 2" xfId="12184"/>
    <cellStyle name="Normal 3 23 2 2 2 4" xfId="12181"/>
    <cellStyle name="Normal 3 23 2 2 3" xfId="3332"/>
    <cellStyle name="Normal 3 23 2 2 3 2" xfId="7190"/>
    <cellStyle name="Normal 3 23 2 2 3 2 2" xfId="12186"/>
    <cellStyle name="Normal 3 23 2 2 3 3" xfId="12185"/>
    <cellStyle name="Normal 3 23 2 2 4" xfId="5252"/>
    <cellStyle name="Normal 3 23 2 2 4 2" xfId="12187"/>
    <cellStyle name="Normal 3 23 2 2 5" xfId="12180"/>
    <cellStyle name="Normal 3 23 2 3" xfId="1175"/>
    <cellStyle name="Normal 3 23 2 3 2" xfId="2146"/>
    <cellStyle name="Normal 3 23 2 3 2 2" xfId="4091"/>
    <cellStyle name="Normal 3 23 2 3 2 2 2" xfId="7944"/>
    <cellStyle name="Normal 3 23 2 3 2 2 2 2" xfId="12191"/>
    <cellStyle name="Normal 3 23 2 3 2 2 3" xfId="12190"/>
    <cellStyle name="Normal 3 23 2 3 2 3" xfId="6006"/>
    <cellStyle name="Normal 3 23 2 3 2 3 2" xfId="12192"/>
    <cellStyle name="Normal 3 23 2 3 2 4" xfId="12189"/>
    <cellStyle name="Normal 3 23 2 3 3" xfId="3130"/>
    <cellStyle name="Normal 3 23 2 3 3 2" xfId="6988"/>
    <cellStyle name="Normal 3 23 2 3 3 2 2" xfId="12194"/>
    <cellStyle name="Normal 3 23 2 3 3 3" xfId="12193"/>
    <cellStyle name="Normal 3 23 2 3 4" xfId="5050"/>
    <cellStyle name="Normal 3 23 2 3 4 2" xfId="12195"/>
    <cellStyle name="Normal 3 23 2 3 5" xfId="12188"/>
    <cellStyle name="Normal 3 23 2 4" xfId="1638"/>
    <cellStyle name="Normal 3 23 2 4 2" xfId="2599"/>
    <cellStyle name="Normal 3 23 2 4 2 2" xfId="4544"/>
    <cellStyle name="Normal 3 23 2 4 2 2 2" xfId="8397"/>
    <cellStyle name="Normal 3 23 2 4 2 2 2 2" xfId="12199"/>
    <cellStyle name="Normal 3 23 2 4 2 2 3" xfId="12198"/>
    <cellStyle name="Normal 3 23 2 4 2 3" xfId="6459"/>
    <cellStyle name="Normal 3 23 2 4 2 3 2" xfId="12200"/>
    <cellStyle name="Normal 3 23 2 4 2 4" xfId="12197"/>
    <cellStyle name="Normal 3 23 2 4 3" xfId="3585"/>
    <cellStyle name="Normal 3 23 2 4 3 2" xfId="7441"/>
    <cellStyle name="Normal 3 23 2 4 3 2 2" xfId="12202"/>
    <cellStyle name="Normal 3 23 2 4 3 3" xfId="12201"/>
    <cellStyle name="Normal 3 23 2 4 4" xfId="5503"/>
    <cellStyle name="Normal 3 23 2 4 4 2" xfId="12203"/>
    <cellStyle name="Normal 3 23 2 4 5" xfId="12196"/>
    <cellStyle name="Normal 3 23 2 5" xfId="1914"/>
    <cellStyle name="Normal 3 23 2 5 2" xfId="3859"/>
    <cellStyle name="Normal 3 23 2 5 2 2" xfId="7712"/>
    <cellStyle name="Normal 3 23 2 5 2 2 2" xfId="12206"/>
    <cellStyle name="Normal 3 23 2 5 2 3" xfId="12205"/>
    <cellStyle name="Normal 3 23 2 5 3" xfId="5774"/>
    <cellStyle name="Normal 3 23 2 5 3 2" xfId="12207"/>
    <cellStyle name="Normal 3 23 2 5 4" xfId="12204"/>
    <cellStyle name="Normal 3 23 2 6" xfId="2898"/>
    <cellStyle name="Normal 3 23 2 6 2" xfId="6756"/>
    <cellStyle name="Normal 3 23 2 6 2 2" xfId="12209"/>
    <cellStyle name="Normal 3 23 2 6 3" xfId="12208"/>
    <cellStyle name="Normal 3 23 2 7" xfId="4818"/>
    <cellStyle name="Normal 3 23 2 7 2" xfId="12210"/>
    <cellStyle name="Normal 3 23 2 8" xfId="12179"/>
    <cellStyle name="Normal 3 23 3" xfId="1275"/>
    <cellStyle name="Normal 3 23 3 2" xfId="2246"/>
    <cellStyle name="Normal 3 23 3 2 2" xfId="4191"/>
    <cellStyle name="Normal 3 23 3 2 2 2" xfId="8044"/>
    <cellStyle name="Normal 3 23 3 2 2 2 2" xfId="12214"/>
    <cellStyle name="Normal 3 23 3 2 2 3" xfId="12213"/>
    <cellStyle name="Normal 3 23 3 2 3" xfId="6106"/>
    <cellStyle name="Normal 3 23 3 2 3 2" xfId="12215"/>
    <cellStyle name="Normal 3 23 3 2 4" xfId="12212"/>
    <cellStyle name="Normal 3 23 3 3" xfId="3230"/>
    <cellStyle name="Normal 3 23 3 3 2" xfId="7088"/>
    <cellStyle name="Normal 3 23 3 3 2 2" xfId="12217"/>
    <cellStyle name="Normal 3 23 3 3 3" xfId="12216"/>
    <cellStyle name="Normal 3 23 3 4" xfId="5150"/>
    <cellStyle name="Normal 3 23 3 4 2" xfId="12218"/>
    <cellStyle name="Normal 3 23 3 5" xfId="12211"/>
    <cellStyle name="Normal 3 23 4" xfId="1042"/>
    <cellStyle name="Normal 3 23 4 2" xfId="2014"/>
    <cellStyle name="Normal 3 23 4 2 2" xfId="3959"/>
    <cellStyle name="Normal 3 23 4 2 2 2" xfId="7812"/>
    <cellStyle name="Normal 3 23 4 2 2 2 2" xfId="12222"/>
    <cellStyle name="Normal 3 23 4 2 2 3" xfId="12221"/>
    <cellStyle name="Normal 3 23 4 2 3" xfId="5874"/>
    <cellStyle name="Normal 3 23 4 2 3 2" xfId="12223"/>
    <cellStyle name="Normal 3 23 4 2 4" xfId="12220"/>
    <cellStyle name="Normal 3 23 4 3" xfId="2998"/>
    <cellStyle name="Normal 3 23 4 3 2" xfId="6856"/>
    <cellStyle name="Normal 3 23 4 3 2 2" xfId="12225"/>
    <cellStyle name="Normal 3 23 4 3 3" xfId="12224"/>
    <cellStyle name="Normal 3 23 4 4" xfId="4918"/>
    <cellStyle name="Normal 3 23 4 4 2" xfId="12226"/>
    <cellStyle name="Normal 3 23 4 5" xfId="12219"/>
    <cellStyle name="Normal 3 23 5" xfId="1533"/>
    <cellStyle name="Normal 3 23 5 2" xfId="2499"/>
    <cellStyle name="Normal 3 23 5 2 2" xfId="4444"/>
    <cellStyle name="Normal 3 23 5 2 2 2" xfId="8297"/>
    <cellStyle name="Normal 3 23 5 2 2 2 2" xfId="12230"/>
    <cellStyle name="Normal 3 23 5 2 2 3" xfId="12229"/>
    <cellStyle name="Normal 3 23 5 2 3" xfId="6359"/>
    <cellStyle name="Normal 3 23 5 2 3 2" xfId="12231"/>
    <cellStyle name="Normal 3 23 5 2 4" xfId="12228"/>
    <cellStyle name="Normal 3 23 5 3" xfId="3485"/>
    <cellStyle name="Normal 3 23 5 3 2" xfId="7341"/>
    <cellStyle name="Normal 3 23 5 3 2 2" xfId="12233"/>
    <cellStyle name="Normal 3 23 5 3 3" xfId="12232"/>
    <cellStyle name="Normal 3 23 5 4" xfId="5403"/>
    <cellStyle name="Normal 3 23 5 4 2" xfId="12234"/>
    <cellStyle name="Normal 3 23 5 5" xfId="12227"/>
    <cellStyle name="Normal 3 23 6" xfId="1775"/>
    <cellStyle name="Normal 3 23 6 2" xfId="3721"/>
    <cellStyle name="Normal 3 23 6 2 2" xfId="7574"/>
    <cellStyle name="Normal 3 23 6 2 2 2" xfId="12237"/>
    <cellStyle name="Normal 3 23 6 2 3" xfId="12236"/>
    <cellStyle name="Normal 3 23 6 3" xfId="5636"/>
    <cellStyle name="Normal 3 23 6 3 2" xfId="12238"/>
    <cellStyle name="Normal 3 23 6 4" xfId="12235"/>
    <cellStyle name="Normal 3 23 7" xfId="2759"/>
    <cellStyle name="Normal 3 23 7 2" xfId="6618"/>
    <cellStyle name="Normal 3 23 7 2 2" xfId="12240"/>
    <cellStyle name="Normal 3 23 7 3" xfId="12239"/>
    <cellStyle name="Normal 3 23 8" xfId="4686"/>
    <cellStyle name="Normal 3 23 8 2" xfId="12241"/>
    <cellStyle name="Normal 3 23 9" xfId="12178"/>
    <cellStyle name="Normal 3 24" xfId="584"/>
    <cellStyle name="Normal 3 24 2" xfId="939"/>
    <cellStyle name="Normal 3 24 2 2" xfId="1378"/>
    <cellStyle name="Normal 3 24 2 2 2" xfId="2349"/>
    <cellStyle name="Normal 3 24 2 2 2 2" xfId="4294"/>
    <cellStyle name="Normal 3 24 2 2 2 2 2" xfId="8147"/>
    <cellStyle name="Normal 3 24 2 2 2 2 2 2" xfId="12247"/>
    <cellStyle name="Normal 3 24 2 2 2 2 3" xfId="12246"/>
    <cellStyle name="Normal 3 24 2 2 2 3" xfId="6209"/>
    <cellStyle name="Normal 3 24 2 2 2 3 2" xfId="12248"/>
    <cellStyle name="Normal 3 24 2 2 2 4" xfId="12245"/>
    <cellStyle name="Normal 3 24 2 2 3" xfId="3333"/>
    <cellStyle name="Normal 3 24 2 2 3 2" xfId="7191"/>
    <cellStyle name="Normal 3 24 2 2 3 2 2" xfId="12250"/>
    <cellStyle name="Normal 3 24 2 2 3 3" xfId="12249"/>
    <cellStyle name="Normal 3 24 2 2 4" xfId="5253"/>
    <cellStyle name="Normal 3 24 2 2 4 2" xfId="12251"/>
    <cellStyle name="Normal 3 24 2 2 5" xfId="12244"/>
    <cellStyle name="Normal 3 24 2 3" xfId="1176"/>
    <cellStyle name="Normal 3 24 2 3 2" xfId="2147"/>
    <cellStyle name="Normal 3 24 2 3 2 2" xfId="4092"/>
    <cellStyle name="Normal 3 24 2 3 2 2 2" xfId="7945"/>
    <cellStyle name="Normal 3 24 2 3 2 2 2 2" xfId="12255"/>
    <cellStyle name="Normal 3 24 2 3 2 2 3" xfId="12254"/>
    <cellStyle name="Normal 3 24 2 3 2 3" xfId="6007"/>
    <cellStyle name="Normal 3 24 2 3 2 3 2" xfId="12256"/>
    <cellStyle name="Normal 3 24 2 3 2 4" xfId="12253"/>
    <cellStyle name="Normal 3 24 2 3 3" xfId="3131"/>
    <cellStyle name="Normal 3 24 2 3 3 2" xfId="6989"/>
    <cellStyle name="Normal 3 24 2 3 3 2 2" xfId="12258"/>
    <cellStyle name="Normal 3 24 2 3 3 3" xfId="12257"/>
    <cellStyle name="Normal 3 24 2 3 4" xfId="5051"/>
    <cellStyle name="Normal 3 24 2 3 4 2" xfId="12259"/>
    <cellStyle name="Normal 3 24 2 3 5" xfId="12252"/>
    <cellStyle name="Normal 3 24 2 4" xfId="1639"/>
    <cellStyle name="Normal 3 24 2 4 2" xfId="2600"/>
    <cellStyle name="Normal 3 24 2 4 2 2" xfId="4545"/>
    <cellStyle name="Normal 3 24 2 4 2 2 2" xfId="8398"/>
    <cellStyle name="Normal 3 24 2 4 2 2 2 2" xfId="12263"/>
    <cellStyle name="Normal 3 24 2 4 2 2 3" xfId="12262"/>
    <cellStyle name="Normal 3 24 2 4 2 3" xfId="6460"/>
    <cellStyle name="Normal 3 24 2 4 2 3 2" xfId="12264"/>
    <cellStyle name="Normal 3 24 2 4 2 4" xfId="12261"/>
    <cellStyle name="Normal 3 24 2 4 3" xfId="3586"/>
    <cellStyle name="Normal 3 24 2 4 3 2" xfId="7442"/>
    <cellStyle name="Normal 3 24 2 4 3 2 2" xfId="12266"/>
    <cellStyle name="Normal 3 24 2 4 3 3" xfId="12265"/>
    <cellStyle name="Normal 3 24 2 4 4" xfId="5504"/>
    <cellStyle name="Normal 3 24 2 4 4 2" xfId="12267"/>
    <cellStyle name="Normal 3 24 2 4 5" xfId="12260"/>
    <cellStyle name="Normal 3 24 2 5" xfId="1915"/>
    <cellStyle name="Normal 3 24 2 5 2" xfId="3860"/>
    <cellStyle name="Normal 3 24 2 5 2 2" xfId="7713"/>
    <cellStyle name="Normal 3 24 2 5 2 2 2" xfId="12270"/>
    <cellStyle name="Normal 3 24 2 5 2 3" xfId="12269"/>
    <cellStyle name="Normal 3 24 2 5 3" xfId="5775"/>
    <cellStyle name="Normal 3 24 2 5 3 2" xfId="12271"/>
    <cellStyle name="Normal 3 24 2 5 4" xfId="12268"/>
    <cellStyle name="Normal 3 24 2 6" xfId="2899"/>
    <cellStyle name="Normal 3 24 2 6 2" xfId="6757"/>
    <cellStyle name="Normal 3 24 2 6 2 2" xfId="12273"/>
    <cellStyle name="Normal 3 24 2 6 3" xfId="12272"/>
    <cellStyle name="Normal 3 24 2 7" xfId="4819"/>
    <cellStyle name="Normal 3 24 2 7 2" xfId="12274"/>
    <cellStyle name="Normal 3 24 2 8" xfId="12243"/>
    <cellStyle name="Normal 3 24 3" xfId="1276"/>
    <cellStyle name="Normal 3 24 3 2" xfId="2247"/>
    <cellStyle name="Normal 3 24 3 2 2" xfId="4192"/>
    <cellStyle name="Normal 3 24 3 2 2 2" xfId="8045"/>
    <cellStyle name="Normal 3 24 3 2 2 2 2" xfId="12278"/>
    <cellStyle name="Normal 3 24 3 2 2 3" xfId="12277"/>
    <cellStyle name="Normal 3 24 3 2 3" xfId="6107"/>
    <cellStyle name="Normal 3 24 3 2 3 2" xfId="12279"/>
    <cellStyle name="Normal 3 24 3 2 4" xfId="12276"/>
    <cellStyle name="Normal 3 24 3 3" xfId="3231"/>
    <cellStyle name="Normal 3 24 3 3 2" xfId="7089"/>
    <cellStyle name="Normal 3 24 3 3 2 2" xfId="12281"/>
    <cellStyle name="Normal 3 24 3 3 3" xfId="12280"/>
    <cellStyle name="Normal 3 24 3 4" xfId="5151"/>
    <cellStyle name="Normal 3 24 3 4 2" xfId="12282"/>
    <cellStyle name="Normal 3 24 3 5" xfId="12275"/>
    <cellStyle name="Normal 3 24 4" xfId="1043"/>
    <cellStyle name="Normal 3 24 4 2" xfId="2015"/>
    <cellStyle name="Normal 3 24 4 2 2" xfId="3960"/>
    <cellStyle name="Normal 3 24 4 2 2 2" xfId="7813"/>
    <cellStyle name="Normal 3 24 4 2 2 2 2" xfId="12286"/>
    <cellStyle name="Normal 3 24 4 2 2 3" xfId="12285"/>
    <cellStyle name="Normal 3 24 4 2 3" xfId="5875"/>
    <cellStyle name="Normal 3 24 4 2 3 2" xfId="12287"/>
    <cellStyle name="Normal 3 24 4 2 4" xfId="12284"/>
    <cellStyle name="Normal 3 24 4 3" xfId="2999"/>
    <cellStyle name="Normal 3 24 4 3 2" xfId="6857"/>
    <cellStyle name="Normal 3 24 4 3 2 2" xfId="12289"/>
    <cellStyle name="Normal 3 24 4 3 3" xfId="12288"/>
    <cellStyle name="Normal 3 24 4 4" xfId="4919"/>
    <cellStyle name="Normal 3 24 4 4 2" xfId="12290"/>
    <cellStyle name="Normal 3 24 4 5" xfId="12283"/>
    <cellStyle name="Normal 3 24 5" xfId="1534"/>
    <cellStyle name="Normal 3 24 5 2" xfId="2500"/>
    <cellStyle name="Normal 3 24 5 2 2" xfId="4445"/>
    <cellStyle name="Normal 3 24 5 2 2 2" xfId="8298"/>
    <cellStyle name="Normal 3 24 5 2 2 2 2" xfId="12294"/>
    <cellStyle name="Normal 3 24 5 2 2 3" xfId="12293"/>
    <cellStyle name="Normal 3 24 5 2 3" xfId="6360"/>
    <cellStyle name="Normal 3 24 5 2 3 2" xfId="12295"/>
    <cellStyle name="Normal 3 24 5 2 4" xfId="12292"/>
    <cellStyle name="Normal 3 24 5 3" xfId="3486"/>
    <cellStyle name="Normal 3 24 5 3 2" xfId="7342"/>
    <cellStyle name="Normal 3 24 5 3 2 2" xfId="12297"/>
    <cellStyle name="Normal 3 24 5 3 3" xfId="12296"/>
    <cellStyle name="Normal 3 24 5 4" xfId="5404"/>
    <cellStyle name="Normal 3 24 5 4 2" xfId="12298"/>
    <cellStyle name="Normal 3 24 5 5" xfId="12291"/>
    <cellStyle name="Normal 3 24 6" xfId="1776"/>
    <cellStyle name="Normal 3 24 6 2" xfId="3722"/>
    <cellStyle name="Normal 3 24 6 2 2" xfId="7575"/>
    <cellStyle name="Normal 3 24 6 2 2 2" xfId="12301"/>
    <cellStyle name="Normal 3 24 6 2 3" xfId="12300"/>
    <cellStyle name="Normal 3 24 6 3" xfId="5637"/>
    <cellStyle name="Normal 3 24 6 3 2" xfId="12302"/>
    <cellStyle name="Normal 3 24 6 4" xfId="12299"/>
    <cellStyle name="Normal 3 24 7" xfId="2760"/>
    <cellStyle name="Normal 3 24 7 2" xfId="6619"/>
    <cellStyle name="Normal 3 24 7 2 2" xfId="12304"/>
    <cellStyle name="Normal 3 24 7 3" xfId="12303"/>
    <cellStyle name="Normal 3 24 8" xfId="4687"/>
    <cellStyle name="Normal 3 24 8 2" xfId="12305"/>
    <cellStyle name="Normal 3 24 9" xfId="12242"/>
    <cellStyle name="Normal 3 25" xfId="585"/>
    <cellStyle name="Normal 3 25 2" xfId="940"/>
    <cellStyle name="Normal 3 25 2 2" xfId="1379"/>
    <cellStyle name="Normal 3 25 2 2 2" xfId="2350"/>
    <cellStyle name="Normal 3 25 2 2 2 2" xfId="4295"/>
    <cellStyle name="Normal 3 25 2 2 2 2 2" xfId="8148"/>
    <cellStyle name="Normal 3 25 2 2 2 2 2 2" xfId="12311"/>
    <cellStyle name="Normal 3 25 2 2 2 2 3" xfId="12310"/>
    <cellStyle name="Normal 3 25 2 2 2 3" xfId="6210"/>
    <cellStyle name="Normal 3 25 2 2 2 3 2" xfId="12312"/>
    <cellStyle name="Normal 3 25 2 2 2 4" xfId="12309"/>
    <cellStyle name="Normal 3 25 2 2 3" xfId="3334"/>
    <cellStyle name="Normal 3 25 2 2 3 2" xfId="7192"/>
    <cellStyle name="Normal 3 25 2 2 3 2 2" xfId="12314"/>
    <cellStyle name="Normal 3 25 2 2 3 3" xfId="12313"/>
    <cellStyle name="Normal 3 25 2 2 4" xfId="5254"/>
    <cellStyle name="Normal 3 25 2 2 4 2" xfId="12315"/>
    <cellStyle name="Normal 3 25 2 2 5" xfId="12308"/>
    <cellStyle name="Normal 3 25 2 3" xfId="1177"/>
    <cellStyle name="Normal 3 25 2 3 2" xfId="2148"/>
    <cellStyle name="Normal 3 25 2 3 2 2" xfId="4093"/>
    <cellStyle name="Normal 3 25 2 3 2 2 2" xfId="7946"/>
    <cellStyle name="Normal 3 25 2 3 2 2 2 2" xfId="12319"/>
    <cellStyle name="Normal 3 25 2 3 2 2 3" xfId="12318"/>
    <cellStyle name="Normal 3 25 2 3 2 3" xfId="6008"/>
    <cellStyle name="Normal 3 25 2 3 2 3 2" xfId="12320"/>
    <cellStyle name="Normal 3 25 2 3 2 4" xfId="12317"/>
    <cellStyle name="Normal 3 25 2 3 3" xfId="3132"/>
    <cellStyle name="Normal 3 25 2 3 3 2" xfId="6990"/>
    <cellStyle name="Normal 3 25 2 3 3 2 2" xfId="12322"/>
    <cellStyle name="Normal 3 25 2 3 3 3" xfId="12321"/>
    <cellStyle name="Normal 3 25 2 3 4" xfId="5052"/>
    <cellStyle name="Normal 3 25 2 3 4 2" xfId="12323"/>
    <cellStyle name="Normal 3 25 2 3 5" xfId="12316"/>
    <cellStyle name="Normal 3 25 2 4" xfId="1640"/>
    <cellStyle name="Normal 3 25 2 4 2" xfId="2601"/>
    <cellStyle name="Normal 3 25 2 4 2 2" xfId="4546"/>
    <cellStyle name="Normal 3 25 2 4 2 2 2" xfId="8399"/>
    <cellStyle name="Normal 3 25 2 4 2 2 2 2" xfId="12327"/>
    <cellStyle name="Normal 3 25 2 4 2 2 3" xfId="12326"/>
    <cellStyle name="Normal 3 25 2 4 2 3" xfId="6461"/>
    <cellStyle name="Normal 3 25 2 4 2 3 2" xfId="12328"/>
    <cellStyle name="Normal 3 25 2 4 2 4" xfId="12325"/>
    <cellStyle name="Normal 3 25 2 4 3" xfId="3587"/>
    <cellStyle name="Normal 3 25 2 4 3 2" xfId="7443"/>
    <cellStyle name="Normal 3 25 2 4 3 2 2" xfId="12330"/>
    <cellStyle name="Normal 3 25 2 4 3 3" xfId="12329"/>
    <cellStyle name="Normal 3 25 2 4 4" xfId="5505"/>
    <cellStyle name="Normal 3 25 2 4 4 2" xfId="12331"/>
    <cellStyle name="Normal 3 25 2 4 5" xfId="12324"/>
    <cellStyle name="Normal 3 25 2 5" xfId="1916"/>
    <cellStyle name="Normal 3 25 2 5 2" xfId="3861"/>
    <cellStyle name="Normal 3 25 2 5 2 2" xfId="7714"/>
    <cellStyle name="Normal 3 25 2 5 2 2 2" xfId="12334"/>
    <cellStyle name="Normal 3 25 2 5 2 3" xfId="12333"/>
    <cellStyle name="Normal 3 25 2 5 3" xfId="5776"/>
    <cellStyle name="Normal 3 25 2 5 3 2" xfId="12335"/>
    <cellStyle name="Normal 3 25 2 5 4" xfId="12332"/>
    <cellStyle name="Normal 3 25 2 6" xfId="2900"/>
    <cellStyle name="Normal 3 25 2 6 2" xfId="6758"/>
    <cellStyle name="Normal 3 25 2 6 2 2" xfId="12337"/>
    <cellStyle name="Normal 3 25 2 6 3" xfId="12336"/>
    <cellStyle name="Normal 3 25 2 7" xfId="4820"/>
    <cellStyle name="Normal 3 25 2 7 2" xfId="12338"/>
    <cellStyle name="Normal 3 25 2 8" xfId="12307"/>
    <cellStyle name="Normal 3 25 3" xfId="1277"/>
    <cellStyle name="Normal 3 25 3 2" xfId="2248"/>
    <cellStyle name="Normal 3 25 3 2 2" xfId="4193"/>
    <cellStyle name="Normal 3 25 3 2 2 2" xfId="8046"/>
    <cellStyle name="Normal 3 25 3 2 2 2 2" xfId="12342"/>
    <cellStyle name="Normal 3 25 3 2 2 3" xfId="12341"/>
    <cellStyle name="Normal 3 25 3 2 3" xfId="6108"/>
    <cellStyle name="Normal 3 25 3 2 3 2" xfId="12343"/>
    <cellStyle name="Normal 3 25 3 2 4" xfId="12340"/>
    <cellStyle name="Normal 3 25 3 3" xfId="3232"/>
    <cellStyle name="Normal 3 25 3 3 2" xfId="7090"/>
    <cellStyle name="Normal 3 25 3 3 2 2" xfId="12345"/>
    <cellStyle name="Normal 3 25 3 3 3" xfId="12344"/>
    <cellStyle name="Normal 3 25 3 4" xfId="5152"/>
    <cellStyle name="Normal 3 25 3 4 2" xfId="12346"/>
    <cellStyle name="Normal 3 25 3 5" xfId="12339"/>
    <cellStyle name="Normal 3 25 4" xfId="1044"/>
    <cellStyle name="Normal 3 25 4 2" xfId="2016"/>
    <cellStyle name="Normal 3 25 4 2 2" xfId="3961"/>
    <cellStyle name="Normal 3 25 4 2 2 2" xfId="7814"/>
    <cellStyle name="Normal 3 25 4 2 2 2 2" xfId="12350"/>
    <cellStyle name="Normal 3 25 4 2 2 3" xfId="12349"/>
    <cellStyle name="Normal 3 25 4 2 3" xfId="5876"/>
    <cellStyle name="Normal 3 25 4 2 3 2" xfId="12351"/>
    <cellStyle name="Normal 3 25 4 2 4" xfId="12348"/>
    <cellStyle name="Normal 3 25 4 3" xfId="3000"/>
    <cellStyle name="Normal 3 25 4 3 2" xfId="6858"/>
    <cellStyle name="Normal 3 25 4 3 2 2" xfId="12353"/>
    <cellStyle name="Normal 3 25 4 3 3" xfId="12352"/>
    <cellStyle name="Normal 3 25 4 4" xfId="4920"/>
    <cellStyle name="Normal 3 25 4 4 2" xfId="12354"/>
    <cellStyle name="Normal 3 25 4 5" xfId="12347"/>
    <cellStyle name="Normal 3 25 5" xfId="1535"/>
    <cellStyle name="Normal 3 25 5 2" xfId="2501"/>
    <cellStyle name="Normal 3 25 5 2 2" xfId="4446"/>
    <cellStyle name="Normal 3 25 5 2 2 2" xfId="8299"/>
    <cellStyle name="Normal 3 25 5 2 2 2 2" xfId="12358"/>
    <cellStyle name="Normal 3 25 5 2 2 3" xfId="12357"/>
    <cellStyle name="Normal 3 25 5 2 3" xfId="6361"/>
    <cellStyle name="Normal 3 25 5 2 3 2" xfId="12359"/>
    <cellStyle name="Normal 3 25 5 2 4" xfId="12356"/>
    <cellStyle name="Normal 3 25 5 3" xfId="3487"/>
    <cellStyle name="Normal 3 25 5 3 2" xfId="7343"/>
    <cellStyle name="Normal 3 25 5 3 2 2" xfId="12361"/>
    <cellStyle name="Normal 3 25 5 3 3" xfId="12360"/>
    <cellStyle name="Normal 3 25 5 4" xfId="5405"/>
    <cellStyle name="Normal 3 25 5 4 2" xfId="12362"/>
    <cellStyle name="Normal 3 25 5 5" xfId="12355"/>
    <cellStyle name="Normal 3 25 6" xfId="1777"/>
    <cellStyle name="Normal 3 25 6 2" xfId="3723"/>
    <cellStyle name="Normal 3 25 6 2 2" xfId="7576"/>
    <cellStyle name="Normal 3 25 6 2 2 2" xfId="12365"/>
    <cellStyle name="Normal 3 25 6 2 3" xfId="12364"/>
    <cellStyle name="Normal 3 25 6 3" xfId="5638"/>
    <cellStyle name="Normal 3 25 6 3 2" xfId="12366"/>
    <cellStyle name="Normal 3 25 6 4" xfId="12363"/>
    <cellStyle name="Normal 3 25 7" xfId="2761"/>
    <cellStyle name="Normal 3 25 7 2" xfId="6620"/>
    <cellStyle name="Normal 3 25 7 2 2" xfId="12368"/>
    <cellStyle name="Normal 3 25 7 3" xfId="12367"/>
    <cellStyle name="Normal 3 25 8" xfId="4688"/>
    <cellStyle name="Normal 3 25 8 2" xfId="12369"/>
    <cellStyle name="Normal 3 25 9" xfId="12306"/>
    <cellStyle name="Normal 3 26" xfId="589"/>
    <cellStyle name="Normal 3 26 2" xfId="941"/>
    <cellStyle name="Normal 3 26 2 2" xfId="1381"/>
    <cellStyle name="Normal 3 26 2 2 2" xfId="2352"/>
    <cellStyle name="Normal 3 26 2 2 2 2" xfId="4297"/>
    <cellStyle name="Normal 3 26 2 2 2 2 2" xfId="8150"/>
    <cellStyle name="Normal 3 26 2 2 2 2 2 2" xfId="12375"/>
    <cellStyle name="Normal 3 26 2 2 2 2 3" xfId="12374"/>
    <cellStyle name="Normal 3 26 2 2 2 3" xfId="6212"/>
    <cellStyle name="Normal 3 26 2 2 2 3 2" xfId="12376"/>
    <cellStyle name="Normal 3 26 2 2 2 4" xfId="12373"/>
    <cellStyle name="Normal 3 26 2 2 3" xfId="3336"/>
    <cellStyle name="Normal 3 26 2 2 3 2" xfId="7194"/>
    <cellStyle name="Normal 3 26 2 2 3 2 2" xfId="12378"/>
    <cellStyle name="Normal 3 26 2 2 3 3" xfId="12377"/>
    <cellStyle name="Normal 3 26 2 2 4" xfId="5256"/>
    <cellStyle name="Normal 3 26 2 2 4 2" xfId="12379"/>
    <cellStyle name="Normal 3 26 2 2 5" xfId="12372"/>
    <cellStyle name="Normal 3 26 2 3" xfId="1178"/>
    <cellStyle name="Normal 3 26 2 3 2" xfId="2149"/>
    <cellStyle name="Normal 3 26 2 3 2 2" xfId="4094"/>
    <cellStyle name="Normal 3 26 2 3 2 2 2" xfId="7947"/>
    <cellStyle name="Normal 3 26 2 3 2 2 2 2" xfId="12383"/>
    <cellStyle name="Normal 3 26 2 3 2 2 3" xfId="12382"/>
    <cellStyle name="Normal 3 26 2 3 2 3" xfId="6009"/>
    <cellStyle name="Normal 3 26 2 3 2 3 2" xfId="12384"/>
    <cellStyle name="Normal 3 26 2 3 2 4" xfId="12381"/>
    <cellStyle name="Normal 3 26 2 3 3" xfId="3133"/>
    <cellStyle name="Normal 3 26 2 3 3 2" xfId="6991"/>
    <cellStyle name="Normal 3 26 2 3 3 2 2" xfId="12386"/>
    <cellStyle name="Normal 3 26 2 3 3 3" xfId="12385"/>
    <cellStyle name="Normal 3 26 2 3 4" xfId="5053"/>
    <cellStyle name="Normal 3 26 2 3 4 2" xfId="12387"/>
    <cellStyle name="Normal 3 26 2 3 5" xfId="12380"/>
    <cellStyle name="Normal 3 26 2 4" xfId="1642"/>
    <cellStyle name="Normal 3 26 2 4 2" xfId="2603"/>
    <cellStyle name="Normal 3 26 2 4 2 2" xfId="4548"/>
    <cellStyle name="Normal 3 26 2 4 2 2 2" xfId="8401"/>
    <cellStyle name="Normal 3 26 2 4 2 2 2 2" xfId="12391"/>
    <cellStyle name="Normal 3 26 2 4 2 2 3" xfId="12390"/>
    <cellStyle name="Normal 3 26 2 4 2 3" xfId="6463"/>
    <cellStyle name="Normal 3 26 2 4 2 3 2" xfId="12392"/>
    <cellStyle name="Normal 3 26 2 4 2 4" xfId="12389"/>
    <cellStyle name="Normal 3 26 2 4 3" xfId="3589"/>
    <cellStyle name="Normal 3 26 2 4 3 2" xfId="7445"/>
    <cellStyle name="Normal 3 26 2 4 3 2 2" xfId="12394"/>
    <cellStyle name="Normal 3 26 2 4 3 3" xfId="12393"/>
    <cellStyle name="Normal 3 26 2 4 4" xfId="5507"/>
    <cellStyle name="Normal 3 26 2 4 4 2" xfId="12395"/>
    <cellStyle name="Normal 3 26 2 4 5" xfId="12388"/>
    <cellStyle name="Normal 3 26 2 5" xfId="1917"/>
    <cellStyle name="Normal 3 26 2 5 2" xfId="3862"/>
    <cellStyle name="Normal 3 26 2 5 2 2" xfId="7715"/>
    <cellStyle name="Normal 3 26 2 5 2 2 2" xfId="12398"/>
    <cellStyle name="Normal 3 26 2 5 2 3" xfId="12397"/>
    <cellStyle name="Normal 3 26 2 5 3" xfId="5777"/>
    <cellStyle name="Normal 3 26 2 5 3 2" xfId="12399"/>
    <cellStyle name="Normal 3 26 2 5 4" xfId="12396"/>
    <cellStyle name="Normal 3 26 2 6" xfId="2901"/>
    <cellStyle name="Normal 3 26 2 6 2" xfId="6759"/>
    <cellStyle name="Normal 3 26 2 6 2 2" xfId="12401"/>
    <cellStyle name="Normal 3 26 2 6 3" xfId="12400"/>
    <cellStyle name="Normal 3 26 2 7" xfId="4821"/>
    <cellStyle name="Normal 3 26 2 7 2" xfId="12402"/>
    <cellStyle name="Normal 3 26 2 8" xfId="12371"/>
    <cellStyle name="Normal 3 26 3" xfId="1280"/>
    <cellStyle name="Normal 3 26 3 2" xfId="2251"/>
    <cellStyle name="Normal 3 26 3 2 2" xfId="4196"/>
    <cellStyle name="Normal 3 26 3 2 2 2" xfId="8049"/>
    <cellStyle name="Normal 3 26 3 2 2 2 2" xfId="12406"/>
    <cellStyle name="Normal 3 26 3 2 2 3" xfId="12405"/>
    <cellStyle name="Normal 3 26 3 2 3" xfId="6111"/>
    <cellStyle name="Normal 3 26 3 2 3 2" xfId="12407"/>
    <cellStyle name="Normal 3 26 3 2 4" xfId="12404"/>
    <cellStyle name="Normal 3 26 3 3" xfId="3235"/>
    <cellStyle name="Normal 3 26 3 3 2" xfId="7093"/>
    <cellStyle name="Normal 3 26 3 3 2 2" xfId="12409"/>
    <cellStyle name="Normal 3 26 3 3 3" xfId="12408"/>
    <cellStyle name="Normal 3 26 3 4" xfId="5155"/>
    <cellStyle name="Normal 3 26 3 4 2" xfId="12410"/>
    <cellStyle name="Normal 3 26 3 5" xfId="12403"/>
    <cellStyle name="Normal 3 26 4" xfId="1047"/>
    <cellStyle name="Normal 3 26 4 2" xfId="2019"/>
    <cellStyle name="Normal 3 26 4 2 2" xfId="3964"/>
    <cellStyle name="Normal 3 26 4 2 2 2" xfId="7817"/>
    <cellStyle name="Normal 3 26 4 2 2 2 2" xfId="12414"/>
    <cellStyle name="Normal 3 26 4 2 2 3" xfId="12413"/>
    <cellStyle name="Normal 3 26 4 2 3" xfId="5879"/>
    <cellStyle name="Normal 3 26 4 2 3 2" xfId="12415"/>
    <cellStyle name="Normal 3 26 4 2 4" xfId="12412"/>
    <cellStyle name="Normal 3 26 4 3" xfId="3003"/>
    <cellStyle name="Normal 3 26 4 3 2" xfId="6861"/>
    <cellStyle name="Normal 3 26 4 3 2 2" xfId="12417"/>
    <cellStyle name="Normal 3 26 4 3 3" xfId="12416"/>
    <cellStyle name="Normal 3 26 4 4" xfId="4923"/>
    <cellStyle name="Normal 3 26 4 4 2" xfId="12418"/>
    <cellStyle name="Normal 3 26 4 5" xfId="12411"/>
    <cellStyle name="Normal 3 26 5" xfId="1557"/>
    <cellStyle name="Normal 3 26 5 2" xfId="2521"/>
    <cellStyle name="Normal 3 26 5 2 2" xfId="4466"/>
    <cellStyle name="Normal 3 26 5 2 2 2" xfId="8319"/>
    <cellStyle name="Normal 3 26 5 2 2 2 2" xfId="12422"/>
    <cellStyle name="Normal 3 26 5 2 2 3" xfId="12421"/>
    <cellStyle name="Normal 3 26 5 2 3" xfId="6381"/>
    <cellStyle name="Normal 3 26 5 2 3 2" xfId="12423"/>
    <cellStyle name="Normal 3 26 5 2 4" xfId="12420"/>
    <cellStyle name="Normal 3 26 5 3" xfId="3507"/>
    <cellStyle name="Normal 3 26 5 3 2" xfId="7363"/>
    <cellStyle name="Normal 3 26 5 3 2 2" xfId="12425"/>
    <cellStyle name="Normal 3 26 5 3 3" xfId="12424"/>
    <cellStyle name="Normal 3 26 5 4" xfId="5425"/>
    <cellStyle name="Normal 3 26 5 4 2" xfId="12426"/>
    <cellStyle name="Normal 3 26 5 5" xfId="12419"/>
    <cellStyle name="Normal 3 26 6" xfId="1780"/>
    <cellStyle name="Normal 3 26 6 2" xfId="3726"/>
    <cellStyle name="Normal 3 26 6 2 2" xfId="7579"/>
    <cellStyle name="Normal 3 26 6 2 2 2" xfId="12429"/>
    <cellStyle name="Normal 3 26 6 2 3" xfId="12428"/>
    <cellStyle name="Normal 3 26 6 3" xfId="5641"/>
    <cellStyle name="Normal 3 26 6 3 2" xfId="12430"/>
    <cellStyle name="Normal 3 26 6 4" xfId="12427"/>
    <cellStyle name="Normal 3 26 7" xfId="2764"/>
    <cellStyle name="Normal 3 26 7 2" xfId="6623"/>
    <cellStyle name="Normal 3 26 7 2 2" xfId="12432"/>
    <cellStyle name="Normal 3 26 7 3" xfId="12431"/>
    <cellStyle name="Normal 3 26 8" xfId="4691"/>
    <cellStyle name="Normal 3 26 8 2" xfId="12433"/>
    <cellStyle name="Normal 3 26 9" xfId="12370"/>
    <cellStyle name="Normal 3 27" xfId="590"/>
    <cellStyle name="Normal 3 27 2" xfId="942"/>
    <cellStyle name="Normal 3 27 2 2" xfId="1382"/>
    <cellStyle name="Normal 3 27 2 2 2" xfId="2353"/>
    <cellStyle name="Normal 3 27 2 2 2 2" xfId="4298"/>
    <cellStyle name="Normal 3 27 2 2 2 2 2" xfId="8151"/>
    <cellStyle name="Normal 3 27 2 2 2 2 2 2" xfId="12439"/>
    <cellStyle name="Normal 3 27 2 2 2 2 3" xfId="12438"/>
    <cellStyle name="Normal 3 27 2 2 2 3" xfId="6213"/>
    <cellStyle name="Normal 3 27 2 2 2 3 2" xfId="12440"/>
    <cellStyle name="Normal 3 27 2 2 2 4" xfId="12437"/>
    <cellStyle name="Normal 3 27 2 2 3" xfId="3337"/>
    <cellStyle name="Normal 3 27 2 2 3 2" xfId="7195"/>
    <cellStyle name="Normal 3 27 2 2 3 2 2" xfId="12442"/>
    <cellStyle name="Normal 3 27 2 2 3 3" xfId="12441"/>
    <cellStyle name="Normal 3 27 2 2 4" xfId="5257"/>
    <cellStyle name="Normal 3 27 2 2 4 2" xfId="12443"/>
    <cellStyle name="Normal 3 27 2 2 5" xfId="12436"/>
    <cellStyle name="Normal 3 27 2 3" xfId="1179"/>
    <cellStyle name="Normal 3 27 2 3 2" xfId="2150"/>
    <cellStyle name="Normal 3 27 2 3 2 2" xfId="4095"/>
    <cellStyle name="Normal 3 27 2 3 2 2 2" xfId="7948"/>
    <cellStyle name="Normal 3 27 2 3 2 2 2 2" xfId="12447"/>
    <cellStyle name="Normal 3 27 2 3 2 2 3" xfId="12446"/>
    <cellStyle name="Normal 3 27 2 3 2 3" xfId="6010"/>
    <cellStyle name="Normal 3 27 2 3 2 3 2" xfId="12448"/>
    <cellStyle name="Normal 3 27 2 3 2 4" xfId="12445"/>
    <cellStyle name="Normal 3 27 2 3 3" xfId="3134"/>
    <cellStyle name="Normal 3 27 2 3 3 2" xfId="6992"/>
    <cellStyle name="Normal 3 27 2 3 3 2 2" xfId="12450"/>
    <cellStyle name="Normal 3 27 2 3 3 3" xfId="12449"/>
    <cellStyle name="Normal 3 27 2 3 4" xfId="5054"/>
    <cellStyle name="Normal 3 27 2 3 4 2" xfId="12451"/>
    <cellStyle name="Normal 3 27 2 3 5" xfId="12444"/>
    <cellStyle name="Normal 3 27 2 4" xfId="1643"/>
    <cellStyle name="Normal 3 27 2 4 2" xfId="2604"/>
    <cellStyle name="Normal 3 27 2 4 2 2" xfId="4549"/>
    <cellStyle name="Normal 3 27 2 4 2 2 2" xfId="8402"/>
    <cellStyle name="Normal 3 27 2 4 2 2 2 2" xfId="12455"/>
    <cellStyle name="Normal 3 27 2 4 2 2 3" xfId="12454"/>
    <cellStyle name="Normal 3 27 2 4 2 3" xfId="6464"/>
    <cellStyle name="Normal 3 27 2 4 2 3 2" xfId="12456"/>
    <cellStyle name="Normal 3 27 2 4 2 4" xfId="12453"/>
    <cellStyle name="Normal 3 27 2 4 3" xfId="3590"/>
    <cellStyle name="Normal 3 27 2 4 3 2" xfId="7446"/>
    <cellStyle name="Normal 3 27 2 4 3 2 2" xfId="12458"/>
    <cellStyle name="Normal 3 27 2 4 3 3" xfId="12457"/>
    <cellStyle name="Normal 3 27 2 4 4" xfId="5508"/>
    <cellStyle name="Normal 3 27 2 4 4 2" xfId="12459"/>
    <cellStyle name="Normal 3 27 2 4 5" xfId="12452"/>
    <cellStyle name="Normal 3 27 2 5" xfId="1918"/>
    <cellStyle name="Normal 3 27 2 5 2" xfId="3863"/>
    <cellStyle name="Normal 3 27 2 5 2 2" xfId="7716"/>
    <cellStyle name="Normal 3 27 2 5 2 2 2" xfId="12462"/>
    <cellStyle name="Normal 3 27 2 5 2 3" xfId="12461"/>
    <cellStyle name="Normal 3 27 2 5 3" xfId="5778"/>
    <cellStyle name="Normal 3 27 2 5 3 2" xfId="12463"/>
    <cellStyle name="Normal 3 27 2 5 4" xfId="12460"/>
    <cellStyle name="Normal 3 27 2 6" xfId="2902"/>
    <cellStyle name="Normal 3 27 2 6 2" xfId="6760"/>
    <cellStyle name="Normal 3 27 2 6 2 2" xfId="12465"/>
    <cellStyle name="Normal 3 27 2 6 3" xfId="12464"/>
    <cellStyle name="Normal 3 27 2 7" xfId="4822"/>
    <cellStyle name="Normal 3 27 2 7 2" xfId="12466"/>
    <cellStyle name="Normal 3 27 2 8" xfId="12435"/>
    <cellStyle name="Normal 3 27 3" xfId="1281"/>
    <cellStyle name="Normal 3 27 3 2" xfId="2252"/>
    <cellStyle name="Normal 3 27 3 2 2" xfId="4197"/>
    <cellStyle name="Normal 3 27 3 2 2 2" xfId="8050"/>
    <cellStyle name="Normal 3 27 3 2 2 2 2" xfId="12470"/>
    <cellStyle name="Normal 3 27 3 2 2 3" xfId="12469"/>
    <cellStyle name="Normal 3 27 3 2 3" xfId="6112"/>
    <cellStyle name="Normal 3 27 3 2 3 2" xfId="12471"/>
    <cellStyle name="Normal 3 27 3 2 4" xfId="12468"/>
    <cellStyle name="Normal 3 27 3 3" xfId="3236"/>
    <cellStyle name="Normal 3 27 3 3 2" xfId="7094"/>
    <cellStyle name="Normal 3 27 3 3 2 2" xfId="12473"/>
    <cellStyle name="Normal 3 27 3 3 3" xfId="12472"/>
    <cellStyle name="Normal 3 27 3 4" xfId="5156"/>
    <cellStyle name="Normal 3 27 3 4 2" xfId="12474"/>
    <cellStyle name="Normal 3 27 3 5" xfId="12467"/>
    <cellStyle name="Normal 3 27 4" xfId="1048"/>
    <cellStyle name="Normal 3 27 4 2" xfId="2020"/>
    <cellStyle name="Normal 3 27 4 2 2" xfId="3965"/>
    <cellStyle name="Normal 3 27 4 2 2 2" xfId="7818"/>
    <cellStyle name="Normal 3 27 4 2 2 2 2" xfId="12478"/>
    <cellStyle name="Normal 3 27 4 2 2 3" xfId="12477"/>
    <cellStyle name="Normal 3 27 4 2 3" xfId="5880"/>
    <cellStyle name="Normal 3 27 4 2 3 2" xfId="12479"/>
    <cellStyle name="Normal 3 27 4 2 4" xfId="12476"/>
    <cellStyle name="Normal 3 27 4 3" xfId="3004"/>
    <cellStyle name="Normal 3 27 4 3 2" xfId="6862"/>
    <cellStyle name="Normal 3 27 4 3 2 2" xfId="12481"/>
    <cellStyle name="Normal 3 27 4 3 3" xfId="12480"/>
    <cellStyle name="Normal 3 27 4 4" xfId="4924"/>
    <cellStyle name="Normal 3 27 4 4 2" xfId="12482"/>
    <cellStyle name="Normal 3 27 4 5" xfId="12475"/>
    <cellStyle name="Normal 3 27 5" xfId="1578"/>
    <cellStyle name="Normal 3 27 5 2" xfId="2540"/>
    <cellStyle name="Normal 3 27 5 2 2" xfId="4485"/>
    <cellStyle name="Normal 3 27 5 2 2 2" xfId="8338"/>
    <cellStyle name="Normal 3 27 5 2 2 2 2" xfId="12486"/>
    <cellStyle name="Normal 3 27 5 2 2 3" xfId="12485"/>
    <cellStyle name="Normal 3 27 5 2 3" xfId="6400"/>
    <cellStyle name="Normal 3 27 5 2 3 2" xfId="12487"/>
    <cellStyle name="Normal 3 27 5 2 4" xfId="12484"/>
    <cellStyle name="Normal 3 27 5 3" xfId="3526"/>
    <cellStyle name="Normal 3 27 5 3 2" xfId="7382"/>
    <cellStyle name="Normal 3 27 5 3 2 2" xfId="12489"/>
    <cellStyle name="Normal 3 27 5 3 3" xfId="12488"/>
    <cellStyle name="Normal 3 27 5 4" xfId="5444"/>
    <cellStyle name="Normal 3 27 5 4 2" xfId="12490"/>
    <cellStyle name="Normal 3 27 5 5" xfId="12483"/>
    <cellStyle name="Normal 3 27 6" xfId="1781"/>
    <cellStyle name="Normal 3 27 6 2" xfId="3727"/>
    <cellStyle name="Normal 3 27 6 2 2" xfId="7580"/>
    <cellStyle name="Normal 3 27 6 2 2 2" xfId="12493"/>
    <cellStyle name="Normal 3 27 6 2 3" xfId="12492"/>
    <cellStyle name="Normal 3 27 6 3" xfId="5642"/>
    <cellStyle name="Normal 3 27 6 3 2" xfId="12494"/>
    <cellStyle name="Normal 3 27 6 4" xfId="12491"/>
    <cellStyle name="Normal 3 27 7" xfId="2765"/>
    <cellStyle name="Normal 3 27 7 2" xfId="6624"/>
    <cellStyle name="Normal 3 27 7 2 2" xfId="12496"/>
    <cellStyle name="Normal 3 27 7 3" xfId="12495"/>
    <cellStyle name="Normal 3 27 8" xfId="4692"/>
    <cellStyle name="Normal 3 27 8 2" xfId="12497"/>
    <cellStyle name="Normal 3 27 9" xfId="12434"/>
    <cellStyle name="Normal 3 28" xfId="591"/>
    <cellStyle name="Normal 3 28 2" xfId="943"/>
    <cellStyle name="Normal 3 28 2 2" xfId="1383"/>
    <cellStyle name="Normal 3 28 2 2 2" xfId="2354"/>
    <cellStyle name="Normal 3 28 2 2 2 2" xfId="4299"/>
    <cellStyle name="Normal 3 28 2 2 2 2 2" xfId="8152"/>
    <cellStyle name="Normal 3 28 2 2 2 2 2 2" xfId="12503"/>
    <cellStyle name="Normal 3 28 2 2 2 2 3" xfId="12502"/>
    <cellStyle name="Normal 3 28 2 2 2 3" xfId="6214"/>
    <cellStyle name="Normal 3 28 2 2 2 3 2" xfId="12504"/>
    <cellStyle name="Normal 3 28 2 2 2 4" xfId="12501"/>
    <cellStyle name="Normal 3 28 2 2 3" xfId="3338"/>
    <cellStyle name="Normal 3 28 2 2 3 2" xfId="7196"/>
    <cellStyle name="Normal 3 28 2 2 3 2 2" xfId="12506"/>
    <cellStyle name="Normal 3 28 2 2 3 3" xfId="12505"/>
    <cellStyle name="Normal 3 28 2 2 4" xfId="5258"/>
    <cellStyle name="Normal 3 28 2 2 4 2" xfId="12507"/>
    <cellStyle name="Normal 3 28 2 2 5" xfId="12500"/>
    <cellStyle name="Normal 3 28 2 3" xfId="1180"/>
    <cellStyle name="Normal 3 28 2 3 2" xfId="2151"/>
    <cellStyle name="Normal 3 28 2 3 2 2" xfId="4096"/>
    <cellStyle name="Normal 3 28 2 3 2 2 2" xfId="7949"/>
    <cellStyle name="Normal 3 28 2 3 2 2 2 2" xfId="12511"/>
    <cellStyle name="Normal 3 28 2 3 2 2 3" xfId="12510"/>
    <cellStyle name="Normal 3 28 2 3 2 3" xfId="6011"/>
    <cellStyle name="Normal 3 28 2 3 2 3 2" xfId="12512"/>
    <cellStyle name="Normal 3 28 2 3 2 4" xfId="12509"/>
    <cellStyle name="Normal 3 28 2 3 3" xfId="3135"/>
    <cellStyle name="Normal 3 28 2 3 3 2" xfId="6993"/>
    <cellStyle name="Normal 3 28 2 3 3 2 2" xfId="12514"/>
    <cellStyle name="Normal 3 28 2 3 3 3" xfId="12513"/>
    <cellStyle name="Normal 3 28 2 3 4" xfId="5055"/>
    <cellStyle name="Normal 3 28 2 3 4 2" xfId="12515"/>
    <cellStyle name="Normal 3 28 2 3 5" xfId="12508"/>
    <cellStyle name="Normal 3 28 2 4" xfId="1644"/>
    <cellStyle name="Normal 3 28 2 4 2" xfId="2605"/>
    <cellStyle name="Normal 3 28 2 4 2 2" xfId="4550"/>
    <cellStyle name="Normal 3 28 2 4 2 2 2" xfId="8403"/>
    <cellStyle name="Normal 3 28 2 4 2 2 2 2" xfId="12519"/>
    <cellStyle name="Normal 3 28 2 4 2 2 3" xfId="12518"/>
    <cellStyle name="Normal 3 28 2 4 2 3" xfId="6465"/>
    <cellStyle name="Normal 3 28 2 4 2 3 2" xfId="12520"/>
    <cellStyle name="Normal 3 28 2 4 2 4" xfId="12517"/>
    <cellStyle name="Normal 3 28 2 4 3" xfId="3591"/>
    <cellStyle name="Normal 3 28 2 4 3 2" xfId="7447"/>
    <cellStyle name="Normal 3 28 2 4 3 2 2" xfId="12522"/>
    <cellStyle name="Normal 3 28 2 4 3 3" xfId="12521"/>
    <cellStyle name="Normal 3 28 2 4 4" xfId="5509"/>
    <cellStyle name="Normal 3 28 2 4 4 2" xfId="12523"/>
    <cellStyle name="Normal 3 28 2 4 5" xfId="12516"/>
    <cellStyle name="Normal 3 28 2 5" xfId="1919"/>
    <cellStyle name="Normal 3 28 2 5 2" xfId="3864"/>
    <cellStyle name="Normal 3 28 2 5 2 2" xfId="7717"/>
    <cellStyle name="Normal 3 28 2 5 2 2 2" xfId="12526"/>
    <cellStyle name="Normal 3 28 2 5 2 3" xfId="12525"/>
    <cellStyle name="Normal 3 28 2 5 3" xfId="5779"/>
    <cellStyle name="Normal 3 28 2 5 3 2" xfId="12527"/>
    <cellStyle name="Normal 3 28 2 5 4" xfId="12524"/>
    <cellStyle name="Normal 3 28 2 6" xfId="2903"/>
    <cellStyle name="Normal 3 28 2 6 2" xfId="6761"/>
    <cellStyle name="Normal 3 28 2 6 2 2" xfId="12529"/>
    <cellStyle name="Normal 3 28 2 6 3" xfId="12528"/>
    <cellStyle name="Normal 3 28 2 7" xfId="4823"/>
    <cellStyle name="Normal 3 28 2 7 2" xfId="12530"/>
    <cellStyle name="Normal 3 28 2 8" xfId="12499"/>
    <cellStyle name="Normal 3 28 3" xfId="1282"/>
    <cellStyle name="Normal 3 28 3 2" xfId="2253"/>
    <cellStyle name="Normal 3 28 3 2 2" xfId="4198"/>
    <cellStyle name="Normal 3 28 3 2 2 2" xfId="8051"/>
    <cellStyle name="Normal 3 28 3 2 2 2 2" xfId="12534"/>
    <cellStyle name="Normal 3 28 3 2 2 3" xfId="12533"/>
    <cellStyle name="Normal 3 28 3 2 3" xfId="6113"/>
    <cellStyle name="Normal 3 28 3 2 3 2" xfId="12535"/>
    <cellStyle name="Normal 3 28 3 2 4" xfId="12532"/>
    <cellStyle name="Normal 3 28 3 3" xfId="3237"/>
    <cellStyle name="Normal 3 28 3 3 2" xfId="7095"/>
    <cellStyle name="Normal 3 28 3 3 2 2" xfId="12537"/>
    <cellStyle name="Normal 3 28 3 3 3" xfId="12536"/>
    <cellStyle name="Normal 3 28 3 4" xfId="5157"/>
    <cellStyle name="Normal 3 28 3 4 2" xfId="12538"/>
    <cellStyle name="Normal 3 28 3 5" xfId="12531"/>
    <cellStyle name="Normal 3 28 4" xfId="1049"/>
    <cellStyle name="Normal 3 28 4 2" xfId="2021"/>
    <cellStyle name="Normal 3 28 4 2 2" xfId="3966"/>
    <cellStyle name="Normal 3 28 4 2 2 2" xfId="7819"/>
    <cellStyle name="Normal 3 28 4 2 2 2 2" xfId="12542"/>
    <cellStyle name="Normal 3 28 4 2 2 3" xfId="12541"/>
    <cellStyle name="Normal 3 28 4 2 3" xfId="5881"/>
    <cellStyle name="Normal 3 28 4 2 3 2" xfId="12543"/>
    <cellStyle name="Normal 3 28 4 2 4" xfId="12540"/>
    <cellStyle name="Normal 3 28 4 3" xfId="3005"/>
    <cellStyle name="Normal 3 28 4 3 2" xfId="6863"/>
    <cellStyle name="Normal 3 28 4 3 2 2" xfId="12545"/>
    <cellStyle name="Normal 3 28 4 3 3" xfId="12544"/>
    <cellStyle name="Normal 3 28 4 4" xfId="4925"/>
    <cellStyle name="Normal 3 28 4 4 2" xfId="12546"/>
    <cellStyle name="Normal 3 28 4 5" xfId="12539"/>
    <cellStyle name="Normal 3 28 5" xfId="1579"/>
    <cellStyle name="Normal 3 28 5 2" xfId="2541"/>
    <cellStyle name="Normal 3 28 5 2 2" xfId="4486"/>
    <cellStyle name="Normal 3 28 5 2 2 2" xfId="8339"/>
    <cellStyle name="Normal 3 28 5 2 2 2 2" xfId="12550"/>
    <cellStyle name="Normal 3 28 5 2 2 3" xfId="12549"/>
    <cellStyle name="Normal 3 28 5 2 3" xfId="6401"/>
    <cellStyle name="Normal 3 28 5 2 3 2" xfId="12551"/>
    <cellStyle name="Normal 3 28 5 2 4" xfId="12548"/>
    <cellStyle name="Normal 3 28 5 3" xfId="3527"/>
    <cellStyle name="Normal 3 28 5 3 2" xfId="7383"/>
    <cellStyle name="Normal 3 28 5 3 2 2" xfId="12553"/>
    <cellStyle name="Normal 3 28 5 3 3" xfId="12552"/>
    <cellStyle name="Normal 3 28 5 4" xfId="5445"/>
    <cellStyle name="Normal 3 28 5 4 2" xfId="12554"/>
    <cellStyle name="Normal 3 28 5 5" xfId="12547"/>
    <cellStyle name="Normal 3 28 6" xfId="1782"/>
    <cellStyle name="Normal 3 28 6 2" xfId="3728"/>
    <cellStyle name="Normal 3 28 6 2 2" xfId="7581"/>
    <cellStyle name="Normal 3 28 6 2 2 2" xfId="12557"/>
    <cellStyle name="Normal 3 28 6 2 3" xfId="12556"/>
    <cellStyle name="Normal 3 28 6 3" xfId="5643"/>
    <cellStyle name="Normal 3 28 6 3 2" xfId="12558"/>
    <cellStyle name="Normal 3 28 6 4" xfId="12555"/>
    <cellStyle name="Normal 3 28 7" xfId="2766"/>
    <cellStyle name="Normal 3 28 7 2" xfId="6625"/>
    <cellStyle name="Normal 3 28 7 2 2" xfId="12560"/>
    <cellStyle name="Normal 3 28 7 3" xfId="12559"/>
    <cellStyle name="Normal 3 28 8" xfId="4693"/>
    <cellStyle name="Normal 3 28 8 2" xfId="12561"/>
    <cellStyle name="Normal 3 28 9" xfId="12498"/>
    <cellStyle name="Normal 3 29" xfId="592"/>
    <cellStyle name="Normal 3 29 2" xfId="944"/>
    <cellStyle name="Normal 3 29 2 2" xfId="1384"/>
    <cellStyle name="Normal 3 29 2 2 2" xfId="2355"/>
    <cellStyle name="Normal 3 29 2 2 2 2" xfId="4300"/>
    <cellStyle name="Normal 3 29 2 2 2 2 2" xfId="8153"/>
    <cellStyle name="Normal 3 29 2 2 2 2 2 2" xfId="12567"/>
    <cellStyle name="Normal 3 29 2 2 2 2 3" xfId="12566"/>
    <cellStyle name="Normal 3 29 2 2 2 3" xfId="6215"/>
    <cellStyle name="Normal 3 29 2 2 2 3 2" xfId="12568"/>
    <cellStyle name="Normal 3 29 2 2 2 4" xfId="12565"/>
    <cellStyle name="Normal 3 29 2 2 3" xfId="3339"/>
    <cellStyle name="Normal 3 29 2 2 3 2" xfId="7197"/>
    <cellStyle name="Normal 3 29 2 2 3 2 2" xfId="12570"/>
    <cellStyle name="Normal 3 29 2 2 3 3" xfId="12569"/>
    <cellStyle name="Normal 3 29 2 2 4" xfId="5259"/>
    <cellStyle name="Normal 3 29 2 2 4 2" xfId="12571"/>
    <cellStyle name="Normal 3 29 2 2 5" xfId="12564"/>
    <cellStyle name="Normal 3 29 2 3" xfId="1181"/>
    <cellStyle name="Normal 3 29 2 3 2" xfId="2152"/>
    <cellStyle name="Normal 3 29 2 3 2 2" xfId="4097"/>
    <cellStyle name="Normal 3 29 2 3 2 2 2" xfId="7950"/>
    <cellStyle name="Normal 3 29 2 3 2 2 2 2" xfId="12575"/>
    <cellStyle name="Normal 3 29 2 3 2 2 3" xfId="12574"/>
    <cellStyle name="Normal 3 29 2 3 2 3" xfId="6012"/>
    <cellStyle name="Normal 3 29 2 3 2 3 2" xfId="12576"/>
    <cellStyle name="Normal 3 29 2 3 2 4" xfId="12573"/>
    <cellStyle name="Normal 3 29 2 3 3" xfId="3136"/>
    <cellStyle name="Normal 3 29 2 3 3 2" xfId="6994"/>
    <cellStyle name="Normal 3 29 2 3 3 2 2" xfId="12578"/>
    <cellStyle name="Normal 3 29 2 3 3 3" xfId="12577"/>
    <cellStyle name="Normal 3 29 2 3 4" xfId="5056"/>
    <cellStyle name="Normal 3 29 2 3 4 2" xfId="12579"/>
    <cellStyle name="Normal 3 29 2 3 5" xfId="12572"/>
    <cellStyle name="Normal 3 29 2 4" xfId="1645"/>
    <cellStyle name="Normal 3 29 2 4 2" xfId="2606"/>
    <cellStyle name="Normal 3 29 2 4 2 2" xfId="4551"/>
    <cellStyle name="Normal 3 29 2 4 2 2 2" xfId="8404"/>
    <cellStyle name="Normal 3 29 2 4 2 2 2 2" xfId="12583"/>
    <cellStyle name="Normal 3 29 2 4 2 2 3" xfId="12582"/>
    <cellStyle name="Normal 3 29 2 4 2 3" xfId="6466"/>
    <cellStyle name="Normal 3 29 2 4 2 3 2" xfId="12584"/>
    <cellStyle name="Normal 3 29 2 4 2 4" xfId="12581"/>
    <cellStyle name="Normal 3 29 2 4 3" xfId="3592"/>
    <cellStyle name="Normal 3 29 2 4 3 2" xfId="7448"/>
    <cellStyle name="Normal 3 29 2 4 3 2 2" xfId="12586"/>
    <cellStyle name="Normal 3 29 2 4 3 3" xfId="12585"/>
    <cellStyle name="Normal 3 29 2 4 4" xfId="5510"/>
    <cellStyle name="Normal 3 29 2 4 4 2" xfId="12587"/>
    <cellStyle name="Normal 3 29 2 4 5" xfId="12580"/>
    <cellStyle name="Normal 3 29 2 5" xfId="1920"/>
    <cellStyle name="Normal 3 29 2 5 2" xfId="3865"/>
    <cellStyle name="Normal 3 29 2 5 2 2" xfId="7718"/>
    <cellStyle name="Normal 3 29 2 5 2 2 2" xfId="12590"/>
    <cellStyle name="Normal 3 29 2 5 2 3" xfId="12589"/>
    <cellStyle name="Normal 3 29 2 5 3" xfId="5780"/>
    <cellStyle name="Normal 3 29 2 5 3 2" xfId="12591"/>
    <cellStyle name="Normal 3 29 2 5 4" xfId="12588"/>
    <cellStyle name="Normal 3 29 2 6" xfId="2904"/>
    <cellStyle name="Normal 3 29 2 6 2" xfId="6762"/>
    <cellStyle name="Normal 3 29 2 6 2 2" xfId="12593"/>
    <cellStyle name="Normal 3 29 2 6 3" xfId="12592"/>
    <cellStyle name="Normal 3 29 2 7" xfId="4824"/>
    <cellStyle name="Normal 3 29 2 7 2" xfId="12594"/>
    <cellStyle name="Normal 3 29 2 8" xfId="12563"/>
    <cellStyle name="Normal 3 29 3" xfId="1283"/>
    <cellStyle name="Normal 3 29 3 2" xfId="2254"/>
    <cellStyle name="Normal 3 29 3 2 2" xfId="4199"/>
    <cellStyle name="Normal 3 29 3 2 2 2" xfId="8052"/>
    <cellStyle name="Normal 3 29 3 2 2 2 2" xfId="12598"/>
    <cellStyle name="Normal 3 29 3 2 2 3" xfId="12597"/>
    <cellStyle name="Normal 3 29 3 2 3" xfId="6114"/>
    <cellStyle name="Normal 3 29 3 2 3 2" xfId="12599"/>
    <cellStyle name="Normal 3 29 3 2 4" xfId="12596"/>
    <cellStyle name="Normal 3 29 3 3" xfId="3238"/>
    <cellStyle name="Normal 3 29 3 3 2" xfId="7096"/>
    <cellStyle name="Normal 3 29 3 3 2 2" xfId="12601"/>
    <cellStyle name="Normal 3 29 3 3 3" xfId="12600"/>
    <cellStyle name="Normal 3 29 3 4" xfId="5158"/>
    <cellStyle name="Normal 3 29 3 4 2" xfId="12602"/>
    <cellStyle name="Normal 3 29 3 5" xfId="12595"/>
    <cellStyle name="Normal 3 29 4" xfId="1050"/>
    <cellStyle name="Normal 3 29 4 2" xfId="2022"/>
    <cellStyle name="Normal 3 29 4 2 2" xfId="3967"/>
    <cellStyle name="Normal 3 29 4 2 2 2" xfId="7820"/>
    <cellStyle name="Normal 3 29 4 2 2 2 2" xfId="12606"/>
    <cellStyle name="Normal 3 29 4 2 2 3" xfId="12605"/>
    <cellStyle name="Normal 3 29 4 2 3" xfId="5882"/>
    <cellStyle name="Normal 3 29 4 2 3 2" xfId="12607"/>
    <cellStyle name="Normal 3 29 4 2 4" xfId="12604"/>
    <cellStyle name="Normal 3 29 4 3" xfId="3006"/>
    <cellStyle name="Normal 3 29 4 3 2" xfId="6864"/>
    <cellStyle name="Normal 3 29 4 3 2 2" xfId="12609"/>
    <cellStyle name="Normal 3 29 4 3 3" xfId="12608"/>
    <cellStyle name="Normal 3 29 4 4" xfId="4926"/>
    <cellStyle name="Normal 3 29 4 4 2" xfId="12610"/>
    <cellStyle name="Normal 3 29 4 5" xfId="12603"/>
    <cellStyle name="Normal 3 29 5" xfId="1513"/>
    <cellStyle name="Normal 3 29 5 2" xfId="2480"/>
    <cellStyle name="Normal 3 29 5 2 2" xfId="4425"/>
    <cellStyle name="Normal 3 29 5 2 2 2" xfId="8278"/>
    <cellStyle name="Normal 3 29 5 2 2 2 2" xfId="12614"/>
    <cellStyle name="Normal 3 29 5 2 2 3" xfId="12613"/>
    <cellStyle name="Normal 3 29 5 2 3" xfId="6340"/>
    <cellStyle name="Normal 3 29 5 2 3 2" xfId="12615"/>
    <cellStyle name="Normal 3 29 5 2 4" xfId="12612"/>
    <cellStyle name="Normal 3 29 5 3" xfId="3465"/>
    <cellStyle name="Normal 3 29 5 3 2" xfId="7322"/>
    <cellStyle name="Normal 3 29 5 3 2 2" xfId="12617"/>
    <cellStyle name="Normal 3 29 5 3 3" xfId="12616"/>
    <cellStyle name="Normal 3 29 5 4" xfId="5384"/>
    <cellStyle name="Normal 3 29 5 4 2" xfId="12618"/>
    <cellStyle name="Normal 3 29 5 5" xfId="12611"/>
    <cellStyle name="Normal 3 29 6" xfId="1783"/>
    <cellStyle name="Normal 3 29 6 2" xfId="3729"/>
    <cellStyle name="Normal 3 29 6 2 2" xfId="7582"/>
    <cellStyle name="Normal 3 29 6 2 2 2" xfId="12621"/>
    <cellStyle name="Normal 3 29 6 2 3" xfId="12620"/>
    <cellStyle name="Normal 3 29 6 3" xfId="5644"/>
    <cellStyle name="Normal 3 29 6 3 2" xfId="12622"/>
    <cellStyle name="Normal 3 29 6 4" xfId="12619"/>
    <cellStyle name="Normal 3 29 7" xfId="2767"/>
    <cellStyle name="Normal 3 29 7 2" xfId="6626"/>
    <cellStyle name="Normal 3 29 7 2 2" xfId="12624"/>
    <cellStyle name="Normal 3 29 7 3" xfId="12623"/>
    <cellStyle name="Normal 3 29 8" xfId="4694"/>
    <cellStyle name="Normal 3 29 8 2" xfId="12625"/>
    <cellStyle name="Normal 3 29 9" xfId="12562"/>
    <cellStyle name="Normal 3 3" xfId="413"/>
    <cellStyle name="Normal 3 3 10" xfId="4670"/>
    <cellStyle name="Normal 3 3 10 2" xfId="12627"/>
    <cellStyle name="Normal 3 3 11" xfId="12626"/>
    <cellStyle name="Normal 3 3 2" xfId="414"/>
    <cellStyle name="Normal 3 3 2 10" xfId="12628"/>
    <cellStyle name="Normal 3 3 2 2" xfId="656"/>
    <cellStyle name="Normal 3 3 2 2 2" xfId="945"/>
    <cellStyle name="Normal 3 3 2 2 2 2" xfId="1400"/>
    <cellStyle name="Normal 3 3 2 2 2 2 2" xfId="2371"/>
    <cellStyle name="Normal 3 3 2 2 2 2 2 2" xfId="4316"/>
    <cellStyle name="Normal 3 3 2 2 2 2 2 2 2" xfId="8169"/>
    <cellStyle name="Normal 3 3 2 2 2 2 2 2 2 2" xfId="12634"/>
    <cellStyle name="Normal 3 3 2 2 2 2 2 2 3" xfId="12633"/>
    <cellStyle name="Normal 3 3 2 2 2 2 2 3" xfId="6231"/>
    <cellStyle name="Normal 3 3 2 2 2 2 2 3 2" xfId="12635"/>
    <cellStyle name="Normal 3 3 2 2 2 2 2 4" xfId="12632"/>
    <cellStyle name="Normal 3 3 2 2 2 2 3" xfId="3355"/>
    <cellStyle name="Normal 3 3 2 2 2 2 3 2" xfId="7213"/>
    <cellStyle name="Normal 3 3 2 2 2 2 3 2 2" xfId="12637"/>
    <cellStyle name="Normal 3 3 2 2 2 2 3 3" xfId="12636"/>
    <cellStyle name="Normal 3 3 2 2 2 2 4" xfId="5275"/>
    <cellStyle name="Normal 3 3 2 2 2 2 4 2" xfId="12638"/>
    <cellStyle name="Normal 3 3 2 2 2 2 5" xfId="12631"/>
    <cellStyle name="Normal 3 3 2 2 2 3" xfId="1182"/>
    <cellStyle name="Normal 3 3 2 2 2 3 2" xfId="2153"/>
    <cellStyle name="Normal 3 3 2 2 2 3 2 2" xfId="4098"/>
    <cellStyle name="Normal 3 3 2 2 2 3 2 2 2" xfId="7951"/>
    <cellStyle name="Normal 3 3 2 2 2 3 2 2 2 2" xfId="12642"/>
    <cellStyle name="Normal 3 3 2 2 2 3 2 2 3" xfId="12641"/>
    <cellStyle name="Normal 3 3 2 2 2 3 2 3" xfId="6013"/>
    <cellStyle name="Normal 3 3 2 2 2 3 2 3 2" xfId="12643"/>
    <cellStyle name="Normal 3 3 2 2 2 3 2 4" xfId="12640"/>
    <cellStyle name="Normal 3 3 2 2 2 3 3" xfId="3137"/>
    <cellStyle name="Normal 3 3 2 2 2 3 3 2" xfId="6995"/>
    <cellStyle name="Normal 3 3 2 2 2 3 3 2 2" xfId="12645"/>
    <cellStyle name="Normal 3 3 2 2 2 3 3 3" xfId="12644"/>
    <cellStyle name="Normal 3 3 2 2 2 3 4" xfId="5057"/>
    <cellStyle name="Normal 3 3 2 2 2 3 4 2" xfId="12646"/>
    <cellStyle name="Normal 3 3 2 2 2 3 5" xfId="12639"/>
    <cellStyle name="Normal 3 3 2 2 2 4" xfId="1661"/>
    <cellStyle name="Normal 3 3 2 2 2 4 2" xfId="2622"/>
    <cellStyle name="Normal 3 3 2 2 2 4 2 2" xfId="4567"/>
    <cellStyle name="Normal 3 3 2 2 2 4 2 2 2" xfId="8420"/>
    <cellStyle name="Normal 3 3 2 2 2 4 2 2 2 2" xfId="12650"/>
    <cellStyle name="Normal 3 3 2 2 2 4 2 2 3" xfId="12649"/>
    <cellStyle name="Normal 3 3 2 2 2 4 2 3" xfId="6482"/>
    <cellStyle name="Normal 3 3 2 2 2 4 2 3 2" xfId="12651"/>
    <cellStyle name="Normal 3 3 2 2 2 4 2 4" xfId="12648"/>
    <cellStyle name="Normal 3 3 2 2 2 4 3" xfId="3608"/>
    <cellStyle name="Normal 3 3 2 2 2 4 3 2" xfId="7464"/>
    <cellStyle name="Normal 3 3 2 2 2 4 3 2 2" xfId="12653"/>
    <cellStyle name="Normal 3 3 2 2 2 4 3 3" xfId="12652"/>
    <cellStyle name="Normal 3 3 2 2 2 4 4" xfId="5526"/>
    <cellStyle name="Normal 3 3 2 2 2 4 4 2" xfId="12654"/>
    <cellStyle name="Normal 3 3 2 2 2 4 5" xfId="12647"/>
    <cellStyle name="Normal 3 3 2 2 2 5" xfId="1921"/>
    <cellStyle name="Normal 3 3 2 2 2 5 2" xfId="3866"/>
    <cellStyle name="Normal 3 3 2 2 2 5 2 2" xfId="7719"/>
    <cellStyle name="Normal 3 3 2 2 2 5 2 2 2" xfId="12657"/>
    <cellStyle name="Normal 3 3 2 2 2 5 2 3" xfId="12656"/>
    <cellStyle name="Normal 3 3 2 2 2 5 3" xfId="5781"/>
    <cellStyle name="Normal 3 3 2 2 2 5 3 2" xfId="12658"/>
    <cellStyle name="Normal 3 3 2 2 2 5 4" xfId="12655"/>
    <cellStyle name="Normal 3 3 2 2 2 6" xfId="2905"/>
    <cellStyle name="Normal 3 3 2 2 2 6 2" xfId="6763"/>
    <cellStyle name="Normal 3 3 2 2 2 6 2 2" xfId="12660"/>
    <cellStyle name="Normal 3 3 2 2 2 6 3" xfId="12659"/>
    <cellStyle name="Normal 3 3 2 2 2 7" xfId="4825"/>
    <cellStyle name="Normal 3 3 2 2 2 7 2" xfId="12661"/>
    <cellStyle name="Normal 3 3 2 2 2 8" xfId="12630"/>
    <cellStyle name="Normal 3 3 2 2 3" xfId="1299"/>
    <cellStyle name="Normal 3 3 2 2 3 2" xfId="2270"/>
    <cellStyle name="Normal 3 3 2 2 3 2 2" xfId="4215"/>
    <cellStyle name="Normal 3 3 2 2 3 2 2 2" xfId="8068"/>
    <cellStyle name="Normal 3 3 2 2 3 2 2 2 2" xfId="12665"/>
    <cellStyle name="Normal 3 3 2 2 3 2 2 3" xfId="12664"/>
    <cellStyle name="Normal 3 3 2 2 3 2 3" xfId="6130"/>
    <cellStyle name="Normal 3 3 2 2 3 2 3 2" xfId="12666"/>
    <cellStyle name="Normal 3 3 2 2 3 2 4" xfId="12663"/>
    <cellStyle name="Normal 3 3 2 2 3 3" xfId="3254"/>
    <cellStyle name="Normal 3 3 2 2 3 3 2" xfId="7112"/>
    <cellStyle name="Normal 3 3 2 2 3 3 2 2" xfId="12668"/>
    <cellStyle name="Normal 3 3 2 2 3 3 3" xfId="12667"/>
    <cellStyle name="Normal 3 3 2 2 3 4" xfId="5174"/>
    <cellStyle name="Normal 3 3 2 2 3 4 2" xfId="12669"/>
    <cellStyle name="Normal 3 3 2 2 3 5" xfId="12662"/>
    <cellStyle name="Normal 3 3 2 2 4" xfId="1067"/>
    <cellStyle name="Normal 3 3 2 2 4 2" xfId="2038"/>
    <cellStyle name="Normal 3 3 2 2 4 2 2" xfId="3983"/>
    <cellStyle name="Normal 3 3 2 2 4 2 2 2" xfId="7836"/>
    <cellStyle name="Normal 3 3 2 2 4 2 2 2 2" xfId="12673"/>
    <cellStyle name="Normal 3 3 2 2 4 2 2 3" xfId="12672"/>
    <cellStyle name="Normal 3 3 2 2 4 2 3" xfId="5898"/>
    <cellStyle name="Normal 3 3 2 2 4 2 3 2" xfId="12674"/>
    <cellStyle name="Normal 3 3 2 2 4 2 4" xfId="12671"/>
    <cellStyle name="Normal 3 3 2 2 4 3" xfId="3022"/>
    <cellStyle name="Normal 3 3 2 2 4 3 2" xfId="6880"/>
    <cellStyle name="Normal 3 3 2 2 4 3 2 2" xfId="12676"/>
    <cellStyle name="Normal 3 3 2 2 4 3 3" xfId="12675"/>
    <cellStyle name="Normal 3 3 2 2 4 4" xfId="4942"/>
    <cellStyle name="Normal 3 3 2 2 4 4 2" xfId="12677"/>
    <cellStyle name="Normal 3 3 2 2 4 5" xfId="12670"/>
    <cellStyle name="Normal 3 3 2 2 5" xfId="1563"/>
    <cellStyle name="Normal 3 3 2 2 5 2" xfId="2527"/>
    <cellStyle name="Normal 3 3 2 2 5 2 2" xfId="4472"/>
    <cellStyle name="Normal 3 3 2 2 5 2 2 2" xfId="8325"/>
    <cellStyle name="Normal 3 3 2 2 5 2 2 2 2" xfId="12681"/>
    <cellStyle name="Normal 3 3 2 2 5 2 2 3" xfId="12680"/>
    <cellStyle name="Normal 3 3 2 2 5 2 3" xfId="6387"/>
    <cellStyle name="Normal 3 3 2 2 5 2 3 2" xfId="12682"/>
    <cellStyle name="Normal 3 3 2 2 5 2 4" xfId="12679"/>
    <cellStyle name="Normal 3 3 2 2 5 3" xfId="3513"/>
    <cellStyle name="Normal 3 3 2 2 5 3 2" xfId="7369"/>
    <cellStyle name="Normal 3 3 2 2 5 3 2 2" xfId="12684"/>
    <cellStyle name="Normal 3 3 2 2 5 3 3" xfId="12683"/>
    <cellStyle name="Normal 3 3 2 2 5 4" xfId="5431"/>
    <cellStyle name="Normal 3 3 2 2 5 4 2" xfId="12685"/>
    <cellStyle name="Normal 3 3 2 2 5 5" xfId="12678"/>
    <cellStyle name="Normal 3 3 2 2 6" xfId="1799"/>
    <cellStyle name="Normal 3 3 2 2 6 2" xfId="3745"/>
    <cellStyle name="Normal 3 3 2 2 6 2 2" xfId="7598"/>
    <cellStyle name="Normal 3 3 2 2 6 2 2 2" xfId="12688"/>
    <cellStyle name="Normal 3 3 2 2 6 2 3" xfId="12687"/>
    <cellStyle name="Normal 3 3 2 2 6 3" xfId="5660"/>
    <cellStyle name="Normal 3 3 2 2 6 3 2" xfId="12689"/>
    <cellStyle name="Normal 3 3 2 2 6 4" xfId="12686"/>
    <cellStyle name="Normal 3 3 2 2 7" xfId="2783"/>
    <cellStyle name="Normal 3 3 2 2 7 2" xfId="6642"/>
    <cellStyle name="Normal 3 3 2 2 7 2 2" xfId="12691"/>
    <cellStyle name="Normal 3 3 2 2 7 3" xfId="12690"/>
    <cellStyle name="Normal 3 3 2 2 8" xfId="4710"/>
    <cellStyle name="Normal 3 3 2 2 8 2" xfId="12692"/>
    <cellStyle name="Normal 3 3 2 2 9" xfId="12629"/>
    <cellStyle name="Normal 3 3 2 3" xfId="946"/>
    <cellStyle name="Normal 3 3 2 3 2" xfId="1363"/>
    <cellStyle name="Normal 3 3 2 3 2 2" xfId="2334"/>
    <cellStyle name="Normal 3 3 2 3 2 2 2" xfId="4279"/>
    <cellStyle name="Normal 3 3 2 3 2 2 2 2" xfId="8132"/>
    <cellStyle name="Normal 3 3 2 3 2 2 2 2 2" xfId="12697"/>
    <cellStyle name="Normal 3 3 2 3 2 2 2 3" xfId="12696"/>
    <cellStyle name="Normal 3 3 2 3 2 2 3" xfId="6194"/>
    <cellStyle name="Normal 3 3 2 3 2 2 3 2" xfId="12698"/>
    <cellStyle name="Normal 3 3 2 3 2 2 4" xfId="12695"/>
    <cellStyle name="Normal 3 3 2 3 2 3" xfId="3318"/>
    <cellStyle name="Normal 3 3 2 3 2 3 2" xfId="7176"/>
    <cellStyle name="Normal 3 3 2 3 2 3 2 2" xfId="12700"/>
    <cellStyle name="Normal 3 3 2 3 2 3 3" xfId="12699"/>
    <cellStyle name="Normal 3 3 2 3 2 4" xfId="5238"/>
    <cellStyle name="Normal 3 3 2 3 2 4 2" xfId="12701"/>
    <cellStyle name="Normal 3 3 2 3 2 5" xfId="12694"/>
    <cellStyle name="Normal 3 3 2 3 3" xfId="1183"/>
    <cellStyle name="Normal 3 3 2 3 3 2" xfId="2154"/>
    <cellStyle name="Normal 3 3 2 3 3 2 2" xfId="4099"/>
    <cellStyle name="Normal 3 3 2 3 3 2 2 2" xfId="7952"/>
    <cellStyle name="Normal 3 3 2 3 3 2 2 2 2" xfId="12705"/>
    <cellStyle name="Normal 3 3 2 3 3 2 2 3" xfId="12704"/>
    <cellStyle name="Normal 3 3 2 3 3 2 3" xfId="6014"/>
    <cellStyle name="Normal 3 3 2 3 3 2 3 2" xfId="12706"/>
    <cellStyle name="Normal 3 3 2 3 3 2 4" xfId="12703"/>
    <cellStyle name="Normal 3 3 2 3 3 3" xfId="3138"/>
    <cellStyle name="Normal 3 3 2 3 3 3 2" xfId="6996"/>
    <cellStyle name="Normal 3 3 2 3 3 3 2 2" xfId="12708"/>
    <cellStyle name="Normal 3 3 2 3 3 3 3" xfId="12707"/>
    <cellStyle name="Normal 3 3 2 3 3 4" xfId="5058"/>
    <cellStyle name="Normal 3 3 2 3 3 4 2" xfId="12709"/>
    <cellStyle name="Normal 3 3 2 3 3 5" xfId="12702"/>
    <cellStyle name="Normal 3 3 2 3 4" xfId="1624"/>
    <cellStyle name="Normal 3 3 2 3 4 2" xfId="2585"/>
    <cellStyle name="Normal 3 3 2 3 4 2 2" xfId="4530"/>
    <cellStyle name="Normal 3 3 2 3 4 2 2 2" xfId="8383"/>
    <cellStyle name="Normal 3 3 2 3 4 2 2 2 2" xfId="12713"/>
    <cellStyle name="Normal 3 3 2 3 4 2 2 3" xfId="12712"/>
    <cellStyle name="Normal 3 3 2 3 4 2 3" xfId="6445"/>
    <cellStyle name="Normal 3 3 2 3 4 2 3 2" xfId="12714"/>
    <cellStyle name="Normal 3 3 2 3 4 2 4" xfId="12711"/>
    <cellStyle name="Normal 3 3 2 3 4 3" xfId="3571"/>
    <cellStyle name="Normal 3 3 2 3 4 3 2" xfId="7427"/>
    <cellStyle name="Normal 3 3 2 3 4 3 2 2" xfId="12716"/>
    <cellStyle name="Normal 3 3 2 3 4 3 3" xfId="12715"/>
    <cellStyle name="Normal 3 3 2 3 4 4" xfId="5489"/>
    <cellStyle name="Normal 3 3 2 3 4 4 2" xfId="12717"/>
    <cellStyle name="Normal 3 3 2 3 4 5" xfId="12710"/>
    <cellStyle name="Normal 3 3 2 3 5" xfId="1922"/>
    <cellStyle name="Normal 3 3 2 3 5 2" xfId="3867"/>
    <cellStyle name="Normal 3 3 2 3 5 2 2" xfId="7720"/>
    <cellStyle name="Normal 3 3 2 3 5 2 2 2" xfId="12720"/>
    <cellStyle name="Normal 3 3 2 3 5 2 3" xfId="12719"/>
    <cellStyle name="Normal 3 3 2 3 5 3" xfId="5782"/>
    <cellStyle name="Normal 3 3 2 3 5 3 2" xfId="12721"/>
    <cellStyle name="Normal 3 3 2 3 5 4" xfId="12718"/>
    <cellStyle name="Normal 3 3 2 3 6" xfId="2906"/>
    <cellStyle name="Normal 3 3 2 3 6 2" xfId="6764"/>
    <cellStyle name="Normal 3 3 2 3 6 2 2" xfId="12723"/>
    <cellStyle name="Normal 3 3 2 3 6 3" xfId="12722"/>
    <cellStyle name="Normal 3 3 2 3 7" xfId="4826"/>
    <cellStyle name="Normal 3 3 2 3 7 2" xfId="12724"/>
    <cellStyle name="Normal 3 3 2 3 8" xfId="12693"/>
    <cellStyle name="Normal 3 3 2 4" xfId="1262"/>
    <cellStyle name="Normal 3 3 2 4 2" xfId="2233"/>
    <cellStyle name="Normal 3 3 2 4 2 2" xfId="4178"/>
    <cellStyle name="Normal 3 3 2 4 2 2 2" xfId="8031"/>
    <cellStyle name="Normal 3 3 2 4 2 2 2 2" xfId="12728"/>
    <cellStyle name="Normal 3 3 2 4 2 2 3" xfId="12727"/>
    <cellStyle name="Normal 3 3 2 4 2 3" xfId="6093"/>
    <cellStyle name="Normal 3 3 2 4 2 3 2" xfId="12729"/>
    <cellStyle name="Normal 3 3 2 4 2 4" xfId="12726"/>
    <cellStyle name="Normal 3 3 2 4 3" xfId="3217"/>
    <cellStyle name="Normal 3 3 2 4 3 2" xfId="7075"/>
    <cellStyle name="Normal 3 3 2 4 3 2 2" xfId="12731"/>
    <cellStyle name="Normal 3 3 2 4 3 3" xfId="12730"/>
    <cellStyle name="Normal 3 3 2 4 4" xfId="5137"/>
    <cellStyle name="Normal 3 3 2 4 4 2" xfId="12732"/>
    <cellStyle name="Normal 3 3 2 4 5" xfId="12725"/>
    <cellStyle name="Normal 3 3 2 5" xfId="1026"/>
    <cellStyle name="Normal 3 3 2 5 2" xfId="1999"/>
    <cellStyle name="Normal 3 3 2 5 2 2" xfId="3944"/>
    <cellStyle name="Normal 3 3 2 5 2 2 2" xfId="7797"/>
    <cellStyle name="Normal 3 3 2 5 2 2 2 2" xfId="12736"/>
    <cellStyle name="Normal 3 3 2 5 2 2 3" xfId="12735"/>
    <cellStyle name="Normal 3 3 2 5 2 3" xfId="5859"/>
    <cellStyle name="Normal 3 3 2 5 2 3 2" xfId="12737"/>
    <cellStyle name="Normal 3 3 2 5 2 4" xfId="12734"/>
    <cellStyle name="Normal 3 3 2 5 3" xfId="2983"/>
    <cellStyle name="Normal 3 3 2 5 3 2" xfId="6841"/>
    <cellStyle name="Normal 3 3 2 5 3 2 2" xfId="12739"/>
    <cellStyle name="Normal 3 3 2 5 3 3" xfId="12738"/>
    <cellStyle name="Normal 3 3 2 5 4" xfId="4903"/>
    <cellStyle name="Normal 3 3 2 5 4 2" xfId="12740"/>
    <cellStyle name="Normal 3 3 2 5 5" xfId="12733"/>
    <cellStyle name="Normal 3 3 2 6" xfId="1511"/>
    <cellStyle name="Normal 3 3 2 6 2" xfId="2478"/>
    <cellStyle name="Normal 3 3 2 6 2 2" xfId="4423"/>
    <cellStyle name="Normal 3 3 2 6 2 2 2" xfId="8276"/>
    <cellStyle name="Normal 3 3 2 6 2 2 2 2" xfId="12744"/>
    <cellStyle name="Normal 3 3 2 6 2 2 3" xfId="12743"/>
    <cellStyle name="Normal 3 3 2 6 2 3" xfId="6338"/>
    <cellStyle name="Normal 3 3 2 6 2 3 2" xfId="12745"/>
    <cellStyle name="Normal 3 3 2 6 2 4" xfId="12742"/>
    <cellStyle name="Normal 3 3 2 6 3" xfId="3463"/>
    <cellStyle name="Normal 3 3 2 6 3 2" xfId="7320"/>
    <cellStyle name="Normal 3 3 2 6 3 2 2" xfId="12747"/>
    <cellStyle name="Normal 3 3 2 6 3 3" xfId="12746"/>
    <cellStyle name="Normal 3 3 2 6 4" xfId="5382"/>
    <cellStyle name="Normal 3 3 2 6 4 2" xfId="12748"/>
    <cellStyle name="Normal 3 3 2 6 5" xfId="12741"/>
    <cellStyle name="Normal 3 3 2 7" xfId="1760"/>
    <cellStyle name="Normal 3 3 2 7 2" xfId="3706"/>
    <cellStyle name="Normal 3 3 2 7 2 2" xfId="7559"/>
    <cellStyle name="Normal 3 3 2 7 2 2 2" xfId="12751"/>
    <cellStyle name="Normal 3 3 2 7 2 3" xfId="12750"/>
    <cellStyle name="Normal 3 3 2 7 3" xfId="5621"/>
    <cellStyle name="Normal 3 3 2 7 3 2" xfId="12752"/>
    <cellStyle name="Normal 3 3 2 7 4" xfId="12749"/>
    <cellStyle name="Normal 3 3 2 8" xfId="2744"/>
    <cellStyle name="Normal 3 3 2 8 2" xfId="6603"/>
    <cellStyle name="Normal 3 3 2 8 2 2" xfId="12754"/>
    <cellStyle name="Normal 3 3 2 8 3" xfId="12753"/>
    <cellStyle name="Normal 3 3 2 9" xfId="4671"/>
    <cellStyle name="Normal 3 3 2 9 2" xfId="12755"/>
    <cellStyle name="Normal 3 3 3" xfId="655"/>
    <cellStyle name="Normal 3 3 3 2" xfId="1562"/>
    <cellStyle name="Normal 3 3 3 2 2" xfId="2526"/>
    <cellStyle name="Normal 3 3 3 2 2 2" xfId="4471"/>
    <cellStyle name="Normal 3 3 3 2 2 2 2" xfId="8324"/>
    <cellStyle name="Normal 3 3 3 2 2 2 2 2" xfId="12760"/>
    <cellStyle name="Normal 3 3 3 2 2 2 3" xfId="12759"/>
    <cellStyle name="Normal 3 3 3 2 2 3" xfId="6386"/>
    <cellStyle name="Normal 3 3 3 2 2 3 2" xfId="12761"/>
    <cellStyle name="Normal 3 3 3 2 2 4" xfId="12758"/>
    <cellStyle name="Normal 3 3 3 2 3" xfId="3512"/>
    <cellStyle name="Normal 3 3 3 2 3 2" xfId="7368"/>
    <cellStyle name="Normal 3 3 3 2 3 2 2" xfId="12763"/>
    <cellStyle name="Normal 3 3 3 2 3 3" xfId="12762"/>
    <cellStyle name="Normal 3 3 3 2 4" xfId="5430"/>
    <cellStyle name="Normal 3 3 3 2 4 2" xfId="12764"/>
    <cellStyle name="Normal 3 3 3 2 5" xfId="12757"/>
    <cellStyle name="Normal 3 3 3 3" xfId="12756"/>
    <cellStyle name="Normal 3 3 4" xfId="947"/>
    <cellStyle name="Normal 3 3 4 2" xfId="1362"/>
    <cellStyle name="Normal 3 3 4 2 2" xfId="2333"/>
    <cellStyle name="Normal 3 3 4 2 2 2" xfId="4278"/>
    <cellStyle name="Normal 3 3 4 2 2 2 2" xfId="8131"/>
    <cellStyle name="Normal 3 3 4 2 2 2 2 2" xfId="12769"/>
    <cellStyle name="Normal 3 3 4 2 2 2 3" xfId="12768"/>
    <cellStyle name="Normal 3 3 4 2 2 3" xfId="6193"/>
    <cellStyle name="Normal 3 3 4 2 2 3 2" xfId="12770"/>
    <cellStyle name="Normal 3 3 4 2 2 4" xfId="12767"/>
    <cellStyle name="Normal 3 3 4 2 3" xfId="3317"/>
    <cellStyle name="Normal 3 3 4 2 3 2" xfId="7175"/>
    <cellStyle name="Normal 3 3 4 2 3 2 2" xfId="12772"/>
    <cellStyle name="Normal 3 3 4 2 3 3" xfId="12771"/>
    <cellStyle name="Normal 3 3 4 2 4" xfId="5237"/>
    <cellStyle name="Normal 3 3 4 2 4 2" xfId="12773"/>
    <cellStyle name="Normal 3 3 4 2 5" xfId="12766"/>
    <cellStyle name="Normal 3 3 4 3" xfId="1184"/>
    <cellStyle name="Normal 3 3 4 3 2" xfId="2155"/>
    <cellStyle name="Normal 3 3 4 3 2 2" xfId="4100"/>
    <cellStyle name="Normal 3 3 4 3 2 2 2" xfId="7953"/>
    <cellStyle name="Normal 3 3 4 3 2 2 2 2" xfId="12777"/>
    <cellStyle name="Normal 3 3 4 3 2 2 3" xfId="12776"/>
    <cellStyle name="Normal 3 3 4 3 2 3" xfId="6015"/>
    <cellStyle name="Normal 3 3 4 3 2 3 2" xfId="12778"/>
    <cellStyle name="Normal 3 3 4 3 2 4" xfId="12775"/>
    <cellStyle name="Normal 3 3 4 3 3" xfId="3139"/>
    <cellStyle name="Normal 3 3 4 3 3 2" xfId="6997"/>
    <cellStyle name="Normal 3 3 4 3 3 2 2" xfId="12780"/>
    <cellStyle name="Normal 3 3 4 3 3 3" xfId="12779"/>
    <cellStyle name="Normal 3 3 4 3 4" xfId="5059"/>
    <cellStyle name="Normal 3 3 4 3 4 2" xfId="12781"/>
    <cellStyle name="Normal 3 3 4 3 5" xfId="12774"/>
    <cellStyle name="Normal 3 3 4 4" xfId="1623"/>
    <cellStyle name="Normal 3 3 4 4 2" xfId="2584"/>
    <cellStyle name="Normal 3 3 4 4 2 2" xfId="4529"/>
    <cellStyle name="Normal 3 3 4 4 2 2 2" xfId="8382"/>
    <cellStyle name="Normal 3 3 4 4 2 2 2 2" xfId="12785"/>
    <cellStyle name="Normal 3 3 4 4 2 2 3" xfId="12784"/>
    <cellStyle name="Normal 3 3 4 4 2 3" xfId="6444"/>
    <cellStyle name="Normal 3 3 4 4 2 3 2" xfId="12786"/>
    <cellStyle name="Normal 3 3 4 4 2 4" xfId="12783"/>
    <cellStyle name="Normal 3 3 4 4 3" xfId="3570"/>
    <cellStyle name="Normal 3 3 4 4 3 2" xfId="7426"/>
    <cellStyle name="Normal 3 3 4 4 3 2 2" xfId="12788"/>
    <cellStyle name="Normal 3 3 4 4 3 3" xfId="12787"/>
    <cellStyle name="Normal 3 3 4 4 4" xfId="5488"/>
    <cellStyle name="Normal 3 3 4 4 4 2" xfId="12789"/>
    <cellStyle name="Normal 3 3 4 4 5" xfId="12782"/>
    <cellStyle name="Normal 3 3 4 5" xfId="1923"/>
    <cellStyle name="Normal 3 3 4 5 2" xfId="3868"/>
    <cellStyle name="Normal 3 3 4 5 2 2" xfId="7721"/>
    <cellStyle name="Normal 3 3 4 5 2 2 2" xfId="12792"/>
    <cellStyle name="Normal 3 3 4 5 2 3" xfId="12791"/>
    <cellStyle name="Normal 3 3 4 5 3" xfId="5783"/>
    <cellStyle name="Normal 3 3 4 5 3 2" xfId="12793"/>
    <cellStyle name="Normal 3 3 4 5 4" xfId="12790"/>
    <cellStyle name="Normal 3 3 4 6" xfId="2907"/>
    <cellStyle name="Normal 3 3 4 6 2" xfId="6765"/>
    <cellStyle name="Normal 3 3 4 6 2 2" xfId="12795"/>
    <cellStyle name="Normal 3 3 4 6 3" xfId="12794"/>
    <cellStyle name="Normal 3 3 4 7" xfId="4827"/>
    <cellStyle name="Normal 3 3 4 7 2" xfId="12796"/>
    <cellStyle name="Normal 3 3 4 8" xfId="12765"/>
    <cellStyle name="Normal 3 3 5" xfId="1261"/>
    <cellStyle name="Normal 3 3 5 2" xfId="2232"/>
    <cellStyle name="Normal 3 3 5 2 2" xfId="4177"/>
    <cellStyle name="Normal 3 3 5 2 2 2" xfId="8030"/>
    <cellStyle name="Normal 3 3 5 2 2 2 2" xfId="12800"/>
    <cellStyle name="Normal 3 3 5 2 2 3" xfId="12799"/>
    <cellStyle name="Normal 3 3 5 2 3" xfId="6092"/>
    <cellStyle name="Normal 3 3 5 2 3 2" xfId="12801"/>
    <cellStyle name="Normal 3 3 5 2 4" xfId="12798"/>
    <cellStyle name="Normal 3 3 5 3" xfId="3216"/>
    <cellStyle name="Normal 3 3 5 3 2" xfId="7074"/>
    <cellStyle name="Normal 3 3 5 3 2 2" xfId="12803"/>
    <cellStyle name="Normal 3 3 5 3 3" xfId="12802"/>
    <cellStyle name="Normal 3 3 5 4" xfId="5136"/>
    <cellStyle name="Normal 3 3 5 4 2" xfId="12804"/>
    <cellStyle name="Normal 3 3 5 5" xfId="12797"/>
    <cellStyle name="Normal 3 3 6" xfId="1025"/>
    <cellStyle name="Normal 3 3 6 2" xfId="1998"/>
    <cellStyle name="Normal 3 3 6 2 2" xfId="3943"/>
    <cellStyle name="Normal 3 3 6 2 2 2" xfId="7796"/>
    <cellStyle name="Normal 3 3 6 2 2 2 2" xfId="12808"/>
    <cellStyle name="Normal 3 3 6 2 2 3" xfId="12807"/>
    <cellStyle name="Normal 3 3 6 2 3" xfId="5858"/>
    <cellStyle name="Normal 3 3 6 2 3 2" xfId="12809"/>
    <cellStyle name="Normal 3 3 6 2 4" xfId="12806"/>
    <cellStyle name="Normal 3 3 6 3" xfId="2982"/>
    <cellStyle name="Normal 3 3 6 3 2" xfId="6840"/>
    <cellStyle name="Normal 3 3 6 3 2 2" xfId="12811"/>
    <cellStyle name="Normal 3 3 6 3 3" xfId="12810"/>
    <cellStyle name="Normal 3 3 6 4" xfId="4902"/>
    <cellStyle name="Normal 3 3 6 4 2" xfId="12812"/>
    <cellStyle name="Normal 3 3 6 5" xfId="12805"/>
    <cellStyle name="Normal 3 3 7" xfId="1510"/>
    <cellStyle name="Normal 3 3 7 2" xfId="2477"/>
    <cellStyle name="Normal 3 3 7 2 2" xfId="4422"/>
    <cellStyle name="Normal 3 3 7 2 2 2" xfId="8275"/>
    <cellStyle name="Normal 3 3 7 2 2 2 2" xfId="12816"/>
    <cellStyle name="Normal 3 3 7 2 2 3" xfId="12815"/>
    <cellStyle name="Normal 3 3 7 2 3" xfId="6337"/>
    <cellStyle name="Normal 3 3 7 2 3 2" xfId="12817"/>
    <cellStyle name="Normal 3 3 7 2 4" xfId="12814"/>
    <cellStyle name="Normal 3 3 7 3" xfId="3462"/>
    <cellStyle name="Normal 3 3 7 3 2" xfId="7319"/>
    <cellStyle name="Normal 3 3 7 3 2 2" xfId="12819"/>
    <cellStyle name="Normal 3 3 7 3 3" xfId="12818"/>
    <cellStyle name="Normal 3 3 7 4" xfId="5381"/>
    <cellStyle name="Normal 3 3 7 4 2" xfId="12820"/>
    <cellStyle name="Normal 3 3 7 5" xfId="12813"/>
    <cellStyle name="Normal 3 3 8" xfId="1759"/>
    <cellStyle name="Normal 3 3 8 2" xfId="3705"/>
    <cellStyle name="Normal 3 3 8 2 2" xfId="7558"/>
    <cellStyle name="Normal 3 3 8 2 2 2" xfId="12823"/>
    <cellStyle name="Normal 3 3 8 2 3" xfId="12822"/>
    <cellStyle name="Normal 3 3 8 3" xfId="5620"/>
    <cellStyle name="Normal 3 3 8 3 2" xfId="12824"/>
    <cellStyle name="Normal 3 3 8 4" xfId="12821"/>
    <cellStyle name="Normal 3 3 9" xfId="2743"/>
    <cellStyle name="Normal 3 3 9 2" xfId="6602"/>
    <cellStyle name="Normal 3 3 9 2 2" xfId="12826"/>
    <cellStyle name="Normal 3 3 9 3" xfId="12825"/>
    <cellStyle name="Normal 3 30" xfId="595"/>
    <cellStyle name="Normal 3 30 2" xfId="948"/>
    <cellStyle name="Normal 3 30 2 2" xfId="1387"/>
    <cellStyle name="Normal 3 30 2 2 2" xfId="2358"/>
    <cellStyle name="Normal 3 30 2 2 2 2" xfId="4303"/>
    <cellStyle name="Normal 3 30 2 2 2 2 2" xfId="8156"/>
    <cellStyle name="Normal 3 30 2 2 2 2 2 2" xfId="12832"/>
    <cellStyle name="Normal 3 30 2 2 2 2 3" xfId="12831"/>
    <cellStyle name="Normal 3 30 2 2 2 3" xfId="6218"/>
    <cellStyle name="Normal 3 30 2 2 2 3 2" xfId="12833"/>
    <cellStyle name="Normal 3 30 2 2 2 4" xfId="12830"/>
    <cellStyle name="Normal 3 30 2 2 3" xfId="3342"/>
    <cellStyle name="Normal 3 30 2 2 3 2" xfId="7200"/>
    <cellStyle name="Normal 3 30 2 2 3 2 2" xfId="12835"/>
    <cellStyle name="Normal 3 30 2 2 3 3" xfId="12834"/>
    <cellStyle name="Normal 3 30 2 2 4" xfId="5262"/>
    <cellStyle name="Normal 3 30 2 2 4 2" xfId="12836"/>
    <cellStyle name="Normal 3 30 2 2 5" xfId="12829"/>
    <cellStyle name="Normal 3 30 2 3" xfId="1185"/>
    <cellStyle name="Normal 3 30 2 3 2" xfId="2156"/>
    <cellStyle name="Normal 3 30 2 3 2 2" xfId="4101"/>
    <cellStyle name="Normal 3 30 2 3 2 2 2" xfId="7954"/>
    <cellStyle name="Normal 3 30 2 3 2 2 2 2" xfId="12840"/>
    <cellStyle name="Normal 3 30 2 3 2 2 3" xfId="12839"/>
    <cellStyle name="Normal 3 30 2 3 2 3" xfId="6016"/>
    <cellStyle name="Normal 3 30 2 3 2 3 2" xfId="12841"/>
    <cellStyle name="Normal 3 30 2 3 2 4" xfId="12838"/>
    <cellStyle name="Normal 3 30 2 3 3" xfId="3140"/>
    <cellStyle name="Normal 3 30 2 3 3 2" xfId="6998"/>
    <cellStyle name="Normal 3 30 2 3 3 2 2" xfId="12843"/>
    <cellStyle name="Normal 3 30 2 3 3 3" xfId="12842"/>
    <cellStyle name="Normal 3 30 2 3 4" xfId="5060"/>
    <cellStyle name="Normal 3 30 2 3 4 2" xfId="12844"/>
    <cellStyle name="Normal 3 30 2 3 5" xfId="12837"/>
    <cellStyle name="Normal 3 30 2 4" xfId="1648"/>
    <cellStyle name="Normal 3 30 2 4 2" xfId="2609"/>
    <cellStyle name="Normal 3 30 2 4 2 2" xfId="4554"/>
    <cellStyle name="Normal 3 30 2 4 2 2 2" xfId="8407"/>
    <cellStyle name="Normal 3 30 2 4 2 2 2 2" xfId="12848"/>
    <cellStyle name="Normal 3 30 2 4 2 2 3" xfId="12847"/>
    <cellStyle name="Normal 3 30 2 4 2 3" xfId="6469"/>
    <cellStyle name="Normal 3 30 2 4 2 3 2" xfId="12849"/>
    <cellStyle name="Normal 3 30 2 4 2 4" xfId="12846"/>
    <cellStyle name="Normal 3 30 2 4 3" xfId="3595"/>
    <cellStyle name="Normal 3 30 2 4 3 2" xfId="7451"/>
    <cellStyle name="Normal 3 30 2 4 3 2 2" xfId="12851"/>
    <cellStyle name="Normal 3 30 2 4 3 3" xfId="12850"/>
    <cellStyle name="Normal 3 30 2 4 4" xfId="5513"/>
    <cellStyle name="Normal 3 30 2 4 4 2" xfId="12852"/>
    <cellStyle name="Normal 3 30 2 4 5" xfId="12845"/>
    <cellStyle name="Normal 3 30 2 5" xfId="1924"/>
    <cellStyle name="Normal 3 30 2 5 2" xfId="3869"/>
    <cellStyle name="Normal 3 30 2 5 2 2" xfId="7722"/>
    <cellStyle name="Normal 3 30 2 5 2 2 2" xfId="12855"/>
    <cellStyle name="Normal 3 30 2 5 2 3" xfId="12854"/>
    <cellStyle name="Normal 3 30 2 5 3" xfId="5784"/>
    <cellStyle name="Normal 3 30 2 5 3 2" xfId="12856"/>
    <cellStyle name="Normal 3 30 2 5 4" xfId="12853"/>
    <cellStyle name="Normal 3 30 2 6" xfId="2908"/>
    <cellStyle name="Normal 3 30 2 6 2" xfId="6766"/>
    <cellStyle name="Normal 3 30 2 6 2 2" xfId="12858"/>
    <cellStyle name="Normal 3 30 2 6 3" xfId="12857"/>
    <cellStyle name="Normal 3 30 2 7" xfId="4828"/>
    <cellStyle name="Normal 3 30 2 7 2" xfId="12859"/>
    <cellStyle name="Normal 3 30 2 8" xfId="12828"/>
    <cellStyle name="Normal 3 30 3" xfId="1286"/>
    <cellStyle name="Normal 3 30 3 2" xfId="2257"/>
    <cellStyle name="Normal 3 30 3 2 2" xfId="4202"/>
    <cellStyle name="Normal 3 30 3 2 2 2" xfId="8055"/>
    <cellStyle name="Normal 3 30 3 2 2 2 2" xfId="12863"/>
    <cellStyle name="Normal 3 30 3 2 2 3" xfId="12862"/>
    <cellStyle name="Normal 3 30 3 2 3" xfId="6117"/>
    <cellStyle name="Normal 3 30 3 2 3 2" xfId="12864"/>
    <cellStyle name="Normal 3 30 3 2 4" xfId="12861"/>
    <cellStyle name="Normal 3 30 3 3" xfId="3241"/>
    <cellStyle name="Normal 3 30 3 3 2" xfId="7099"/>
    <cellStyle name="Normal 3 30 3 3 2 2" xfId="12866"/>
    <cellStyle name="Normal 3 30 3 3 3" xfId="12865"/>
    <cellStyle name="Normal 3 30 3 4" xfId="5161"/>
    <cellStyle name="Normal 3 30 3 4 2" xfId="12867"/>
    <cellStyle name="Normal 3 30 3 5" xfId="12860"/>
    <cellStyle name="Normal 3 30 4" xfId="1053"/>
    <cellStyle name="Normal 3 30 4 2" xfId="2025"/>
    <cellStyle name="Normal 3 30 4 2 2" xfId="3970"/>
    <cellStyle name="Normal 3 30 4 2 2 2" xfId="7823"/>
    <cellStyle name="Normal 3 30 4 2 2 2 2" xfId="12871"/>
    <cellStyle name="Normal 3 30 4 2 2 3" xfId="12870"/>
    <cellStyle name="Normal 3 30 4 2 3" xfId="5885"/>
    <cellStyle name="Normal 3 30 4 2 3 2" xfId="12872"/>
    <cellStyle name="Normal 3 30 4 2 4" xfId="12869"/>
    <cellStyle name="Normal 3 30 4 3" xfId="3009"/>
    <cellStyle name="Normal 3 30 4 3 2" xfId="6867"/>
    <cellStyle name="Normal 3 30 4 3 2 2" xfId="12874"/>
    <cellStyle name="Normal 3 30 4 3 3" xfId="12873"/>
    <cellStyle name="Normal 3 30 4 4" xfId="4929"/>
    <cellStyle name="Normal 3 30 4 4 2" xfId="12875"/>
    <cellStyle name="Normal 3 30 4 5" xfId="12868"/>
    <cellStyle name="Normal 3 30 5" xfId="1514"/>
    <cellStyle name="Normal 3 30 5 2" xfId="2481"/>
    <cellStyle name="Normal 3 30 5 2 2" xfId="4426"/>
    <cellStyle name="Normal 3 30 5 2 2 2" xfId="8279"/>
    <cellStyle name="Normal 3 30 5 2 2 2 2" xfId="12879"/>
    <cellStyle name="Normal 3 30 5 2 2 3" xfId="12878"/>
    <cellStyle name="Normal 3 30 5 2 3" xfId="6341"/>
    <cellStyle name="Normal 3 30 5 2 3 2" xfId="12880"/>
    <cellStyle name="Normal 3 30 5 2 4" xfId="12877"/>
    <cellStyle name="Normal 3 30 5 3" xfId="3466"/>
    <cellStyle name="Normal 3 30 5 3 2" xfId="7323"/>
    <cellStyle name="Normal 3 30 5 3 2 2" xfId="12882"/>
    <cellStyle name="Normal 3 30 5 3 3" xfId="12881"/>
    <cellStyle name="Normal 3 30 5 4" xfId="5385"/>
    <cellStyle name="Normal 3 30 5 4 2" xfId="12883"/>
    <cellStyle name="Normal 3 30 5 5" xfId="12876"/>
    <cellStyle name="Normal 3 30 6" xfId="1786"/>
    <cellStyle name="Normal 3 30 6 2" xfId="3732"/>
    <cellStyle name="Normal 3 30 6 2 2" xfId="7585"/>
    <cellStyle name="Normal 3 30 6 2 2 2" xfId="12886"/>
    <cellStyle name="Normal 3 30 6 2 3" xfId="12885"/>
    <cellStyle name="Normal 3 30 6 3" xfId="5647"/>
    <cellStyle name="Normal 3 30 6 3 2" xfId="12887"/>
    <cellStyle name="Normal 3 30 6 4" xfId="12884"/>
    <cellStyle name="Normal 3 30 7" xfId="2770"/>
    <cellStyle name="Normal 3 30 7 2" xfId="6629"/>
    <cellStyle name="Normal 3 30 7 2 2" xfId="12889"/>
    <cellStyle name="Normal 3 30 7 3" xfId="12888"/>
    <cellStyle name="Normal 3 30 8" xfId="4697"/>
    <cellStyle name="Normal 3 30 8 2" xfId="12890"/>
    <cellStyle name="Normal 3 30 9" xfId="12827"/>
    <cellStyle name="Normal 3 31" xfId="596"/>
    <cellStyle name="Normal 3 31 2" xfId="949"/>
    <cellStyle name="Normal 3 31 2 2" xfId="1388"/>
    <cellStyle name="Normal 3 31 2 2 2" xfId="2359"/>
    <cellStyle name="Normal 3 31 2 2 2 2" xfId="4304"/>
    <cellStyle name="Normal 3 31 2 2 2 2 2" xfId="8157"/>
    <cellStyle name="Normal 3 31 2 2 2 2 2 2" xfId="12896"/>
    <cellStyle name="Normal 3 31 2 2 2 2 3" xfId="12895"/>
    <cellStyle name="Normal 3 31 2 2 2 3" xfId="6219"/>
    <cellStyle name="Normal 3 31 2 2 2 3 2" xfId="12897"/>
    <cellStyle name="Normal 3 31 2 2 2 4" xfId="12894"/>
    <cellStyle name="Normal 3 31 2 2 3" xfId="3343"/>
    <cellStyle name="Normal 3 31 2 2 3 2" xfId="7201"/>
    <cellStyle name="Normal 3 31 2 2 3 2 2" xfId="12899"/>
    <cellStyle name="Normal 3 31 2 2 3 3" xfId="12898"/>
    <cellStyle name="Normal 3 31 2 2 4" xfId="5263"/>
    <cellStyle name="Normal 3 31 2 2 4 2" xfId="12900"/>
    <cellStyle name="Normal 3 31 2 2 5" xfId="12893"/>
    <cellStyle name="Normal 3 31 2 3" xfId="1186"/>
    <cellStyle name="Normal 3 31 2 3 2" xfId="2157"/>
    <cellStyle name="Normal 3 31 2 3 2 2" xfId="4102"/>
    <cellStyle name="Normal 3 31 2 3 2 2 2" xfId="7955"/>
    <cellStyle name="Normal 3 31 2 3 2 2 2 2" xfId="12904"/>
    <cellStyle name="Normal 3 31 2 3 2 2 3" xfId="12903"/>
    <cellStyle name="Normal 3 31 2 3 2 3" xfId="6017"/>
    <cellStyle name="Normal 3 31 2 3 2 3 2" xfId="12905"/>
    <cellStyle name="Normal 3 31 2 3 2 4" xfId="12902"/>
    <cellStyle name="Normal 3 31 2 3 3" xfId="3141"/>
    <cellStyle name="Normal 3 31 2 3 3 2" xfId="6999"/>
    <cellStyle name="Normal 3 31 2 3 3 2 2" xfId="12907"/>
    <cellStyle name="Normal 3 31 2 3 3 3" xfId="12906"/>
    <cellStyle name="Normal 3 31 2 3 4" xfId="5061"/>
    <cellStyle name="Normal 3 31 2 3 4 2" xfId="12908"/>
    <cellStyle name="Normal 3 31 2 3 5" xfId="12901"/>
    <cellStyle name="Normal 3 31 2 4" xfId="1649"/>
    <cellStyle name="Normal 3 31 2 4 2" xfId="2610"/>
    <cellStyle name="Normal 3 31 2 4 2 2" xfId="4555"/>
    <cellStyle name="Normal 3 31 2 4 2 2 2" xfId="8408"/>
    <cellStyle name="Normal 3 31 2 4 2 2 2 2" xfId="12912"/>
    <cellStyle name="Normal 3 31 2 4 2 2 3" xfId="12911"/>
    <cellStyle name="Normal 3 31 2 4 2 3" xfId="6470"/>
    <cellStyle name="Normal 3 31 2 4 2 3 2" xfId="12913"/>
    <cellStyle name="Normal 3 31 2 4 2 4" xfId="12910"/>
    <cellStyle name="Normal 3 31 2 4 3" xfId="3596"/>
    <cellStyle name="Normal 3 31 2 4 3 2" xfId="7452"/>
    <cellStyle name="Normal 3 31 2 4 3 2 2" xfId="12915"/>
    <cellStyle name="Normal 3 31 2 4 3 3" xfId="12914"/>
    <cellStyle name="Normal 3 31 2 4 4" xfId="5514"/>
    <cellStyle name="Normal 3 31 2 4 4 2" xfId="12916"/>
    <cellStyle name="Normal 3 31 2 4 5" xfId="12909"/>
    <cellStyle name="Normal 3 31 2 5" xfId="1925"/>
    <cellStyle name="Normal 3 31 2 5 2" xfId="3870"/>
    <cellStyle name="Normal 3 31 2 5 2 2" xfId="7723"/>
    <cellStyle name="Normal 3 31 2 5 2 2 2" xfId="12919"/>
    <cellStyle name="Normal 3 31 2 5 2 3" xfId="12918"/>
    <cellStyle name="Normal 3 31 2 5 3" xfId="5785"/>
    <cellStyle name="Normal 3 31 2 5 3 2" xfId="12920"/>
    <cellStyle name="Normal 3 31 2 5 4" xfId="12917"/>
    <cellStyle name="Normal 3 31 2 6" xfId="2909"/>
    <cellStyle name="Normal 3 31 2 6 2" xfId="6767"/>
    <cellStyle name="Normal 3 31 2 6 2 2" xfId="12922"/>
    <cellStyle name="Normal 3 31 2 6 3" xfId="12921"/>
    <cellStyle name="Normal 3 31 2 7" xfId="4829"/>
    <cellStyle name="Normal 3 31 2 7 2" xfId="12923"/>
    <cellStyle name="Normal 3 31 2 8" xfId="12892"/>
    <cellStyle name="Normal 3 31 3" xfId="1287"/>
    <cellStyle name="Normal 3 31 3 2" xfId="2258"/>
    <cellStyle name="Normal 3 31 3 2 2" xfId="4203"/>
    <cellStyle name="Normal 3 31 3 2 2 2" xfId="8056"/>
    <cellStyle name="Normal 3 31 3 2 2 2 2" xfId="12927"/>
    <cellStyle name="Normal 3 31 3 2 2 3" xfId="12926"/>
    <cellStyle name="Normal 3 31 3 2 3" xfId="6118"/>
    <cellStyle name="Normal 3 31 3 2 3 2" xfId="12928"/>
    <cellStyle name="Normal 3 31 3 2 4" xfId="12925"/>
    <cellStyle name="Normal 3 31 3 3" xfId="3242"/>
    <cellStyle name="Normal 3 31 3 3 2" xfId="7100"/>
    <cellStyle name="Normal 3 31 3 3 2 2" xfId="12930"/>
    <cellStyle name="Normal 3 31 3 3 3" xfId="12929"/>
    <cellStyle name="Normal 3 31 3 4" xfId="5162"/>
    <cellStyle name="Normal 3 31 3 4 2" xfId="12931"/>
    <cellStyle name="Normal 3 31 3 5" xfId="12924"/>
    <cellStyle name="Normal 3 31 4" xfId="1054"/>
    <cellStyle name="Normal 3 31 4 2" xfId="2026"/>
    <cellStyle name="Normal 3 31 4 2 2" xfId="3971"/>
    <cellStyle name="Normal 3 31 4 2 2 2" xfId="7824"/>
    <cellStyle name="Normal 3 31 4 2 2 2 2" xfId="12935"/>
    <cellStyle name="Normal 3 31 4 2 2 3" xfId="12934"/>
    <cellStyle name="Normal 3 31 4 2 3" xfId="5886"/>
    <cellStyle name="Normal 3 31 4 2 3 2" xfId="12936"/>
    <cellStyle name="Normal 3 31 4 2 4" xfId="12933"/>
    <cellStyle name="Normal 3 31 4 3" xfId="3010"/>
    <cellStyle name="Normal 3 31 4 3 2" xfId="6868"/>
    <cellStyle name="Normal 3 31 4 3 2 2" xfId="12938"/>
    <cellStyle name="Normal 3 31 4 3 3" xfId="12937"/>
    <cellStyle name="Normal 3 31 4 4" xfId="4930"/>
    <cellStyle name="Normal 3 31 4 4 2" xfId="12939"/>
    <cellStyle name="Normal 3 31 4 5" xfId="12932"/>
    <cellStyle name="Normal 3 31 5" xfId="1515"/>
    <cellStyle name="Normal 3 31 5 2" xfId="2482"/>
    <cellStyle name="Normal 3 31 5 2 2" xfId="4427"/>
    <cellStyle name="Normal 3 31 5 2 2 2" xfId="8280"/>
    <cellStyle name="Normal 3 31 5 2 2 2 2" xfId="12943"/>
    <cellStyle name="Normal 3 31 5 2 2 3" xfId="12942"/>
    <cellStyle name="Normal 3 31 5 2 3" xfId="6342"/>
    <cellStyle name="Normal 3 31 5 2 3 2" xfId="12944"/>
    <cellStyle name="Normal 3 31 5 2 4" xfId="12941"/>
    <cellStyle name="Normal 3 31 5 3" xfId="3467"/>
    <cellStyle name="Normal 3 31 5 3 2" xfId="7324"/>
    <cellStyle name="Normal 3 31 5 3 2 2" xfId="12946"/>
    <cellStyle name="Normal 3 31 5 3 3" xfId="12945"/>
    <cellStyle name="Normal 3 31 5 4" xfId="5386"/>
    <cellStyle name="Normal 3 31 5 4 2" xfId="12947"/>
    <cellStyle name="Normal 3 31 5 5" xfId="12940"/>
    <cellStyle name="Normal 3 31 6" xfId="1787"/>
    <cellStyle name="Normal 3 31 6 2" xfId="3733"/>
    <cellStyle name="Normal 3 31 6 2 2" xfId="7586"/>
    <cellStyle name="Normal 3 31 6 2 2 2" xfId="12950"/>
    <cellStyle name="Normal 3 31 6 2 3" xfId="12949"/>
    <cellStyle name="Normal 3 31 6 3" xfId="5648"/>
    <cellStyle name="Normal 3 31 6 3 2" xfId="12951"/>
    <cellStyle name="Normal 3 31 6 4" xfId="12948"/>
    <cellStyle name="Normal 3 31 7" xfId="2771"/>
    <cellStyle name="Normal 3 31 7 2" xfId="6630"/>
    <cellStyle name="Normal 3 31 7 2 2" xfId="12953"/>
    <cellStyle name="Normal 3 31 7 3" xfId="12952"/>
    <cellStyle name="Normal 3 31 8" xfId="4698"/>
    <cellStyle name="Normal 3 31 8 2" xfId="12954"/>
    <cellStyle name="Normal 3 31 9" xfId="12891"/>
    <cellStyle name="Normal 3 32" xfId="598"/>
    <cellStyle name="Normal 3 32 2" xfId="950"/>
    <cellStyle name="Normal 3 32 2 2" xfId="1389"/>
    <cellStyle name="Normal 3 32 2 2 2" xfId="2360"/>
    <cellStyle name="Normal 3 32 2 2 2 2" xfId="4305"/>
    <cellStyle name="Normal 3 32 2 2 2 2 2" xfId="8158"/>
    <cellStyle name="Normal 3 32 2 2 2 2 2 2" xfId="12960"/>
    <cellStyle name="Normal 3 32 2 2 2 2 3" xfId="12959"/>
    <cellStyle name="Normal 3 32 2 2 2 3" xfId="6220"/>
    <cellStyle name="Normal 3 32 2 2 2 3 2" xfId="12961"/>
    <cellStyle name="Normal 3 32 2 2 2 4" xfId="12958"/>
    <cellStyle name="Normal 3 32 2 2 3" xfId="3344"/>
    <cellStyle name="Normal 3 32 2 2 3 2" xfId="7202"/>
    <cellStyle name="Normal 3 32 2 2 3 2 2" xfId="12963"/>
    <cellStyle name="Normal 3 32 2 2 3 3" xfId="12962"/>
    <cellStyle name="Normal 3 32 2 2 4" xfId="5264"/>
    <cellStyle name="Normal 3 32 2 2 4 2" xfId="12964"/>
    <cellStyle name="Normal 3 32 2 2 5" xfId="12957"/>
    <cellStyle name="Normal 3 32 2 3" xfId="1187"/>
    <cellStyle name="Normal 3 32 2 3 2" xfId="2158"/>
    <cellStyle name="Normal 3 32 2 3 2 2" xfId="4103"/>
    <cellStyle name="Normal 3 32 2 3 2 2 2" xfId="7956"/>
    <cellStyle name="Normal 3 32 2 3 2 2 2 2" xfId="12968"/>
    <cellStyle name="Normal 3 32 2 3 2 2 3" xfId="12967"/>
    <cellStyle name="Normal 3 32 2 3 2 3" xfId="6018"/>
    <cellStyle name="Normal 3 32 2 3 2 3 2" xfId="12969"/>
    <cellStyle name="Normal 3 32 2 3 2 4" xfId="12966"/>
    <cellStyle name="Normal 3 32 2 3 3" xfId="3142"/>
    <cellStyle name="Normal 3 32 2 3 3 2" xfId="7000"/>
    <cellStyle name="Normal 3 32 2 3 3 2 2" xfId="12971"/>
    <cellStyle name="Normal 3 32 2 3 3 3" xfId="12970"/>
    <cellStyle name="Normal 3 32 2 3 4" xfId="5062"/>
    <cellStyle name="Normal 3 32 2 3 4 2" xfId="12972"/>
    <cellStyle name="Normal 3 32 2 3 5" xfId="12965"/>
    <cellStyle name="Normal 3 32 2 4" xfId="1650"/>
    <cellStyle name="Normal 3 32 2 4 2" xfId="2611"/>
    <cellStyle name="Normal 3 32 2 4 2 2" xfId="4556"/>
    <cellStyle name="Normal 3 32 2 4 2 2 2" xfId="8409"/>
    <cellStyle name="Normal 3 32 2 4 2 2 2 2" xfId="12976"/>
    <cellStyle name="Normal 3 32 2 4 2 2 3" xfId="12975"/>
    <cellStyle name="Normal 3 32 2 4 2 3" xfId="6471"/>
    <cellStyle name="Normal 3 32 2 4 2 3 2" xfId="12977"/>
    <cellStyle name="Normal 3 32 2 4 2 4" xfId="12974"/>
    <cellStyle name="Normal 3 32 2 4 3" xfId="3597"/>
    <cellStyle name="Normal 3 32 2 4 3 2" xfId="7453"/>
    <cellStyle name="Normal 3 32 2 4 3 2 2" xfId="12979"/>
    <cellStyle name="Normal 3 32 2 4 3 3" xfId="12978"/>
    <cellStyle name="Normal 3 32 2 4 4" xfId="5515"/>
    <cellStyle name="Normal 3 32 2 4 4 2" xfId="12980"/>
    <cellStyle name="Normal 3 32 2 4 5" xfId="12973"/>
    <cellStyle name="Normal 3 32 2 5" xfId="1926"/>
    <cellStyle name="Normal 3 32 2 5 2" xfId="3871"/>
    <cellStyle name="Normal 3 32 2 5 2 2" xfId="7724"/>
    <cellStyle name="Normal 3 32 2 5 2 2 2" xfId="12983"/>
    <cellStyle name="Normal 3 32 2 5 2 3" xfId="12982"/>
    <cellStyle name="Normal 3 32 2 5 3" xfId="5786"/>
    <cellStyle name="Normal 3 32 2 5 3 2" xfId="12984"/>
    <cellStyle name="Normal 3 32 2 5 4" xfId="12981"/>
    <cellStyle name="Normal 3 32 2 6" xfId="2910"/>
    <cellStyle name="Normal 3 32 2 6 2" xfId="6768"/>
    <cellStyle name="Normal 3 32 2 6 2 2" xfId="12986"/>
    <cellStyle name="Normal 3 32 2 6 3" xfId="12985"/>
    <cellStyle name="Normal 3 32 2 7" xfId="4830"/>
    <cellStyle name="Normal 3 32 2 7 2" xfId="12987"/>
    <cellStyle name="Normal 3 32 2 8" xfId="12956"/>
    <cellStyle name="Normal 3 32 3" xfId="1288"/>
    <cellStyle name="Normal 3 32 3 2" xfId="2259"/>
    <cellStyle name="Normal 3 32 3 2 2" xfId="4204"/>
    <cellStyle name="Normal 3 32 3 2 2 2" xfId="8057"/>
    <cellStyle name="Normal 3 32 3 2 2 2 2" xfId="12991"/>
    <cellStyle name="Normal 3 32 3 2 2 3" xfId="12990"/>
    <cellStyle name="Normal 3 32 3 2 3" xfId="6119"/>
    <cellStyle name="Normal 3 32 3 2 3 2" xfId="12992"/>
    <cellStyle name="Normal 3 32 3 2 4" xfId="12989"/>
    <cellStyle name="Normal 3 32 3 3" xfId="3243"/>
    <cellStyle name="Normal 3 32 3 3 2" xfId="7101"/>
    <cellStyle name="Normal 3 32 3 3 2 2" xfId="12994"/>
    <cellStyle name="Normal 3 32 3 3 3" xfId="12993"/>
    <cellStyle name="Normal 3 32 3 4" xfId="5163"/>
    <cellStyle name="Normal 3 32 3 4 2" xfId="12995"/>
    <cellStyle name="Normal 3 32 3 5" xfId="12988"/>
    <cellStyle name="Normal 3 32 4" xfId="1055"/>
    <cellStyle name="Normal 3 32 4 2" xfId="2027"/>
    <cellStyle name="Normal 3 32 4 2 2" xfId="3972"/>
    <cellStyle name="Normal 3 32 4 2 2 2" xfId="7825"/>
    <cellStyle name="Normal 3 32 4 2 2 2 2" xfId="12999"/>
    <cellStyle name="Normal 3 32 4 2 2 3" xfId="12998"/>
    <cellStyle name="Normal 3 32 4 2 3" xfId="5887"/>
    <cellStyle name="Normal 3 32 4 2 3 2" xfId="13000"/>
    <cellStyle name="Normal 3 32 4 2 4" xfId="12997"/>
    <cellStyle name="Normal 3 32 4 3" xfId="3011"/>
    <cellStyle name="Normal 3 32 4 3 2" xfId="6869"/>
    <cellStyle name="Normal 3 32 4 3 2 2" xfId="13002"/>
    <cellStyle name="Normal 3 32 4 3 3" xfId="13001"/>
    <cellStyle name="Normal 3 32 4 4" xfId="4931"/>
    <cellStyle name="Normal 3 32 4 4 2" xfId="13003"/>
    <cellStyle name="Normal 3 32 4 5" xfId="12996"/>
    <cellStyle name="Normal 3 32 5" xfId="1498"/>
    <cellStyle name="Normal 3 32 5 2" xfId="2467"/>
    <cellStyle name="Normal 3 32 5 2 2" xfId="4412"/>
    <cellStyle name="Normal 3 32 5 2 2 2" xfId="8265"/>
    <cellStyle name="Normal 3 32 5 2 2 2 2" xfId="13007"/>
    <cellStyle name="Normal 3 32 5 2 2 3" xfId="13006"/>
    <cellStyle name="Normal 3 32 5 2 3" xfId="6327"/>
    <cellStyle name="Normal 3 32 5 2 3 2" xfId="13008"/>
    <cellStyle name="Normal 3 32 5 2 4" xfId="13005"/>
    <cellStyle name="Normal 3 32 5 3" xfId="3451"/>
    <cellStyle name="Normal 3 32 5 3 2" xfId="7309"/>
    <cellStyle name="Normal 3 32 5 3 2 2" xfId="13010"/>
    <cellStyle name="Normal 3 32 5 3 3" xfId="13009"/>
    <cellStyle name="Normal 3 32 5 4" xfId="5371"/>
    <cellStyle name="Normal 3 32 5 4 2" xfId="13011"/>
    <cellStyle name="Normal 3 32 5 5" xfId="13004"/>
    <cellStyle name="Normal 3 32 6" xfId="1788"/>
    <cellStyle name="Normal 3 32 6 2" xfId="3734"/>
    <cellStyle name="Normal 3 32 6 2 2" xfId="7587"/>
    <cellStyle name="Normal 3 32 6 2 2 2" xfId="13014"/>
    <cellStyle name="Normal 3 32 6 2 3" xfId="13013"/>
    <cellStyle name="Normal 3 32 6 3" xfId="5649"/>
    <cellStyle name="Normal 3 32 6 3 2" xfId="13015"/>
    <cellStyle name="Normal 3 32 6 4" xfId="13012"/>
    <cellStyle name="Normal 3 32 7" xfId="2772"/>
    <cellStyle name="Normal 3 32 7 2" xfId="6631"/>
    <cellStyle name="Normal 3 32 7 2 2" xfId="13017"/>
    <cellStyle name="Normal 3 32 7 3" xfId="13016"/>
    <cellStyle name="Normal 3 32 8" xfId="4699"/>
    <cellStyle name="Normal 3 32 8 2" xfId="13018"/>
    <cellStyle name="Normal 3 32 9" xfId="12955"/>
    <cellStyle name="Normal 3 33" xfId="832"/>
    <cellStyle name="Normal 3 33 2" xfId="951"/>
    <cellStyle name="Normal 3 33 2 2" xfId="1417"/>
    <cellStyle name="Normal 3 33 2 2 2" xfId="2388"/>
    <cellStyle name="Normal 3 33 2 2 2 2" xfId="4333"/>
    <cellStyle name="Normal 3 33 2 2 2 2 2" xfId="8186"/>
    <cellStyle name="Normal 3 33 2 2 2 2 2 2" xfId="13024"/>
    <cellStyle name="Normal 3 33 2 2 2 2 3" xfId="13023"/>
    <cellStyle name="Normal 3 33 2 2 2 3" xfId="6248"/>
    <cellStyle name="Normal 3 33 2 2 2 3 2" xfId="13025"/>
    <cellStyle name="Normal 3 33 2 2 2 4" xfId="13022"/>
    <cellStyle name="Normal 3 33 2 2 3" xfId="3372"/>
    <cellStyle name="Normal 3 33 2 2 3 2" xfId="7230"/>
    <cellStyle name="Normal 3 33 2 2 3 2 2" xfId="13027"/>
    <cellStyle name="Normal 3 33 2 2 3 3" xfId="13026"/>
    <cellStyle name="Normal 3 33 2 2 4" xfId="5292"/>
    <cellStyle name="Normal 3 33 2 2 4 2" xfId="13028"/>
    <cellStyle name="Normal 3 33 2 2 5" xfId="13021"/>
    <cellStyle name="Normal 3 33 2 3" xfId="1188"/>
    <cellStyle name="Normal 3 33 2 3 2" xfId="2159"/>
    <cellStyle name="Normal 3 33 2 3 2 2" xfId="4104"/>
    <cellStyle name="Normal 3 33 2 3 2 2 2" xfId="7957"/>
    <cellStyle name="Normal 3 33 2 3 2 2 2 2" xfId="13032"/>
    <cellStyle name="Normal 3 33 2 3 2 2 3" xfId="13031"/>
    <cellStyle name="Normal 3 33 2 3 2 3" xfId="6019"/>
    <cellStyle name="Normal 3 33 2 3 2 3 2" xfId="13033"/>
    <cellStyle name="Normal 3 33 2 3 2 4" xfId="13030"/>
    <cellStyle name="Normal 3 33 2 3 3" xfId="3143"/>
    <cellStyle name="Normal 3 33 2 3 3 2" xfId="7001"/>
    <cellStyle name="Normal 3 33 2 3 3 2 2" xfId="13035"/>
    <cellStyle name="Normal 3 33 2 3 3 3" xfId="13034"/>
    <cellStyle name="Normal 3 33 2 3 4" xfId="5063"/>
    <cellStyle name="Normal 3 33 2 3 4 2" xfId="13036"/>
    <cellStyle name="Normal 3 33 2 3 5" xfId="13029"/>
    <cellStyle name="Normal 3 33 2 4" xfId="1678"/>
    <cellStyle name="Normal 3 33 2 4 2" xfId="2639"/>
    <cellStyle name="Normal 3 33 2 4 2 2" xfId="4584"/>
    <cellStyle name="Normal 3 33 2 4 2 2 2" xfId="8437"/>
    <cellStyle name="Normal 3 33 2 4 2 2 2 2" xfId="13040"/>
    <cellStyle name="Normal 3 33 2 4 2 2 3" xfId="13039"/>
    <cellStyle name="Normal 3 33 2 4 2 3" xfId="6499"/>
    <cellStyle name="Normal 3 33 2 4 2 3 2" xfId="13041"/>
    <cellStyle name="Normal 3 33 2 4 2 4" xfId="13038"/>
    <cellStyle name="Normal 3 33 2 4 3" xfId="3625"/>
    <cellStyle name="Normal 3 33 2 4 3 2" xfId="7481"/>
    <cellStyle name="Normal 3 33 2 4 3 2 2" xfId="13043"/>
    <cellStyle name="Normal 3 33 2 4 3 3" xfId="13042"/>
    <cellStyle name="Normal 3 33 2 4 4" xfId="5543"/>
    <cellStyle name="Normal 3 33 2 4 4 2" xfId="13044"/>
    <cellStyle name="Normal 3 33 2 4 5" xfId="13037"/>
    <cellStyle name="Normal 3 33 2 5" xfId="1927"/>
    <cellStyle name="Normal 3 33 2 5 2" xfId="3872"/>
    <cellStyle name="Normal 3 33 2 5 2 2" xfId="7725"/>
    <cellStyle name="Normal 3 33 2 5 2 2 2" xfId="13047"/>
    <cellStyle name="Normal 3 33 2 5 2 3" xfId="13046"/>
    <cellStyle name="Normal 3 33 2 5 3" xfId="5787"/>
    <cellStyle name="Normal 3 33 2 5 3 2" xfId="13048"/>
    <cellStyle name="Normal 3 33 2 5 4" xfId="13045"/>
    <cellStyle name="Normal 3 33 2 6" xfId="2911"/>
    <cellStyle name="Normal 3 33 2 6 2" xfId="6769"/>
    <cellStyle name="Normal 3 33 2 6 2 2" xfId="13050"/>
    <cellStyle name="Normal 3 33 2 6 3" xfId="13049"/>
    <cellStyle name="Normal 3 33 2 7" xfId="4831"/>
    <cellStyle name="Normal 3 33 2 7 2" xfId="13051"/>
    <cellStyle name="Normal 3 33 2 8" xfId="13020"/>
    <cellStyle name="Normal 3 33 3" xfId="1316"/>
    <cellStyle name="Normal 3 33 3 2" xfId="2287"/>
    <cellStyle name="Normal 3 33 3 2 2" xfId="4232"/>
    <cellStyle name="Normal 3 33 3 2 2 2" xfId="8085"/>
    <cellStyle name="Normal 3 33 3 2 2 2 2" xfId="13055"/>
    <cellStyle name="Normal 3 33 3 2 2 3" xfId="13054"/>
    <cellStyle name="Normal 3 33 3 2 3" xfId="6147"/>
    <cellStyle name="Normal 3 33 3 2 3 2" xfId="13056"/>
    <cellStyle name="Normal 3 33 3 2 4" xfId="13053"/>
    <cellStyle name="Normal 3 33 3 3" xfId="3271"/>
    <cellStyle name="Normal 3 33 3 3 2" xfId="7129"/>
    <cellStyle name="Normal 3 33 3 3 2 2" xfId="13058"/>
    <cellStyle name="Normal 3 33 3 3 3" xfId="13057"/>
    <cellStyle name="Normal 3 33 3 4" xfId="5191"/>
    <cellStyle name="Normal 3 33 3 4 2" xfId="13059"/>
    <cellStyle name="Normal 3 33 3 5" xfId="13052"/>
    <cellStyle name="Normal 3 33 4" xfId="1084"/>
    <cellStyle name="Normal 3 33 4 2" xfId="2055"/>
    <cellStyle name="Normal 3 33 4 2 2" xfId="4000"/>
    <cellStyle name="Normal 3 33 4 2 2 2" xfId="7853"/>
    <cellStyle name="Normal 3 33 4 2 2 2 2" xfId="13063"/>
    <cellStyle name="Normal 3 33 4 2 2 3" xfId="13062"/>
    <cellStyle name="Normal 3 33 4 2 3" xfId="5915"/>
    <cellStyle name="Normal 3 33 4 2 3 2" xfId="13064"/>
    <cellStyle name="Normal 3 33 4 2 4" xfId="13061"/>
    <cellStyle name="Normal 3 33 4 3" xfId="3039"/>
    <cellStyle name="Normal 3 33 4 3 2" xfId="6897"/>
    <cellStyle name="Normal 3 33 4 3 2 2" xfId="13066"/>
    <cellStyle name="Normal 3 33 4 3 3" xfId="13065"/>
    <cellStyle name="Normal 3 33 4 4" xfId="4959"/>
    <cellStyle name="Normal 3 33 4 4 2" xfId="13067"/>
    <cellStyle name="Normal 3 33 4 5" xfId="13060"/>
    <cellStyle name="Normal 3 33 5" xfId="1582"/>
    <cellStyle name="Normal 3 33 5 2" xfId="2543"/>
    <cellStyle name="Normal 3 33 5 2 2" xfId="4488"/>
    <cellStyle name="Normal 3 33 5 2 2 2" xfId="8341"/>
    <cellStyle name="Normal 3 33 5 2 2 2 2" xfId="13071"/>
    <cellStyle name="Normal 3 33 5 2 2 3" xfId="13070"/>
    <cellStyle name="Normal 3 33 5 2 3" xfId="6403"/>
    <cellStyle name="Normal 3 33 5 2 3 2" xfId="13072"/>
    <cellStyle name="Normal 3 33 5 2 4" xfId="13069"/>
    <cellStyle name="Normal 3 33 5 3" xfId="3529"/>
    <cellStyle name="Normal 3 33 5 3 2" xfId="7385"/>
    <cellStyle name="Normal 3 33 5 3 2 2" xfId="13074"/>
    <cellStyle name="Normal 3 33 5 3 3" xfId="13073"/>
    <cellStyle name="Normal 3 33 5 4" xfId="5447"/>
    <cellStyle name="Normal 3 33 5 4 2" xfId="13075"/>
    <cellStyle name="Normal 3 33 5 5" xfId="13068"/>
    <cellStyle name="Normal 3 33 6" xfId="1816"/>
    <cellStyle name="Normal 3 33 6 2" xfId="3762"/>
    <cellStyle name="Normal 3 33 6 2 2" xfId="7615"/>
    <cellStyle name="Normal 3 33 6 2 2 2" xfId="13078"/>
    <cellStyle name="Normal 3 33 6 2 3" xfId="13077"/>
    <cellStyle name="Normal 3 33 6 3" xfId="5677"/>
    <cellStyle name="Normal 3 33 6 3 2" xfId="13079"/>
    <cellStyle name="Normal 3 33 6 4" xfId="13076"/>
    <cellStyle name="Normal 3 33 7" xfId="2800"/>
    <cellStyle name="Normal 3 33 7 2" xfId="6659"/>
    <cellStyle name="Normal 3 33 7 2 2" xfId="13081"/>
    <cellStyle name="Normal 3 33 7 3" xfId="13080"/>
    <cellStyle name="Normal 3 33 8" xfId="4727"/>
    <cellStyle name="Normal 3 33 8 2" xfId="13082"/>
    <cellStyle name="Normal 3 33 9" xfId="13019"/>
    <cellStyle name="Normal 3 34" xfId="833"/>
    <cellStyle name="Normal 3 34 2" xfId="952"/>
    <cellStyle name="Normal 3 34 2 2" xfId="1418"/>
    <cellStyle name="Normal 3 34 2 2 2" xfId="2389"/>
    <cellStyle name="Normal 3 34 2 2 2 2" xfId="4334"/>
    <cellStyle name="Normal 3 34 2 2 2 2 2" xfId="8187"/>
    <cellStyle name="Normal 3 34 2 2 2 2 2 2" xfId="13088"/>
    <cellStyle name="Normal 3 34 2 2 2 2 3" xfId="13087"/>
    <cellStyle name="Normal 3 34 2 2 2 3" xfId="6249"/>
    <cellStyle name="Normal 3 34 2 2 2 3 2" xfId="13089"/>
    <cellStyle name="Normal 3 34 2 2 2 4" xfId="13086"/>
    <cellStyle name="Normal 3 34 2 2 3" xfId="3373"/>
    <cellStyle name="Normal 3 34 2 2 3 2" xfId="7231"/>
    <cellStyle name="Normal 3 34 2 2 3 2 2" xfId="13091"/>
    <cellStyle name="Normal 3 34 2 2 3 3" xfId="13090"/>
    <cellStyle name="Normal 3 34 2 2 4" xfId="5293"/>
    <cellStyle name="Normal 3 34 2 2 4 2" xfId="13092"/>
    <cellStyle name="Normal 3 34 2 2 5" xfId="13085"/>
    <cellStyle name="Normal 3 34 2 3" xfId="1189"/>
    <cellStyle name="Normal 3 34 2 3 2" xfId="2160"/>
    <cellStyle name="Normal 3 34 2 3 2 2" xfId="4105"/>
    <cellStyle name="Normal 3 34 2 3 2 2 2" xfId="7958"/>
    <cellStyle name="Normal 3 34 2 3 2 2 2 2" xfId="13096"/>
    <cellStyle name="Normal 3 34 2 3 2 2 3" xfId="13095"/>
    <cellStyle name="Normal 3 34 2 3 2 3" xfId="6020"/>
    <cellStyle name="Normal 3 34 2 3 2 3 2" xfId="13097"/>
    <cellStyle name="Normal 3 34 2 3 2 4" xfId="13094"/>
    <cellStyle name="Normal 3 34 2 3 3" xfId="3144"/>
    <cellStyle name="Normal 3 34 2 3 3 2" xfId="7002"/>
    <cellStyle name="Normal 3 34 2 3 3 2 2" xfId="13099"/>
    <cellStyle name="Normal 3 34 2 3 3 3" xfId="13098"/>
    <cellStyle name="Normal 3 34 2 3 4" xfId="5064"/>
    <cellStyle name="Normal 3 34 2 3 4 2" xfId="13100"/>
    <cellStyle name="Normal 3 34 2 3 5" xfId="13093"/>
    <cellStyle name="Normal 3 34 2 4" xfId="1679"/>
    <cellStyle name="Normal 3 34 2 4 2" xfId="2640"/>
    <cellStyle name="Normal 3 34 2 4 2 2" xfId="4585"/>
    <cellStyle name="Normal 3 34 2 4 2 2 2" xfId="8438"/>
    <cellStyle name="Normal 3 34 2 4 2 2 2 2" xfId="13104"/>
    <cellStyle name="Normal 3 34 2 4 2 2 3" xfId="13103"/>
    <cellStyle name="Normal 3 34 2 4 2 3" xfId="6500"/>
    <cellStyle name="Normal 3 34 2 4 2 3 2" xfId="13105"/>
    <cellStyle name="Normal 3 34 2 4 2 4" xfId="13102"/>
    <cellStyle name="Normal 3 34 2 4 3" xfId="3626"/>
    <cellStyle name="Normal 3 34 2 4 3 2" xfId="7482"/>
    <cellStyle name="Normal 3 34 2 4 3 2 2" xfId="13107"/>
    <cellStyle name="Normal 3 34 2 4 3 3" xfId="13106"/>
    <cellStyle name="Normal 3 34 2 4 4" xfId="5544"/>
    <cellStyle name="Normal 3 34 2 4 4 2" xfId="13108"/>
    <cellStyle name="Normal 3 34 2 4 5" xfId="13101"/>
    <cellStyle name="Normal 3 34 2 5" xfId="1928"/>
    <cellStyle name="Normal 3 34 2 5 2" xfId="3873"/>
    <cellStyle name="Normal 3 34 2 5 2 2" xfId="7726"/>
    <cellStyle name="Normal 3 34 2 5 2 2 2" xfId="13111"/>
    <cellStyle name="Normal 3 34 2 5 2 3" xfId="13110"/>
    <cellStyle name="Normal 3 34 2 5 3" xfId="5788"/>
    <cellStyle name="Normal 3 34 2 5 3 2" xfId="13112"/>
    <cellStyle name="Normal 3 34 2 5 4" xfId="13109"/>
    <cellStyle name="Normal 3 34 2 6" xfId="2912"/>
    <cellStyle name="Normal 3 34 2 6 2" xfId="6770"/>
    <cellStyle name="Normal 3 34 2 6 2 2" xfId="13114"/>
    <cellStyle name="Normal 3 34 2 6 3" xfId="13113"/>
    <cellStyle name="Normal 3 34 2 7" xfId="4832"/>
    <cellStyle name="Normal 3 34 2 7 2" xfId="13115"/>
    <cellStyle name="Normal 3 34 2 8" xfId="13084"/>
    <cellStyle name="Normal 3 34 3" xfId="1317"/>
    <cellStyle name="Normal 3 34 3 2" xfId="2288"/>
    <cellStyle name="Normal 3 34 3 2 2" xfId="4233"/>
    <cellStyle name="Normal 3 34 3 2 2 2" xfId="8086"/>
    <cellStyle name="Normal 3 34 3 2 2 2 2" xfId="13119"/>
    <cellStyle name="Normal 3 34 3 2 2 3" xfId="13118"/>
    <cellStyle name="Normal 3 34 3 2 3" xfId="6148"/>
    <cellStyle name="Normal 3 34 3 2 3 2" xfId="13120"/>
    <cellStyle name="Normal 3 34 3 2 4" xfId="13117"/>
    <cellStyle name="Normal 3 34 3 3" xfId="3272"/>
    <cellStyle name="Normal 3 34 3 3 2" xfId="7130"/>
    <cellStyle name="Normal 3 34 3 3 2 2" xfId="13122"/>
    <cellStyle name="Normal 3 34 3 3 3" xfId="13121"/>
    <cellStyle name="Normal 3 34 3 4" xfId="5192"/>
    <cellStyle name="Normal 3 34 3 4 2" xfId="13123"/>
    <cellStyle name="Normal 3 34 3 5" xfId="13116"/>
    <cellStyle name="Normal 3 34 4" xfId="1085"/>
    <cellStyle name="Normal 3 34 4 2" xfId="2056"/>
    <cellStyle name="Normal 3 34 4 2 2" xfId="4001"/>
    <cellStyle name="Normal 3 34 4 2 2 2" xfId="7854"/>
    <cellStyle name="Normal 3 34 4 2 2 2 2" xfId="13127"/>
    <cellStyle name="Normal 3 34 4 2 2 3" xfId="13126"/>
    <cellStyle name="Normal 3 34 4 2 3" xfId="5916"/>
    <cellStyle name="Normal 3 34 4 2 3 2" xfId="13128"/>
    <cellStyle name="Normal 3 34 4 2 4" xfId="13125"/>
    <cellStyle name="Normal 3 34 4 3" xfId="3040"/>
    <cellStyle name="Normal 3 34 4 3 2" xfId="6898"/>
    <cellStyle name="Normal 3 34 4 3 2 2" xfId="13130"/>
    <cellStyle name="Normal 3 34 4 3 3" xfId="13129"/>
    <cellStyle name="Normal 3 34 4 4" xfId="4960"/>
    <cellStyle name="Normal 3 34 4 4 2" xfId="13131"/>
    <cellStyle name="Normal 3 34 4 5" xfId="13124"/>
    <cellStyle name="Normal 3 34 5" xfId="1583"/>
    <cellStyle name="Normal 3 34 5 2" xfId="2544"/>
    <cellStyle name="Normal 3 34 5 2 2" xfId="4489"/>
    <cellStyle name="Normal 3 34 5 2 2 2" xfId="8342"/>
    <cellStyle name="Normal 3 34 5 2 2 2 2" xfId="13135"/>
    <cellStyle name="Normal 3 34 5 2 2 3" xfId="13134"/>
    <cellStyle name="Normal 3 34 5 2 3" xfId="6404"/>
    <cellStyle name="Normal 3 34 5 2 3 2" xfId="13136"/>
    <cellStyle name="Normal 3 34 5 2 4" xfId="13133"/>
    <cellStyle name="Normal 3 34 5 3" xfId="3530"/>
    <cellStyle name="Normal 3 34 5 3 2" xfId="7386"/>
    <cellStyle name="Normal 3 34 5 3 2 2" xfId="13138"/>
    <cellStyle name="Normal 3 34 5 3 3" xfId="13137"/>
    <cellStyle name="Normal 3 34 5 4" xfId="5448"/>
    <cellStyle name="Normal 3 34 5 4 2" xfId="13139"/>
    <cellStyle name="Normal 3 34 5 5" xfId="13132"/>
    <cellStyle name="Normal 3 34 6" xfId="1817"/>
    <cellStyle name="Normal 3 34 6 2" xfId="3763"/>
    <cellStyle name="Normal 3 34 6 2 2" xfId="7616"/>
    <cellStyle name="Normal 3 34 6 2 2 2" xfId="13142"/>
    <cellStyle name="Normal 3 34 6 2 3" xfId="13141"/>
    <cellStyle name="Normal 3 34 6 3" xfId="5678"/>
    <cellStyle name="Normal 3 34 6 3 2" xfId="13143"/>
    <cellStyle name="Normal 3 34 6 4" xfId="13140"/>
    <cellStyle name="Normal 3 34 7" xfId="2801"/>
    <cellStyle name="Normal 3 34 7 2" xfId="6660"/>
    <cellStyle name="Normal 3 34 7 2 2" xfId="13145"/>
    <cellStyle name="Normal 3 34 7 3" xfId="13144"/>
    <cellStyle name="Normal 3 34 8" xfId="4728"/>
    <cellStyle name="Normal 3 34 8 2" xfId="13146"/>
    <cellStyle name="Normal 3 34 9" xfId="13083"/>
    <cellStyle name="Normal 3 35" xfId="834"/>
    <cellStyle name="Normal 3 35 2" xfId="953"/>
    <cellStyle name="Normal 3 35 2 2" xfId="1419"/>
    <cellStyle name="Normal 3 35 2 2 2" xfId="2390"/>
    <cellStyle name="Normal 3 35 2 2 2 2" xfId="4335"/>
    <cellStyle name="Normal 3 35 2 2 2 2 2" xfId="8188"/>
    <cellStyle name="Normal 3 35 2 2 2 2 2 2" xfId="13152"/>
    <cellStyle name="Normal 3 35 2 2 2 2 3" xfId="13151"/>
    <cellStyle name="Normal 3 35 2 2 2 3" xfId="6250"/>
    <cellStyle name="Normal 3 35 2 2 2 3 2" xfId="13153"/>
    <cellStyle name="Normal 3 35 2 2 2 4" xfId="13150"/>
    <cellStyle name="Normal 3 35 2 2 3" xfId="3374"/>
    <cellStyle name="Normal 3 35 2 2 3 2" xfId="7232"/>
    <cellStyle name="Normal 3 35 2 2 3 2 2" xfId="13155"/>
    <cellStyle name="Normal 3 35 2 2 3 3" xfId="13154"/>
    <cellStyle name="Normal 3 35 2 2 4" xfId="5294"/>
    <cellStyle name="Normal 3 35 2 2 4 2" xfId="13156"/>
    <cellStyle name="Normal 3 35 2 2 5" xfId="13149"/>
    <cellStyle name="Normal 3 35 2 3" xfId="1190"/>
    <cellStyle name="Normal 3 35 2 3 2" xfId="2161"/>
    <cellStyle name="Normal 3 35 2 3 2 2" xfId="4106"/>
    <cellStyle name="Normal 3 35 2 3 2 2 2" xfId="7959"/>
    <cellStyle name="Normal 3 35 2 3 2 2 2 2" xfId="13160"/>
    <cellStyle name="Normal 3 35 2 3 2 2 3" xfId="13159"/>
    <cellStyle name="Normal 3 35 2 3 2 3" xfId="6021"/>
    <cellStyle name="Normal 3 35 2 3 2 3 2" xfId="13161"/>
    <cellStyle name="Normal 3 35 2 3 2 4" xfId="13158"/>
    <cellStyle name="Normal 3 35 2 3 3" xfId="3145"/>
    <cellStyle name="Normal 3 35 2 3 3 2" xfId="7003"/>
    <cellStyle name="Normal 3 35 2 3 3 2 2" xfId="13163"/>
    <cellStyle name="Normal 3 35 2 3 3 3" xfId="13162"/>
    <cellStyle name="Normal 3 35 2 3 4" xfId="5065"/>
    <cellStyle name="Normal 3 35 2 3 4 2" xfId="13164"/>
    <cellStyle name="Normal 3 35 2 3 5" xfId="13157"/>
    <cellStyle name="Normal 3 35 2 4" xfId="1680"/>
    <cellStyle name="Normal 3 35 2 4 2" xfId="2641"/>
    <cellStyle name="Normal 3 35 2 4 2 2" xfId="4586"/>
    <cellStyle name="Normal 3 35 2 4 2 2 2" xfId="8439"/>
    <cellStyle name="Normal 3 35 2 4 2 2 2 2" xfId="13168"/>
    <cellStyle name="Normal 3 35 2 4 2 2 3" xfId="13167"/>
    <cellStyle name="Normal 3 35 2 4 2 3" xfId="6501"/>
    <cellStyle name="Normal 3 35 2 4 2 3 2" xfId="13169"/>
    <cellStyle name="Normal 3 35 2 4 2 4" xfId="13166"/>
    <cellStyle name="Normal 3 35 2 4 3" xfId="3627"/>
    <cellStyle name="Normal 3 35 2 4 3 2" xfId="7483"/>
    <cellStyle name="Normal 3 35 2 4 3 2 2" xfId="13171"/>
    <cellStyle name="Normal 3 35 2 4 3 3" xfId="13170"/>
    <cellStyle name="Normal 3 35 2 4 4" xfId="5545"/>
    <cellStyle name="Normal 3 35 2 4 4 2" xfId="13172"/>
    <cellStyle name="Normal 3 35 2 4 5" xfId="13165"/>
    <cellStyle name="Normal 3 35 2 5" xfId="1929"/>
    <cellStyle name="Normal 3 35 2 5 2" xfId="3874"/>
    <cellStyle name="Normal 3 35 2 5 2 2" xfId="7727"/>
    <cellStyle name="Normal 3 35 2 5 2 2 2" xfId="13175"/>
    <cellStyle name="Normal 3 35 2 5 2 3" xfId="13174"/>
    <cellStyle name="Normal 3 35 2 5 3" xfId="5789"/>
    <cellStyle name="Normal 3 35 2 5 3 2" xfId="13176"/>
    <cellStyle name="Normal 3 35 2 5 4" xfId="13173"/>
    <cellStyle name="Normal 3 35 2 6" xfId="2913"/>
    <cellStyle name="Normal 3 35 2 6 2" xfId="6771"/>
    <cellStyle name="Normal 3 35 2 6 2 2" xfId="13178"/>
    <cellStyle name="Normal 3 35 2 6 3" xfId="13177"/>
    <cellStyle name="Normal 3 35 2 7" xfId="4833"/>
    <cellStyle name="Normal 3 35 2 7 2" xfId="13179"/>
    <cellStyle name="Normal 3 35 2 8" xfId="13148"/>
    <cellStyle name="Normal 3 35 3" xfId="1318"/>
    <cellStyle name="Normal 3 35 3 2" xfId="2289"/>
    <cellStyle name="Normal 3 35 3 2 2" xfId="4234"/>
    <cellStyle name="Normal 3 35 3 2 2 2" xfId="8087"/>
    <cellStyle name="Normal 3 35 3 2 2 2 2" xfId="13183"/>
    <cellStyle name="Normal 3 35 3 2 2 3" xfId="13182"/>
    <cellStyle name="Normal 3 35 3 2 3" xfId="6149"/>
    <cellStyle name="Normal 3 35 3 2 3 2" xfId="13184"/>
    <cellStyle name="Normal 3 35 3 2 4" xfId="13181"/>
    <cellStyle name="Normal 3 35 3 3" xfId="3273"/>
    <cellStyle name="Normal 3 35 3 3 2" xfId="7131"/>
    <cellStyle name="Normal 3 35 3 3 2 2" xfId="13186"/>
    <cellStyle name="Normal 3 35 3 3 3" xfId="13185"/>
    <cellStyle name="Normal 3 35 3 4" xfId="5193"/>
    <cellStyle name="Normal 3 35 3 4 2" xfId="13187"/>
    <cellStyle name="Normal 3 35 3 5" xfId="13180"/>
    <cellStyle name="Normal 3 35 4" xfId="1086"/>
    <cellStyle name="Normal 3 35 4 2" xfId="2057"/>
    <cellStyle name="Normal 3 35 4 2 2" xfId="4002"/>
    <cellStyle name="Normal 3 35 4 2 2 2" xfId="7855"/>
    <cellStyle name="Normal 3 35 4 2 2 2 2" xfId="13191"/>
    <cellStyle name="Normal 3 35 4 2 2 3" xfId="13190"/>
    <cellStyle name="Normal 3 35 4 2 3" xfId="5917"/>
    <cellStyle name="Normal 3 35 4 2 3 2" xfId="13192"/>
    <cellStyle name="Normal 3 35 4 2 4" xfId="13189"/>
    <cellStyle name="Normal 3 35 4 3" xfId="3041"/>
    <cellStyle name="Normal 3 35 4 3 2" xfId="6899"/>
    <cellStyle name="Normal 3 35 4 3 2 2" xfId="13194"/>
    <cellStyle name="Normal 3 35 4 3 3" xfId="13193"/>
    <cellStyle name="Normal 3 35 4 4" xfId="4961"/>
    <cellStyle name="Normal 3 35 4 4 2" xfId="13195"/>
    <cellStyle name="Normal 3 35 4 5" xfId="13188"/>
    <cellStyle name="Normal 3 35 5" xfId="1584"/>
    <cellStyle name="Normal 3 35 5 2" xfId="2545"/>
    <cellStyle name="Normal 3 35 5 2 2" xfId="4490"/>
    <cellStyle name="Normal 3 35 5 2 2 2" xfId="8343"/>
    <cellStyle name="Normal 3 35 5 2 2 2 2" xfId="13199"/>
    <cellStyle name="Normal 3 35 5 2 2 3" xfId="13198"/>
    <cellStyle name="Normal 3 35 5 2 3" xfId="6405"/>
    <cellStyle name="Normal 3 35 5 2 3 2" xfId="13200"/>
    <cellStyle name="Normal 3 35 5 2 4" xfId="13197"/>
    <cellStyle name="Normal 3 35 5 3" xfId="3531"/>
    <cellStyle name="Normal 3 35 5 3 2" xfId="7387"/>
    <cellStyle name="Normal 3 35 5 3 2 2" xfId="13202"/>
    <cellStyle name="Normal 3 35 5 3 3" xfId="13201"/>
    <cellStyle name="Normal 3 35 5 4" xfId="5449"/>
    <cellStyle name="Normal 3 35 5 4 2" xfId="13203"/>
    <cellStyle name="Normal 3 35 5 5" xfId="13196"/>
    <cellStyle name="Normal 3 35 6" xfId="1818"/>
    <cellStyle name="Normal 3 35 6 2" xfId="3764"/>
    <cellStyle name="Normal 3 35 6 2 2" xfId="7617"/>
    <cellStyle name="Normal 3 35 6 2 2 2" xfId="13206"/>
    <cellStyle name="Normal 3 35 6 2 3" xfId="13205"/>
    <cellStyle name="Normal 3 35 6 3" xfId="5679"/>
    <cellStyle name="Normal 3 35 6 3 2" xfId="13207"/>
    <cellStyle name="Normal 3 35 6 4" xfId="13204"/>
    <cellStyle name="Normal 3 35 7" xfId="2802"/>
    <cellStyle name="Normal 3 35 7 2" xfId="6661"/>
    <cellStyle name="Normal 3 35 7 2 2" xfId="13209"/>
    <cellStyle name="Normal 3 35 7 3" xfId="13208"/>
    <cellStyle name="Normal 3 35 8" xfId="4729"/>
    <cellStyle name="Normal 3 35 8 2" xfId="13210"/>
    <cellStyle name="Normal 3 35 9" xfId="13147"/>
    <cellStyle name="Normal 3 36" xfId="836"/>
    <cellStyle name="Normal 3 36 2" xfId="954"/>
    <cellStyle name="Normal 3 36 2 2" xfId="1421"/>
    <cellStyle name="Normal 3 36 2 2 2" xfId="2392"/>
    <cellStyle name="Normal 3 36 2 2 2 2" xfId="4337"/>
    <cellStyle name="Normal 3 36 2 2 2 2 2" xfId="8190"/>
    <cellStyle name="Normal 3 36 2 2 2 2 2 2" xfId="13216"/>
    <cellStyle name="Normal 3 36 2 2 2 2 3" xfId="13215"/>
    <cellStyle name="Normal 3 36 2 2 2 3" xfId="6252"/>
    <cellStyle name="Normal 3 36 2 2 2 3 2" xfId="13217"/>
    <cellStyle name="Normal 3 36 2 2 2 4" xfId="13214"/>
    <cellStyle name="Normal 3 36 2 2 3" xfId="3376"/>
    <cellStyle name="Normal 3 36 2 2 3 2" xfId="7234"/>
    <cellStyle name="Normal 3 36 2 2 3 2 2" xfId="13219"/>
    <cellStyle name="Normal 3 36 2 2 3 3" xfId="13218"/>
    <cellStyle name="Normal 3 36 2 2 4" xfId="5296"/>
    <cellStyle name="Normal 3 36 2 2 4 2" xfId="13220"/>
    <cellStyle name="Normal 3 36 2 2 5" xfId="13213"/>
    <cellStyle name="Normal 3 36 2 3" xfId="1191"/>
    <cellStyle name="Normal 3 36 2 3 2" xfId="2162"/>
    <cellStyle name="Normal 3 36 2 3 2 2" xfId="4107"/>
    <cellStyle name="Normal 3 36 2 3 2 2 2" xfId="7960"/>
    <cellStyle name="Normal 3 36 2 3 2 2 2 2" xfId="13224"/>
    <cellStyle name="Normal 3 36 2 3 2 2 3" xfId="13223"/>
    <cellStyle name="Normal 3 36 2 3 2 3" xfId="6022"/>
    <cellStyle name="Normal 3 36 2 3 2 3 2" xfId="13225"/>
    <cellStyle name="Normal 3 36 2 3 2 4" xfId="13222"/>
    <cellStyle name="Normal 3 36 2 3 3" xfId="3146"/>
    <cellStyle name="Normal 3 36 2 3 3 2" xfId="7004"/>
    <cellStyle name="Normal 3 36 2 3 3 2 2" xfId="13227"/>
    <cellStyle name="Normal 3 36 2 3 3 3" xfId="13226"/>
    <cellStyle name="Normal 3 36 2 3 4" xfId="5066"/>
    <cellStyle name="Normal 3 36 2 3 4 2" xfId="13228"/>
    <cellStyle name="Normal 3 36 2 3 5" xfId="13221"/>
    <cellStyle name="Normal 3 36 2 4" xfId="1682"/>
    <cellStyle name="Normal 3 36 2 4 2" xfId="2643"/>
    <cellStyle name="Normal 3 36 2 4 2 2" xfId="4588"/>
    <cellStyle name="Normal 3 36 2 4 2 2 2" xfId="8441"/>
    <cellStyle name="Normal 3 36 2 4 2 2 2 2" xfId="13232"/>
    <cellStyle name="Normal 3 36 2 4 2 2 3" xfId="13231"/>
    <cellStyle name="Normal 3 36 2 4 2 3" xfId="6503"/>
    <cellStyle name="Normal 3 36 2 4 2 3 2" xfId="13233"/>
    <cellStyle name="Normal 3 36 2 4 2 4" xfId="13230"/>
    <cellStyle name="Normal 3 36 2 4 3" xfId="3629"/>
    <cellStyle name="Normal 3 36 2 4 3 2" xfId="7485"/>
    <cellStyle name="Normal 3 36 2 4 3 2 2" xfId="13235"/>
    <cellStyle name="Normal 3 36 2 4 3 3" xfId="13234"/>
    <cellStyle name="Normal 3 36 2 4 4" xfId="5547"/>
    <cellStyle name="Normal 3 36 2 4 4 2" xfId="13236"/>
    <cellStyle name="Normal 3 36 2 4 5" xfId="13229"/>
    <cellStyle name="Normal 3 36 2 5" xfId="1930"/>
    <cellStyle name="Normal 3 36 2 5 2" xfId="3875"/>
    <cellStyle name="Normal 3 36 2 5 2 2" xfId="7728"/>
    <cellStyle name="Normal 3 36 2 5 2 2 2" xfId="13239"/>
    <cellStyle name="Normal 3 36 2 5 2 3" xfId="13238"/>
    <cellStyle name="Normal 3 36 2 5 3" xfId="5790"/>
    <cellStyle name="Normal 3 36 2 5 3 2" xfId="13240"/>
    <cellStyle name="Normal 3 36 2 5 4" xfId="13237"/>
    <cellStyle name="Normal 3 36 2 6" xfId="2914"/>
    <cellStyle name="Normal 3 36 2 6 2" xfId="6772"/>
    <cellStyle name="Normal 3 36 2 6 2 2" xfId="13242"/>
    <cellStyle name="Normal 3 36 2 6 3" xfId="13241"/>
    <cellStyle name="Normal 3 36 2 7" xfId="4834"/>
    <cellStyle name="Normal 3 36 2 7 2" xfId="13243"/>
    <cellStyle name="Normal 3 36 2 8" xfId="13212"/>
    <cellStyle name="Normal 3 36 3" xfId="1320"/>
    <cellStyle name="Normal 3 36 3 2" xfId="2291"/>
    <cellStyle name="Normal 3 36 3 2 2" xfId="4236"/>
    <cellStyle name="Normal 3 36 3 2 2 2" xfId="8089"/>
    <cellStyle name="Normal 3 36 3 2 2 2 2" xfId="13247"/>
    <cellStyle name="Normal 3 36 3 2 2 3" xfId="13246"/>
    <cellStyle name="Normal 3 36 3 2 3" xfId="6151"/>
    <cellStyle name="Normal 3 36 3 2 3 2" xfId="13248"/>
    <cellStyle name="Normal 3 36 3 2 4" xfId="13245"/>
    <cellStyle name="Normal 3 36 3 3" xfId="3275"/>
    <cellStyle name="Normal 3 36 3 3 2" xfId="7133"/>
    <cellStyle name="Normal 3 36 3 3 2 2" xfId="13250"/>
    <cellStyle name="Normal 3 36 3 3 3" xfId="13249"/>
    <cellStyle name="Normal 3 36 3 4" xfId="5195"/>
    <cellStyle name="Normal 3 36 3 4 2" xfId="13251"/>
    <cellStyle name="Normal 3 36 3 5" xfId="13244"/>
    <cellStyle name="Normal 3 36 4" xfId="1088"/>
    <cellStyle name="Normal 3 36 4 2" xfId="2059"/>
    <cellStyle name="Normal 3 36 4 2 2" xfId="4004"/>
    <cellStyle name="Normal 3 36 4 2 2 2" xfId="7857"/>
    <cellStyle name="Normal 3 36 4 2 2 2 2" xfId="13255"/>
    <cellStyle name="Normal 3 36 4 2 2 3" xfId="13254"/>
    <cellStyle name="Normal 3 36 4 2 3" xfId="5919"/>
    <cellStyle name="Normal 3 36 4 2 3 2" xfId="13256"/>
    <cellStyle name="Normal 3 36 4 2 4" xfId="13253"/>
    <cellStyle name="Normal 3 36 4 3" xfId="3043"/>
    <cellStyle name="Normal 3 36 4 3 2" xfId="6901"/>
    <cellStyle name="Normal 3 36 4 3 2 2" xfId="13258"/>
    <cellStyle name="Normal 3 36 4 3 3" xfId="13257"/>
    <cellStyle name="Normal 3 36 4 4" xfId="4963"/>
    <cellStyle name="Normal 3 36 4 4 2" xfId="13259"/>
    <cellStyle name="Normal 3 36 4 5" xfId="13252"/>
    <cellStyle name="Normal 3 36 5" xfId="1586"/>
    <cellStyle name="Normal 3 36 5 2" xfId="2547"/>
    <cellStyle name="Normal 3 36 5 2 2" xfId="4492"/>
    <cellStyle name="Normal 3 36 5 2 2 2" xfId="8345"/>
    <cellStyle name="Normal 3 36 5 2 2 2 2" xfId="13263"/>
    <cellStyle name="Normal 3 36 5 2 2 3" xfId="13262"/>
    <cellStyle name="Normal 3 36 5 2 3" xfId="6407"/>
    <cellStyle name="Normal 3 36 5 2 3 2" xfId="13264"/>
    <cellStyle name="Normal 3 36 5 2 4" xfId="13261"/>
    <cellStyle name="Normal 3 36 5 3" xfId="3533"/>
    <cellStyle name="Normal 3 36 5 3 2" xfId="7389"/>
    <cellStyle name="Normal 3 36 5 3 2 2" xfId="13266"/>
    <cellStyle name="Normal 3 36 5 3 3" xfId="13265"/>
    <cellStyle name="Normal 3 36 5 4" xfId="5451"/>
    <cellStyle name="Normal 3 36 5 4 2" xfId="13267"/>
    <cellStyle name="Normal 3 36 5 5" xfId="13260"/>
    <cellStyle name="Normal 3 36 6" xfId="1820"/>
    <cellStyle name="Normal 3 36 6 2" xfId="3766"/>
    <cellStyle name="Normal 3 36 6 2 2" xfId="7619"/>
    <cellStyle name="Normal 3 36 6 2 2 2" xfId="13270"/>
    <cellStyle name="Normal 3 36 6 2 3" xfId="13269"/>
    <cellStyle name="Normal 3 36 6 3" xfId="5681"/>
    <cellStyle name="Normal 3 36 6 3 2" xfId="13271"/>
    <cellStyle name="Normal 3 36 6 4" xfId="13268"/>
    <cellStyle name="Normal 3 36 7" xfId="2804"/>
    <cellStyle name="Normal 3 36 7 2" xfId="6663"/>
    <cellStyle name="Normal 3 36 7 2 2" xfId="13273"/>
    <cellStyle name="Normal 3 36 7 3" xfId="13272"/>
    <cellStyle name="Normal 3 36 8" xfId="4731"/>
    <cellStyle name="Normal 3 36 8 2" xfId="13274"/>
    <cellStyle name="Normal 3 36 9" xfId="13211"/>
    <cellStyle name="Normal 3 37" xfId="858"/>
    <cellStyle name="Normal 3 37 2" xfId="955"/>
    <cellStyle name="Normal 3 37 2 2" xfId="1439"/>
    <cellStyle name="Normal 3 37 2 2 2" xfId="2410"/>
    <cellStyle name="Normal 3 37 2 2 2 2" xfId="4355"/>
    <cellStyle name="Normal 3 37 2 2 2 2 2" xfId="8208"/>
    <cellStyle name="Normal 3 37 2 2 2 2 2 2" xfId="13280"/>
    <cellStyle name="Normal 3 37 2 2 2 2 3" xfId="13279"/>
    <cellStyle name="Normal 3 37 2 2 2 3" xfId="6270"/>
    <cellStyle name="Normal 3 37 2 2 2 3 2" xfId="13281"/>
    <cellStyle name="Normal 3 37 2 2 2 4" xfId="13278"/>
    <cellStyle name="Normal 3 37 2 2 3" xfId="3394"/>
    <cellStyle name="Normal 3 37 2 2 3 2" xfId="7252"/>
    <cellStyle name="Normal 3 37 2 2 3 2 2" xfId="13283"/>
    <cellStyle name="Normal 3 37 2 2 3 3" xfId="13282"/>
    <cellStyle name="Normal 3 37 2 2 4" xfId="5314"/>
    <cellStyle name="Normal 3 37 2 2 4 2" xfId="13284"/>
    <cellStyle name="Normal 3 37 2 2 5" xfId="13277"/>
    <cellStyle name="Normal 3 37 2 3" xfId="1192"/>
    <cellStyle name="Normal 3 37 2 3 2" xfId="2163"/>
    <cellStyle name="Normal 3 37 2 3 2 2" xfId="4108"/>
    <cellStyle name="Normal 3 37 2 3 2 2 2" xfId="7961"/>
    <cellStyle name="Normal 3 37 2 3 2 2 2 2" xfId="13288"/>
    <cellStyle name="Normal 3 37 2 3 2 2 3" xfId="13287"/>
    <cellStyle name="Normal 3 37 2 3 2 3" xfId="6023"/>
    <cellStyle name="Normal 3 37 2 3 2 3 2" xfId="13289"/>
    <cellStyle name="Normal 3 37 2 3 2 4" xfId="13286"/>
    <cellStyle name="Normal 3 37 2 3 3" xfId="3147"/>
    <cellStyle name="Normal 3 37 2 3 3 2" xfId="7005"/>
    <cellStyle name="Normal 3 37 2 3 3 2 2" xfId="13291"/>
    <cellStyle name="Normal 3 37 2 3 3 3" xfId="13290"/>
    <cellStyle name="Normal 3 37 2 3 4" xfId="5067"/>
    <cellStyle name="Normal 3 37 2 3 4 2" xfId="13292"/>
    <cellStyle name="Normal 3 37 2 3 5" xfId="13285"/>
    <cellStyle name="Normal 3 37 2 4" xfId="1700"/>
    <cellStyle name="Normal 3 37 2 4 2" xfId="2661"/>
    <cellStyle name="Normal 3 37 2 4 2 2" xfId="4606"/>
    <cellStyle name="Normal 3 37 2 4 2 2 2" xfId="8459"/>
    <cellStyle name="Normal 3 37 2 4 2 2 2 2" xfId="13296"/>
    <cellStyle name="Normal 3 37 2 4 2 2 3" xfId="13295"/>
    <cellStyle name="Normal 3 37 2 4 2 3" xfId="6521"/>
    <cellStyle name="Normal 3 37 2 4 2 3 2" xfId="13297"/>
    <cellStyle name="Normal 3 37 2 4 2 4" xfId="13294"/>
    <cellStyle name="Normal 3 37 2 4 3" xfId="3647"/>
    <cellStyle name="Normal 3 37 2 4 3 2" xfId="7503"/>
    <cellStyle name="Normal 3 37 2 4 3 2 2" xfId="13299"/>
    <cellStyle name="Normal 3 37 2 4 3 3" xfId="13298"/>
    <cellStyle name="Normal 3 37 2 4 4" xfId="5565"/>
    <cellStyle name="Normal 3 37 2 4 4 2" xfId="13300"/>
    <cellStyle name="Normal 3 37 2 4 5" xfId="13293"/>
    <cellStyle name="Normal 3 37 2 5" xfId="1931"/>
    <cellStyle name="Normal 3 37 2 5 2" xfId="3876"/>
    <cellStyle name="Normal 3 37 2 5 2 2" xfId="7729"/>
    <cellStyle name="Normal 3 37 2 5 2 2 2" xfId="13303"/>
    <cellStyle name="Normal 3 37 2 5 2 3" xfId="13302"/>
    <cellStyle name="Normal 3 37 2 5 3" xfId="5791"/>
    <cellStyle name="Normal 3 37 2 5 3 2" xfId="13304"/>
    <cellStyle name="Normal 3 37 2 5 4" xfId="13301"/>
    <cellStyle name="Normal 3 37 2 6" xfId="2915"/>
    <cellStyle name="Normal 3 37 2 6 2" xfId="6773"/>
    <cellStyle name="Normal 3 37 2 6 2 2" xfId="13306"/>
    <cellStyle name="Normal 3 37 2 6 3" xfId="13305"/>
    <cellStyle name="Normal 3 37 2 7" xfId="4835"/>
    <cellStyle name="Normal 3 37 2 7 2" xfId="13307"/>
    <cellStyle name="Normal 3 37 2 8" xfId="13276"/>
    <cellStyle name="Normal 3 37 3" xfId="1332"/>
    <cellStyle name="Normal 3 37 3 2" xfId="2303"/>
    <cellStyle name="Normal 3 37 3 2 2" xfId="4248"/>
    <cellStyle name="Normal 3 37 3 2 2 2" xfId="8101"/>
    <cellStyle name="Normal 3 37 3 2 2 2 2" xfId="13311"/>
    <cellStyle name="Normal 3 37 3 2 2 3" xfId="13310"/>
    <cellStyle name="Normal 3 37 3 2 3" xfId="6163"/>
    <cellStyle name="Normal 3 37 3 2 3 2" xfId="13312"/>
    <cellStyle name="Normal 3 37 3 2 4" xfId="13309"/>
    <cellStyle name="Normal 3 37 3 3" xfId="3287"/>
    <cellStyle name="Normal 3 37 3 3 2" xfId="7145"/>
    <cellStyle name="Normal 3 37 3 3 2 2" xfId="13314"/>
    <cellStyle name="Normal 3 37 3 3 3" xfId="13313"/>
    <cellStyle name="Normal 3 37 3 4" xfId="5207"/>
    <cellStyle name="Normal 3 37 3 4 2" xfId="13315"/>
    <cellStyle name="Normal 3 37 3 5" xfId="13308"/>
    <cellStyle name="Normal 3 37 4" xfId="1100"/>
    <cellStyle name="Normal 3 37 4 2" xfId="2071"/>
    <cellStyle name="Normal 3 37 4 2 2" xfId="4016"/>
    <cellStyle name="Normal 3 37 4 2 2 2" xfId="7869"/>
    <cellStyle name="Normal 3 37 4 2 2 2 2" xfId="13319"/>
    <cellStyle name="Normal 3 37 4 2 2 3" xfId="13318"/>
    <cellStyle name="Normal 3 37 4 2 3" xfId="5931"/>
    <cellStyle name="Normal 3 37 4 2 3 2" xfId="13320"/>
    <cellStyle name="Normal 3 37 4 2 4" xfId="13317"/>
    <cellStyle name="Normal 3 37 4 3" xfId="3055"/>
    <cellStyle name="Normal 3 37 4 3 2" xfId="6913"/>
    <cellStyle name="Normal 3 37 4 3 2 2" xfId="13322"/>
    <cellStyle name="Normal 3 37 4 3 3" xfId="13321"/>
    <cellStyle name="Normal 3 37 4 4" xfId="4975"/>
    <cellStyle name="Normal 3 37 4 4 2" xfId="13323"/>
    <cellStyle name="Normal 3 37 4 5" xfId="13316"/>
    <cellStyle name="Normal 3 37 5" xfId="1593"/>
    <cellStyle name="Normal 3 37 5 2" xfId="2554"/>
    <cellStyle name="Normal 3 37 5 2 2" xfId="4499"/>
    <cellStyle name="Normal 3 37 5 2 2 2" xfId="8352"/>
    <cellStyle name="Normal 3 37 5 2 2 2 2" xfId="13327"/>
    <cellStyle name="Normal 3 37 5 2 2 3" xfId="13326"/>
    <cellStyle name="Normal 3 37 5 2 3" xfId="6414"/>
    <cellStyle name="Normal 3 37 5 2 3 2" xfId="13328"/>
    <cellStyle name="Normal 3 37 5 2 4" xfId="13325"/>
    <cellStyle name="Normal 3 37 5 3" xfId="3540"/>
    <cellStyle name="Normal 3 37 5 3 2" xfId="7396"/>
    <cellStyle name="Normal 3 37 5 3 2 2" xfId="13330"/>
    <cellStyle name="Normal 3 37 5 3 3" xfId="13329"/>
    <cellStyle name="Normal 3 37 5 4" xfId="5458"/>
    <cellStyle name="Normal 3 37 5 4 2" xfId="13331"/>
    <cellStyle name="Normal 3 37 5 5" xfId="13324"/>
    <cellStyle name="Normal 3 37 6" xfId="1838"/>
    <cellStyle name="Normal 3 37 6 2" xfId="3784"/>
    <cellStyle name="Normal 3 37 6 2 2" xfId="7637"/>
    <cellStyle name="Normal 3 37 6 2 2 2" xfId="13334"/>
    <cellStyle name="Normal 3 37 6 2 3" xfId="13333"/>
    <cellStyle name="Normal 3 37 6 3" xfId="5699"/>
    <cellStyle name="Normal 3 37 6 3 2" xfId="13335"/>
    <cellStyle name="Normal 3 37 6 4" xfId="13332"/>
    <cellStyle name="Normal 3 37 7" xfId="2822"/>
    <cellStyle name="Normal 3 37 7 2" xfId="6681"/>
    <cellStyle name="Normal 3 37 7 2 2" xfId="13337"/>
    <cellStyle name="Normal 3 37 7 3" xfId="13336"/>
    <cellStyle name="Normal 3 37 8" xfId="4743"/>
    <cellStyle name="Normal 3 37 8 2" xfId="13338"/>
    <cellStyle name="Normal 3 37 9" xfId="13275"/>
    <cellStyle name="Normal 3 38" xfId="859"/>
    <cellStyle name="Normal 3 38 2" xfId="956"/>
    <cellStyle name="Normal 3 38 2 2" xfId="1440"/>
    <cellStyle name="Normal 3 38 2 2 2" xfId="2411"/>
    <cellStyle name="Normal 3 38 2 2 2 2" xfId="4356"/>
    <cellStyle name="Normal 3 38 2 2 2 2 2" xfId="8209"/>
    <cellStyle name="Normal 3 38 2 2 2 2 2 2" xfId="13344"/>
    <cellStyle name="Normal 3 38 2 2 2 2 3" xfId="13343"/>
    <cellStyle name="Normal 3 38 2 2 2 3" xfId="6271"/>
    <cellStyle name="Normal 3 38 2 2 2 3 2" xfId="13345"/>
    <cellStyle name="Normal 3 38 2 2 2 4" xfId="13342"/>
    <cellStyle name="Normal 3 38 2 2 3" xfId="3395"/>
    <cellStyle name="Normal 3 38 2 2 3 2" xfId="7253"/>
    <cellStyle name="Normal 3 38 2 2 3 2 2" xfId="13347"/>
    <cellStyle name="Normal 3 38 2 2 3 3" xfId="13346"/>
    <cellStyle name="Normal 3 38 2 2 4" xfId="5315"/>
    <cellStyle name="Normal 3 38 2 2 4 2" xfId="13348"/>
    <cellStyle name="Normal 3 38 2 2 5" xfId="13341"/>
    <cellStyle name="Normal 3 38 2 3" xfId="1193"/>
    <cellStyle name="Normal 3 38 2 3 2" xfId="2164"/>
    <cellStyle name="Normal 3 38 2 3 2 2" xfId="4109"/>
    <cellStyle name="Normal 3 38 2 3 2 2 2" xfId="7962"/>
    <cellStyle name="Normal 3 38 2 3 2 2 2 2" xfId="13352"/>
    <cellStyle name="Normal 3 38 2 3 2 2 3" xfId="13351"/>
    <cellStyle name="Normal 3 38 2 3 2 3" xfId="6024"/>
    <cellStyle name="Normal 3 38 2 3 2 3 2" xfId="13353"/>
    <cellStyle name="Normal 3 38 2 3 2 4" xfId="13350"/>
    <cellStyle name="Normal 3 38 2 3 3" xfId="3148"/>
    <cellStyle name="Normal 3 38 2 3 3 2" xfId="7006"/>
    <cellStyle name="Normal 3 38 2 3 3 2 2" xfId="13355"/>
    <cellStyle name="Normal 3 38 2 3 3 3" xfId="13354"/>
    <cellStyle name="Normal 3 38 2 3 4" xfId="5068"/>
    <cellStyle name="Normal 3 38 2 3 4 2" xfId="13356"/>
    <cellStyle name="Normal 3 38 2 3 5" xfId="13349"/>
    <cellStyle name="Normal 3 38 2 4" xfId="1701"/>
    <cellStyle name="Normal 3 38 2 4 2" xfId="2662"/>
    <cellStyle name="Normal 3 38 2 4 2 2" xfId="4607"/>
    <cellStyle name="Normal 3 38 2 4 2 2 2" xfId="8460"/>
    <cellStyle name="Normal 3 38 2 4 2 2 2 2" xfId="13360"/>
    <cellStyle name="Normal 3 38 2 4 2 2 3" xfId="13359"/>
    <cellStyle name="Normal 3 38 2 4 2 3" xfId="6522"/>
    <cellStyle name="Normal 3 38 2 4 2 3 2" xfId="13361"/>
    <cellStyle name="Normal 3 38 2 4 2 4" xfId="13358"/>
    <cellStyle name="Normal 3 38 2 4 3" xfId="3648"/>
    <cellStyle name="Normal 3 38 2 4 3 2" xfId="7504"/>
    <cellStyle name="Normal 3 38 2 4 3 2 2" xfId="13363"/>
    <cellStyle name="Normal 3 38 2 4 3 3" xfId="13362"/>
    <cellStyle name="Normal 3 38 2 4 4" xfId="5566"/>
    <cellStyle name="Normal 3 38 2 4 4 2" xfId="13364"/>
    <cellStyle name="Normal 3 38 2 4 5" xfId="13357"/>
    <cellStyle name="Normal 3 38 2 5" xfId="1932"/>
    <cellStyle name="Normal 3 38 2 5 2" xfId="3877"/>
    <cellStyle name="Normal 3 38 2 5 2 2" xfId="7730"/>
    <cellStyle name="Normal 3 38 2 5 2 2 2" xfId="13367"/>
    <cellStyle name="Normal 3 38 2 5 2 3" xfId="13366"/>
    <cellStyle name="Normal 3 38 2 5 3" xfId="5792"/>
    <cellStyle name="Normal 3 38 2 5 3 2" xfId="13368"/>
    <cellStyle name="Normal 3 38 2 5 4" xfId="13365"/>
    <cellStyle name="Normal 3 38 2 6" xfId="2916"/>
    <cellStyle name="Normal 3 38 2 6 2" xfId="6774"/>
    <cellStyle name="Normal 3 38 2 6 2 2" xfId="13370"/>
    <cellStyle name="Normal 3 38 2 6 3" xfId="13369"/>
    <cellStyle name="Normal 3 38 2 7" xfId="4836"/>
    <cellStyle name="Normal 3 38 2 7 2" xfId="13371"/>
    <cellStyle name="Normal 3 38 2 8" xfId="13340"/>
    <cellStyle name="Normal 3 38 3" xfId="1333"/>
    <cellStyle name="Normal 3 38 3 2" xfId="2304"/>
    <cellStyle name="Normal 3 38 3 2 2" xfId="4249"/>
    <cellStyle name="Normal 3 38 3 2 2 2" xfId="8102"/>
    <cellStyle name="Normal 3 38 3 2 2 2 2" xfId="13375"/>
    <cellStyle name="Normal 3 38 3 2 2 3" xfId="13374"/>
    <cellStyle name="Normal 3 38 3 2 3" xfId="6164"/>
    <cellStyle name="Normal 3 38 3 2 3 2" xfId="13376"/>
    <cellStyle name="Normal 3 38 3 2 4" xfId="13373"/>
    <cellStyle name="Normal 3 38 3 3" xfId="3288"/>
    <cellStyle name="Normal 3 38 3 3 2" xfId="7146"/>
    <cellStyle name="Normal 3 38 3 3 2 2" xfId="13378"/>
    <cellStyle name="Normal 3 38 3 3 3" xfId="13377"/>
    <cellStyle name="Normal 3 38 3 4" xfId="5208"/>
    <cellStyle name="Normal 3 38 3 4 2" xfId="13379"/>
    <cellStyle name="Normal 3 38 3 5" xfId="13372"/>
    <cellStyle name="Normal 3 38 4" xfId="1101"/>
    <cellStyle name="Normal 3 38 4 2" xfId="2072"/>
    <cellStyle name="Normal 3 38 4 2 2" xfId="4017"/>
    <cellStyle name="Normal 3 38 4 2 2 2" xfId="7870"/>
    <cellStyle name="Normal 3 38 4 2 2 2 2" xfId="13383"/>
    <cellStyle name="Normal 3 38 4 2 2 3" xfId="13382"/>
    <cellStyle name="Normal 3 38 4 2 3" xfId="5932"/>
    <cellStyle name="Normal 3 38 4 2 3 2" xfId="13384"/>
    <cellStyle name="Normal 3 38 4 2 4" xfId="13381"/>
    <cellStyle name="Normal 3 38 4 3" xfId="3056"/>
    <cellStyle name="Normal 3 38 4 3 2" xfId="6914"/>
    <cellStyle name="Normal 3 38 4 3 2 2" xfId="13386"/>
    <cellStyle name="Normal 3 38 4 3 3" xfId="13385"/>
    <cellStyle name="Normal 3 38 4 4" xfId="4976"/>
    <cellStyle name="Normal 3 38 4 4 2" xfId="13387"/>
    <cellStyle name="Normal 3 38 4 5" xfId="13380"/>
    <cellStyle name="Normal 3 38 5" xfId="1594"/>
    <cellStyle name="Normal 3 38 5 2" xfId="2555"/>
    <cellStyle name="Normal 3 38 5 2 2" xfId="4500"/>
    <cellStyle name="Normal 3 38 5 2 2 2" xfId="8353"/>
    <cellStyle name="Normal 3 38 5 2 2 2 2" xfId="13391"/>
    <cellStyle name="Normal 3 38 5 2 2 3" xfId="13390"/>
    <cellStyle name="Normal 3 38 5 2 3" xfId="6415"/>
    <cellStyle name="Normal 3 38 5 2 3 2" xfId="13392"/>
    <cellStyle name="Normal 3 38 5 2 4" xfId="13389"/>
    <cellStyle name="Normal 3 38 5 3" xfId="3541"/>
    <cellStyle name="Normal 3 38 5 3 2" xfId="7397"/>
    <cellStyle name="Normal 3 38 5 3 2 2" xfId="13394"/>
    <cellStyle name="Normal 3 38 5 3 3" xfId="13393"/>
    <cellStyle name="Normal 3 38 5 4" xfId="5459"/>
    <cellStyle name="Normal 3 38 5 4 2" xfId="13395"/>
    <cellStyle name="Normal 3 38 5 5" xfId="13388"/>
    <cellStyle name="Normal 3 38 6" xfId="1839"/>
    <cellStyle name="Normal 3 38 6 2" xfId="3785"/>
    <cellStyle name="Normal 3 38 6 2 2" xfId="7638"/>
    <cellStyle name="Normal 3 38 6 2 2 2" xfId="13398"/>
    <cellStyle name="Normal 3 38 6 2 3" xfId="13397"/>
    <cellStyle name="Normal 3 38 6 3" xfId="5700"/>
    <cellStyle name="Normal 3 38 6 3 2" xfId="13399"/>
    <cellStyle name="Normal 3 38 6 4" xfId="13396"/>
    <cellStyle name="Normal 3 38 7" xfId="2823"/>
    <cellStyle name="Normal 3 38 7 2" xfId="6682"/>
    <cellStyle name="Normal 3 38 7 2 2" xfId="13401"/>
    <cellStyle name="Normal 3 38 7 3" xfId="13400"/>
    <cellStyle name="Normal 3 38 8" xfId="4744"/>
    <cellStyle name="Normal 3 38 8 2" xfId="13402"/>
    <cellStyle name="Normal 3 38 9" xfId="13339"/>
    <cellStyle name="Normal 3 39" xfId="860"/>
    <cellStyle name="Normal 3 39 2" xfId="957"/>
    <cellStyle name="Normal 3 39 2 2" xfId="1441"/>
    <cellStyle name="Normal 3 39 2 2 2" xfId="2412"/>
    <cellStyle name="Normal 3 39 2 2 2 2" xfId="4357"/>
    <cellStyle name="Normal 3 39 2 2 2 2 2" xfId="8210"/>
    <cellStyle name="Normal 3 39 2 2 2 2 2 2" xfId="13408"/>
    <cellStyle name="Normal 3 39 2 2 2 2 3" xfId="13407"/>
    <cellStyle name="Normal 3 39 2 2 2 3" xfId="6272"/>
    <cellStyle name="Normal 3 39 2 2 2 3 2" xfId="13409"/>
    <cellStyle name="Normal 3 39 2 2 2 4" xfId="13406"/>
    <cellStyle name="Normal 3 39 2 2 3" xfId="3396"/>
    <cellStyle name="Normal 3 39 2 2 3 2" xfId="7254"/>
    <cellStyle name="Normal 3 39 2 2 3 2 2" xfId="13411"/>
    <cellStyle name="Normal 3 39 2 2 3 3" xfId="13410"/>
    <cellStyle name="Normal 3 39 2 2 4" xfId="5316"/>
    <cellStyle name="Normal 3 39 2 2 4 2" xfId="13412"/>
    <cellStyle name="Normal 3 39 2 2 5" xfId="13405"/>
    <cellStyle name="Normal 3 39 2 3" xfId="1194"/>
    <cellStyle name="Normal 3 39 2 3 2" xfId="2165"/>
    <cellStyle name="Normal 3 39 2 3 2 2" xfId="4110"/>
    <cellStyle name="Normal 3 39 2 3 2 2 2" xfId="7963"/>
    <cellStyle name="Normal 3 39 2 3 2 2 2 2" xfId="13416"/>
    <cellStyle name="Normal 3 39 2 3 2 2 3" xfId="13415"/>
    <cellStyle name="Normal 3 39 2 3 2 3" xfId="6025"/>
    <cellStyle name="Normal 3 39 2 3 2 3 2" xfId="13417"/>
    <cellStyle name="Normal 3 39 2 3 2 4" xfId="13414"/>
    <cellStyle name="Normal 3 39 2 3 3" xfId="3149"/>
    <cellStyle name="Normal 3 39 2 3 3 2" xfId="7007"/>
    <cellStyle name="Normal 3 39 2 3 3 2 2" xfId="13419"/>
    <cellStyle name="Normal 3 39 2 3 3 3" xfId="13418"/>
    <cellStyle name="Normal 3 39 2 3 4" xfId="5069"/>
    <cellStyle name="Normal 3 39 2 3 4 2" xfId="13420"/>
    <cellStyle name="Normal 3 39 2 3 5" xfId="13413"/>
    <cellStyle name="Normal 3 39 2 4" xfId="1702"/>
    <cellStyle name="Normal 3 39 2 4 2" xfId="2663"/>
    <cellStyle name="Normal 3 39 2 4 2 2" xfId="4608"/>
    <cellStyle name="Normal 3 39 2 4 2 2 2" xfId="8461"/>
    <cellStyle name="Normal 3 39 2 4 2 2 2 2" xfId="13424"/>
    <cellStyle name="Normal 3 39 2 4 2 2 3" xfId="13423"/>
    <cellStyle name="Normal 3 39 2 4 2 3" xfId="6523"/>
    <cellStyle name="Normal 3 39 2 4 2 3 2" xfId="13425"/>
    <cellStyle name="Normal 3 39 2 4 2 4" xfId="13422"/>
    <cellStyle name="Normal 3 39 2 4 3" xfId="3649"/>
    <cellStyle name="Normal 3 39 2 4 3 2" xfId="7505"/>
    <cellStyle name="Normal 3 39 2 4 3 2 2" xfId="13427"/>
    <cellStyle name="Normal 3 39 2 4 3 3" xfId="13426"/>
    <cellStyle name="Normal 3 39 2 4 4" xfId="5567"/>
    <cellStyle name="Normal 3 39 2 4 4 2" xfId="13428"/>
    <cellStyle name="Normal 3 39 2 4 5" xfId="13421"/>
    <cellStyle name="Normal 3 39 2 5" xfId="1933"/>
    <cellStyle name="Normal 3 39 2 5 2" xfId="3878"/>
    <cellStyle name="Normal 3 39 2 5 2 2" xfId="7731"/>
    <cellStyle name="Normal 3 39 2 5 2 2 2" xfId="13431"/>
    <cellStyle name="Normal 3 39 2 5 2 3" xfId="13430"/>
    <cellStyle name="Normal 3 39 2 5 3" xfId="5793"/>
    <cellStyle name="Normal 3 39 2 5 3 2" xfId="13432"/>
    <cellStyle name="Normal 3 39 2 5 4" xfId="13429"/>
    <cellStyle name="Normal 3 39 2 6" xfId="2917"/>
    <cellStyle name="Normal 3 39 2 6 2" xfId="6775"/>
    <cellStyle name="Normal 3 39 2 6 2 2" xfId="13434"/>
    <cellStyle name="Normal 3 39 2 6 3" xfId="13433"/>
    <cellStyle name="Normal 3 39 2 7" xfId="4837"/>
    <cellStyle name="Normal 3 39 2 7 2" xfId="13435"/>
    <cellStyle name="Normal 3 39 2 8" xfId="13404"/>
    <cellStyle name="Normal 3 39 3" xfId="1334"/>
    <cellStyle name="Normal 3 39 3 2" xfId="2305"/>
    <cellStyle name="Normal 3 39 3 2 2" xfId="4250"/>
    <cellStyle name="Normal 3 39 3 2 2 2" xfId="8103"/>
    <cellStyle name="Normal 3 39 3 2 2 2 2" xfId="13439"/>
    <cellStyle name="Normal 3 39 3 2 2 3" xfId="13438"/>
    <cellStyle name="Normal 3 39 3 2 3" xfId="6165"/>
    <cellStyle name="Normal 3 39 3 2 3 2" xfId="13440"/>
    <cellStyle name="Normal 3 39 3 2 4" xfId="13437"/>
    <cellStyle name="Normal 3 39 3 3" xfId="3289"/>
    <cellStyle name="Normal 3 39 3 3 2" xfId="7147"/>
    <cellStyle name="Normal 3 39 3 3 2 2" xfId="13442"/>
    <cellStyle name="Normal 3 39 3 3 3" xfId="13441"/>
    <cellStyle name="Normal 3 39 3 4" xfId="5209"/>
    <cellStyle name="Normal 3 39 3 4 2" xfId="13443"/>
    <cellStyle name="Normal 3 39 3 5" xfId="13436"/>
    <cellStyle name="Normal 3 39 4" xfId="1102"/>
    <cellStyle name="Normal 3 39 4 2" xfId="2073"/>
    <cellStyle name="Normal 3 39 4 2 2" xfId="4018"/>
    <cellStyle name="Normal 3 39 4 2 2 2" xfId="7871"/>
    <cellStyle name="Normal 3 39 4 2 2 2 2" xfId="13447"/>
    <cellStyle name="Normal 3 39 4 2 2 3" xfId="13446"/>
    <cellStyle name="Normal 3 39 4 2 3" xfId="5933"/>
    <cellStyle name="Normal 3 39 4 2 3 2" xfId="13448"/>
    <cellStyle name="Normal 3 39 4 2 4" xfId="13445"/>
    <cellStyle name="Normal 3 39 4 3" xfId="3057"/>
    <cellStyle name="Normal 3 39 4 3 2" xfId="6915"/>
    <cellStyle name="Normal 3 39 4 3 2 2" xfId="13450"/>
    <cellStyle name="Normal 3 39 4 3 3" xfId="13449"/>
    <cellStyle name="Normal 3 39 4 4" xfId="4977"/>
    <cellStyle name="Normal 3 39 4 4 2" xfId="13451"/>
    <cellStyle name="Normal 3 39 4 5" xfId="13444"/>
    <cellStyle name="Normal 3 39 5" xfId="1595"/>
    <cellStyle name="Normal 3 39 5 2" xfId="2556"/>
    <cellStyle name="Normal 3 39 5 2 2" xfId="4501"/>
    <cellStyle name="Normal 3 39 5 2 2 2" xfId="8354"/>
    <cellStyle name="Normal 3 39 5 2 2 2 2" xfId="13455"/>
    <cellStyle name="Normal 3 39 5 2 2 3" xfId="13454"/>
    <cellStyle name="Normal 3 39 5 2 3" xfId="6416"/>
    <cellStyle name="Normal 3 39 5 2 3 2" xfId="13456"/>
    <cellStyle name="Normal 3 39 5 2 4" xfId="13453"/>
    <cellStyle name="Normal 3 39 5 3" xfId="3542"/>
    <cellStyle name="Normal 3 39 5 3 2" xfId="7398"/>
    <cellStyle name="Normal 3 39 5 3 2 2" xfId="13458"/>
    <cellStyle name="Normal 3 39 5 3 3" xfId="13457"/>
    <cellStyle name="Normal 3 39 5 4" xfId="5460"/>
    <cellStyle name="Normal 3 39 5 4 2" xfId="13459"/>
    <cellStyle name="Normal 3 39 5 5" xfId="13452"/>
    <cellStyle name="Normal 3 39 6" xfId="1840"/>
    <cellStyle name="Normal 3 39 6 2" xfId="3786"/>
    <cellStyle name="Normal 3 39 6 2 2" xfId="7639"/>
    <cellStyle name="Normal 3 39 6 2 2 2" xfId="13462"/>
    <cellStyle name="Normal 3 39 6 2 3" xfId="13461"/>
    <cellStyle name="Normal 3 39 6 3" xfId="5701"/>
    <cellStyle name="Normal 3 39 6 3 2" xfId="13463"/>
    <cellStyle name="Normal 3 39 6 4" xfId="13460"/>
    <cellStyle name="Normal 3 39 7" xfId="2824"/>
    <cellStyle name="Normal 3 39 7 2" xfId="6683"/>
    <cellStyle name="Normal 3 39 7 2 2" xfId="13465"/>
    <cellStyle name="Normal 3 39 7 3" xfId="13464"/>
    <cellStyle name="Normal 3 39 8" xfId="4745"/>
    <cellStyle name="Normal 3 39 8 2" xfId="13466"/>
    <cellStyle name="Normal 3 39 9" xfId="13403"/>
    <cellStyle name="Normal 3 4" xfId="415"/>
    <cellStyle name="Normal 3 4 10" xfId="13467"/>
    <cellStyle name="Normal 3 4 2" xfId="657"/>
    <cellStyle name="Normal 3 4 2 2" xfId="1564"/>
    <cellStyle name="Normal 3 4 2 2 2" xfId="2528"/>
    <cellStyle name="Normal 3 4 2 2 2 2" xfId="4473"/>
    <cellStyle name="Normal 3 4 2 2 2 2 2" xfId="8326"/>
    <cellStyle name="Normal 3 4 2 2 2 2 2 2" xfId="13472"/>
    <cellStyle name="Normal 3 4 2 2 2 2 3" xfId="13471"/>
    <cellStyle name="Normal 3 4 2 2 2 3" xfId="6388"/>
    <cellStyle name="Normal 3 4 2 2 2 3 2" xfId="13473"/>
    <cellStyle name="Normal 3 4 2 2 2 4" xfId="13470"/>
    <cellStyle name="Normal 3 4 2 2 3" xfId="3514"/>
    <cellStyle name="Normal 3 4 2 2 3 2" xfId="7370"/>
    <cellStyle name="Normal 3 4 2 2 3 2 2" xfId="13475"/>
    <cellStyle name="Normal 3 4 2 2 3 3" xfId="13474"/>
    <cellStyle name="Normal 3 4 2 2 4" xfId="5432"/>
    <cellStyle name="Normal 3 4 2 2 4 2" xfId="13476"/>
    <cellStyle name="Normal 3 4 2 2 5" xfId="13469"/>
    <cellStyle name="Normal 3 4 2 3" xfId="13468"/>
    <cellStyle name="Normal 3 4 3" xfId="958"/>
    <cellStyle name="Normal 3 4 3 2" xfId="1364"/>
    <cellStyle name="Normal 3 4 3 2 2" xfId="2335"/>
    <cellStyle name="Normal 3 4 3 2 2 2" xfId="4280"/>
    <cellStyle name="Normal 3 4 3 2 2 2 2" xfId="8133"/>
    <cellStyle name="Normal 3 4 3 2 2 2 2 2" xfId="13481"/>
    <cellStyle name="Normal 3 4 3 2 2 2 3" xfId="13480"/>
    <cellStyle name="Normal 3 4 3 2 2 3" xfId="6195"/>
    <cellStyle name="Normal 3 4 3 2 2 3 2" xfId="13482"/>
    <cellStyle name="Normal 3 4 3 2 2 4" xfId="13479"/>
    <cellStyle name="Normal 3 4 3 2 3" xfId="3319"/>
    <cellStyle name="Normal 3 4 3 2 3 2" xfId="7177"/>
    <cellStyle name="Normal 3 4 3 2 3 2 2" xfId="13484"/>
    <cellStyle name="Normal 3 4 3 2 3 3" xfId="13483"/>
    <cellStyle name="Normal 3 4 3 2 4" xfId="5239"/>
    <cellStyle name="Normal 3 4 3 2 4 2" xfId="13485"/>
    <cellStyle name="Normal 3 4 3 2 5" xfId="13478"/>
    <cellStyle name="Normal 3 4 3 3" xfId="1195"/>
    <cellStyle name="Normal 3 4 3 3 2" xfId="2166"/>
    <cellStyle name="Normal 3 4 3 3 2 2" xfId="4111"/>
    <cellStyle name="Normal 3 4 3 3 2 2 2" xfId="7964"/>
    <cellStyle name="Normal 3 4 3 3 2 2 2 2" xfId="13489"/>
    <cellStyle name="Normal 3 4 3 3 2 2 3" xfId="13488"/>
    <cellStyle name="Normal 3 4 3 3 2 3" xfId="6026"/>
    <cellStyle name="Normal 3 4 3 3 2 3 2" xfId="13490"/>
    <cellStyle name="Normal 3 4 3 3 2 4" xfId="13487"/>
    <cellStyle name="Normal 3 4 3 3 3" xfId="3150"/>
    <cellStyle name="Normal 3 4 3 3 3 2" xfId="7008"/>
    <cellStyle name="Normal 3 4 3 3 3 2 2" xfId="13492"/>
    <cellStyle name="Normal 3 4 3 3 3 3" xfId="13491"/>
    <cellStyle name="Normal 3 4 3 3 4" xfId="5070"/>
    <cellStyle name="Normal 3 4 3 3 4 2" xfId="13493"/>
    <cellStyle name="Normal 3 4 3 3 5" xfId="13486"/>
    <cellStyle name="Normal 3 4 3 4" xfId="1625"/>
    <cellStyle name="Normal 3 4 3 4 2" xfId="2586"/>
    <cellStyle name="Normal 3 4 3 4 2 2" xfId="4531"/>
    <cellStyle name="Normal 3 4 3 4 2 2 2" xfId="8384"/>
    <cellStyle name="Normal 3 4 3 4 2 2 2 2" xfId="13497"/>
    <cellStyle name="Normal 3 4 3 4 2 2 3" xfId="13496"/>
    <cellStyle name="Normal 3 4 3 4 2 3" xfId="6446"/>
    <cellStyle name="Normal 3 4 3 4 2 3 2" xfId="13498"/>
    <cellStyle name="Normal 3 4 3 4 2 4" xfId="13495"/>
    <cellStyle name="Normal 3 4 3 4 3" xfId="3572"/>
    <cellStyle name="Normal 3 4 3 4 3 2" xfId="7428"/>
    <cellStyle name="Normal 3 4 3 4 3 2 2" xfId="13500"/>
    <cellStyle name="Normal 3 4 3 4 3 3" xfId="13499"/>
    <cellStyle name="Normal 3 4 3 4 4" xfId="5490"/>
    <cellStyle name="Normal 3 4 3 4 4 2" xfId="13501"/>
    <cellStyle name="Normal 3 4 3 4 5" xfId="13494"/>
    <cellStyle name="Normal 3 4 3 5" xfId="1934"/>
    <cellStyle name="Normal 3 4 3 5 2" xfId="3879"/>
    <cellStyle name="Normal 3 4 3 5 2 2" xfId="7732"/>
    <cellStyle name="Normal 3 4 3 5 2 2 2" xfId="13504"/>
    <cellStyle name="Normal 3 4 3 5 2 3" xfId="13503"/>
    <cellStyle name="Normal 3 4 3 5 3" xfId="5794"/>
    <cellStyle name="Normal 3 4 3 5 3 2" xfId="13505"/>
    <cellStyle name="Normal 3 4 3 5 4" xfId="13502"/>
    <cellStyle name="Normal 3 4 3 6" xfId="2918"/>
    <cellStyle name="Normal 3 4 3 6 2" xfId="6776"/>
    <cellStyle name="Normal 3 4 3 6 2 2" xfId="13507"/>
    <cellStyle name="Normal 3 4 3 6 3" xfId="13506"/>
    <cellStyle name="Normal 3 4 3 7" xfId="4838"/>
    <cellStyle name="Normal 3 4 3 7 2" xfId="13508"/>
    <cellStyle name="Normal 3 4 3 8" xfId="13477"/>
    <cellStyle name="Normal 3 4 4" xfId="1263"/>
    <cellStyle name="Normal 3 4 4 2" xfId="2234"/>
    <cellStyle name="Normal 3 4 4 2 2" xfId="4179"/>
    <cellStyle name="Normal 3 4 4 2 2 2" xfId="8032"/>
    <cellStyle name="Normal 3 4 4 2 2 2 2" xfId="13512"/>
    <cellStyle name="Normal 3 4 4 2 2 3" xfId="13511"/>
    <cellStyle name="Normal 3 4 4 2 3" xfId="6094"/>
    <cellStyle name="Normal 3 4 4 2 3 2" xfId="13513"/>
    <cellStyle name="Normal 3 4 4 2 4" xfId="13510"/>
    <cellStyle name="Normal 3 4 4 3" xfId="3218"/>
    <cellStyle name="Normal 3 4 4 3 2" xfId="7076"/>
    <cellStyle name="Normal 3 4 4 3 2 2" xfId="13515"/>
    <cellStyle name="Normal 3 4 4 3 3" xfId="13514"/>
    <cellStyle name="Normal 3 4 4 4" xfId="5138"/>
    <cellStyle name="Normal 3 4 4 4 2" xfId="13516"/>
    <cellStyle name="Normal 3 4 4 5" xfId="13509"/>
    <cellStyle name="Normal 3 4 5" xfId="1027"/>
    <cellStyle name="Normal 3 4 5 2" xfId="2000"/>
    <cellStyle name="Normal 3 4 5 2 2" xfId="3945"/>
    <cellStyle name="Normal 3 4 5 2 2 2" xfId="7798"/>
    <cellStyle name="Normal 3 4 5 2 2 2 2" xfId="13520"/>
    <cellStyle name="Normal 3 4 5 2 2 3" xfId="13519"/>
    <cellStyle name="Normal 3 4 5 2 3" xfId="5860"/>
    <cellStyle name="Normal 3 4 5 2 3 2" xfId="13521"/>
    <cellStyle name="Normal 3 4 5 2 4" xfId="13518"/>
    <cellStyle name="Normal 3 4 5 3" xfId="2984"/>
    <cellStyle name="Normal 3 4 5 3 2" xfId="6842"/>
    <cellStyle name="Normal 3 4 5 3 2 2" xfId="13523"/>
    <cellStyle name="Normal 3 4 5 3 3" xfId="13522"/>
    <cellStyle name="Normal 3 4 5 4" xfId="4904"/>
    <cellStyle name="Normal 3 4 5 4 2" xfId="13524"/>
    <cellStyle name="Normal 3 4 5 5" xfId="13517"/>
    <cellStyle name="Normal 3 4 6" xfId="1512"/>
    <cellStyle name="Normal 3 4 6 2" xfId="2479"/>
    <cellStyle name="Normal 3 4 6 2 2" xfId="4424"/>
    <cellStyle name="Normal 3 4 6 2 2 2" xfId="8277"/>
    <cellStyle name="Normal 3 4 6 2 2 2 2" xfId="13528"/>
    <cellStyle name="Normal 3 4 6 2 2 3" xfId="13527"/>
    <cellStyle name="Normal 3 4 6 2 3" xfId="6339"/>
    <cellStyle name="Normal 3 4 6 2 3 2" xfId="13529"/>
    <cellStyle name="Normal 3 4 6 2 4" xfId="13526"/>
    <cellStyle name="Normal 3 4 6 3" xfId="3464"/>
    <cellStyle name="Normal 3 4 6 3 2" xfId="7321"/>
    <cellStyle name="Normal 3 4 6 3 2 2" xfId="13531"/>
    <cellStyle name="Normal 3 4 6 3 3" xfId="13530"/>
    <cellStyle name="Normal 3 4 6 4" xfId="5383"/>
    <cellStyle name="Normal 3 4 6 4 2" xfId="13532"/>
    <cellStyle name="Normal 3 4 6 5" xfId="13525"/>
    <cellStyle name="Normal 3 4 7" xfId="1761"/>
    <cellStyle name="Normal 3 4 7 2" xfId="3707"/>
    <cellStyle name="Normal 3 4 7 2 2" xfId="7560"/>
    <cellStyle name="Normal 3 4 7 2 2 2" xfId="13535"/>
    <cellStyle name="Normal 3 4 7 2 3" xfId="13534"/>
    <cellStyle name="Normal 3 4 7 3" xfId="5622"/>
    <cellStyle name="Normal 3 4 7 3 2" xfId="13536"/>
    <cellStyle name="Normal 3 4 7 4" xfId="13533"/>
    <cellStyle name="Normal 3 4 8" xfId="2745"/>
    <cellStyle name="Normal 3 4 8 2" xfId="6604"/>
    <cellStyle name="Normal 3 4 8 2 2" xfId="13538"/>
    <cellStyle name="Normal 3 4 8 3" xfId="13537"/>
    <cellStyle name="Normal 3 4 9" xfId="4672"/>
    <cellStyle name="Normal 3 4 9 2" xfId="13539"/>
    <cellStyle name="Normal 3 40" xfId="861"/>
    <cellStyle name="Normal 3 40 2" xfId="959"/>
    <cellStyle name="Normal 3 40 2 2" xfId="1442"/>
    <cellStyle name="Normal 3 40 2 2 2" xfId="2413"/>
    <cellStyle name="Normal 3 40 2 2 2 2" xfId="4358"/>
    <cellStyle name="Normal 3 40 2 2 2 2 2" xfId="8211"/>
    <cellStyle name="Normal 3 40 2 2 2 2 2 2" xfId="13545"/>
    <cellStyle name="Normal 3 40 2 2 2 2 3" xfId="13544"/>
    <cellStyle name="Normal 3 40 2 2 2 3" xfId="6273"/>
    <cellStyle name="Normal 3 40 2 2 2 3 2" xfId="13546"/>
    <cellStyle name="Normal 3 40 2 2 2 4" xfId="13543"/>
    <cellStyle name="Normal 3 40 2 2 3" xfId="3397"/>
    <cellStyle name="Normal 3 40 2 2 3 2" xfId="7255"/>
    <cellStyle name="Normal 3 40 2 2 3 2 2" xfId="13548"/>
    <cellStyle name="Normal 3 40 2 2 3 3" xfId="13547"/>
    <cellStyle name="Normal 3 40 2 2 4" xfId="5317"/>
    <cellStyle name="Normal 3 40 2 2 4 2" xfId="13549"/>
    <cellStyle name="Normal 3 40 2 2 5" xfId="13542"/>
    <cellStyle name="Normal 3 40 2 3" xfId="1196"/>
    <cellStyle name="Normal 3 40 2 3 2" xfId="2167"/>
    <cellStyle name="Normal 3 40 2 3 2 2" xfId="4112"/>
    <cellStyle name="Normal 3 40 2 3 2 2 2" xfId="7965"/>
    <cellStyle name="Normal 3 40 2 3 2 2 2 2" xfId="13553"/>
    <cellStyle name="Normal 3 40 2 3 2 2 3" xfId="13552"/>
    <cellStyle name="Normal 3 40 2 3 2 3" xfId="6027"/>
    <cellStyle name="Normal 3 40 2 3 2 3 2" xfId="13554"/>
    <cellStyle name="Normal 3 40 2 3 2 4" xfId="13551"/>
    <cellStyle name="Normal 3 40 2 3 3" xfId="3151"/>
    <cellStyle name="Normal 3 40 2 3 3 2" xfId="7009"/>
    <cellStyle name="Normal 3 40 2 3 3 2 2" xfId="13556"/>
    <cellStyle name="Normal 3 40 2 3 3 3" xfId="13555"/>
    <cellStyle name="Normal 3 40 2 3 4" xfId="5071"/>
    <cellStyle name="Normal 3 40 2 3 4 2" xfId="13557"/>
    <cellStyle name="Normal 3 40 2 3 5" xfId="13550"/>
    <cellStyle name="Normal 3 40 2 4" xfId="1703"/>
    <cellStyle name="Normal 3 40 2 4 2" xfId="2664"/>
    <cellStyle name="Normal 3 40 2 4 2 2" xfId="4609"/>
    <cellStyle name="Normal 3 40 2 4 2 2 2" xfId="8462"/>
    <cellStyle name="Normal 3 40 2 4 2 2 2 2" xfId="13561"/>
    <cellStyle name="Normal 3 40 2 4 2 2 3" xfId="13560"/>
    <cellStyle name="Normal 3 40 2 4 2 3" xfId="6524"/>
    <cellStyle name="Normal 3 40 2 4 2 3 2" xfId="13562"/>
    <cellStyle name="Normal 3 40 2 4 2 4" xfId="13559"/>
    <cellStyle name="Normal 3 40 2 4 3" xfId="3650"/>
    <cellStyle name="Normal 3 40 2 4 3 2" xfId="7506"/>
    <cellStyle name="Normal 3 40 2 4 3 2 2" xfId="13564"/>
    <cellStyle name="Normal 3 40 2 4 3 3" xfId="13563"/>
    <cellStyle name="Normal 3 40 2 4 4" xfId="5568"/>
    <cellStyle name="Normal 3 40 2 4 4 2" xfId="13565"/>
    <cellStyle name="Normal 3 40 2 4 5" xfId="13558"/>
    <cellStyle name="Normal 3 40 2 5" xfId="1935"/>
    <cellStyle name="Normal 3 40 2 5 2" xfId="3880"/>
    <cellStyle name="Normal 3 40 2 5 2 2" xfId="7733"/>
    <cellStyle name="Normal 3 40 2 5 2 2 2" xfId="13568"/>
    <cellStyle name="Normal 3 40 2 5 2 3" xfId="13567"/>
    <cellStyle name="Normal 3 40 2 5 3" xfId="5795"/>
    <cellStyle name="Normal 3 40 2 5 3 2" xfId="13569"/>
    <cellStyle name="Normal 3 40 2 5 4" xfId="13566"/>
    <cellStyle name="Normal 3 40 2 6" xfId="2919"/>
    <cellStyle name="Normal 3 40 2 6 2" xfId="6777"/>
    <cellStyle name="Normal 3 40 2 6 2 2" xfId="13571"/>
    <cellStyle name="Normal 3 40 2 6 3" xfId="13570"/>
    <cellStyle name="Normal 3 40 2 7" xfId="4839"/>
    <cellStyle name="Normal 3 40 2 7 2" xfId="13572"/>
    <cellStyle name="Normal 3 40 2 8" xfId="13541"/>
    <cellStyle name="Normal 3 40 3" xfId="1335"/>
    <cellStyle name="Normal 3 40 3 2" xfId="2306"/>
    <cellStyle name="Normal 3 40 3 2 2" xfId="4251"/>
    <cellStyle name="Normal 3 40 3 2 2 2" xfId="8104"/>
    <cellStyle name="Normal 3 40 3 2 2 2 2" xfId="13576"/>
    <cellStyle name="Normal 3 40 3 2 2 3" xfId="13575"/>
    <cellStyle name="Normal 3 40 3 2 3" xfId="6166"/>
    <cellStyle name="Normal 3 40 3 2 3 2" xfId="13577"/>
    <cellStyle name="Normal 3 40 3 2 4" xfId="13574"/>
    <cellStyle name="Normal 3 40 3 3" xfId="3290"/>
    <cellStyle name="Normal 3 40 3 3 2" xfId="7148"/>
    <cellStyle name="Normal 3 40 3 3 2 2" xfId="13579"/>
    <cellStyle name="Normal 3 40 3 3 3" xfId="13578"/>
    <cellStyle name="Normal 3 40 3 4" xfId="5210"/>
    <cellStyle name="Normal 3 40 3 4 2" xfId="13580"/>
    <cellStyle name="Normal 3 40 3 5" xfId="13573"/>
    <cellStyle name="Normal 3 40 4" xfId="1103"/>
    <cellStyle name="Normal 3 40 4 2" xfId="2074"/>
    <cellStyle name="Normal 3 40 4 2 2" xfId="4019"/>
    <cellStyle name="Normal 3 40 4 2 2 2" xfId="7872"/>
    <cellStyle name="Normal 3 40 4 2 2 2 2" xfId="13584"/>
    <cellStyle name="Normal 3 40 4 2 2 3" xfId="13583"/>
    <cellStyle name="Normal 3 40 4 2 3" xfId="5934"/>
    <cellStyle name="Normal 3 40 4 2 3 2" xfId="13585"/>
    <cellStyle name="Normal 3 40 4 2 4" xfId="13582"/>
    <cellStyle name="Normal 3 40 4 3" xfId="3058"/>
    <cellStyle name="Normal 3 40 4 3 2" xfId="6916"/>
    <cellStyle name="Normal 3 40 4 3 2 2" xfId="13587"/>
    <cellStyle name="Normal 3 40 4 3 3" xfId="13586"/>
    <cellStyle name="Normal 3 40 4 4" xfId="4978"/>
    <cellStyle name="Normal 3 40 4 4 2" xfId="13588"/>
    <cellStyle name="Normal 3 40 4 5" xfId="13581"/>
    <cellStyle name="Normal 3 40 5" xfId="1596"/>
    <cellStyle name="Normal 3 40 5 2" xfId="2557"/>
    <cellStyle name="Normal 3 40 5 2 2" xfId="4502"/>
    <cellStyle name="Normal 3 40 5 2 2 2" xfId="8355"/>
    <cellStyle name="Normal 3 40 5 2 2 2 2" xfId="13592"/>
    <cellStyle name="Normal 3 40 5 2 2 3" xfId="13591"/>
    <cellStyle name="Normal 3 40 5 2 3" xfId="6417"/>
    <cellStyle name="Normal 3 40 5 2 3 2" xfId="13593"/>
    <cellStyle name="Normal 3 40 5 2 4" xfId="13590"/>
    <cellStyle name="Normal 3 40 5 3" xfId="3543"/>
    <cellStyle name="Normal 3 40 5 3 2" xfId="7399"/>
    <cellStyle name="Normal 3 40 5 3 2 2" xfId="13595"/>
    <cellStyle name="Normal 3 40 5 3 3" xfId="13594"/>
    <cellStyle name="Normal 3 40 5 4" xfId="5461"/>
    <cellStyle name="Normal 3 40 5 4 2" xfId="13596"/>
    <cellStyle name="Normal 3 40 5 5" xfId="13589"/>
    <cellStyle name="Normal 3 40 6" xfId="1841"/>
    <cellStyle name="Normal 3 40 6 2" xfId="3787"/>
    <cellStyle name="Normal 3 40 6 2 2" xfId="7640"/>
    <cellStyle name="Normal 3 40 6 2 2 2" xfId="13599"/>
    <cellStyle name="Normal 3 40 6 2 3" xfId="13598"/>
    <cellStyle name="Normal 3 40 6 3" xfId="5702"/>
    <cellStyle name="Normal 3 40 6 3 2" xfId="13600"/>
    <cellStyle name="Normal 3 40 6 4" xfId="13597"/>
    <cellStyle name="Normal 3 40 7" xfId="2825"/>
    <cellStyle name="Normal 3 40 7 2" xfId="6684"/>
    <cellStyle name="Normal 3 40 7 2 2" xfId="13602"/>
    <cellStyle name="Normal 3 40 7 3" xfId="13601"/>
    <cellStyle name="Normal 3 40 8" xfId="4746"/>
    <cellStyle name="Normal 3 40 8 2" xfId="13603"/>
    <cellStyle name="Normal 3 40 9" xfId="13540"/>
    <cellStyle name="Normal 3 41" xfId="862"/>
    <cellStyle name="Normal 3 41 2" xfId="960"/>
    <cellStyle name="Normal 3 41 2 2" xfId="1443"/>
    <cellStyle name="Normal 3 41 2 2 2" xfId="2414"/>
    <cellStyle name="Normal 3 41 2 2 2 2" xfId="4359"/>
    <cellStyle name="Normal 3 41 2 2 2 2 2" xfId="8212"/>
    <cellStyle name="Normal 3 41 2 2 2 2 2 2" xfId="13609"/>
    <cellStyle name="Normal 3 41 2 2 2 2 3" xfId="13608"/>
    <cellStyle name="Normal 3 41 2 2 2 3" xfId="6274"/>
    <cellStyle name="Normal 3 41 2 2 2 3 2" xfId="13610"/>
    <cellStyle name="Normal 3 41 2 2 2 4" xfId="13607"/>
    <cellStyle name="Normal 3 41 2 2 3" xfId="3398"/>
    <cellStyle name="Normal 3 41 2 2 3 2" xfId="7256"/>
    <cellStyle name="Normal 3 41 2 2 3 2 2" xfId="13612"/>
    <cellStyle name="Normal 3 41 2 2 3 3" xfId="13611"/>
    <cellStyle name="Normal 3 41 2 2 4" xfId="5318"/>
    <cellStyle name="Normal 3 41 2 2 4 2" xfId="13613"/>
    <cellStyle name="Normal 3 41 2 2 5" xfId="13606"/>
    <cellStyle name="Normal 3 41 2 3" xfId="1197"/>
    <cellStyle name="Normal 3 41 2 3 2" xfId="2168"/>
    <cellStyle name="Normal 3 41 2 3 2 2" xfId="4113"/>
    <cellStyle name="Normal 3 41 2 3 2 2 2" xfId="7966"/>
    <cellStyle name="Normal 3 41 2 3 2 2 2 2" xfId="13617"/>
    <cellStyle name="Normal 3 41 2 3 2 2 3" xfId="13616"/>
    <cellStyle name="Normal 3 41 2 3 2 3" xfId="6028"/>
    <cellStyle name="Normal 3 41 2 3 2 3 2" xfId="13618"/>
    <cellStyle name="Normal 3 41 2 3 2 4" xfId="13615"/>
    <cellStyle name="Normal 3 41 2 3 3" xfId="3152"/>
    <cellStyle name="Normal 3 41 2 3 3 2" xfId="7010"/>
    <cellStyle name="Normal 3 41 2 3 3 2 2" xfId="13620"/>
    <cellStyle name="Normal 3 41 2 3 3 3" xfId="13619"/>
    <cellStyle name="Normal 3 41 2 3 4" xfId="5072"/>
    <cellStyle name="Normal 3 41 2 3 4 2" xfId="13621"/>
    <cellStyle name="Normal 3 41 2 3 5" xfId="13614"/>
    <cellStyle name="Normal 3 41 2 4" xfId="1704"/>
    <cellStyle name="Normal 3 41 2 4 2" xfId="2665"/>
    <cellStyle name="Normal 3 41 2 4 2 2" xfId="4610"/>
    <cellStyle name="Normal 3 41 2 4 2 2 2" xfId="8463"/>
    <cellStyle name="Normal 3 41 2 4 2 2 2 2" xfId="13625"/>
    <cellStyle name="Normal 3 41 2 4 2 2 3" xfId="13624"/>
    <cellStyle name="Normal 3 41 2 4 2 3" xfId="6525"/>
    <cellStyle name="Normal 3 41 2 4 2 3 2" xfId="13626"/>
    <cellStyle name="Normal 3 41 2 4 2 4" xfId="13623"/>
    <cellStyle name="Normal 3 41 2 4 3" xfId="3651"/>
    <cellStyle name="Normal 3 41 2 4 3 2" xfId="7507"/>
    <cellStyle name="Normal 3 41 2 4 3 2 2" xfId="13628"/>
    <cellStyle name="Normal 3 41 2 4 3 3" xfId="13627"/>
    <cellStyle name="Normal 3 41 2 4 4" xfId="5569"/>
    <cellStyle name="Normal 3 41 2 4 4 2" xfId="13629"/>
    <cellStyle name="Normal 3 41 2 4 5" xfId="13622"/>
    <cellStyle name="Normal 3 41 2 5" xfId="1936"/>
    <cellStyle name="Normal 3 41 2 5 2" xfId="3881"/>
    <cellStyle name="Normal 3 41 2 5 2 2" xfId="7734"/>
    <cellStyle name="Normal 3 41 2 5 2 2 2" xfId="13632"/>
    <cellStyle name="Normal 3 41 2 5 2 3" xfId="13631"/>
    <cellStyle name="Normal 3 41 2 5 3" xfId="5796"/>
    <cellStyle name="Normal 3 41 2 5 3 2" xfId="13633"/>
    <cellStyle name="Normal 3 41 2 5 4" xfId="13630"/>
    <cellStyle name="Normal 3 41 2 6" xfId="2920"/>
    <cellStyle name="Normal 3 41 2 6 2" xfId="6778"/>
    <cellStyle name="Normal 3 41 2 6 2 2" xfId="13635"/>
    <cellStyle name="Normal 3 41 2 6 3" xfId="13634"/>
    <cellStyle name="Normal 3 41 2 7" xfId="4840"/>
    <cellStyle name="Normal 3 41 2 7 2" xfId="13636"/>
    <cellStyle name="Normal 3 41 2 8" xfId="13605"/>
    <cellStyle name="Normal 3 41 3" xfId="1336"/>
    <cellStyle name="Normal 3 41 3 2" xfId="2307"/>
    <cellStyle name="Normal 3 41 3 2 2" xfId="4252"/>
    <cellStyle name="Normal 3 41 3 2 2 2" xfId="8105"/>
    <cellStyle name="Normal 3 41 3 2 2 2 2" xfId="13640"/>
    <cellStyle name="Normal 3 41 3 2 2 3" xfId="13639"/>
    <cellStyle name="Normal 3 41 3 2 3" xfId="6167"/>
    <cellStyle name="Normal 3 41 3 2 3 2" xfId="13641"/>
    <cellStyle name="Normal 3 41 3 2 4" xfId="13638"/>
    <cellStyle name="Normal 3 41 3 3" xfId="3291"/>
    <cellStyle name="Normal 3 41 3 3 2" xfId="7149"/>
    <cellStyle name="Normal 3 41 3 3 2 2" xfId="13643"/>
    <cellStyle name="Normal 3 41 3 3 3" xfId="13642"/>
    <cellStyle name="Normal 3 41 3 4" xfId="5211"/>
    <cellStyle name="Normal 3 41 3 4 2" xfId="13644"/>
    <cellStyle name="Normal 3 41 3 5" xfId="13637"/>
    <cellStyle name="Normal 3 41 4" xfId="1104"/>
    <cellStyle name="Normal 3 41 4 2" xfId="2075"/>
    <cellStyle name="Normal 3 41 4 2 2" xfId="4020"/>
    <cellStyle name="Normal 3 41 4 2 2 2" xfId="7873"/>
    <cellStyle name="Normal 3 41 4 2 2 2 2" xfId="13648"/>
    <cellStyle name="Normal 3 41 4 2 2 3" xfId="13647"/>
    <cellStyle name="Normal 3 41 4 2 3" xfId="5935"/>
    <cellStyle name="Normal 3 41 4 2 3 2" xfId="13649"/>
    <cellStyle name="Normal 3 41 4 2 4" xfId="13646"/>
    <cellStyle name="Normal 3 41 4 3" xfId="3059"/>
    <cellStyle name="Normal 3 41 4 3 2" xfId="6917"/>
    <cellStyle name="Normal 3 41 4 3 2 2" xfId="13651"/>
    <cellStyle name="Normal 3 41 4 3 3" xfId="13650"/>
    <cellStyle name="Normal 3 41 4 4" xfId="4979"/>
    <cellStyle name="Normal 3 41 4 4 2" xfId="13652"/>
    <cellStyle name="Normal 3 41 4 5" xfId="13645"/>
    <cellStyle name="Normal 3 41 5" xfId="1597"/>
    <cellStyle name="Normal 3 41 5 2" xfId="2558"/>
    <cellStyle name="Normal 3 41 5 2 2" xfId="4503"/>
    <cellStyle name="Normal 3 41 5 2 2 2" xfId="8356"/>
    <cellStyle name="Normal 3 41 5 2 2 2 2" xfId="13656"/>
    <cellStyle name="Normal 3 41 5 2 2 3" xfId="13655"/>
    <cellStyle name="Normal 3 41 5 2 3" xfId="6418"/>
    <cellStyle name="Normal 3 41 5 2 3 2" xfId="13657"/>
    <cellStyle name="Normal 3 41 5 2 4" xfId="13654"/>
    <cellStyle name="Normal 3 41 5 3" xfId="3544"/>
    <cellStyle name="Normal 3 41 5 3 2" xfId="7400"/>
    <cellStyle name="Normal 3 41 5 3 2 2" xfId="13659"/>
    <cellStyle name="Normal 3 41 5 3 3" xfId="13658"/>
    <cellStyle name="Normal 3 41 5 4" xfId="5462"/>
    <cellStyle name="Normal 3 41 5 4 2" xfId="13660"/>
    <cellStyle name="Normal 3 41 5 5" xfId="13653"/>
    <cellStyle name="Normal 3 41 6" xfId="1842"/>
    <cellStyle name="Normal 3 41 6 2" xfId="3788"/>
    <cellStyle name="Normal 3 41 6 2 2" xfId="7641"/>
    <cellStyle name="Normal 3 41 6 2 2 2" xfId="13663"/>
    <cellStyle name="Normal 3 41 6 2 3" xfId="13662"/>
    <cellStyle name="Normal 3 41 6 3" xfId="5703"/>
    <cellStyle name="Normal 3 41 6 3 2" xfId="13664"/>
    <cellStyle name="Normal 3 41 6 4" xfId="13661"/>
    <cellStyle name="Normal 3 41 7" xfId="2826"/>
    <cellStyle name="Normal 3 41 7 2" xfId="6685"/>
    <cellStyle name="Normal 3 41 7 2 2" xfId="13666"/>
    <cellStyle name="Normal 3 41 7 3" xfId="13665"/>
    <cellStyle name="Normal 3 41 8" xfId="4747"/>
    <cellStyle name="Normal 3 41 8 2" xfId="13667"/>
    <cellStyle name="Normal 3 41 9" xfId="13604"/>
    <cellStyle name="Normal 3 42" xfId="863"/>
    <cellStyle name="Normal 3 42 2" xfId="961"/>
    <cellStyle name="Normal 3 42 2 2" xfId="1444"/>
    <cellStyle name="Normal 3 42 2 2 2" xfId="2415"/>
    <cellStyle name="Normal 3 42 2 2 2 2" xfId="4360"/>
    <cellStyle name="Normal 3 42 2 2 2 2 2" xfId="8213"/>
    <cellStyle name="Normal 3 42 2 2 2 2 2 2" xfId="13673"/>
    <cellStyle name="Normal 3 42 2 2 2 2 3" xfId="13672"/>
    <cellStyle name="Normal 3 42 2 2 2 3" xfId="6275"/>
    <cellStyle name="Normal 3 42 2 2 2 3 2" xfId="13674"/>
    <cellStyle name="Normal 3 42 2 2 2 4" xfId="13671"/>
    <cellStyle name="Normal 3 42 2 2 3" xfId="3399"/>
    <cellStyle name="Normal 3 42 2 2 3 2" xfId="7257"/>
    <cellStyle name="Normal 3 42 2 2 3 2 2" xfId="13676"/>
    <cellStyle name="Normal 3 42 2 2 3 3" xfId="13675"/>
    <cellStyle name="Normal 3 42 2 2 4" xfId="5319"/>
    <cellStyle name="Normal 3 42 2 2 4 2" xfId="13677"/>
    <cellStyle name="Normal 3 42 2 2 5" xfId="13670"/>
    <cellStyle name="Normal 3 42 2 3" xfId="1198"/>
    <cellStyle name="Normal 3 42 2 3 2" xfId="2169"/>
    <cellStyle name="Normal 3 42 2 3 2 2" xfId="4114"/>
    <cellStyle name="Normal 3 42 2 3 2 2 2" xfId="7967"/>
    <cellStyle name="Normal 3 42 2 3 2 2 2 2" xfId="13681"/>
    <cellStyle name="Normal 3 42 2 3 2 2 3" xfId="13680"/>
    <cellStyle name="Normal 3 42 2 3 2 3" xfId="6029"/>
    <cellStyle name="Normal 3 42 2 3 2 3 2" xfId="13682"/>
    <cellStyle name="Normal 3 42 2 3 2 4" xfId="13679"/>
    <cellStyle name="Normal 3 42 2 3 3" xfId="3153"/>
    <cellStyle name="Normal 3 42 2 3 3 2" xfId="7011"/>
    <cellStyle name="Normal 3 42 2 3 3 2 2" xfId="13684"/>
    <cellStyle name="Normal 3 42 2 3 3 3" xfId="13683"/>
    <cellStyle name="Normal 3 42 2 3 4" xfId="5073"/>
    <cellStyle name="Normal 3 42 2 3 4 2" xfId="13685"/>
    <cellStyle name="Normal 3 42 2 3 5" xfId="13678"/>
    <cellStyle name="Normal 3 42 2 4" xfId="1705"/>
    <cellStyle name="Normal 3 42 2 4 2" xfId="2666"/>
    <cellStyle name="Normal 3 42 2 4 2 2" xfId="4611"/>
    <cellStyle name="Normal 3 42 2 4 2 2 2" xfId="8464"/>
    <cellStyle name="Normal 3 42 2 4 2 2 2 2" xfId="13689"/>
    <cellStyle name="Normal 3 42 2 4 2 2 3" xfId="13688"/>
    <cellStyle name="Normal 3 42 2 4 2 3" xfId="6526"/>
    <cellStyle name="Normal 3 42 2 4 2 3 2" xfId="13690"/>
    <cellStyle name="Normal 3 42 2 4 2 4" xfId="13687"/>
    <cellStyle name="Normal 3 42 2 4 3" xfId="3652"/>
    <cellStyle name="Normal 3 42 2 4 3 2" xfId="7508"/>
    <cellStyle name="Normal 3 42 2 4 3 2 2" xfId="13692"/>
    <cellStyle name="Normal 3 42 2 4 3 3" xfId="13691"/>
    <cellStyle name="Normal 3 42 2 4 4" xfId="5570"/>
    <cellStyle name="Normal 3 42 2 4 4 2" xfId="13693"/>
    <cellStyle name="Normal 3 42 2 4 5" xfId="13686"/>
    <cellStyle name="Normal 3 42 2 5" xfId="1937"/>
    <cellStyle name="Normal 3 42 2 5 2" xfId="3882"/>
    <cellStyle name="Normal 3 42 2 5 2 2" xfId="7735"/>
    <cellStyle name="Normal 3 42 2 5 2 2 2" xfId="13696"/>
    <cellStyle name="Normal 3 42 2 5 2 3" xfId="13695"/>
    <cellStyle name="Normal 3 42 2 5 3" xfId="5797"/>
    <cellStyle name="Normal 3 42 2 5 3 2" xfId="13697"/>
    <cellStyle name="Normal 3 42 2 5 4" xfId="13694"/>
    <cellStyle name="Normal 3 42 2 6" xfId="2921"/>
    <cellStyle name="Normal 3 42 2 6 2" xfId="6779"/>
    <cellStyle name="Normal 3 42 2 6 2 2" xfId="13699"/>
    <cellStyle name="Normal 3 42 2 6 3" xfId="13698"/>
    <cellStyle name="Normal 3 42 2 7" xfId="4841"/>
    <cellStyle name="Normal 3 42 2 7 2" xfId="13700"/>
    <cellStyle name="Normal 3 42 2 8" xfId="13669"/>
    <cellStyle name="Normal 3 42 3" xfId="1337"/>
    <cellStyle name="Normal 3 42 3 2" xfId="2308"/>
    <cellStyle name="Normal 3 42 3 2 2" xfId="4253"/>
    <cellStyle name="Normal 3 42 3 2 2 2" xfId="8106"/>
    <cellStyle name="Normal 3 42 3 2 2 2 2" xfId="13704"/>
    <cellStyle name="Normal 3 42 3 2 2 3" xfId="13703"/>
    <cellStyle name="Normal 3 42 3 2 3" xfId="6168"/>
    <cellStyle name="Normal 3 42 3 2 3 2" xfId="13705"/>
    <cellStyle name="Normal 3 42 3 2 4" xfId="13702"/>
    <cellStyle name="Normal 3 42 3 3" xfId="3292"/>
    <cellStyle name="Normal 3 42 3 3 2" xfId="7150"/>
    <cellStyle name="Normal 3 42 3 3 2 2" xfId="13707"/>
    <cellStyle name="Normal 3 42 3 3 3" xfId="13706"/>
    <cellStyle name="Normal 3 42 3 4" xfId="5212"/>
    <cellStyle name="Normal 3 42 3 4 2" xfId="13708"/>
    <cellStyle name="Normal 3 42 3 5" xfId="13701"/>
    <cellStyle name="Normal 3 42 4" xfId="1105"/>
    <cellStyle name="Normal 3 42 4 2" xfId="2076"/>
    <cellStyle name="Normal 3 42 4 2 2" xfId="4021"/>
    <cellStyle name="Normal 3 42 4 2 2 2" xfId="7874"/>
    <cellStyle name="Normal 3 42 4 2 2 2 2" xfId="13712"/>
    <cellStyle name="Normal 3 42 4 2 2 3" xfId="13711"/>
    <cellStyle name="Normal 3 42 4 2 3" xfId="5936"/>
    <cellStyle name="Normal 3 42 4 2 3 2" xfId="13713"/>
    <cellStyle name="Normal 3 42 4 2 4" xfId="13710"/>
    <cellStyle name="Normal 3 42 4 3" xfId="3060"/>
    <cellStyle name="Normal 3 42 4 3 2" xfId="6918"/>
    <cellStyle name="Normal 3 42 4 3 2 2" xfId="13715"/>
    <cellStyle name="Normal 3 42 4 3 3" xfId="13714"/>
    <cellStyle name="Normal 3 42 4 4" xfId="4980"/>
    <cellStyle name="Normal 3 42 4 4 2" xfId="13716"/>
    <cellStyle name="Normal 3 42 4 5" xfId="13709"/>
    <cellStyle name="Normal 3 42 5" xfId="1598"/>
    <cellStyle name="Normal 3 42 5 2" xfId="2559"/>
    <cellStyle name="Normal 3 42 5 2 2" xfId="4504"/>
    <cellStyle name="Normal 3 42 5 2 2 2" xfId="8357"/>
    <cellStyle name="Normal 3 42 5 2 2 2 2" xfId="13720"/>
    <cellStyle name="Normal 3 42 5 2 2 3" xfId="13719"/>
    <cellStyle name="Normal 3 42 5 2 3" xfId="6419"/>
    <cellStyle name="Normal 3 42 5 2 3 2" xfId="13721"/>
    <cellStyle name="Normal 3 42 5 2 4" xfId="13718"/>
    <cellStyle name="Normal 3 42 5 3" xfId="3545"/>
    <cellStyle name="Normal 3 42 5 3 2" xfId="7401"/>
    <cellStyle name="Normal 3 42 5 3 2 2" xfId="13723"/>
    <cellStyle name="Normal 3 42 5 3 3" xfId="13722"/>
    <cellStyle name="Normal 3 42 5 4" xfId="5463"/>
    <cellStyle name="Normal 3 42 5 4 2" xfId="13724"/>
    <cellStyle name="Normal 3 42 5 5" xfId="13717"/>
    <cellStyle name="Normal 3 42 6" xfId="1843"/>
    <cellStyle name="Normal 3 42 6 2" xfId="3789"/>
    <cellStyle name="Normal 3 42 6 2 2" xfId="7642"/>
    <cellStyle name="Normal 3 42 6 2 2 2" xfId="13727"/>
    <cellStyle name="Normal 3 42 6 2 3" xfId="13726"/>
    <cellStyle name="Normal 3 42 6 3" xfId="5704"/>
    <cellStyle name="Normal 3 42 6 3 2" xfId="13728"/>
    <cellStyle name="Normal 3 42 6 4" xfId="13725"/>
    <cellStyle name="Normal 3 42 7" xfId="2827"/>
    <cellStyle name="Normal 3 42 7 2" xfId="6686"/>
    <cellStyle name="Normal 3 42 7 2 2" xfId="13730"/>
    <cellStyle name="Normal 3 42 7 3" xfId="13729"/>
    <cellStyle name="Normal 3 42 8" xfId="4748"/>
    <cellStyle name="Normal 3 42 8 2" xfId="13731"/>
    <cellStyle name="Normal 3 42 9" xfId="13668"/>
    <cellStyle name="Normal 3 43" xfId="864"/>
    <cellStyle name="Normal 3 43 2" xfId="962"/>
    <cellStyle name="Normal 3 43 2 2" xfId="1445"/>
    <cellStyle name="Normal 3 43 2 2 2" xfId="2416"/>
    <cellStyle name="Normal 3 43 2 2 2 2" xfId="4361"/>
    <cellStyle name="Normal 3 43 2 2 2 2 2" xfId="8214"/>
    <cellStyle name="Normal 3 43 2 2 2 2 2 2" xfId="13737"/>
    <cellStyle name="Normal 3 43 2 2 2 2 3" xfId="13736"/>
    <cellStyle name="Normal 3 43 2 2 2 3" xfId="6276"/>
    <cellStyle name="Normal 3 43 2 2 2 3 2" xfId="13738"/>
    <cellStyle name="Normal 3 43 2 2 2 4" xfId="13735"/>
    <cellStyle name="Normal 3 43 2 2 3" xfId="3400"/>
    <cellStyle name="Normal 3 43 2 2 3 2" xfId="7258"/>
    <cellStyle name="Normal 3 43 2 2 3 2 2" xfId="13740"/>
    <cellStyle name="Normal 3 43 2 2 3 3" xfId="13739"/>
    <cellStyle name="Normal 3 43 2 2 4" xfId="5320"/>
    <cellStyle name="Normal 3 43 2 2 4 2" xfId="13741"/>
    <cellStyle name="Normal 3 43 2 2 5" xfId="13734"/>
    <cellStyle name="Normal 3 43 2 3" xfId="1199"/>
    <cellStyle name="Normal 3 43 2 3 2" xfId="2170"/>
    <cellStyle name="Normal 3 43 2 3 2 2" xfId="4115"/>
    <cellStyle name="Normal 3 43 2 3 2 2 2" xfId="7968"/>
    <cellStyle name="Normal 3 43 2 3 2 2 2 2" xfId="13745"/>
    <cellStyle name="Normal 3 43 2 3 2 2 3" xfId="13744"/>
    <cellStyle name="Normal 3 43 2 3 2 3" xfId="6030"/>
    <cellStyle name="Normal 3 43 2 3 2 3 2" xfId="13746"/>
    <cellStyle name="Normal 3 43 2 3 2 4" xfId="13743"/>
    <cellStyle name="Normal 3 43 2 3 3" xfId="3154"/>
    <cellStyle name="Normal 3 43 2 3 3 2" xfId="7012"/>
    <cellStyle name="Normal 3 43 2 3 3 2 2" xfId="13748"/>
    <cellStyle name="Normal 3 43 2 3 3 3" xfId="13747"/>
    <cellStyle name="Normal 3 43 2 3 4" xfId="5074"/>
    <cellStyle name="Normal 3 43 2 3 4 2" xfId="13749"/>
    <cellStyle name="Normal 3 43 2 3 5" xfId="13742"/>
    <cellStyle name="Normal 3 43 2 4" xfId="1706"/>
    <cellStyle name="Normal 3 43 2 4 2" xfId="2667"/>
    <cellStyle name="Normal 3 43 2 4 2 2" xfId="4612"/>
    <cellStyle name="Normal 3 43 2 4 2 2 2" xfId="8465"/>
    <cellStyle name="Normal 3 43 2 4 2 2 2 2" xfId="13753"/>
    <cellStyle name="Normal 3 43 2 4 2 2 3" xfId="13752"/>
    <cellStyle name="Normal 3 43 2 4 2 3" xfId="6527"/>
    <cellStyle name="Normal 3 43 2 4 2 3 2" xfId="13754"/>
    <cellStyle name="Normal 3 43 2 4 2 4" xfId="13751"/>
    <cellStyle name="Normal 3 43 2 4 3" xfId="3653"/>
    <cellStyle name="Normal 3 43 2 4 3 2" xfId="7509"/>
    <cellStyle name="Normal 3 43 2 4 3 2 2" xfId="13756"/>
    <cellStyle name="Normal 3 43 2 4 3 3" xfId="13755"/>
    <cellStyle name="Normal 3 43 2 4 4" xfId="5571"/>
    <cellStyle name="Normal 3 43 2 4 4 2" xfId="13757"/>
    <cellStyle name="Normal 3 43 2 4 5" xfId="13750"/>
    <cellStyle name="Normal 3 43 2 5" xfId="1938"/>
    <cellStyle name="Normal 3 43 2 5 2" xfId="3883"/>
    <cellStyle name="Normal 3 43 2 5 2 2" xfId="7736"/>
    <cellStyle name="Normal 3 43 2 5 2 2 2" xfId="13760"/>
    <cellStyle name="Normal 3 43 2 5 2 3" xfId="13759"/>
    <cellStyle name="Normal 3 43 2 5 3" xfId="5798"/>
    <cellStyle name="Normal 3 43 2 5 3 2" xfId="13761"/>
    <cellStyle name="Normal 3 43 2 5 4" xfId="13758"/>
    <cellStyle name="Normal 3 43 2 6" xfId="2922"/>
    <cellStyle name="Normal 3 43 2 6 2" xfId="6780"/>
    <cellStyle name="Normal 3 43 2 6 2 2" xfId="13763"/>
    <cellStyle name="Normal 3 43 2 6 3" xfId="13762"/>
    <cellStyle name="Normal 3 43 2 7" xfId="4842"/>
    <cellStyle name="Normal 3 43 2 7 2" xfId="13764"/>
    <cellStyle name="Normal 3 43 2 8" xfId="13733"/>
    <cellStyle name="Normal 3 43 3" xfId="1338"/>
    <cellStyle name="Normal 3 43 3 2" xfId="2309"/>
    <cellStyle name="Normal 3 43 3 2 2" xfId="4254"/>
    <cellStyle name="Normal 3 43 3 2 2 2" xfId="8107"/>
    <cellStyle name="Normal 3 43 3 2 2 2 2" xfId="13768"/>
    <cellStyle name="Normal 3 43 3 2 2 3" xfId="13767"/>
    <cellStyle name="Normal 3 43 3 2 3" xfId="6169"/>
    <cellStyle name="Normal 3 43 3 2 3 2" xfId="13769"/>
    <cellStyle name="Normal 3 43 3 2 4" xfId="13766"/>
    <cellStyle name="Normal 3 43 3 3" xfId="3293"/>
    <cellStyle name="Normal 3 43 3 3 2" xfId="7151"/>
    <cellStyle name="Normal 3 43 3 3 2 2" xfId="13771"/>
    <cellStyle name="Normal 3 43 3 3 3" xfId="13770"/>
    <cellStyle name="Normal 3 43 3 4" xfId="5213"/>
    <cellStyle name="Normal 3 43 3 4 2" xfId="13772"/>
    <cellStyle name="Normal 3 43 3 5" xfId="13765"/>
    <cellStyle name="Normal 3 43 4" xfId="1106"/>
    <cellStyle name="Normal 3 43 4 2" xfId="2077"/>
    <cellStyle name="Normal 3 43 4 2 2" xfId="4022"/>
    <cellStyle name="Normal 3 43 4 2 2 2" xfId="7875"/>
    <cellStyle name="Normal 3 43 4 2 2 2 2" xfId="13776"/>
    <cellStyle name="Normal 3 43 4 2 2 3" xfId="13775"/>
    <cellStyle name="Normal 3 43 4 2 3" xfId="5937"/>
    <cellStyle name="Normal 3 43 4 2 3 2" xfId="13777"/>
    <cellStyle name="Normal 3 43 4 2 4" xfId="13774"/>
    <cellStyle name="Normal 3 43 4 3" xfId="3061"/>
    <cellStyle name="Normal 3 43 4 3 2" xfId="6919"/>
    <cellStyle name="Normal 3 43 4 3 2 2" xfId="13779"/>
    <cellStyle name="Normal 3 43 4 3 3" xfId="13778"/>
    <cellStyle name="Normal 3 43 4 4" xfId="4981"/>
    <cellStyle name="Normal 3 43 4 4 2" xfId="13780"/>
    <cellStyle name="Normal 3 43 4 5" xfId="13773"/>
    <cellStyle name="Normal 3 43 5" xfId="1599"/>
    <cellStyle name="Normal 3 43 5 2" xfId="2560"/>
    <cellStyle name="Normal 3 43 5 2 2" xfId="4505"/>
    <cellStyle name="Normal 3 43 5 2 2 2" xfId="8358"/>
    <cellStyle name="Normal 3 43 5 2 2 2 2" xfId="13784"/>
    <cellStyle name="Normal 3 43 5 2 2 3" xfId="13783"/>
    <cellStyle name="Normal 3 43 5 2 3" xfId="6420"/>
    <cellStyle name="Normal 3 43 5 2 3 2" xfId="13785"/>
    <cellStyle name="Normal 3 43 5 2 4" xfId="13782"/>
    <cellStyle name="Normal 3 43 5 3" xfId="3546"/>
    <cellStyle name="Normal 3 43 5 3 2" xfId="7402"/>
    <cellStyle name="Normal 3 43 5 3 2 2" xfId="13787"/>
    <cellStyle name="Normal 3 43 5 3 3" xfId="13786"/>
    <cellStyle name="Normal 3 43 5 4" xfId="5464"/>
    <cellStyle name="Normal 3 43 5 4 2" xfId="13788"/>
    <cellStyle name="Normal 3 43 5 5" xfId="13781"/>
    <cellStyle name="Normal 3 43 6" xfId="1844"/>
    <cellStyle name="Normal 3 43 6 2" xfId="3790"/>
    <cellStyle name="Normal 3 43 6 2 2" xfId="7643"/>
    <cellStyle name="Normal 3 43 6 2 2 2" xfId="13791"/>
    <cellStyle name="Normal 3 43 6 2 3" xfId="13790"/>
    <cellStyle name="Normal 3 43 6 3" xfId="5705"/>
    <cellStyle name="Normal 3 43 6 3 2" xfId="13792"/>
    <cellStyle name="Normal 3 43 6 4" xfId="13789"/>
    <cellStyle name="Normal 3 43 7" xfId="2828"/>
    <cellStyle name="Normal 3 43 7 2" xfId="6687"/>
    <cellStyle name="Normal 3 43 7 2 2" xfId="13794"/>
    <cellStyle name="Normal 3 43 7 3" xfId="13793"/>
    <cellStyle name="Normal 3 43 8" xfId="4749"/>
    <cellStyle name="Normal 3 43 8 2" xfId="13795"/>
    <cellStyle name="Normal 3 43 9" xfId="13732"/>
    <cellStyle name="Normal 3 44" xfId="866"/>
    <cellStyle name="Normal 3 44 2" xfId="963"/>
    <cellStyle name="Normal 3 44 2 2" xfId="1446"/>
    <cellStyle name="Normal 3 44 2 2 2" xfId="2417"/>
    <cellStyle name="Normal 3 44 2 2 2 2" xfId="4362"/>
    <cellStyle name="Normal 3 44 2 2 2 2 2" xfId="8215"/>
    <cellStyle name="Normal 3 44 2 2 2 2 2 2" xfId="13801"/>
    <cellStyle name="Normal 3 44 2 2 2 2 3" xfId="13800"/>
    <cellStyle name="Normal 3 44 2 2 2 3" xfId="6277"/>
    <cellStyle name="Normal 3 44 2 2 2 3 2" xfId="13802"/>
    <cellStyle name="Normal 3 44 2 2 2 4" xfId="13799"/>
    <cellStyle name="Normal 3 44 2 2 3" xfId="3401"/>
    <cellStyle name="Normal 3 44 2 2 3 2" xfId="7259"/>
    <cellStyle name="Normal 3 44 2 2 3 2 2" xfId="13804"/>
    <cellStyle name="Normal 3 44 2 2 3 3" xfId="13803"/>
    <cellStyle name="Normal 3 44 2 2 4" xfId="5321"/>
    <cellStyle name="Normal 3 44 2 2 4 2" xfId="13805"/>
    <cellStyle name="Normal 3 44 2 2 5" xfId="13798"/>
    <cellStyle name="Normal 3 44 2 3" xfId="1200"/>
    <cellStyle name="Normal 3 44 2 3 2" xfId="2171"/>
    <cellStyle name="Normal 3 44 2 3 2 2" xfId="4116"/>
    <cellStyle name="Normal 3 44 2 3 2 2 2" xfId="7969"/>
    <cellStyle name="Normal 3 44 2 3 2 2 2 2" xfId="13809"/>
    <cellStyle name="Normal 3 44 2 3 2 2 3" xfId="13808"/>
    <cellStyle name="Normal 3 44 2 3 2 3" xfId="6031"/>
    <cellStyle name="Normal 3 44 2 3 2 3 2" xfId="13810"/>
    <cellStyle name="Normal 3 44 2 3 2 4" xfId="13807"/>
    <cellStyle name="Normal 3 44 2 3 3" xfId="3155"/>
    <cellStyle name="Normal 3 44 2 3 3 2" xfId="7013"/>
    <cellStyle name="Normal 3 44 2 3 3 2 2" xfId="13812"/>
    <cellStyle name="Normal 3 44 2 3 3 3" xfId="13811"/>
    <cellStyle name="Normal 3 44 2 3 4" xfId="5075"/>
    <cellStyle name="Normal 3 44 2 3 4 2" xfId="13813"/>
    <cellStyle name="Normal 3 44 2 3 5" xfId="13806"/>
    <cellStyle name="Normal 3 44 2 4" xfId="1707"/>
    <cellStyle name="Normal 3 44 2 4 2" xfId="2668"/>
    <cellStyle name="Normal 3 44 2 4 2 2" xfId="4613"/>
    <cellStyle name="Normal 3 44 2 4 2 2 2" xfId="8466"/>
    <cellStyle name="Normal 3 44 2 4 2 2 2 2" xfId="13817"/>
    <cellStyle name="Normal 3 44 2 4 2 2 3" xfId="13816"/>
    <cellStyle name="Normal 3 44 2 4 2 3" xfId="6528"/>
    <cellStyle name="Normal 3 44 2 4 2 3 2" xfId="13818"/>
    <cellStyle name="Normal 3 44 2 4 2 4" xfId="13815"/>
    <cellStyle name="Normal 3 44 2 4 3" xfId="3654"/>
    <cellStyle name="Normal 3 44 2 4 3 2" xfId="7510"/>
    <cellStyle name="Normal 3 44 2 4 3 2 2" xfId="13820"/>
    <cellStyle name="Normal 3 44 2 4 3 3" xfId="13819"/>
    <cellStyle name="Normal 3 44 2 4 4" xfId="5572"/>
    <cellStyle name="Normal 3 44 2 4 4 2" xfId="13821"/>
    <cellStyle name="Normal 3 44 2 4 5" xfId="13814"/>
    <cellStyle name="Normal 3 44 2 5" xfId="1939"/>
    <cellStyle name="Normal 3 44 2 5 2" xfId="3884"/>
    <cellStyle name="Normal 3 44 2 5 2 2" xfId="7737"/>
    <cellStyle name="Normal 3 44 2 5 2 2 2" xfId="13824"/>
    <cellStyle name="Normal 3 44 2 5 2 3" xfId="13823"/>
    <cellStyle name="Normal 3 44 2 5 3" xfId="5799"/>
    <cellStyle name="Normal 3 44 2 5 3 2" xfId="13825"/>
    <cellStyle name="Normal 3 44 2 5 4" xfId="13822"/>
    <cellStyle name="Normal 3 44 2 6" xfId="2923"/>
    <cellStyle name="Normal 3 44 2 6 2" xfId="6781"/>
    <cellStyle name="Normal 3 44 2 6 2 2" xfId="13827"/>
    <cellStyle name="Normal 3 44 2 6 3" xfId="13826"/>
    <cellStyle name="Normal 3 44 2 7" xfId="4843"/>
    <cellStyle name="Normal 3 44 2 7 2" xfId="13828"/>
    <cellStyle name="Normal 3 44 2 8" xfId="13797"/>
    <cellStyle name="Normal 3 44 3" xfId="1339"/>
    <cellStyle name="Normal 3 44 3 2" xfId="2310"/>
    <cellStyle name="Normal 3 44 3 2 2" xfId="4255"/>
    <cellStyle name="Normal 3 44 3 2 2 2" xfId="8108"/>
    <cellStyle name="Normal 3 44 3 2 2 2 2" xfId="13832"/>
    <cellStyle name="Normal 3 44 3 2 2 3" xfId="13831"/>
    <cellStyle name="Normal 3 44 3 2 3" xfId="6170"/>
    <cellStyle name="Normal 3 44 3 2 3 2" xfId="13833"/>
    <cellStyle name="Normal 3 44 3 2 4" xfId="13830"/>
    <cellStyle name="Normal 3 44 3 3" xfId="3294"/>
    <cellStyle name="Normal 3 44 3 3 2" xfId="7152"/>
    <cellStyle name="Normal 3 44 3 3 2 2" xfId="13835"/>
    <cellStyle name="Normal 3 44 3 3 3" xfId="13834"/>
    <cellStyle name="Normal 3 44 3 4" xfId="5214"/>
    <cellStyle name="Normal 3 44 3 4 2" xfId="13836"/>
    <cellStyle name="Normal 3 44 3 5" xfId="13829"/>
    <cellStyle name="Normal 3 44 4" xfId="1107"/>
    <cellStyle name="Normal 3 44 4 2" xfId="2078"/>
    <cellStyle name="Normal 3 44 4 2 2" xfId="4023"/>
    <cellStyle name="Normal 3 44 4 2 2 2" xfId="7876"/>
    <cellStyle name="Normal 3 44 4 2 2 2 2" xfId="13840"/>
    <cellStyle name="Normal 3 44 4 2 2 3" xfId="13839"/>
    <cellStyle name="Normal 3 44 4 2 3" xfId="5938"/>
    <cellStyle name="Normal 3 44 4 2 3 2" xfId="13841"/>
    <cellStyle name="Normal 3 44 4 2 4" xfId="13838"/>
    <cellStyle name="Normal 3 44 4 3" xfId="3062"/>
    <cellStyle name="Normal 3 44 4 3 2" xfId="6920"/>
    <cellStyle name="Normal 3 44 4 3 2 2" xfId="13843"/>
    <cellStyle name="Normal 3 44 4 3 3" xfId="13842"/>
    <cellStyle name="Normal 3 44 4 4" xfId="4982"/>
    <cellStyle name="Normal 3 44 4 4 2" xfId="13844"/>
    <cellStyle name="Normal 3 44 4 5" xfId="13837"/>
    <cellStyle name="Normal 3 44 5" xfId="1600"/>
    <cellStyle name="Normal 3 44 5 2" xfId="2561"/>
    <cellStyle name="Normal 3 44 5 2 2" xfId="4506"/>
    <cellStyle name="Normal 3 44 5 2 2 2" xfId="8359"/>
    <cellStyle name="Normal 3 44 5 2 2 2 2" xfId="13848"/>
    <cellStyle name="Normal 3 44 5 2 2 3" xfId="13847"/>
    <cellStyle name="Normal 3 44 5 2 3" xfId="6421"/>
    <cellStyle name="Normal 3 44 5 2 3 2" xfId="13849"/>
    <cellStyle name="Normal 3 44 5 2 4" xfId="13846"/>
    <cellStyle name="Normal 3 44 5 3" xfId="3547"/>
    <cellStyle name="Normal 3 44 5 3 2" xfId="7403"/>
    <cellStyle name="Normal 3 44 5 3 2 2" xfId="13851"/>
    <cellStyle name="Normal 3 44 5 3 3" xfId="13850"/>
    <cellStyle name="Normal 3 44 5 4" xfId="5465"/>
    <cellStyle name="Normal 3 44 5 4 2" xfId="13852"/>
    <cellStyle name="Normal 3 44 5 5" xfId="13845"/>
    <cellStyle name="Normal 3 44 6" xfId="1845"/>
    <cellStyle name="Normal 3 44 6 2" xfId="3791"/>
    <cellStyle name="Normal 3 44 6 2 2" xfId="7644"/>
    <cellStyle name="Normal 3 44 6 2 2 2" xfId="13855"/>
    <cellStyle name="Normal 3 44 6 2 3" xfId="13854"/>
    <cellStyle name="Normal 3 44 6 3" xfId="5706"/>
    <cellStyle name="Normal 3 44 6 3 2" xfId="13856"/>
    <cellStyle name="Normal 3 44 6 4" xfId="13853"/>
    <cellStyle name="Normal 3 44 7" xfId="2829"/>
    <cellStyle name="Normal 3 44 7 2" xfId="6688"/>
    <cellStyle name="Normal 3 44 7 2 2" xfId="13858"/>
    <cellStyle name="Normal 3 44 7 3" xfId="13857"/>
    <cellStyle name="Normal 3 44 8" xfId="4750"/>
    <cellStyle name="Normal 3 44 8 2" xfId="13859"/>
    <cellStyle name="Normal 3 44 9" xfId="13796"/>
    <cellStyle name="Normal 3 45" xfId="868"/>
    <cellStyle name="Normal 3 45 2" xfId="964"/>
    <cellStyle name="Normal 3 45 2 2" xfId="1448"/>
    <cellStyle name="Normal 3 45 2 2 2" xfId="2419"/>
    <cellStyle name="Normal 3 45 2 2 2 2" xfId="4364"/>
    <cellStyle name="Normal 3 45 2 2 2 2 2" xfId="8217"/>
    <cellStyle name="Normal 3 45 2 2 2 2 2 2" xfId="13865"/>
    <cellStyle name="Normal 3 45 2 2 2 2 3" xfId="13864"/>
    <cellStyle name="Normal 3 45 2 2 2 3" xfId="6279"/>
    <cellStyle name="Normal 3 45 2 2 2 3 2" xfId="13866"/>
    <cellStyle name="Normal 3 45 2 2 2 4" xfId="13863"/>
    <cellStyle name="Normal 3 45 2 2 3" xfId="3403"/>
    <cellStyle name="Normal 3 45 2 2 3 2" xfId="7261"/>
    <cellStyle name="Normal 3 45 2 2 3 2 2" xfId="13868"/>
    <cellStyle name="Normal 3 45 2 2 3 3" xfId="13867"/>
    <cellStyle name="Normal 3 45 2 2 4" xfId="5323"/>
    <cellStyle name="Normal 3 45 2 2 4 2" xfId="13869"/>
    <cellStyle name="Normal 3 45 2 2 5" xfId="13862"/>
    <cellStyle name="Normal 3 45 2 3" xfId="1201"/>
    <cellStyle name="Normal 3 45 2 3 2" xfId="2172"/>
    <cellStyle name="Normal 3 45 2 3 2 2" xfId="4117"/>
    <cellStyle name="Normal 3 45 2 3 2 2 2" xfId="7970"/>
    <cellStyle name="Normal 3 45 2 3 2 2 2 2" xfId="13873"/>
    <cellStyle name="Normal 3 45 2 3 2 2 3" xfId="13872"/>
    <cellStyle name="Normal 3 45 2 3 2 3" xfId="6032"/>
    <cellStyle name="Normal 3 45 2 3 2 3 2" xfId="13874"/>
    <cellStyle name="Normal 3 45 2 3 2 4" xfId="13871"/>
    <cellStyle name="Normal 3 45 2 3 3" xfId="3156"/>
    <cellStyle name="Normal 3 45 2 3 3 2" xfId="7014"/>
    <cellStyle name="Normal 3 45 2 3 3 2 2" xfId="13876"/>
    <cellStyle name="Normal 3 45 2 3 3 3" xfId="13875"/>
    <cellStyle name="Normal 3 45 2 3 4" xfId="5076"/>
    <cellStyle name="Normal 3 45 2 3 4 2" xfId="13877"/>
    <cellStyle name="Normal 3 45 2 3 5" xfId="13870"/>
    <cellStyle name="Normal 3 45 2 4" xfId="1709"/>
    <cellStyle name="Normal 3 45 2 4 2" xfId="2670"/>
    <cellStyle name="Normal 3 45 2 4 2 2" xfId="4615"/>
    <cellStyle name="Normal 3 45 2 4 2 2 2" xfId="8468"/>
    <cellStyle name="Normal 3 45 2 4 2 2 2 2" xfId="13881"/>
    <cellStyle name="Normal 3 45 2 4 2 2 3" xfId="13880"/>
    <cellStyle name="Normal 3 45 2 4 2 3" xfId="6530"/>
    <cellStyle name="Normal 3 45 2 4 2 3 2" xfId="13882"/>
    <cellStyle name="Normal 3 45 2 4 2 4" xfId="13879"/>
    <cellStyle name="Normal 3 45 2 4 3" xfId="3656"/>
    <cellStyle name="Normal 3 45 2 4 3 2" xfId="7512"/>
    <cellStyle name="Normal 3 45 2 4 3 2 2" xfId="13884"/>
    <cellStyle name="Normal 3 45 2 4 3 3" xfId="13883"/>
    <cellStyle name="Normal 3 45 2 4 4" xfId="5574"/>
    <cellStyle name="Normal 3 45 2 4 4 2" xfId="13885"/>
    <cellStyle name="Normal 3 45 2 4 5" xfId="13878"/>
    <cellStyle name="Normal 3 45 2 5" xfId="1940"/>
    <cellStyle name="Normal 3 45 2 5 2" xfId="3885"/>
    <cellStyle name="Normal 3 45 2 5 2 2" xfId="7738"/>
    <cellStyle name="Normal 3 45 2 5 2 2 2" xfId="13888"/>
    <cellStyle name="Normal 3 45 2 5 2 3" xfId="13887"/>
    <cellStyle name="Normal 3 45 2 5 3" xfId="5800"/>
    <cellStyle name="Normal 3 45 2 5 3 2" xfId="13889"/>
    <cellStyle name="Normal 3 45 2 5 4" xfId="13886"/>
    <cellStyle name="Normal 3 45 2 6" xfId="2924"/>
    <cellStyle name="Normal 3 45 2 6 2" xfId="6782"/>
    <cellStyle name="Normal 3 45 2 6 2 2" xfId="13891"/>
    <cellStyle name="Normal 3 45 2 6 3" xfId="13890"/>
    <cellStyle name="Normal 3 45 2 7" xfId="4844"/>
    <cellStyle name="Normal 3 45 2 7 2" xfId="13892"/>
    <cellStyle name="Normal 3 45 2 8" xfId="13861"/>
    <cellStyle name="Normal 3 45 3" xfId="1341"/>
    <cellStyle name="Normal 3 45 3 2" xfId="2312"/>
    <cellStyle name="Normal 3 45 3 2 2" xfId="4257"/>
    <cellStyle name="Normal 3 45 3 2 2 2" xfId="8110"/>
    <cellStyle name="Normal 3 45 3 2 2 2 2" xfId="13896"/>
    <cellStyle name="Normal 3 45 3 2 2 3" xfId="13895"/>
    <cellStyle name="Normal 3 45 3 2 3" xfId="6172"/>
    <cellStyle name="Normal 3 45 3 2 3 2" xfId="13897"/>
    <cellStyle name="Normal 3 45 3 2 4" xfId="13894"/>
    <cellStyle name="Normal 3 45 3 3" xfId="3296"/>
    <cellStyle name="Normal 3 45 3 3 2" xfId="7154"/>
    <cellStyle name="Normal 3 45 3 3 2 2" xfId="13899"/>
    <cellStyle name="Normal 3 45 3 3 3" xfId="13898"/>
    <cellStyle name="Normal 3 45 3 4" xfId="5216"/>
    <cellStyle name="Normal 3 45 3 4 2" xfId="13900"/>
    <cellStyle name="Normal 3 45 3 5" xfId="13893"/>
    <cellStyle name="Normal 3 45 4" xfId="1109"/>
    <cellStyle name="Normal 3 45 4 2" xfId="2080"/>
    <cellStyle name="Normal 3 45 4 2 2" xfId="4025"/>
    <cellStyle name="Normal 3 45 4 2 2 2" xfId="7878"/>
    <cellStyle name="Normal 3 45 4 2 2 2 2" xfId="13904"/>
    <cellStyle name="Normal 3 45 4 2 2 3" xfId="13903"/>
    <cellStyle name="Normal 3 45 4 2 3" xfId="5940"/>
    <cellStyle name="Normal 3 45 4 2 3 2" xfId="13905"/>
    <cellStyle name="Normal 3 45 4 2 4" xfId="13902"/>
    <cellStyle name="Normal 3 45 4 3" xfId="3064"/>
    <cellStyle name="Normal 3 45 4 3 2" xfId="6922"/>
    <cellStyle name="Normal 3 45 4 3 2 2" xfId="13907"/>
    <cellStyle name="Normal 3 45 4 3 3" xfId="13906"/>
    <cellStyle name="Normal 3 45 4 4" xfId="4984"/>
    <cellStyle name="Normal 3 45 4 4 2" xfId="13908"/>
    <cellStyle name="Normal 3 45 4 5" xfId="13901"/>
    <cellStyle name="Normal 3 45 5" xfId="1602"/>
    <cellStyle name="Normal 3 45 5 2" xfId="2563"/>
    <cellStyle name="Normal 3 45 5 2 2" xfId="4508"/>
    <cellStyle name="Normal 3 45 5 2 2 2" xfId="8361"/>
    <cellStyle name="Normal 3 45 5 2 2 2 2" xfId="13912"/>
    <cellStyle name="Normal 3 45 5 2 2 3" xfId="13911"/>
    <cellStyle name="Normal 3 45 5 2 3" xfId="6423"/>
    <cellStyle name="Normal 3 45 5 2 3 2" xfId="13913"/>
    <cellStyle name="Normal 3 45 5 2 4" xfId="13910"/>
    <cellStyle name="Normal 3 45 5 3" xfId="3549"/>
    <cellStyle name="Normal 3 45 5 3 2" xfId="7405"/>
    <cellStyle name="Normal 3 45 5 3 2 2" xfId="13915"/>
    <cellStyle name="Normal 3 45 5 3 3" xfId="13914"/>
    <cellStyle name="Normal 3 45 5 4" xfId="5467"/>
    <cellStyle name="Normal 3 45 5 4 2" xfId="13916"/>
    <cellStyle name="Normal 3 45 5 5" xfId="13909"/>
    <cellStyle name="Normal 3 45 6" xfId="1847"/>
    <cellStyle name="Normal 3 45 6 2" xfId="3793"/>
    <cellStyle name="Normal 3 45 6 2 2" xfId="7646"/>
    <cellStyle name="Normal 3 45 6 2 2 2" xfId="13919"/>
    <cellStyle name="Normal 3 45 6 2 3" xfId="13918"/>
    <cellStyle name="Normal 3 45 6 3" xfId="5708"/>
    <cellStyle name="Normal 3 45 6 3 2" xfId="13920"/>
    <cellStyle name="Normal 3 45 6 4" xfId="13917"/>
    <cellStyle name="Normal 3 45 7" xfId="2831"/>
    <cellStyle name="Normal 3 45 7 2" xfId="6690"/>
    <cellStyle name="Normal 3 45 7 2 2" xfId="13922"/>
    <cellStyle name="Normal 3 45 7 3" xfId="13921"/>
    <cellStyle name="Normal 3 45 8" xfId="4752"/>
    <cellStyle name="Normal 3 45 8 2" xfId="13923"/>
    <cellStyle name="Normal 3 45 9" xfId="13860"/>
    <cellStyle name="Normal 3 46" xfId="869"/>
    <cellStyle name="Normal 3 46 2" xfId="1344"/>
    <cellStyle name="Normal 3 46 2 2" xfId="2315"/>
    <cellStyle name="Normal 3 46 2 2 2" xfId="4260"/>
    <cellStyle name="Normal 3 46 2 2 2 2" xfId="8113"/>
    <cellStyle name="Normal 3 46 2 2 2 2 2" xfId="13928"/>
    <cellStyle name="Normal 3 46 2 2 2 3" xfId="13927"/>
    <cellStyle name="Normal 3 46 2 2 3" xfId="6175"/>
    <cellStyle name="Normal 3 46 2 2 3 2" xfId="13929"/>
    <cellStyle name="Normal 3 46 2 2 4" xfId="13926"/>
    <cellStyle name="Normal 3 46 2 3" xfId="3299"/>
    <cellStyle name="Normal 3 46 2 3 2" xfId="7157"/>
    <cellStyle name="Normal 3 46 2 3 2 2" xfId="13931"/>
    <cellStyle name="Normal 3 46 2 3 3" xfId="13930"/>
    <cellStyle name="Normal 3 46 2 4" xfId="5219"/>
    <cellStyle name="Normal 3 46 2 4 2" xfId="13932"/>
    <cellStyle name="Normal 3 46 2 5" xfId="13925"/>
    <cellStyle name="Normal 3 46 3" xfId="1110"/>
    <cellStyle name="Normal 3 46 3 2" xfId="2081"/>
    <cellStyle name="Normal 3 46 3 2 2" xfId="4026"/>
    <cellStyle name="Normal 3 46 3 2 2 2" xfId="7879"/>
    <cellStyle name="Normal 3 46 3 2 2 2 2" xfId="13936"/>
    <cellStyle name="Normal 3 46 3 2 2 3" xfId="13935"/>
    <cellStyle name="Normal 3 46 3 2 3" xfId="5941"/>
    <cellStyle name="Normal 3 46 3 2 3 2" xfId="13937"/>
    <cellStyle name="Normal 3 46 3 2 4" xfId="13934"/>
    <cellStyle name="Normal 3 46 3 3" xfId="3065"/>
    <cellStyle name="Normal 3 46 3 3 2" xfId="6923"/>
    <cellStyle name="Normal 3 46 3 3 2 2" xfId="13939"/>
    <cellStyle name="Normal 3 46 3 3 3" xfId="13938"/>
    <cellStyle name="Normal 3 46 3 4" xfId="4985"/>
    <cellStyle name="Normal 3 46 3 4 2" xfId="13940"/>
    <cellStyle name="Normal 3 46 3 5" xfId="13933"/>
    <cellStyle name="Normal 3 46 4" xfId="1605"/>
    <cellStyle name="Normal 3 46 4 2" xfId="2566"/>
    <cellStyle name="Normal 3 46 4 2 2" xfId="4511"/>
    <cellStyle name="Normal 3 46 4 2 2 2" xfId="8364"/>
    <cellStyle name="Normal 3 46 4 2 2 2 2" xfId="13944"/>
    <cellStyle name="Normal 3 46 4 2 2 3" xfId="13943"/>
    <cellStyle name="Normal 3 46 4 2 3" xfId="6426"/>
    <cellStyle name="Normal 3 46 4 2 3 2" xfId="13945"/>
    <cellStyle name="Normal 3 46 4 2 4" xfId="13942"/>
    <cellStyle name="Normal 3 46 4 3" xfId="3552"/>
    <cellStyle name="Normal 3 46 4 3 2" xfId="7408"/>
    <cellStyle name="Normal 3 46 4 3 2 2" xfId="13947"/>
    <cellStyle name="Normal 3 46 4 3 3" xfId="13946"/>
    <cellStyle name="Normal 3 46 4 4" xfId="5470"/>
    <cellStyle name="Normal 3 46 4 4 2" xfId="13948"/>
    <cellStyle name="Normal 3 46 4 5" xfId="13941"/>
    <cellStyle name="Normal 3 46 5" xfId="1848"/>
    <cellStyle name="Normal 3 46 5 2" xfId="3794"/>
    <cellStyle name="Normal 3 46 5 2 2" xfId="7647"/>
    <cellStyle name="Normal 3 46 5 2 2 2" xfId="13951"/>
    <cellStyle name="Normal 3 46 5 2 3" xfId="13950"/>
    <cellStyle name="Normal 3 46 5 3" xfId="5709"/>
    <cellStyle name="Normal 3 46 5 3 2" xfId="13952"/>
    <cellStyle name="Normal 3 46 5 4" xfId="13949"/>
    <cellStyle name="Normal 3 46 6" xfId="2832"/>
    <cellStyle name="Normal 3 46 6 2" xfId="6691"/>
    <cellStyle name="Normal 3 46 6 2 2" xfId="13954"/>
    <cellStyle name="Normal 3 46 6 3" xfId="13953"/>
    <cellStyle name="Normal 3 46 7" xfId="4753"/>
    <cellStyle name="Normal 3 46 7 2" xfId="13955"/>
    <cellStyle name="Normal 3 46 8" xfId="13924"/>
    <cellStyle name="Normal 3 47" xfId="870"/>
    <cellStyle name="Normal 3 47 2" xfId="965"/>
    <cellStyle name="Normal 3 47 2 2" xfId="1461"/>
    <cellStyle name="Normal 3 47 2 2 2" xfId="2432"/>
    <cellStyle name="Normal 3 47 2 2 2 2" xfId="4377"/>
    <cellStyle name="Normal 3 47 2 2 2 2 2" xfId="8230"/>
    <cellStyle name="Normal 3 47 2 2 2 2 2 2" xfId="13961"/>
    <cellStyle name="Normal 3 47 2 2 2 2 3" xfId="13960"/>
    <cellStyle name="Normal 3 47 2 2 2 3" xfId="6292"/>
    <cellStyle name="Normal 3 47 2 2 2 3 2" xfId="13962"/>
    <cellStyle name="Normal 3 47 2 2 2 4" xfId="13959"/>
    <cellStyle name="Normal 3 47 2 2 3" xfId="3416"/>
    <cellStyle name="Normal 3 47 2 2 3 2" xfId="7274"/>
    <cellStyle name="Normal 3 47 2 2 3 2 2" xfId="13964"/>
    <cellStyle name="Normal 3 47 2 2 3 3" xfId="13963"/>
    <cellStyle name="Normal 3 47 2 2 4" xfId="5336"/>
    <cellStyle name="Normal 3 47 2 2 4 2" xfId="13965"/>
    <cellStyle name="Normal 3 47 2 2 5" xfId="13958"/>
    <cellStyle name="Normal 3 47 2 3" xfId="1202"/>
    <cellStyle name="Normal 3 47 2 3 2" xfId="2173"/>
    <cellStyle name="Normal 3 47 2 3 2 2" xfId="4118"/>
    <cellStyle name="Normal 3 47 2 3 2 2 2" xfId="7971"/>
    <cellStyle name="Normal 3 47 2 3 2 2 2 2" xfId="13969"/>
    <cellStyle name="Normal 3 47 2 3 2 2 3" xfId="13968"/>
    <cellStyle name="Normal 3 47 2 3 2 3" xfId="6033"/>
    <cellStyle name="Normal 3 47 2 3 2 3 2" xfId="13970"/>
    <cellStyle name="Normal 3 47 2 3 2 4" xfId="13967"/>
    <cellStyle name="Normal 3 47 2 3 3" xfId="3157"/>
    <cellStyle name="Normal 3 47 2 3 3 2" xfId="7015"/>
    <cellStyle name="Normal 3 47 2 3 3 2 2" xfId="13972"/>
    <cellStyle name="Normal 3 47 2 3 3 3" xfId="13971"/>
    <cellStyle name="Normal 3 47 2 3 4" xfId="5077"/>
    <cellStyle name="Normal 3 47 2 3 4 2" xfId="13973"/>
    <cellStyle name="Normal 3 47 2 3 5" xfId="13966"/>
    <cellStyle name="Normal 3 47 2 4" xfId="1723"/>
    <cellStyle name="Normal 3 47 2 4 2" xfId="2683"/>
    <cellStyle name="Normal 3 47 2 4 2 2" xfId="4628"/>
    <cellStyle name="Normal 3 47 2 4 2 2 2" xfId="8481"/>
    <cellStyle name="Normal 3 47 2 4 2 2 2 2" xfId="13977"/>
    <cellStyle name="Normal 3 47 2 4 2 2 3" xfId="13976"/>
    <cellStyle name="Normal 3 47 2 4 2 3" xfId="6543"/>
    <cellStyle name="Normal 3 47 2 4 2 3 2" xfId="13978"/>
    <cellStyle name="Normal 3 47 2 4 2 4" xfId="13975"/>
    <cellStyle name="Normal 3 47 2 4 3" xfId="3670"/>
    <cellStyle name="Normal 3 47 2 4 3 2" xfId="7525"/>
    <cellStyle name="Normal 3 47 2 4 3 2 2" xfId="13980"/>
    <cellStyle name="Normal 3 47 2 4 3 3" xfId="13979"/>
    <cellStyle name="Normal 3 47 2 4 4" xfId="5587"/>
    <cellStyle name="Normal 3 47 2 4 4 2" xfId="13981"/>
    <cellStyle name="Normal 3 47 2 4 5" xfId="13974"/>
    <cellStyle name="Normal 3 47 2 5" xfId="1941"/>
    <cellStyle name="Normal 3 47 2 5 2" xfId="3886"/>
    <cellStyle name="Normal 3 47 2 5 2 2" xfId="7739"/>
    <cellStyle name="Normal 3 47 2 5 2 2 2" xfId="13984"/>
    <cellStyle name="Normal 3 47 2 5 2 3" xfId="13983"/>
    <cellStyle name="Normal 3 47 2 5 3" xfId="5801"/>
    <cellStyle name="Normal 3 47 2 5 3 2" xfId="13985"/>
    <cellStyle name="Normal 3 47 2 5 4" xfId="13982"/>
    <cellStyle name="Normal 3 47 2 6" xfId="2925"/>
    <cellStyle name="Normal 3 47 2 6 2" xfId="6783"/>
    <cellStyle name="Normal 3 47 2 6 2 2" xfId="13987"/>
    <cellStyle name="Normal 3 47 2 6 3" xfId="13986"/>
    <cellStyle name="Normal 3 47 2 7" xfId="4845"/>
    <cellStyle name="Normal 3 47 2 7 2" xfId="13988"/>
    <cellStyle name="Normal 3 47 2 8" xfId="13957"/>
    <cellStyle name="Normal 3 47 3" xfId="1343"/>
    <cellStyle name="Normal 3 47 3 2" xfId="2314"/>
    <cellStyle name="Normal 3 47 3 2 2" xfId="4259"/>
    <cellStyle name="Normal 3 47 3 2 2 2" xfId="8112"/>
    <cellStyle name="Normal 3 47 3 2 2 2 2" xfId="13992"/>
    <cellStyle name="Normal 3 47 3 2 2 3" xfId="13991"/>
    <cellStyle name="Normal 3 47 3 2 3" xfId="6174"/>
    <cellStyle name="Normal 3 47 3 2 3 2" xfId="13993"/>
    <cellStyle name="Normal 3 47 3 2 4" xfId="13990"/>
    <cellStyle name="Normal 3 47 3 3" xfId="3298"/>
    <cellStyle name="Normal 3 47 3 3 2" xfId="7156"/>
    <cellStyle name="Normal 3 47 3 3 2 2" xfId="13995"/>
    <cellStyle name="Normal 3 47 3 3 3" xfId="13994"/>
    <cellStyle name="Normal 3 47 3 4" xfId="5218"/>
    <cellStyle name="Normal 3 47 3 4 2" xfId="13996"/>
    <cellStyle name="Normal 3 47 3 5" xfId="13989"/>
    <cellStyle name="Normal 3 47 4" xfId="1111"/>
    <cellStyle name="Normal 3 47 4 2" xfId="2082"/>
    <cellStyle name="Normal 3 47 4 2 2" xfId="4027"/>
    <cellStyle name="Normal 3 47 4 2 2 2" xfId="7880"/>
    <cellStyle name="Normal 3 47 4 2 2 2 2" xfId="14000"/>
    <cellStyle name="Normal 3 47 4 2 2 3" xfId="13999"/>
    <cellStyle name="Normal 3 47 4 2 3" xfId="5942"/>
    <cellStyle name="Normal 3 47 4 2 3 2" xfId="14001"/>
    <cellStyle name="Normal 3 47 4 2 4" xfId="13998"/>
    <cellStyle name="Normal 3 47 4 3" xfId="3066"/>
    <cellStyle name="Normal 3 47 4 3 2" xfId="6924"/>
    <cellStyle name="Normal 3 47 4 3 2 2" xfId="14003"/>
    <cellStyle name="Normal 3 47 4 3 3" xfId="14002"/>
    <cellStyle name="Normal 3 47 4 4" xfId="4986"/>
    <cellStyle name="Normal 3 47 4 4 2" xfId="14004"/>
    <cellStyle name="Normal 3 47 4 5" xfId="13997"/>
    <cellStyle name="Normal 3 47 5" xfId="1604"/>
    <cellStyle name="Normal 3 47 5 2" xfId="2565"/>
    <cellStyle name="Normal 3 47 5 2 2" xfId="4510"/>
    <cellStyle name="Normal 3 47 5 2 2 2" xfId="8363"/>
    <cellStyle name="Normal 3 47 5 2 2 2 2" xfId="14008"/>
    <cellStyle name="Normal 3 47 5 2 2 3" xfId="14007"/>
    <cellStyle name="Normal 3 47 5 2 3" xfId="6425"/>
    <cellStyle name="Normal 3 47 5 2 3 2" xfId="14009"/>
    <cellStyle name="Normal 3 47 5 2 4" xfId="14006"/>
    <cellStyle name="Normal 3 47 5 3" xfId="3551"/>
    <cellStyle name="Normal 3 47 5 3 2" xfId="7407"/>
    <cellStyle name="Normal 3 47 5 3 2 2" xfId="14011"/>
    <cellStyle name="Normal 3 47 5 3 3" xfId="14010"/>
    <cellStyle name="Normal 3 47 5 4" xfId="5469"/>
    <cellStyle name="Normal 3 47 5 4 2" xfId="14012"/>
    <cellStyle name="Normal 3 47 5 5" xfId="14005"/>
    <cellStyle name="Normal 3 47 6" xfId="1849"/>
    <cellStyle name="Normal 3 47 6 2" xfId="3795"/>
    <cellStyle name="Normal 3 47 6 2 2" xfId="7648"/>
    <cellStyle name="Normal 3 47 6 2 2 2" xfId="14015"/>
    <cellStyle name="Normal 3 47 6 2 3" xfId="14014"/>
    <cellStyle name="Normal 3 47 6 3" xfId="5710"/>
    <cellStyle name="Normal 3 47 6 3 2" xfId="14016"/>
    <cellStyle name="Normal 3 47 6 4" xfId="14013"/>
    <cellStyle name="Normal 3 47 7" xfId="2833"/>
    <cellStyle name="Normal 3 47 7 2" xfId="6692"/>
    <cellStyle name="Normal 3 47 7 2 2" xfId="14018"/>
    <cellStyle name="Normal 3 47 7 3" xfId="14017"/>
    <cellStyle name="Normal 3 47 8" xfId="4754"/>
    <cellStyle name="Normal 3 47 8 2" xfId="14019"/>
    <cellStyle name="Normal 3 47 9" xfId="13956"/>
    <cellStyle name="Normal 3 48" xfId="874"/>
    <cellStyle name="Normal 3 48 2" xfId="966"/>
    <cellStyle name="Normal 3 48 2 2" xfId="1460"/>
    <cellStyle name="Normal 3 48 2 2 2" xfId="2431"/>
    <cellStyle name="Normal 3 48 2 2 2 2" xfId="4376"/>
    <cellStyle name="Normal 3 48 2 2 2 2 2" xfId="8229"/>
    <cellStyle name="Normal 3 48 2 2 2 2 2 2" xfId="14025"/>
    <cellStyle name="Normal 3 48 2 2 2 2 3" xfId="14024"/>
    <cellStyle name="Normal 3 48 2 2 2 3" xfId="6291"/>
    <cellStyle name="Normal 3 48 2 2 2 3 2" xfId="14026"/>
    <cellStyle name="Normal 3 48 2 2 2 4" xfId="14023"/>
    <cellStyle name="Normal 3 48 2 2 3" xfId="3415"/>
    <cellStyle name="Normal 3 48 2 2 3 2" xfId="7273"/>
    <cellStyle name="Normal 3 48 2 2 3 2 2" xfId="14028"/>
    <cellStyle name="Normal 3 48 2 2 3 3" xfId="14027"/>
    <cellStyle name="Normal 3 48 2 2 4" xfId="5335"/>
    <cellStyle name="Normal 3 48 2 2 4 2" xfId="14029"/>
    <cellStyle name="Normal 3 48 2 2 5" xfId="14022"/>
    <cellStyle name="Normal 3 48 2 3" xfId="1203"/>
    <cellStyle name="Normal 3 48 2 3 2" xfId="2174"/>
    <cellStyle name="Normal 3 48 2 3 2 2" xfId="4119"/>
    <cellStyle name="Normal 3 48 2 3 2 2 2" xfId="7972"/>
    <cellStyle name="Normal 3 48 2 3 2 2 2 2" xfId="14033"/>
    <cellStyle name="Normal 3 48 2 3 2 2 3" xfId="14032"/>
    <cellStyle name="Normal 3 48 2 3 2 3" xfId="6034"/>
    <cellStyle name="Normal 3 48 2 3 2 3 2" xfId="14034"/>
    <cellStyle name="Normal 3 48 2 3 2 4" xfId="14031"/>
    <cellStyle name="Normal 3 48 2 3 3" xfId="3158"/>
    <cellStyle name="Normal 3 48 2 3 3 2" xfId="7016"/>
    <cellStyle name="Normal 3 48 2 3 3 2 2" xfId="14036"/>
    <cellStyle name="Normal 3 48 2 3 3 3" xfId="14035"/>
    <cellStyle name="Normal 3 48 2 3 4" xfId="5078"/>
    <cellStyle name="Normal 3 48 2 3 4 2" xfId="14037"/>
    <cellStyle name="Normal 3 48 2 3 5" xfId="14030"/>
    <cellStyle name="Normal 3 48 2 4" xfId="1722"/>
    <cellStyle name="Normal 3 48 2 4 2" xfId="2682"/>
    <cellStyle name="Normal 3 48 2 4 2 2" xfId="4627"/>
    <cellStyle name="Normal 3 48 2 4 2 2 2" xfId="8480"/>
    <cellStyle name="Normal 3 48 2 4 2 2 2 2" xfId="14041"/>
    <cellStyle name="Normal 3 48 2 4 2 2 3" xfId="14040"/>
    <cellStyle name="Normal 3 48 2 4 2 3" xfId="6542"/>
    <cellStyle name="Normal 3 48 2 4 2 3 2" xfId="14042"/>
    <cellStyle name="Normal 3 48 2 4 2 4" xfId="14039"/>
    <cellStyle name="Normal 3 48 2 4 3" xfId="3669"/>
    <cellStyle name="Normal 3 48 2 4 3 2" xfId="7524"/>
    <cellStyle name="Normal 3 48 2 4 3 2 2" xfId="14044"/>
    <cellStyle name="Normal 3 48 2 4 3 3" xfId="14043"/>
    <cellStyle name="Normal 3 48 2 4 4" xfId="5586"/>
    <cellStyle name="Normal 3 48 2 4 4 2" xfId="14045"/>
    <cellStyle name="Normal 3 48 2 4 5" xfId="14038"/>
    <cellStyle name="Normal 3 48 2 5" xfId="1942"/>
    <cellStyle name="Normal 3 48 2 5 2" xfId="3887"/>
    <cellStyle name="Normal 3 48 2 5 2 2" xfId="7740"/>
    <cellStyle name="Normal 3 48 2 5 2 2 2" xfId="14048"/>
    <cellStyle name="Normal 3 48 2 5 2 3" xfId="14047"/>
    <cellStyle name="Normal 3 48 2 5 3" xfId="5802"/>
    <cellStyle name="Normal 3 48 2 5 3 2" xfId="14049"/>
    <cellStyle name="Normal 3 48 2 5 4" xfId="14046"/>
    <cellStyle name="Normal 3 48 2 6" xfId="2926"/>
    <cellStyle name="Normal 3 48 2 6 2" xfId="6784"/>
    <cellStyle name="Normal 3 48 2 6 2 2" xfId="14051"/>
    <cellStyle name="Normal 3 48 2 6 3" xfId="14050"/>
    <cellStyle name="Normal 3 48 2 7" xfId="4846"/>
    <cellStyle name="Normal 3 48 2 7 2" xfId="14052"/>
    <cellStyle name="Normal 3 48 2 8" xfId="14021"/>
    <cellStyle name="Normal 3 48 3" xfId="1449"/>
    <cellStyle name="Normal 3 48 3 2" xfId="2420"/>
    <cellStyle name="Normal 3 48 3 2 2" xfId="4365"/>
    <cellStyle name="Normal 3 48 3 2 2 2" xfId="8218"/>
    <cellStyle name="Normal 3 48 3 2 2 2 2" xfId="14056"/>
    <cellStyle name="Normal 3 48 3 2 2 3" xfId="14055"/>
    <cellStyle name="Normal 3 48 3 2 3" xfId="6280"/>
    <cellStyle name="Normal 3 48 3 2 3 2" xfId="14057"/>
    <cellStyle name="Normal 3 48 3 2 4" xfId="14054"/>
    <cellStyle name="Normal 3 48 3 3" xfId="3404"/>
    <cellStyle name="Normal 3 48 3 3 2" xfId="7262"/>
    <cellStyle name="Normal 3 48 3 3 2 2" xfId="14059"/>
    <cellStyle name="Normal 3 48 3 3 3" xfId="14058"/>
    <cellStyle name="Normal 3 48 3 4" xfId="5324"/>
    <cellStyle name="Normal 3 48 3 4 2" xfId="14060"/>
    <cellStyle name="Normal 3 48 3 5" xfId="14053"/>
    <cellStyle name="Normal 3 48 4" xfId="1114"/>
    <cellStyle name="Normal 3 48 4 2" xfId="2085"/>
    <cellStyle name="Normal 3 48 4 2 2" xfId="4030"/>
    <cellStyle name="Normal 3 48 4 2 2 2" xfId="7883"/>
    <cellStyle name="Normal 3 48 4 2 2 2 2" xfId="14064"/>
    <cellStyle name="Normal 3 48 4 2 2 3" xfId="14063"/>
    <cellStyle name="Normal 3 48 4 2 3" xfId="5945"/>
    <cellStyle name="Normal 3 48 4 2 3 2" xfId="14065"/>
    <cellStyle name="Normal 3 48 4 2 4" xfId="14062"/>
    <cellStyle name="Normal 3 48 4 3" xfId="3069"/>
    <cellStyle name="Normal 3 48 4 3 2" xfId="6927"/>
    <cellStyle name="Normal 3 48 4 3 2 2" xfId="14067"/>
    <cellStyle name="Normal 3 48 4 3 3" xfId="14066"/>
    <cellStyle name="Normal 3 48 4 4" xfId="4989"/>
    <cellStyle name="Normal 3 48 4 4 2" xfId="14068"/>
    <cellStyle name="Normal 3 48 4 5" xfId="14061"/>
    <cellStyle name="Normal 3 48 5" xfId="1710"/>
    <cellStyle name="Normal 3 48 5 2" xfId="2671"/>
    <cellStyle name="Normal 3 48 5 2 2" xfId="4616"/>
    <cellStyle name="Normal 3 48 5 2 2 2" xfId="8469"/>
    <cellStyle name="Normal 3 48 5 2 2 2 2" xfId="14072"/>
    <cellStyle name="Normal 3 48 5 2 2 3" xfId="14071"/>
    <cellStyle name="Normal 3 48 5 2 3" xfId="6531"/>
    <cellStyle name="Normal 3 48 5 2 3 2" xfId="14073"/>
    <cellStyle name="Normal 3 48 5 2 4" xfId="14070"/>
    <cellStyle name="Normal 3 48 5 3" xfId="3657"/>
    <cellStyle name="Normal 3 48 5 3 2" xfId="7513"/>
    <cellStyle name="Normal 3 48 5 3 2 2" xfId="14075"/>
    <cellStyle name="Normal 3 48 5 3 3" xfId="14074"/>
    <cellStyle name="Normal 3 48 5 4" xfId="5575"/>
    <cellStyle name="Normal 3 48 5 4 2" xfId="14076"/>
    <cellStyle name="Normal 3 48 5 5" xfId="14069"/>
    <cellStyle name="Normal 3 48 6" xfId="1852"/>
    <cellStyle name="Normal 3 48 6 2" xfId="3798"/>
    <cellStyle name="Normal 3 48 6 2 2" xfId="7651"/>
    <cellStyle name="Normal 3 48 6 2 2 2" xfId="14079"/>
    <cellStyle name="Normal 3 48 6 2 3" xfId="14078"/>
    <cellStyle name="Normal 3 48 6 3" xfId="5713"/>
    <cellStyle name="Normal 3 48 6 3 2" xfId="14080"/>
    <cellStyle name="Normal 3 48 6 4" xfId="14077"/>
    <cellStyle name="Normal 3 48 7" xfId="2836"/>
    <cellStyle name="Normal 3 48 7 2" xfId="6695"/>
    <cellStyle name="Normal 3 48 7 2 2" xfId="14082"/>
    <cellStyle name="Normal 3 48 7 3" xfId="14081"/>
    <cellStyle name="Normal 3 48 8" xfId="4757"/>
    <cellStyle name="Normal 3 48 8 2" xfId="14083"/>
    <cellStyle name="Normal 3 48 9" xfId="14020"/>
    <cellStyle name="Normal 3 49" xfId="875"/>
    <cellStyle name="Normal 3 49 2" xfId="967"/>
    <cellStyle name="Normal 3 49 2 2" xfId="1462"/>
    <cellStyle name="Normal 3 49 2 2 2" xfId="2433"/>
    <cellStyle name="Normal 3 49 2 2 2 2" xfId="4378"/>
    <cellStyle name="Normal 3 49 2 2 2 2 2" xfId="8231"/>
    <cellStyle name="Normal 3 49 2 2 2 2 2 2" xfId="14089"/>
    <cellStyle name="Normal 3 49 2 2 2 2 3" xfId="14088"/>
    <cellStyle name="Normal 3 49 2 2 2 3" xfId="6293"/>
    <cellStyle name="Normal 3 49 2 2 2 3 2" xfId="14090"/>
    <cellStyle name="Normal 3 49 2 2 2 4" xfId="14087"/>
    <cellStyle name="Normal 3 49 2 2 3" xfId="3417"/>
    <cellStyle name="Normal 3 49 2 2 3 2" xfId="7275"/>
    <cellStyle name="Normal 3 49 2 2 3 2 2" xfId="14092"/>
    <cellStyle name="Normal 3 49 2 2 3 3" xfId="14091"/>
    <cellStyle name="Normal 3 49 2 2 4" xfId="5337"/>
    <cellStyle name="Normal 3 49 2 2 4 2" xfId="14093"/>
    <cellStyle name="Normal 3 49 2 2 5" xfId="14086"/>
    <cellStyle name="Normal 3 49 2 3" xfId="1204"/>
    <cellStyle name="Normal 3 49 2 3 2" xfId="2175"/>
    <cellStyle name="Normal 3 49 2 3 2 2" xfId="4120"/>
    <cellStyle name="Normal 3 49 2 3 2 2 2" xfId="7973"/>
    <cellStyle name="Normal 3 49 2 3 2 2 2 2" xfId="14097"/>
    <cellStyle name="Normal 3 49 2 3 2 2 3" xfId="14096"/>
    <cellStyle name="Normal 3 49 2 3 2 3" xfId="6035"/>
    <cellStyle name="Normal 3 49 2 3 2 3 2" xfId="14098"/>
    <cellStyle name="Normal 3 49 2 3 2 4" xfId="14095"/>
    <cellStyle name="Normal 3 49 2 3 3" xfId="3159"/>
    <cellStyle name="Normal 3 49 2 3 3 2" xfId="7017"/>
    <cellStyle name="Normal 3 49 2 3 3 2 2" xfId="14100"/>
    <cellStyle name="Normal 3 49 2 3 3 3" xfId="14099"/>
    <cellStyle name="Normal 3 49 2 3 4" xfId="5079"/>
    <cellStyle name="Normal 3 49 2 3 4 2" xfId="14101"/>
    <cellStyle name="Normal 3 49 2 3 5" xfId="14094"/>
    <cellStyle name="Normal 3 49 2 4" xfId="1725"/>
    <cellStyle name="Normal 3 49 2 4 2" xfId="2684"/>
    <cellStyle name="Normal 3 49 2 4 2 2" xfId="4629"/>
    <cellStyle name="Normal 3 49 2 4 2 2 2" xfId="8482"/>
    <cellStyle name="Normal 3 49 2 4 2 2 2 2" xfId="14105"/>
    <cellStyle name="Normal 3 49 2 4 2 2 3" xfId="14104"/>
    <cellStyle name="Normal 3 49 2 4 2 3" xfId="6544"/>
    <cellStyle name="Normal 3 49 2 4 2 3 2" xfId="14106"/>
    <cellStyle name="Normal 3 49 2 4 2 4" xfId="14103"/>
    <cellStyle name="Normal 3 49 2 4 3" xfId="3672"/>
    <cellStyle name="Normal 3 49 2 4 3 2" xfId="7526"/>
    <cellStyle name="Normal 3 49 2 4 3 2 2" xfId="14108"/>
    <cellStyle name="Normal 3 49 2 4 3 3" xfId="14107"/>
    <cellStyle name="Normal 3 49 2 4 4" xfId="5588"/>
    <cellStyle name="Normal 3 49 2 4 4 2" xfId="14109"/>
    <cellStyle name="Normal 3 49 2 4 5" xfId="14102"/>
    <cellStyle name="Normal 3 49 2 5" xfId="1943"/>
    <cellStyle name="Normal 3 49 2 5 2" xfId="3888"/>
    <cellStyle name="Normal 3 49 2 5 2 2" xfId="7741"/>
    <cellStyle name="Normal 3 49 2 5 2 2 2" xfId="14112"/>
    <cellStyle name="Normal 3 49 2 5 2 3" xfId="14111"/>
    <cellStyle name="Normal 3 49 2 5 3" xfId="5803"/>
    <cellStyle name="Normal 3 49 2 5 3 2" xfId="14113"/>
    <cellStyle name="Normal 3 49 2 5 4" xfId="14110"/>
    <cellStyle name="Normal 3 49 2 6" xfId="2927"/>
    <cellStyle name="Normal 3 49 2 6 2" xfId="6785"/>
    <cellStyle name="Normal 3 49 2 6 2 2" xfId="14115"/>
    <cellStyle name="Normal 3 49 2 6 3" xfId="14114"/>
    <cellStyle name="Normal 3 49 2 7" xfId="4847"/>
    <cellStyle name="Normal 3 49 2 7 2" xfId="14116"/>
    <cellStyle name="Normal 3 49 2 8" xfId="14085"/>
    <cellStyle name="Normal 3 49 3" xfId="1450"/>
    <cellStyle name="Normal 3 49 3 2" xfId="2421"/>
    <cellStyle name="Normal 3 49 3 2 2" xfId="4366"/>
    <cellStyle name="Normal 3 49 3 2 2 2" xfId="8219"/>
    <cellStyle name="Normal 3 49 3 2 2 2 2" xfId="14120"/>
    <cellStyle name="Normal 3 49 3 2 2 3" xfId="14119"/>
    <cellStyle name="Normal 3 49 3 2 3" xfId="6281"/>
    <cellStyle name="Normal 3 49 3 2 3 2" xfId="14121"/>
    <cellStyle name="Normal 3 49 3 2 4" xfId="14118"/>
    <cellStyle name="Normal 3 49 3 3" xfId="3405"/>
    <cellStyle name="Normal 3 49 3 3 2" xfId="7263"/>
    <cellStyle name="Normal 3 49 3 3 2 2" xfId="14123"/>
    <cellStyle name="Normal 3 49 3 3 3" xfId="14122"/>
    <cellStyle name="Normal 3 49 3 4" xfId="5325"/>
    <cellStyle name="Normal 3 49 3 4 2" xfId="14124"/>
    <cellStyle name="Normal 3 49 3 5" xfId="14117"/>
    <cellStyle name="Normal 3 49 4" xfId="1115"/>
    <cellStyle name="Normal 3 49 4 2" xfId="2086"/>
    <cellStyle name="Normal 3 49 4 2 2" xfId="4031"/>
    <cellStyle name="Normal 3 49 4 2 2 2" xfId="7884"/>
    <cellStyle name="Normal 3 49 4 2 2 2 2" xfId="14128"/>
    <cellStyle name="Normal 3 49 4 2 2 3" xfId="14127"/>
    <cellStyle name="Normal 3 49 4 2 3" xfId="5946"/>
    <cellStyle name="Normal 3 49 4 2 3 2" xfId="14129"/>
    <cellStyle name="Normal 3 49 4 2 4" xfId="14126"/>
    <cellStyle name="Normal 3 49 4 3" xfId="3070"/>
    <cellStyle name="Normal 3 49 4 3 2" xfId="6928"/>
    <cellStyle name="Normal 3 49 4 3 2 2" xfId="14131"/>
    <cellStyle name="Normal 3 49 4 3 3" xfId="14130"/>
    <cellStyle name="Normal 3 49 4 4" xfId="4990"/>
    <cellStyle name="Normal 3 49 4 4 2" xfId="14132"/>
    <cellStyle name="Normal 3 49 4 5" xfId="14125"/>
    <cellStyle name="Normal 3 49 5" xfId="1711"/>
    <cellStyle name="Normal 3 49 5 2" xfId="2672"/>
    <cellStyle name="Normal 3 49 5 2 2" xfId="4617"/>
    <cellStyle name="Normal 3 49 5 2 2 2" xfId="8470"/>
    <cellStyle name="Normal 3 49 5 2 2 2 2" xfId="14136"/>
    <cellStyle name="Normal 3 49 5 2 2 3" xfId="14135"/>
    <cellStyle name="Normal 3 49 5 2 3" xfId="6532"/>
    <cellStyle name="Normal 3 49 5 2 3 2" xfId="14137"/>
    <cellStyle name="Normal 3 49 5 2 4" xfId="14134"/>
    <cellStyle name="Normal 3 49 5 3" xfId="3658"/>
    <cellStyle name="Normal 3 49 5 3 2" xfId="7514"/>
    <cellStyle name="Normal 3 49 5 3 2 2" xfId="14139"/>
    <cellStyle name="Normal 3 49 5 3 3" xfId="14138"/>
    <cellStyle name="Normal 3 49 5 4" xfId="5576"/>
    <cellStyle name="Normal 3 49 5 4 2" xfId="14140"/>
    <cellStyle name="Normal 3 49 5 5" xfId="14133"/>
    <cellStyle name="Normal 3 49 6" xfId="1853"/>
    <cellStyle name="Normal 3 49 6 2" xfId="3799"/>
    <cellStyle name="Normal 3 49 6 2 2" xfId="7652"/>
    <cellStyle name="Normal 3 49 6 2 2 2" xfId="14143"/>
    <cellStyle name="Normal 3 49 6 2 3" xfId="14142"/>
    <cellStyle name="Normal 3 49 6 3" xfId="5714"/>
    <cellStyle name="Normal 3 49 6 3 2" xfId="14144"/>
    <cellStyle name="Normal 3 49 6 4" xfId="14141"/>
    <cellStyle name="Normal 3 49 7" xfId="2837"/>
    <cellStyle name="Normal 3 49 7 2" xfId="6696"/>
    <cellStyle name="Normal 3 49 7 2 2" xfId="14146"/>
    <cellStyle name="Normal 3 49 7 3" xfId="14145"/>
    <cellStyle name="Normal 3 49 8" xfId="4758"/>
    <cellStyle name="Normal 3 49 8 2" xfId="14147"/>
    <cellStyle name="Normal 3 49 9" xfId="14084"/>
    <cellStyle name="Normal 3 5" xfId="416"/>
    <cellStyle name="Normal 3 5 2" xfId="14148"/>
    <cellStyle name="Normal 3 50" xfId="968"/>
    <cellStyle name="Normal 3 50 2" xfId="969"/>
    <cellStyle name="Normal 3 50 2 2" xfId="1463"/>
    <cellStyle name="Normal 3 50 2 2 2" xfId="2434"/>
    <cellStyle name="Normal 3 50 2 2 2 2" xfId="4379"/>
    <cellStyle name="Normal 3 50 2 2 2 2 2" xfId="8232"/>
    <cellStyle name="Normal 3 50 2 2 2 2 2 2" xfId="14154"/>
    <cellStyle name="Normal 3 50 2 2 2 2 3" xfId="14153"/>
    <cellStyle name="Normal 3 50 2 2 2 3" xfId="6294"/>
    <cellStyle name="Normal 3 50 2 2 2 3 2" xfId="14155"/>
    <cellStyle name="Normal 3 50 2 2 2 4" xfId="14152"/>
    <cellStyle name="Normal 3 50 2 2 3" xfId="3418"/>
    <cellStyle name="Normal 3 50 2 2 3 2" xfId="7276"/>
    <cellStyle name="Normal 3 50 2 2 3 2 2" xfId="14157"/>
    <cellStyle name="Normal 3 50 2 2 3 3" xfId="14156"/>
    <cellStyle name="Normal 3 50 2 2 4" xfId="5338"/>
    <cellStyle name="Normal 3 50 2 2 4 2" xfId="14158"/>
    <cellStyle name="Normal 3 50 2 2 5" xfId="14151"/>
    <cellStyle name="Normal 3 50 2 3" xfId="1206"/>
    <cellStyle name="Normal 3 50 2 3 2" xfId="2177"/>
    <cellStyle name="Normal 3 50 2 3 2 2" xfId="4122"/>
    <cellStyle name="Normal 3 50 2 3 2 2 2" xfId="7975"/>
    <cellStyle name="Normal 3 50 2 3 2 2 2 2" xfId="14162"/>
    <cellStyle name="Normal 3 50 2 3 2 2 3" xfId="14161"/>
    <cellStyle name="Normal 3 50 2 3 2 3" xfId="6037"/>
    <cellStyle name="Normal 3 50 2 3 2 3 2" xfId="14163"/>
    <cellStyle name="Normal 3 50 2 3 2 4" xfId="14160"/>
    <cellStyle name="Normal 3 50 2 3 3" xfId="3161"/>
    <cellStyle name="Normal 3 50 2 3 3 2" xfId="7019"/>
    <cellStyle name="Normal 3 50 2 3 3 2 2" xfId="14165"/>
    <cellStyle name="Normal 3 50 2 3 3 3" xfId="14164"/>
    <cellStyle name="Normal 3 50 2 3 4" xfId="5081"/>
    <cellStyle name="Normal 3 50 2 3 4 2" xfId="14166"/>
    <cellStyle name="Normal 3 50 2 3 5" xfId="14159"/>
    <cellStyle name="Normal 3 50 2 4" xfId="1726"/>
    <cellStyle name="Normal 3 50 2 4 2" xfId="2685"/>
    <cellStyle name="Normal 3 50 2 4 2 2" xfId="4630"/>
    <cellStyle name="Normal 3 50 2 4 2 2 2" xfId="8483"/>
    <cellStyle name="Normal 3 50 2 4 2 2 2 2" xfId="14170"/>
    <cellStyle name="Normal 3 50 2 4 2 2 3" xfId="14169"/>
    <cellStyle name="Normal 3 50 2 4 2 3" xfId="6545"/>
    <cellStyle name="Normal 3 50 2 4 2 3 2" xfId="14171"/>
    <cellStyle name="Normal 3 50 2 4 2 4" xfId="14168"/>
    <cellStyle name="Normal 3 50 2 4 3" xfId="3673"/>
    <cellStyle name="Normal 3 50 2 4 3 2" xfId="7527"/>
    <cellStyle name="Normal 3 50 2 4 3 2 2" xfId="14173"/>
    <cellStyle name="Normal 3 50 2 4 3 3" xfId="14172"/>
    <cellStyle name="Normal 3 50 2 4 4" xfId="5589"/>
    <cellStyle name="Normal 3 50 2 4 4 2" xfId="14174"/>
    <cellStyle name="Normal 3 50 2 4 5" xfId="14167"/>
    <cellStyle name="Normal 3 50 2 5" xfId="1945"/>
    <cellStyle name="Normal 3 50 2 5 2" xfId="3890"/>
    <cellStyle name="Normal 3 50 2 5 2 2" xfId="7743"/>
    <cellStyle name="Normal 3 50 2 5 2 2 2" xfId="14177"/>
    <cellStyle name="Normal 3 50 2 5 2 3" xfId="14176"/>
    <cellStyle name="Normal 3 50 2 5 3" xfId="5805"/>
    <cellStyle name="Normal 3 50 2 5 3 2" xfId="14178"/>
    <cellStyle name="Normal 3 50 2 5 4" xfId="14175"/>
    <cellStyle name="Normal 3 50 2 6" xfId="2929"/>
    <cellStyle name="Normal 3 50 2 6 2" xfId="6787"/>
    <cellStyle name="Normal 3 50 2 6 2 2" xfId="14180"/>
    <cellStyle name="Normal 3 50 2 6 3" xfId="14179"/>
    <cellStyle name="Normal 3 50 2 7" xfId="4849"/>
    <cellStyle name="Normal 3 50 2 7 2" xfId="14181"/>
    <cellStyle name="Normal 3 50 2 8" xfId="14150"/>
    <cellStyle name="Normal 3 50 3" xfId="1452"/>
    <cellStyle name="Normal 3 50 3 2" xfId="2423"/>
    <cellStyle name="Normal 3 50 3 2 2" xfId="4368"/>
    <cellStyle name="Normal 3 50 3 2 2 2" xfId="8221"/>
    <cellStyle name="Normal 3 50 3 2 2 2 2" xfId="14185"/>
    <cellStyle name="Normal 3 50 3 2 2 3" xfId="14184"/>
    <cellStyle name="Normal 3 50 3 2 3" xfId="6283"/>
    <cellStyle name="Normal 3 50 3 2 3 2" xfId="14186"/>
    <cellStyle name="Normal 3 50 3 2 4" xfId="14183"/>
    <cellStyle name="Normal 3 50 3 3" xfId="3407"/>
    <cellStyle name="Normal 3 50 3 3 2" xfId="7265"/>
    <cellStyle name="Normal 3 50 3 3 2 2" xfId="14188"/>
    <cellStyle name="Normal 3 50 3 3 3" xfId="14187"/>
    <cellStyle name="Normal 3 50 3 4" xfId="5327"/>
    <cellStyle name="Normal 3 50 3 4 2" xfId="14189"/>
    <cellStyle name="Normal 3 50 3 5" xfId="14182"/>
    <cellStyle name="Normal 3 50 4" xfId="1205"/>
    <cellStyle name="Normal 3 50 4 2" xfId="2176"/>
    <cellStyle name="Normal 3 50 4 2 2" xfId="4121"/>
    <cellStyle name="Normal 3 50 4 2 2 2" xfId="7974"/>
    <cellStyle name="Normal 3 50 4 2 2 2 2" xfId="14193"/>
    <cellStyle name="Normal 3 50 4 2 2 3" xfId="14192"/>
    <cellStyle name="Normal 3 50 4 2 3" xfId="6036"/>
    <cellStyle name="Normal 3 50 4 2 3 2" xfId="14194"/>
    <cellStyle name="Normal 3 50 4 2 4" xfId="14191"/>
    <cellStyle name="Normal 3 50 4 3" xfId="3160"/>
    <cellStyle name="Normal 3 50 4 3 2" xfId="7018"/>
    <cellStyle name="Normal 3 50 4 3 2 2" xfId="14196"/>
    <cellStyle name="Normal 3 50 4 3 3" xfId="14195"/>
    <cellStyle name="Normal 3 50 4 4" xfId="5080"/>
    <cellStyle name="Normal 3 50 4 4 2" xfId="14197"/>
    <cellStyle name="Normal 3 50 4 5" xfId="14190"/>
    <cellStyle name="Normal 3 50 5" xfId="1714"/>
    <cellStyle name="Normal 3 50 5 2" xfId="2674"/>
    <cellStyle name="Normal 3 50 5 2 2" xfId="4619"/>
    <cellStyle name="Normal 3 50 5 2 2 2" xfId="8472"/>
    <cellStyle name="Normal 3 50 5 2 2 2 2" xfId="14201"/>
    <cellStyle name="Normal 3 50 5 2 2 3" xfId="14200"/>
    <cellStyle name="Normal 3 50 5 2 3" xfId="6534"/>
    <cellStyle name="Normal 3 50 5 2 3 2" xfId="14202"/>
    <cellStyle name="Normal 3 50 5 2 4" xfId="14199"/>
    <cellStyle name="Normal 3 50 5 3" xfId="3661"/>
    <cellStyle name="Normal 3 50 5 3 2" xfId="7516"/>
    <cellStyle name="Normal 3 50 5 3 2 2" xfId="14204"/>
    <cellStyle name="Normal 3 50 5 3 3" xfId="14203"/>
    <cellStyle name="Normal 3 50 5 4" xfId="5578"/>
    <cellStyle name="Normal 3 50 5 4 2" xfId="14205"/>
    <cellStyle name="Normal 3 50 5 5" xfId="14198"/>
    <cellStyle name="Normal 3 50 6" xfId="1944"/>
    <cellStyle name="Normal 3 50 6 2" xfId="3889"/>
    <cellStyle name="Normal 3 50 6 2 2" xfId="7742"/>
    <cellStyle name="Normal 3 50 6 2 2 2" xfId="14208"/>
    <cellStyle name="Normal 3 50 6 2 3" xfId="14207"/>
    <cellStyle name="Normal 3 50 6 3" xfId="5804"/>
    <cellStyle name="Normal 3 50 6 3 2" xfId="14209"/>
    <cellStyle name="Normal 3 50 6 4" xfId="14206"/>
    <cellStyle name="Normal 3 50 7" xfId="2928"/>
    <cellStyle name="Normal 3 50 7 2" xfId="6786"/>
    <cellStyle name="Normal 3 50 7 2 2" xfId="14211"/>
    <cellStyle name="Normal 3 50 7 3" xfId="14210"/>
    <cellStyle name="Normal 3 50 8" xfId="4848"/>
    <cellStyle name="Normal 3 50 8 2" xfId="14212"/>
    <cellStyle name="Normal 3 50 9" xfId="14149"/>
    <cellStyle name="Normal 3 51" xfId="970"/>
    <cellStyle name="Normal 3 51 2" xfId="971"/>
    <cellStyle name="Normal 3 51 2 2" xfId="1465"/>
    <cellStyle name="Normal 3 51 2 2 2" xfId="2436"/>
    <cellStyle name="Normal 3 51 2 2 2 2" xfId="4381"/>
    <cellStyle name="Normal 3 51 2 2 2 2 2" xfId="8234"/>
    <cellStyle name="Normal 3 51 2 2 2 2 2 2" xfId="14218"/>
    <cellStyle name="Normal 3 51 2 2 2 2 3" xfId="14217"/>
    <cellStyle name="Normal 3 51 2 2 2 3" xfId="6296"/>
    <cellStyle name="Normal 3 51 2 2 2 3 2" xfId="14219"/>
    <cellStyle name="Normal 3 51 2 2 2 4" xfId="14216"/>
    <cellStyle name="Normal 3 51 2 2 3" xfId="3420"/>
    <cellStyle name="Normal 3 51 2 2 3 2" xfId="7278"/>
    <cellStyle name="Normal 3 51 2 2 3 2 2" xfId="14221"/>
    <cellStyle name="Normal 3 51 2 2 3 3" xfId="14220"/>
    <cellStyle name="Normal 3 51 2 2 4" xfId="5340"/>
    <cellStyle name="Normal 3 51 2 2 4 2" xfId="14222"/>
    <cellStyle name="Normal 3 51 2 2 5" xfId="14215"/>
    <cellStyle name="Normal 3 51 2 3" xfId="1208"/>
    <cellStyle name="Normal 3 51 2 3 2" xfId="2179"/>
    <cellStyle name="Normal 3 51 2 3 2 2" xfId="4124"/>
    <cellStyle name="Normal 3 51 2 3 2 2 2" xfId="7977"/>
    <cellStyle name="Normal 3 51 2 3 2 2 2 2" xfId="14226"/>
    <cellStyle name="Normal 3 51 2 3 2 2 3" xfId="14225"/>
    <cellStyle name="Normal 3 51 2 3 2 3" xfId="6039"/>
    <cellStyle name="Normal 3 51 2 3 2 3 2" xfId="14227"/>
    <cellStyle name="Normal 3 51 2 3 2 4" xfId="14224"/>
    <cellStyle name="Normal 3 51 2 3 3" xfId="3163"/>
    <cellStyle name="Normal 3 51 2 3 3 2" xfId="7021"/>
    <cellStyle name="Normal 3 51 2 3 3 2 2" xfId="14229"/>
    <cellStyle name="Normal 3 51 2 3 3 3" xfId="14228"/>
    <cellStyle name="Normal 3 51 2 3 4" xfId="5083"/>
    <cellStyle name="Normal 3 51 2 3 4 2" xfId="14230"/>
    <cellStyle name="Normal 3 51 2 3 5" xfId="14223"/>
    <cellStyle name="Normal 3 51 2 4" xfId="1728"/>
    <cellStyle name="Normal 3 51 2 4 2" xfId="2687"/>
    <cellStyle name="Normal 3 51 2 4 2 2" xfId="4632"/>
    <cellStyle name="Normal 3 51 2 4 2 2 2" xfId="8485"/>
    <cellStyle name="Normal 3 51 2 4 2 2 2 2" xfId="14234"/>
    <cellStyle name="Normal 3 51 2 4 2 2 3" xfId="14233"/>
    <cellStyle name="Normal 3 51 2 4 2 3" xfId="6547"/>
    <cellStyle name="Normal 3 51 2 4 2 3 2" xfId="14235"/>
    <cellStyle name="Normal 3 51 2 4 2 4" xfId="14232"/>
    <cellStyle name="Normal 3 51 2 4 3" xfId="3675"/>
    <cellStyle name="Normal 3 51 2 4 3 2" xfId="7529"/>
    <cellStyle name="Normal 3 51 2 4 3 2 2" xfId="14237"/>
    <cellStyle name="Normal 3 51 2 4 3 3" xfId="14236"/>
    <cellStyle name="Normal 3 51 2 4 4" xfId="5591"/>
    <cellStyle name="Normal 3 51 2 4 4 2" xfId="14238"/>
    <cellStyle name="Normal 3 51 2 4 5" xfId="14231"/>
    <cellStyle name="Normal 3 51 2 5" xfId="1947"/>
    <cellStyle name="Normal 3 51 2 5 2" xfId="3892"/>
    <cellStyle name="Normal 3 51 2 5 2 2" xfId="7745"/>
    <cellStyle name="Normal 3 51 2 5 2 2 2" xfId="14241"/>
    <cellStyle name="Normal 3 51 2 5 2 3" xfId="14240"/>
    <cellStyle name="Normal 3 51 2 5 3" xfId="5807"/>
    <cellStyle name="Normal 3 51 2 5 3 2" xfId="14242"/>
    <cellStyle name="Normal 3 51 2 5 4" xfId="14239"/>
    <cellStyle name="Normal 3 51 2 6" xfId="2931"/>
    <cellStyle name="Normal 3 51 2 6 2" xfId="6789"/>
    <cellStyle name="Normal 3 51 2 6 2 2" xfId="14244"/>
    <cellStyle name="Normal 3 51 2 6 3" xfId="14243"/>
    <cellStyle name="Normal 3 51 2 7" xfId="4851"/>
    <cellStyle name="Normal 3 51 2 7 2" xfId="14245"/>
    <cellStyle name="Normal 3 51 2 8" xfId="14214"/>
    <cellStyle name="Normal 3 51 3" xfId="1453"/>
    <cellStyle name="Normal 3 51 3 2" xfId="2424"/>
    <cellStyle name="Normal 3 51 3 2 2" xfId="4369"/>
    <cellStyle name="Normal 3 51 3 2 2 2" xfId="8222"/>
    <cellStyle name="Normal 3 51 3 2 2 2 2" xfId="14249"/>
    <cellStyle name="Normal 3 51 3 2 2 3" xfId="14248"/>
    <cellStyle name="Normal 3 51 3 2 3" xfId="6284"/>
    <cellStyle name="Normal 3 51 3 2 3 2" xfId="14250"/>
    <cellStyle name="Normal 3 51 3 2 4" xfId="14247"/>
    <cellStyle name="Normal 3 51 3 3" xfId="3408"/>
    <cellStyle name="Normal 3 51 3 3 2" xfId="7266"/>
    <cellStyle name="Normal 3 51 3 3 2 2" xfId="14252"/>
    <cellStyle name="Normal 3 51 3 3 3" xfId="14251"/>
    <cellStyle name="Normal 3 51 3 4" xfId="5328"/>
    <cellStyle name="Normal 3 51 3 4 2" xfId="14253"/>
    <cellStyle name="Normal 3 51 3 5" xfId="14246"/>
    <cellStyle name="Normal 3 51 4" xfId="1207"/>
    <cellStyle name="Normal 3 51 4 2" xfId="2178"/>
    <cellStyle name="Normal 3 51 4 2 2" xfId="4123"/>
    <cellStyle name="Normal 3 51 4 2 2 2" xfId="7976"/>
    <cellStyle name="Normal 3 51 4 2 2 2 2" xfId="14257"/>
    <cellStyle name="Normal 3 51 4 2 2 3" xfId="14256"/>
    <cellStyle name="Normal 3 51 4 2 3" xfId="6038"/>
    <cellStyle name="Normal 3 51 4 2 3 2" xfId="14258"/>
    <cellStyle name="Normal 3 51 4 2 4" xfId="14255"/>
    <cellStyle name="Normal 3 51 4 3" xfId="3162"/>
    <cellStyle name="Normal 3 51 4 3 2" xfId="7020"/>
    <cellStyle name="Normal 3 51 4 3 2 2" xfId="14260"/>
    <cellStyle name="Normal 3 51 4 3 3" xfId="14259"/>
    <cellStyle name="Normal 3 51 4 4" xfId="5082"/>
    <cellStyle name="Normal 3 51 4 4 2" xfId="14261"/>
    <cellStyle name="Normal 3 51 4 5" xfId="14254"/>
    <cellStyle name="Normal 3 51 5" xfId="1715"/>
    <cellStyle name="Normal 3 51 5 2" xfId="2675"/>
    <cellStyle name="Normal 3 51 5 2 2" xfId="4620"/>
    <cellStyle name="Normal 3 51 5 2 2 2" xfId="8473"/>
    <cellStyle name="Normal 3 51 5 2 2 2 2" xfId="14265"/>
    <cellStyle name="Normal 3 51 5 2 2 3" xfId="14264"/>
    <cellStyle name="Normal 3 51 5 2 3" xfId="6535"/>
    <cellStyle name="Normal 3 51 5 2 3 2" xfId="14266"/>
    <cellStyle name="Normal 3 51 5 2 4" xfId="14263"/>
    <cellStyle name="Normal 3 51 5 3" xfId="3662"/>
    <cellStyle name="Normal 3 51 5 3 2" xfId="7517"/>
    <cellStyle name="Normal 3 51 5 3 2 2" xfId="14268"/>
    <cellStyle name="Normal 3 51 5 3 3" xfId="14267"/>
    <cellStyle name="Normal 3 51 5 4" xfId="5579"/>
    <cellStyle name="Normal 3 51 5 4 2" xfId="14269"/>
    <cellStyle name="Normal 3 51 5 5" xfId="14262"/>
    <cellStyle name="Normal 3 51 6" xfId="1946"/>
    <cellStyle name="Normal 3 51 6 2" xfId="3891"/>
    <cellStyle name="Normal 3 51 6 2 2" xfId="7744"/>
    <cellStyle name="Normal 3 51 6 2 2 2" xfId="14272"/>
    <cellStyle name="Normal 3 51 6 2 3" xfId="14271"/>
    <cellStyle name="Normal 3 51 6 3" xfId="5806"/>
    <cellStyle name="Normal 3 51 6 3 2" xfId="14273"/>
    <cellStyle name="Normal 3 51 6 4" xfId="14270"/>
    <cellStyle name="Normal 3 51 7" xfId="2930"/>
    <cellStyle name="Normal 3 51 7 2" xfId="6788"/>
    <cellStyle name="Normal 3 51 7 2 2" xfId="14275"/>
    <cellStyle name="Normal 3 51 7 3" xfId="14274"/>
    <cellStyle name="Normal 3 51 8" xfId="4850"/>
    <cellStyle name="Normal 3 51 8 2" xfId="14276"/>
    <cellStyle name="Normal 3 51 9" xfId="14213"/>
    <cellStyle name="Normal 3 52" xfId="972"/>
    <cellStyle name="Normal 3 52 2" xfId="973"/>
    <cellStyle name="Normal 3 52 2 2" xfId="1466"/>
    <cellStyle name="Normal 3 52 2 2 2" xfId="2437"/>
    <cellStyle name="Normal 3 52 2 2 2 2" xfId="4382"/>
    <cellStyle name="Normal 3 52 2 2 2 2 2" xfId="8235"/>
    <cellStyle name="Normal 3 52 2 2 2 2 2 2" xfId="14282"/>
    <cellStyle name="Normal 3 52 2 2 2 2 3" xfId="14281"/>
    <cellStyle name="Normal 3 52 2 2 2 3" xfId="6297"/>
    <cellStyle name="Normal 3 52 2 2 2 3 2" xfId="14283"/>
    <cellStyle name="Normal 3 52 2 2 2 4" xfId="14280"/>
    <cellStyle name="Normal 3 52 2 2 3" xfId="3421"/>
    <cellStyle name="Normal 3 52 2 2 3 2" xfId="7279"/>
    <cellStyle name="Normal 3 52 2 2 3 2 2" xfId="14285"/>
    <cellStyle name="Normal 3 52 2 2 3 3" xfId="14284"/>
    <cellStyle name="Normal 3 52 2 2 4" xfId="5341"/>
    <cellStyle name="Normal 3 52 2 2 4 2" xfId="14286"/>
    <cellStyle name="Normal 3 52 2 2 5" xfId="14279"/>
    <cellStyle name="Normal 3 52 2 3" xfId="1210"/>
    <cellStyle name="Normal 3 52 2 3 2" xfId="2181"/>
    <cellStyle name="Normal 3 52 2 3 2 2" xfId="4126"/>
    <cellStyle name="Normal 3 52 2 3 2 2 2" xfId="7979"/>
    <cellStyle name="Normal 3 52 2 3 2 2 2 2" xfId="14290"/>
    <cellStyle name="Normal 3 52 2 3 2 2 3" xfId="14289"/>
    <cellStyle name="Normal 3 52 2 3 2 3" xfId="6041"/>
    <cellStyle name="Normal 3 52 2 3 2 3 2" xfId="14291"/>
    <cellStyle name="Normal 3 52 2 3 2 4" xfId="14288"/>
    <cellStyle name="Normal 3 52 2 3 3" xfId="3165"/>
    <cellStyle name="Normal 3 52 2 3 3 2" xfId="7023"/>
    <cellStyle name="Normal 3 52 2 3 3 2 2" xfId="14293"/>
    <cellStyle name="Normal 3 52 2 3 3 3" xfId="14292"/>
    <cellStyle name="Normal 3 52 2 3 4" xfId="5085"/>
    <cellStyle name="Normal 3 52 2 3 4 2" xfId="14294"/>
    <cellStyle name="Normal 3 52 2 3 5" xfId="14287"/>
    <cellStyle name="Normal 3 52 2 4" xfId="1729"/>
    <cellStyle name="Normal 3 52 2 4 2" xfId="2688"/>
    <cellStyle name="Normal 3 52 2 4 2 2" xfId="4633"/>
    <cellStyle name="Normal 3 52 2 4 2 2 2" xfId="8486"/>
    <cellStyle name="Normal 3 52 2 4 2 2 2 2" xfId="14298"/>
    <cellStyle name="Normal 3 52 2 4 2 2 3" xfId="14297"/>
    <cellStyle name="Normal 3 52 2 4 2 3" xfId="6548"/>
    <cellStyle name="Normal 3 52 2 4 2 3 2" xfId="14299"/>
    <cellStyle name="Normal 3 52 2 4 2 4" xfId="14296"/>
    <cellStyle name="Normal 3 52 2 4 3" xfId="3676"/>
    <cellStyle name="Normal 3 52 2 4 3 2" xfId="7530"/>
    <cellStyle name="Normal 3 52 2 4 3 2 2" xfId="14301"/>
    <cellStyle name="Normal 3 52 2 4 3 3" xfId="14300"/>
    <cellStyle name="Normal 3 52 2 4 4" xfId="5592"/>
    <cellStyle name="Normal 3 52 2 4 4 2" xfId="14302"/>
    <cellStyle name="Normal 3 52 2 4 5" xfId="14295"/>
    <cellStyle name="Normal 3 52 2 5" xfId="1949"/>
    <cellStyle name="Normal 3 52 2 5 2" xfId="3894"/>
    <cellStyle name="Normal 3 52 2 5 2 2" xfId="7747"/>
    <cellStyle name="Normal 3 52 2 5 2 2 2" xfId="14305"/>
    <cellStyle name="Normal 3 52 2 5 2 3" xfId="14304"/>
    <cellStyle name="Normal 3 52 2 5 3" xfId="5809"/>
    <cellStyle name="Normal 3 52 2 5 3 2" xfId="14306"/>
    <cellStyle name="Normal 3 52 2 5 4" xfId="14303"/>
    <cellStyle name="Normal 3 52 2 6" xfId="2933"/>
    <cellStyle name="Normal 3 52 2 6 2" xfId="6791"/>
    <cellStyle name="Normal 3 52 2 6 2 2" xfId="14308"/>
    <cellStyle name="Normal 3 52 2 6 3" xfId="14307"/>
    <cellStyle name="Normal 3 52 2 7" xfId="4853"/>
    <cellStyle name="Normal 3 52 2 7 2" xfId="14309"/>
    <cellStyle name="Normal 3 52 2 8" xfId="14278"/>
    <cellStyle name="Normal 3 52 3" xfId="1454"/>
    <cellStyle name="Normal 3 52 3 2" xfId="2425"/>
    <cellStyle name="Normal 3 52 3 2 2" xfId="4370"/>
    <cellStyle name="Normal 3 52 3 2 2 2" xfId="8223"/>
    <cellStyle name="Normal 3 52 3 2 2 2 2" xfId="14313"/>
    <cellStyle name="Normal 3 52 3 2 2 3" xfId="14312"/>
    <cellStyle name="Normal 3 52 3 2 3" xfId="6285"/>
    <cellStyle name="Normal 3 52 3 2 3 2" xfId="14314"/>
    <cellStyle name="Normal 3 52 3 2 4" xfId="14311"/>
    <cellStyle name="Normal 3 52 3 3" xfId="3409"/>
    <cellStyle name="Normal 3 52 3 3 2" xfId="7267"/>
    <cellStyle name="Normal 3 52 3 3 2 2" xfId="14316"/>
    <cellStyle name="Normal 3 52 3 3 3" xfId="14315"/>
    <cellStyle name="Normal 3 52 3 4" xfId="5329"/>
    <cellStyle name="Normal 3 52 3 4 2" xfId="14317"/>
    <cellStyle name="Normal 3 52 3 5" xfId="14310"/>
    <cellStyle name="Normal 3 52 4" xfId="1209"/>
    <cellStyle name="Normal 3 52 4 2" xfId="2180"/>
    <cellStyle name="Normal 3 52 4 2 2" xfId="4125"/>
    <cellStyle name="Normal 3 52 4 2 2 2" xfId="7978"/>
    <cellStyle name="Normal 3 52 4 2 2 2 2" xfId="14321"/>
    <cellStyle name="Normal 3 52 4 2 2 3" xfId="14320"/>
    <cellStyle name="Normal 3 52 4 2 3" xfId="6040"/>
    <cellStyle name="Normal 3 52 4 2 3 2" xfId="14322"/>
    <cellStyle name="Normal 3 52 4 2 4" xfId="14319"/>
    <cellStyle name="Normal 3 52 4 3" xfId="3164"/>
    <cellStyle name="Normal 3 52 4 3 2" xfId="7022"/>
    <cellStyle name="Normal 3 52 4 3 2 2" xfId="14324"/>
    <cellStyle name="Normal 3 52 4 3 3" xfId="14323"/>
    <cellStyle name="Normal 3 52 4 4" xfId="5084"/>
    <cellStyle name="Normal 3 52 4 4 2" xfId="14325"/>
    <cellStyle name="Normal 3 52 4 5" xfId="14318"/>
    <cellStyle name="Normal 3 52 5" xfId="1716"/>
    <cellStyle name="Normal 3 52 5 2" xfId="2676"/>
    <cellStyle name="Normal 3 52 5 2 2" xfId="4621"/>
    <cellStyle name="Normal 3 52 5 2 2 2" xfId="8474"/>
    <cellStyle name="Normal 3 52 5 2 2 2 2" xfId="14329"/>
    <cellStyle name="Normal 3 52 5 2 2 3" xfId="14328"/>
    <cellStyle name="Normal 3 52 5 2 3" xfId="6536"/>
    <cellStyle name="Normal 3 52 5 2 3 2" xfId="14330"/>
    <cellStyle name="Normal 3 52 5 2 4" xfId="14327"/>
    <cellStyle name="Normal 3 52 5 3" xfId="3663"/>
    <cellStyle name="Normal 3 52 5 3 2" xfId="7518"/>
    <cellStyle name="Normal 3 52 5 3 2 2" xfId="14332"/>
    <cellStyle name="Normal 3 52 5 3 3" xfId="14331"/>
    <cellStyle name="Normal 3 52 5 4" xfId="5580"/>
    <cellStyle name="Normal 3 52 5 4 2" xfId="14333"/>
    <cellStyle name="Normal 3 52 5 5" xfId="14326"/>
    <cellStyle name="Normal 3 52 6" xfId="1948"/>
    <cellStyle name="Normal 3 52 6 2" xfId="3893"/>
    <cellStyle name="Normal 3 52 6 2 2" xfId="7746"/>
    <cellStyle name="Normal 3 52 6 2 2 2" xfId="14336"/>
    <cellStyle name="Normal 3 52 6 2 3" xfId="14335"/>
    <cellStyle name="Normal 3 52 6 3" xfId="5808"/>
    <cellStyle name="Normal 3 52 6 3 2" xfId="14337"/>
    <cellStyle name="Normal 3 52 6 4" xfId="14334"/>
    <cellStyle name="Normal 3 52 7" xfId="2932"/>
    <cellStyle name="Normal 3 52 7 2" xfId="6790"/>
    <cellStyle name="Normal 3 52 7 2 2" xfId="14339"/>
    <cellStyle name="Normal 3 52 7 3" xfId="14338"/>
    <cellStyle name="Normal 3 52 8" xfId="4852"/>
    <cellStyle name="Normal 3 52 8 2" xfId="14340"/>
    <cellStyle name="Normal 3 52 9" xfId="14277"/>
    <cellStyle name="Normal 3 53" xfId="974"/>
    <cellStyle name="Normal 3 53 2" xfId="975"/>
    <cellStyle name="Normal 3 53 2 2" xfId="1467"/>
    <cellStyle name="Normal 3 53 2 2 2" xfId="2438"/>
    <cellStyle name="Normal 3 53 2 2 2 2" xfId="4383"/>
    <cellStyle name="Normal 3 53 2 2 2 2 2" xfId="8236"/>
    <cellStyle name="Normal 3 53 2 2 2 2 2 2" xfId="14346"/>
    <cellStyle name="Normal 3 53 2 2 2 2 3" xfId="14345"/>
    <cellStyle name="Normal 3 53 2 2 2 3" xfId="6298"/>
    <cellStyle name="Normal 3 53 2 2 2 3 2" xfId="14347"/>
    <cellStyle name="Normal 3 53 2 2 2 4" xfId="14344"/>
    <cellStyle name="Normal 3 53 2 2 3" xfId="3422"/>
    <cellStyle name="Normal 3 53 2 2 3 2" xfId="7280"/>
    <cellStyle name="Normal 3 53 2 2 3 2 2" xfId="14349"/>
    <cellStyle name="Normal 3 53 2 2 3 3" xfId="14348"/>
    <cellStyle name="Normal 3 53 2 2 4" xfId="5342"/>
    <cellStyle name="Normal 3 53 2 2 4 2" xfId="14350"/>
    <cellStyle name="Normal 3 53 2 2 5" xfId="14343"/>
    <cellStyle name="Normal 3 53 2 3" xfId="1212"/>
    <cellStyle name="Normal 3 53 2 3 2" xfId="2183"/>
    <cellStyle name="Normal 3 53 2 3 2 2" xfId="4128"/>
    <cellStyle name="Normal 3 53 2 3 2 2 2" xfId="7981"/>
    <cellStyle name="Normal 3 53 2 3 2 2 2 2" xfId="14354"/>
    <cellStyle name="Normal 3 53 2 3 2 2 3" xfId="14353"/>
    <cellStyle name="Normal 3 53 2 3 2 3" xfId="6043"/>
    <cellStyle name="Normal 3 53 2 3 2 3 2" xfId="14355"/>
    <cellStyle name="Normal 3 53 2 3 2 4" xfId="14352"/>
    <cellStyle name="Normal 3 53 2 3 3" xfId="3167"/>
    <cellStyle name="Normal 3 53 2 3 3 2" xfId="7025"/>
    <cellStyle name="Normal 3 53 2 3 3 2 2" xfId="14357"/>
    <cellStyle name="Normal 3 53 2 3 3 3" xfId="14356"/>
    <cellStyle name="Normal 3 53 2 3 4" xfId="5087"/>
    <cellStyle name="Normal 3 53 2 3 4 2" xfId="14358"/>
    <cellStyle name="Normal 3 53 2 3 5" xfId="14351"/>
    <cellStyle name="Normal 3 53 2 4" xfId="1730"/>
    <cellStyle name="Normal 3 53 2 4 2" xfId="2689"/>
    <cellStyle name="Normal 3 53 2 4 2 2" xfId="4634"/>
    <cellStyle name="Normal 3 53 2 4 2 2 2" xfId="8487"/>
    <cellStyle name="Normal 3 53 2 4 2 2 2 2" xfId="14362"/>
    <cellStyle name="Normal 3 53 2 4 2 2 3" xfId="14361"/>
    <cellStyle name="Normal 3 53 2 4 2 3" xfId="6549"/>
    <cellStyle name="Normal 3 53 2 4 2 3 2" xfId="14363"/>
    <cellStyle name="Normal 3 53 2 4 2 4" xfId="14360"/>
    <cellStyle name="Normal 3 53 2 4 3" xfId="3677"/>
    <cellStyle name="Normal 3 53 2 4 3 2" xfId="7531"/>
    <cellStyle name="Normal 3 53 2 4 3 2 2" xfId="14365"/>
    <cellStyle name="Normal 3 53 2 4 3 3" xfId="14364"/>
    <cellStyle name="Normal 3 53 2 4 4" xfId="5593"/>
    <cellStyle name="Normal 3 53 2 4 4 2" xfId="14366"/>
    <cellStyle name="Normal 3 53 2 4 5" xfId="14359"/>
    <cellStyle name="Normal 3 53 2 5" xfId="1951"/>
    <cellStyle name="Normal 3 53 2 5 2" xfId="3896"/>
    <cellStyle name="Normal 3 53 2 5 2 2" xfId="7749"/>
    <cellStyle name="Normal 3 53 2 5 2 2 2" xfId="14369"/>
    <cellStyle name="Normal 3 53 2 5 2 3" xfId="14368"/>
    <cellStyle name="Normal 3 53 2 5 3" xfId="5811"/>
    <cellStyle name="Normal 3 53 2 5 3 2" xfId="14370"/>
    <cellStyle name="Normal 3 53 2 5 4" xfId="14367"/>
    <cellStyle name="Normal 3 53 2 6" xfId="2935"/>
    <cellStyle name="Normal 3 53 2 6 2" xfId="6793"/>
    <cellStyle name="Normal 3 53 2 6 2 2" xfId="14372"/>
    <cellStyle name="Normal 3 53 2 6 3" xfId="14371"/>
    <cellStyle name="Normal 3 53 2 7" xfId="4855"/>
    <cellStyle name="Normal 3 53 2 7 2" xfId="14373"/>
    <cellStyle name="Normal 3 53 2 8" xfId="14342"/>
    <cellStyle name="Normal 3 53 3" xfId="1455"/>
    <cellStyle name="Normal 3 53 3 2" xfId="2426"/>
    <cellStyle name="Normal 3 53 3 2 2" xfId="4371"/>
    <cellStyle name="Normal 3 53 3 2 2 2" xfId="8224"/>
    <cellStyle name="Normal 3 53 3 2 2 2 2" xfId="14377"/>
    <cellStyle name="Normal 3 53 3 2 2 3" xfId="14376"/>
    <cellStyle name="Normal 3 53 3 2 3" xfId="6286"/>
    <cellStyle name="Normal 3 53 3 2 3 2" xfId="14378"/>
    <cellStyle name="Normal 3 53 3 2 4" xfId="14375"/>
    <cellStyle name="Normal 3 53 3 3" xfId="3410"/>
    <cellStyle name="Normal 3 53 3 3 2" xfId="7268"/>
    <cellStyle name="Normal 3 53 3 3 2 2" xfId="14380"/>
    <cellStyle name="Normal 3 53 3 3 3" xfId="14379"/>
    <cellStyle name="Normal 3 53 3 4" xfId="5330"/>
    <cellStyle name="Normal 3 53 3 4 2" xfId="14381"/>
    <cellStyle name="Normal 3 53 3 5" xfId="14374"/>
    <cellStyle name="Normal 3 53 4" xfId="1211"/>
    <cellStyle name="Normal 3 53 4 2" xfId="2182"/>
    <cellStyle name="Normal 3 53 4 2 2" xfId="4127"/>
    <cellStyle name="Normal 3 53 4 2 2 2" xfId="7980"/>
    <cellStyle name="Normal 3 53 4 2 2 2 2" xfId="14385"/>
    <cellStyle name="Normal 3 53 4 2 2 3" xfId="14384"/>
    <cellStyle name="Normal 3 53 4 2 3" xfId="6042"/>
    <cellStyle name="Normal 3 53 4 2 3 2" xfId="14386"/>
    <cellStyle name="Normal 3 53 4 2 4" xfId="14383"/>
    <cellStyle name="Normal 3 53 4 3" xfId="3166"/>
    <cellStyle name="Normal 3 53 4 3 2" xfId="7024"/>
    <cellStyle name="Normal 3 53 4 3 2 2" xfId="14388"/>
    <cellStyle name="Normal 3 53 4 3 3" xfId="14387"/>
    <cellStyle name="Normal 3 53 4 4" xfId="5086"/>
    <cellStyle name="Normal 3 53 4 4 2" xfId="14389"/>
    <cellStyle name="Normal 3 53 4 5" xfId="14382"/>
    <cellStyle name="Normal 3 53 5" xfId="1717"/>
    <cellStyle name="Normal 3 53 5 2" xfId="2677"/>
    <cellStyle name="Normal 3 53 5 2 2" xfId="4622"/>
    <cellStyle name="Normal 3 53 5 2 2 2" xfId="8475"/>
    <cellStyle name="Normal 3 53 5 2 2 2 2" xfId="14393"/>
    <cellStyle name="Normal 3 53 5 2 2 3" xfId="14392"/>
    <cellStyle name="Normal 3 53 5 2 3" xfId="6537"/>
    <cellStyle name="Normal 3 53 5 2 3 2" xfId="14394"/>
    <cellStyle name="Normal 3 53 5 2 4" xfId="14391"/>
    <cellStyle name="Normal 3 53 5 3" xfId="3664"/>
    <cellStyle name="Normal 3 53 5 3 2" xfId="7519"/>
    <cellStyle name="Normal 3 53 5 3 2 2" xfId="14396"/>
    <cellStyle name="Normal 3 53 5 3 3" xfId="14395"/>
    <cellStyle name="Normal 3 53 5 4" xfId="5581"/>
    <cellStyle name="Normal 3 53 5 4 2" xfId="14397"/>
    <cellStyle name="Normal 3 53 5 5" xfId="14390"/>
    <cellStyle name="Normal 3 53 6" xfId="1950"/>
    <cellStyle name="Normal 3 53 6 2" xfId="3895"/>
    <cellStyle name="Normal 3 53 6 2 2" xfId="7748"/>
    <cellStyle name="Normal 3 53 6 2 2 2" xfId="14400"/>
    <cellStyle name="Normal 3 53 6 2 3" xfId="14399"/>
    <cellStyle name="Normal 3 53 6 3" xfId="5810"/>
    <cellStyle name="Normal 3 53 6 3 2" xfId="14401"/>
    <cellStyle name="Normal 3 53 6 4" xfId="14398"/>
    <cellStyle name="Normal 3 53 7" xfId="2934"/>
    <cellStyle name="Normal 3 53 7 2" xfId="6792"/>
    <cellStyle name="Normal 3 53 7 2 2" xfId="14403"/>
    <cellStyle name="Normal 3 53 7 3" xfId="14402"/>
    <cellStyle name="Normal 3 53 8" xfId="4854"/>
    <cellStyle name="Normal 3 53 8 2" xfId="14404"/>
    <cellStyle name="Normal 3 53 9" xfId="14341"/>
    <cellStyle name="Normal 3 54" xfId="976"/>
    <cellStyle name="Normal 3 54 2" xfId="977"/>
    <cellStyle name="Normal 3 54 2 2" xfId="1468"/>
    <cellStyle name="Normal 3 54 2 2 2" xfId="2439"/>
    <cellStyle name="Normal 3 54 2 2 2 2" xfId="4384"/>
    <cellStyle name="Normal 3 54 2 2 2 2 2" xfId="8237"/>
    <cellStyle name="Normal 3 54 2 2 2 2 2 2" xfId="14410"/>
    <cellStyle name="Normal 3 54 2 2 2 2 3" xfId="14409"/>
    <cellStyle name="Normal 3 54 2 2 2 3" xfId="6299"/>
    <cellStyle name="Normal 3 54 2 2 2 3 2" xfId="14411"/>
    <cellStyle name="Normal 3 54 2 2 2 4" xfId="14408"/>
    <cellStyle name="Normal 3 54 2 2 3" xfId="3423"/>
    <cellStyle name="Normal 3 54 2 2 3 2" xfId="7281"/>
    <cellStyle name="Normal 3 54 2 2 3 2 2" xfId="14413"/>
    <cellStyle name="Normal 3 54 2 2 3 3" xfId="14412"/>
    <cellStyle name="Normal 3 54 2 2 4" xfId="5343"/>
    <cellStyle name="Normal 3 54 2 2 4 2" xfId="14414"/>
    <cellStyle name="Normal 3 54 2 2 5" xfId="14407"/>
    <cellStyle name="Normal 3 54 2 3" xfId="1214"/>
    <cellStyle name="Normal 3 54 2 3 2" xfId="2185"/>
    <cellStyle name="Normal 3 54 2 3 2 2" xfId="4130"/>
    <cellStyle name="Normal 3 54 2 3 2 2 2" xfId="7983"/>
    <cellStyle name="Normal 3 54 2 3 2 2 2 2" xfId="14418"/>
    <cellStyle name="Normal 3 54 2 3 2 2 3" xfId="14417"/>
    <cellStyle name="Normal 3 54 2 3 2 3" xfId="6045"/>
    <cellStyle name="Normal 3 54 2 3 2 3 2" xfId="14419"/>
    <cellStyle name="Normal 3 54 2 3 2 4" xfId="14416"/>
    <cellStyle name="Normal 3 54 2 3 3" xfId="3169"/>
    <cellStyle name="Normal 3 54 2 3 3 2" xfId="7027"/>
    <cellStyle name="Normal 3 54 2 3 3 2 2" xfId="14421"/>
    <cellStyle name="Normal 3 54 2 3 3 3" xfId="14420"/>
    <cellStyle name="Normal 3 54 2 3 4" xfId="5089"/>
    <cellStyle name="Normal 3 54 2 3 4 2" xfId="14422"/>
    <cellStyle name="Normal 3 54 2 3 5" xfId="14415"/>
    <cellStyle name="Normal 3 54 2 4" xfId="1731"/>
    <cellStyle name="Normal 3 54 2 4 2" xfId="2690"/>
    <cellStyle name="Normal 3 54 2 4 2 2" xfId="4635"/>
    <cellStyle name="Normal 3 54 2 4 2 2 2" xfId="8488"/>
    <cellStyle name="Normal 3 54 2 4 2 2 2 2" xfId="14426"/>
    <cellStyle name="Normal 3 54 2 4 2 2 3" xfId="14425"/>
    <cellStyle name="Normal 3 54 2 4 2 3" xfId="6550"/>
    <cellStyle name="Normal 3 54 2 4 2 3 2" xfId="14427"/>
    <cellStyle name="Normal 3 54 2 4 2 4" xfId="14424"/>
    <cellStyle name="Normal 3 54 2 4 3" xfId="3678"/>
    <cellStyle name="Normal 3 54 2 4 3 2" xfId="7532"/>
    <cellStyle name="Normal 3 54 2 4 3 2 2" xfId="14429"/>
    <cellStyle name="Normal 3 54 2 4 3 3" xfId="14428"/>
    <cellStyle name="Normal 3 54 2 4 4" xfId="5594"/>
    <cellStyle name="Normal 3 54 2 4 4 2" xfId="14430"/>
    <cellStyle name="Normal 3 54 2 4 5" xfId="14423"/>
    <cellStyle name="Normal 3 54 2 5" xfId="1953"/>
    <cellStyle name="Normal 3 54 2 5 2" xfId="3898"/>
    <cellStyle name="Normal 3 54 2 5 2 2" xfId="7751"/>
    <cellStyle name="Normal 3 54 2 5 2 2 2" xfId="14433"/>
    <cellStyle name="Normal 3 54 2 5 2 3" xfId="14432"/>
    <cellStyle name="Normal 3 54 2 5 3" xfId="5813"/>
    <cellStyle name="Normal 3 54 2 5 3 2" xfId="14434"/>
    <cellStyle name="Normal 3 54 2 5 4" xfId="14431"/>
    <cellStyle name="Normal 3 54 2 6" xfId="2937"/>
    <cellStyle name="Normal 3 54 2 6 2" xfId="6795"/>
    <cellStyle name="Normal 3 54 2 6 2 2" xfId="14436"/>
    <cellStyle name="Normal 3 54 2 6 3" xfId="14435"/>
    <cellStyle name="Normal 3 54 2 7" xfId="4857"/>
    <cellStyle name="Normal 3 54 2 7 2" xfId="14437"/>
    <cellStyle name="Normal 3 54 2 8" xfId="14406"/>
    <cellStyle name="Normal 3 54 3" xfId="1456"/>
    <cellStyle name="Normal 3 54 3 2" xfId="2427"/>
    <cellStyle name="Normal 3 54 3 2 2" xfId="4372"/>
    <cellStyle name="Normal 3 54 3 2 2 2" xfId="8225"/>
    <cellStyle name="Normal 3 54 3 2 2 2 2" xfId="14441"/>
    <cellStyle name="Normal 3 54 3 2 2 3" xfId="14440"/>
    <cellStyle name="Normal 3 54 3 2 3" xfId="6287"/>
    <cellStyle name="Normal 3 54 3 2 3 2" xfId="14442"/>
    <cellStyle name="Normal 3 54 3 2 4" xfId="14439"/>
    <cellStyle name="Normal 3 54 3 3" xfId="3411"/>
    <cellStyle name="Normal 3 54 3 3 2" xfId="7269"/>
    <cellStyle name="Normal 3 54 3 3 2 2" xfId="14444"/>
    <cellStyle name="Normal 3 54 3 3 3" xfId="14443"/>
    <cellStyle name="Normal 3 54 3 4" xfId="5331"/>
    <cellStyle name="Normal 3 54 3 4 2" xfId="14445"/>
    <cellStyle name="Normal 3 54 3 5" xfId="14438"/>
    <cellStyle name="Normal 3 54 4" xfId="1213"/>
    <cellStyle name="Normal 3 54 4 2" xfId="2184"/>
    <cellStyle name="Normal 3 54 4 2 2" xfId="4129"/>
    <cellStyle name="Normal 3 54 4 2 2 2" xfId="7982"/>
    <cellStyle name="Normal 3 54 4 2 2 2 2" xfId="14449"/>
    <cellStyle name="Normal 3 54 4 2 2 3" xfId="14448"/>
    <cellStyle name="Normal 3 54 4 2 3" xfId="6044"/>
    <cellStyle name="Normal 3 54 4 2 3 2" xfId="14450"/>
    <cellStyle name="Normal 3 54 4 2 4" xfId="14447"/>
    <cellStyle name="Normal 3 54 4 3" xfId="3168"/>
    <cellStyle name="Normal 3 54 4 3 2" xfId="7026"/>
    <cellStyle name="Normal 3 54 4 3 2 2" xfId="14452"/>
    <cellStyle name="Normal 3 54 4 3 3" xfId="14451"/>
    <cellStyle name="Normal 3 54 4 4" xfId="5088"/>
    <cellStyle name="Normal 3 54 4 4 2" xfId="14453"/>
    <cellStyle name="Normal 3 54 4 5" xfId="14446"/>
    <cellStyle name="Normal 3 54 5" xfId="1718"/>
    <cellStyle name="Normal 3 54 5 2" xfId="2678"/>
    <cellStyle name="Normal 3 54 5 2 2" xfId="4623"/>
    <cellStyle name="Normal 3 54 5 2 2 2" xfId="8476"/>
    <cellStyle name="Normal 3 54 5 2 2 2 2" xfId="14457"/>
    <cellStyle name="Normal 3 54 5 2 2 3" xfId="14456"/>
    <cellStyle name="Normal 3 54 5 2 3" xfId="6538"/>
    <cellStyle name="Normal 3 54 5 2 3 2" xfId="14458"/>
    <cellStyle name="Normal 3 54 5 2 4" xfId="14455"/>
    <cellStyle name="Normal 3 54 5 3" xfId="3665"/>
    <cellStyle name="Normal 3 54 5 3 2" xfId="7520"/>
    <cellStyle name="Normal 3 54 5 3 2 2" xfId="14460"/>
    <cellStyle name="Normal 3 54 5 3 3" xfId="14459"/>
    <cellStyle name="Normal 3 54 5 4" xfId="5582"/>
    <cellStyle name="Normal 3 54 5 4 2" xfId="14461"/>
    <cellStyle name="Normal 3 54 5 5" xfId="14454"/>
    <cellStyle name="Normal 3 54 6" xfId="1952"/>
    <cellStyle name="Normal 3 54 6 2" xfId="3897"/>
    <cellStyle name="Normal 3 54 6 2 2" xfId="7750"/>
    <cellStyle name="Normal 3 54 6 2 2 2" xfId="14464"/>
    <cellStyle name="Normal 3 54 6 2 3" xfId="14463"/>
    <cellStyle name="Normal 3 54 6 3" xfId="5812"/>
    <cellStyle name="Normal 3 54 6 3 2" xfId="14465"/>
    <cellStyle name="Normal 3 54 6 4" xfId="14462"/>
    <cellStyle name="Normal 3 54 7" xfId="2936"/>
    <cellStyle name="Normal 3 54 7 2" xfId="6794"/>
    <cellStyle name="Normal 3 54 7 2 2" xfId="14467"/>
    <cellStyle name="Normal 3 54 7 3" xfId="14466"/>
    <cellStyle name="Normal 3 54 8" xfId="4856"/>
    <cellStyle name="Normal 3 54 8 2" xfId="14468"/>
    <cellStyle name="Normal 3 54 9" xfId="14405"/>
    <cellStyle name="Normal 3 55" xfId="978"/>
    <cellStyle name="Normal 3 55 2" xfId="979"/>
    <cellStyle name="Normal 3 55 2 2" xfId="1470"/>
    <cellStyle name="Normal 3 55 2 2 2" xfId="2441"/>
    <cellStyle name="Normal 3 55 2 2 2 2" xfId="4386"/>
    <cellStyle name="Normal 3 55 2 2 2 2 2" xfId="8239"/>
    <cellStyle name="Normal 3 55 2 2 2 2 2 2" xfId="14474"/>
    <cellStyle name="Normal 3 55 2 2 2 2 3" xfId="14473"/>
    <cellStyle name="Normal 3 55 2 2 2 3" xfId="6301"/>
    <cellStyle name="Normal 3 55 2 2 2 3 2" xfId="14475"/>
    <cellStyle name="Normal 3 55 2 2 2 4" xfId="14472"/>
    <cellStyle name="Normal 3 55 2 2 3" xfId="3425"/>
    <cellStyle name="Normal 3 55 2 2 3 2" xfId="7283"/>
    <cellStyle name="Normal 3 55 2 2 3 2 2" xfId="14477"/>
    <cellStyle name="Normal 3 55 2 2 3 3" xfId="14476"/>
    <cellStyle name="Normal 3 55 2 2 4" xfId="5345"/>
    <cellStyle name="Normal 3 55 2 2 4 2" xfId="14478"/>
    <cellStyle name="Normal 3 55 2 2 5" xfId="14471"/>
    <cellStyle name="Normal 3 55 2 3" xfId="1216"/>
    <cellStyle name="Normal 3 55 2 3 2" xfId="2187"/>
    <cellStyle name="Normal 3 55 2 3 2 2" xfId="4132"/>
    <cellStyle name="Normal 3 55 2 3 2 2 2" xfId="7985"/>
    <cellStyle name="Normal 3 55 2 3 2 2 2 2" xfId="14482"/>
    <cellStyle name="Normal 3 55 2 3 2 2 3" xfId="14481"/>
    <cellStyle name="Normal 3 55 2 3 2 3" xfId="6047"/>
    <cellStyle name="Normal 3 55 2 3 2 3 2" xfId="14483"/>
    <cellStyle name="Normal 3 55 2 3 2 4" xfId="14480"/>
    <cellStyle name="Normal 3 55 2 3 3" xfId="3171"/>
    <cellStyle name="Normal 3 55 2 3 3 2" xfId="7029"/>
    <cellStyle name="Normal 3 55 2 3 3 2 2" xfId="14485"/>
    <cellStyle name="Normal 3 55 2 3 3 3" xfId="14484"/>
    <cellStyle name="Normal 3 55 2 3 4" xfId="5091"/>
    <cellStyle name="Normal 3 55 2 3 4 2" xfId="14486"/>
    <cellStyle name="Normal 3 55 2 3 5" xfId="14479"/>
    <cellStyle name="Normal 3 55 2 4" xfId="1733"/>
    <cellStyle name="Normal 3 55 2 4 2" xfId="2692"/>
    <cellStyle name="Normal 3 55 2 4 2 2" xfId="4637"/>
    <cellStyle name="Normal 3 55 2 4 2 2 2" xfId="8490"/>
    <cellStyle name="Normal 3 55 2 4 2 2 2 2" xfId="14490"/>
    <cellStyle name="Normal 3 55 2 4 2 2 3" xfId="14489"/>
    <cellStyle name="Normal 3 55 2 4 2 3" xfId="6552"/>
    <cellStyle name="Normal 3 55 2 4 2 3 2" xfId="14491"/>
    <cellStyle name="Normal 3 55 2 4 2 4" xfId="14488"/>
    <cellStyle name="Normal 3 55 2 4 3" xfId="3680"/>
    <cellStyle name="Normal 3 55 2 4 3 2" xfId="7534"/>
    <cellStyle name="Normal 3 55 2 4 3 2 2" xfId="14493"/>
    <cellStyle name="Normal 3 55 2 4 3 3" xfId="14492"/>
    <cellStyle name="Normal 3 55 2 4 4" xfId="5596"/>
    <cellStyle name="Normal 3 55 2 4 4 2" xfId="14494"/>
    <cellStyle name="Normal 3 55 2 4 5" xfId="14487"/>
    <cellStyle name="Normal 3 55 2 5" xfId="1955"/>
    <cellStyle name="Normal 3 55 2 5 2" xfId="3900"/>
    <cellStyle name="Normal 3 55 2 5 2 2" xfId="7753"/>
    <cellStyle name="Normal 3 55 2 5 2 2 2" xfId="14497"/>
    <cellStyle name="Normal 3 55 2 5 2 3" xfId="14496"/>
    <cellStyle name="Normal 3 55 2 5 3" xfId="5815"/>
    <cellStyle name="Normal 3 55 2 5 3 2" xfId="14498"/>
    <cellStyle name="Normal 3 55 2 5 4" xfId="14495"/>
    <cellStyle name="Normal 3 55 2 6" xfId="2939"/>
    <cellStyle name="Normal 3 55 2 6 2" xfId="6797"/>
    <cellStyle name="Normal 3 55 2 6 2 2" xfId="14500"/>
    <cellStyle name="Normal 3 55 2 6 3" xfId="14499"/>
    <cellStyle name="Normal 3 55 2 7" xfId="4859"/>
    <cellStyle name="Normal 3 55 2 7 2" xfId="14501"/>
    <cellStyle name="Normal 3 55 2 8" xfId="14470"/>
    <cellStyle name="Normal 3 55 3" xfId="1457"/>
    <cellStyle name="Normal 3 55 3 2" xfId="2428"/>
    <cellStyle name="Normal 3 55 3 2 2" xfId="4373"/>
    <cellStyle name="Normal 3 55 3 2 2 2" xfId="8226"/>
    <cellStyle name="Normal 3 55 3 2 2 2 2" xfId="14505"/>
    <cellStyle name="Normal 3 55 3 2 2 3" xfId="14504"/>
    <cellStyle name="Normal 3 55 3 2 3" xfId="6288"/>
    <cellStyle name="Normal 3 55 3 2 3 2" xfId="14506"/>
    <cellStyle name="Normal 3 55 3 2 4" xfId="14503"/>
    <cellStyle name="Normal 3 55 3 3" xfId="3412"/>
    <cellStyle name="Normal 3 55 3 3 2" xfId="7270"/>
    <cellStyle name="Normal 3 55 3 3 2 2" xfId="14508"/>
    <cellStyle name="Normal 3 55 3 3 3" xfId="14507"/>
    <cellStyle name="Normal 3 55 3 4" xfId="5332"/>
    <cellStyle name="Normal 3 55 3 4 2" xfId="14509"/>
    <cellStyle name="Normal 3 55 3 5" xfId="14502"/>
    <cellStyle name="Normal 3 55 4" xfId="1215"/>
    <cellStyle name="Normal 3 55 4 2" xfId="2186"/>
    <cellStyle name="Normal 3 55 4 2 2" xfId="4131"/>
    <cellStyle name="Normal 3 55 4 2 2 2" xfId="7984"/>
    <cellStyle name="Normal 3 55 4 2 2 2 2" xfId="14513"/>
    <cellStyle name="Normal 3 55 4 2 2 3" xfId="14512"/>
    <cellStyle name="Normal 3 55 4 2 3" xfId="6046"/>
    <cellStyle name="Normal 3 55 4 2 3 2" xfId="14514"/>
    <cellStyle name="Normal 3 55 4 2 4" xfId="14511"/>
    <cellStyle name="Normal 3 55 4 3" xfId="3170"/>
    <cellStyle name="Normal 3 55 4 3 2" xfId="7028"/>
    <cellStyle name="Normal 3 55 4 3 2 2" xfId="14516"/>
    <cellStyle name="Normal 3 55 4 3 3" xfId="14515"/>
    <cellStyle name="Normal 3 55 4 4" xfId="5090"/>
    <cellStyle name="Normal 3 55 4 4 2" xfId="14517"/>
    <cellStyle name="Normal 3 55 4 5" xfId="14510"/>
    <cellStyle name="Normal 3 55 5" xfId="1719"/>
    <cellStyle name="Normal 3 55 5 2" xfId="2679"/>
    <cellStyle name="Normal 3 55 5 2 2" xfId="4624"/>
    <cellStyle name="Normal 3 55 5 2 2 2" xfId="8477"/>
    <cellStyle name="Normal 3 55 5 2 2 2 2" xfId="14521"/>
    <cellStyle name="Normal 3 55 5 2 2 3" xfId="14520"/>
    <cellStyle name="Normal 3 55 5 2 3" xfId="6539"/>
    <cellStyle name="Normal 3 55 5 2 3 2" xfId="14522"/>
    <cellStyle name="Normal 3 55 5 2 4" xfId="14519"/>
    <cellStyle name="Normal 3 55 5 3" xfId="3666"/>
    <cellStyle name="Normal 3 55 5 3 2" xfId="7521"/>
    <cellStyle name="Normal 3 55 5 3 2 2" xfId="14524"/>
    <cellStyle name="Normal 3 55 5 3 3" xfId="14523"/>
    <cellStyle name="Normal 3 55 5 4" xfId="5583"/>
    <cellStyle name="Normal 3 55 5 4 2" xfId="14525"/>
    <cellStyle name="Normal 3 55 5 5" xfId="14518"/>
    <cellStyle name="Normal 3 55 6" xfId="1954"/>
    <cellStyle name="Normal 3 55 6 2" xfId="3899"/>
    <cellStyle name="Normal 3 55 6 2 2" xfId="7752"/>
    <cellStyle name="Normal 3 55 6 2 2 2" xfId="14528"/>
    <cellStyle name="Normal 3 55 6 2 3" xfId="14527"/>
    <cellStyle name="Normal 3 55 6 3" xfId="5814"/>
    <cellStyle name="Normal 3 55 6 3 2" xfId="14529"/>
    <cellStyle name="Normal 3 55 6 4" xfId="14526"/>
    <cellStyle name="Normal 3 55 7" xfId="2938"/>
    <cellStyle name="Normal 3 55 7 2" xfId="6796"/>
    <cellStyle name="Normal 3 55 7 2 2" xfId="14531"/>
    <cellStyle name="Normal 3 55 7 3" xfId="14530"/>
    <cellStyle name="Normal 3 55 8" xfId="4858"/>
    <cellStyle name="Normal 3 55 8 2" xfId="14532"/>
    <cellStyle name="Normal 3 55 9" xfId="14469"/>
    <cellStyle name="Normal 3 56" xfId="1003"/>
    <cellStyle name="Normal 3 56 2" xfId="1239"/>
    <cellStyle name="Normal 3 56 2 2" xfId="2210"/>
    <cellStyle name="Normal 3 56 2 2 2" xfId="4155"/>
    <cellStyle name="Normal 3 56 2 2 2 2" xfId="8008"/>
    <cellStyle name="Normal 3 56 2 2 2 2 2" xfId="14537"/>
    <cellStyle name="Normal 3 56 2 2 2 3" xfId="14536"/>
    <cellStyle name="Normal 3 56 2 2 3" xfId="6070"/>
    <cellStyle name="Normal 3 56 2 2 3 2" xfId="14538"/>
    <cellStyle name="Normal 3 56 2 2 4" xfId="14535"/>
    <cellStyle name="Normal 3 56 2 3" xfId="3194"/>
    <cellStyle name="Normal 3 56 2 3 2" xfId="7052"/>
    <cellStyle name="Normal 3 56 2 3 2 2" xfId="14540"/>
    <cellStyle name="Normal 3 56 2 3 3" xfId="14539"/>
    <cellStyle name="Normal 3 56 2 4" xfId="5114"/>
    <cellStyle name="Normal 3 56 2 4 2" xfId="14541"/>
    <cellStyle name="Normal 3 56 2 5" xfId="14534"/>
    <cellStyle name="Normal 3 56 3" xfId="1978"/>
    <cellStyle name="Normal 3 56 3 2" xfId="3923"/>
    <cellStyle name="Normal 3 56 3 2 2" xfId="7776"/>
    <cellStyle name="Normal 3 56 3 2 2 2" xfId="14544"/>
    <cellStyle name="Normal 3 56 3 2 3" xfId="14543"/>
    <cellStyle name="Normal 3 56 3 3" xfId="5838"/>
    <cellStyle name="Normal 3 56 3 3 2" xfId="14545"/>
    <cellStyle name="Normal 3 56 3 4" xfId="14542"/>
    <cellStyle name="Normal 3 56 4" xfId="2962"/>
    <cellStyle name="Normal 3 56 4 2" xfId="6820"/>
    <cellStyle name="Normal 3 56 4 2 2" xfId="14547"/>
    <cellStyle name="Normal 3 56 4 3" xfId="14546"/>
    <cellStyle name="Normal 3 56 5" xfId="4882"/>
    <cellStyle name="Normal 3 56 5 2" xfId="14548"/>
    <cellStyle name="Normal 3 56 6" xfId="14533"/>
    <cellStyle name="Normal 3 57" xfId="1004"/>
    <cellStyle name="Normal 3 58" xfId="1005"/>
    <cellStyle name="Normal 3 58 2" xfId="1240"/>
    <cellStyle name="Normal 3 58 2 2" xfId="2211"/>
    <cellStyle name="Normal 3 58 2 2 2" xfId="4156"/>
    <cellStyle name="Normal 3 58 2 2 2 2" xfId="8009"/>
    <cellStyle name="Normal 3 58 2 2 2 2 2" xfId="14553"/>
    <cellStyle name="Normal 3 58 2 2 2 3" xfId="14552"/>
    <cellStyle name="Normal 3 58 2 2 3" xfId="6071"/>
    <cellStyle name="Normal 3 58 2 2 3 2" xfId="14554"/>
    <cellStyle name="Normal 3 58 2 2 4" xfId="14551"/>
    <cellStyle name="Normal 3 58 2 3" xfId="3195"/>
    <cellStyle name="Normal 3 58 2 3 2" xfId="7053"/>
    <cellStyle name="Normal 3 58 2 3 2 2" xfId="14556"/>
    <cellStyle name="Normal 3 58 2 3 3" xfId="14555"/>
    <cellStyle name="Normal 3 58 2 4" xfId="5115"/>
    <cellStyle name="Normal 3 58 2 4 2" xfId="14557"/>
    <cellStyle name="Normal 3 58 2 5" xfId="14550"/>
    <cellStyle name="Normal 3 58 3" xfId="1979"/>
    <cellStyle name="Normal 3 58 3 2" xfId="3924"/>
    <cellStyle name="Normal 3 58 3 2 2" xfId="7777"/>
    <cellStyle name="Normal 3 58 3 2 2 2" xfId="14560"/>
    <cellStyle name="Normal 3 58 3 2 3" xfId="14559"/>
    <cellStyle name="Normal 3 58 3 3" xfId="5839"/>
    <cellStyle name="Normal 3 58 3 3 2" xfId="14561"/>
    <cellStyle name="Normal 3 58 3 4" xfId="14558"/>
    <cellStyle name="Normal 3 58 4" xfId="2963"/>
    <cellStyle name="Normal 3 58 4 2" xfId="6821"/>
    <cellStyle name="Normal 3 58 4 2 2" xfId="14563"/>
    <cellStyle name="Normal 3 58 4 3" xfId="14562"/>
    <cellStyle name="Normal 3 58 5" xfId="4883"/>
    <cellStyle name="Normal 3 58 5 2" xfId="14564"/>
    <cellStyle name="Normal 3 58 6" xfId="14549"/>
    <cellStyle name="Normal 3 59" xfId="1256"/>
    <cellStyle name="Normal 3 59 2" xfId="2227"/>
    <cellStyle name="Normal 3 59 2 2" xfId="4172"/>
    <cellStyle name="Normal 3 59 2 2 2" xfId="8025"/>
    <cellStyle name="Normal 3 59 2 2 2 2" xfId="14568"/>
    <cellStyle name="Normal 3 59 2 2 3" xfId="14567"/>
    <cellStyle name="Normal 3 59 2 3" xfId="6087"/>
    <cellStyle name="Normal 3 59 2 3 2" xfId="14569"/>
    <cellStyle name="Normal 3 59 2 4" xfId="14566"/>
    <cellStyle name="Normal 3 59 3" xfId="3211"/>
    <cellStyle name="Normal 3 59 3 2" xfId="7069"/>
    <cellStyle name="Normal 3 59 3 2 2" xfId="14571"/>
    <cellStyle name="Normal 3 59 3 3" xfId="14570"/>
    <cellStyle name="Normal 3 59 4" xfId="5131"/>
    <cellStyle name="Normal 3 59 4 2" xfId="14572"/>
    <cellStyle name="Normal 3 59 5" xfId="14565"/>
    <cellStyle name="Normal 3 6" xfId="417"/>
    <cellStyle name="Normal 3 6 2" xfId="14573"/>
    <cellStyle name="Normal 3 60" xfId="1020"/>
    <cellStyle name="Normal 3 60 2" xfId="1993"/>
    <cellStyle name="Normal 3 60 2 2" xfId="3938"/>
    <cellStyle name="Normal 3 60 2 2 2" xfId="7791"/>
    <cellStyle name="Normal 3 60 2 2 2 2" xfId="14577"/>
    <cellStyle name="Normal 3 60 2 2 3" xfId="14576"/>
    <cellStyle name="Normal 3 60 2 3" xfId="5853"/>
    <cellStyle name="Normal 3 60 2 3 2" xfId="14578"/>
    <cellStyle name="Normal 3 60 2 4" xfId="14575"/>
    <cellStyle name="Normal 3 60 3" xfId="2977"/>
    <cellStyle name="Normal 3 60 3 2" xfId="6835"/>
    <cellStyle name="Normal 3 60 3 2 2" xfId="14580"/>
    <cellStyle name="Normal 3 60 3 3" xfId="14579"/>
    <cellStyle name="Normal 3 60 4" xfId="4897"/>
    <cellStyle name="Normal 3 60 4 2" xfId="14581"/>
    <cellStyle name="Normal 3 60 5" xfId="14574"/>
    <cellStyle name="Normal 3 61" xfId="1472"/>
    <cellStyle name="Normal 3 61 2" xfId="2442"/>
    <cellStyle name="Normal 3 61 2 2" xfId="4387"/>
    <cellStyle name="Normal 3 61 2 2 2" xfId="8240"/>
    <cellStyle name="Normal 3 61 2 2 2 2" xfId="14585"/>
    <cellStyle name="Normal 3 61 2 2 3" xfId="14584"/>
    <cellStyle name="Normal 3 61 2 3" xfId="6302"/>
    <cellStyle name="Normal 3 61 2 3 2" xfId="14586"/>
    <cellStyle name="Normal 3 61 2 4" xfId="14583"/>
    <cellStyle name="Normal 3 61 3" xfId="3426"/>
    <cellStyle name="Normal 3 61 3 2" xfId="7284"/>
    <cellStyle name="Normal 3 61 3 2 2" xfId="14588"/>
    <cellStyle name="Normal 3 61 3 3" xfId="14587"/>
    <cellStyle name="Normal 3 61 4" xfId="5346"/>
    <cellStyle name="Normal 3 61 4 2" xfId="14589"/>
    <cellStyle name="Normal 3 61 5" xfId="14582"/>
    <cellStyle name="Normal 3 62" xfId="1473"/>
    <cellStyle name="Normal 3 62 2" xfId="2443"/>
    <cellStyle name="Normal 3 62 2 2" xfId="4388"/>
    <cellStyle name="Normal 3 62 2 2 2" xfId="8241"/>
    <cellStyle name="Normal 3 62 2 2 2 2" xfId="14593"/>
    <cellStyle name="Normal 3 62 2 2 3" xfId="14592"/>
    <cellStyle name="Normal 3 62 2 3" xfId="6303"/>
    <cellStyle name="Normal 3 62 2 3 2" xfId="14594"/>
    <cellStyle name="Normal 3 62 2 4" xfId="14591"/>
    <cellStyle name="Normal 3 62 3" xfId="3427"/>
    <cellStyle name="Normal 3 62 3 2" xfId="7285"/>
    <cellStyle name="Normal 3 62 3 2 2" xfId="14596"/>
    <cellStyle name="Normal 3 62 3 3" xfId="14595"/>
    <cellStyle name="Normal 3 62 4" xfId="5347"/>
    <cellStyle name="Normal 3 62 4 2" xfId="14597"/>
    <cellStyle name="Normal 3 62 5" xfId="14590"/>
    <cellStyle name="Normal 3 63" xfId="1475"/>
    <cellStyle name="Normal 3 63 2" xfId="2445"/>
    <cellStyle name="Normal 3 63 2 2" xfId="4390"/>
    <cellStyle name="Normal 3 63 2 2 2" xfId="8243"/>
    <cellStyle name="Normal 3 63 2 2 2 2" xfId="14601"/>
    <cellStyle name="Normal 3 63 2 2 3" xfId="14600"/>
    <cellStyle name="Normal 3 63 2 3" xfId="6305"/>
    <cellStyle name="Normal 3 63 2 3 2" xfId="14602"/>
    <cellStyle name="Normal 3 63 2 4" xfId="14599"/>
    <cellStyle name="Normal 3 63 3" xfId="3429"/>
    <cellStyle name="Normal 3 63 3 2" xfId="7287"/>
    <cellStyle name="Normal 3 63 3 2 2" xfId="14604"/>
    <cellStyle name="Normal 3 63 3 3" xfId="14603"/>
    <cellStyle name="Normal 3 63 4" xfId="5349"/>
    <cellStyle name="Normal 3 63 4 2" xfId="14605"/>
    <cellStyle name="Normal 3 63 5" xfId="14598"/>
    <cellStyle name="Normal 3 64" xfId="1484"/>
    <cellStyle name="Normal 3 64 2" xfId="2453"/>
    <cellStyle name="Normal 3 64 2 2" xfId="4398"/>
    <cellStyle name="Normal 3 64 2 2 2" xfId="8251"/>
    <cellStyle name="Normal 3 64 2 2 2 2" xfId="14609"/>
    <cellStyle name="Normal 3 64 2 2 3" xfId="14608"/>
    <cellStyle name="Normal 3 64 2 3" xfId="6313"/>
    <cellStyle name="Normal 3 64 2 3 2" xfId="14610"/>
    <cellStyle name="Normal 3 64 2 4" xfId="14607"/>
    <cellStyle name="Normal 3 64 3" xfId="3437"/>
    <cellStyle name="Normal 3 64 3 2" xfId="7295"/>
    <cellStyle name="Normal 3 64 3 2 2" xfId="14612"/>
    <cellStyle name="Normal 3 64 3 3" xfId="14611"/>
    <cellStyle name="Normal 3 64 4" xfId="5357"/>
    <cellStyle name="Normal 3 64 4 2" xfId="14613"/>
    <cellStyle name="Normal 3 64 5" xfId="14606"/>
    <cellStyle name="Normal 3 65" xfId="1485"/>
    <cellStyle name="Normal 3 65 2" xfId="2454"/>
    <cellStyle name="Normal 3 65 2 2" xfId="4399"/>
    <cellStyle name="Normal 3 65 2 2 2" xfId="8252"/>
    <cellStyle name="Normal 3 65 2 2 2 2" xfId="14617"/>
    <cellStyle name="Normal 3 65 2 2 3" xfId="14616"/>
    <cellStyle name="Normal 3 65 2 3" xfId="6314"/>
    <cellStyle name="Normal 3 65 2 3 2" xfId="14618"/>
    <cellStyle name="Normal 3 65 2 4" xfId="14615"/>
    <cellStyle name="Normal 3 65 3" xfId="3438"/>
    <cellStyle name="Normal 3 65 3 2" xfId="7296"/>
    <cellStyle name="Normal 3 65 3 2 2" xfId="14620"/>
    <cellStyle name="Normal 3 65 3 3" xfId="14619"/>
    <cellStyle name="Normal 3 65 4" xfId="5358"/>
    <cellStyle name="Normal 3 65 4 2" xfId="14621"/>
    <cellStyle name="Normal 3 65 5" xfId="14614"/>
    <cellStyle name="Normal 3 66" xfId="1486"/>
    <cellStyle name="Normal 3 66 2" xfId="2455"/>
    <cellStyle name="Normal 3 66 2 2" xfId="4400"/>
    <cellStyle name="Normal 3 66 2 2 2" xfId="8253"/>
    <cellStyle name="Normal 3 66 2 2 2 2" xfId="14625"/>
    <cellStyle name="Normal 3 66 2 2 3" xfId="14624"/>
    <cellStyle name="Normal 3 66 2 3" xfId="6315"/>
    <cellStyle name="Normal 3 66 2 3 2" xfId="14626"/>
    <cellStyle name="Normal 3 66 2 4" xfId="14623"/>
    <cellStyle name="Normal 3 66 3" xfId="3439"/>
    <cellStyle name="Normal 3 66 3 2" xfId="7297"/>
    <cellStyle name="Normal 3 66 3 2 2" xfId="14628"/>
    <cellStyle name="Normal 3 66 3 3" xfId="14627"/>
    <cellStyle name="Normal 3 66 4" xfId="5359"/>
    <cellStyle name="Normal 3 66 4 2" xfId="14629"/>
    <cellStyle name="Normal 3 66 5" xfId="14622"/>
    <cellStyle name="Normal 3 67" xfId="1487"/>
    <cellStyle name="Normal 3 67 2" xfId="2456"/>
    <cellStyle name="Normal 3 67 2 2" xfId="4401"/>
    <cellStyle name="Normal 3 67 2 2 2" xfId="8254"/>
    <cellStyle name="Normal 3 67 2 2 2 2" xfId="14633"/>
    <cellStyle name="Normal 3 67 2 2 3" xfId="14632"/>
    <cellStyle name="Normal 3 67 2 3" xfId="6316"/>
    <cellStyle name="Normal 3 67 2 3 2" xfId="14634"/>
    <cellStyle name="Normal 3 67 2 4" xfId="14631"/>
    <cellStyle name="Normal 3 67 3" xfId="3440"/>
    <cellStyle name="Normal 3 67 3 2" xfId="7298"/>
    <cellStyle name="Normal 3 67 3 2 2" xfId="14636"/>
    <cellStyle name="Normal 3 67 3 3" xfId="14635"/>
    <cellStyle name="Normal 3 67 4" xfId="5360"/>
    <cellStyle name="Normal 3 67 4 2" xfId="14637"/>
    <cellStyle name="Normal 3 67 5" xfId="14630"/>
    <cellStyle name="Normal 3 68" xfId="1505"/>
    <cellStyle name="Normal 3 68 2" xfId="2472"/>
    <cellStyle name="Normal 3 68 2 2" xfId="4417"/>
    <cellStyle name="Normal 3 68 2 2 2" xfId="8270"/>
    <cellStyle name="Normal 3 68 2 2 2 2" xfId="14641"/>
    <cellStyle name="Normal 3 68 2 2 3" xfId="14640"/>
    <cellStyle name="Normal 3 68 2 3" xfId="6332"/>
    <cellStyle name="Normal 3 68 2 3 2" xfId="14642"/>
    <cellStyle name="Normal 3 68 2 4" xfId="14639"/>
    <cellStyle name="Normal 3 68 3" xfId="3457"/>
    <cellStyle name="Normal 3 68 3 2" xfId="7314"/>
    <cellStyle name="Normal 3 68 3 2 2" xfId="14644"/>
    <cellStyle name="Normal 3 68 3 3" xfId="14643"/>
    <cellStyle name="Normal 3 68 4" xfId="5376"/>
    <cellStyle name="Normal 3 68 4 2" xfId="14645"/>
    <cellStyle name="Normal 3 68 5" xfId="14638"/>
    <cellStyle name="Normal 3 69" xfId="1735"/>
    <cellStyle name="Normal 3 69 2" xfId="2693"/>
    <cellStyle name="Normal 3 69 2 2" xfId="4638"/>
    <cellStyle name="Normal 3 69 2 2 2" xfId="8491"/>
    <cellStyle name="Normal 3 69 2 2 2 2" xfId="14649"/>
    <cellStyle name="Normal 3 69 2 2 3" xfId="14648"/>
    <cellStyle name="Normal 3 69 2 3" xfId="6553"/>
    <cellStyle name="Normal 3 69 2 3 2" xfId="14650"/>
    <cellStyle name="Normal 3 69 2 4" xfId="14647"/>
    <cellStyle name="Normal 3 69 3" xfId="3682"/>
    <cellStyle name="Normal 3 69 3 2" xfId="7535"/>
    <cellStyle name="Normal 3 69 3 2 2" xfId="14652"/>
    <cellStyle name="Normal 3 69 3 3" xfId="14651"/>
    <cellStyle name="Normal 3 69 4" xfId="5597"/>
    <cellStyle name="Normal 3 69 4 2" xfId="14653"/>
    <cellStyle name="Normal 3 69 5" xfId="14646"/>
    <cellStyle name="Normal 3 7" xfId="418"/>
    <cellStyle name="Normal 3 7 2" xfId="14654"/>
    <cellStyle name="Normal 3 70" xfId="1736"/>
    <cellStyle name="Normal 3 70 2" xfId="2694"/>
    <cellStyle name="Normal 3 70 2 2" xfId="4639"/>
    <cellStyle name="Normal 3 70 2 2 2" xfId="8492"/>
    <cellStyle name="Normal 3 70 2 2 2 2" xfId="14658"/>
    <cellStyle name="Normal 3 70 2 2 3" xfId="14657"/>
    <cellStyle name="Normal 3 70 2 3" xfId="6554"/>
    <cellStyle name="Normal 3 70 2 3 2" xfId="14659"/>
    <cellStyle name="Normal 3 70 2 4" xfId="14656"/>
    <cellStyle name="Normal 3 70 3" xfId="3683"/>
    <cellStyle name="Normal 3 70 3 2" xfId="7536"/>
    <cellStyle name="Normal 3 70 3 2 2" xfId="14661"/>
    <cellStyle name="Normal 3 70 3 3" xfId="14660"/>
    <cellStyle name="Normal 3 70 4" xfId="5598"/>
    <cellStyle name="Normal 3 70 4 2" xfId="14662"/>
    <cellStyle name="Normal 3 70 5" xfId="14655"/>
    <cellStyle name="Normal 3 71" xfId="1737"/>
    <cellStyle name="Normal 3 71 2" xfId="2695"/>
    <cellStyle name="Normal 3 71 2 2" xfId="4640"/>
    <cellStyle name="Normal 3 71 2 2 2" xfId="8493"/>
    <cellStyle name="Normal 3 71 2 2 2 2" xfId="14666"/>
    <cellStyle name="Normal 3 71 2 2 3" xfId="14665"/>
    <cellStyle name="Normal 3 71 2 3" xfId="6555"/>
    <cellStyle name="Normal 3 71 2 3 2" xfId="14667"/>
    <cellStyle name="Normal 3 71 2 4" xfId="14664"/>
    <cellStyle name="Normal 3 71 3" xfId="3684"/>
    <cellStyle name="Normal 3 71 3 2" xfId="7537"/>
    <cellStyle name="Normal 3 71 3 2 2" xfId="14669"/>
    <cellStyle name="Normal 3 71 3 3" xfId="14668"/>
    <cellStyle name="Normal 3 71 4" xfId="5599"/>
    <cellStyle name="Normal 3 71 4 2" xfId="14670"/>
    <cellStyle name="Normal 3 71 5" xfId="14663"/>
    <cellStyle name="Normal 3 72" xfId="1738"/>
    <cellStyle name="Normal 3 72 2" xfId="2696"/>
    <cellStyle name="Normal 3 72 2 2" xfId="4641"/>
    <cellStyle name="Normal 3 72 2 2 2" xfId="8494"/>
    <cellStyle name="Normal 3 72 2 2 2 2" xfId="14674"/>
    <cellStyle name="Normal 3 72 2 2 3" xfId="14673"/>
    <cellStyle name="Normal 3 72 2 3" xfId="6556"/>
    <cellStyle name="Normal 3 72 2 3 2" xfId="14675"/>
    <cellStyle name="Normal 3 72 2 4" xfId="14672"/>
    <cellStyle name="Normal 3 72 3" xfId="3685"/>
    <cellStyle name="Normal 3 72 3 2" xfId="7538"/>
    <cellStyle name="Normal 3 72 3 2 2" xfId="14677"/>
    <cellStyle name="Normal 3 72 3 3" xfId="14676"/>
    <cellStyle name="Normal 3 72 4" xfId="5600"/>
    <cellStyle name="Normal 3 72 4 2" xfId="14678"/>
    <cellStyle name="Normal 3 72 5" xfId="14671"/>
    <cellStyle name="Normal 3 73" xfId="1739"/>
    <cellStyle name="Normal 3 73 2" xfId="3686"/>
    <cellStyle name="Normal 3 73 2 2" xfId="7539"/>
    <cellStyle name="Normal 3 73 2 2 2" xfId="14681"/>
    <cellStyle name="Normal 3 73 2 3" xfId="14680"/>
    <cellStyle name="Normal 3 73 3" xfId="5601"/>
    <cellStyle name="Normal 3 73 3 2" xfId="14682"/>
    <cellStyle name="Normal 3 73 4" xfId="14679"/>
    <cellStyle name="Normal 3 74" xfId="1754"/>
    <cellStyle name="Normal 3 74 2" xfId="3700"/>
    <cellStyle name="Normal 3 74 2 2" xfId="7553"/>
    <cellStyle name="Normal 3 74 2 2 2" xfId="14685"/>
    <cellStyle name="Normal 3 74 2 3" xfId="14684"/>
    <cellStyle name="Normal 3 74 3" xfId="5615"/>
    <cellStyle name="Normal 3 74 3 2" xfId="14686"/>
    <cellStyle name="Normal 3 74 4" xfId="14683"/>
    <cellStyle name="Normal 3 75" xfId="2698"/>
    <cellStyle name="Normal 3 75 2" xfId="4642"/>
    <cellStyle name="Normal 3 75 2 2" xfId="8495"/>
    <cellStyle name="Normal 3 75 2 2 2" xfId="14689"/>
    <cellStyle name="Normal 3 75 2 3" xfId="14688"/>
    <cellStyle name="Normal 3 75 3" xfId="6557"/>
    <cellStyle name="Normal 3 75 3 2" xfId="14690"/>
    <cellStyle name="Normal 3 75 4" xfId="14687"/>
    <cellStyle name="Normal 3 76" xfId="2699"/>
    <cellStyle name="Normal 3 76 2" xfId="4643"/>
    <cellStyle name="Normal 3 76 2 2" xfId="8496"/>
    <cellStyle name="Normal 3 76 2 2 2" xfId="14693"/>
    <cellStyle name="Normal 3 76 2 3" xfId="14692"/>
    <cellStyle name="Normal 3 76 3" xfId="6558"/>
    <cellStyle name="Normal 3 76 3 2" xfId="14694"/>
    <cellStyle name="Normal 3 76 4" xfId="14691"/>
    <cellStyle name="Normal 3 77" xfId="2700"/>
    <cellStyle name="Normal 3 77 2" xfId="4644"/>
    <cellStyle name="Normal 3 77 2 2" xfId="8497"/>
    <cellStyle name="Normal 3 77 2 2 2" xfId="14697"/>
    <cellStyle name="Normal 3 77 2 3" xfId="14696"/>
    <cellStyle name="Normal 3 77 3" xfId="6559"/>
    <cellStyle name="Normal 3 77 3 2" xfId="14698"/>
    <cellStyle name="Normal 3 77 4" xfId="14695"/>
    <cellStyle name="Normal 3 78" xfId="2701"/>
    <cellStyle name="Normal 3 78 2" xfId="4645"/>
    <cellStyle name="Normal 3 78 2 2" xfId="8498"/>
    <cellStyle name="Normal 3 78 2 2 2" xfId="14701"/>
    <cellStyle name="Normal 3 78 2 3" xfId="14700"/>
    <cellStyle name="Normal 3 78 3" xfId="6560"/>
    <cellStyle name="Normal 3 78 3 2" xfId="14702"/>
    <cellStyle name="Normal 3 78 4" xfId="14699"/>
    <cellStyle name="Normal 3 79" xfId="2702"/>
    <cellStyle name="Normal 3 79 2" xfId="4646"/>
    <cellStyle name="Normal 3 79 2 2" xfId="8499"/>
    <cellStyle name="Normal 3 79 2 2 2" xfId="14705"/>
    <cellStyle name="Normal 3 79 2 3" xfId="14704"/>
    <cellStyle name="Normal 3 79 3" xfId="6561"/>
    <cellStyle name="Normal 3 79 3 2" xfId="14706"/>
    <cellStyle name="Normal 3 79 4" xfId="14703"/>
    <cellStyle name="Normal 3 8" xfId="419"/>
    <cellStyle name="Normal 3 8 2" xfId="14707"/>
    <cellStyle name="Normal 3 80" xfId="2703"/>
    <cellStyle name="Normal 3 80 2" xfId="4647"/>
    <cellStyle name="Normal 3 80 2 2" xfId="8500"/>
    <cellStyle name="Normal 3 80 2 2 2" xfId="14710"/>
    <cellStyle name="Normal 3 80 2 3" xfId="14709"/>
    <cellStyle name="Normal 3 80 3" xfId="6562"/>
    <cellStyle name="Normal 3 80 3 2" xfId="14711"/>
    <cellStyle name="Normal 3 80 4" xfId="14708"/>
    <cellStyle name="Normal 3 81" xfId="2704"/>
    <cellStyle name="Normal 3 81 2" xfId="4648"/>
    <cellStyle name="Normal 3 81 2 2" xfId="8501"/>
    <cellStyle name="Normal 3 81 2 2 2" xfId="14714"/>
    <cellStyle name="Normal 3 81 2 3" xfId="14713"/>
    <cellStyle name="Normal 3 81 3" xfId="6563"/>
    <cellStyle name="Normal 3 81 3 2" xfId="14715"/>
    <cellStyle name="Normal 3 81 4" xfId="14712"/>
    <cellStyle name="Normal 3 82" xfId="2705"/>
    <cellStyle name="Normal 3 82 2" xfId="4649"/>
    <cellStyle name="Normal 3 82 2 2" xfId="8502"/>
    <cellStyle name="Normal 3 82 2 2 2" xfId="14718"/>
    <cellStyle name="Normal 3 82 2 3" xfId="14717"/>
    <cellStyle name="Normal 3 82 3" xfId="6564"/>
    <cellStyle name="Normal 3 82 3 2" xfId="14719"/>
    <cellStyle name="Normal 3 82 4" xfId="14716"/>
    <cellStyle name="Normal 3 83" xfId="2715"/>
    <cellStyle name="Normal 3 83 2" xfId="6574"/>
    <cellStyle name="Normal 3 83 2 2" xfId="14721"/>
    <cellStyle name="Normal 3 83 3" xfId="14720"/>
    <cellStyle name="Normal 3 84" xfId="2716"/>
    <cellStyle name="Normal 3 84 2" xfId="6575"/>
    <cellStyle name="Normal 3 84 2 2" xfId="14723"/>
    <cellStyle name="Normal 3 84 3" xfId="14722"/>
    <cellStyle name="Normal 3 85" xfId="2717"/>
    <cellStyle name="Normal 3 85 2" xfId="6576"/>
    <cellStyle name="Normal 3 85 2 2" xfId="14725"/>
    <cellStyle name="Normal 3 85 3" xfId="14724"/>
    <cellStyle name="Normal 3 86" xfId="2718"/>
    <cellStyle name="Normal 3 86 2" xfId="6577"/>
    <cellStyle name="Normal 3 86 2 2" xfId="14727"/>
    <cellStyle name="Normal 3 86 3" xfId="14726"/>
    <cellStyle name="Normal 3 87" xfId="2719"/>
    <cellStyle name="Normal 3 87 2" xfId="6578"/>
    <cellStyle name="Normal 3 87 2 2" xfId="14729"/>
    <cellStyle name="Normal 3 87 3" xfId="14728"/>
    <cellStyle name="Normal 3 88" xfId="2720"/>
    <cellStyle name="Normal 3 88 2" xfId="6579"/>
    <cellStyle name="Normal 3 88 2 2" xfId="14731"/>
    <cellStyle name="Normal 3 88 3" xfId="14730"/>
    <cellStyle name="Normal 3 89" xfId="2721"/>
    <cellStyle name="Normal 3 89 2" xfId="6580"/>
    <cellStyle name="Normal 3 89 2 2" xfId="14733"/>
    <cellStyle name="Normal 3 89 3" xfId="14732"/>
    <cellStyle name="Normal 3 9" xfId="420"/>
    <cellStyle name="Normal 3 9 2" xfId="14734"/>
    <cellStyle name="Normal 3 90" xfId="2722"/>
    <cellStyle name="Normal 3 90 2" xfId="6581"/>
    <cellStyle name="Normal 3 90 2 2" xfId="14736"/>
    <cellStyle name="Normal 3 90 3" xfId="14735"/>
    <cellStyle name="Normal 3 91" xfId="2723"/>
    <cellStyle name="Normal 3 91 2" xfId="6582"/>
    <cellStyle name="Normal 3 91 2 2" xfId="14738"/>
    <cellStyle name="Normal 3 91 3" xfId="14737"/>
    <cellStyle name="Normal 3 92" xfId="2724"/>
    <cellStyle name="Normal 3 92 2" xfId="6583"/>
    <cellStyle name="Normal 3 92 2 2" xfId="14740"/>
    <cellStyle name="Normal 3 92 3" xfId="14739"/>
    <cellStyle name="Normal 3 93" xfId="2738"/>
    <cellStyle name="Normal 3 93 2" xfId="6597"/>
    <cellStyle name="Normal 3 93 2 2" xfId="14742"/>
    <cellStyle name="Normal 3 93 3" xfId="14741"/>
    <cellStyle name="Normal 3 94" xfId="4651"/>
    <cellStyle name="Normal 3 94 2" xfId="8503"/>
    <cellStyle name="Normal 3 94 2 2" xfId="14744"/>
    <cellStyle name="Normal 3 94 3" xfId="14743"/>
    <cellStyle name="Normal 3 95" xfId="4665"/>
    <cellStyle name="Normal 3 95 2" xfId="14745"/>
    <cellStyle name="Normal 3 96" xfId="8507"/>
    <cellStyle name="Normal 3 96 2" xfId="14746"/>
    <cellStyle name="Normal 3 97" xfId="8508"/>
    <cellStyle name="Normal 3 97 2" xfId="14747"/>
    <cellStyle name="Normal 3 98" xfId="11217"/>
    <cellStyle name="Normal 3 99" xfId="16315"/>
    <cellStyle name="Normal 30" xfId="421"/>
    <cellStyle name="Normal 30 2" xfId="422"/>
    <cellStyle name="Normal 30 2 2" xfId="659"/>
    <cellStyle name="Normal 30 3" xfId="658"/>
    <cellStyle name="Normal 31" xfId="423"/>
    <cellStyle name="Normal 31 2" xfId="424"/>
    <cellStyle name="Normal 31 2 2" xfId="661"/>
    <cellStyle name="Normal 31 3" xfId="660"/>
    <cellStyle name="Normal 32" xfId="425"/>
    <cellStyle name="Normal 32 2" xfId="426"/>
    <cellStyle name="Normal 32 2 2" xfId="663"/>
    <cellStyle name="Normal 32 3" xfId="662"/>
    <cellStyle name="Normal 33" xfId="427"/>
    <cellStyle name="Normal 33 2" xfId="428"/>
    <cellStyle name="Normal 33 2 2" xfId="665"/>
    <cellStyle name="Normal 33 3" xfId="664"/>
    <cellStyle name="Normal 34" xfId="429"/>
    <cellStyle name="Normal 34 2" xfId="430"/>
    <cellStyle name="Normal 34 2 2" xfId="667"/>
    <cellStyle name="Normal 34 3" xfId="666"/>
    <cellStyle name="Normal 35" xfId="431"/>
    <cellStyle name="Normal 35 2" xfId="432"/>
    <cellStyle name="Normal 35 2 2" xfId="669"/>
    <cellStyle name="Normal 35 3" xfId="668"/>
    <cellStyle name="Normal 36" xfId="433"/>
    <cellStyle name="Normal 36 2" xfId="434"/>
    <cellStyle name="Normal 36 2 2" xfId="671"/>
    <cellStyle name="Normal 36 3" xfId="670"/>
    <cellStyle name="Normal 37" xfId="435"/>
    <cellStyle name="Normal 37 2" xfId="436"/>
    <cellStyle name="Normal 37 2 2" xfId="673"/>
    <cellStyle name="Normal 37 3" xfId="672"/>
    <cellStyle name="Normal 38" xfId="437"/>
    <cellStyle name="Normal 38 2" xfId="438"/>
    <cellStyle name="Normal 38 2 2" xfId="675"/>
    <cellStyle name="Normal 38 3" xfId="674"/>
    <cellStyle name="Normal 39" xfId="439"/>
    <cellStyle name="Normal 39 2" xfId="440"/>
    <cellStyle name="Normal 39 2 2" xfId="677"/>
    <cellStyle name="Normal 39 3" xfId="676"/>
    <cellStyle name="Normal 4" xfId="441"/>
    <cellStyle name="Normal 4 2" xfId="442"/>
    <cellStyle name="Normal 4 2 2" xfId="679"/>
    <cellStyle name="Normal 4 3" xfId="587"/>
    <cellStyle name="Normal 4 4" xfId="678"/>
    <cellStyle name="Normal 4 4 2" xfId="14748"/>
    <cellStyle name="Normal 40" xfId="443"/>
    <cellStyle name="Normal 40 2" xfId="444"/>
    <cellStyle name="Normal 40 2 2" xfId="681"/>
    <cellStyle name="Normal 40 3" xfId="680"/>
    <cellStyle name="Normal 41" xfId="445"/>
    <cellStyle name="Normal 41 2" xfId="446"/>
    <cellStyle name="Normal 41 2 2" xfId="683"/>
    <cellStyle name="Normal 41 3" xfId="682"/>
    <cellStyle name="Normal 42" xfId="447"/>
    <cellStyle name="Normal 42 2" xfId="448"/>
    <cellStyle name="Normal 42 2 2" xfId="685"/>
    <cellStyle name="Normal 42 3" xfId="684"/>
    <cellStyle name="Normal 43" xfId="449"/>
    <cellStyle name="Normal 43 2" xfId="450"/>
    <cellStyle name="Normal 43 2 2" xfId="687"/>
    <cellStyle name="Normal 43 3" xfId="686"/>
    <cellStyle name="Normal 44" xfId="451"/>
    <cellStyle name="Normal 44 2" xfId="452"/>
    <cellStyle name="Normal 44 2 2" xfId="689"/>
    <cellStyle name="Normal 44 3" xfId="688"/>
    <cellStyle name="Normal 45" xfId="453"/>
    <cellStyle name="Normal 45 2" xfId="454"/>
    <cellStyle name="Normal 45 2 2" xfId="691"/>
    <cellStyle name="Normal 45 3" xfId="690"/>
    <cellStyle name="Normal 46" xfId="455"/>
    <cellStyle name="Normal 46 2" xfId="456"/>
    <cellStyle name="Normal 46 2 2" xfId="693"/>
    <cellStyle name="Normal 46 3" xfId="692"/>
    <cellStyle name="Normal 47" xfId="457"/>
    <cellStyle name="Normal 47 2" xfId="458"/>
    <cellStyle name="Normal 47 2 2" xfId="695"/>
    <cellStyle name="Normal 47 3" xfId="694"/>
    <cellStyle name="Normal 48" xfId="459"/>
    <cellStyle name="Normal 48 2" xfId="460"/>
    <cellStyle name="Normal 48 2 2" xfId="697"/>
    <cellStyle name="Normal 48 3" xfId="696"/>
    <cellStyle name="Normal 49" xfId="461"/>
    <cellStyle name="Normal 49 2" xfId="462"/>
    <cellStyle name="Normal 49 2 2" xfId="699"/>
    <cellStyle name="Normal 49 3" xfId="698"/>
    <cellStyle name="Normal 5" xfId="463"/>
    <cellStyle name="Normal 5 2" xfId="464"/>
    <cellStyle name="Normal 5 2 2" xfId="701"/>
    <cellStyle name="Normal 5 3" xfId="700"/>
    <cellStyle name="Normal 5 3 10" xfId="14749"/>
    <cellStyle name="Normal 5 3 2" xfId="980"/>
    <cellStyle name="Normal 5 3 2 2" xfId="1401"/>
    <cellStyle name="Normal 5 3 2 2 2" xfId="2372"/>
    <cellStyle name="Normal 5 3 2 2 2 2" xfId="4317"/>
    <cellStyle name="Normal 5 3 2 2 2 2 2" xfId="8170"/>
    <cellStyle name="Normal 5 3 2 2 2 2 2 2" xfId="14754"/>
    <cellStyle name="Normal 5 3 2 2 2 2 3" xfId="14753"/>
    <cellStyle name="Normal 5 3 2 2 2 3" xfId="6232"/>
    <cellStyle name="Normal 5 3 2 2 2 3 2" xfId="14755"/>
    <cellStyle name="Normal 5 3 2 2 2 4" xfId="14752"/>
    <cellStyle name="Normal 5 3 2 2 3" xfId="3356"/>
    <cellStyle name="Normal 5 3 2 2 3 2" xfId="7214"/>
    <cellStyle name="Normal 5 3 2 2 3 2 2" xfId="14757"/>
    <cellStyle name="Normal 5 3 2 2 3 3" xfId="14756"/>
    <cellStyle name="Normal 5 3 2 2 4" xfId="5276"/>
    <cellStyle name="Normal 5 3 2 2 4 2" xfId="14758"/>
    <cellStyle name="Normal 5 3 2 2 5" xfId="14751"/>
    <cellStyle name="Normal 5 3 2 3" xfId="1217"/>
    <cellStyle name="Normal 5 3 2 3 2" xfId="2188"/>
    <cellStyle name="Normal 5 3 2 3 2 2" xfId="4133"/>
    <cellStyle name="Normal 5 3 2 3 2 2 2" xfId="7986"/>
    <cellStyle name="Normal 5 3 2 3 2 2 2 2" xfId="14762"/>
    <cellStyle name="Normal 5 3 2 3 2 2 3" xfId="14761"/>
    <cellStyle name="Normal 5 3 2 3 2 3" xfId="6048"/>
    <cellStyle name="Normal 5 3 2 3 2 3 2" xfId="14763"/>
    <cellStyle name="Normal 5 3 2 3 2 4" xfId="14760"/>
    <cellStyle name="Normal 5 3 2 3 3" xfId="3172"/>
    <cellStyle name="Normal 5 3 2 3 3 2" xfId="7030"/>
    <cellStyle name="Normal 5 3 2 3 3 2 2" xfId="14765"/>
    <cellStyle name="Normal 5 3 2 3 3 3" xfId="14764"/>
    <cellStyle name="Normal 5 3 2 3 4" xfId="5092"/>
    <cellStyle name="Normal 5 3 2 3 4 2" xfId="14766"/>
    <cellStyle name="Normal 5 3 2 3 5" xfId="14759"/>
    <cellStyle name="Normal 5 3 2 4" xfId="1662"/>
    <cellStyle name="Normal 5 3 2 4 2" xfId="2623"/>
    <cellStyle name="Normal 5 3 2 4 2 2" xfId="4568"/>
    <cellStyle name="Normal 5 3 2 4 2 2 2" xfId="8421"/>
    <cellStyle name="Normal 5 3 2 4 2 2 2 2" xfId="14770"/>
    <cellStyle name="Normal 5 3 2 4 2 2 3" xfId="14769"/>
    <cellStyle name="Normal 5 3 2 4 2 3" xfId="6483"/>
    <cellStyle name="Normal 5 3 2 4 2 3 2" xfId="14771"/>
    <cellStyle name="Normal 5 3 2 4 2 4" xfId="14768"/>
    <cellStyle name="Normal 5 3 2 4 3" xfId="3609"/>
    <cellStyle name="Normal 5 3 2 4 3 2" xfId="7465"/>
    <cellStyle name="Normal 5 3 2 4 3 2 2" xfId="14773"/>
    <cellStyle name="Normal 5 3 2 4 3 3" xfId="14772"/>
    <cellStyle name="Normal 5 3 2 4 4" xfId="5527"/>
    <cellStyle name="Normal 5 3 2 4 4 2" xfId="14774"/>
    <cellStyle name="Normal 5 3 2 4 5" xfId="14767"/>
    <cellStyle name="Normal 5 3 2 5" xfId="1956"/>
    <cellStyle name="Normal 5 3 2 5 2" xfId="3901"/>
    <cellStyle name="Normal 5 3 2 5 2 2" xfId="7754"/>
    <cellStyle name="Normal 5 3 2 5 2 2 2" xfId="14777"/>
    <cellStyle name="Normal 5 3 2 5 2 3" xfId="14776"/>
    <cellStyle name="Normal 5 3 2 5 3" xfId="5816"/>
    <cellStyle name="Normal 5 3 2 5 3 2" xfId="14778"/>
    <cellStyle name="Normal 5 3 2 5 4" xfId="14775"/>
    <cellStyle name="Normal 5 3 2 6" xfId="2940"/>
    <cellStyle name="Normal 5 3 2 6 2" xfId="6798"/>
    <cellStyle name="Normal 5 3 2 6 2 2" xfId="14780"/>
    <cellStyle name="Normal 5 3 2 6 3" xfId="14779"/>
    <cellStyle name="Normal 5 3 2 7" xfId="4860"/>
    <cellStyle name="Normal 5 3 2 7 2" xfId="14781"/>
    <cellStyle name="Normal 5 3 2 8" xfId="14750"/>
    <cellStyle name="Normal 5 3 3" xfId="1300"/>
    <cellStyle name="Normal 5 3 3 2" xfId="2271"/>
    <cellStyle name="Normal 5 3 3 2 2" xfId="4216"/>
    <cellStyle name="Normal 5 3 3 2 2 2" xfId="8069"/>
    <cellStyle name="Normal 5 3 3 2 2 2 2" xfId="14785"/>
    <cellStyle name="Normal 5 3 3 2 2 3" xfId="14784"/>
    <cellStyle name="Normal 5 3 3 2 3" xfId="6131"/>
    <cellStyle name="Normal 5 3 3 2 3 2" xfId="14786"/>
    <cellStyle name="Normal 5 3 3 2 4" xfId="14783"/>
    <cellStyle name="Normal 5 3 3 3" xfId="3255"/>
    <cellStyle name="Normal 5 3 3 3 2" xfId="7113"/>
    <cellStyle name="Normal 5 3 3 3 2 2" xfId="14788"/>
    <cellStyle name="Normal 5 3 3 3 3" xfId="14787"/>
    <cellStyle name="Normal 5 3 3 4" xfId="5175"/>
    <cellStyle name="Normal 5 3 3 4 2" xfId="14789"/>
    <cellStyle name="Normal 5 3 3 5" xfId="14782"/>
    <cellStyle name="Normal 5 3 4" xfId="1068"/>
    <cellStyle name="Normal 5 3 4 2" xfId="2039"/>
    <cellStyle name="Normal 5 3 4 2 2" xfId="3984"/>
    <cellStyle name="Normal 5 3 4 2 2 2" xfId="7837"/>
    <cellStyle name="Normal 5 3 4 2 2 2 2" xfId="14793"/>
    <cellStyle name="Normal 5 3 4 2 2 3" xfId="14792"/>
    <cellStyle name="Normal 5 3 4 2 3" xfId="5899"/>
    <cellStyle name="Normal 5 3 4 2 3 2" xfId="14794"/>
    <cellStyle name="Normal 5 3 4 2 4" xfId="14791"/>
    <cellStyle name="Normal 5 3 4 3" xfId="3023"/>
    <cellStyle name="Normal 5 3 4 3 2" xfId="6881"/>
    <cellStyle name="Normal 5 3 4 3 2 2" xfId="14796"/>
    <cellStyle name="Normal 5 3 4 3 3" xfId="14795"/>
    <cellStyle name="Normal 5 3 4 4" xfId="4943"/>
    <cellStyle name="Normal 5 3 4 4 2" xfId="14797"/>
    <cellStyle name="Normal 5 3 4 5" xfId="14790"/>
    <cellStyle name="Normal 5 3 5" xfId="1568"/>
    <cellStyle name="Normal 5 3 6" xfId="1518"/>
    <cellStyle name="Normal 5 3 6 2" xfId="2485"/>
    <cellStyle name="Normal 5 3 6 2 2" xfId="4430"/>
    <cellStyle name="Normal 5 3 6 2 2 2" xfId="8283"/>
    <cellStyle name="Normal 5 3 6 2 2 2 2" xfId="14801"/>
    <cellStyle name="Normal 5 3 6 2 2 3" xfId="14800"/>
    <cellStyle name="Normal 5 3 6 2 3" xfId="6345"/>
    <cellStyle name="Normal 5 3 6 2 3 2" xfId="14802"/>
    <cellStyle name="Normal 5 3 6 2 4" xfId="14799"/>
    <cellStyle name="Normal 5 3 6 3" xfId="3470"/>
    <cellStyle name="Normal 5 3 6 3 2" xfId="7327"/>
    <cellStyle name="Normal 5 3 6 3 2 2" xfId="14804"/>
    <cellStyle name="Normal 5 3 6 3 3" xfId="14803"/>
    <cellStyle name="Normal 5 3 6 4" xfId="5389"/>
    <cellStyle name="Normal 5 3 6 4 2" xfId="14805"/>
    <cellStyle name="Normal 5 3 6 5" xfId="14798"/>
    <cellStyle name="Normal 5 3 7" xfId="1800"/>
    <cellStyle name="Normal 5 3 7 2" xfId="3746"/>
    <cellStyle name="Normal 5 3 7 2 2" xfId="7599"/>
    <cellStyle name="Normal 5 3 7 2 2 2" xfId="14808"/>
    <cellStyle name="Normal 5 3 7 2 3" xfId="14807"/>
    <cellStyle name="Normal 5 3 7 3" xfId="5661"/>
    <cellStyle name="Normal 5 3 7 3 2" xfId="14809"/>
    <cellStyle name="Normal 5 3 7 4" xfId="14806"/>
    <cellStyle name="Normal 5 3 8" xfId="2784"/>
    <cellStyle name="Normal 5 3 8 2" xfId="6643"/>
    <cellStyle name="Normal 5 3 8 2 2" xfId="14811"/>
    <cellStyle name="Normal 5 3 8 3" xfId="14810"/>
    <cellStyle name="Normal 5 3 9" xfId="4711"/>
    <cellStyle name="Normal 5 3 9 2" xfId="14812"/>
    <cellStyle name="Normal 50" xfId="465"/>
    <cellStyle name="Normal 50 2" xfId="466"/>
    <cellStyle name="Normal 50 2 2" xfId="703"/>
    <cellStyle name="Normal 50 3" xfId="702"/>
    <cellStyle name="Normal 51" xfId="467"/>
    <cellStyle name="Normal 51 2" xfId="468"/>
    <cellStyle name="Normal 51 2 2" xfId="705"/>
    <cellStyle name="Normal 51 3" xfId="704"/>
    <cellStyle name="Normal 52" xfId="469"/>
    <cellStyle name="Normal 52 2" xfId="470"/>
    <cellStyle name="Normal 52 2 2" xfId="707"/>
    <cellStyle name="Normal 52 3" xfId="706"/>
    <cellStyle name="Normal 53" xfId="471"/>
    <cellStyle name="Normal 53 2" xfId="472"/>
    <cellStyle name="Normal 53 2 2" xfId="709"/>
    <cellStyle name="Normal 53 3" xfId="708"/>
    <cellStyle name="Normal 54" xfId="473"/>
    <cellStyle name="Normal 54 2" xfId="474"/>
    <cellStyle name="Normal 54 2 2" xfId="711"/>
    <cellStyle name="Normal 54 3" xfId="710"/>
    <cellStyle name="Normal 55" xfId="475"/>
    <cellStyle name="Normal 55 2" xfId="476"/>
    <cellStyle name="Normal 55 2 2" xfId="713"/>
    <cellStyle name="Normal 55 3" xfId="712"/>
    <cellStyle name="Normal 56" xfId="477"/>
    <cellStyle name="Normal 56 2" xfId="478"/>
    <cellStyle name="Normal 56 2 2" xfId="715"/>
    <cellStyle name="Normal 56 3" xfId="714"/>
    <cellStyle name="Normal 57" xfId="479"/>
    <cellStyle name="Normal 57 2" xfId="480"/>
    <cellStyle name="Normal 57 2 2" xfId="717"/>
    <cellStyle name="Normal 57 3" xfId="716"/>
    <cellStyle name="Normal 58" xfId="481"/>
    <cellStyle name="Normal 58 2" xfId="482"/>
    <cellStyle name="Normal 58 2 2" xfId="719"/>
    <cellStyle name="Normal 58 3" xfId="718"/>
    <cellStyle name="Normal 59" xfId="483"/>
    <cellStyle name="Normal 59 2" xfId="484"/>
    <cellStyle name="Normal 59 2 2" xfId="721"/>
    <cellStyle name="Normal 59 3" xfId="720"/>
    <cellStyle name="Normal 6" xfId="485"/>
    <cellStyle name="Normal 6 2" xfId="722"/>
    <cellStyle name="Normal 6 2 2" xfId="1569"/>
    <cellStyle name="Normal 6 3" xfId="981"/>
    <cellStyle name="Normal 60" xfId="486"/>
    <cellStyle name="Normal 60 2" xfId="487"/>
    <cellStyle name="Normal 60 2 2" xfId="724"/>
    <cellStyle name="Normal 60 3" xfId="723"/>
    <cellStyle name="Normal 61" xfId="488"/>
    <cellStyle name="Normal 61 2" xfId="489"/>
    <cellStyle name="Normal 61 2 2" xfId="726"/>
    <cellStyle name="Normal 61 3" xfId="725"/>
    <cellStyle name="Normal 62" xfId="490"/>
    <cellStyle name="Normal 62 2" xfId="491"/>
    <cellStyle name="Normal 62 2 2" xfId="728"/>
    <cellStyle name="Normal 62 3" xfId="727"/>
    <cellStyle name="Normal 63" xfId="492"/>
    <cellStyle name="Normal 63 2" xfId="493"/>
    <cellStyle name="Normal 63 2 2" xfId="730"/>
    <cellStyle name="Normal 63 3" xfId="729"/>
    <cellStyle name="Normal 64" xfId="494"/>
    <cellStyle name="Normal 64 2" xfId="495"/>
    <cellStyle name="Normal 64 2 2" xfId="732"/>
    <cellStyle name="Normal 64 3" xfId="731"/>
    <cellStyle name="Normal 65" xfId="496"/>
    <cellStyle name="Normal 65 2" xfId="497"/>
    <cellStyle name="Normal 65 2 2" xfId="734"/>
    <cellStyle name="Normal 65 3" xfId="733"/>
    <cellStyle name="Normal 66" xfId="498"/>
    <cellStyle name="Normal 66 2" xfId="499"/>
    <cellStyle name="Normal 66 2 2" xfId="736"/>
    <cellStyle name="Normal 66 3" xfId="735"/>
    <cellStyle name="Normal 67" xfId="500"/>
    <cellStyle name="Normal 67 2" xfId="501"/>
    <cellStyle name="Normal 67 2 2" xfId="738"/>
    <cellStyle name="Normal 67 3" xfId="737"/>
    <cellStyle name="Normal 68" xfId="502"/>
    <cellStyle name="Normal 68 2" xfId="503"/>
    <cellStyle name="Normal 68 2 2" xfId="740"/>
    <cellStyle name="Normal 68 3" xfId="739"/>
    <cellStyle name="Normal 69" xfId="504"/>
    <cellStyle name="Normal 69 2" xfId="741"/>
    <cellStyle name="Normal 7" xfId="505"/>
    <cellStyle name="Normal 7 10" xfId="4673"/>
    <cellStyle name="Normal 7 10 2" xfId="14814"/>
    <cellStyle name="Normal 7 11" xfId="14813"/>
    <cellStyle name="Normal 7 2" xfId="742"/>
    <cellStyle name="Normal 7 2 2" xfId="1570"/>
    <cellStyle name="Normal 7 2 2 2" xfId="2532"/>
    <cellStyle name="Normal 7 2 2 2 2" xfId="4477"/>
    <cellStyle name="Normal 7 2 2 2 2 2" xfId="8330"/>
    <cellStyle name="Normal 7 2 2 2 2 2 2" xfId="14819"/>
    <cellStyle name="Normal 7 2 2 2 2 3" xfId="14818"/>
    <cellStyle name="Normal 7 2 2 2 3" xfId="6392"/>
    <cellStyle name="Normal 7 2 2 2 3 2" xfId="14820"/>
    <cellStyle name="Normal 7 2 2 2 4" xfId="14817"/>
    <cellStyle name="Normal 7 2 2 3" xfId="3518"/>
    <cellStyle name="Normal 7 2 2 3 2" xfId="7374"/>
    <cellStyle name="Normal 7 2 2 3 2 2" xfId="14822"/>
    <cellStyle name="Normal 7 2 2 3 3" xfId="14821"/>
    <cellStyle name="Normal 7 2 2 4" xfId="5436"/>
    <cellStyle name="Normal 7 2 2 4 2" xfId="14823"/>
    <cellStyle name="Normal 7 2 2 5" xfId="14816"/>
    <cellStyle name="Normal 7 2 3" xfId="14815"/>
    <cellStyle name="Normal 7 3" xfId="855"/>
    <cellStyle name="Normal 7 3 2" xfId="982"/>
    <cellStyle name="Normal 7 3 2 2" xfId="1436"/>
    <cellStyle name="Normal 7 3 2 2 2" xfId="2407"/>
    <cellStyle name="Normal 7 3 2 2 2 2" xfId="4352"/>
    <cellStyle name="Normal 7 3 2 2 2 2 2" xfId="8205"/>
    <cellStyle name="Normal 7 3 2 2 2 2 2 2" xfId="14829"/>
    <cellStyle name="Normal 7 3 2 2 2 2 3" xfId="14828"/>
    <cellStyle name="Normal 7 3 2 2 2 3" xfId="6267"/>
    <cellStyle name="Normal 7 3 2 2 2 3 2" xfId="14830"/>
    <cellStyle name="Normal 7 3 2 2 2 4" xfId="14827"/>
    <cellStyle name="Normal 7 3 2 2 3" xfId="3391"/>
    <cellStyle name="Normal 7 3 2 2 3 2" xfId="7249"/>
    <cellStyle name="Normal 7 3 2 2 3 2 2" xfId="14832"/>
    <cellStyle name="Normal 7 3 2 2 3 3" xfId="14831"/>
    <cellStyle name="Normal 7 3 2 2 4" xfId="5311"/>
    <cellStyle name="Normal 7 3 2 2 4 2" xfId="14833"/>
    <cellStyle name="Normal 7 3 2 2 5" xfId="14826"/>
    <cellStyle name="Normal 7 3 2 3" xfId="1218"/>
    <cellStyle name="Normal 7 3 2 3 2" xfId="2189"/>
    <cellStyle name="Normal 7 3 2 3 2 2" xfId="4134"/>
    <cellStyle name="Normal 7 3 2 3 2 2 2" xfId="7987"/>
    <cellStyle name="Normal 7 3 2 3 2 2 2 2" xfId="14837"/>
    <cellStyle name="Normal 7 3 2 3 2 2 3" xfId="14836"/>
    <cellStyle name="Normal 7 3 2 3 2 3" xfId="6049"/>
    <cellStyle name="Normal 7 3 2 3 2 3 2" xfId="14838"/>
    <cellStyle name="Normal 7 3 2 3 2 4" xfId="14835"/>
    <cellStyle name="Normal 7 3 2 3 3" xfId="3173"/>
    <cellStyle name="Normal 7 3 2 3 3 2" xfId="7031"/>
    <cellStyle name="Normal 7 3 2 3 3 2 2" xfId="14840"/>
    <cellStyle name="Normal 7 3 2 3 3 3" xfId="14839"/>
    <cellStyle name="Normal 7 3 2 3 4" xfId="5093"/>
    <cellStyle name="Normal 7 3 2 3 4 2" xfId="14841"/>
    <cellStyle name="Normal 7 3 2 3 5" xfId="14834"/>
    <cellStyle name="Normal 7 3 2 4" xfId="1697"/>
    <cellStyle name="Normal 7 3 2 4 2" xfId="2658"/>
    <cellStyle name="Normal 7 3 2 4 2 2" xfId="4603"/>
    <cellStyle name="Normal 7 3 2 4 2 2 2" xfId="8456"/>
    <cellStyle name="Normal 7 3 2 4 2 2 2 2" xfId="14845"/>
    <cellStyle name="Normal 7 3 2 4 2 2 3" xfId="14844"/>
    <cellStyle name="Normal 7 3 2 4 2 3" xfId="6518"/>
    <cellStyle name="Normal 7 3 2 4 2 3 2" xfId="14846"/>
    <cellStyle name="Normal 7 3 2 4 2 4" xfId="14843"/>
    <cellStyle name="Normal 7 3 2 4 3" xfId="3644"/>
    <cellStyle name="Normal 7 3 2 4 3 2" xfId="7500"/>
    <cellStyle name="Normal 7 3 2 4 3 2 2" xfId="14848"/>
    <cellStyle name="Normal 7 3 2 4 3 3" xfId="14847"/>
    <cellStyle name="Normal 7 3 2 4 4" xfId="5562"/>
    <cellStyle name="Normal 7 3 2 4 4 2" xfId="14849"/>
    <cellStyle name="Normal 7 3 2 4 5" xfId="14842"/>
    <cellStyle name="Normal 7 3 2 5" xfId="1957"/>
    <cellStyle name="Normal 7 3 2 5 2" xfId="3902"/>
    <cellStyle name="Normal 7 3 2 5 2 2" xfId="7755"/>
    <cellStyle name="Normal 7 3 2 5 2 2 2" xfId="14852"/>
    <cellStyle name="Normal 7 3 2 5 2 3" xfId="14851"/>
    <cellStyle name="Normal 7 3 2 5 3" xfId="5817"/>
    <cellStyle name="Normal 7 3 2 5 3 2" xfId="14853"/>
    <cellStyle name="Normal 7 3 2 5 4" xfId="14850"/>
    <cellStyle name="Normal 7 3 2 6" xfId="2941"/>
    <cellStyle name="Normal 7 3 2 6 2" xfId="6799"/>
    <cellStyle name="Normal 7 3 2 6 2 2" xfId="14855"/>
    <cellStyle name="Normal 7 3 2 6 3" xfId="14854"/>
    <cellStyle name="Normal 7 3 2 7" xfId="4861"/>
    <cellStyle name="Normal 7 3 2 7 2" xfId="14856"/>
    <cellStyle name="Normal 7 3 2 8" xfId="14825"/>
    <cellStyle name="Normal 7 3 3" xfId="1329"/>
    <cellStyle name="Normal 7 3 3 2" xfId="2300"/>
    <cellStyle name="Normal 7 3 3 2 2" xfId="4245"/>
    <cellStyle name="Normal 7 3 3 2 2 2" xfId="8098"/>
    <cellStyle name="Normal 7 3 3 2 2 2 2" xfId="14860"/>
    <cellStyle name="Normal 7 3 3 2 2 3" xfId="14859"/>
    <cellStyle name="Normal 7 3 3 2 3" xfId="6160"/>
    <cellStyle name="Normal 7 3 3 2 3 2" xfId="14861"/>
    <cellStyle name="Normal 7 3 3 2 4" xfId="14858"/>
    <cellStyle name="Normal 7 3 3 3" xfId="3284"/>
    <cellStyle name="Normal 7 3 3 3 2" xfId="7142"/>
    <cellStyle name="Normal 7 3 3 3 2 2" xfId="14863"/>
    <cellStyle name="Normal 7 3 3 3 3" xfId="14862"/>
    <cellStyle name="Normal 7 3 3 4" xfId="5204"/>
    <cellStyle name="Normal 7 3 3 4 2" xfId="14864"/>
    <cellStyle name="Normal 7 3 3 5" xfId="14857"/>
    <cellStyle name="Normal 7 3 4" xfId="1097"/>
    <cellStyle name="Normal 7 3 4 2" xfId="2068"/>
    <cellStyle name="Normal 7 3 4 2 2" xfId="4013"/>
    <cellStyle name="Normal 7 3 4 2 2 2" xfId="7866"/>
    <cellStyle name="Normal 7 3 4 2 2 2 2" xfId="14868"/>
    <cellStyle name="Normal 7 3 4 2 2 3" xfId="14867"/>
    <cellStyle name="Normal 7 3 4 2 3" xfId="5928"/>
    <cellStyle name="Normal 7 3 4 2 3 2" xfId="14869"/>
    <cellStyle name="Normal 7 3 4 2 4" xfId="14866"/>
    <cellStyle name="Normal 7 3 4 3" xfId="3052"/>
    <cellStyle name="Normal 7 3 4 3 2" xfId="6910"/>
    <cellStyle name="Normal 7 3 4 3 2 2" xfId="14871"/>
    <cellStyle name="Normal 7 3 4 3 3" xfId="14870"/>
    <cellStyle name="Normal 7 3 4 4" xfId="4972"/>
    <cellStyle name="Normal 7 3 4 4 2" xfId="14872"/>
    <cellStyle name="Normal 7 3 4 5" xfId="14865"/>
    <cellStyle name="Normal 7 3 5" xfId="1590"/>
    <cellStyle name="Normal 7 3 5 2" xfId="2551"/>
    <cellStyle name="Normal 7 3 5 2 2" xfId="4496"/>
    <cellStyle name="Normal 7 3 5 2 2 2" xfId="8349"/>
    <cellStyle name="Normal 7 3 5 2 2 2 2" xfId="14876"/>
    <cellStyle name="Normal 7 3 5 2 2 3" xfId="14875"/>
    <cellStyle name="Normal 7 3 5 2 3" xfId="6411"/>
    <cellStyle name="Normal 7 3 5 2 3 2" xfId="14877"/>
    <cellStyle name="Normal 7 3 5 2 4" xfId="14874"/>
    <cellStyle name="Normal 7 3 5 3" xfId="3537"/>
    <cellStyle name="Normal 7 3 5 3 2" xfId="7393"/>
    <cellStyle name="Normal 7 3 5 3 2 2" xfId="14879"/>
    <cellStyle name="Normal 7 3 5 3 3" xfId="14878"/>
    <cellStyle name="Normal 7 3 5 4" xfId="5455"/>
    <cellStyle name="Normal 7 3 5 4 2" xfId="14880"/>
    <cellStyle name="Normal 7 3 5 5" xfId="14873"/>
    <cellStyle name="Normal 7 3 6" xfId="1835"/>
    <cellStyle name="Normal 7 3 6 2" xfId="3781"/>
    <cellStyle name="Normal 7 3 6 2 2" xfId="7634"/>
    <cellStyle name="Normal 7 3 6 2 2 2" xfId="14883"/>
    <cellStyle name="Normal 7 3 6 2 3" xfId="14882"/>
    <cellStyle name="Normal 7 3 6 3" xfId="5696"/>
    <cellStyle name="Normal 7 3 6 3 2" xfId="14884"/>
    <cellStyle name="Normal 7 3 6 4" xfId="14881"/>
    <cellStyle name="Normal 7 3 7" xfId="2819"/>
    <cellStyle name="Normal 7 3 7 2" xfId="6678"/>
    <cellStyle name="Normal 7 3 7 2 2" xfId="14886"/>
    <cellStyle name="Normal 7 3 7 3" xfId="14885"/>
    <cellStyle name="Normal 7 3 8" xfId="4740"/>
    <cellStyle name="Normal 7 3 8 2" xfId="14887"/>
    <cellStyle name="Normal 7 3 9" xfId="14824"/>
    <cellStyle name="Normal 7 4" xfId="983"/>
    <cellStyle name="Normal 7 4 2" xfId="1365"/>
    <cellStyle name="Normal 7 4 2 2" xfId="2336"/>
    <cellStyle name="Normal 7 4 2 2 2" xfId="4281"/>
    <cellStyle name="Normal 7 4 2 2 2 2" xfId="8134"/>
    <cellStyle name="Normal 7 4 2 2 2 2 2" xfId="14892"/>
    <cellStyle name="Normal 7 4 2 2 2 3" xfId="14891"/>
    <cellStyle name="Normal 7 4 2 2 3" xfId="6196"/>
    <cellStyle name="Normal 7 4 2 2 3 2" xfId="14893"/>
    <cellStyle name="Normal 7 4 2 2 4" xfId="14890"/>
    <cellStyle name="Normal 7 4 2 3" xfId="3320"/>
    <cellStyle name="Normal 7 4 2 3 2" xfId="7178"/>
    <cellStyle name="Normal 7 4 2 3 2 2" xfId="14895"/>
    <cellStyle name="Normal 7 4 2 3 3" xfId="14894"/>
    <cellStyle name="Normal 7 4 2 4" xfId="5240"/>
    <cellStyle name="Normal 7 4 2 4 2" xfId="14896"/>
    <cellStyle name="Normal 7 4 2 5" xfId="14889"/>
    <cellStyle name="Normal 7 4 3" xfId="1219"/>
    <cellStyle name="Normal 7 4 3 2" xfId="2190"/>
    <cellStyle name="Normal 7 4 3 2 2" xfId="4135"/>
    <cellStyle name="Normal 7 4 3 2 2 2" xfId="7988"/>
    <cellStyle name="Normal 7 4 3 2 2 2 2" xfId="14900"/>
    <cellStyle name="Normal 7 4 3 2 2 3" xfId="14899"/>
    <cellStyle name="Normal 7 4 3 2 3" xfId="6050"/>
    <cellStyle name="Normal 7 4 3 2 3 2" xfId="14901"/>
    <cellStyle name="Normal 7 4 3 2 4" xfId="14898"/>
    <cellStyle name="Normal 7 4 3 3" xfId="3174"/>
    <cellStyle name="Normal 7 4 3 3 2" xfId="7032"/>
    <cellStyle name="Normal 7 4 3 3 2 2" xfId="14903"/>
    <cellStyle name="Normal 7 4 3 3 3" xfId="14902"/>
    <cellStyle name="Normal 7 4 3 4" xfId="5094"/>
    <cellStyle name="Normal 7 4 3 4 2" xfId="14904"/>
    <cellStyle name="Normal 7 4 3 5" xfId="14897"/>
    <cellStyle name="Normal 7 4 4" xfId="1626"/>
    <cellStyle name="Normal 7 4 4 2" xfId="2587"/>
    <cellStyle name="Normal 7 4 4 2 2" xfId="4532"/>
    <cellStyle name="Normal 7 4 4 2 2 2" xfId="8385"/>
    <cellStyle name="Normal 7 4 4 2 2 2 2" xfId="14908"/>
    <cellStyle name="Normal 7 4 4 2 2 3" xfId="14907"/>
    <cellStyle name="Normal 7 4 4 2 3" xfId="6447"/>
    <cellStyle name="Normal 7 4 4 2 3 2" xfId="14909"/>
    <cellStyle name="Normal 7 4 4 2 4" xfId="14906"/>
    <cellStyle name="Normal 7 4 4 3" xfId="3573"/>
    <cellStyle name="Normal 7 4 4 3 2" xfId="7429"/>
    <cellStyle name="Normal 7 4 4 3 2 2" xfId="14911"/>
    <cellStyle name="Normal 7 4 4 3 3" xfId="14910"/>
    <cellStyle name="Normal 7 4 4 4" xfId="5491"/>
    <cellStyle name="Normal 7 4 4 4 2" xfId="14912"/>
    <cellStyle name="Normal 7 4 4 5" xfId="14905"/>
    <cellStyle name="Normal 7 4 5" xfId="1958"/>
    <cellStyle name="Normal 7 4 5 2" xfId="3903"/>
    <cellStyle name="Normal 7 4 5 2 2" xfId="7756"/>
    <cellStyle name="Normal 7 4 5 2 2 2" xfId="14915"/>
    <cellStyle name="Normal 7 4 5 2 3" xfId="14914"/>
    <cellStyle name="Normal 7 4 5 3" xfId="5818"/>
    <cellStyle name="Normal 7 4 5 3 2" xfId="14916"/>
    <cellStyle name="Normal 7 4 5 4" xfId="14913"/>
    <cellStyle name="Normal 7 4 6" xfId="2942"/>
    <cellStyle name="Normal 7 4 6 2" xfId="6800"/>
    <cellStyle name="Normal 7 4 6 2 2" xfId="14918"/>
    <cellStyle name="Normal 7 4 6 3" xfId="14917"/>
    <cellStyle name="Normal 7 4 7" xfId="4862"/>
    <cellStyle name="Normal 7 4 7 2" xfId="14919"/>
    <cellStyle name="Normal 7 4 8" xfId="14888"/>
    <cellStyle name="Normal 7 5" xfId="1241"/>
    <cellStyle name="Normal 7 5 2" xfId="1476"/>
    <cellStyle name="Normal 7 5 2 2" xfId="2446"/>
    <cellStyle name="Normal 7 5 2 2 2" xfId="4391"/>
    <cellStyle name="Normal 7 5 2 2 2 2" xfId="8244"/>
    <cellStyle name="Normal 7 5 2 2 2 2 2" xfId="14924"/>
    <cellStyle name="Normal 7 5 2 2 2 3" xfId="14923"/>
    <cellStyle name="Normal 7 5 2 2 3" xfId="6306"/>
    <cellStyle name="Normal 7 5 2 2 3 2" xfId="14925"/>
    <cellStyle name="Normal 7 5 2 2 4" xfId="14922"/>
    <cellStyle name="Normal 7 5 2 3" xfId="3430"/>
    <cellStyle name="Normal 7 5 2 3 2" xfId="7288"/>
    <cellStyle name="Normal 7 5 2 3 2 2" xfId="14927"/>
    <cellStyle name="Normal 7 5 2 3 3" xfId="14926"/>
    <cellStyle name="Normal 7 5 2 4" xfId="5350"/>
    <cellStyle name="Normal 7 5 2 4 2" xfId="14928"/>
    <cellStyle name="Normal 7 5 2 5" xfId="14921"/>
    <cellStyle name="Normal 7 5 3" xfId="2212"/>
    <cellStyle name="Normal 7 5 3 2" xfId="4157"/>
    <cellStyle name="Normal 7 5 3 2 2" xfId="8010"/>
    <cellStyle name="Normal 7 5 3 2 2 2" xfId="14931"/>
    <cellStyle name="Normal 7 5 3 2 3" xfId="14930"/>
    <cellStyle name="Normal 7 5 3 3" xfId="6072"/>
    <cellStyle name="Normal 7 5 3 3 2" xfId="14932"/>
    <cellStyle name="Normal 7 5 3 4" xfId="14929"/>
    <cellStyle name="Normal 7 5 4" xfId="3196"/>
    <cellStyle name="Normal 7 5 4 2" xfId="7054"/>
    <cellStyle name="Normal 7 5 4 2 2" xfId="14934"/>
    <cellStyle name="Normal 7 5 4 3" xfId="14933"/>
    <cellStyle name="Normal 7 5 5" xfId="5116"/>
    <cellStyle name="Normal 7 5 5 2" xfId="14935"/>
    <cellStyle name="Normal 7 5 6" xfId="14920"/>
    <cellStyle name="Normal 7 6" xfId="1028"/>
    <cellStyle name="Normal 7 6 2" xfId="2001"/>
    <cellStyle name="Normal 7 6 2 2" xfId="3946"/>
    <cellStyle name="Normal 7 6 2 2 2" xfId="7799"/>
    <cellStyle name="Normal 7 6 2 2 2 2" xfId="14939"/>
    <cellStyle name="Normal 7 6 2 2 3" xfId="14938"/>
    <cellStyle name="Normal 7 6 2 3" xfId="5861"/>
    <cellStyle name="Normal 7 6 2 3 2" xfId="14940"/>
    <cellStyle name="Normal 7 6 2 4" xfId="14937"/>
    <cellStyle name="Normal 7 6 3" xfId="2985"/>
    <cellStyle name="Normal 7 6 3 2" xfId="6843"/>
    <cellStyle name="Normal 7 6 3 2 2" xfId="14942"/>
    <cellStyle name="Normal 7 6 3 3" xfId="14941"/>
    <cellStyle name="Normal 7 6 4" xfId="4905"/>
    <cellStyle name="Normal 7 6 4 2" xfId="14943"/>
    <cellStyle name="Normal 7 6 5" xfId="14936"/>
    <cellStyle name="Normal 7 7" xfId="1517"/>
    <cellStyle name="Normal 7 7 2" xfId="2484"/>
    <cellStyle name="Normal 7 7 2 2" xfId="4429"/>
    <cellStyle name="Normal 7 7 2 2 2" xfId="8282"/>
    <cellStyle name="Normal 7 7 2 2 2 2" xfId="14947"/>
    <cellStyle name="Normal 7 7 2 2 3" xfId="14946"/>
    <cellStyle name="Normal 7 7 2 3" xfId="6344"/>
    <cellStyle name="Normal 7 7 2 3 2" xfId="14948"/>
    <cellStyle name="Normal 7 7 2 4" xfId="14945"/>
    <cellStyle name="Normal 7 7 3" xfId="3469"/>
    <cellStyle name="Normal 7 7 3 2" xfId="7326"/>
    <cellStyle name="Normal 7 7 3 2 2" xfId="14950"/>
    <cellStyle name="Normal 7 7 3 3" xfId="14949"/>
    <cellStyle name="Normal 7 7 4" xfId="5388"/>
    <cellStyle name="Normal 7 7 4 2" xfId="14951"/>
    <cellStyle name="Normal 7 7 5" xfId="14944"/>
    <cellStyle name="Normal 7 8" xfId="1762"/>
    <cellStyle name="Normal 7 8 2" xfId="3708"/>
    <cellStyle name="Normal 7 8 2 2" xfId="7561"/>
    <cellStyle name="Normal 7 8 2 2 2" xfId="14954"/>
    <cellStyle name="Normal 7 8 2 3" xfId="14953"/>
    <cellStyle name="Normal 7 8 3" xfId="5623"/>
    <cellStyle name="Normal 7 8 3 2" xfId="14955"/>
    <cellStyle name="Normal 7 8 4" xfId="14952"/>
    <cellStyle name="Normal 7 9" xfId="2746"/>
    <cellStyle name="Normal 7 9 2" xfId="6605"/>
    <cellStyle name="Normal 7 9 2 2" xfId="14957"/>
    <cellStyle name="Normal 7 9 3" xfId="14956"/>
    <cellStyle name="Normal 70" xfId="506"/>
    <cellStyle name="Normal 70 2" xfId="743"/>
    <cellStyle name="Normal 71" xfId="507"/>
    <cellStyle name="Normal 71 2" xfId="744"/>
    <cellStyle name="Normal 72" xfId="508"/>
    <cellStyle name="Normal 72 2" xfId="745"/>
    <cellStyle name="Normal 73" xfId="509"/>
    <cellStyle name="Normal 73 2" xfId="510"/>
    <cellStyle name="Normal 73 2 2" xfId="747"/>
    <cellStyle name="Normal 73 3" xfId="746"/>
    <cellStyle name="Normal 74" xfId="511"/>
    <cellStyle name="Normal 74 2" xfId="512"/>
    <cellStyle name="Normal 74 2 2" xfId="749"/>
    <cellStyle name="Normal 74 3" xfId="748"/>
    <cellStyle name="Normal 75" xfId="513"/>
    <cellStyle name="Normal 75 2" xfId="514"/>
    <cellStyle name="Normal 75 2 2" xfId="751"/>
    <cellStyle name="Normal 75 3" xfId="750"/>
    <cellStyle name="Normal 76" xfId="515"/>
    <cellStyle name="Normal 76 2" xfId="516"/>
    <cellStyle name="Normal 76 2 2" xfId="753"/>
    <cellStyle name="Normal 76 3" xfId="752"/>
    <cellStyle name="Normal 77" xfId="517"/>
    <cellStyle name="Normal 77 2" xfId="518"/>
    <cellStyle name="Normal 77 2 2" xfId="755"/>
    <cellStyle name="Normal 77 3" xfId="754"/>
    <cellStyle name="Normal 78" xfId="519"/>
    <cellStyle name="Normal 78 2" xfId="520"/>
    <cellStyle name="Normal 78 2 2" xfId="757"/>
    <cellStyle name="Normal 78 3" xfId="756"/>
    <cellStyle name="Normal 79" xfId="521"/>
    <cellStyle name="Normal 79 2" xfId="522"/>
    <cellStyle name="Normal 79 2 2" xfId="759"/>
    <cellStyle name="Normal 79 3" xfId="758"/>
    <cellStyle name="Normal 8" xfId="523"/>
    <cellStyle name="Normal 8 2" xfId="14958"/>
    <cellStyle name="Normal 80" xfId="524"/>
    <cellStyle name="Normal 80 2" xfId="525"/>
    <cellStyle name="Normal 80 2 2" xfId="761"/>
    <cellStyle name="Normal 80 3" xfId="760"/>
    <cellStyle name="Normal 81" xfId="526"/>
    <cellStyle name="Normal 81 2" xfId="527"/>
    <cellStyle name="Normal 81 2 2" xfId="763"/>
    <cellStyle name="Normal 81 3" xfId="762"/>
    <cellStyle name="Normal 82" xfId="528"/>
    <cellStyle name="Normal 82 2" xfId="529"/>
    <cellStyle name="Normal 82 2 2" xfId="765"/>
    <cellStyle name="Normal 82 3" xfId="764"/>
    <cellStyle name="Normal 83" xfId="530"/>
    <cellStyle name="Normal 83 2" xfId="531"/>
    <cellStyle name="Normal 83 2 2" xfId="569"/>
    <cellStyle name="Normal 84" xfId="532"/>
    <cellStyle name="Normal 84 2" xfId="533"/>
    <cellStyle name="Normal 84 2 2" xfId="767"/>
    <cellStyle name="Normal 84 3" xfId="766"/>
    <cellStyle name="Normal 85" xfId="534"/>
    <cellStyle name="Normal 85 2" xfId="535"/>
    <cellStyle name="Normal 85 2 2" xfId="769"/>
    <cellStyle name="Normal 85 3" xfId="768"/>
    <cellStyle name="Normal 86" xfId="536"/>
    <cellStyle name="Normal 86 2" xfId="537"/>
    <cellStyle name="Normal 86 2 2" xfId="771"/>
    <cellStyle name="Normal 86 3" xfId="770"/>
    <cellStyle name="Normal 87" xfId="538"/>
    <cellStyle name="Normal 87 2" xfId="539"/>
    <cellStyle name="Normal 87 2 2" xfId="773"/>
    <cellStyle name="Normal 87 3" xfId="772"/>
    <cellStyle name="Normal 88" xfId="540"/>
    <cellStyle name="Normal 88 2" xfId="541"/>
    <cellStyle name="Normal 88 2 10" xfId="14959"/>
    <cellStyle name="Normal 88 2 2" xfId="775"/>
    <cellStyle name="Normal 88 2 2 2" xfId="984"/>
    <cellStyle name="Normal 88 2 2 2 2" xfId="1402"/>
    <cellStyle name="Normal 88 2 2 2 2 2" xfId="2373"/>
    <cellStyle name="Normal 88 2 2 2 2 2 2" xfId="4318"/>
    <cellStyle name="Normal 88 2 2 2 2 2 2 2" xfId="8171"/>
    <cellStyle name="Normal 88 2 2 2 2 2 2 2 2" xfId="14965"/>
    <cellStyle name="Normal 88 2 2 2 2 2 2 3" xfId="14964"/>
    <cellStyle name="Normal 88 2 2 2 2 2 3" xfId="6233"/>
    <cellStyle name="Normal 88 2 2 2 2 2 3 2" xfId="14966"/>
    <cellStyle name="Normal 88 2 2 2 2 2 4" xfId="14963"/>
    <cellStyle name="Normal 88 2 2 2 2 3" xfId="3357"/>
    <cellStyle name="Normal 88 2 2 2 2 3 2" xfId="7215"/>
    <cellStyle name="Normal 88 2 2 2 2 3 2 2" xfId="14968"/>
    <cellStyle name="Normal 88 2 2 2 2 3 3" xfId="14967"/>
    <cellStyle name="Normal 88 2 2 2 2 4" xfId="5277"/>
    <cellStyle name="Normal 88 2 2 2 2 4 2" xfId="14969"/>
    <cellStyle name="Normal 88 2 2 2 2 5" xfId="14962"/>
    <cellStyle name="Normal 88 2 2 2 3" xfId="1220"/>
    <cellStyle name="Normal 88 2 2 2 3 2" xfId="2191"/>
    <cellStyle name="Normal 88 2 2 2 3 2 2" xfId="4136"/>
    <cellStyle name="Normal 88 2 2 2 3 2 2 2" xfId="7989"/>
    <cellStyle name="Normal 88 2 2 2 3 2 2 2 2" xfId="14973"/>
    <cellStyle name="Normal 88 2 2 2 3 2 2 3" xfId="14972"/>
    <cellStyle name="Normal 88 2 2 2 3 2 3" xfId="6051"/>
    <cellStyle name="Normal 88 2 2 2 3 2 3 2" xfId="14974"/>
    <cellStyle name="Normal 88 2 2 2 3 2 4" xfId="14971"/>
    <cellStyle name="Normal 88 2 2 2 3 3" xfId="3175"/>
    <cellStyle name="Normal 88 2 2 2 3 3 2" xfId="7033"/>
    <cellStyle name="Normal 88 2 2 2 3 3 2 2" xfId="14976"/>
    <cellStyle name="Normal 88 2 2 2 3 3 3" xfId="14975"/>
    <cellStyle name="Normal 88 2 2 2 3 4" xfId="5095"/>
    <cellStyle name="Normal 88 2 2 2 3 4 2" xfId="14977"/>
    <cellStyle name="Normal 88 2 2 2 3 5" xfId="14970"/>
    <cellStyle name="Normal 88 2 2 2 4" xfId="1663"/>
    <cellStyle name="Normal 88 2 2 2 4 2" xfId="2624"/>
    <cellStyle name="Normal 88 2 2 2 4 2 2" xfId="4569"/>
    <cellStyle name="Normal 88 2 2 2 4 2 2 2" xfId="8422"/>
    <cellStyle name="Normal 88 2 2 2 4 2 2 2 2" xfId="14981"/>
    <cellStyle name="Normal 88 2 2 2 4 2 2 3" xfId="14980"/>
    <cellStyle name="Normal 88 2 2 2 4 2 3" xfId="6484"/>
    <cellStyle name="Normal 88 2 2 2 4 2 3 2" xfId="14982"/>
    <cellStyle name="Normal 88 2 2 2 4 2 4" xfId="14979"/>
    <cellStyle name="Normal 88 2 2 2 4 3" xfId="3610"/>
    <cellStyle name="Normal 88 2 2 2 4 3 2" xfId="7466"/>
    <cellStyle name="Normal 88 2 2 2 4 3 2 2" xfId="14984"/>
    <cellStyle name="Normal 88 2 2 2 4 3 3" xfId="14983"/>
    <cellStyle name="Normal 88 2 2 2 4 4" xfId="5528"/>
    <cellStyle name="Normal 88 2 2 2 4 4 2" xfId="14985"/>
    <cellStyle name="Normal 88 2 2 2 4 5" xfId="14978"/>
    <cellStyle name="Normal 88 2 2 2 5" xfId="1959"/>
    <cellStyle name="Normal 88 2 2 2 5 2" xfId="3904"/>
    <cellStyle name="Normal 88 2 2 2 5 2 2" xfId="7757"/>
    <cellStyle name="Normal 88 2 2 2 5 2 2 2" xfId="14988"/>
    <cellStyle name="Normal 88 2 2 2 5 2 3" xfId="14987"/>
    <cellStyle name="Normal 88 2 2 2 5 3" xfId="5819"/>
    <cellStyle name="Normal 88 2 2 2 5 3 2" xfId="14989"/>
    <cellStyle name="Normal 88 2 2 2 5 4" xfId="14986"/>
    <cellStyle name="Normal 88 2 2 2 6" xfId="2943"/>
    <cellStyle name="Normal 88 2 2 2 6 2" xfId="6801"/>
    <cellStyle name="Normal 88 2 2 2 6 2 2" xfId="14991"/>
    <cellStyle name="Normal 88 2 2 2 6 3" xfId="14990"/>
    <cellStyle name="Normal 88 2 2 2 7" xfId="4863"/>
    <cellStyle name="Normal 88 2 2 2 7 2" xfId="14992"/>
    <cellStyle name="Normal 88 2 2 2 8" xfId="14961"/>
    <cellStyle name="Normal 88 2 2 3" xfId="1301"/>
    <cellStyle name="Normal 88 2 2 3 2" xfId="2272"/>
    <cellStyle name="Normal 88 2 2 3 2 2" xfId="4217"/>
    <cellStyle name="Normal 88 2 2 3 2 2 2" xfId="8070"/>
    <cellStyle name="Normal 88 2 2 3 2 2 2 2" xfId="14996"/>
    <cellStyle name="Normal 88 2 2 3 2 2 3" xfId="14995"/>
    <cellStyle name="Normal 88 2 2 3 2 3" xfId="6132"/>
    <cellStyle name="Normal 88 2 2 3 2 3 2" xfId="14997"/>
    <cellStyle name="Normal 88 2 2 3 2 4" xfId="14994"/>
    <cellStyle name="Normal 88 2 2 3 3" xfId="3256"/>
    <cellStyle name="Normal 88 2 2 3 3 2" xfId="7114"/>
    <cellStyle name="Normal 88 2 2 3 3 2 2" xfId="14999"/>
    <cellStyle name="Normal 88 2 2 3 3 3" xfId="14998"/>
    <cellStyle name="Normal 88 2 2 3 4" xfId="5176"/>
    <cellStyle name="Normal 88 2 2 3 4 2" xfId="15000"/>
    <cellStyle name="Normal 88 2 2 3 5" xfId="14993"/>
    <cellStyle name="Normal 88 2 2 4" xfId="1069"/>
    <cellStyle name="Normal 88 2 2 4 2" xfId="2040"/>
    <cellStyle name="Normal 88 2 2 4 2 2" xfId="3985"/>
    <cellStyle name="Normal 88 2 2 4 2 2 2" xfId="7838"/>
    <cellStyle name="Normal 88 2 2 4 2 2 2 2" xfId="15004"/>
    <cellStyle name="Normal 88 2 2 4 2 2 3" xfId="15003"/>
    <cellStyle name="Normal 88 2 2 4 2 3" xfId="5900"/>
    <cellStyle name="Normal 88 2 2 4 2 3 2" xfId="15005"/>
    <cellStyle name="Normal 88 2 2 4 2 4" xfId="15002"/>
    <cellStyle name="Normal 88 2 2 4 3" xfId="3024"/>
    <cellStyle name="Normal 88 2 2 4 3 2" xfId="6882"/>
    <cellStyle name="Normal 88 2 2 4 3 2 2" xfId="15007"/>
    <cellStyle name="Normal 88 2 2 4 3 3" xfId="15006"/>
    <cellStyle name="Normal 88 2 2 4 4" xfId="4944"/>
    <cellStyle name="Normal 88 2 2 4 4 2" xfId="15008"/>
    <cellStyle name="Normal 88 2 2 4 5" xfId="15001"/>
    <cellStyle name="Normal 88 2 2 5" xfId="1571"/>
    <cellStyle name="Normal 88 2 2 5 2" xfId="2533"/>
    <cellStyle name="Normal 88 2 2 5 2 2" xfId="4478"/>
    <cellStyle name="Normal 88 2 2 5 2 2 2" xfId="8331"/>
    <cellStyle name="Normal 88 2 2 5 2 2 2 2" xfId="15012"/>
    <cellStyle name="Normal 88 2 2 5 2 2 3" xfId="15011"/>
    <cellStyle name="Normal 88 2 2 5 2 3" xfId="6393"/>
    <cellStyle name="Normal 88 2 2 5 2 3 2" xfId="15013"/>
    <cellStyle name="Normal 88 2 2 5 2 4" xfId="15010"/>
    <cellStyle name="Normal 88 2 2 5 3" xfId="3519"/>
    <cellStyle name="Normal 88 2 2 5 3 2" xfId="7375"/>
    <cellStyle name="Normal 88 2 2 5 3 2 2" xfId="15015"/>
    <cellStyle name="Normal 88 2 2 5 3 3" xfId="15014"/>
    <cellStyle name="Normal 88 2 2 5 4" xfId="5437"/>
    <cellStyle name="Normal 88 2 2 5 4 2" xfId="15016"/>
    <cellStyle name="Normal 88 2 2 5 5" xfId="15009"/>
    <cellStyle name="Normal 88 2 2 6" xfId="1801"/>
    <cellStyle name="Normal 88 2 2 6 2" xfId="3747"/>
    <cellStyle name="Normal 88 2 2 6 2 2" xfId="7600"/>
    <cellStyle name="Normal 88 2 2 6 2 2 2" xfId="15019"/>
    <cellStyle name="Normal 88 2 2 6 2 3" xfId="15018"/>
    <cellStyle name="Normal 88 2 2 6 3" xfId="5662"/>
    <cellStyle name="Normal 88 2 2 6 3 2" xfId="15020"/>
    <cellStyle name="Normal 88 2 2 6 4" xfId="15017"/>
    <cellStyle name="Normal 88 2 2 7" xfId="2785"/>
    <cellStyle name="Normal 88 2 2 7 2" xfId="6644"/>
    <cellStyle name="Normal 88 2 2 7 2 2" xfId="15022"/>
    <cellStyle name="Normal 88 2 2 7 3" xfId="15021"/>
    <cellStyle name="Normal 88 2 2 8" xfId="4712"/>
    <cellStyle name="Normal 88 2 2 8 2" xfId="15023"/>
    <cellStyle name="Normal 88 2 2 9" xfId="14960"/>
    <cellStyle name="Normal 88 2 3" xfId="985"/>
    <cellStyle name="Normal 88 2 3 2" xfId="1366"/>
    <cellStyle name="Normal 88 2 3 2 2" xfId="2337"/>
    <cellStyle name="Normal 88 2 3 2 2 2" xfId="4282"/>
    <cellStyle name="Normal 88 2 3 2 2 2 2" xfId="8135"/>
    <cellStyle name="Normal 88 2 3 2 2 2 2 2" xfId="15028"/>
    <cellStyle name="Normal 88 2 3 2 2 2 3" xfId="15027"/>
    <cellStyle name="Normal 88 2 3 2 2 3" xfId="6197"/>
    <cellStyle name="Normal 88 2 3 2 2 3 2" xfId="15029"/>
    <cellStyle name="Normal 88 2 3 2 2 4" xfId="15026"/>
    <cellStyle name="Normal 88 2 3 2 3" xfId="3321"/>
    <cellStyle name="Normal 88 2 3 2 3 2" xfId="7179"/>
    <cellStyle name="Normal 88 2 3 2 3 2 2" xfId="15031"/>
    <cellStyle name="Normal 88 2 3 2 3 3" xfId="15030"/>
    <cellStyle name="Normal 88 2 3 2 4" xfId="5241"/>
    <cellStyle name="Normal 88 2 3 2 4 2" xfId="15032"/>
    <cellStyle name="Normal 88 2 3 2 5" xfId="15025"/>
    <cellStyle name="Normal 88 2 3 3" xfId="1221"/>
    <cellStyle name="Normal 88 2 3 3 2" xfId="2192"/>
    <cellStyle name="Normal 88 2 3 3 2 2" xfId="4137"/>
    <cellStyle name="Normal 88 2 3 3 2 2 2" xfId="7990"/>
    <cellStyle name="Normal 88 2 3 3 2 2 2 2" xfId="15036"/>
    <cellStyle name="Normal 88 2 3 3 2 2 3" xfId="15035"/>
    <cellStyle name="Normal 88 2 3 3 2 3" xfId="6052"/>
    <cellStyle name="Normal 88 2 3 3 2 3 2" xfId="15037"/>
    <cellStyle name="Normal 88 2 3 3 2 4" xfId="15034"/>
    <cellStyle name="Normal 88 2 3 3 3" xfId="3176"/>
    <cellStyle name="Normal 88 2 3 3 3 2" xfId="7034"/>
    <cellStyle name="Normal 88 2 3 3 3 2 2" xfId="15039"/>
    <cellStyle name="Normal 88 2 3 3 3 3" xfId="15038"/>
    <cellStyle name="Normal 88 2 3 3 4" xfId="5096"/>
    <cellStyle name="Normal 88 2 3 3 4 2" xfId="15040"/>
    <cellStyle name="Normal 88 2 3 3 5" xfId="15033"/>
    <cellStyle name="Normal 88 2 3 4" xfId="1627"/>
    <cellStyle name="Normal 88 2 3 4 2" xfId="2588"/>
    <cellStyle name="Normal 88 2 3 4 2 2" xfId="4533"/>
    <cellStyle name="Normal 88 2 3 4 2 2 2" xfId="8386"/>
    <cellStyle name="Normal 88 2 3 4 2 2 2 2" xfId="15044"/>
    <cellStyle name="Normal 88 2 3 4 2 2 3" xfId="15043"/>
    <cellStyle name="Normal 88 2 3 4 2 3" xfId="6448"/>
    <cellStyle name="Normal 88 2 3 4 2 3 2" xfId="15045"/>
    <cellStyle name="Normal 88 2 3 4 2 4" xfId="15042"/>
    <cellStyle name="Normal 88 2 3 4 3" xfId="3574"/>
    <cellStyle name="Normal 88 2 3 4 3 2" xfId="7430"/>
    <cellStyle name="Normal 88 2 3 4 3 2 2" xfId="15047"/>
    <cellStyle name="Normal 88 2 3 4 3 3" xfId="15046"/>
    <cellStyle name="Normal 88 2 3 4 4" xfId="5492"/>
    <cellStyle name="Normal 88 2 3 4 4 2" xfId="15048"/>
    <cellStyle name="Normal 88 2 3 4 5" xfId="15041"/>
    <cellStyle name="Normal 88 2 3 5" xfId="1960"/>
    <cellStyle name="Normal 88 2 3 5 2" xfId="3905"/>
    <cellStyle name="Normal 88 2 3 5 2 2" xfId="7758"/>
    <cellStyle name="Normal 88 2 3 5 2 2 2" xfId="15051"/>
    <cellStyle name="Normal 88 2 3 5 2 3" xfId="15050"/>
    <cellStyle name="Normal 88 2 3 5 3" xfId="5820"/>
    <cellStyle name="Normal 88 2 3 5 3 2" xfId="15052"/>
    <cellStyle name="Normal 88 2 3 5 4" xfId="15049"/>
    <cellStyle name="Normal 88 2 3 6" xfId="2944"/>
    <cellStyle name="Normal 88 2 3 6 2" xfId="6802"/>
    <cellStyle name="Normal 88 2 3 6 2 2" xfId="15054"/>
    <cellStyle name="Normal 88 2 3 6 3" xfId="15053"/>
    <cellStyle name="Normal 88 2 3 7" xfId="4864"/>
    <cellStyle name="Normal 88 2 3 7 2" xfId="15055"/>
    <cellStyle name="Normal 88 2 3 8" xfId="15024"/>
    <cellStyle name="Normal 88 2 4" xfId="1264"/>
    <cellStyle name="Normal 88 2 4 2" xfId="2235"/>
    <cellStyle name="Normal 88 2 4 2 2" xfId="4180"/>
    <cellStyle name="Normal 88 2 4 2 2 2" xfId="8033"/>
    <cellStyle name="Normal 88 2 4 2 2 2 2" xfId="15059"/>
    <cellStyle name="Normal 88 2 4 2 2 3" xfId="15058"/>
    <cellStyle name="Normal 88 2 4 2 3" xfId="6095"/>
    <cellStyle name="Normal 88 2 4 2 3 2" xfId="15060"/>
    <cellStyle name="Normal 88 2 4 2 4" xfId="15057"/>
    <cellStyle name="Normal 88 2 4 3" xfId="3219"/>
    <cellStyle name="Normal 88 2 4 3 2" xfId="7077"/>
    <cellStyle name="Normal 88 2 4 3 2 2" xfId="15062"/>
    <cellStyle name="Normal 88 2 4 3 3" xfId="15061"/>
    <cellStyle name="Normal 88 2 4 4" xfId="5139"/>
    <cellStyle name="Normal 88 2 4 4 2" xfId="15063"/>
    <cellStyle name="Normal 88 2 4 5" xfId="15056"/>
    <cellStyle name="Normal 88 2 5" xfId="1030"/>
    <cellStyle name="Normal 88 2 5 2" xfId="2002"/>
    <cellStyle name="Normal 88 2 5 2 2" xfId="3947"/>
    <cellStyle name="Normal 88 2 5 2 2 2" xfId="7800"/>
    <cellStyle name="Normal 88 2 5 2 2 2 2" xfId="15067"/>
    <cellStyle name="Normal 88 2 5 2 2 3" xfId="15066"/>
    <cellStyle name="Normal 88 2 5 2 3" xfId="5862"/>
    <cellStyle name="Normal 88 2 5 2 3 2" xfId="15068"/>
    <cellStyle name="Normal 88 2 5 2 4" xfId="15065"/>
    <cellStyle name="Normal 88 2 5 3" xfId="2986"/>
    <cellStyle name="Normal 88 2 5 3 2" xfId="6844"/>
    <cellStyle name="Normal 88 2 5 3 2 2" xfId="15070"/>
    <cellStyle name="Normal 88 2 5 3 3" xfId="15069"/>
    <cellStyle name="Normal 88 2 5 4" xfId="4906"/>
    <cellStyle name="Normal 88 2 5 4 2" xfId="15071"/>
    <cellStyle name="Normal 88 2 5 5" xfId="15064"/>
    <cellStyle name="Normal 88 2 6" xfId="1520"/>
    <cellStyle name="Normal 88 2 6 2" xfId="2486"/>
    <cellStyle name="Normal 88 2 6 2 2" xfId="4431"/>
    <cellStyle name="Normal 88 2 6 2 2 2" xfId="8284"/>
    <cellStyle name="Normal 88 2 6 2 2 2 2" xfId="15075"/>
    <cellStyle name="Normal 88 2 6 2 2 3" xfId="15074"/>
    <cellStyle name="Normal 88 2 6 2 3" xfId="6346"/>
    <cellStyle name="Normal 88 2 6 2 3 2" xfId="15076"/>
    <cellStyle name="Normal 88 2 6 2 4" xfId="15073"/>
    <cellStyle name="Normal 88 2 6 3" xfId="3472"/>
    <cellStyle name="Normal 88 2 6 3 2" xfId="7328"/>
    <cellStyle name="Normal 88 2 6 3 2 2" xfId="15078"/>
    <cellStyle name="Normal 88 2 6 3 3" xfId="15077"/>
    <cellStyle name="Normal 88 2 6 4" xfId="5390"/>
    <cellStyle name="Normal 88 2 6 4 2" xfId="15079"/>
    <cellStyle name="Normal 88 2 6 5" xfId="15072"/>
    <cellStyle name="Normal 88 2 7" xfId="1763"/>
    <cellStyle name="Normal 88 2 7 2" xfId="3709"/>
    <cellStyle name="Normal 88 2 7 2 2" xfId="7562"/>
    <cellStyle name="Normal 88 2 7 2 2 2" xfId="15082"/>
    <cellStyle name="Normal 88 2 7 2 3" xfId="15081"/>
    <cellStyle name="Normal 88 2 7 3" xfId="5624"/>
    <cellStyle name="Normal 88 2 7 3 2" xfId="15083"/>
    <cellStyle name="Normal 88 2 7 4" xfId="15080"/>
    <cellStyle name="Normal 88 2 8" xfId="2747"/>
    <cellStyle name="Normal 88 2 8 2" xfId="6606"/>
    <cellStyle name="Normal 88 2 8 2 2" xfId="15085"/>
    <cellStyle name="Normal 88 2 8 3" xfId="15084"/>
    <cellStyle name="Normal 88 2 9" xfId="4674"/>
    <cellStyle name="Normal 88 2 9 2" xfId="15086"/>
    <cellStyle name="Normal 88 3" xfId="774"/>
    <cellStyle name="Normal 89" xfId="542"/>
    <cellStyle name="Normal 89 2" xfId="543"/>
    <cellStyle name="Normal 89 2 2" xfId="777"/>
    <cellStyle name="Normal 89 3" xfId="776"/>
    <cellStyle name="Normal 9" xfId="544"/>
    <cellStyle name="Normal 9 2" xfId="15087"/>
    <cellStyle name="Normal 90" xfId="545"/>
    <cellStyle name="Normal 90 2" xfId="778"/>
    <cellStyle name="Normal 91" xfId="546"/>
    <cellStyle name="Normal 91 2" xfId="547"/>
    <cellStyle name="Normal 91 2 2" xfId="780"/>
    <cellStyle name="Normal 91 3" xfId="779"/>
    <cellStyle name="Normal 92" xfId="548"/>
    <cellStyle name="Normal 92 2" xfId="781"/>
    <cellStyle name="Normal 93" xfId="549"/>
    <cellStyle name="Normal 93 2" xfId="782"/>
    <cellStyle name="Normal 94" xfId="550"/>
    <cellStyle name="Normal 94 2" xfId="571"/>
    <cellStyle name="Normal 95" xfId="551"/>
    <cellStyle name="Normal 95 2" xfId="783"/>
    <cellStyle name="Normal 96" xfId="552"/>
    <cellStyle name="Normal 96 2" xfId="553"/>
    <cellStyle name="Normal 96 2 2" xfId="813"/>
    <cellStyle name="Normal 96 3" xfId="786"/>
    <cellStyle name="Normal 97" xfId="554"/>
    <cellStyle name="Normal 97 2" xfId="555"/>
    <cellStyle name="Normal 97 2 2" xfId="808"/>
    <cellStyle name="Normal 97 3" xfId="556"/>
    <cellStyle name="Normal 97 3 2" xfId="811"/>
    <cellStyle name="Normal 97 4" xfId="798"/>
    <cellStyle name="Normal 98" xfId="557"/>
    <cellStyle name="Normal 98 2" xfId="810"/>
    <cellStyle name="Normal 99" xfId="558"/>
    <cellStyle name="Normal 99 2" xfId="812"/>
    <cellStyle name="Normal_FICHA_mt" xfId="1500"/>
    <cellStyle name="Porcentaje" xfId="1483" builtinId="5"/>
    <cellStyle name="Porcentaje 2" xfId="559"/>
    <cellStyle name="Porcentaje 2 10" xfId="857"/>
    <cellStyle name="Porcentaje 2 10 2" xfId="986"/>
    <cellStyle name="Porcentaje 2 10 2 2" xfId="1438"/>
    <cellStyle name="Porcentaje 2 10 2 2 2" xfId="2409"/>
    <cellStyle name="Porcentaje 2 10 2 2 2 2" xfId="4354"/>
    <cellStyle name="Porcentaje 2 10 2 2 2 2 2" xfId="8207"/>
    <cellStyle name="Porcentaje 2 10 2 2 2 2 2 2" xfId="15094"/>
    <cellStyle name="Porcentaje 2 10 2 2 2 2 3" xfId="15093"/>
    <cellStyle name="Porcentaje 2 10 2 2 2 3" xfId="6269"/>
    <cellStyle name="Porcentaje 2 10 2 2 2 3 2" xfId="15095"/>
    <cellStyle name="Porcentaje 2 10 2 2 2 4" xfId="15092"/>
    <cellStyle name="Porcentaje 2 10 2 2 3" xfId="3393"/>
    <cellStyle name="Porcentaje 2 10 2 2 3 2" xfId="7251"/>
    <cellStyle name="Porcentaje 2 10 2 2 3 2 2" xfId="15097"/>
    <cellStyle name="Porcentaje 2 10 2 2 3 3" xfId="15096"/>
    <cellStyle name="Porcentaje 2 10 2 2 4" xfId="5313"/>
    <cellStyle name="Porcentaje 2 10 2 2 4 2" xfId="15098"/>
    <cellStyle name="Porcentaje 2 10 2 2 5" xfId="15091"/>
    <cellStyle name="Porcentaje 2 10 2 3" xfId="1222"/>
    <cellStyle name="Porcentaje 2 10 2 3 2" xfId="2193"/>
    <cellStyle name="Porcentaje 2 10 2 3 2 2" xfId="4138"/>
    <cellStyle name="Porcentaje 2 10 2 3 2 2 2" xfId="7991"/>
    <cellStyle name="Porcentaje 2 10 2 3 2 2 2 2" xfId="15102"/>
    <cellStyle name="Porcentaje 2 10 2 3 2 2 3" xfId="15101"/>
    <cellStyle name="Porcentaje 2 10 2 3 2 3" xfId="6053"/>
    <cellStyle name="Porcentaje 2 10 2 3 2 3 2" xfId="15103"/>
    <cellStyle name="Porcentaje 2 10 2 3 2 4" xfId="15100"/>
    <cellStyle name="Porcentaje 2 10 2 3 3" xfId="3177"/>
    <cellStyle name="Porcentaje 2 10 2 3 3 2" xfId="7035"/>
    <cellStyle name="Porcentaje 2 10 2 3 3 2 2" xfId="15105"/>
    <cellStyle name="Porcentaje 2 10 2 3 3 3" xfId="15104"/>
    <cellStyle name="Porcentaje 2 10 2 3 4" xfId="5097"/>
    <cellStyle name="Porcentaje 2 10 2 3 4 2" xfId="15106"/>
    <cellStyle name="Porcentaje 2 10 2 3 5" xfId="15099"/>
    <cellStyle name="Porcentaje 2 10 2 4" xfId="1480"/>
    <cellStyle name="Porcentaje 2 10 2 4 2" xfId="2450"/>
    <cellStyle name="Porcentaje 2 10 2 4 2 2" xfId="4395"/>
    <cellStyle name="Porcentaje 2 10 2 4 2 2 2" xfId="8248"/>
    <cellStyle name="Porcentaje 2 10 2 4 2 2 2 2" xfId="15110"/>
    <cellStyle name="Porcentaje 2 10 2 4 2 2 3" xfId="15109"/>
    <cellStyle name="Porcentaje 2 10 2 4 2 3" xfId="6310"/>
    <cellStyle name="Porcentaje 2 10 2 4 2 3 2" xfId="15111"/>
    <cellStyle name="Porcentaje 2 10 2 4 2 4" xfId="15108"/>
    <cellStyle name="Porcentaje 2 10 2 4 3" xfId="3434"/>
    <cellStyle name="Porcentaje 2 10 2 4 3 2" xfId="7292"/>
    <cellStyle name="Porcentaje 2 10 2 4 3 2 2" xfId="15113"/>
    <cellStyle name="Porcentaje 2 10 2 4 3 3" xfId="15112"/>
    <cellStyle name="Porcentaje 2 10 2 4 4" xfId="5354"/>
    <cellStyle name="Porcentaje 2 10 2 4 4 2" xfId="15114"/>
    <cellStyle name="Porcentaje 2 10 2 4 5" xfId="15107"/>
    <cellStyle name="Porcentaje 2 10 2 5" xfId="1699"/>
    <cellStyle name="Porcentaje 2 10 2 5 2" xfId="2660"/>
    <cellStyle name="Porcentaje 2 10 2 5 2 2" xfId="4605"/>
    <cellStyle name="Porcentaje 2 10 2 5 2 2 2" xfId="8458"/>
    <cellStyle name="Porcentaje 2 10 2 5 2 2 2 2" xfId="15118"/>
    <cellStyle name="Porcentaje 2 10 2 5 2 2 3" xfId="15117"/>
    <cellStyle name="Porcentaje 2 10 2 5 2 3" xfId="6520"/>
    <cellStyle name="Porcentaje 2 10 2 5 2 3 2" xfId="15119"/>
    <cellStyle name="Porcentaje 2 10 2 5 2 4" xfId="15116"/>
    <cellStyle name="Porcentaje 2 10 2 5 3" xfId="2710"/>
    <cellStyle name="Porcentaje 2 10 2 5 3 2" xfId="6569"/>
    <cellStyle name="Porcentaje 2 10 2 5 3 2 2" xfId="15121"/>
    <cellStyle name="Porcentaje 2 10 2 5 3 3" xfId="15120"/>
    <cellStyle name="Porcentaje 2 10 2 5 4" xfId="3646"/>
    <cellStyle name="Porcentaje 2 10 2 5 4 2" xfId="7502"/>
    <cellStyle name="Porcentaje 2 10 2 5 4 2 2" xfId="15123"/>
    <cellStyle name="Porcentaje 2 10 2 5 4 3" xfId="15122"/>
    <cellStyle name="Porcentaje 2 10 2 5 5" xfId="5564"/>
    <cellStyle name="Porcentaje 2 10 2 5 5 2" xfId="15124"/>
    <cellStyle name="Porcentaje 2 10 2 5 6" xfId="15125"/>
    <cellStyle name="Porcentaje 2 10 2 5 7" xfId="15115"/>
    <cellStyle name="Porcentaje 2 10 2 5 8" xfId="16314"/>
    <cellStyle name="Porcentaje 2 10 2 5 9" xfId="16323"/>
    <cellStyle name="Porcentaje 2 10 2 6" xfId="1961"/>
    <cellStyle name="Porcentaje 2 10 2 6 2" xfId="3906"/>
    <cellStyle name="Porcentaje 2 10 2 6 2 2" xfId="7759"/>
    <cellStyle name="Porcentaje 2 10 2 6 2 2 2" xfId="15128"/>
    <cellStyle name="Porcentaje 2 10 2 6 2 3" xfId="15127"/>
    <cellStyle name="Porcentaje 2 10 2 6 3" xfId="5821"/>
    <cellStyle name="Porcentaje 2 10 2 6 3 2" xfId="15129"/>
    <cellStyle name="Porcentaje 2 10 2 6 4" xfId="15126"/>
    <cellStyle name="Porcentaje 2 10 2 7" xfId="2945"/>
    <cellStyle name="Porcentaje 2 10 2 7 2" xfId="6803"/>
    <cellStyle name="Porcentaje 2 10 2 7 2 2" xfId="15131"/>
    <cellStyle name="Porcentaje 2 10 2 7 3" xfId="15130"/>
    <cellStyle name="Porcentaje 2 10 2 8" xfId="4865"/>
    <cellStyle name="Porcentaje 2 10 2 8 2" xfId="15132"/>
    <cellStyle name="Porcentaje 2 10 2 9" xfId="15090"/>
    <cellStyle name="Porcentaje 2 10 3" xfId="1331"/>
    <cellStyle name="Porcentaje 2 10 3 2" xfId="2302"/>
    <cellStyle name="Porcentaje 2 10 3 2 2" xfId="4247"/>
    <cellStyle name="Porcentaje 2 10 3 2 2 2" xfId="8100"/>
    <cellStyle name="Porcentaje 2 10 3 2 2 2 2" xfId="15136"/>
    <cellStyle name="Porcentaje 2 10 3 2 2 3" xfId="15135"/>
    <cellStyle name="Porcentaje 2 10 3 2 3" xfId="6162"/>
    <cellStyle name="Porcentaje 2 10 3 2 3 2" xfId="15137"/>
    <cellStyle name="Porcentaje 2 10 3 2 4" xfId="15134"/>
    <cellStyle name="Porcentaje 2 10 3 3" xfId="3286"/>
    <cellStyle name="Porcentaje 2 10 3 3 2" xfId="7144"/>
    <cellStyle name="Porcentaje 2 10 3 3 2 2" xfId="15139"/>
    <cellStyle name="Porcentaje 2 10 3 3 3" xfId="15138"/>
    <cellStyle name="Porcentaje 2 10 3 4" xfId="5206"/>
    <cellStyle name="Porcentaje 2 10 3 4 2" xfId="15140"/>
    <cellStyle name="Porcentaje 2 10 3 5" xfId="15133"/>
    <cellStyle name="Porcentaje 2 10 4" xfId="1099"/>
    <cellStyle name="Porcentaje 2 10 4 2" xfId="2070"/>
    <cellStyle name="Porcentaje 2 10 4 2 2" xfId="4015"/>
    <cellStyle name="Porcentaje 2 10 4 2 2 2" xfId="7868"/>
    <cellStyle name="Porcentaje 2 10 4 2 2 2 2" xfId="15144"/>
    <cellStyle name="Porcentaje 2 10 4 2 2 3" xfId="15143"/>
    <cellStyle name="Porcentaje 2 10 4 2 3" xfId="5930"/>
    <cellStyle name="Porcentaje 2 10 4 2 3 2" xfId="15145"/>
    <cellStyle name="Porcentaje 2 10 4 2 4" xfId="15142"/>
    <cellStyle name="Porcentaje 2 10 4 3" xfId="3054"/>
    <cellStyle name="Porcentaje 2 10 4 3 2" xfId="6912"/>
    <cellStyle name="Porcentaje 2 10 4 3 2 2" xfId="15147"/>
    <cellStyle name="Porcentaje 2 10 4 3 3" xfId="15146"/>
    <cellStyle name="Porcentaje 2 10 4 4" xfId="4974"/>
    <cellStyle name="Porcentaje 2 10 4 4 2" xfId="15148"/>
    <cellStyle name="Porcentaje 2 10 4 5" xfId="15141"/>
    <cellStyle name="Porcentaje 2 10 5" xfId="1592"/>
    <cellStyle name="Porcentaje 2 10 5 2" xfId="2553"/>
    <cellStyle name="Porcentaje 2 10 5 2 2" xfId="4498"/>
    <cellStyle name="Porcentaje 2 10 5 2 2 2" xfId="8351"/>
    <cellStyle name="Porcentaje 2 10 5 2 2 2 2" xfId="15152"/>
    <cellStyle name="Porcentaje 2 10 5 2 2 3" xfId="15151"/>
    <cellStyle name="Porcentaje 2 10 5 2 3" xfId="6413"/>
    <cellStyle name="Porcentaje 2 10 5 2 3 2" xfId="15153"/>
    <cellStyle name="Porcentaje 2 10 5 2 4" xfId="15150"/>
    <cellStyle name="Porcentaje 2 10 5 3" xfId="3539"/>
    <cellStyle name="Porcentaje 2 10 5 3 2" xfId="7395"/>
    <cellStyle name="Porcentaje 2 10 5 3 2 2" xfId="15155"/>
    <cellStyle name="Porcentaje 2 10 5 3 3" xfId="15154"/>
    <cellStyle name="Porcentaje 2 10 5 4" xfId="5457"/>
    <cellStyle name="Porcentaje 2 10 5 4 2" xfId="15156"/>
    <cellStyle name="Porcentaje 2 10 5 5" xfId="15149"/>
    <cellStyle name="Porcentaje 2 10 6" xfId="1837"/>
    <cellStyle name="Porcentaje 2 10 6 2" xfId="3783"/>
    <cellStyle name="Porcentaje 2 10 6 2 2" xfId="7636"/>
    <cellStyle name="Porcentaje 2 10 6 2 2 2" xfId="15159"/>
    <cellStyle name="Porcentaje 2 10 6 2 3" xfId="15158"/>
    <cellStyle name="Porcentaje 2 10 6 3" xfId="5698"/>
    <cellStyle name="Porcentaje 2 10 6 3 2" xfId="15160"/>
    <cellStyle name="Porcentaje 2 10 6 4" xfId="15157"/>
    <cellStyle name="Porcentaje 2 10 7" xfId="2821"/>
    <cellStyle name="Porcentaje 2 10 7 2" xfId="6680"/>
    <cellStyle name="Porcentaje 2 10 7 2 2" xfId="15162"/>
    <cellStyle name="Porcentaje 2 10 7 3" xfId="15161"/>
    <cellStyle name="Porcentaje 2 10 8" xfId="4742"/>
    <cellStyle name="Porcentaje 2 10 8 2" xfId="15163"/>
    <cellStyle name="Porcentaje 2 10 9" xfId="15089"/>
    <cellStyle name="Porcentaje 2 11" xfId="987"/>
    <cellStyle name="Porcentaje 2 11 2" xfId="1464"/>
    <cellStyle name="Porcentaje 2 11 2 2" xfId="2435"/>
    <cellStyle name="Porcentaje 2 11 2 2 2" xfId="4380"/>
    <cellStyle name="Porcentaje 2 11 2 2 2 2" xfId="8233"/>
    <cellStyle name="Porcentaje 2 11 2 2 2 2 2" xfId="15168"/>
    <cellStyle name="Porcentaje 2 11 2 2 2 3" xfId="15167"/>
    <cellStyle name="Porcentaje 2 11 2 2 3" xfId="6295"/>
    <cellStyle name="Porcentaje 2 11 2 2 3 2" xfId="15169"/>
    <cellStyle name="Porcentaje 2 11 2 2 4" xfId="15166"/>
    <cellStyle name="Porcentaje 2 11 2 3" xfId="3419"/>
    <cellStyle name="Porcentaje 2 11 2 3 2" xfId="7277"/>
    <cellStyle name="Porcentaje 2 11 2 3 2 2" xfId="15171"/>
    <cellStyle name="Porcentaje 2 11 2 3 3" xfId="15170"/>
    <cellStyle name="Porcentaje 2 11 2 4" xfId="5339"/>
    <cellStyle name="Porcentaje 2 11 2 4 2" xfId="15172"/>
    <cellStyle name="Porcentaje 2 11 2 5" xfId="15165"/>
    <cellStyle name="Porcentaje 2 11 3" xfId="1223"/>
    <cellStyle name="Porcentaje 2 11 3 2" xfId="2194"/>
    <cellStyle name="Porcentaje 2 11 3 2 2" xfId="4139"/>
    <cellStyle name="Porcentaje 2 11 3 2 2 2" xfId="7992"/>
    <cellStyle name="Porcentaje 2 11 3 2 2 2 2" xfId="15176"/>
    <cellStyle name="Porcentaje 2 11 3 2 2 3" xfId="15175"/>
    <cellStyle name="Porcentaje 2 11 3 2 3" xfId="6054"/>
    <cellStyle name="Porcentaje 2 11 3 2 3 2" xfId="15177"/>
    <cellStyle name="Porcentaje 2 11 3 2 4" xfId="15174"/>
    <cellStyle name="Porcentaje 2 11 3 3" xfId="3178"/>
    <cellStyle name="Porcentaje 2 11 3 3 2" xfId="7036"/>
    <cellStyle name="Porcentaje 2 11 3 3 2 2" xfId="15179"/>
    <cellStyle name="Porcentaje 2 11 3 3 3" xfId="15178"/>
    <cellStyle name="Porcentaje 2 11 3 4" xfId="5098"/>
    <cellStyle name="Porcentaje 2 11 3 4 2" xfId="15180"/>
    <cellStyle name="Porcentaje 2 11 3 5" xfId="15173"/>
    <cellStyle name="Porcentaje 2 11 4" xfId="1481"/>
    <cellStyle name="Porcentaje 2 11 4 2" xfId="2451"/>
    <cellStyle name="Porcentaje 2 11 4 2 2" xfId="4396"/>
    <cellStyle name="Porcentaje 2 11 4 2 2 2" xfId="8249"/>
    <cellStyle name="Porcentaje 2 11 4 2 2 2 2" xfId="15184"/>
    <cellStyle name="Porcentaje 2 11 4 2 2 3" xfId="15183"/>
    <cellStyle name="Porcentaje 2 11 4 2 3" xfId="6311"/>
    <cellStyle name="Porcentaje 2 11 4 2 3 2" xfId="15185"/>
    <cellStyle name="Porcentaje 2 11 4 2 4" xfId="15182"/>
    <cellStyle name="Porcentaje 2 11 4 3" xfId="3435"/>
    <cellStyle name="Porcentaje 2 11 4 3 2" xfId="7293"/>
    <cellStyle name="Porcentaje 2 11 4 3 2 2" xfId="15187"/>
    <cellStyle name="Porcentaje 2 11 4 3 3" xfId="15186"/>
    <cellStyle name="Porcentaje 2 11 4 4" xfId="5355"/>
    <cellStyle name="Porcentaje 2 11 4 4 2" xfId="15188"/>
    <cellStyle name="Porcentaje 2 11 4 5" xfId="15181"/>
    <cellStyle name="Porcentaje 2 11 5" xfId="1727"/>
    <cellStyle name="Porcentaje 2 11 5 2" xfId="2686"/>
    <cellStyle name="Porcentaje 2 11 5 2 2" xfId="4631"/>
    <cellStyle name="Porcentaje 2 11 5 2 2 2" xfId="8484"/>
    <cellStyle name="Porcentaje 2 11 5 2 2 2 2" xfId="15192"/>
    <cellStyle name="Porcentaje 2 11 5 2 2 3" xfId="15191"/>
    <cellStyle name="Porcentaje 2 11 5 2 3" xfId="6546"/>
    <cellStyle name="Porcentaje 2 11 5 2 3 2" xfId="15193"/>
    <cellStyle name="Porcentaje 2 11 5 2 4" xfId="15190"/>
    <cellStyle name="Porcentaje 2 11 5 3" xfId="3674"/>
    <cellStyle name="Porcentaje 2 11 5 3 2" xfId="7528"/>
    <cellStyle name="Porcentaje 2 11 5 3 2 2" xfId="15195"/>
    <cellStyle name="Porcentaje 2 11 5 3 3" xfId="15194"/>
    <cellStyle name="Porcentaje 2 11 5 4" xfId="5590"/>
    <cellStyle name="Porcentaje 2 11 5 4 2" xfId="15196"/>
    <cellStyle name="Porcentaje 2 11 5 5" xfId="15189"/>
    <cellStyle name="Porcentaje 2 11 6" xfId="1962"/>
    <cellStyle name="Porcentaje 2 11 6 2" xfId="3907"/>
    <cellStyle name="Porcentaje 2 11 6 2 2" xfId="7760"/>
    <cellStyle name="Porcentaje 2 11 6 2 2 2" xfId="15199"/>
    <cellStyle name="Porcentaje 2 11 6 2 3" xfId="15198"/>
    <cellStyle name="Porcentaje 2 11 6 3" xfId="5822"/>
    <cellStyle name="Porcentaje 2 11 6 3 2" xfId="15200"/>
    <cellStyle name="Porcentaje 2 11 6 4" xfId="15197"/>
    <cellStyle name="Porcentaje 2 11 7" xfId="2946"/>
    <cellStyle name="Porcentaje 2 11 7 2" xfId="6804"/>
    <cellStyle name="Porcentaje 2 11 7 2 2" xfId="15202"/>
    <cellStyle name="Porcentaje 2 11 7 3" xfId="15201"/>
    <cellStyle name="Porcentaje 2 11 8" xfId="4866"/>
    <cellStyle name="Porcentaje 2 11 8 2" xfId="15203"/>
    <cellStyle name="Porcentaje 2 11 9" xfId="15164"/>
    <cellStyle name="Porcentaje 2 12" xfId="1243"/>
    <cellStyle name="Porcentaje 2 12 2" xfId="1478"/>
    <cellStyle name="Porcentaje 2 12 2 2" xfId="2448"/>
    <cellStyle name="Porcentaje 2 12 2 2 2" xfId="4393"/>
    <cellStyle name="Porcentaje 2 12 2 2 2 2" xfId="8246"/>
    <cellStyle name="Porcentaje 2 12 2 2 2 2 2" xfId="15208"/>
    <cellStyle name="Porcentaje 2 12 2 2 2 3" xfId="15207"/>
    <cellStyle name="Porcentaje 2 12 2 2 3" xfId="6308"/>
    <cellStyle name="Porcentaje 2 12 2 2 3 2" xfId="15209"/>
    <cellStyle name="Porcentaje 2 12 2 2 4" xfId="15206"/>
    <cellStyle name="Porcentaje 2 12 2 3" xfId="3432"/>
    <cellStyle name="Porcentaje 2 12 2 3 2" xfId="7290"/>
    <cellStyle name="Porcentaje 2 12 2 3 2 2" xfId="15211"/>
    <cellStyle name="Porcentaje 2 12 2 3 3" xfId="15210"/>
    <cellStyle name="Porcentaje 2 12 2 4" xfId="5352"/>
    <cellStyle name="Porcentaje 2 12 2 4 2" xfId="15212"/>
    <cellStyle name="Porcentaje 2 12 2 5" xfId="15205"/>
    <cellStyle name="Porcentaje 2 12 3" xfId="2214"/>
    <cellStyle name="Porcentaje 2 12 3 2" xfId="4159"/>
    <cellStyle name="Porcentaje 2 12 3 2 2" xfId="8012"/>
    <cellStyle name="Porcentaje 2 12 3 2 2 2" xfId="15215"/>
    <cellStyle name="Porcentaje 2 12 3 2 3" xfId="15214"/>
    <cellStyle name="Porcentaje 2 12 3 3" xfId="6074"/>
    <cellStyle name="Porcentaje 2 12 3 3 2" xfId="15216"/>
    <cellStyle name="Porcentaje 2 12 3 4" xfId="15213"/>
    <cellStyle name="Porcentaje 2 12 4" xfId="3198"/>
    <cellStyle name="Porcentaje 2 12 4 2" xfId="7056"/>
    <cellStyle name="Porcentaje 2 12 4 2 2" xfId="15218"/>
    <cellStyle name="Porcentaje 2 12 4 3" xfId="15217"/>
    <cellStyle name="Porcentaje 2 12 5" xfId="5118"/>
    <cellStyle name="Porcentaje 2 12 5 2" xfId="15219"/>
    <cellStyle name="Porcentaje 2 12 6" xfId="15204"/>
    <cellStyle name="Porcentaje 2 13" xfId="1031"/>
    <cellStyle name="Porcentaje 2 13 2" xfId="2003"/>
    <cellStyle name="Porcentaje 2 13 2 2" xfId="3948"/>
    <cellStyle name="Porcentaje 2 13 2 2 2" xfId="7801"/>
    <cellStyle name="Porcentaje 2 13 2 2 2 2" xfId="15223"/>
    <cellStyle name="Porcentaje 2 13 2 2 3" xfId="15222"/>
    <cellStyle name="Porcentaje 2 13 2 3" xfId="5863"/>
    <cellStyle name="Porcentaje 2 13 2 3 2" xfId="15224"/>
    <cellStyle name="Porcentaje 2 13 2 4" xfId="15221"/>
    <cellStyle name="Porcentaje 2 13 3" xfId="2987"/>
    <cellStyle name="Porcentaje 2 13 3 2" xfId="6845"/>
    <cellStyle name="Porcentaje 2 13 3 2 2" xfId="15226"/>
    <cellStyle name="Porcentaje 2 13 3 3" xfId="15225"/>
    <cellStyle name="Porcentaje 2 13 4" xfId="4907"/>
    <cellStyle name="Porcentaje 2 13 4 2" xfId="15227"/>
    <cellStyle name="Porcentaje 2 13 5" xfId="15220"/>
    <cellStyle name="Porcentaje 2 14" xfId="1522"/>
    <cellStyle name="Porcentaje 2 14 2" xfId="2488"/>
    <cellStyle name="Porcentaje 2 14 2 2" xfId="4433"/>
    <cellStyle name="Porcentaje 2 14 2 2 2" xfId="8286"/>
    <cellStyle name="Porcentaje 2 14 2 2 2 2" xfId="15231"/>
    <cellStyle name="Porcentaje 2 14 2 2 3" xfId="15230"/>
    <cellStyle name="Porcentaje 2 14 2 3" xfId="6348"/>
    <cellStyle name="Porcentaje 2 14 2 3 2" xfId="15232"/>
    <cellStyle name="Porcentaje 2 14 2 4" xfId="15229"/>
    <cellStyle name="Porcentaje 2 14 3" xfId="3474"/>
    <cellStyle name="Porcentaje 2 14 3 2" xfId="7330"/>
    <cellStyle name="Porcentaje 2 14 3 2 2" xfId="15234"/>
    <cellStyle name="Porcentaje 2 14 3 3" xfId="15233"/>
    <cellStyle name="Porcentaje 2 14 4" xfId="5392"/>
    <cellStyle name="Porcentaje 2 14 4 2" xfId="15235"/>
    <cellStyle name="Porcentaje 2 14 5" xfId="15228"/>
    <cellStyle name="Porcentaje 2 15" xfId="1764"/>
    <cellStyle name="Porcentaje 2 15 2" xfId="3710"/>
    <cellStyle name="Porcentaje 2 15 2 2" xfId="7563"/>
    <cellStyle name="Porcentaje 2 15 2 2 2" xfId="15238"/>
    <cellStyle name="Porcentaje 2 15 2 3" xfId="15237"/>
    <cellStyle name="Porcentaje 2 15 3" xfId="5625"/>
    <cellStyle name="Porcentaje 2 15 3 2" xfId="15239"/>
    <cellStyle name="Porcentaje 2 15 4" xfId="15236"/>
    <cellStyle name="Porcentaje 2 16" xfId="2706"/>
    <cellStyle name="Porcentaje 2 16 2" xfId="6565"/>
    <cellStyle name="Porcentaje 2 16 2 2" xfId="15241"/>
    <cellStyle name="Porcentaje 2 16 3" xfId="15240"/>
    <cellStyle name="Porcentaje 2 17" xfId="2748"/>
    <cellStyle name="Porcentaje 2 17 2" xfId="6607"/>
    <cellStyle name="Porcentaje 2 17 2 2" xfId="15243"/>
    <cellStyle name="Porcentaje 2 17 3" xfId="15242"/>
    <cellStyle name="Porcentaje 2 18" xfId="4675"/>
    <cellStyle name="Porcentaje 2 18 2" xfId="15244"/>
    <cellStyle name="Porcentaje 2 19" xfId="15088"/>
    <cellStyle name="Porcentaje 2 2" xfId="570"/>
    <cellStyle name="Porcentaje 2 2 2" xfId="988"/>
    <cellStyle name="Porcentaje 2 2 2 2" xfId="1369"/>
    <cellStyle name="Porcentaje 2 2 2 2 2" xfId="2340"/>
    <cellStyle name="Porcentaje 2 2 2 2 2 2" xfId="4285"/>
    <cellStyle name="Porcentaje 2 2 2 2 2 2 2" xfId="8138"/>
    <cellStyle name="Porcentaje 2 2 2 2 2 2 2 2" xfId="15250"/>
    <cellStyle name="Porcentaje 2 2 2 2 2 2 3" xfId="15249"/>
    <cellStyle name="Porcentaje 2 2 2 2 2 3" xfId="6200"/>
    <cellStyle name="Porcentaje 2 2 2 2 2 3 2" xfId="15251"/>
    <cellStyle name="Porcentaje 2 2 2 2 2 4" xfId="15248"/>
    <cellStyle name="Porcentaje 2 2 2 2 3" xfId="3324"/>
    <cellStyle name="Porcentaje 2 2 2 2 3 2" xfId="7182"/>
    <cellStyle name="Porcentaje 2 2 2 2 3 2 2" xfId="15253"/>
    <cellStyle name="Porcentaje 2 2 2 2 3 3" xfId="15252"/>
    <cellStyle name="Porcentaje 2 2 2 2 4" xfId="5244"/>
    <cellStyle name="Porcentaje 2 2 2 2 4 2" xfId="15254"/>
    <cellStyle name="Porcentaje 2 2 2 2 5" xfId="15247"/>
    <cellStyle name="Porcentaje 2 2 2 3" xfId="1224"/>
    <cellStyle name="Porcentaje 2 2 2 3 2" xfId="2195"/>
    <cellStyle name="Porcentaje 2 2 2 3 2 2" xfId="4140"/>
    <cellStyle name="Porcentaje 2 2 2 3 2 2 2" xfId="7993"/>
    <cellStyle name="Porcentaje 2 2 2 3 2 2 2 2" xfId="15258"/>
    <cellStyle name="Porcentaje 2 2 2 3 2 2 3" xfId="15257"/>
    <cellStyle name="Porcentaje 2 2 2 3 2 3" xfId="6055"/>
    <cellStyle name="Porcentaje 2 2 2 3 2 3 2" xfId="15259"/>
    <cellStyle name="Porcentaje 2 2 2 3 2 4" xfId="15256"/>
    <cellStyle name="Porcentaje 2 2 2 3 3" xfId="3179"/>
    <cellStyle name="Porcentaje 2 2 2 3 3 2" xfId="7037"/>
    <cellStyle name="Porcentaje 2 2 2 3 3 2 2" xfId="15261"/>
    <cellStyle name="Porcentaje 2 2 2 3 3 3" xfId="15260"/>
    <cellStyle name="Porcentaje 2 2 2 3 4" xfId="5099"/>
    <cellStyle name="Porcentaje 2 2 2 3 4 2" xfId="15262"/>
    <cellStyle name="Porcentaje 2 2 2 3 5" xfId="15255"/>
    <cellStyle name="Porcentaje 2 2 2 4" xfId="1630"/>
    <cellStyle name="Porcentaje 2 2 2 4 2" xfId="2591"/>
    <cellStyle name="Porcentaje 2 2 2 4 2 2" xfId="4536"/>
    <cellStyle name="Porcentaje 2 2 2 4 2 2 2" xfId="8389"/>
    <cellStyle name="Porcentaje 2 2 2 4 2 2 2 2" xfId="15266"/>
    <cellStyle name="Porcentaje 2 2 2 4 2 2 3" xfId="15265"/>
    <cellStyle name="Porcentaje 2 2 2 4 2 3" xfId="6451"/>
    <cellStyle name="Porcentaje 2 2 2 4 2 3 2" xfId="15267"/>
    <cellStyle name="Porcentaje 2 2 2 4 2 4" xfId="15264"/>
    <cellStyle name="Porcentaje 2 2 2 4 3" xfId="3577"/>
    <cellStyle name="Porcentaje 2 2 2 4 3 2" xfId="7433"/>
    <cellStyle name="Porcentaje 2 2 2 4 3 2 2" xfId="15269"/>
    <cellStyle name="Porcentaje 2 2 2 4 3 3" xfId="15268"/>
    <cellStyle name="Porcentaje 2 2 2 4 4" xfId="5495"/>
    <cellStyle name="Porcentaje 2 2 2 4 4 2" xfId="15270"/>
    <cellStyle name="Porcentaje 2 2 2 4 5" xfId="15263"/>
    <cellStyle name="Porcentaje 2 2 2 5" xfId="1963"/>
    <cellStyle name="Porcentaje 2 2 2 5 2" xfId="3908"/>
    <cellStyle name="Porcentaje 2 2 2 5 2 2" xfId="7761"/>
    <cellStyle name="Porcentaje 2 2 2 5 2 2 2" xfId="15273"/>
    <cellStyle name="Porcentaje 2 2 2 5 2 3" xfId="15272"/>
    <cellStyle name="Porcentaje 2 2 2 5 3" xfId="5823"/>
    <cellStyle name="Porcentaje 2 2 2 5 3 2" xfId="15274"/>
    <cellStyle name="Porcentaje 2 2 2 5 4" xfId="15271"/>
    <cellStyle name="Porcentaje 2 2 2 6" xfId="2947"/>
    <cellStyle name="Porcentaje 2 2 2 6 2" xfId="6805"/>
    <cellStyle name="Porcentaje 2 2 2 6 2 2" xfId="15276"/>
    <cellStyle name="Porcentaje 2 2 2 6 3" xfId="15275"/>
    <cellStyle name="Porcentaje 2 2 2 7" xfId="4867"/>
    <cellStyle name="Porcentaje 2 2 2 7 2" xfId="15277"/>
    <cellStyle name="Porcentaje 2 2 2 8" xfId="15246"/>
    <cellStyle name="Porcentaje 2 2 3" xfId="1267"/>
    <cellStyle name="Porcentaje 2 2 3 2" xfId="2238"/>
    <cellStyle name="Porcentaje 2 2 3 2 2" xfId="4183"/>
    <cellStyle name="Porcentaje 2 2 3 2 2 2" xfId="8036"/>
    <cellStyle name="Porcentaje 2 2 3 2 2 2 2" xfId="15281"/>
    <cellStyle name="Porcentaje 2 2 3 2 2 3" xfId="15280"/>
    <cellStyle name="Porcentaje 2 2 3 2 3" xfId="6098"/>
    <cellStyle name="Porcentaje 2 2 3 2 3 2" xfId="15282"/>
    <cellStyle name="Porcentaje 2 2 3 2 4" xfId="15279"/>
    <cellStyle name="Porcentaje 2 2 3 3" xfId="3222"/>
    <cellStyle name="Porcentaje 2 2 3 3 2" xfId="7080"/>
    <cellStyle name="Porcentaje 2 2 3 3 2 2" xfId="15284"/>
    <cellStyle name="Porcentaje 2 2 3 3 3" xfId="15283"/>
    <cellStyle name="Porcentaje 2 2 3 4" xfId="5142"/>
    <cellStyle name="Porcentaje 2 2 3 4 2" xfId="15285"/>
    <cellStyle name="Porcentaje 2 2 3 5" xfId="15278"/>
    <cellStyle name="Porcentaje 2 2 4" xfId="1034"/>
    <cellStyle name="Porcentaje 2 2 4 2" xfId="2006"/>
    <cellStyle name="Porcentaje 2 2 4 2 2" xfId="3951"/>
    <cellStyle name="Porcentaje 2 2 4 2 2 2" xfId="7804"/>
    <cellStyle name="Porcentaje 2 2 4 2 2 2 2" xfId="15289"/>
    <cellStyle name="Porcentaje 2 2 4 2 2 3" xfId="15288"/>
    <cellStyle name="Porcentaje 2 2 4 2 3" xfId="5866"/>
    <cellStyle name="Porcentaje 2 2 4 2 3 2" xfId="15290"/>
    <cellStyle name="Porcentaje 2 2 4 2 4" xfId="15287"/>
    <cellStyle name="Porcentaje 2 2 4 3" xfId="2990"/>
    <cellStyle name="Porcentaje 2 2 4 3 2" xfId="6848"/>
    <cellStyle name="Porcentaje 2 2 4 3 2 2" xfId="15292"/>
    <cellStyle name="Porcentaje 2 2 4 3 3" xfId="15291"/>
    <cellStyle name="Porcentaje 2 2 4 4" xfId="4910"/>
    <cellStyle name="Porcentaje 2 2 4 4 2" xfId="15293"/>
    <cellStyle name="Porcentaje 2 2 4 5" xfId="15286"/>
    <cellStyle name="Porcentaje 2 2 5" xfId="1525"/>
    <cellStyle name="Porcentaje 2 2 5 2" xfId="2491"/>
    <cellStyle name="Porcentaje 2 2 5 2 2" xfId="4436"/>
    <cellStyle name="Porcentaje 2 2 5 2 2 2" xfId="8289"/>
    <cellStyle name="Porcentaje 2 2 5 2 2 2 2" xfId="15297"/>
    <cellStyle name="Porcentaje 2 2 5 2 2 3" xfId="15296"/>
    <cellStyle name="Porcentaje 2 2 5 2 3" xfId="6351"/>
    <cellStyle name="Porcentaje 2 2 5 2 3 2" xfId="15298"/>
    <cellStyle name="Porcentaje 2 2 5 2 4" xfId="15295"/>
    <cellStyle name="Porcentaje 2 2 5 3" xfId="3477"/>
    <cellStyle name="Porcentaje 2 2 5 3 2" xfId="7333"/>
    <cellStyle name="Porcentaje 2 2 5 3 2 2" xfId="15300"/>
    <cellStyle name="Porcentaje 2 2 5 3 3" xfId="15299"/>
    <cellStyle name="Porcentaje 2 2 5 4" xfId="5395"/>
    <cellStyle name="Porcentaje 2 2 5 4 2" xfId="15301"/>
    <cellStyle name="Porcentaje 2 2 5 5" xfId="15294"/>
    <cellStyle name="Porcentaje 2 2 6" xfId="1767"/>
    <cellStyle name="Porcentaje 2 2 6 2" xfId="3713"/>
    <cellStyle name="Porcentaje 2 2 6 2 2" xfId="7566"/>
    <cellStyle name="Porcentaje 2 2 6 2 2 2" xfId="15304"/>
    <cellStyle name="Porcentaje 2 2 6 2 3" xfId="15303"/>
    <cellStyle name="Porcentaje 2 2 6 3" xfId="5628"/>
    <cellStyle name="Porcentaje 2 2 6 3 2" xfId="15305"/>
    <cellStyle name="Porcentaje 2 2 6 4" xfId="15302"/>
    <cellStyle name="Porcentaje 2 2 7" xfId="2751"/>
    <cellStyle name="Porcentaje 2 2 7 2" xfId="6610"/>
    <cellStyle name="Porcentaje 2 2 7 2 2" xfId="15307"/>
    <cellStyle name="Porcentaje 2 2 7 3" xfId="15306"/>
    <cellStyle name="Porcentaje 2 2 8" xfId="4678"/>
    <cellStyle name="Porcentaje 2 2 8 2" xfId="15308"/>
    <cellStyle name="Porcentaje 2 2 9" xfId="15245"/>
    <cellStyle name="Porcentaje 2 3" xfId="576"/>
    <cellStyle name="Porcentaje 2 3 10" xfId="1769"/>
    <cellStyle name="Porcentaje 2 3 10 2" xfId="3715"/>
    <cellStyle name="Porcentaje 2 3 10 2 2" xfId="7568"/>
    <cellStyle name="Porcentaje 2 3 10 2 2 2" xfId="15312"/>
    <cellStyle name="Porcentaje 2 3 10 2 3" xfId="15311"/>
    <cellStyle name="Porcentaje 2 3 10 3" xfId="5630"/>
    <cellStyle name="Porcentaje 2 3 10 3 2" xfId="15313"/>
    <cellStyle name="Porcentaje 2 3 10 4" xfId="15310"/>
    <cellStyle name="Porcentaje 2 3 11" xfId="2753"/>
    <cellStyle name="Porcentaje 2 3 11 2" xfId="6612"/>
    <cellStyle name="Porcentaje 2 3 11 2 2" xfId="15315"/>
    <cellStyle name="Porcentaje 2 3 11 3" xfId="15314"/>
    <cellStyle name="Porcentaje 2 3 12" xfId="4680"/>
    <cellStyle name="Porcentaje 2 3 12 2" xfId="15316"/>
    <cellStyle name="Porcentaje 2 3 13" xfId="15309"/>
    <cellStyle name="Porcentaje 2 3 2" xfId="581"/>
    <cellStyle name="Porcentaje 2 3 2 10" xfId="16318"/>
    <cellStyle name="Porcentaje 2 3 2 2" xfId="989"/>
    <cellStyle name="Porcentaje 2 3 2 2 2" xfId="1375"/>
    <cellStyle name="Porcentaje 2 3 2 2 2 2" xfId="2346"/>
    <cellStyle name="Porcentaje 2 3 2 2 2 2 2" xfId="4291"/>
    <cellStyle name="Porcentaje 2 3 2 2 2 2 2 2" xfId="8144"/>
    <cellStyle name="Porcentaje 2 3 2 2 2 2 2 2 2" xfId="15322"/>
    <cellStyle name="Porcentaje 2 3 2 2 2 2 2 3" xfId="15321"/>
    <cellStyle name="Porcentaje 2 3 2 2 2 2 3" xfId="6206"/>
    <cellStyle name="Porcentaje 2 3 2 2 2 2 3 2" xfId="15323"/>
    <cellStyle name="Porcentaje 2 3 2 2 2 2 4" xfId="15320"/>
    <cellStyle name="Porcentaje 2 3 2 2 2 3" xfId="3330"/>
    <cellStyle name="Porcentaje 2 3 2 2 2 3 2" xfId="7188"/>
    <cellStyle name="Porcentaje 2 3 2 2 2 3 2 2" xfId="15325"/>
    <cellStyle name="Porcentaje 2 3 2 2 2 3 3" xfId="15324"/>
    <cellStyle name="Porcentaje 2 3 2 2 2 4" xfId="5250"/>
    <cellStyle name="Porcentaje 2 3 2 2 2 4 2" xfId="15326"/>
    <cellStyle name="Porcentaje 2 3 2 2 2 5" xfId="15319"/>
    <cellStyle name="Porcentaje 2 3 2 2 3" xfId="1225"/>
    <cellStyle name="Porcentaje 2 3 2 2 3 2" xfId="2196"/>
    <cellStyle name="Porcentaje 2 3 2 2 3 2 2" xfId="4141"/>
    <cellStyle name="Porcentaje 2 3 2 2 3 2 2 2" xfId="7994"/>
    <cellStyle name="Porcentaje 2 3 2 2 3 2 2 2 2" xfId="15330"/>
    <cellStyle name="Porcentaje 2 3 2 2 3 2 2 3" xfId="15329"/>
    <cellStyle name="Porcentaje 2 3 2 2 3 2 3" xfId="6056"/>
    <cellStyle name="Porcentaje 2 3 2 2 3 2 3 2" xfId="15331"/>
    <cellStyle name="Porcentaje 2 3 2 2 3 2 4" xfId="15328"/>
    <cellStyle name="Porcentaje 2 3 2 2 3 3" xfId="3180"/>
    <cellStyle name="Porcentaje 2 3 2 2 3 3 2" xfId="7038"/>
    <cellStyle name="Porcentaje 2 3 2 2 3 3 2 2" xfId="15333"/>
    <cellStyle name="Porcentaje 2 3 2 2 3 3 3" xfId="15332"/>
    <cellStyle name="Porcentaje 2 3 2 2 3 4" xfId="5100"/>
    <cellStyle name="Porcentaje 2 3 2 2 3 4 2" xfId="15334"/>
    <cellStyle name="Porcentaje 2 3 2 2 3 5" xfId="15327"/>
    <cellStyle name="Porcentaje 2 3 2 2 4" xfId="1636"/>
    <cellStyle name="Porcentaje 2 3 2 2 4 2" xfId="2597"/>
    <cellStyle name="Porcentaje 2 3 2 2 4 2 2" xfId="4542"/>
    <cellStyle name="Porcentaje 2 3 2 2 4 2 2 2" xfId="8395"/>
    <cellStyle name="Porcentaje 2 3 2 2 4 2 2 2 2" xfId="15338"/>
    <cellStyle name="Porcentaje 2 3 2 2 4 2 2 3" xfId="15337"/>
    <cellStyle name="Porcentaje 2 3 2 2 4 2 3" xfId="6457"/>
    <cellStyle name="Porcentaje 2 3 2 2 4 2 3 2" xfId="15339"/>
    <cellStyle name="Porcentaje 2 3 2 2 4 2 4" xfId="15336"/>
    <cellStyle name="Porcentaje 2 3 2 2 4 3" xfId="3583"/>
    <cellStyle name="Porcentaje 2 3 2 2 4 3 2" xfId="7439"/>
    <cellStyle name="Porcentaje 2 3 2 2 4 3 2 2" xfId="15341"/>
    <cellStyle name="Porcentaje 2 3 2 2 4 3 3" xfId="15340"/>
    <cellStyle name="Porcentaje 2 3 2 2 4 4" xfId="5501"/>
    <cellStyle name="Porcentaje 2 3 2 2 4 4 2" xfId="15342"/>
    <cellStyle name="Porcentaje 2 3 2 2 4 5" xfId="15335"/>
    <cellStyle name="Porcentaje 2 3 2 2 5" xfId="1964"/>
    <cellStyle name="Porcentaje 2 3 2 2 5 2" xfId="3909"/>
    <cellStyle name="Porcentaje 2 3 2 2 5 2 2" xfId="7762"/>
    <cellStyle name="Porcentaje 2 3 2 2 5 2 2 2" xfId="15345"/>
    <cellStyle name="Porcentaje 2 3 2 2 5 2 3" xfId="15344"/>
    <cellStyle name="Porcentaje 2 3 2 2 5 3" xfId="5824"/>
    <cellStyle name="Porcentaje 2 3 2 2 5 3 2" xfId="15346"/>
    <cellStyle name="Porcentaje 2 3 2 2 5 4" xfId="15343"/>
    <cellStyle name="Porcentaje 2 3 2 2 6" xfId="2948"/>
    <cellStyle name="Porcentaje 2 3 2 2 6 2" xfId="6806"/>
    <cellStyle name="Porcentaje 2 3 2 2 6 2 2" xfId="15348"/>
    <cellStyle name="Porcentaje 2 3 2 2 6 3" xfId="15347"/>
    <cellStyle name="Porcentaje 2 3 2 2 7" xfId="4868"/>
    <cellStyle name="Porcentaje 2 3 2 2 7 2" xfId="15349"/>
    <cellStyle name="Porcentaje 2 3 2 2 8" xfId="15318"/>
    <cellStyle name="Porcentaje 2 3 2 3" xfId="1273"/>
    <cellStyle name="Porcentaje 2 3 2 3 2" xfId="2244"/>
    <cellStyle name="Porcentaje 2 3 2 3 2 2" xfId="4189"/>
    <cellStyle name="Porcentaje 2 3 2 3 2 2 2" xfId="8042"/>
    <cellStyle name="Porcentaje 2 3 2 3 2 2 2 2" xfId="15353"/>
    <cellStyle name="Porcentaje 2 3 2 3 2 2 3" xfId="15352"/>
    <cellStyle name="Porcentaje 2 3 2 3 2 3" xfId="6104"/>
    <cellStyle name="Porcentaje 2 3 2 3 2 3 2" xfId="15354"/>
    <cellStyle name="Porcentaje 2 3 2 3 2 4" xfId="15351"/>
    <cellStyle name="Porcentaje 2 3 2 3 3" xfId="3228"/>
    <cellStyle name="Porcentaje 2 3 2 3 3 2" xfId="7086"/>
    <cellStyle name="Porcentaje 2 3 2 3 3 2 2" xfId="15356"/>
    <cellStyle name="Porcentaje 2 3 2 3 3 3" xfId="15355"/>
    <cellStyle name="Porcentaje 2 3 2 3 4" xfId="5148"/>
    <cellStyle name="Porcentaje 2 3 2 3 4 2" xfId="15357"/>
    <cellStyle name="Porcentaje 2 3 2 3 5" xfId="15350"/>
    <cellStyle name="Porcentaje 2 3 2 4" xfId="1040"/>
    <cellStyle name="Porcentaje 2 3 2 4 2" xfId="2012"/>
    <cellStyle name="Porcentaje 2 3 2 4 2 2" xfId="3957"/>
    <cellStyle name="Porcentaje 2 3 2 4 2 2 2" xfId="7810"/>
    <cellStyle name="Porcentaje 2 3 2 4 2 2 2 2" xfId="15361"/>
    <cellStyle name="Porcentaje 2 3 2 4 2 2 3" xfId="15360"/>
    <cellStyle name="Porcentaje 2 3 2 4 2 3" xfId="5872"/>
    <cellStyle name="Porcentaje 2 3 2 4 2 3 2" xfId="15362"/>
    <cellStyle name="Porcentaje 2 3 2 4 2 4" xfId="15359"/>
    <cellStyle name="Porcentaje 2 3 2 4 3" xfId="2996"/>
    <cellStyle name="Porcentaje 2 3 2 4 3 2" xfId="6854"/>
    <cellStyle name="Porcentaje 2 3 2 4 3 2 2" xfId="15364"/>
    <cellStyle name="Porcentaje 2 3 2 4 3 3" xfId="15363"/>
    <cellStyle name="Porcentaje 2 3 2 4 4" xfId="4916"/>
    <cellStyle name="Porcentaje 2 3 2 4 4 2" xfId="15365"/>
    <cellStyle name="Porcentaje 2 3 2 4 5" xfId="15358"/>
    <cellStyle name="Porcentaje 2 3 2 5" xfId="1531"/>
    <cellStyle name="Porcentaje 2 3 2 5 2" xfId="2497"/>
    <cellStyle name="Porcentaje 2 3 2 5 2 2" xfId="4442"/>
    <cellStyle name="Porcentaje 2 3 2 5 2 2 2" xfId="8295"/>
    <cellStyle name="Porcentaje 2 3 2 5 2 2 2 2" xfId="15369"/>
    <cellStyle name="Porcentaje 2 3 2 5 2 2 3" xfId="15368"/>
    <cellStyle name="Porcentaje 2 3 2 5 2 3" xfId="6357"/>
    <cellStyle name="Porcentaje 2 3 2 5 2 3 2" xfId="15370"/>
    <cellStyle name="Porcentaje 2 3 2 5 2 4" xfId="15367"/>
    <cellStyle name="Porcentaje 2 3 2 5 3" xfId="3483"/>
    <cellStyle name="Porcentaje 2 3 2 5 3 2" xfId="7339"/>
    <cellStyle name="Porcentaje 2 3 2 5 3 2 2" xfId="15372"/>
    <cellStyle name="Porcentaje 2 3 2 5 3 3" xfId="15371"/>
    <cellStyle name="Porcentaje 2 3 2 5 4" xfId="5401"/>
    <cellStyle name="Porcentaje 2 3 2 5 4 2" xfId="15373"/>
    <cellStyle name="Porcentaje 2 3 2 5 5" xfId="15366"/>
    <cellStyle name="Porcentaje 2 3 2 6" xfId="1773"/>
    <cellStyle name="Porcentaje 2 3 2 6 2" xfId="3719"/>
    <cellStyle name="Porcentaje 2 3 2 6 2 2" xfId="7572"/>
    <cellStyle name="Porcentaje 2 3 2 6 2 2 2" xfId="15376"/>
    <cellStyle name="Porcentaje 2 3 2 6 2 3" xfId="15375"/>
    <cellStyle name="Porcentaje 2 3 2 6 3" xfId="5634"/>
    <cellStyle name="Porcentaje 2 3 2 6 3 2" xfId="15377"/>
    <cellStyle name="Porcentaje 2 3 2 6 4" xfId="15374"/>
    <cellStyle name="Porcentaje 2 3 2 7" xfId="2757"/>
    <cellStyle name="Porcentaje 2 3 2 7 2" xfId="6616"/>
    <cellStyle name="Porcentaje 2 3 2 7 2 2" xfId="15379"/>
    <cellStyle name="Porcentaje 2 3 2 7 3" xfId="15378"/>
    <cellStyle name="Porcentaje 2 3 2 8" xfId="4684"/>
    <cellStyle name="Porcentaje 2 3 2 8 2" xfId="15380"/>
    <cellStyle name="Porcentaje 2 3 2 9" xfId="15317"/>
    <cellStyle name="Porcentaje 2 3 3" xfId="586"/>
    <cellStyle name="Porcentaje 2 3 3 2" xfId="990"/>
    <cellStyle name="Porcentaje 2 3 3 2 2" xfId="1380"/>
    <cellStyle name="Porcentaje 2 3 3 2 2 2" xfId="2351"/>
    <cellStyle name="Porcentaje 2 3 3 2 2 2 2" xfId="4296"/>
    <cellStyle name="Porcentaje 2 3 3 2 2 2 2 2" xfId="8149"/>
    <cellStyle name="Porcentaje 2 3 3 2 2 2 2 2 2" xfId="15386"/>
    <cellStyle name="Porcentaje 2 3 3 2 2 2 2 3" xfId="15385"/>
    <cellStyle name="Porcentaje 2 3 3 2 2 2 3" xfId="6211"/>
    <cellStyle name="Porcentaje 2 3 3 2 2 2 3 2" xfId="15387"/>
    <cellStyle name="Porcentaje 2 3 3 2 2 2 4" xfId="15384"/>
    <cellStyle name="Porcentaje 2 3 3 2 2 3" xfId="3335"/>
    <cellStyle name="Porcentaje 2 3 3 2 2 3 2" xfId="7193"/>
    <cellStyle name="Porcentaje 2 3 3 2 2 3 2 2" xfId="15389"/>
    <cellStyle name="Porcentaje 2 3 3 2 2 3 3" xfId="15388"/>
    <cellStyle name="Porcentaje 2 3 3 2 2 4" xfId="5255"/>
    <cellStyle name="Porcentaje 2 3 3 2 2 4 2" xfId="15390"/>
    <cellStyle name="Porcentaje 2 3 3 2 2 5" xfId="15383"/>
    <cellStyle name="Porcentaje 2 3 3 2 3" xfId="1226"/>
    <cellStyle name="Porcentaje 2 3 3 2 3 2" xfId="2197"/>
    <cellStyle name="Porcentaje 2 3 3 2 3 2 2" xfId="4142"/>
    <cellStyle name="Porcentaje 2 3 3 2 3 2 2 2" xfId="7995"/>
    <cellStyle name="Porcentaje 2 3 3 2 3 2 2 2 2" xfId="15394"/>
    <cellStyle name="Porcentaje 2 3 3 2 3 2 2 3" xfId="15393"/>
    <cellStyle name="Porcentaje 2 3 3 2 3 2 3" xfId="6057"/>
    <cellStyle name="Porcentaje 2 3 3 2 3 2 3 2" xfId="15395"/>
    <cellStyle name="Porcentaje 2 3 3 2 3 2 4" xfId="15392"/>
    <cellStyle name="Porcentaje 2 3 3 2 3 3" xfId="3181"/>
    <cellStyle name="Porcentaje 2 3 3 2 3 3 2" xfId="7039"/>
    <cellStyle name="Porcentaje 2 3 3 2 3 3 2 2" xfId="15397"/>
    <cellStyle name="Porcentaje 2 3 3 2 3 3 3" xfId="15396"/>
    <cellStyle name="Porcentaje 2 3 3 2 3 4" xfId="5101"/>
    <cellStyle name="Porcentaje 2 3 3 2 3 4 2" xfId="15398"/>
    <cellStyle name="Porcentaje 2 3 3 2 3 5" xfId="15391"/>
    <cellStyle name="Porcentaje 2 3 3 2 4" xfId="1641"/>
    <cellStyle name="Porcentaje 2 3 3 2 4 2" xfId="2602"/>
    <cellStyle name="Porcentaje 2 3 3 2 4 2 2" xfId="4547"/>
    <cellStyle name="Porcentaje 2 3 3 2 4 2 2 2" xfId="8400"/>
    <cellStyle name="Porcentaje 2 3 3 2 4 2 2 2 2" xfId="15402"/>
    <cellStyle name="Porcentaje 2 3 3 2 4 2 2 3" xfId="15401"/>
    <cellStyle name="Porcentaje 2 3 3 2 4 2 3" xfId="6462"/>
    <cellStyle name="Porcentaje 2 3 3 2 4 2 3 2" xfId="15403"/>
    <cellStyle name="Porcentaje 2 3 3 2 4 2 4" xfId="15400"/>
    <cellStyle name="Porcentaje 2 3 3 2 4 3" xfId="3588"/>
    <cellStyle name="Porcentaje 2 3 3 2 4 3 2" xfId="7444"/>
    <cellStyle name="Porcentaje 2 3 3 2 4 3 2 2" xfId="15405"/>
    <cellStyle name="Porcentaje 2 3 3 2 4 3 3" xfId="15404"/>
    <cellStyle name="Porcentaje 2 3 3 2 4 4" xfId="5506"/>
    <cellStyle name="Porcentaje 2 3 3 2 4 4 2" xfId="15406"/>
    <cellStyle name="Porcentaje 2 3 3 2 4 5" xfId="15399"/>
    <cellStyle name="Porcentaje 2 3 3 2 5" xfId="1965"/>
    <cellStyle name="Porcentaje 2 3 3 2 5 2" xfId="3910"/>
    <cellStyle name="Porcentaje 2 3 3 2 5 2 2" xfId="7763"/>
    <cellStyle name="Porcentaje 2 3 3 2 5 2 2 2" xfId="15409"/>
    <cellStyle name="Porcentaje 2 3 3 2 5 2 3" xfId="15408"/>
    <cellStyle name="Porcentaje 2 3 3 2 5 3" xfId="5825"/>
    <cellStyle name="Porcentaje 2 3 3 2 5 3 2" xfId="15410"/>
    <cellStyle name="Porcentaje 2 3 3 2 5 4" xfId="15407"/>
    <cellStyle name="Porcentaje 2 3 3 2 6" xfId="2949"/>
    <cellStyle name="Porcentaje 2 3 3 2 6 2" xfId="6807"/>
    <cellStyle name="Porcentaje 2 3 3 2 6 2 2" xfId="15412"/>
    <cellStyle name="Porcentaje 2 3 3 2 6 3" xfId="15411"/>
    <cellStyle name="Porcentaje 2 3 3 2 7" xfId="4869"/>
    <cellStyle name="Porcentaje 2 3 3 2 7 2" xfId="15413"/>
    <cellStyle name="Porcentaje 2 3 3 2 8" xfId="15382"/>
    <cellStyle name="Porcentaje 2 3 3 3" xfId="1278"/>
    <cellStyle name="Porcentaje 2 3 3 3 2" xfId="2249"/>
    <cellStyle name="Porcentaje 2 3 3 3 2 2" xfId="4194"/>
    <cellStyle name="Porcentaje 2 3 3 3 2 2 2" xfId="8047"/>
    <cellStyle name="Porcentaje 2 3 3 3 2 2 2 2" xfId="15417"/>
    <cellStyle name="Porcentaje 2 3 3 3 2 2 3" xfId="15416"/>
    <cellStyle name="Porcentaje 2 3 3 3 2 3" xfId="6109"/>
    <cellStyle name="Porcentaje 2 3 3 3 2 3 2" xfId="15418"/>
    <cellStyle name="Porcentaje 2 3 3 3 2 4" xfId="15415"/>
    <cellStyle name="Porcentaje 2 3 3 3 3" xfId="3233"/>
    <cellStyle name="Porcentaje 2 3 3 3 3 2" xfId="7091"/>
    <cellStyle name="Porcentaje 2 3 3 3 3 2 2" xfId="15420"/>
    <cellStyle name="Porcentaje 2 3 3 3 3 3" xfId="15419"/>
    <cellStyle name="Porcentaje 2 3 3 3 4" xfId="5153"/>
    <cellStyle name="Porcentaje 2 3 3 3 4 2" xfId="15421"/>
    <cellStyle name="Porcentaje 2 3 3 3 5" xfId="15414"/>
    <cellStyle name="Porcentaje 2 3 3 4" xfId="1045"/>
    <cellStyle name="Porcentaje 2 3 3 4 2" xfId="2017"/>
    <cellStyle name="Porcentaje 2 3 3 4 2 2" xfId="3962"/>
    <cellStyle name="Porcentaje 2 3 3 4 2 2 2" xfId="7815"/>
    <cellStyle name="Porcentaje 2 3 3 4 2 2 2 2" xfId="15425"/>
    <cellStyle name="Porcentaje 2 3 3 4 2 2 3" xfId="15424"/>
    <cellStyle name="Porcentaje 2 3 3 4 2 3" xfId="5877"/>
    <cellStyle name="Porcentaje 2 3 3 4 2 3 2" xfId="15426"/>
    <cellStyle name="Porcentaje 2 3 3 4 2 4" xfId="15423"/>
    <cellStyle name="Porcentaje 2 3 3 4 3" xfId="3001"/>
    <cellStyle name="Porcentaje 2 3 3 4 3 2" xfId="6859"/>
    <cellStyle name="Porcentaje 2 3 3 4 3 2 2" xfId="15428"/>
    <cellStyle name="Porcentaje 2 3 3 4 3 3" xfId="15427"/>
    <cellStyle name="Porcentaje 2 3 3 4 4" xfId="4921"/>
    <cellStyle name="Porcentaje 2 3 3 4 4 2" xfId="15429"/>
    <cellStyle name="Porcentaje 2 3 3 4 5" xfId="15422"/>
    <cellStyle name="Porcentaje 2 3 3 5" xfId="1577"/>
    <cellStyle name="Porcentaje 2 3 3 5 2" xfId="2539"/>
    <cellStyle name="Porcentaje 2 3 3 5 2 2" xfId="4484"/>
    <cellStyle name="Porcentaje 2 3 3 5 2 2 2" xfId="8337"/>
    <cellStyle name="Porcentaje 2 3 3 5 2 2 2 2" xfId="15433"/>
    <cellStyle name="Porcentaje 2 3 3 5 2 2 3" xfId="15432"/>
    <cellStyle name="Porcentaje 2 3 3 5 2 3" xfId="6399"/>
    <cellStyle name="Porcentaje 2 3 3 5 2 3 2" xfId="15434"/>
    <cellStyle name="Porcentaje 2 3 3 5 2 4" xfId="15431"/>
    <cellStyle name="Porcentaje 2 3 3 5 3" xfId="3525"/>
    <cellStyle name="Porcentaje 2 3 3 5 3 2" xfId="7381"/>
    <cellStyle name="Porcentaje 2 3 3 5 3 2 2" xfId="15436"/>
    <cellStyle name="Porcentaje 2 3 3 5 3 3" xfId="15435"/>
    <cellStyle name="Porcentaje 2 3 3 5 4" xfId="5443"/>
    <cellStyle name="Porcentaje 2 3 3 5 4 2" xfId="15437"/>
    <cellStyle name="Porcentaje 2 3 3 5 5" xfId="15430"/>
    <cellStyle name="Porcentaje 2 3 3 6" xfId="1778"/>
    <cellStyle name="Porcentaje 2 3 3 6 2" xfId="3724"/>
    <cellStyle name="Porcentaje 2 3 3 6 2 2" xfId="7577"/>
    <cellStyle name="Porcentaje 2 3 3 6 2 2 2" xfId="15440"/>
    <cellStyle name="Porcentaje 2 3 3 6 2 3" xfId="15439"/>
    <cellStyle name="Porcentaje 2 3 3 6 3" xfId="5639"/>
    <cellStyle name="Porcentaje 2 3 3 6 3 2" xfId="15441"/>
    <cellStyle name="Porcentaje 2 3 3 6 4" xfId="15438"/>
    <cellStyle name="Porcentaje 2 3 3 7" xfId="2762"/>
    <cellStyle name="Porcentaje 2 3 3 7 2" xfId="6621"/>
    <cellStyle name="Porcentaje 2 3 3 7 2 2" xfId="15443"/>
    <cellStyle name="Porcentaje 2 3 3 7 3" xfId="15442"/>
    <cellStyle name="Porcentaje 2 3 3 8" xfId="4689"/>
    <cellStyle name="Porcentaje 2 3 3 8 2" xfId="15444"/>
    <cellStyle name="Porcentaje 2 3 3 9" xfId="15381"/>
    <cellStyle name="Porcentaje 2 3 4" xfId="593"/>
    <cellStyle name="Porcentaje 2 3 4 2" xfId="991"/>
    <cellStyle name="Porcentaje 2 3 4 2 2" xfId="1385"/>
    <cellStyle name="Porcentaje 2 3 4 2 2 2" xfId="2356"/>
    <cellStyle name="Porcentaje 2 3 4 2 2 2 2" xfId="4301"/>
    <cellStyle name="Porcentaje 2 3 4 2 2 2 2 2" xfId="8154"/>
    <cellStyle name="Porcentaje 2 3 4 2 2 2 2 2 2" xfId="15450"/>
    <cellStyle name="Porcentaje 2 3 4 2 2 2 2 3" xfId="15449"/>
    <cellStyle name="Porcentaje 2 3 4 2 2 2 3" xfId="6216"/>
    <cellStyle name="Porcentaje 2 3 4 2 2 2 3 2" xfId="15451"/>
    <cellStyle name="Porcentaje 2 3 4 2 2 2 4" xfId="15448"/>
    <cellStyle name="Porcentaje 2 3 4 2 2 3" xfId="3340"/>
    <cellStyle name="Porcentaje 2 3 4 2 2 3 2" xfId="7198"/>
    <cellStyle name="Porcentaje 2 3 4 2 2 3 2 2" xfId="15453"/>
    <cellStyle name="Porcentaje 2 3 4 2 2 3 3" xfId="15452"/>
    <cellStyle name="Porcentaje 2 3 4 2 2 4" xfId="5260"/>
    <cellStyle name="Porcentaje 2 3 4 2 2 4 2" xfId="15454"/>
    <cellStyle name="Porcentaje 2 3 4 2 2 5" xfId="15447"/>
    <cellStyle name="Porcentaje 2 3 4 2 3" xfId="1227"/>
    <cellStyle name="Porcentaje 2 3 4 2 3 2" xfId="2198"/>
    <cellStyle name="Porcentaje 2 3 4 2 3 2 2" xfId="4143"/>
    <cellStyle name="Porcentaje 2 3 4 2 3 2 2 2" xfId="7996"/>
    <cellStyle name="Porcentaje 2 3 4 2 3 2 2 2 2" xfId="15458"/>
    <cellStyle name="Porcentaje 2 3 4 2 3 2 2 3" xfId="15457"/>
    <cellStyle name="Porcentaje 2 3 4 2 3 2 3" xfId="6058"/>
    <cellStyle name="Porcentaje 2 3 4 2 3 2 3 2" xfId="15459"/>
    <cellStyle name="Porcentaje 2 3 4 2 3 2 4" xfId="15456"/>
    <cellStyle name="Porcentaje 2 3 4 2 3 3" xfId="3182"/>
    <cellStyle name="Porcentaje 2 3 4 2 3 3 2" xfId="7040"/>
    <cellStyle name="Porcentaje 2 3 4 2 3 3 2 2" xfId="15461"/>
    <cellStyle name="Porcentaje 2 3 4 2 3 3 3" xfId="15460"/>
    <cellStyle name="Porcentaje 2 3 4 2 3 4" xfId="5102"/>
    <cellStyle name="Porcentaje 2 3 4 2 3 4 2" xfId="15462"/>
    <cellStyle name="Porcentaje 2 3 4 2 3 5" xfId="15455"/>
    <cellStyle name="Porcentaje 2 3 4 2 4" xfId="1646"/>
    <cellStyle name="Porcentaje 2 3 4 2 4 2" xfId="2607"/>
    <cellStyle name="Porcentaje 2 3 4 2 4 2 2" xfId="4552"/>
    <cellStyle name="Porcentaje 2 3 4 2 4 2 2 2" xfId="8405"/>
    <cellStyle name="Porcentaje 2 3 4 2 4 2 2 2 2" xfId="15466"/>
    <cellStyle name="Porcentaje 2 3 4 2 4 2 2 3" xfId="15465"/>
    <cellStyle name="Porcentaje 2 3 4 2 4 2 3" xfId="6467"/>
    <cellStyle name="Porcentaje 2 3 4 2 4 2 3 2" xfId="15467"/>
    <cellStyle name="Porcentaje 2 3 4 2 4 2 4" xfId="15464"/>
    <cellStyle name="Porcentaje 2 3 4 2 4 3" xfId="3593"/>
    <cellStyle name="Porcentaje 2 3 4 2 4 3 2" xfId="7449"/>
    <cellStyle name="Porcentaje 2 3 4 2 4 3 2 2" xfId="15469"/>
    <cellStyle name="Porcentaje 2 3 4 2 4 3 3" xfId="15468"/>
    <cellStyle name="Porcentaje 2 3 4 2 4 4" xfId="5511"/>
    <cellStyle name="Porcentaje 2 3 4 2 4 4 2" xfId="15470"/>
    <cellStyle name="Porcentaje 2 3 4 2 4 5" xfId="15463"/>
    <cellStyle name="Porcentaje 2 3 4 2 5" xfId="1966"/>
    <cellStyle name="Porcentaje 2 3 4 2 5 2" xfId="3911"/>
    <cellStyle name="Porcentaje 2 3 4 2 5 2 2" xfId="7764"/>
    <cellStyle name="Porcentaje 2 3 4 2 5 2 2 2" xfId="15473"/>
    <cellStyle name="Porcentaje 2 3 4 2 5 2 3" xfId="15472"/>
    <cellStyle name="Porcentaje 2 3 4 2 5 3" xfId="5826"/>
    <cellStyle name="Porcentaje 2 3 4 2 5 3 2" xfId="15474"/>
    <cellStyle name="Porcentaje 2 3 4 2 5 4" xfId="15471"/>
    <cellStyle name="Porcentaje 2 3 4 2 6" xfId="2950"/>
    <cellStyle name="Porcentaje 2 3 4 2 6 2" xfId="6808"/>
    <cellStyle name="Porcentaje 2 3 4 2 6 2 2" xfId="15476"/>
    <cellStyle name="Porcentaje 2 3 4 2 6 3" xfId="15475"/>
    <cellStyle name="Porcentaje 2 3 4 2 7" xfId="4870"/>
    <cellStyle name="Porcentaje 2 3 4 2 7 2" xfId="15477"/>
    <cellStyle name="Porcentaje 2 3 4 2 8" xfId="15446"/>
    <cellStyle name="Porcentaje 2 3 4 3" xfId="1284"/>
    <cellStyle name="Porcentaje 2 3 4 3 2" xfId="2255"/>
    <cellStyle name="Porcentaje 2 3 4 3 2 2" xfId="4200"/>
    <cellStyle name="Porcentaje 2 3 4 3 2 2 2" xfId="8053"/>
    <cellStyle name="Porcentaje 2 3 4 3 2 2 2 2" xfId="15481"/>
    <cellStyle name="Porcentaje 2 3 4 3 2 2 3" xfId="15480"/>
    <cellStyle name="Porcentaje 2 3 4 3 2 3" xfId="6115"/>
    <cellStyle name="Porcentaje 2 3 4 3 2 3 2" xfId="15482"/>
    <cellStyle name="Porcentaje 2 3 4 3 2 4" xfId="15479"/>
    <cellStyle name="Porcentaje 2 3 4 3 3" xfId="3239"/>
    <cellStyle name="Porcentaje 2 3 4 3 3 2" xfId="7097"/>
    <cellStyle name="Porcentaje 2 3 4 3 3 2 2" xfId="15484"/>
    <cellStyle name="Porcentaje 2 3 4 3 3 3" xfId="15483"/>
    <cellStyle name="Porcentaje 2 3 4 3 4" xfId="5159"/>
    <cellStyle name="Porcentaje 2 3 4 3 4 2" xfId="15485"/>
    <cellStyle name="Porcentaje 2 3 4 3 5" xfId="15478"/>
    <cellStyle name="Porcentaje 2 3 4 4" xfId="1051"/>
    <cellStyle name="Porcentaje 2 3 4 4 2" xfId="2023"/>
    <cellStyle name="Porcentaje 2 3 4 4 2 2" xfId="3968"/>
    <cellStyle name="Porcentaje 2 3 4 4 2 2 2" xfId="7821"/>
    <cellStyle name="Porcentaje 2 3 4 4 2 2 2 2" xfId="15489"/>
    <cellStyle name="Porcentaje 2 3 4 4 2 2 3" xfId="15488"/>
    <cellStyle name="Porcentaje 2 3 4 4 2 3" xfId="5883"/>
    <cellStyle name="Porcentaje 2 3 4 4 2 3 2" xfId="15490"/>
    <cellStyle name="Porcentaje 2 3 4 4 2 4" xfId="15487"/>
    <cellStyle name="Porcentaje 2 3 4 4 3" xfId="3007"/>
    <cellStyle name="Porcentaje 2 3 4 4 3 2" xfId="6865"/>
    <cellStyle name="Porcentaje 2 3 4 4 3 2 2" xfId="15492"/>
    <cellStyle name="Porcentaje 2 3 4 4 3 3" xfId="15491"/>
    <cellStyle name="Porcentaje 2 3 4 4 4" xfId="4927"/>
    <cellStyle name="Porcentaje 2 3 4 4 4 2" xfId="15493"/>
    <cellStyle name="Porcentaje 2 3 4 4 5" xfId="15486"/>
    <cellStyle name="Porcentaje 2 3 4 5" xfId="1566"/>
    <cellStyle name="Porcentaje 2 3 4 5 2" xfId="2530"/>
    <cellStyle name="Porcentaje 2 3 4 5 2 2" xfId="4475"/>
    <cellStyle name="Porcentaje 2 3 4 5 2 2 2" xfId="8328"/>
    <cellStyle name="Porcentaje 2 3 4 5 2 2 2 2" xfId="15497"/>
    <cellStyle name="Porcentaje 2 3 4 5 2 2 3" xfId="15496"/>
    <cellStyle name="Porcentaje 2 3 4 5 2 3" xfId="6390"/>
    <cellStyle name="Porcentaje 2 3 4 5 2 3 2" xfId="15498"/>
    <cellStyle name="Porcentaje 2 3 4 5 2 4" xfId="15495"/>
    <cellStyle name="Porcentaje 2 3 4 5 3" xfId="3516"/>
    <cellStyle name="Porcentaje 2 3 4 5 3 2" xfId="7372"/>
    <cellStyle name="Porcentaje 2 3 4 5 3 2 2" xfId="15500"/>
    <cellStyle name="Porcentaje 2 3 4 5 3 3" xfId="15499"/>
    <cellStyle name="Porcentaje 2 3 4 5 4" xfId="5434"/>
    <cellStyle name="Porcentaje 2 3 4 5 4 2" xfId="15501"/>
    <cellStyle name="Porcentaje 2 3 4 5 5" xfId="15494"/>
    <cellStyle name="Porcentaje 2 3 4 6" xfId="1784"/>
    <cellStyle name="Porcentaje 2 3 4 6 2" xfId="3730"/>
    <cellStyle name="Porcentaje 2 3 4 6 2 2" xfId="7583"/>
    <cellStyle name="Porcentaje 2 3 4 6 2 2 2" xfId="15504"/>
    <cellStyle name="Porcentaje 2 3 4 6 2 3" xfId="15503"/>
    <cellStyle name="Porcentaje 2 3 4 6 3" xfId="5645"/>
    <cellStyle name="Porcentaje 2 3 4 6 3 2" xfId="15505"/>
    <cellStyle name="Porcentaje 2 3 4 6 4" xfId="15502"/>
    <cellStyle name="Porcentaje 2 3 4 7" xfId="2768"/>
    <cellStyle name="Porcentaje 2 3 4 7 2" xfId="6627"/>
    <cellStyle name="Porcentaje 2 3 4 7 2 2" xfId="15507"/>
    <cellStyle name="Porcentaje 2 3 4 7 3" xfId="15506"/>
    <cellStyle name="Porcentaje 2 3 4 8" xfId="4695"/>
    <cellStyle name="Porcentaje 2 3 4 8 2" xfId="15508"/>
    <cellStyle name="Porcentaje 2 3 4 9" xfId="15445"/>
    <cellStyle name="Porcentaje 2 3 5" xfId="594"/>
    <cellStyle name="Porcentaje 2 3 5 10" xfId="15509"/>
    <cellStyle name="Porcentaje 2 3 5 2" xfId="835"/>
    <cellStyle name="Porcentaje 2 3 5 2 2" xfId="871"/>
    <cellStyle name="Porcentaje 2 3 5 2 2 2" xfId="992"/>
    <cellStyle name="Porcentaje 2 3 5 2 2 2 2" xfId="1451"/>
    <cellStyle name="Porcentaje 2 3 5 2 2 2 2 2" xfId="2422"/>
    <cellStyle name="Porcentaje 2 3 5 2 2 2 2 2 2" xfId="4367"/>
    <cellStyle name="Porcentaje 2 3 5 2 2 2 2 2 2 2" xfId="8220"/>
    <cellStyle name="Porcentaje 2 3 5 2 2 2 2 2 2 2 2" xfId="15516"/>
    <cellStyle name="Porcentaje 2 3 5 2 2 2 2 2 2 3" xfId="15515"/>
    <cellStyle name="Porcentaje 2 3 5 2 2 2 2 2 3" xfId="6282"/>
    <cellStyle name="Porcentaje 2 3 5 2 2 2 2 2 3 2" xfId="15517"/>
    <cellStyle name="Porcentaje 2 3 5 2 2 2 2 2 4" xfId="15514"/>
    <cellStyle name="Porcentaje 2 3 5 2 2 2 2 3" xfId="3406"/>
    <cellStyle name="Porcentaje 2 3 5 2 2 2 2 3 2" xfId="7264"/>
    <cellStyle name="Porcentaje 2 3 5 2 2 2 2 3 2 2" xfId="15519"/>
    <cellStyle name="Porcentaje 2 3 5 2 2 2 2 3 3" xfId="15518"/>
    <cellStyle name="Porcentaje 2 3 5 2 2 2 2 4" xfId="5326"/>
    <cellStyle name="Porcentaje 2 3 5 2 2 2 2 4 2" xfId="15520"/>
    <cellStyle name="Porcentaje 2 3 5 2 2 2 2 5" xfId="15513"/>
    <cellStyle name="Porcentaje 2 3 5 2 2 2 3" xfId="1228"/>
    <cellStyle name="Porcentaje 2 3 5 2 2 2 3 2" xfId="2199"/>
    <cellStyle name="Porcentaje 2 3 5 2 2 2 3 2 2" xfId="4144"/>
    <cellStyle name="Porcentaje 2 3 5 2 2 2 3 2 2 2" xfId="7997"/>
    <cellStyle name="Porcentaje 2 3 5 2 2 2 3 2 2 2 2" xfId="15524"/>
    <cellStyle name="Porcentaje 2 3 5 2 2 2 3 2 2 3" xfId="15523"/>
    <cellStyle name="Porcentaje 2 3 5 2 2 2 3 2 3" xfId="6059"/>
    <cellStyle name="Porcentaje 2 3 5 2 2 2 3 2 3 2" xfId="15525"/>
    <cellStyle name="Porcentaje 2 3 5 2 2 2 3 2 4" xfId="15522"/>
    <cellStyle name="Porcentaje 2 3 5 2 2 2 3 3" xfId="3183"/>
    <cellStyle name="Porcentaje 2 3 5 2 2 2 3 3 2" xfId="7041"/>
    <cellStyle name="Porcentaje 2 3 5 2 2 2 3 3 2 2" xfId="15527"/>
    <cellStyle name="Porcentaje 2 3 5 2 2 2 3 3 3" xfId="15526"/>
    <cellStyle name="Porcentaje 2 3 5 2 2 2 3 4" xfId="5103"/>
    <cellStyle name="Porcentaje 2 3 5 2 2 2 3 4 2" xfId="15528"/>
    <cellStyle name="Porcentaje 2 3 5 2 2 2 3 5" xfId="15521"/>
    <cellStyle name="Porcentaje 2 3 5 2 2 2 4" xfId="1712"/>
    <cellStyle name="Porcentaje 2 3 5 2 2 2 4 2" xfId="2673"/>
    <cellStyle name="Porcentaje 2 3 5 2 2 2 4 2 2" xfId="4618"/>
    <cellStyle name="Porcentaje 2 3 5 2 2 2 4 2 2 2" xfId="8471"/>
    <cellStyle name="Porcentaje 2 3 5 2 2 2 4 2 2 2 2" xfId="15532"/>
    <cellStyle name="Porcentaje 2 3 5 2 2 2 4 2 2 3" xfId="15531"/>
    <cellStyle name="Porcentaje 2 3 5 2 2 2 4 2 3" xfId="6533"/>
    <cellStyle name="Porcentaje 2 3 5 2 2 2 4 2 3 2" xfId="15533"/>
    <cellStyle name="Porcentaje 2 3 5 2 2 2 4 2 4" xfId="15530"/>
    <cellStyle name="Porcentaje 2 3 5 2 2 2 4 3" xfId="3659"/>
    <cellStyle name="Porcentaje 2 3 5 2 2 2 4 3 2" xfId="7515"/>
    <cellStyle name="Porcentaje 2 3 5 2 2 2 4 3 2 2" xfId="15535"/>
    <cellStyle name="Porcentaje 2 3 5 2 2 2 4 3 3" xfId="15534"/>
    <cellStyle name="Porcentaje 2 3 5 2 2 2 4 4" xfId="5577"/>
    <cellStyle name="Porcentaje 2 3 5 2 2 2 4 4 2" xfId="15536"/>
    <cellStyle name="Porcentaje 2 3 5 2 2 2 4 5" xfId="15529"/>
    <cellStyle name="Porcentaje 2 3 5 2 2 2 5" xfId="1967"/>
    <cellStyle name="Porcentaje 2 3 5 2 2 2 5 2" xfId="3912"/>
    <cellStyle name="Porcentaje 2 3 5 2 2 2 5 2 2" xfId="7765"/>
    <cellStyle name="Porcentaje 2 3 5 2 2 2 5 2 2 2" xfId="15539"/>
    <cellStyle name="Porcentaje 2 3 5 2 2 2 5 2 3" xfId="15538"/>
    <cellStyle name="Porcentaje 2 3 5 2 2 2 5 3" xfId="5827"/>
    <cellStyle name="Porcentaje 2 3 5 2 2 2 5 3 2" xfId="15540"/>
    <cellStyle name="Porcentaje 2 3 5 2 2 2 5 4" xfId="15537"/>
    <cellStyle name="Porcentaje 2 3 5 2 2 2 6" xfId="2951"/>
    <cellStyle name="Porcentaje 2 3 5 2 2 2 6 2" xfId="6809"/>
    <cellStyle name="Porcentaje 2 3 5 2 2 2 6 2 2" xfId="15542"/>
    <cellStyle name="Porcentaje 2 3 5 2 2 2 6 3" xfId="15541"/>
    <cellStyle name="Porcentaje 2 3 5 2 2 2 7" xfId="4871"/>
    <cellStyle name="Porcentaje 2 3 5 2 2 2 7 2" xfId="15543"/>
    <cellStyle name="Porcentaje 2 3 5 2 2 2 8" xfId="15512"/>
    <cellStyle name="Porcentaje 2 3 5 2 2 3" xfId="1420"/>
    <cellStyle name="Porcentaje 2 3 5 2 2 3 2" xfId="2391"/>
    <cellStyle name="Porcentaje 2 3 5 2 2 3 2 2" xfId="4336"/>
    <cellStyle name="Porcentaje 2 3 5 2 2 3 2 2 2" xfId="8189"/>
    <cellStyle name="Porcentaje 2 3 5 2 2 3 2 2 2 2" xfId="15547"/>
    <cellStyle name="Porcentaje 2 3 5 2 2 3 2 2 3" xfId="15546"/>
    <cellStyle name="Porcentaje 2 3 5 2 2 3 2 3" xfId="6251"/>
    <cellStyle name="Porcentaje 2 3 5 2 2 3 2 3 2" xfId="15548"/>
    <cellStyle name="Porcentaje 2 3 5 2 2 3 2 4" xfId="15545"/>
    <cellStyle name="Porcentaje 2 3 5 2 2 3 3" xfId="3375"/>
    <cellStyle name="Porcentaje 2 3 5 2 2 3 3 2" xfId="7233"/>
    <cellStyle name="Porcentaje 2 3 5 2 2 3 3 2 2" xfId="15550"/>
    <cellStyle name="Porcentaje 2 3 5 2 2 3 3 3" xfId="15549"/>
    <cellStyle name="Porcentaje 2 3 5 2 2 3 4" xfId="5295"/>
    <cellStyle name="Porcentaje 2 3 5 2 2 3 4 2" xfId="15551"/>
    <cellStyle name="Porcentaje 2 3 5 2 2 3 5" xfId="15544"/>
    <cellStyle name="Porcentaje 2 3 5 2 2 4" xfId="1112"/>
    <cellStyle name="Porcentaje 2 3 5 2 2 4 2" xfId="2083"/>
    <cellStyle name="Porcentaje 2 3 5 2 2 4 2 2" xfId="4028"/>
    <cellStyle name="Porcentaje 2 3 5 2 2 4 2 2 2" xfId="7881"/>
    <cellStyle name="Porcentaje 2 3 5 2 2 4 2 2 2 2" xfId="15555"/>
    <cellStyle name="Porcentaje 2 3 5 2 2 4 2 2 3" xfId="15554"/>
    <cellStyle name="Porcentaje 2 3 5 2 2 4 2 3" xfId="5943"/>
    <cellStyle name="Porcentaje 2 3 5 2 2 4 2 3 2" xfId="15556"/>
    <cellStyle name="Porcentaje 2 3 5 2 2 4 2 4" xfId="15553"/>
    <cellStyle name="Porcentaje 2 3 5 2 2 4 3" xfId="3067"/>
    <cellStyle name="Porcentaje 2 3 5 2 2 4 3 2" xfId="6925"/>
    <cellStyle name="Porcentaje 2 3 5 2 2 4 3 2 2" xfId="15558"/>
    <cellStyle name="Porcentaje 2 3 5 2 2 4 3 3" xfId="15557"/>
    <cellStyle name="Porcentaje 2 3 5 2 2 4 4" xfId="4987"/>
    <cellStyle name="Porcentaje 2 3 5 2 2 4 4 2" xfId="15559"/>
    <cellStyle name="Porcentaje 2 3 5 2 2 4 5" xfId="15552"/>
    <cellStyle name="Porcentaje 2 3 5 2 2 5" xfId="1681"/>
    <cellStyle name="Porcentaje 2 3 5 2 2 5 2" xfId="2642"/>
    <cellStyle name="Porcentaje 2 3 5 2 2 5 2 2" xfId="4587"/>
    <cellStyle name="Porcentaje 2 3 5 2 2 5 2 2 2" xfId="8440"/>
    <cellStyle name="Porcentaje 2 3 5 2 2 5 2 2 2 2" xfId="15563"/>
    <cellStyle name="Porcentaje 2 3 5 2 2 5 2 2 3" xfId="15562"/>
    <cellStyle name="Porcentaje 2 3 5 2 2 5 2 3" xfId="6502"/>
    <cellStyle name="Porcentaje 2 3 5 2 2 5 2 3 2" xfId="15564"/>
    <cellStyle name="Porcentaje 2 3 5 2 2 5 2 4" xfId="15561"/>
    <cellStyle name="Porcentaje 2 3 5 2 2 5 3" xfId="3628"/>
    <cellStyle name="Porcentaje 2 3 5 2 2 5 3 2" xfId="7484"/>
    <cellStyle name="Porcentaje 2 3 5 2 2 5 3 2 2" xfId="15566"/>
    <cellStyle name="Porcentaje 2 3 5 2 2 5 3 3" xfId="15565"/>
    <cellStyle name="Porcentaje 2 3 5 2 2 5 4" xfId="5546"/>
    <cellStyle name="Porcentaje 2 3 5 2 2 5 4 2" xfId="15567"/>
    <cellStyle name="Porcentaje 2 3 5 2 2 5 5" xfId="15560"/>
    <cellStyle name="Porcentaje 2 3 5 2 2 6" xfId="1850"/>
    <cellStyle name="Porcentaje 2 3 5 2 2 6 2" xfId="3796"/>
    <cellStyle name="Porcentaje 2 3 5 2 2 6 2 2" xfId="7649"/>
    <cellStyle name="Porcentaje 2 3 5 2 2 6 2 2 2" xfId="15570"/>
    <cellStyle name="Porcentaje 2 3 5 2 2 6 2 3" xfId="15569"/>
    <cellStyle name="Porcentaje 2 3 5 2 2 6 3" xfId="5711"/>
    <cellStyle name="Porcentaje 2 3 5 2 2 6 3 2" xfId="15571"/>
    <cellStyle name="Porcentaje 2 3 5 2 2 6 4" xfId="15568"/>
    <cellStyle name="Porcentaje 2 3 5 2 2 7" xfId="2834"/>
    <cellStyle name="Porcentaje 2 3 5 2 2 7 2" xfId="6693"/>
    <cellStyle name="Porcentaje 2 3 5 2 2 7 2 2" xfId="15573"/>
    <cellStyle name="Porcentaje 2 3 5 2 2 7 3" xfId="15572"/>
    <cellStyle name="Porcentaje 2 3 5 2 2 8" xfId="4755"/>
    <cellStyle name="Porcentaje 2 3 5 2 2 8 2" xfId="15574"/>
    <cellStyle name="Porcentaje 2 3 5 2 2 9" xfId="15511"/>
    <cellStyle name="Porcentaje 2 3 5 2 3" xfId="1319"/>
    <cellStyle name="Porcentaje 2 3 5 2 3 2" xfId="2290"/>
    <cellStyle name="Porcentaje 2 3 5 2 3 2 2" xfId="4235"/>
    <cellStyle name="Porcentaje 2 3 5 2 3 2 2 2" xfId="8088"/>
    <cellStyle name="Porcentaje 2 3 5 2 3 2 2 2 2" xfId="15578"/>
    <cellStyle name="Porcentaje 2 3 5 2 3 2 2 3" xfId="15577"/>
    <cellStyle name="Porcentaje 2 3 5 2 3 2 3" xfId="6150"/>
    <cellStyle name="Porcentaje 2 3 5 2 3 2 3 2" xfId="15579"/>
    <cellStyle name="Porcentaje 2 3 5 2 3 2 4" xfId="15576"/>
    <cellStyle name="Porcentaje 2 3 5 2 3 3" xfId="3274"/>
    <cellStyle name="Porcentaje 2 3 5 2 3 3 2" xfId="7132"/>
    <cellStyle name="Porcentaje 2 3 5 2 3 3 2 2" xfId="15581"/>
    <cellStyle name="Porcentaje 2 3 5 2 3 3 3" xfId="15580"/>
    <cellStyle name="Porcentaje 2 3 5 2 3 4" xfId="5194"/>
    <cellStyle name="Porcentaje 2 3 5 2 3 4 2" xfId="15582"/>
    <cellStyle name="Porcentaje 2 3 5 2 3 5" xfId="15575"/>
    <cellStyle name="Porcentaje 2 3 5 2 4" xfId="1087"/>
    <cellStyle name="Porcentaje 2 3 5 2 4 2" xfId="2058"/>
    <cellStyle name="Porcentaje 2 3 5 2 4 2 2" xfId="4003"/>
    <cellStyle name="Porcentaje 2 3 5 2 4 2 2 2" xfId="7856"/>
    <cellStyle name="Porcentaje 2 3 5 2 4 2 2 2 2" xfId="15586"/>
    <cellStyle name="Porcentaje 2 3 5 2 4 2 2 3" xfId="15585"/>
    <cellStyle name="Porcentaje 2 3 5 2 4 2 3" xfId="5918"/>
    <cellStyle name="Porcentaje 2 3 5 2 4 2 3 2" xfId="15587"/>
    <cellStyle name="Porcentaje 2 3 5 2 4 2 4" xfId="15584"/>
    <cellStyle name="Porcentaje 2 3 5 2 4 3" xfId="3042"/>
    <cellStyle name="Porcentaje 2 3 5 2 4 3 2" xfId="6900"/>
    <cellStyle name="Porcentaje 2 3 5 2 4 3 2 2" xfId="15589"/>
    <cellStyle name="Porcentaje 2 3 5 2 4 3 3" xfId="15588"/>
    <cellStyle name="Porcentaje 2 3 5 2 4 4" xfId="4962"/>
    <cellStyle name="Porcentaje 2 3 5 2 4 4 2" xfId="15590"/>
    <cellStyle name="Porcentaje 2 3 5 2 4 5" xfId="15583"/>
    <cellStyle name="Porcentaje 2 3 5 2 5" xfId="1585"/>
    <cellStyle name="Porcentaje 2 3 5 2 5 2" xfId="2546"/>
    <cellStyle name="Porcentaje 2 3 5 2 5 2 2" xfId="4491"/>
    <cellStyle name="Porcentaje 2 3 5 2 5 2 2 2" xfId="8344"/>
    <cellStyle name="Porcentaje 2 3 5 2 5 2 2 2 2" xfId="15594"/>
    <cellStyle name="Porcentaje 2 3 5 2 5 2 2 3" xfId="15593"/>
    <cellStyle name="Porcentaje 2 3 5 2 5 2 3" xfId="6406"/>
    <cellStyle name="Porcentaje 2 3 5 2 5 2 3 2" xfId="15595"/>
    <cellStyle name="Porcentaje 2 3 5 2 5 2 4" xfId="15592"/>
    <cellStyle name="Porcentaje 2 3 5 2 5 3" xfId="3532"/>
    <cellStyle name="Porcentaje 2 3 5 2 5 3 2" xfId="7388"/>
    <cellStyle name="Porcentaje 2 3 5 2 5 3 2 2" xfId="15597"/>
    <cellStyle name="Porcentaje 2 3 5 2 5 3 3" xfId="15596"/>
    <cellStyle name="Porcentaje 2 3 5 2 5 4" xfId="5450"/>
    <cellStyle name="Porcentaje 2 3 5 2 5 4 2" xfId="15598"/>
    <cellStyle name="Porcentaje 2 3 5 2 5 5" xfId="15591"/>
    <cellStyle name="Porcentaje 2 3 5 2 6" xfId="1819"/>
    <cellStyle name="Porcentaje 2 3 5 2 6 2" xfId="3765"/>
    <cellStyle name="Porcentaje 2 3 5 2 6 2 2" xfId="7618"/>
    <cellStyle name="Porcentaje 2 3 5 2 6 2 2 2" xfId="15601"/>
    <cellStyle name="Porcentaje 2 3 5 2 6 2 3" xfId="15600"/>
    <cellStyle name="Porcentaje 2 3 5 2 6 3" xfId="5680"/>
    <cellStyle name="Porcentaje 2 3 5 2 6 3 2" xfId="15602"/>
    <cellStyle name="Porcentaje 2 3 5 2 6 4" xfId="15599"/>
    <cellStyle name="Porcentaje 2 3 5 2 7" xfId="2803"/>
    <cellStyle name="Porcentaje 2 3 5 2 7 2" xfId="6662"/>
    <cellStyle name="Porcentaje 2 3 5 2 7 2 2" xfId="15604"/>
    <cellStyle name="Porcentaje 2 3 5 2 7 3" xfId="15603"/>
    <cellStyle name="Porcentaje 2 3 5 2 8" xfId="4730"/>
    <cellStyle name="Porcentaje 2 3 5 2 8 2" xfId="15605"/>
    <cellStyle name="Porcentaje 2 3 5 2 9" xfId="15510"/>
    <cellStyle name="Porcentaje 2 3 5 3" xfId="993"/>
    <cellStyle name="Porcentaje 2 3 5 3 2" xfId="1386"/>
    <cellStyle name="Porcentaje 2 3 5 3 2 2" xfId="2357"/>
    <cellStyle name="Porcentaje 2 3 5 3 2 2 2" xfId="4302"/>
    <cellStyle name="Porcentaje 2 3 5 3 2 2 2 2" xfId="8155"/>
    <cellStyle name="Porcentaje 2 3 5 3 2 2 2 2 2" xfId="15610"/>
    <cellStyle name="Porcentaje 2 3 5 3 2 2 2 3" xfId="15609"/>
    <cellStyle name="Porcentaje 2 3 5 3 2 2 3" xfId="6217"/>
    <cellStyle name="Porcentaje 2 3 5 3 2 2 3 2" xfId="15611"/>
    <cellStyle name="Porcentaje 2 3 5 3 2 2 4" xfId="15608"/>
    <cellStyle name="Porcentaje 2 3 5 3 2 3" xfId="3341"/>
    <cellStyle name="Porcentaje 2 3 5 3 2 3 2" xfId="7199"/>
    <cellStyle name="Porcentaje 2 3 5 3 2 3 2 2" xfId="15613"/>
    <cellStyle name="Porcentaje 2 3 5 3 2 3 3" xfId="15612"/>
    <cellStyle name="Porcentaje 2 3 5 3 2 4" xfId="5261"/>
    <cellStyle name="Porcentaje 2 3 5 3 2 4 2" xfId="15614"/>
    <cellStyle name="Porcentaje 2 3 5 3 2 5" xfId="15607"/>
    <cellStyle name="Porcentaje 2 3 5 3 3" xfId="1229"/>
    <cellStyle name="Porcentaje 2 3 5 3 3 2" xfId="2200"/>
    <cellStyle name="Porcentaje 2 3 5 3 3 2 2" xfId="4145"/>
    <cellStyle name="Porcentaje 2 3 5 3 3 2 2 2" xfId="7998"/>
    <cellStyle name="Porcentaje 2 3 5 3 3 2 2 2 2" xfId="15618"/>
    <cellStyle name="Porcentaje 2 3 5 3 3 2 2 3" xfId="15617"/>
    <cellStyle name="Porcentaje 2 3 5 3 3 2 3" xfId="6060"/>
    <cellStyle name="Porcentaje 2 3 5 3 3 2 3 2" xfId="15619"/>
    <cellStyle name="Porcentaje 2 3 5 3 3 2 4" xfId="15616"/>
    <cellStyle name="Porcentaje 2 3 5 3 3 3" xfId="3184"/>
    <cellStyle name="Porcentaje 2 3 5 3 3 3 2" xfId="7042"/>
    <cellStyle name="Porcentaje 2 3 5 3 3 3 2 2" xfId="15621"/>
    <cellStyle name="Porcentaje 2 3 5 3 3 3 3" xfId="15620"/>
    <cellStyle name="Porcentaje 2 3 5 3 3 4" xfId="5104"/>
    <cellStyle name="Porcentaje 2 3 5 3 3 4 2" xfId="15622"/>
    <cellStyle name="Porcentaje 2 3 5 3 3 5" xfId="15615"/>
    <cellStyle name="Porcentaje 2 3 5 3 4" xfId="1647"/>
    <cellStyle name="Porcentaje 2 3 5 3 4 2" xfId="2608"/>
    <cellStyle name="Porcentaje 2 3 5 3 4 2 2" xfId="4553"/>
    <cellStyle name="Porcentaje 2 3 5 3 4 2 2 2" xfId="8406"/>
    <cellStyle name="Porcentaje 2 3 5 3 4 2 2 2 2" xfId="15626"/>
    <cellStyle name="Porcentaje 2 3 5 3 4 2 2 3" xfId="15625"/>
    <cellStyle name="Porcentaje 2 3 5 3 4 2 3" xfId="6468"/>
    <cellStyle name="Porcentaje 2 3 5 3 4 2 3 2" xfId="15627"/>
    <cellStyle name="Porcentaje 2 3 5 3 4 2 4" xfId="15624"/>
    <cellStyle name="Porcentaje 2 3 5 3 4 3" xfId="3594"/>
    <cellStyle name="Porcentaje 2 3 5 3 4 3 2" xfId="7450"/>
    <cellStyle name="Porcentaje 2 3 5 3 4 3 2 2" xfId="15629"/>
    <cellStyle name="Porcentaje 2 3 5 3 4 3 3" xfId="15628"/>
    <cellStyle name="Porcentaje 2 3 5 3 4 4" xfId="5512"/>
    <cellStyle name="Porcentaje 2 3 5 3 4 4 2" xfId="15630"/>
    <cellStyle name="Porcentaje 2 3 5 3 4 5" xfId="15623"/>
    <cellStyle name="Porcentaje 2 3 5 3 5" xfId="1968"/>
    <cellStyle name="Porcentaje 2 3 5 3 5 2" xfId="3913"/>
    <cellStyle name="Porcentaje 2 3 5 3 5 2 2" xfId="7766"/>
    <cellStyle name="Porcentaje 2 3 5 3 5 2 2 2" xfId="15633"/>
    <cellStyle name="Porcentaje 2 3 5 3 5 2 3" xfId="15632"/>
    <cellStyle name="Porcentaje 2 3 5 3 5 3" xfId="5828"/>
    <cellStyle name="Porcentaje 2 3 5 3 5 3 2" xfId="15634"/>
    <cellStyle name="Porcentaje 2 3 5 3 5 4" xfId="15631"/>
    <cellStyle name="Porcentaje 2 3 5 3 6" xfId="2952"/>
    <cellStyle name="Porcentaje 2 3 5 3 6 2" xfId="6810"/>
    <cellStyle name="Porcentaje 2 3 5 3 6 2 2" xfId="15636"/>
    <cellStyle name="Porcentaje 2 3 5 3 6 3" xfId="15635"/>
    <cellStyle name="Porcentaje 2 3 5 3 7" xfId="4872"/>
    <cellStyle name="Porcentaje 2 3 5 3 7 2" xfId="15637"/>
    <cellStyle name="Porcentaje 2 3 5 3 8" xfId="15606"/>
    <cellStyle name="Porcentaje 2 3 5 4" xfId="1285"/>
    <cellStyle name="Porcentaje 2 3 5 4 2" xfId="2256"/>
    <cellStyle name="Porcentaje 2 3 5 4 2 2" xfId="4201"/>
    <cellStyle name="Porcentaje 2 3 5 4 2 2 2" xfId="8054"/>
    <cellStyle name="Porcentaje 2 3 5 4 2 2 2 2" xfId="15641"/>
    <cellStyle name="Porcentaje 2 3 5 4 2 2 3" xfId="15640"/>
    <cellStyle name="Porcentaje 2 3 5 4 2 3" xfId="6116"/>
    <cellStyle name="Porcentaje 2 3 5 4 2 3 2" xfId="15642"/>
    <cellStyle name="Porcentaje 2 3 5 4 2 4" xfId="15639"/>
    <cellStyle name="Porcentaje 2 3 5 4 3" xfId="3240"/>
    <cellStyle name="Porcentaje 2 3 5 4 3 2" xfId="7098"/>
    <cellStyle name="Porcentaje 2 3 5 4 3 2 2" xfId="15644"/>
    <cellStyle name="Porcentaje 2 3 5 4 3 3" xfId="15643"/>
    <cellStyle name="Porcentaje 2 3 5 4 4" xfId="5160"/>
    <cellStyle name="Porcentaje 2 3 5 4 4 2" xfId="15645"/>
    <cellStyle name="Porcentaje 2 3 5 4 5" xfId="15638"/>
    <cellStyle name="Porcentaje 2 3 5 5" xfId="1052"/>
    <cellStyle name="Porcentaje 2 3 5 5 2" xfId="2024"/>
    <cellStyle name="Porcentaje 2 3 5 5 2 2" xfId="3969"/>
    <cellStyle name="Porcentaje 2 3 5 5 2 2 2" xfId="7822"/>
    <cellStyle name="Porcentaje 2 3 5 5 2 2 2 2" xfId="15649"/>
    <cellStyle name="Porcentaje 2 3 5 5 2 2 3" xfId="15648"/>
    <cellStyle name="Porcentaje 2 3 5 5 2 3" xfId="5884"/>
    <cellStyle name="Porcentaje 2 3 5 5 2 3 2" xfId="15650"/>
    <cellStyle name="Porcentaje 2 3 5 5 2 4" xfId="15647"/>
    <cellStyle name="Porcentaje 2 3 5 5 3" xfId="3008"/>
    <cellStyle name="Porcentaje 2 3 5 5 3 2" xfId="6866"/>
    <cellStyle name="Porcentaje 2 3 5 5 3 2 2" xfId="15652"/>
    <cellStyle name="Porcentaje 2 3 5 5 3 3" xfId="15651"/>
    <cellStyle name="Porcentaje 2 3 5 5 4" xfId="4928"/>
    <cellStyle name="Porcentaje 2 3 5 5 4 2" xfId="15653"/>
    <cellStyle name="Porcentaje 2 3 5 5 5" xfId="15646"/>
    <cellStyle name="Porcentaje 2 3 5 6" xfId="1565"/>
    <cellStyle name="Porcentaje 2 3 5 6 2" xfId="2529"/>
    <cellStyle name="Porcentaje 2 3 5 6 2 2" xfId="4474"/>
    <cellStyle name="Porcentaje 2 3 5 6 2 2 2" xfId="8327"/>
    <cellStyle name="Porcentaje 2 3 5 6 2 2 2 2" xfId="15657"/>
    <cellStyle name="Porcentaje 2 3 5 6 2 2 3" xfId="15656"/>
    <cellStyle name="Porcentaje 2 3 5 6 2 3" xfId="6389"/>
    <cellStyle name="Porcentaje 2 3 5 6 2 3 2" xfId="15658"/>
    <cellStyle name="Porcentaje 2 3 5 6 2 4" xfId="15655"/>
    <cellStyle name="Porcentaje 2 3 5 6 3" xfId="3515"/>
    <cellStyle name="Porcentaje 2 3 5 6 3 2" xfId="7371"/>
    <cellStyle name="Porcentaje 2 3 5 6 3 2 2" xfId="15660"/>
    <cellStyle name="Porcentaje 2 3 5 6 3 3" xfId="15659"/>
    <cellStyle name="Porcentaje 2 3 5 6 4" xfId="5433"/>
    <cellStyle name="Porcentaje 2 3 5 6 4 2" xfId="15661"/>
    <cellStyle name="Porcentaje 2 3 5 6 5" xfId="15654"/>
    <cellStyle name="Porcentaje 2 3 5 7" xfId="1785"/>
    <cellStyle name="Porcentaje 2 3 5 7 2" xfId="3731"/>
    <cellStyle name="Porcentaje 2 3 5 7 2 2" xfId="7584"/>
    <cellStyle name="Porcentaje 2 3 5 7 2 2 2" xfId="15664"/>
    <cellStyle name="Porcentaje 2 3 5 7 2 3" xfId="15663"/>
    <cellStyle name="Porcentaje 2 3 5 7 3" xfId="5646"/>
    <cellStyle name="Porcentaje 2 3 5 7 3 2" xfId="15665"/>
    <cellStyle name="Porcentaje 2 3 5 7 4" xfId="15662"/>
    <cellStyle name="Porcentaje 2 3 5 8" xfId="2769"/>
    <cellStyle name="Porcentaje 2 3 5 8 2" xfId="6628"/>
    <cellStyle name="Porcentaje 2 3 5 8 2 2" xfId="15667"/>
    <cellStyle name="Porcentaje 2 3 5 8 3" xfId="15666"/>
    <cellStyle name="Porcentaje 2 3 5 9" xfId="4696"/>
    <cellStyle name="Porcentaje 2 3 5 9 2" xfId="15668"/>
    <cellStyle name="Porcentaje 2 3 6" xfId="994"/>
    <cellStyle name="Porcentaje 2 3 6 2" xfId="1371"/>
    <cellStyle name="Porcentaje 2 3 6 2 2" xfId="2342"/>
    <cellStyle name="Porcentaje 2 3 6 2 2 2" xfId="4287"/>
    <cellStyle name="Porcentaje 2 3 6 2 2 2 2" xfId="8140"/>
    <cellStyle name="Porcentaje 2 3 6 2 2 2 2 2" xfId="15673"/>
    <cellStyle name="Porcentaje 2 3 6 2 2 2 3" xfId="15672"/>
    <cellStyle name="Porcentaje 2 3 6 2 2 3" xfId="6202"/>
    <cellStyle name="Porcentaje 2 3 6 2 2 3 2" xfId="15674"/>
    <cellStyle name="Porcentaje 2 3 6 2 2 4" xfId="15671"/>
    <cellStyle name="Porcentaje 2 3 6 2 3" xfId="3326"/>
    <cellStyle name="Porcentaje 2 3 6 2 3 2" xfId="7184"/>
    <cellStyle name="Porcentaje 2 3 6 2 3 2 2" xfId="15676"/>
    <cellStyle name="Porcentaje 2 3 6 2 3 3" xfId="15675"/>
    <cellStyle name="Porcentaje 2 3 6 2 4" xfId="5246"/>
    <cellStyle name="Porcentaje 2 3 6 2 4 2" xfId="15677"/>
    <cellStyle name="Porcentaje 2 3 6 2 5" xfId="15670"/>
    <cellStyle name="Porcentaje 2 3 6 3" xfId="1230"/>
    <cellStyle name="Porcentaje 2 3 6 3 2" xfId="2201"/>
    <cellStyle name="Porcentaje 2 3 6 3 2 2" xfId="4146"/>
    <cellStyle name="Porcentaje 2 3 6 3 2 2 2" xfId="7999"/>
    <cellStyle name="Porcentaje 2 3 6 3 2 2 2 2" xfId="15681"/>
    <cellStyle name="Porcentaje 2 3 6 3 2 2 3" xfId="15680"/>
    <cellStyle name="Porcentaje 2 3 6 3 2 3" xfId="6061"/>
    <cellStyle name="Porcentaje 2 3 6 3 2 3 2" xfId="15682"/>
    <cellStyle name="Porcentaje 2 3 6 3 2 4" xfId="15679"/>
    <cellStyle name="Porcentaje 2 3 6 3 3" xfId="3185"/>
    <cellStyle name="Porcentaje 2 3 6 3 3 2" xfId="7043"/>
    <cellStyle name="Porcentaje 2 3 6 3 3 2 2" xfId="15684"/>
    <cellStyle name="Porcentaje 2 3 6 3 3 3" xfId="15683"/>
    <cellStyle name="Porcentaje 2 3 6 3 4" xfId="5105"/>
    <cellStyle name="Porcentaje 2 3 6 3 4 2" xfId="15685"/>
    <cellStyle name="Porcentaje 2 3 6 3 5" xfId="15678"/>
    <cellStyle name="Porcentaje 2 3 6 4" xfId="1632"/>
    <cellStyle name="Porcentaje 2 3 6 4 2" xfId="2593"/>
    <cellStyle name="Porcentaje 2 3 6 4 2 2" xfId="4538"/>
    <cellStyle name="Porcentaje 2 3 6 4 2 2 2" xfId="8391"/>
    <cellStyle name="Porcentaje 2 3 6 4 2 2 2 2" xfId="15689"/>
    <cellStyle name="Porcentaje 2 3 6 4 2 2 3" xfId="15688"/>
    <cellStyle name="Porcentaje 2 3 6 4 2 3" xfId="6453"/>
    <cellStyle name="Porcentaje 2 3 6 4 2 3 2" xfId="15690"/>
    <cellStyle name="Porcentaje 2 3 6 4 2 4" xfId="15687"/>
    <cellStyle name="Porcentaje 2 3 6 4 3" xfId="3579"/>
    <cellStyle name="Porcentaje 2 3 6 4 3 2" xfId="7435"/>
    <cellStyle name="Porcentaje 2 3 6 4 3 2 2" xfId="15692"/>
    <cellStyle name="Porcentaje 2 3 6 4 3 3" xfId="15691"/>
    <cellStyle name="Porcentaje 2 3 6 4 4" xfId="5497"/>
    <cellStyle name="Porcentaje 2 3 6 4 4 2" xfId="15693"/>
    <cellStyle name="Porcentaje 2 3 6 4 5" xfId="15686"/>
    <cellStyle name="Porcentaje 2 3 6 5" xfId="1969"/>
    <cellStyle name="Porcentaje 2 3 6 5 2" xfId="3914"/>
    <cellStyle name="Porcentaje 2 3 6 5 2 2" xfId="7767"/>
    <cellStyle name="Porcentaje 2 3 6 5 2 2 2" xfId="15696"/>
    <cellStyle name="Porcentaje 2 3 6 5 2 3" xfId="15695"/>
    <cellStyle name="Porcentaje 2 3 6 5 3" xfId="5829"/>
    <cellStyle name="Porcentaje 2 3 6 5 3 2" xfId="15697"/>
    <cellStyle name="Porcentaje 2 3 6 5 4" xfId="15694"/>
    <cellStyle name="Porcentaje 2 3 6 6" xfId="2953"/>
    <cellStyle name="Porcentaje 2 3 6 6 2" xfId="6811"/>
    <cellStyle name="Porcentaje 2 3 6 6 2 2" xfId="15699"/>
    <cellStyle name="Porcentaje 2 3 6 6 3" xfId="15698"/>
    <cellStyle name="Porcentaje 2 3 6 7" xfId="4873"/>
    <cellStyle name="Porcentaje 2 3 6 7 2" xfId="15700"/>
    <cellStyle name="Porcentaje 2 3 6 8" xfId="15669"/>
    <cellStyle name="Porcentaje 2 3 7" xfId="1269"/>
    <cellStyle name="Porcentaje 2 3 7 2" xfId="2240"/>
    <cellStyle name="Porcentaje 2 3 7 2 2" xfId="4185"/>
    <cellStyle name="Porcentaje 2 3 7 2 2 2" xfId="8038"/>
    <cellStyle name="Porcentaje 2 3 7 2 2 2 2" xfId="15704"/>
    <cellStyle name="Porcentaje 2 3 7 2 2 3" xfId="15703"/>
    <cellStyle name="Porcentaje 2 3 7 2 3" xfId="6100"/>
    <cellStyle name="Porcentaje 2 3 7 2 3 2" xfId="15705"/>
    <cellStyle name="Porcentaje 2 3 7 2 4" xfId="15702"/>
    <cellStyle name="Porcentaje 2 3 7 3" xfId="3224"/>
    <cellStyle name="Porcentaje 2 3 7 3 2" xfId="7082"/>
    <cellStyle name="Porcentaje 2 3 7 3 2 2" xfId="15707"/>
    <cellStyle name="Porcentaje 2 3 7 3 3" xfId="15706"/>
    <cellStyle name="Porcentaje 2 3 7 4" xfId="5144"/>
    <cellStyle name="Porcentaje 2 3 7 4 2" xfId="15708"/>
    <cellStyle name="Porcentaje 2 3 7 5" xfId="15701"/>
    <cellStyle name="Porcentaje 2 3 8" xfId="1036"/>
    <cellStyle name="Porcentaje 2 3 8 2" xfId="2008"/>
    <cellStyle name="Porcentaje 2 3 8 2 2" xfId="3953"/>
    <cellStyle name="Porcentaje 2 3 8 2 2 2" xfId="7806"/>
    <cellStyle name="Porcentaje 2 3 8 2 2 2 2" xfId="15712"/>
    <cellStyle name="Porcentaje 2 3 8 2 2 3" xfId="15711"/>
    <cellStyle name="Porcentaje 2 3 8 2 3" xfId="5868"/>
    <cellStyle name="Porcentaje 2 3 8 2 3 2" xfId="15713"/>
    <cellStyle name="Porcentaje 2 3 8 2 4" xfId="15710"/>
    <cellStyle name="Porcentaje 2 3 8 3" xfId="2992"/>
    <cellStyle name="Porcentaje 2 3 8 3 2" xfId="6850"/>
    <cellStyle name="Porcentaje 2 3 8 3 2 2" xfId="15715"/>
    <cellStyle name="Porcentaje 2 3 8 3 3" xfId="15714"/>
    <cellStyle name="Porcentaje 2 3 8 4" xfId="4912"/>
    <cellStyle name="Porcentaje 2 3 8 4 2" xfId="15716"/>
    <cellStyle name="Porcentaje 2 3 8 5" xfId="15709"/>
    <cellStyle name="Porcentaje 2 3 9" xfId="1527"/>
    <cellStyle name="Porcentaje 2 3 9 2" xfId="2493"/>
    <cellStyle name="Porcentaje 2 3 9 2 2" xfId="4438"/>
    <cellStyle name="Porcentaje 2 3 9 2 2 2" xfId="8291"/>
    <cellStyle name="Porcentaje 2 3 9 2 2 2 2" xfId="15720"/>
    <cellStyle name="Porcentaje 2 3 9 2 2 3" xfId="15719"/>
    <cellStyle name="Porcentaje 2 3 9 2 3" xfId="6353"/>
    <cellStyle name="Porcentaje 2 3 9 2 3 2" xfId="15721"/>
    <cellStyle name="Porcentaje 2 3 9 2 4" xfId="15718"/>
    <cellStyle name="Porcentaje 2 3 9 3" xfId="3479"/>
    <cellStyle name="Porcentaje 2 3 9 3 2" xfId="7335"/>
    <cellStyle name="Porcentaje 2 3 9 3 2 2" xfId="15723"/>
    <cellStyle name="Porcentaje 2 3 9 3 3" xfId="15722"/>
    <cellStyle name="Porcentaje 2 3 9 4" xfId="5397"/>
    <cellStyle name="Porcentaje 2 3 9 4 2" xfId="15724"/>
    <cellStyle name="Porcentaje 2 3 9 5" xfId="15717"/>
    <cellStyle name="Porcentaje 2 4" xfId="578"/>
    <cellStyle name="Porcentaje 2 4 10" xfId="4682"/>
    <cellStyle name="Porcentaje 2 4 10 2" xfId="15726"/>
    <cellStyle name="Porcentaje 2 4 11" xfId="15725"/>
    <cellStyle name="Porcentaje 2 4 2" xfId="847"/>
    <cellStyle name="Porcentaje 2 4 2 2" xfId="995"/>
    <cellStyle name="Porcentaje 2 4 2 2 2" xfId="1429"/>
    <cellStyle name="Porcentaje 2 4 2 2 2 2" xfId="2400"/>
    <cellStyle name="Porcentaje 2 4 2 2 2 2 2" xfId="4345"/>
    <cellStyle name="Porcentaje 2 4 2 2 2 2 2 2" xfId="8198"/>
    <cellStyle name="Porcentaje 2 4 2 2 2 2 2 2 2" xfId="15732"/>
    <cellStyle name="Porcentaje 2 4 2 2 2 2 2 3" xfId="15731"/>
    <cellStyle name="Porcentaje 2 4 2 2 2 2 3" xfId="6260"/>
    <cellStyle name="Porcentaje 2 4 2 2 2 2 3 2" xfId="15733"/>
    <cellStyle name="Porcentaje 2 4 2 2 2 2 4" xfId="15730"/>
    <cellStyle name="Porcentaje 2 4 2 2 2 3" xfId="3384"/>
    <cellStyle name="Porcentaje 2 4 2 2 2 3 2" xfId="7242"/>
    <cellStyle name="Porcentaje 2 4 2 2 2 3 2 2" xfId="15735"/>
    <cellStyle name="Porcentaje 2 4 2 2 2 3 3" xfId="15734"/>
    <cellStyle name="Porcentaje 2 4 2 2 2 4" xfId="5304"/>
    <cellStyle name="Porcentaje 2 4 2 2 2 4 2" xfId="15736"/>
    <cellStyle name="Porcentaje 2 4 2 2 2 5" xfId="15729"/>
    <cellStyle name="Porcentaje 2 4 2 2 3" xfId="1231"/>
    <cellStyle name="Porcentaje 2 4 2 2 3 2" xfId="2202"/>
    <cellStyle name="Porcentaje 2 4 2 2 3 2 2" xfId="4147"/>
    <cellStyle name="Porcentaje 2 4 2 2 3 2 2 2" xfId="8000"/>
    <cellStyle name="Porcentaje 2 4 2 2 3 2 2 2 2" xfId="15740"/>
    <cellStyle name="Porcentaje 2 4 2 2 3 2 2 3" xfId="15739"/>
    <cellStyle name="Porcentaje 2 4 2 2 3 2 3" xfId="6062"/>
    <cellStyle name="Porcentaje 2 4 2 2 3 2 3 2" xfId="15741"/>
    <cellStyle name="Porcentaje 2 4 2 2 3 2 4" xfId="15738"/>
    <cellStyle name="Porcentaje 2 4 2 2 3 3" xfId="3186"/>
    <cellStyle name="Porcentaje 2 4 2 2 3 3 2" xfId="7044"/>
    <cellStyle name="Porcentaje 2 4 2 2 3 3 2 2" xfId="15743"/>
    <cellStyle name="Porcentaje 2 4 2 2 3 3 3" xfId="15742"/>
    <cellStyle name="Porcentaje 2 4 2 2 3 4" xfId="5106"/>
    <cellStyle name="Porcentaje 2 4 2 2 3 4 2" xfId="15744"/>
    <cellStyle name="Porcentaje 2 4 2 2 3 5" xfId="15737"/>
    <cellStyle name="Porcentaje 2 4 2 2 4" xfId="1690"/>
    <cellStyle name="Porcentaje 2 4 2 2 4 2" xfId="2651"/>
    <cellStyle name="Porcentaje 2 4 2 2 4 2 2" xfId="4596"/>
    <cellStyle name="Porcentaje 2 4 2 2 4 2 2 2" xfId="8449"/>
    <cellStyle name="Porcentaje 2 4 2 2 4 2 2 2 2" xfId="15748"/>
    <cellStyle name="Porcentaje 2 4 2 2 4 2 2 3" xfId="15747"/>
    <cellStyle name="Porcentaje 2 4 2 2 4 2 3" xfId="6511"/>
    <cellStyle name="Porcentaje 2 4 2 2 4 2 3 2" xfId="15749"/>
    <cellStyle name="Porcentaje 2 4 2 2 4 2 4" xfId="15746"/>
    <cellStyle name="Porcentaje 2 4 2 2 4 3" xfId="3637"/>
    <cellStyle name="Porcentaje 2 4 2 2 4 3 2" xfId="7493"/>
    <cellStyle name="Porcentaje 2 4 2 2 4 3 2 2" xfId="15751"/>
    <cellStyle name="Porcentaje 2 4 2 2 4 3 3" xfId="15750"/>
    <cellStyle name="Porcentaje 2 4 2 2 4 4" xfId="5555"/>
    <cellStyle name="Porcentaje 2 4 2 2 4 4 2" xfId="15752"/>
    <cellStyle name="Porcentaje 2 4 2 2 4 5" xfId="15745"/>
    <cellStyle name="Porcentaje 2 4 2 2 5" xfId="1970"/>
    <cellStyle name="Porcentaje 2 4 2 2 5 2" xfId="3915"/>
    <cellStyle name="Porcentaje 2 4 2 2 5 2 2" xfId="7768"/>
    <cellStyle name="Porcentaje 2 4 2 2 5 2 2 2" xfId="15755"/>
    <cellStyle name="Porcentaje 2 4 2 2 5 2 3" xfId="15754"/>
    <cellStyle name="Porcentaje 2 4 2 2 5 3" xfId="5830"/>
    <cellStyle name="Porcentaje 2 4 2 2 5 3 2" xfId="15756"/>
    <cellStyle name="Porcentaje 2 4 2 2 5 4" xfId="15753"/>
    <cellStyle name="Porcentaje 2 4 2 2 6" xfId="2954"/>
    <cellStyle name="Porcentaje 2 4 2 2 6 2" xfId="6812"/>
    <cellStyle name="Porcentaje 2 4 2 2 6 2 2" xfId="15758"/>
    <cellStyle name="Porcentaje 2 4 2 2 6 3" xfId="15757"/>
    <cellStyle name="Porcentaje 2 4 2 2 7" xfId="4874"/>
    <cellStyle name="Porcentaje 2 4 2 2 7 2" xfId="15759"/>
    <cellStyle name="Porcentaje 2 4 2 2 8" xfId="15728"/>
    <cellStyle name="Porcentaje 2 4 2 3" xfId="1328"/>
    <cellStyle name="Porcentaje 2 4 2 3 2" xfId="2299"/>
    <cellStyle name="Porcentaje 2 4 2 3 2 2" xfId="4244"/>
    <cellStyle name="Porcentaje 2 4 2 3 2 2 2" xfId="8097"/>
    <cellStyle name="Porcentaje 2 4 2 3 2 2 2 2" xfId="15763"/>
    <cellStyle name="Porcentaje 2 4 2 3 2 2 3" xfId="15762"/>
    <cellStyle name="Porcentaje 2 4 2 3 2 3" xfId="6159"/>
    <cellStyle name="Porcentaje 2 4 2 3 2 3 2" xfId="15764"/>
    <cellStyle name="Porcentaje 2 4 2 3 2 4" xfId="15761"/>
    <cellStyle name="Porcentaje 2 4 2 3 3" xfId="3283"/>
    <cellStyle name="Porcentaje 2 4 2 3 3 2" xfId="7141"/>
    <cellStyle name="Porcentaje 2 4 2 3 3 2 2" xfId="15766"/>
    <cellStyle name="Porcentaje 2 4 2 3 3 3" xfId="15765"/>
    <cellStyle name="Porcentaje 2 4 2 3 4" xfId="5203"/>
    <cellStyle name="Porcentaje 2 4 2 3 4 2" xfId="15767"/>
    <cellStyle name="Porcentaje 2 4 2 3 5" xfId="15760"/>
    <cellStyle name="Porcentaje 2 4 2 4" xfId="1096"/>
    <cellStyle name="Porcentaje 2 4 2 4 2" xfId="2067"/>
    <cellStyle name="Porcentaje 2 4 2 4 2 2" xfId="4012"/>
    <cellStyle name="Porcentaje 2 4 2 4 2 2 2" xfId="7865"/>
    <cellStyle name="Porcentaje 2 4 2 4 2 2 2 2" xfId="15771"/>
    <cellStyle name="Porcentaje 2 4 2 4 2 2 3" xfId="15770"/>
    <cellStyle name="Porcentaje 2 4 2 4 2 3" xfId="5927"/>
    <cellStyle name="Porcentaje 2 4 2 4 2 3 2" xfId="15772"/>
    <cellStyle name="Porcentaje 2 4 2 4 2 4" xfId="15769"/>
    <cellStyle name="Porcentaje 2 4 2 4 3" xfId="3051"/>
    <cellStyle name="Porcentaje 2 4 2 4 3 2" xfId="6909"/>
    <cellStyle name="Porcentaje 2 4 2 4 3 2 2" xfId="15774"/>
    <cellStyle name="Porcentaje 2 4 2 4 3 3" xfId="15773"/>
    <cellStyle name="Porcentaje 2 4 2 4 4" xfId="4971"/>
    <cellStyle name="Porcentaje 2 4 2 4 4 2" xfId="15775"/>
    <cellStyle name="Porcentaje 2 4 2 4 5" xfId="15768"/>
    <cellStyle name="Porcentaje 2 4 2 5" xfId="1589"/>
    <cellStyle name="Porcentaje 2 4 2 5 2" xfId="2550"/>
    <cellStyle name="Porcentaje 2 4 2 5 2 2" xfId="4495"/>
    <cellStyle name="Porcentaje 2 4 2 5 2 2 2" xfId="8348"/>
    <cellStyle name="Porcentaje 2 4 2 5 2 2 2 2" xfId="15779"/>
    <cellStyle name="Porcentaje 2 4 2 5 2 2 3" xfId="15778"/>
    <cellStyle name="Porcentaje 2 4 2 5 2 3" xfId="6410"/>
    <cellStyle name="Porcentaje 2 4 2 5 2 3 2" xfId="15780"/>
    <cellStyle name="Porcentaje 2 4 2 5 2 4" xfId="15777"/>
    <cellStyle name="Porcentaje 2 4 2 5 3" xfId="3536"/>
    <cellStyle name="Porcentaje 2 4 2 5 3 2" xfId="7392"/>
    <cellStyle name="Porcentaje 2 4 2 5 3 2 2" xfId="15782"/>
    <cellStyle name="Porcentaje 2 4 2 5 3 3" xfId="15781"/>
    <cellStyle name="Porcentaje 2 4 2 5 4" xfId="5454"/>
    <cellStyle name="Porcentaje 2 4 2 5 4 2" xfId="15783"/>
    <cellStyle name="Porcentaje 2 4 2 5 5" xfId="15776"/>
    <cellStyle name="Porcentaje 2 4 2 6" xfId="1828"/>
    <cellStyle name="Porcentaje 2 4 2 6 2" xfId="3774"/>
    <cellStyle name="Porcentaje 2 4 2 6 2 2" xfId="7627"/>
    <cellStyle name="Porcentaje 2 4 2 6 2 2 2" xfId="15786"/>
    <cellStyle name="Porcentaje 2 4 2 6 2 3" xfId="15785"/>
    <cellStyle name="Porcentaje 2 4 2 6 3" xfId="5689"/>
    <cellStyle name="Porcentaje 2 4 2 6 3 2" xfId="15787"/>
    <cellStyle name="Porcentaje 2 4 2 6 4" xfId="15784"/>
    <cellStyle name="Porcentaje 2 4 2 7" xfId="2812"/>
    <cellStyle name="Porcentaje 2 4 2 7 2" xfId="6671"/>
    <cellStyle name="Porcentaje 2 4 2 7 2 2" xfId="15789"/>
    <cellStyle name="Porcentaje 2 4 2 7 3" xfId="15788"/>
    <cellStyle name="Porcentaje 2 4 2 8" xfId="4739"/>
    <cellStyle name="Porcentaje 2 4 2 8 2" xfId="15790"/>
    <cellStyle name="Porcentaje 2 4 2 9" xfId="15727"/>
    <cellStyle name="Porcentaje 2 4 3" xfId="996"/>
    <cellStyle name="Porcentaje 2 4 3 2" xfId="1373"/>
    <cellStyle name="Porcentaje 2 4 3 2 2" xfId="2344"/>
    <cellStyle name="Porcentaje 2 4 3 2 2 2" xfId="4289"/>
    <cellStyle name="Porcentaje 2 4 3 2 2 2 2" xfId="8142"/>
    <cellStyle name="Porcentaje 2 4 3 2 2 2 2 2" xfId="15795"/>
    <cellStyle name="Porcentaje 2 4 3 2 2 2 3" xfId="15794"/>
    <cellStyle name="Porcentaje 2 4 3 2 2 3" xfId="6204"/>
    <cellStyle name="Porcentaje 2 4 3 2 2 3 2" xfId="15796"/>
    <cellStyle name="Porcentaje 2 4 3 2 2 4" xfId="15793"/>
    <cellStyle name="Porcentaje 2 4 3 2 3" xfId="3328"/>
    <cellStyle name="Porcentaje 2 4 3 2 3 2" xfId="7186"/>
    <cellStyle name="Porcentaje 2 4 3 2 3 2 2" xfId="15798"/>
    <cellStyle name="Porcentaje 2 4 3 2 3 3" xfId="15797"/>
    <cellStyle name="Porcentaje 2 4 3 2 4" xfId="5248"/>
    <cellStyle name="Porcentaje 2 4 3 2 4 2" xfId="15799"/>
    <cellStyle name="Porcentaje 2 4 3 2 5" xfId="15792"/>
    <cellStyle name="Porcentaje 2 4 3 3" xfId="1232"/>
    <cellStyle name="Porcentaje 2 4 3 3 2" xfId="2203"/>
    <cellStyle name="Porcentaje 2 4 3 3 2 2" xfId="4148"/>
    <cellStyle name="Porcentaje 2 4 3 3 2 2 2" xfId="8001"/>
    <cellStyle name="Porcentaje 2 4 3 3 2 2 2 2" xfId="15803"/>
    <cellStyle name="Porcentaje 2 4 3 3 2 2 3" xfId="15802"/>
    <cellStyle name="Porcentaje 2 4 3 3 2 3" xfId="6063"/>
    <cellStyle name="Porcentaje 2 4 3 3 2 3 2" xfId="15804"/>
    <cellStyle name="Porcentaje 2 4 3 3 2 4" xfId="15801"/>
    <cellStyle name="Porcentaje 2 4 3 3 3" xfId="3187"/>
    <cellStyle name="Porcentaje 2 4 3 3 3 2" xfId="7045"/>
    <cellStyle name="Porcentaje 2 4 3 3 3 2 2" xfId="15806"/>
    <cellStyle name="Porcentaje 2 4 3 3 3 3" xfId="15805"/>
    <cellStyle name="Porcentaje 2 4 3 3 4" xfId="5107"/>
    <cellStyle name="Porcentaje 2 4 3 3 4 2" xfId="15807"/>
    <cellStyle name="Porcentaje 2 4 3 3 5" xfId="15800"/>
    <cellStyle name="Porcentaje 2 4 3 4" xfId="1634"/>
    <cellStyle name="Porcentaje 2 4 3 4 2" xfId="2595"/>
    <cellStyle name="Porcentaje 2 4 3 4 2 2" xfId="4540"/>
    <cellStyle name="Porcentaje 2 4 3 4 2 2 2" xfId="8393"/>
    <cellStyle name="Porcentaje 2 4 3 4 2 2 2 2" xfId="15811"/>
    <cellStyle name="Porcentaje 2 4 3 4 2 2 3" xfId="15810"/>
    <cellStyle name="Porcentaje 2 4 3 4 2 3" xfId="6455"/>
    <cellStyle name="Porcentaje 2 4 3 4 2 3 2" xfId="15812"/>
    <cellStyle name="Porcentaje 2 4 3 4 2 4" xfId="15809"/>
    <cellStyle name="Porcentaje 2 4 3 4 3" xfId="3581"/>
    <cellStyle name="Porcentaje 2 4 3 4 3 2" xfId="7437"/>
    <cellStyle name="Porcentaje 2 4 3 4 3 2 2" xfId="15814"/>
    <cellStyle name="Porcentaje 2 4 3 4 3 3" xfId="15813"/>
    <cellStyle name="Porcentaje 2 4 3 4 4" xfId="5499"/>
    <cellStyle name="Porcentaje 2 4 3 4 4 2" xfId="15815"/>
    <cellStyle name="Porcentaje 2 4 3 4 5" xfId="15808"/>
    <cellStyle name="Porcentaje 2 4 3 5" xfId="1971"/>
    <cellStyle name="Porcentaje 2 4 3 5 2" xfId="3916"/>
    <cellStyle name="Porcentaje 2 4 3 5 2 2" xfId="7769"/>
    <cellStyle name="Porcentaje 2 4 3 5 2 2 2" xfId="15818"/>
    <cellStyle name="Porcentaje 2 4 3 5 2 3" xfId="15817"/>
    <cellStyle name="Porcentaje 2 4 3 5 3" xfId="5831"/>
    <cellStyle name="Porcentaje 2 4 3 5 3 2" xfId="15819"/>
    <cellStyle name="Porcentaje 2 4 3 5 4" xfId="15816"/>
    <cellStyle name="Porcentaje 2 4 3 6" xfId="2955"/>
    <cellStyle name="Porcentaje 2 4 3 6 2" xfId="6813"/>
    <cellStyle name="Porcentaje 2 4 3 6 2 2" xfId="15821"/>
    <cellStyle name="Porcentaje 2 4 3 6 3" xfId="15820"/>
    <cellStyle name="Porcentaje 2 4 3 7" xfId="4875"/>
    <cellStyle name="Porcentaje 2 4 3 7 2" xfId="15822"/>
    <cellStyle name="Porcentaje 2 4 3 8" xfId="15791"/>
    <cellStyle name="Porcentaje 2 4 4" xfId="1271"/>
    <cellStyle name="Porcentaje 2 4 4 2" xfId="2242"/>
    <cellStyle name="Porcentaje 2 4 4 2 2" xfId="4187"/>
    <cellStyle name="Porcentaje 2 4 4 2 2 2" xfId="8040"/>
    <cellStyle name="Porcentaje 2 4 4 2 2 2 2" xfId="15826"/>
    <cellStyle name="Porcentaje 2 4 4 2 2 3" xfId="15825"/>
    <cellStyle name="Porcentaje 2 4 4 2 3" xfId="6102"/>
    <cellStyle name="Porcentaje 2 4 4 2 3 2" xfId="15827"/>
    <cellStyle name="Porcentaje 2 4 4 2 4" xfId="15824"/>
    <cellStyle name="Porcentaje 2 4 4 3" xfId="3226"/>
    <cellStyle name="Porcentaje 2 4 4 3 2" xfId="7084"/>
    <cellStyle name="Porcentaje 2 4 4 3 2 2" xfId="15829"/>
    <cellStyle name="Porcentaje 2 4 4 3 3" xfId="15828"/>
    <cellStyle name="Porcentaje 2 4 4 4" xfId="5146"/>
    <cellStyle name="Porcentaje 2 4 4 4 2" xfId="15830"/>
    <cellStyle name="Porcentaje 2 4 4 5" xfId="15823"/>
    <cellStyle name="Porcentaje 2 4 5" xfId="1038"/>
    <cellStyle name="Porcentaje 2 4 5 2" xfId="2010"/>
    <cellStyle name="Porcentaje 2 4 5 2 2" xfId="3955"/>
    <cellStyle name="Porcentaje 2 4 5 2 2 2" xfId="7808"/>
    <cellStyle name="Porcentaje 2 4 5 2 2 2 2" xfId="15834"/>
    <cellStyle name="Porcentaje 2 4 5 2 2 3" xfId="15833"/>
    <cellStyle name="Porcentaje 2 4 5 2 3" xfId="5870"/>
    <cellStyle name="Porcentaje 2 4 5 2 3 2" xfId="15835"/>
    <cellStyle name="Porcentaje 2 4 5 2 4" xfId="15832"/>
    <cellStyle name="Porcentaje 2 4 5 3" xfId="2994"/>
    <cellStyle name="Porcentaje 2 4 5 3 2" xfId="6852"/>
    <cellStyle name="Porcentaje 2 4 5 3 2 2" xfId="15837"/>
    <cellStyle name="Porcentaje 2 4 5 3 3" xfId="15836"/>
    <cellStyle name="Porcentaje 2 4 5 4" xfId="4914"/>
    <cellStyle name="Porcentaje 2 4 5 4 2" xfId="15838"/>
    <cellStyle name="Porcentaje 2 4 5 5" xfId="15831"/>
    <cellStyle name="Porcentaje 2 4 6" xfId="1529"/>
    <cellStyle name="Porcentaje 2 4 6 2" xfId="2495"/>
    <cellStyle name="Porcentaje 2 4 6 2 2" xfId="4440"/>
    <cellStyle name="Porcentaje 2 4 6 2 2 2" xfId="8293"/>
    <cellStyle name="Porcentaje 2 4 6 2 2 2 2" xfId="15842"/>
    <cellStyle name="Porcentaje 2 4 6 2 2 3" xfId="15841"/>
    <cellStyle name="Porcentaje 2 4 6 2 3" xfId="6355"/>
    <cellStyle name="Porcentaje 2 4 6 2 3 2" xfId="15843"/>
    <cellStyle name="Porcentaje 2 4 6 2 4" xfId="15840"/>
    <cellStyle name="Porcentaje 2 4 6 3" xfId="3481"/>
    <cellStyle name="Porcentaje 2 4 6 3 2" xfId="7337"/>
    <cellStyle name="Porcentaje 2 4 6 3 2 2" xfId="15845"/>
    <cellStyle name="Porcentaje 2 4 6 3 3" xfId="15844"/>
    <cellStyle name="Porcentaje 2 4 6 4" xfId="5399"/>
    <cellStyle name="Porcentaje 2 4 6 4 2" xfId="15846"/>
    <cellStyle name="Porcentaje 2 4 6 5" xfId="15839"/>
    <cellStyle name="Porcentaje 2 4 7" xfId="1771"/>
    <cellStyle name="Porcentaje 2 4 7 2" xfId="3717"/>
    <cellStyle name="Porcentaje 2 4 7 2 2" xfId="7570"/>
    <cellStyle name="Porcentaje 2 4 7 2 2 2" xfId="15849"/>
    <cellStyle name="Porcentaje 2 4 7 2 3" xfId="15848"/>
    <cellStyle name="Porcentaje 2 4 7 3" xfId="5632"/>
    <cellStyle name="Porcentaje 2 4 7 3 2" xfId="15850"/>
    <cellStyle name="Porcentaje 2 4 7 4" xfId="15847"/>
    <cellStyle name="Porcentaje 2 4 8" xfId="2707"/>
    <cellStyle name="Porcentaje 2 4 8 2" xfId="6566"/>
    <cellStyle name="Porcentaje 2 4 8 2 2" xfId="15852"/>
    <cellStyle name="Porcentaje 2 4 8 3" xfId="15851"/>
    <cellStyle name="Porcentaje 2 4 9" xfId="2755"/>
    <cellStyle name="Porcentaje 2 4 9 2" xfId="6614"/>
    <cellStyle name="Porcentaje 2 4 9 2 2" xfId="15854"/>
    <cellStyle name="Porcentaje 2 4 9 3" xfId="15853"/>
    <cellStyle name="Porcentaje 2 5" xfId="582"/>
    <cellStyle name="Porcentaje 2 5 2" xfId="997"/>
    <cellStyle name="Porcentaje 2 5 2 2" xfId="1376"/>
    <cellStyle name="Porcentaje 2 5 2 2 2" xfId="2347"/>
    <cellStyle name="Porcentaje 2 5 2 2 2 2" xfId="4292"/>
    <cellStyle name="Porcentaje 2 5 2 2 2 2 2" xfId="8145"/>
    <cellStyle name="Porcentaje 2 5 2 2 2 2 2 2" xfId="15860"/>
    <cellStyle name="Porcentaje 2 5 2 2 2 2 3" xfId="15859"/>
    <cellStyle name="Porcentaje 2 5 2 2 2 3" xfId="6207"/>
    <cellStyle name="Porcentaje 2 5 2 2 2 3 2" xfId="15861"/>
    <cellStyle name="Porcentaje 2 5 2 2 2 4" xfId="15858"/>
    <cellStyle name="Porcentaje 2 5 2 2 3" xfId="3331"/>
    <cellStyle name="Porcentaje 2 5 2 2 3 2" xfId="7189"/>
    <cellStyle name="Porcentaje 2 5 2 2 3 2 2" xfId="15863"/>
    <cellStyle name="Porcentaje 2 5 2 2 3 3" xfId="15862"/>
    <cellStyle name="Porcentaje 2 5 2 2 4" xfId="5251"/>
    <cellStyle name="Porcentaje 2 5 2 2 4 2" xfId="15864"/>
    <cellStyle name="Porcentaje 2 5 2 2 5" xfId="15857"/>
    <cellStyle name="Porcentaje 2 5 2 3" xfId="1233"/>
    <cellStyle name="Porcentaje 2 5 2 3 2" xfId="2204"/>
    <cellStyle name="Porcentaje 2 5 2 3 2 2" xfId="4149"/>
    <cellStyle name="Porcentaje 2 5 2 3 2 2 2" xfId="8002"/>
    <cellStyle name="Porcentaje 2 5 2 3 2 2 2 2" xfId="15868"/>
    <cellStyle name="Porcentaje 2 5 2 3 2 2 3" xfId="15867"/>
    <cellStyle name="Porcentaje 2 5 2 3 2 3" xfId="6064"/>
    <cellStyle name="Porcentaje 2 5 2 3 2 3 2" xfId="15869"/>
    <cellStyle name="Porcentaje 2 5 2 3 2 4" xfId="15866"/>
    <cellStyle name="Porcentaje 2 5 2 3 3" xfId="3188"/>
    <cellStyle name="Porcentaje 2 5 2 3 3 2" xfId="7046"/>
    <cellStyle name="Porcentaje 2 5 2 3 3 2 2" xfId="15871"/>
    <cellStyle name="Porcentaje 2 5 2 3 3 3" xfId="15870"/>
    <cellStyle name="Porcentaje 2 5 2 3 4" xfId="5108"/>
    <cellStyle name="Porcentaje 2 5 2 3 4 2" xfId="15872"/>
    <cellStyle name="Porcentaje 2 5 2 3 5" xfId="15865"/>
    <cellStyle name="Porcentaje 2 5 2 4" xfId="1637"/>
    <cellStyle name="Porcentaje 2 5 2 4 2" xfId="2598"/>
    <cellStyle name="Porcentaje 2 5 2 4 2 2" xfId="4543"/>
    <cellStyle name="Porcentaje 2 5 2 4 2 2 2" xfId="8396"/>
    <cellStyle name="Porcentaje 2 5 2 4 2 2 2 2" xfId="15876"/>
    <cellStyle name="Porcentaje 2 5 2 4 2 2 3" xfId="15875"/>
    <cellStyle name="Porcentaje 2 5 2 4 2 3" xfId="6458"/>
    <cellStyle name="Porcentaje 2 5 2 4 2 3 2" xfId="15877"/>
    <cellStyle name="Porcentaje 2 5 2 4 2 4" xfId="15874"/>
    <cellStyle name="Porcentaje 2 5 2 4 3" xfId="3584"/>
    <cellStyle name="Porcentaje 2 5 2 4 3 2" xfId="7440"/>
    <cellStyle name="Porcentaje 2 5 2 4 3 2 2" xfId="15879"/>
    <cellStyle name="Porcentaje 2 5 2 4 3 3" xfId="15878"/>
    <cellStyle name="Porcentaje 2 5 2 4 4" xfId="5502"/>
    <cellStyle name="Porcentaje 2 5 2 4 4 2" xfId="15880"/>
    <cellStyle name="Porcentaje 2 5 2 4 5" xfId="15873"/>
    <cellStyle name="Porcentaje 2 5 2 5" xfId="1972"/>
    <cellStyle name="Porcentaje 2 5 2 5 2" xfId="3917"/>
    <cellStyle name="Porcentaje 2 5 2 5 2 2" xfId="7770"/>
    <cellStyle name="Porcentaje 2 5 2 5 2 2 2" xfId="15883"/>
    <cellStyle name="Porcentaje 2 5 2 5 2 3" xfId="15882"/>
    <cellStyle name="Porcentaje 2 5 2 5 3" xfId="5832"/>
    <cellStyle name="Porcentaje 2 5 2 5 3 2" xfId="15884"/>
    <cellStyle name="Porcentaje 2 5 2 5 4" xfId="15881"/>
    <cellStyle name="Porcentaje 2 5 2 6" xfId="2956"/>
    <cellStyle name="Porcentaje 2 5 2 6 2" xfId="6814"/>
    <cellStyle name="Porcentaje 2 5 2 6 2 2" xfId="15886"/>
    <cellStyle name="Porcentaje 2 5 2 6 3" xfId="15885"/>
    <cellStyle name="Porcentaje 2 5 2 7" xfId="4876"/>
    <cellStyle name="Porcentaje 2 5 2 7 2" xfId="15887"/>
    <cellStyle name="Porcentaje 2 5 2 8" xfId="15856"/>
    <cellStyle name="Porcentaje 2 5 3" xfId="1274"/>
    <cellStyle name="Porcentaje 2 5 3 2" xfId="2245"/>
    <cellStyle name="Porcentaje 2 5 3 2 2" xfId="4190"/>
    <cellStyle name="Porcentaje 2 5 3 2 2 2" xfId="8043"/>
    <cellStyle name="Porcentaje 2 5 3 2 2 2 2" xfId="15891"/>
    <cellStyle name="Porcentaje 2 5 3 2 2 3" xfId="15890"/>
    <cellStyle name="Porcentaje 2 5 3 2 3" xfId="6105"/>
    <cellStyle name="Porcentaje 2 5 3 2 3 2" xfId="15892"/>
    <cellStyle name="Porcentaje 2 5 3 2 4" xfId="15889"/>
    <cellStyle name="Porcentaje 2 5 3 3" xfId="3229"/>
    <cellStyle name="Porcentaje 2 5 3 3 2" xfId="7087"/>
    <cellStyle name="Porcentaje 2 5 3 3 2 2" xfId="15894"/>
    <cellStyle name="Porcentaje 2 5 3 3 3" xfId="15893"/>
    <cellStyle name="Porcentaje 2 5 3 4" xfId="5149"/>
    <cellStyle name="Porcentaje 2 5 3 4 2" xfId="15895"/>
    <cellStyle name="Porcentaje 2 5 3 5" xfId="15888"/>
    <cellStyle name="Porcentaje 2 5 4" xfId="1041"/>
    <cellStyle name="Porcentaje 2 5 4 2" xfId="2013"/>
    <cellStyle name="Porcentaje 2 5 4 2 2" xfId="3958"/>
    <cellStyle name="Porcentaje 2 5 4 2 2 2" xfId="7811"/>
    <cellStyle name="Porcentaje 2 5 4 2 2 2 2" xfId="15899"/>
    <cellStyle name="Porcentaje 2 5 4 2 2 3" xfId="15898"/>
    <cellStyle name="Porcentaje 2 5 4 2 3" xfId="5873"/>
    <cellStyle name="Porcentaje 2 5 4 2 3 2" xfId="15900"/>
    <cellStyle name="Porcentaje 2 5 4 2 4" xfId="15897"/>
    <cellStyle name="Porcentaje 2 5 4 3" xfId="2997"/>
    <cellStyle name="Porcentaje 2 5 4 3 2" xfId="6855"/>
    <cellStyle name="Porcentaje 2 5 4 3 2 2" xfId="15902"/>
    <cellStyle name="Porcentaje 2 5 4 3 3" xfId="15901"/>
    <cellStyle name="Porcentaje 2 5 4 4" xfId="4917"/>
    <cellStyle name="Porcentaje 2 5 4 4 2" xfId="15903"/>
    <cellStyle name="Porcentaje 2 5 4 5" xfId="15896"/>
    <cellStyle name="Porcentaje 2 5 5" xfId="1532"/>
    <cellStyle name="Porcentaje 2 5 5 2" xfId="2498"/>
    <cellStyle name="Porcentaje 2 5 5 2 2" xfId="4443"/>
    <cellStyle name="Porcentaje 2 5 5 2 2 2" xfId="8296"/>
    <cellStyle name="Porcentaje 2 5 5 2 2 2 2" xfId="15907"/>
    <cellStyle name="Porcentaje 2 5 5 2 2 3" xfId="15906"/>
    <cellStyle name="Porcentaje 2 5 5 2 3" xfId="6358"/>
    <cellStyle name="Porcentaje 2 5 5 2 3 2" xfId="15908"/>
    <cellStyle name="Porcentaje 2 5 5 2 4" xfId="15905"/>
    <cellStyle name="Porcentaje 2 5 5 3" xfId="3484"/>
    <cellStyle name="Porcentaje 2 5 5 3 2" xfId="7340"/>
    <cellStyle name="Porcentaje 2 5 5 3 2 2" xfId="15910"/>
    <cellStyle name="Porcentaje 2 5 5 3 3" xfId="15909"/>
    <cellStyle name="Porcentaje 2 5 5 4" xfId="5402"/>
    <cellStyle name="Porcentaje 2 5 5 4 2" xfId="15911"/>
    <cellStyle name="Porcentaje 2 5 5 5" xfId="15904"/>
    <cellStyle name="Porcentaje 2 5 6" xfId="1774"/>
    <cellStyle name="Porcentaje 2 5 6 2" xfId="3720"/>
    <cellStyle name="Porcentaje 2 5 6 2 2" xfId="7573"/>
    <cellStyle name="Porcentaje 2 5 6 2 2 2" xfId="15914"/>
    <cellStyle name="Porcentaje 2 5 6 2 3" xfId="15913"/>
    <cellStyle name="Porcentaje 2 5 6 3" xfId="5635"/>
    <cellStyle name="Porcentaje 2 5 6 3 2" xfId="15915"/>
    <cellStyle name="Porcentaje 2 5 6 4" xfId="15912"/>
    <cellStyle name="Porcentaje 2 5 7" xfId="2758"/>
    <cellStyle name="Porcentaje 2 5 7 2" xfId="6617"/>
    <cellStyle name="Porcentaje 2 5 7 2 2" xfId="15917"/>
    <cellStyle name="Porcentaje 2 5 7 3" xfId="15916"/>
    <cellStyle name="Porcentaje 2 5 8" xfId="4685"/>
    <cellStyle name="Porcentaje 2 5 8 2" xfId="15918"/>
    <cellStyle name="Porcentaje 2 5 9" xfId="15855"/>
    <cellStyle name="Porcentaje 2 6" xfId="588"/>
    <cellStyle name="Porcentaje 2 6 10" xfId="15919"/>
    <cellStyle name="Porcentaje 2 6 2" xfId="872"/>
    <cellStyle name="Porcentaje 2 6 2 2" xfId="998"/>
    <cellStyle name="Porcentaje 2 6 2 2 10" xfId="15921"/>
    <cellStyle name="Porcentaje 2 6 2 2 2" xfId="1459"/>
    <cellStyle name="Porcentaje 2 6 2 2 2 2" xfId="2430"/>
    <cellStyle name="Porcentaje 2 6 2 2 2 2 2" xfId="4375"/>
    <cellStyle name="Porcentaje 2 6 2 2 2 2 2 2" xfId="8228"/>
    <cellStyle name="Porcentaje 2 6 2 2 2 2 2 2 2" xfId="15925"/>
    <cellStyle name="Porcentaje 2 6 2 2 2 2 2 3" xfId="15924"/>
    <cellStyle name="Porcentaje 2 6 2 2 2 2 3" xfId="6290"/>
    <cellStyle name="Porcentaje 2 6 2 2 2 2 3 2" xfId="15926"/>
    <cellStyle name="Porcentaje 2 6 2 2 2 2 4" xfId="15923"/>
    <cellStyle name="Porcentaje 2 6 2 2 2 3" xfId="3414"/>
    <cellStyle name="Porcentaje 2 6 2 2 2 3 2" xfId="7272"/>
    <cellStyle name="Porcentaje 2 6 2 2 2 3 2 2" xfId="15928"/>
    <cellStyle name="Porcentaje 2 6 2 2 2 3 3" xfId="15927"/>
    <cellStyle name="Porcentaje 2 6 2 2 2 4" xfId="5334"/>
    <cellStyle name="Porcentaje 2 6 2 2 2 4 2" xfId="15929"/>
    <cellStyle name="Porcentaje 2 6 2 2 2 5" xfId="15922"/>
    <cellStyle name="Porcentaje 2 6 2 2 3" xfId="1234"/>
    <cellStyle name="Porcentaje 2 6 2 2 3 2" xfId="2205"/>
    <cellStyle name="Porcentaje 2 6 2 2 3 2 2" xfId="4150"/>
    <cellStyle name="Porcentaje 2 6 2 2 3 2 2 2" xfId="8003"/>
    <cellStyle name="Porcentaje 2 6 2 2 3 2 2 2 2" xfId="15933"/>
    <cellStyle name="Porcentaje 2 6 2 2 3 2 2 3" xfId="15932"/>
    <cellStyle name="Porcentaje 2 6 2 2 3 2 3" xfId="6065"/>
    <cellStyle name="Porcentaje 2 6 2 2 3 2 3 2" xfId="15934"/>
    <cellStyle name="Porcentaje 2 6 2 2 3 2 4" xfId="15931"/>
    <cellStyle name="Porcentaje 2 6 2 2 3 3" xfId="3189"/>
    <cellStyle name="Porcentaje 2 6 2 2 3 3 2" xfId="7047"/>
    <cellStyle name="Porcentaje 2 6 2 2 3 3 2 2" xfId="15936"/>
    <cellStyle name="Porcentaje 2 6 2 2 3 3 3" xfId="15935"/>
    <cellStyle name="Porcentaje 2 6 2 2 3 4" xfId="5109"/>
    <cellStyle name="Porcentaje 2 6 2 2 3 4 2" xfId="15937"/>
    <cellStyle name="Porcentaje 2 6 2 2 3 5" xfId="15930"/>
    <cellStyle name="Porcentaje 2 6 2 2 4" xfId="1474"/>
    <cellStyle name="Porcentaje 2 6 2 2 4 2" xfId="2444"/>
    <cellStyle name="Porcentaje 2 6 2 2 4 2 2" xfId="4389"/>
    <cellStyle name="Porcentaje 2 6 2 2 4 2 2 2" xfId="8242"/>
    <cellStyle name="Porcentaje 2 6 2 2 4 2 2 2 2" xfId="15941"/>
    <cellStyle name="Porcentaje 2 6 2 2 4 2 2 3" xfId="15940"/>
    <cellStyle name="Porcentaje 2 6 2 2 4 2 3" xfId="6304"/>
    <cellStyle name="Porcentaje 2 6 2 2 4 2 3 2" xfId="15942"/>
    <cellStyle name="Porcentaje 2 6 2 2 4 2 4" xfId="15939"/>
    <cellStyle name="Porcentaje 2 6 2 2 4 3" xfId="3428"/>
    <cellStyle name="Porcentaje 2 6 2 2 4 3 2" xfId="7286"/>
    <cellStyle name="Porcentaje 2 6 2 2 4 3 2 2" xfId="15944"/>
    <cellStyle name="Porcentaje 2 6 2 2 4 3 3" xfId="15943"/>
    <cellStyle name="Porcentaje 2 6 2 2 4 4" xfId="5348"/>
    <cellStyle name="Porcentaje 2 6 2 2 4 4 2" xfId="15945"/>
    <cellStyle name="Porcentaje 2 6 2 2 4 5" xfId="15938"/>
    <cellStyle name="Porcentaje 2 6 2 2 5" xfId="1482"/>
    <cellStyle name="Porcentaje 2 6 2 2 5 2" xfId="2452"/>
    <cellStyle name="Porcentaje 2 6 2 2 5 2 2" xfId="4397"/>
    <cellStyle name="Porcentaje 2 6 2 2 5 2 2 2" xfId="8250"/>
    <cellStyle name="Porcentaje 2 6 2 2 5 2 2 2 2" xfId="15949"/>
    <cellStyle name="Porcentaje 2 6 2 2 5 2 2 3" xfId="15948"/>
    <cellStyle name="Porcentaje 2 6 2 2 5 2 3" xfId="6312"/>
    <cellStyle name="Porcentaje 2 6 2 2 5 2 3 2" xfId="15950"/>
    <cellStyle name="Porcentaje 2 6 2 2 5 2 4" xfId="15947"/>
    <cellStyle name="Porcentaje 2 6 2 2 5 3" xfId="2713"/>
    <cellStyle name="Porcentaje 2 6 2 2 5 3 2" xfId="6572"/>
    <cellStyle name="Porcentaje 2 6 2 2 5 3 2 2" xfId="15952"/>
    <cellStyle name="Porcentaje 2 6 2 2 5 3 3" xfId="15951"/>
    <cellStyle name="Porcentaje 2 6 2 2 5 3 4" xfId="16325"/>
    <cellStyle name="Porcentaje 2 6 2 2 5 4" xfId="3436"/>
    <cellStyle name="Porcentaje 2 6 2 2 5 4 2" xfId="7294"/>
    <cellStyle name="Porcentaje 2 6 2 2 5 4 2 2" xfId="15954"/>
    <cellStyle name="Porcentaje 2 6 2 2 5 4 3" xfId="15953"/>
    <cellStyle name="Porcentaje 2 6 2 2 5 5" xfId="5356"/>
    <cellStyle name="Porcentaje 2 6 2 2 5 5 2" xfId="15955"/>
    <cellStyle name="Porcentaje 2 6 2 2 5 6" xfId="15946"/>
    <cellStyle name="Porcentaje 2 6 2 2 6" xfId="1721"/>
    <cellStyle name="Porcentaje 2 6 2 2 6 2" xfId="2681"/>
    <cellStyle name="Porcentaje 2 6 2 2 6 2 2" xfId="4626"/>
    <cellStyle name="Porcentaje 2 6 2 2 6 2 2 2" xfId="8479"/>
    <cellStyle name="Porcentaje 2 6 2 2 6 2 2 2 2" xfId="15959"/>
    <cellStyle name="Porcentaje 2 6 2 2 6 2 2 3" xfId="15958"/>
    <cellStyle name="Porcentaje 2 6 2 2 6 2 3" xfId="6541"/>
    <cellStyle name="Porcentaje 2 6 2 2 6 2 3 2" xfId="15960"/>
    <cellStyle name="Porcentaje 2 6 2 2 6 2 4" xfId="15957"/>
    <cellStyle name="Porcentaje 2 6 2 2 6 3" xfId="3668"/>
    <cellStyle name="Porcentaje 2 6 2 2 6 3 2" xfId="7523"/>
    <cellStyle name="Porcentaje 2 6 2 2 6 3 2 2" xfId="15962"/>
    <cellStyle name="Porcentaje 2 6 2 2 6 3 3" xfId="15961"/>
    <cellStyle name="Porcentaje 2 6 2 2 6 4" xfId="5585"/>
    <cellStyle name="Porcentaje 2 6 2 2 6 4 2" xfId="15963"/>
    <cellStyle name="Porcentaje 2 6 2 2 6 5" xfId="15956"/>
    <cellStyle name="Porcentaje 2 6 2 2 7" xfId="1973"/>
    <cellStyle name="Porcentaje 2 6 2 2 7 2" xfId="3918"/>
    <cellStyle name="Porcentaje 2 6 2 2 7 2 2" xfId="7771"/>
    <cellStyle name="Porcentaje 2 6 2 2 7 2 2 2" xfId="15966"/>
    <cellStyle name="Porcentaje 2 6 2 2 7 2 3" xfId="15965"/>
    <cellStyle name="Porcentaje 2 6 2 2 7 3" xfId="5833"/>
    <cellStyle name="Porcentaje 2 6 2 2 7 3 2" xfId="15967"/>
    <cellStyle name="Porcentaje 2 6 2 2 7 4" xfId="15964"/>
    <cellStyle name="Porcentaje 2 6 2 2 8" xfId="2957"/>
    <cellStyle name="Porcentaje 2 6 2 2 8 2" xfId="6815"/>
    <cellStyle name="Porcentaje 2 6 2 2 8 2 2" xfId="15969"/>
    <cellStyle name="Porcentaje 2 6 2 2 8 3" xfId="15968"/>
    <cellStyle name="Porcentaje 2 6 2 2 9" xfId="4877"/>
    <cellStyle name="Porcentaje 2 6 2 2 9 2" xfId="15970"/>
    <cellStyle name="Porcentaje 2 6 2 3" xfId="1342"/>
    <cellStyle name="Porcentaje 2 6 2 3 2" xfId="2313"/>
    <cellStyle name="Porcentaje 2 6 2 3 2 2" xfId="4258"/>
    <cellStyle name="Porcentaje 2 6 2 3 2 2 2" xfId="8111"/>
    <cellStyle name="Porcentaje 2 6 2 3 2 2 2 2" xfId="15974"/>
    <cellStyle name="Porcentaje 2 6 2 3 2 2 3" xfId="15973"/>
    <cellStyle name="Porcentaje 2 6 2 3 2 3" xfId="6173"/>
    <cellStyle name="Porcentaje 2 6 2 3 2 3 2" xfId="15975"/>
    <cellStyle name="Porcentaje 2 6 2 3 2 4" xfId="15972"/>
    <cellStyle name="Porcentaje 2 6 2 3 3" xfId="3297"/>
    <cellStyle name="Porcentaje 2 6 2 3 3 2" xfId="7155"/>
    <cellStyle name="Porcentaje 2 6 2 3 3 2 2" xfId="15977"/>
    <cellStyle name="Porcentaje 2 6 2 3 3 3" xfId="15976"/>
    <cellStyle name="Porcentaje 2 6 2 3 4" xfId="5217"/>
    <cellStyle name="Porcentaje 2 6 2 3 4 2" xfId="15978"/>
    <cellStyle name="Porcentaje 2 6 2 3 5" xfId="15971"/>
    <cellStyle name="Porcentaje 2 6 2 4" xfId="1113"/>
    <cellStyle name="Porcentaje 2 6 2 4 2" xfId="2084"/>
    <cellStyle name="Porcentaje 2 6 2 4 2 2" xfId="4029"/>
    <cellStyle name="Porcentaje 2 6 2 4 2 2 2" xfId="7882"/>
    <cellStyle name="Porcentaje 2 6 2 4 2 2 2 2" xfId="15982"/>
    <cellStyle name="Porcentaje 2 6 2 4 2 2 3" xfId="15981"/>
    <cellStyle name="Porcentaje 2 6 2 4 2 3" xfId="5944"/>
    <cellStyle name="Porcentaje 2 6 2 4 2 3 2" xfId="15983"/>
    <cellStyle name="Porcentaje 2 6 2 4 2 4" xfId="15980"/>
    <cellStyle name="Porcentaje 2 6 2 4 3" xfId="3068"/>
    <cellStyle name="Porcentaje 2 6 2 4 3 2" xfId="6926"/>
    <cellStyle name="Porcentaje 2 6 2 4 3 2 2" xfId="15985"/>
    <cellStyle name="Porcentaje 2 6 2 4 3 3" xfId="15984"/>
    <cellStyle name="Porcentaje 2 6 2 4 4" xfId="4988"/>
    <cellStyle name="Porcentaje 2 6 2 4 4 2" xfId="15986"/>
    <cellStyle name="Porcentaje 2 6 2 4 5" xfId="15979"/>
    <cellStyle name="Porcentaje 2 6 2 5" xfId="1603"/>
    <cellStyle name="Porcentaje 2 6 2 5 2" xfId="2564"/>
    <cellStyle name="Porcentaje 2 6 2 5 2 2" xfId="4509"/>
    <cellStyle name="Porcentaje 2 6 2 5 2 2 2" xfId="8362"/>
    <cellStyle name="Porcentaje 2 6 2 5 2 2 2 2" xfId="15990"/>
    <cellStyle name="Porcentaje 2 6 2 5 2 2 3" xfId="15989"/>
    <cellStyle name="Porcentaje 2 6 2 5 2 3" xfId="6424"/>
    <cellStyle name="Porcentaje 2 6 2 5 2 3 2" xfId="15991"/>
    <cellStyle name="Porcentaje 2 6 2 5 2 4" xfId="15988"/>
    <cellStyle name="Porcentaje 2 6 2 5 3" xfId="3550"/>
    <cellStyle name="Porcentaje 2 6 2 5 3 2" xfId="7406"/>
    <cellStyle name="Porcentaje 2 6 2 5 3 2 2" xfId="15993"/>
    <cellStyle name="Porcentaje 2 6 2 5 3 3" xfId="15992"/>
    <cellStyle name="Porcentaje 2 6 2 5 4" xfId="5468"/>
    <cellStyle name="Porcentaje 2 6 2 5 4 2" xfId="15994"/>
    <cellStyle name="Porcentaje 2 6 2 5 5" xfId="15987"/>
    <cellStyle name="Porcentaje 2 6 2 6" xfId="1851"/>
    <cellStyle name="Porcentaje 2 6 2 6 2" xfId="3797"/>
    <cellStyle name="Porcentaje 2 6 2 6 2 2" xfId="7650"/>
    <cellStyle name="Porcentaje 2 6 2 6 2 2 2" xfId="15997"/>
    <cellStyle name="Porcentaje 2 6 2 6 2 3" xfId="15996"/>
    <cellStyle name="Porcentaje 2 6 2 6 3" xfId="5712"/>
    <cellStyle name="Porcentaje 2 6 2 6 3 2" xfId="15998"/>
    <cellStyle name="Porcentaje 2 6 2 6 4" xfId="15995"/>
    <cellStyle name="Porcentaje 2 6 2 7" xfId="2835"/>
    <cellStyle name="Porcentaje 2 6 2 7 2" xfId="6694"/>
    <cellStyle name="Porcentaje 2 6 2 7 2 2" xfId="16000"/>
    <cellStyle name="Porcentaje 2 6 2 7 3" xfId="15999"/>
    <cellStyle name="Porcentaje 2 6 2 8" xfId="4756"/>
    <cellStyle name="Porcentaje 2 6 2 8 2" xfId="16001"/>
    <cellStyle name="Porcentaje 2 6 2 9" xfId="15920"/>
    <cellStyle name="Porcentaje 2 6 3" xfId="999"/>
    <cellStyle name="Porcentaje 2 6 3 2" xfId="1000"/>
    <cellStyle name="Porcentaje 2 6 3 2 2" xfId="1469"/>
    <cellStyle name="Porcentaje 2 6 3 2 2 2" xfId="2440"/>
    <cellStyle name="Porcentaje 2 6 3 2 2 2 2" xfId="4385"/>
    <cellStyle name="Porcentaje 2 6 3 2 2 2 2 2" xfId="8238"/>
    <cellStyle name="Porcentaje 2 6 3 2 2 2 2 2 2" xfId="16007"/>
    <cellStyle name="Porcentaje 2 6 3 2 2 2 2 3" xfId="16006"/>
    <cellStyle name="Porcentaje 2 6 3 2 2 2 3" xfId="6300"/>
    <cellStyle name="Porcentaje 2 6 3 2 2 2 3 2" xfId="16008"/>
    <cellStyle name="Porcentaje 2 6 3 2 2 2 4" xfId="16005"/>
    <cellStyle name="Porcentaje 2 6 3 2 2 3" xfId="3424"/>
    <cellStyle name="Porcentaje 2 6 3 2 2 3 2" xfId="7282"/>
    <cellStyle name="Porcentaje 2 6 3 2 2 3 2 2" xfId="16010"/>
    <cellStyle name="Porcentaje 2 6 3 2 2 3 3" xfId="16009"/>
    <cellStyle name="Porcentaje 2 6 3 2 2 4" xfId="5344"/>
    <cellStyle name="Porcentaje 2 6 3 2 2 4 2" xfId="16011"/>
    <cellStyle name="Porcentaje 2 6 3 2 2 5" xfId="16004"/>
    <cellStyle name="Porcentaje 2 6 3 2 3" xfId="1236"/>
    <cellStyle name="Porcentaje 2 6 3 2 3 2" xfId="2207"/>
    <cellStyle name="Porcentaje 2 6 3 2 3 2 2" xfId="4152"/>
    <cellStyle name="Porcentaje 2 6 3 2 3 2 2 2" xfId="8005"/>
    <cellStyle name="Porcentaje 2 6 3 2 3 2 2 2 2" xfId="16015"/>
    <cellStyle name="Porcentaje 2 6 3 2 3 2 2 3" xfId="16014"/>
    <cellStyle name="Porcentaje 2 6 3 2 3 2 3" xfId="6067"/>
    <cellStyle name="Porcentaje 2 6 3 2 3 2 3 2" xfId="16016"/>
    <cellStyle name="Porcentaje 2 6 3 2 3 2 4" xfId="16013"/>
    <cellStyle name="Porcentaje 2 6 3 2 3 3" xfId="3191"/>
    <cellStyle name="Porcentaje 2 6 3 2 3 3 2" xfId="7049"/>
    <cellStyle name="Porcentaje 2 6 3 2 3 3 2 2" xfId="16018"/>
    <cellStyle name="Porcentaje 2 6 3 2 3 3 3" xfId="16017"/>
    <cellStyle name="Porcentaje 2 6 3 2 3 4" xfId="5111"/>
    <cellStyle name="Porcentaje 2 6 3 2 3 4 2" xfId="16019"/>
    <cellStyle name="Porcentaje 2 6 3 2 3 5" xfId="16012"/>
    <cellStyle name="Porcentaje 2 6 3 2 4" xfId="1732"/>
    <cellStyle name="Porcentaje 2 6 3 2 4 2" xfId="2691"/>
    <cellStyle name="Porcentaje 2 6 3 2 4 2 2" xfId="4636"/>
    <cellStyle name="Porcentaje 2 6 3 2 4 2 2 2" xfId="8489"/>
    <cellStyle name="Porcentaje 2 6 3 2 4 2 2 2 2" xfId="16023"/>
    <cellStyle name="Porcentaje 2 6 3 2 4 2 2 3" xfId="16022"/>
    <cellStyle name="Porcentaje 2 6 3 2 4 2 3" xfId="6551"/>
    <cellStyle name="Porcentaje 2 6 3 2 4 2 3 2" xfId="16024"/>
    <cellStyle name="Porcentaje 2 6 3 2 4 2 4" xfId="16021"/>
    <cellStyle name="Porcentaje 2 6 3 2 4 3" xfId="3679"/>
    <cellStyle name="Porcentaje 2 6 3 2 4 3 2" xfId="7533"/>
    <cellStyle name="Porcentaje 2 6 3 2 4 3 2 2" xfId="16026"/>
    <cellStyle name="Porcentaje 2 6 3 2 4 3 3" xfId="16025"/>
    <cellStyle name="Porcentaje 2 6 3 2 4 4" xfId="5595"/>
    <cellStyle name="Porcentaje 2 6 3 2 4 4 2" xfId="16027"/>
    <cellStyle name="Porcentaje 2 6 3 2 4 5" xfId="16020"/>
    <cellStyle name="Porcentaje 2 6 3 2 5" xfId="1975"/>
    <cellStyle name="Porcentaje 2 6 3 2 5 2" xfId="3920"/>
    <cellStyle name="Porcentaje 2 6 3 2 5 2 2" xfId="7773"/>
    <cellStyle name="Porcentaje 2 6 3 2 5 2 2 2" xfId="16030"/>
    <cellStyle name="Porcentaje 2 6 3 2 5 2 3" xfId="16029"/>
    <cellStyle name="Porcentaje 2 6 3 2 5 3" xfId="5835"/>
    <cellStyle name="Porcentaje 2 6 3 2 5 3 2" xfId="16031"/>
    <cellStyle name="Porcentaje 2 6 3 2 5 4" xfId="16028"/>
    <cellStyle name="Porcentaje 2 6 3 2 6" xfId="2712"/>
    <cellStyle name="Porcentaje 2 6 3 2 6 2" xfId="6571"/>
    <cellStyle name="Porcentaje 2 6 3 2 6 2 2" xfId="16033"/>
    <cellStyle name="Porcentaje 2 6 3 2 6 3" xfId="16032"/>
    <cellStyle name="Porcentaje 2 6 3 2 7" xfId="2959"/>
    <cellStyle name="Porcentaje 2 6 3 2 7 2" xfId="6817"/>
    <cellStyle name="Porcentaje 2 6 3 2 7 2 2" xfId="16035"/>
    <cellStyle name="Porcentaje 2 6 3 2 7 3" xfId="16034"/>
    <cellStyle name="Porcentaje 2 6 3 2 8" xfId="4879"/>
    <cellStyle name="Porcentaje 2 6 3 2 8 2" xfId="16036"/>
    <cellStyle name="Porcentaje 2 6 3 2 9" xfId="16003"/>
    <cellStyle name="Porcentaje 2 6 3 3" xfId="1458"/>
    <cellStyle name="Porcentaje 2 6 3 3 2" xfId="2429"/>
    <cellStyle name="Porcentaje 2 6 3 3 2 2" xfId="4374"/>
    <cellStyle name="Porcentaje 2 6 3 3 2 2 2" xfId="8227"/>
    <cellStyle name="Porcentaje 2 6 3 3 2 2 2 2" xfId="16040"/>
    <cellStyle name="Porcentaje 2 6 3 3 2 2 3" xfId="16039"/>
    <cellStyle name="Porcentaje 2 6 3 3 2 3" xfId="6289"/>
    <cellStyle name="Porcentaje 2 6 3 3 2 3 2" xfId="16041"/>
    <cellStyle name="Porcentaje 2 6 3 3 2 4" xfId="16038"/>
    <cellStyle name="Porcentaje 2 6 3 3 3" xfId="3413"/>
    <cellStyle name="Porcentaje 2 6 3 3 3 2" xfId="7271"/>
    <cellStyle name="Porcentaje 2 6 3 3 3 2 2" xfId="16043"/>
    <cellStyle name="Porcentaje 2 6 3 3 3 3" xfId="16042"/>
    <cellStyle name="Porcentaje 2 6 3 3 4" xfId="5333"/>
    <cellStyle name="Porcentaje 2 6 3 3 4 2" xfId="16044"/>
    <cellStyle name="Porcentaje 2 6 3 3 5" xfId="16037"/>
    <cellStyle name="Porcentaje 2 6 3 4" xfId="1235"/>
    <cellStyle name="Porcentaje 2 6 3 4 2" xfId="2206"/>
    <cellStyle name="Porcentaje 2 6 3 4 2 2" xfId="4151"/>
    <cellStyle name="Porcentaje 2 6 3 4 2 2 2" xfId="8004"/>
    <cellStyle name="Porcentaje 2 6 3 4 2 2 2 2" xfId="16048"/>
    <cellStyle name="Porcentaje 2 6 3 4 2 2 3" xfId="16047"/>
    <cellStyle name="Porcentaje 2 6 3 4 2 3" xfId="6066"/>
    <cellStyle name="Porcentaje 2 6 3 4 2 3 2" xfId="16049"/>
    <cellStyle name="Porcentaje 2 6 3 4 2 4" xfId="16046"/>
    <cellStyle name="Porcentaje 2 6 3 4 3" xfId="3190"/>
    <cellStyle name="Porcentaje 2 6 3 4 3 2" xfId="7048"/>
    <cellStyle name="Porcentaje 2 6 3 4 3 2 2" xfId="16051"/>
    <cellStyle name="Porcentaje 2 6 3 4 3 3" xfId="16050"/>
    <cellStyle name="Porcentaje 2 6 3 4 4" xfId="5110"/>
    <cellStyle name="Porcentaje 2 6 3 4 4 2" xfId="16052"/>
    <cellStyle name="Porcentaje 2 6 3 4 5" xfId="16045"/>
    <cellStyle name="Porcentaje 2 6 3 5" xfId="1720"/>
    <cellStyle name="Porcentaje 2 6 3 5 2" xfId="2680"/>
    <cellStyle name="Porcentaje 2 6 3 5 2 2" xfId="4625"/>
    <cellStyle name="Porcentaje 2 6 3 5 2 2 2" xfId="8478"/>
    <cellStyle name="Porcentaje 2 6 3 5 2 2 2 2" xfId="16056"/>
    <cellStyle name="Porcentaje 2 6 3 5 2 2 3" xfId="16055"/>
    <cellStyle name="Porcentaje 2 6 3 5 2 3" xfId="6540"/>
    <cellStyle name="Porcentaje 2 6 3 5 2 3 2" xfId="16057"/>
    <cellStyle name="Porcentaje 2 6 3 5 2 4" xfId="16054"/>
    <cellStyle name="Porcentaje 2 6 3 5 3" xfId="3667"/>
    <cellStyle name="Porcentaje 2 6 3 5 3 2" xfId="7522"/>
    <cellStyle name="Porcentaje 2 6 3 5 3 2 2" xfId="16059"/>
    <cellStyle name="Porcentaje 2 6 3 5 3 3" xfId="16058"/>
    <cellStyle name="Porcentaje 2 6 3 5 4" xfId="5584"/>
    <cellStyle name="Porcentaje 2 6 3 5 4 2" xfId="16060"/>
    <cellStyle name="Porcentaje 2 6 3 5 5" xfId="16053"/>
    <cellStyle name="Porcentaje 2 6 3 6" xfId="1974"/>
    <cellStyle name="Porcentaje 2 6 3 6 2" xfId="3919"/>
    <cellStyle name="Porcentaje 2 6 3 6 2 2" xfId="7772"/>
    <cellStyle name="Porcentaje 2 6 3 6 2 2 2" xfId="16063"/>
    <cellStyle name="Porcentaje 2 6 3 6 2 3" xfId="16062"/>
    <cellStyle name="Porcentaje 2 6 3 6 3" xfId="5834"/>
    <cellStyle name="Porcentaje 2 6 3 6 3 2" xfId="16064"/>
    <cellStyle name="Porcentaje 2 6 3 6 4" xfId="16061"/>
    <cellStyle name="Porcentaje 2 6 3 7" xfId="2958"/>
    <cellStyle name="Porcentaje 2 6 3 7 2" xfId="6816"/>
    <cellStyle name="Porcentaje 2 6 3 7 2 2" xfId="16066"/>
    <cellStyle name="Porcentaje 2 6 3 7 3" xfId="16065"/>
    <cellStyle name="Porcentaje 2 6 3 8" xfId="4878"/>
    <cellStyle name="Porcentaje 2 6 3 8 2" xfId="16067"/>
    <cellStyle name="Porcentaje 2 6 3 9" xfId="16002"/>
    <cellStyle name="Porcentaje 2 6 4" xfId="1279"/>
    <cellStyle name="Porcentaje 2 6 4 2" xfId="2250"/>
    <cellStyle name="Porcentaje 2 6 4 2 2" xfId="4195"/>
    <cellStyle name="Porcentaje 2 6 4 2 2 2" xfId="8048"/>
    <cellStyle name="Porcentaje 2 6 4 2 2 2 2" xfId="16071"/>
    <cellStyle name="Porcentaje 2 6 4 2 2 3" xfId="16070"/>
    <cellStyle name="Porcentaje 2 6 4 2 3" xfId="6110"/>
    <cellStyle name="Porcentaje 2 6 4 2 3 2" xfId="16072"/>
    <cellStyle name="Porcentaje 2 6 4 2 4" xfId="16069"/>
    <cellStyle name="Porcentaje 2 6 4 3" xfId="3234"/>
    <cellStyle name="Porcentaje 2 6 4 3 2" xfId="7092"/>
    <cellStyle name="Porcentaje 2 6 4 3 2 2" xfId="16074"/>
    <cellStyle name="Porcentaje 2 6 4 3 3" xfId="16073"/>
    <cellStyle name="Porcentaje 2 6 4 4" xfId="5154"/>
    <cellStyle name="Porcentaje 2 6 4 4 2" xfId="16075"/>
    <cellStyle name="Porcentaje 2 6 4 5" xfId="16068"/>
    <cellStyle name="Porcentaje 2 6 5" xfId="1046"/>
    <cellStyle name="Porcentaje 2 6 5 2" xfId="2018"/>
    <cellStyle name="Porcentaje 2 6 5 2 2" xfId="3963"/>
    <cellStyle name="Porcentaje 2 6 5 2 2 2" xfId="7816"/>
    <cellStyle name="Porcentaje 2 6 5 2 2 2 2" xfId="16079"/>
    <cellStyle name="Porcentaje 2 6 5 2 2 3" xfId="16078"/>
    <cellStyle name="Porcentaje 2 6 5 2 3" xfId="5878"/>
    <cellStyle name="Porcentaje 2 6 5 2 3 2" xfId="16080"/>
    <cellStyle name="Porcentaje 2 6 5 2 4" xfId="16077"/>
    <cellStyle name="Porcentaje 2 6 5 3" xfId="3002"/>
    <cellStyle name="Porcentaje 2 6 5 3 2" xfId="6860"/>
    <cellStyle name="Porcentaje 2 6 5 3 2 2" xfId="16082"/>
    <cellStyle name="Porcentaje 2 6 5 3 3" xfId="16081"/>
    <cellStyle name="Porcentaje 2 6 5 4" xfId="4922"/>
    <cellStyle name="Porcentaje 2 6 5 4 2" xfId="16083"/>
    <cellStyle name="Porcentaje 2 6 5 5" xfId="16076"/>
    <cellStyle name="Porcentaje 2 6 6" xfId="1573"/>
    <cellStyle name="Porcentaje 2 6 6 2" xfId="2535"/>
    <cellStyle name="Porcentaje 2 6 6 2 2" xfId="4480"/>
    <cellStyle name="Porcentaje 2 6 6 2 2 2" xfId="8333"/>
    <cellStyle name="Porcentaje 2 6 6 2 2 2 2" xfId="16087"/>
    <cellStyle name="Porcentaje 2 6 6 2 2 3" xfId="16086"/>
    <cellStyle name="Porcentaje 2 6 6 2 3" xfId="6395"/>
    <cellStyle name="Porcentaje 2 6 6 2 3 2" xfId="16088"/>
    <cellStyle name="Porcentaje 2 6 6 2 4" xfId="16085"/>
    <cellStyle name="Porcentaje 2 6 6 3" xfId="3521"/>
    <cellStyle name="Porcentaje 2 6 6 3 2" xfId="7377"/>
    <cellStyle name="Porcentaje 2 6 6 3 2 2" xfId="16090"/>
    <cellStyle name="Porcentaje 2 6 6 3 3" xfId="16089"/>
    <cellStyle name="Porcentaje 2 6 6 4" xfId="5439"/>
    <cellStyle name="Porcentaje 2 6 6 4 2" xfId="16091"/>
    <cellStyle name="Porcentaje 2 6 6 5" xfId="16084"/>
    <cellStyle name="Porcentaje 2 6 7" xfId="1779"/>
    <cellStyle name="Porcentaje 2 6 7 2" xfId="3725"/>
    <cellStyle name="Porcentaje 2 6 7 2 2" xfId="7578"/>
    <cellStyle name="Porcentaje 2 6 7 2 2 2" xfId="16094"/>
    <cellStyle name="Porcentaje 2 6 7 2 3" xfId="16093"/>
    <cellStyle name="Porcentaje 2 6 7 3" xfId="5640"/>
    <cellStyle name="Porcentaje 2 6 7 3 2" xfId="16095"/>
    <cellStyle name="Porcentaje 2 6 7 4" xfId="16092"/>
    <cellStyle name="Porcentaje 2 6 8" xfId="2763"/>
    <cellStyle name="Porcentaje 2 6 8 2" xfId="6622"/>
    <cellStyle name="Porcentaje 2 6 8 2 2" xfId="16097"/>
    <cellStyle name="Porcentaje 2 6 8 3" xfId="16096"/>
    <cellStyle name="Porcentaje 2 6 9" xfId="4690"/>
    <cellStyle name="Porcentaje 2 6 9 2" xfId="16098"/>
    <cellStyle name="Porcentaje 2 7" xfId="784"/>
    <cellStyle name="Porcentaje 2 7 2" xfId="1576"/>
    <cellStyle name="Porcentaje 2 7 2 2" xfId="2538"/>
    <cellStyle name="Porcentaje 2 7 2 2 2" xfId="4483"/>
    <cellStyle name="Porcentaje 2 7 2 2 2 2" xfId="8336"/>
    <cellStyle name="Porcentaje 2 7 2 2 2 2 2" xfId="16103"/>
    <cellStyle name="Porcentaje 2 7 2 2 2 3" xfId="16102"/>
    <cellStyle name="Porcentaje 2 7 2 2 3" xfId="6398"/>
    <cellStyle name="Porcentaje 2 7 2 2 3 2" xfId="16104"/>
    <cellStyle name="Porcentaje 2 7 2 2 4" xfId="16101"/>
    <cellStyle name="Porcentaje 2 7 2 3" xfId="3524"/>
    <cellStyle name="Porcentaje 2 7 2 3 2" xfId="7380"/>
    <cellStyle name="Porcentaje 2 7 2 3 2 2" xfId="16106"/>
    <cellStyle name="Porcentaje 2 7 2 3 3" xfId="16105"/>
    <cellStyle name="Porcentaje 2 7 2 4" xfId="5442"/>
    <cellStyle name="Porcentaje 2 7 2 4 2" xfId="16107"/>
    <cellStyle name="Porcentaje 2 7 2 5" xfId="16100"/>
    <cellStyle name="Porcentaje 2 7 3" xfId="16099"/>
    <cellStyle name="Porcentaje 2 8" xfId="837"/>
    <cellStyle name="Porcentaje 2 8 2" xfId="1001"/>
    <cellStyle name="Porcentaje 2 8 2 2" xfId="1422"/>
    <cellStyle name="Porcentaje 2 8 2 2 2" xfId="2393"/>
    <cellStyle name="Porcentaje 2 8 2 2 2 2" xfId="4338"/>
    <cellStyle name="Porcentaje 2 8 2 2 2 2 2" xfId="8191"/>
    <cellStyle name="Porcentaje 2 8 2 2 2 2 2 2" xfId="16113"/>
    <cellStyle name="Porcentaje 2 8 2 2 2 2 3" xfId="16112"/>
    <cellStyle name="Porcentaje 2 8 2 2 2 3" xfId="6253"/>
    <cellStyle name="Porcentaje 2 8 2 2 2 3 2" xfId="16114"/>
    <cellStyle name="Porcentaje 2 8 2 2 2 4" xfId="16111"/>
    <cellStyle name="Porcentaje 2 8 2 2 3" xfId="3377"/>
    <cellStyle name="Porcentaje 2 8 2 2 3 2" xfId="7235"/>
    <cellStyle name="Porcentaje 2 8 2 2 3 2 2" xfId="16116"/>
    <cellStyle name="Porcentaje 2 8 2 2 3 3" xfId="16115"/>
    <cellStyle name="Porcentaje 2 8 2 2 4" xfId="5297"/>
    <cellStyle name="Porcentaje 2 8 2 2 4 2" xfId="16117"/>
    <cellStyle name="Porcentaje 2 8 2 2 5" xfId="16110"/>
    <cellStyle name="Porcentaje 2 8 2 3" xfId="1237"/>
    <cellStyle name="Porcentaje 2 8 2 3 2" xfId="2208"/>
    <cellStyle name="Porcentaje 2 8 2 3 2 2" xfId="4153"/>
    <cellStyle name="Porcentaje 2 8 2 3 2 2 2" xfId="8006"/>
    <cellStyle name="Porcentaje 2 8 2 3 2 2 2 2" xfId="16121"/>
    <cellStyle name="Porcentaje 2 8 2 3 2 2 3" xfId="16120"/>
    <cellStyle name="Porcentaje 2 8 2 3 2 3" xfId="6068"/>
    <cellStyle name="Porcentaje 2 8 2 3 2 3 2" xfId="16122"/>
    <cellStyle name="Porcentaje 2 8 2 3 2 4" xfId="16119"/>
    <cellStyle name="Porcentaje 2 8 2 3 3" xfId="3192"/>
    <cellStyle name="Porcentaje 2 8 2 3 3 2" xfId="7050"/>
    <cellStyle name="Porcentaje 2 8 2 3 3 2 2" xfId="16124"/>
    <cellStyle name="Porcentaje 2 8 2 3 3 3" xfId="16123"/>
    <cellStyle name="Porcentaje 2 8 2 3 4" xfId="5112"/>
    <cellStyle name="Porcentaje 2 8 2 3 4 2" xfId="16125"/>
    <cellStyle name="Porcentaje 2 8 2 3 5" xfId="16118"/>
    <cellStyle name="Porcentaje 2 8 2 4" xfId="1683"/>
    <cellStyle name="Porcentaje 2 8 2 4 2" xfId="2644"/>
    <cellStyle name="Porcentaje 2 8 2 4 2 2" xfId="4589"/>
    <cellStyle name="Porcentaje 2 8 2 4 2 2 2" xfId="8442"/>
    <cellStyle name="Porcentaje 2 8 2 4 2 2 2 2" xfId="16129"/>
    <cellStyle name="Porcentaje 2 8 2 4 2 2 3" xfId="16128"/>
    <cellStyle name="Porcentaje 2 8 2 4 2 3" xfId="6504"/>
    <cellStyle name="Porcentaje 2 8 2 4 2 3 2" xfId="16130"/>
    <cellStyle name="Porcentaje 2 8 2 4 2 4" xfId="16127"/>
    <cellStyle name="Porcentaje 2 8 2 4 3" xfId="3630"/>
    <cellStyle name="Porcentaje 2 8 2 4 3 2" xfId="7486"/>
    <cellStyle name="Porcentaje 2 8 2 4 3 2 2" xfId="16132"/>
    <cellStyle name="Porcentaje 2 8 2 4 3 3" xfId="16131"/>
    <cellStyle name="Porcentaje 2 8 2 4 4" xfId="5548"/>
    <cellStyle name="Porcentaje 2 8 2 4 4 2" xfId="16133"/>
    <cellStyle name="Porcentaje 2 8 2 4 5" xfId="16126"/>
    <cellStyle name="Porcentaje 2 8 2 5" xfId="1976"/>
    <cellStyle name="Porcentaje 2 8 2 5 2" xfId="3921"/>
    <cellStyle name="Porcentaje 2 8 2 5 2 2" xfId="7774"/>
    <cellStyle name="Porcentaje 2 8 2 5 2 2 2" xfId="16136"/>
    <cellStyle name="Porcentaje 2 8 2 5 2 3" xfId="16135"/>
    <cellStyle name="Porcentaje 2 8 2 5 3" xfId="5836"/>
    <cellStyle name="Porcentaje 2 8 2 5 3 2" xfId="16137"/>
    <cellStyle name="Porcentaje 2 8 2 5 4" xfId="16134"/>
    <cellStyle name="Porcentaje 2 8 2 6" xfId="2960"/>
    <cellStyle name="Porcentaje 2 8 2 6 2" xfId="6818"/>
    <cellStyle name="Porcentaje 2 8 2 6 2 2" xfId="16139"/>
    <cellStyle name="Porcentaje 2 8 2 6 3" xfId="16138"/>
    <cellStyle name="Porcentaje 2 8 2 7" xfId="4880"/>
    <cellStyle name="Porcentaje 2 8 2 7 2" xfId="16140"/>
    <cellStyle name="Porcentaje 2 8 2 8" xfId="16109"/>
    <cellStyle name="Porcentaje 2 8 3" xfId="1321"/>
    <cellStyle name="Porcentaje 2 8 3 2" xfId="2292"/>
    <cellStyle name="Porcentaje 2 8 3 2 2" xfId="4237"/>
    <cellStyle name="Porcentaje 2 8 3 2 2 2" xfId="8090"/>
    <cellStyle name="Porcentaje 2 8 3 2 2 2 2" xfId="16144"/>
    <cellStyle name="Porcentaje 2 8 3 2 2 3" xfId="16143"/>
    <cellStyle name="Porcentaje 2 8 3 2 3" xfId="6152"/>
    <cellStyle name="Porcentaje 2 8 3 2 3 2" xfId="16145"/>
    <cellStyle name="Porcentaje 2 8 3 2 4" xfId="16142"/>
    <cellStyle name="Porcentaje 2 8 3 3" xfId="3276"/>
    <cellStyle name="Porcentaje 2 8 3 3 2" xfId="7134"/>
    <cellStyle name="Porcentaje 2 8 3 3 2 2" xfId="16147"/>
    <cellStyle name="Porcentaje 2 8 3 3 3" xfId="16146"/>
    <cellStyle name="Porcentaje 2 8 3 4" xfId="5196"/>
    <cellStyle name="Porcentaje 2 8 3 4 2" xfId="16148"/>
    <cellStyle name="Porcentaje 2 8 3 5" xfId="16141"/>
    <cellStyle name="Porcentaje 2 8 4" xfId="1089"/>
    <cellStyle name="Porcentaje 2 8 4 2" xfId="2060"/>
    <cellStyle name="Porcentaje 2 8 4 2 2" xfId="4005"/>
    <cellStyle name="Porcentaje 2 8 4 2 2 2" xfId="7858"/>
    <cellStyle name="Porcentaje 2 8 4 2 2 2 2" xfId="16152"/>
    <cellStyle name="Porcentaje 2 8 4 2 2 3" xfId="16151"/>
    <cellStyle name="Porcentaje 2 8 4 2 3" xfId="5920"/>
    <cellStyle name="Porcentaje 2 8 4 2 3 2" xfId="16153"/>
    <cellStyle name="Porcentaje 2 8 4 2 4" xfId="16150"/>
    <cellStyle name="Porcentaje 2 8 4 3" xfId="3044"/>
    <cellStyle name="Porcentaje 2 8 4 3 2" xfId="6902"/>
    <cellStyle name="Porcentaje 2 8 4 3 2 2" xfId="16155"/>
    <cellStyle name="Porcentaje 2 8 4 3 3" xfId="16154"/>
    <cellStyle name="Porcentaje 2 8 4 4" xfId="4964"/>
    <cellStyle name="Porcentaje 2 8 4 4 2" xfId="16156"/>
    <cellStyle name="Porcentaje 2 8 4 5" xfId="16149"/>
    <cellStyle name="Porcentaje 2 8 5" xfId="1587"/>
    <cellStyle name="Porcentaje 2 8 5 2" xfId="2548"/>
    <cellStyle name="Porcentaje 2 8 5 2 2" xfId="4493"/>
    <cellStyle name="Porcentaje 2 8 5 2 2 2" xfId="8346"/>
    <cellStyle name="Porcentaje 2 8 5 2 2 2 2" xfId="16160"/>
    <cellStyle name="Porcentaje 2 8 5 2 2 3" xfId="16159"/>
    <cellStyle name="Porcentaje 2 8 5 2 3" xfId="6408"/>
    <cellStyle name="Porcentaje 2 8 5 2 3 2" xfId="16161"/>
    <cellStyle name="Porcentaje 2 8 5 2 4" xfId="16158"/>
    <cellStyle name="Porcentaje 2 8 5 3" xfId="3534"/>
    <cellStyle name="Porcentaje 2 8 5 3 2" xfId="7390"/>
    <cellStyle name="Porcentaje 2 8 5 3 2 2" xfId="16163"/>
    <cellStyle name="Porcentaje 2 8 5 3 3" xfId="16162"/>
    <cellStyle name="Porcentaje 2 8 5 4" xfId="5452"/>
    <cellStyle name="Porcentaje 2 8 5 4 2" xfId="16164"/>
    <cellStyle name="Porcentaje 2 8 5 5" xfId="16157"/>
    <cellStyle name="Porcentaje 2 8 6" xfId="1821"/>
    <cellStyle name="Porcentaje 2 8 6 2" xfId="3767"/>
    <cellStyle name="Porcentaje 2 8 6 2 2" xfId="7620"/>
    <cellStyle name="Porcentaje 2 8 6 2 2 2" xfId="16167"/>
    <cellStyle name="Porcentaje 2 8 6 2 3" xfId="16166"/>
    <cellStyle name="Porcentaje 2 8 6 3" xfId="5682"/>
    <cellStyle name="Porcentaje 2 8 6 3 2" xfId="16168"/>
    <cellStyle name="Porcentaje 2 8 6 4" xfId="16165"/>
    <cellStyle name="Porcentaje 2 8 7" xfId="2805"/>
    <cellStyle name="Porcentaje 2 8 7 2" xfId="6664"/>
    <cellStyle name="Porcentaje 2 8 7 2 2" xfId="16170"/>
    <cellStyle name="Porcentaje 2 8 7 3" xfId="16169"/>
    <cellStyle name="Porcentaje 2 8 8" xfId="4732"/>
    <cellStyle name="Porcentaje 2 8 8 2" xfId="16171"/>
    <cellStyle name="Porcentaje 2 8 9" xfId="16108"/>
    <cellStyle name="Porcentaje 2 9" xfId="846"/>
    <cellStyle name="Porcentaje 2 9 2" xfId="876"/>
    <cellStyle name="Porcentaje 2 9 2 10" xfId="8506"/>
    <cellStyle name="Porcentaje 2 9 2 10 2" xfId="16174"/>
    <cellStyle name="Porcentaje 2 9 2 11" xfId="16173"/>
    <cellStyle name="Porcentaje 2 9 2 12" xfId="16310"/>
    <cellStyle name="Porcentaje 2 9 2 2" xfId="1428"/>
    <cellStyle name="Porcentaje 2 9 2 2 2" xfId="2399"/>
    <cellStyle name="Porcentaje 2 9 2 2 2 2" xfId="4344"/>
    <cellStyle name="Porcentaje 2 9 2 2 2 2 2" xfId="8197"/>
    <cellStyle name="Porcentaje 2 9 2 2 2 2 2 2" xfId="16178"/>
    <cellStyle name="Porcentaje 2 9 2 2 2 2 3" xfId="16177"/>
    <cellStyle name="Porcentaje 2 9 2 2 2 3" xfId="6259"/>
    <cellStyle name="Porcentaje 2 9 2 2 2 3 2" xfId="16179"/>
    <cellStyle name="Porcentaje 2 9 2 2 2 4" xfId="16176"/>
    <cellStyle name="Porcentaje 2 9 2 2 3" xfId="3383"/>
    <cellStyle name="Porcentaje 2 9 2 2 3 2" xfId="7241"/>
    <cellStyle name="Porcentaje 2 9 2 2 3 2 2" xfId="16181"/>
    <cellStyle name="Porcentaje 2 9 2 2 3 3" xfId="16180"/>
    <cellStyle name="Porcentaje 2 9 2 2 4" xfId="5303"/>
    <cellStyle name="Porcentaje 2 9 2 2 4 2" xfId="16182"/>
    <cellStyle name="Porcentaje 2 9 2 2 5" xfId="16175"/>
    <cellStyle name="Porcentaje 2 9 2 3" xfId="1116"/>
    <cellStyle name="Porcentaje 2 9 2 3 2" xfId="2087"/>
    <cellStyle name="Porcentaje 2 9 2 3 2 2" xfId="4032"/>
    <cellStyle name="Porcentaje 2 9 2 3 2 2 2" xfId="7885"/>
    <cellStyle name="Porcentaje 2 9 2 3 2 2 2 2" xfId="16186"/>
    <cellStyle name="Porcentaje 2 9 2 3 2 2 3" xfId="16185"/>
    <cellStyle name="Porcentaje 2 9 2 3 2 3" xfId="5947"/>
    <cellStyle name="Porcentaje 2 9 2 3 2 3 2" xfId="16187"/>
    <cellStyle name="Porcentaje 2 9 2 3 2 4" xfId="16184"/>
    <cellStyle name="Porcentaje 2 9 2 3 3" xfId="3071"/>
    <cellStyle name="Porcentaje 2 9 2 3 3 2" xfId="6929"/>
    <cellStyle name="Porcentaje 2 9 2 3 3 2 2" xfId="16189"/>
    <cellStyle name="Porcentaje 2 9 2 3 3 3" xfId="16188"/>
    <cellStyle name="Porcentaje 2 9 2 3 4" xfId="4991"/>
    <cellStyle name="Porcentaje 2 9 2 3 4 2" xfId="16190"/>
    <cellStyle name="Porcentaje 2 9 2 3 5" xfId="16183"/>
    <cellStyle name="Porcentaje 2 9 2 4" xfId="1689"/>
    <cellStyle name="Porcentaje 2 9 2 4 2" xfId="2650"/>
    <cellStyle name="Porcentaje 2 9 2 4 2 2" xfId="4595"/>
    <cellStyle name="Porcentaje 2 9 2 4 2 2 2" xfId="8448"/>
    <cellStyle name="Porcentaje 2 9 2 4 2 2 2 2" xfId="16194"/>
    <cellStyle name="Porcentaje 2 9 2 4 2 2 3" xfId="16193"/>
    <cellStyle name="Porcentaje 2 9 2 4 2 3" xfId="6510"/>
    <cellStyle name="Porcentaje 2 9 2 4 2 3 2" xfId="16195"/>
    <cellStyle name="Porcentaje 2 9 2 4 2 4" xfId="16192"/>
    <cellStyle name="Porcentaje 2 9 2 4 3" xfId="3636"/>
    <cellStyle name="Porcentaje 2 9 2 4 3 2" xfId="7492"/>
    <cellStyle name="Porcentaje 2 9 2 4 3 2 2" xfId="16197"/>
    <cellStyle name="Porcentaje 2 9 2 4 3 3" xfId="16196"/>
    <cellStyle name="Porcentaje 2 9 2 4 4" xfId="5554"/>
    <cellStyle name="Porcentaje 2 9 2 4 4 2" xfId="16198"/>
    <cellStyle name="Porcentaje 2 9 2 4 5" xfId="16191"/>
    <cellStyle name="Porcentaje 2 9 2 5" xfId="1855"/>
    <cellStyle name="Porcentaje 2 9 2 5 2" xfId="3800"/>
    <cellStyle name="Porcentaje 2 9 2 5 2 2" xfId="7653"/>
    <cellStyle name="Porcentaje 2 9 2 5 2 2 2" xfId="16201"/>
    <cellStyle name="Porcentaje 2 9 2 5 2 3" xfId="16200"/>
    <cellStyle name="Porcentaje 2 9 2 5 3" xfId="5715"/>
    <cellStyle name="Porcentaje 2 9 2 5 3 2" xfId="16202"/>
    <cellStyle name="Porcentaje 2 9 2 5 4" xfId="16199"/>
    <cellStyle name="Porcentaje 2 9 2 6" xfId="2714"/>
    <cellStyle name="Porcentaje 2 9 2 6 2" xfId="6573"/>
    <cellStyle name="Porcentaje 2 9 2 6 2 2" xfId="16204"/>
    <cellStyle name="Porcentaje 2 9 2 6 3" xfId="16203"/>
    <cellStyle name="Porcentaje 2 9 2 7" xfId="2839"/>
    <cellStyle name="Porcentaje 2 9 2 7 2" xfId="6697"/>
    <cellStyle name="Porcentaje 2 9 2 7 2 2" xfId="16206"/>
    <cellStyle name="Porcentaje 2 9 2 7 3" xfId="16205"/>
    <cellStyle name="Porcentaje 2 9 2 8" xfId="4759"/>
    <cellStyle name="Porcentaje 2 9 2 8 2" xfId="16207"/>
    <cellStyle name="Porcentaje 2 9 2 9" xfId="8505"/>
    <cellStyle name="Porcentaje 2 9 2 9 2" xfId="16208"/>
    <cellStyle name="Porcentaje 2 9 3" xfId="1327"/>
    <cellStyle name="Porcentaje 2 9 3 2" xfId="2298"/>
    <cellStyle name="Porcentaje 2 9 3 2 2" xfId="4243"/>
    <cellStyle name="Porcentaje 2 9 3 2 2 2" xfId="8096"/>
    <cellStyle name="Porcentaje 2 9 3 2 2 2 2" xfId="16212"/>
    <cellStyle name="Porcentaje 2 9 3 2 2 3" xfId="16211"/>
    <cellStyle name="Porcentaje 2 9 3 2 3" xfId="6158"/>
    <cellStyle name="Porcentaje 2 9 3 2 3 2" xfId="16213"/>
    <cellStyle name="Porcentaje 2 9 3 2 4" xfId="16210"/>
    <cellStyle name="Porcentaje 2 9 3 3" xfId="3282"/>
    <cellStyle name="Porcentaje 2 9 3 3 2" xfId="7140"/>
    <cellStyle name="Porcentaje 2 9 3 3 2 2" xfId="16215"/>
    <cellStyle name="Porcentaje 2 9 3 3 3" xfId="16214"/>
    <cellStyle name="Porcentaje 2 9 3 4" xfId="5202"/>
    <cellStyle name="Porcentaje 2 9 3 4 2" xfId="16216"/>
    <cellStyle name="Porcentaje 2 9 3 5" xfId="16209"/>
    <cellStyle name="Porcentaje 2 9 4" xfId="1095"/>
    <cellStyle name="Porcentaje 2 9 4 2" xfId="2066"/>
    <cellStyle name="Porcentaje 2 9 4 2 2" xfId="4011"/>
    <cellStyle name="Porcentaje 2 9 4 2 2 2" xfId="7864"/>
    <cellStyle name="Porcentaje 2 9 4 2 2 2 2" xfId="16220"/>
    <cellStyle name="Porcentaje 2 9 4 2 2 3" xfId="16219"/>
    <cellStyle name="Porcentaje 2 9 4 2 3" xfId="5926"/>
    <cellStyle name="Porcentaje 2 9 4 2 3 2" xfId="16221"/>
    <cellStyle name="Porcentaje 2 9 4 2 4" xfId="16218"/>
    <cellStyle name="Porcentaje 2 9 4 3" xfId="3050"/>
    <cellStyle name="Porcentaje 2 9 4 3 2" xfId="6908"/>
    <cellStyle name="Porcentaje 2 9 4 3 2 2" xfId="16223"/>
    <cellStyle name="Porcentaje 2 9 4 3 3" xfId="16222"/>
    <cellStyle name="Porcentaje 2 9 4 4" xfId="4970"/>
    <cellStyle name="Porcentaje 2 9 4 4 2" xfId="16224"/>
    <cellStyle name="Porcentaje 2 9 4 5" xfId="16217"/>
    <cellStyle name="Porcentaje 2 9 5" xfId="1588"/>
    <cellStyle name="Porcentaje 2 9 5 2" xfId="2549"/>
    <cellStyle name="Porcentaje 2 9 5 2 2" xfId="4494"/>
    <cellStyle name="Porcentaje 2 9 5 2 2 2" xfId="8347"/>
    <cellStyle name="Porcentaje 2 9 5 2 2 2 2" xfId="16228"/>
    <cellStyle name="Porcentaje 2 9 5 2 2 3" xfId="16227"/>
    <cellStyle name="Porcentaje 2 9 5 2 3" xfId="6409"/>
    <cellStyle name="Porcentaje 2 9 5 2 3 2" xfId="16229"/>
    <cellStyle name="Porcentaje 2 9 5 2 4" xfId="16226"/>
    <cellStyle name="Porcentaje 2 9 5 3" xfId="3535"/>
    <cellStyle name="Porcentaje 2 9 5 3 2" xfId="7391"/>
    <cellStyle name="Porcentaje 2 9 5 3 2 2" xfId="16231"/>
    <cellStyle name="Porcentaje 2 9 5 3 3" xfId="16230"/>
    <cellStyle name="Porcentaje 2 9 5 4" xfId="5453"/>
    <cellStyle name="Porcentaje 2 9 5 4 2" xfId="16232"/>
    <cellStyle name="Porcentaje 2 9 5 5" xfId="16225"/>
    <cellStyle name="Porcentaje 2 9 6" xfId="1827"/>
    <cellStyle name="Porcentaje 2 9 6 2" xfId="3773"/>
    <cellStyle name="Porcentaje 2 9 6 2 2" xfId="7626"/>
    <cellStyle name="Porcentaje 2 9 6 2 2 2" xfId="16235"/>
    <cellStyle name="Porcentaje 2 9 6 2 3" xfId="16234"/>
    <cellStyle name="Porcentaje 2 9 6 3" xfId="5688"/>
    <cellStyle name="Porcentaje 2 9 6 3 2" xfId="16236"/>
    <cellStyle name="Porcentaje 2 9 6 4" xfId="16233"/>
    <cellStyle name="Porcentaje 2 9 7" xfId="2811"/>
    <cellStyle name="Porcentaje 2 9 7 2" xfId="6670"/>
    <cellStyle name="Porcentaje 2 9 7 2 2" xfId="16238"/>
    <cellStyle name="Porcentaje 2 9 7 3" xfId="16237"/>
    <cellStyle name="Porcentaje 2 9 8" xfId="4738"/>
    <cellStyle name="Porcentaje 2 9 8 2" xfId="16239"/>
    <cellStyle name="Porcentaje 2 9 9" xfId="16172"/>
    <cellStyle name="Porcentaje 3" xfId="572"/>
    <cellStyle name="Porcentaje 3 2" xfId="16240"/>
    <cellStyle name="Porcentaje 4" xfId="785"/>
    <cellStyle name="Porcentaje 4 2" xfId="1002"/>
    <cellStyle name="Porcentaje 4 2 2" xfId="1403"/>
    <cellStyle name="Porcentaje 4 2 2 2" xfId="2374"/>
    <cellStyle name="Porcentaje 4 2 2 2 2" xfId="4319"/>
    <cellStyle name="Porcentaje 4 2 2 2 2 2" xfId="8172"/>
    <cellStyle name="Porcentaje 4 2 2 2 2 2 2" xfId="16246"/>
    <cellStyle name="Porcentaje 4 2 2 2 2 3" xfId="16245"/>
    <cellStyle name="Porcentaje 4 2 2 2 3" xfId="6234"/>
    <cellStyle name="Porcentaje 4 2 2 2 3 2" xfId="16247"/>
    <cellStyle name="Porcentaje 4 2 2 2 4" xfId="16244"/>
    <cellStyle name="Porcentaje 4 2 2 3" xfId="3358"/>
    <cellStyle name="Porcentaje 4 2 2 3 2" xfId="7216"/>
    <cellStyle name="Porcentaje 4 2 2 3 2 2" xfId="16249"/>
    <cellStyle name="Porcentaje 4 2 2 3 3" xfId="16248"/>
    <cellStyle name="Porcentaje 4 2 2 4" xfId="5278"/>
    <cellStyle name="Porcentaje 4 2 2 4 2" xfId="16250"/>
    <cellStyle name="Porcentaje 4 2 2 5" xfId="16243"/>
    <cellStyle name="Porcentaje 4 2 3" xfId="1238"/>
    <cellStyle name="Porcentaje 4 2 3 2" xfId="2209"/>
    <cellStyle name="Porcentaje 4 2 3 2 2" xfId="4154"/>
    <cellStyle name="Porcentaje 4 2 3 2 2 2" xfId="8007"/>
    <cellStyle name="Porcentaje 4 2 3 2 2 2 2" xfId="16254"/>
    <cellStyle name="Porcentaje 4 2 3 2 2 3" xfId="16253"/>
    <cellStyle name="Porcentaje 4 2 3 2 3" xfId="6069"/>
    <cellStyle name="Porcentaje 4 2 3 2 3 2" xfId="16255"/>
    <cellStyle name="Porcentaje 4 2 3 2 4" xfId="16252"/>
    <cellStyle name="Porcentaje 4 2 3 3" xfId="3193"/>
    <cellStyle name="Porcentaje 4 2 3 3 2" xfId="7051"/>
    <cellStyle name="Porcentaje 4 2 3 3 2 2" xfId="16257"/>
    <cellStyle name="Porcentaje 4 2 3 3 3" xfId="16256"/>
    <cellStyle name="Porcentaje 4 2 3 4" xfId="5113"/>
    <cellStyle name="Porcentaje 4 2 3 4 2" xfId="16258"/>
    <cellStyle name="Porcentaje 4 2 3 5" xfId="16251"/>
    <cellStyle name="Porcentaje 4 2 4" xfId="1664"/>
    <cellStyle name="Porcentaje 4 2 4 2" xfId="2625"/>
    <cellStyle name="Porcentaje 4 2 4 2 2" xfId="4570"/>
    <cellStyle name="Porcentaje 4 2 4 2 2 2" xfId="8423"/>
    <cellStyle name="Porcentaje 4 2 4 2 2 2 2" xfId="16262"/>
    <cellStyle name="Porcentaje 4 2 4 2 2 3" xfId="16261"/>
    <cellStyle name="Porcentaje 4 2 4 2 3" xfId="6485"/>
    <cellStyle name="Porcentaje 4 2 4 2 3 2" xfId="16263"/>
    <cellStyle name="Porcentaje 4 2 4 2 4" xfId="16260"/>
    <cellStyle name="Porcentaje 4 2 4 3" xfId="3611"/>
    <cellStyle name="Porcentaje 4 2 4 3 2" xfId="7467"/>
    <cellStyle name="Porcentaje 4 2 4 3 2 2" xfId="16265"/>
    <cellStyle name="Porcentaje 4 2 4 3 3" xfId="16264"/>
    <cellStyle name="Porcentaje 4 2 4 4" xfId="5529"/>
    <cellStyle name="Porcentaje 4 2 4 4 2" xfId="16266"/>
    <cellStyle name="Porcentaje 4 2 4 5" xfId="16259"/>
    <cellStyle name="Porcentaje 4 2 5" xfId="1977"/>
    <cellStyle name="Porcentaje 4 2 5 2" xfId="3922"/>
    <cellStyle name="Porcentaje 4 2 5 2 2" xfId="7775"/>
    <cellStyle name="Porcentaje 4 2 5 2 2 2" xfId="16269"/>
    <cellStyle name="Porcentaje 4 2 5 2 3" xfId="16268"/>
    <cellStyle name="Porcentaje 4 2 5 3" xfId="5837"/>
    <cellStyle name="Porcentaje 4 2 5 3 2" xfId="16270"/>
    <cellStyle name="Porcentaje 4 2 5 4" xfId="16267"/>
    <cellStyle name="Porcentaje 4 2 6" xfId="2961"/>
    <cellStyle name="Porcentaje 4 2 6 2" xfId="6819"/>
    <cellStyle name="Porcentaje 4 2 6 2 2" xfId="16272"/>
    <cellStyle name="Porcentaje 4 2 6 3" xfId="16271"/>
    <cellStyle name="Porcentaje 4 2 7" xfId="4881"/>
    <cellStyle name="Porcentaje 4 2 7 2" xfId="16273"/>
    <cellStyle name="Porcentaje 4 2 8" xfId="16242"/>
    <cellStyle name="Porcentaje 4 3" xfId="1302"/>
    <cellStyle name="Porcentaje 4 3 2" xfId="2273"/>
    <cellStyle name="Porcentaje 4 3 2 2" xfId="4218"/>
    <cellStyle name="Porcentaje 4 3 2 2 2" xfId="8071"/>
    <cellStyle name="Porcentaje 4 3 2 2 2 2" xfId="16277"/>
    <cellStyle name="Porcentaje 4 3 2 2 3" xfId="16276"/>
    <cellStyle name="Porcentaje 4 3 2 3" xfId="6133"/>
    <cellStyle name="Porcentaje 4 3 2 3 2" xfId="16278"/>
    <cellStyle name="Porcentaje 4 3 2 4" xfId="16275"/>
    <cellStyle name="Porcentaje 4 3 3" xfId="3257"/>
    <cellStyle name="Porcentaje 4 3 3 2" xfId="7115"/>
    <cellStyle name="Porcentaje 4 3 3 2 2" xfId="16280"/>
    <cellStyle name="Porcentaje 4 3 3 3" xfId="16279"/>
    <cellStyle name="Porcentaje 4 3 4" xfId="5177"/>
    <cellStyle name="Porcentaje 4 3 4 2" xfId="16281"/>
    <cellStyle name="Porcentaje 4 3 5" xfId="16274"/>
    <cellStyle name="Porcentaje 4 4" xfId="1070"/>
    <cellStyle name="Porcentaje 4 4 2" xfId="2041"/>
    <cellStyle name="Porcentaje 4 4 2 2" xfId="3986"/>
    <cellStyle name="Porcentaje 4 4 2 2 2" xfId="7839"/>
    <cellStyle name="Porcentaje 4 4 2 2 2 2" xfId="16285"/>
    <cellStyle name="Porcentaje 4 4 2 2 3" xfId="16284"/>
    <cellStyle name="Porcentaje 4 4 2 3" xfId="5901"/>
    <cellStyle name="Porcentaje 4 4 2 3 2" xfId="16286"/>
    <cellStyle name="Porcentaje 4 4 2 4" xfId="16283"/>
    <cellStyle name="Porcentaje 4 4 3" xfId="3025"/>
    <cellStyle name="Porcentaje 4 4 3 2" xfId="6883"/>
    <cellStyle name="Porcentaje 4 4 3 2 2" xfId="16288"/>
    <cellStyle name="Porcentaje 4 4 3 3" xfId="16287"/>
    <cellStyle name="Porcentaje 4 4 4" xfId="4945"/>
    <cellStyle name="Porcentaje 4 4 4 2" xfId="16289"/>
    <cellStyle name="Porcentaje 4 4 5" xfId="16282"/>
    <cellStyle name="Porcentaje 4 5" xfId="1521"/>
    <cellStyle name="Porcentaje 4 5 2" xfId="2487"/>
    <cellStyle name="Porcentaje 4 5 2 2" xfId="4432"/>
    <cellStyle name="Porcentaje 4 5 2 2 2" xfId="8285"/>
    <cellStyle name="Porcentaje 4 5 2 2 2 2" xfId="16293"/>
    <cellStyle name="Porcentaje 4 5 2 2 3" xfId="16292"/>
    <cellStyle name="Porcentaje 4 5 2 3" xfId="6347"/>
    <cellStyle name="Porcentaje 4 5 2 3 2" xfId="16294"/>
    <cellStyle name="Porcentaje 4 5 2 4" xfId="16291"/>
    <cellStyle name="Porcentaje 4 5 3" xfId="3473"/>
    <cellStyle name="Porcentaje 4 5 3 2" xfId="7329"/>
    <cellStyle name="Porcentaje 4 5 3 2 2" xfId="16296"/>
    <cellStyle name="Porcentaje 4 5 3 3" xfId="16295"/>
    <cellStyle name="Porcentaje 4 5 4" xfId="5391"/>
    <cellStyle name="Porcentaje 4 5 4 2" xfId="16297"/>
    <cellStyle name="Porcentaje 4 5 5" xfId="16290"/>
    <cellStyle name="Porcentaje 4 6" xfId="1802"/>
    <cellStyle name="Porcentaje 4 6 2" xfId="3748"/>
    <cellStyle name="Porcentaje 4 6 2 2" xfId="7601"/>
    <cellStyle name="Porcentaje 4 6 2 2 2" xfId="16300"/>
    <cellStyle name="Porcentaje 4 6 2 3" xfId="16299"/>
    <cellStyle name="Porcentaje 4 6 3" xfId="5663"/>
    <cellStyle name="Porcentaje 4 6 3 2" xfId="16301"/>
    <cellStyle name="Porcentaje 4 6 4" xfId="16298"/>
    <cellStyle name="Porcentaje 4 7" xfId="2786"/>
    <cellStyle name="Porcentaje 4 7 2" xfId="6645"/>
    <cellStyle name="Porcentaje 4 7 2 2" xfId="16303"/>
    <cellStyle name="Porcentaje 4 7 3" xfId="16302"/>
    <cellStyle name="Porcentaje 4 8" xfId="4713"/>
    <cellStyle name="Porcentaje 4 8 2" xfId="16304"/>
    <cellStyle name="Porcentaje 4 9" xfId="16241"/>
    <cellStyle name="Porcentaje 5" xfId="1519"/>
    <cellStyle name="Porcentaje 5 2" xfId="3471"/>
    <cellStyle name="Porcentaje 5 2 2" xfId="16306"/>
    <cellStyle name="Porcentaje 5 3" xfId="16305"/>
    <cellStyle name="Porcentual 2" xfId="560"/>
    <cellStyle name="Porcentual 2 2" xfId="16307"/>
    <cellStyle name="Porcentual 3" xfId="561"/>
    <cellStyle name="Porcentual 3 2" xfId="16308"/>
    <cellStyle name="Porcentual 4" xfId="845"/>
    <cellStyle name="Porcentual 4 2" xfId="16309"/>
  </cellStyles>
  <dxfs count="0"/>
  <tableStyles count="0" defaultTableStyle="TableStyleMedium9" defaultPivotStyle="PivotStyleMedium4"/>
  <colors>
    <mruColors>
      <color rgb="FF72104A"/>
      <color rgb="FF7B230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worksheet" Target="worksheets/sheet336.xml"/><Relationship Id="rId357" Type="http://schemas.openxmlformats.org/officeDocument/2006/relationships/worksheet" Target="worksheets/sheet35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378" Type="http://schemas.openxmlformats.org/officeDocument/2006/relationships/worksheet" Target="worksheets/sheet378.xml"/><Relationship Id="rId399" Type="http://schemas.openxmlformats.org/officeDocument/2006/relationships/worksheet" Target="worksheets/sheet399.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347" Type="http://schemas.openxmlformats.org/officeDocument/2006/relationships/worksheet" Target="worksheets/sheet34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368" Type="http://schemas.openxmlformats.org/officeDocument/2006/relationships/worksheet" Target="worksheets/sheet368.xml"/><Relationship Id="rId389" Type="http://schemas.openxmlformats.org/officeDocument/2006/relationships/worksheet" Target="worksheets/sheet389.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414" Type="http://schemas.openxmlformats.org/officeDocument/2006/relationships/worksheet" Target="worksheets/sheet414.xml"/><Relationship Id="rId435" Type="http://schemas.openxmlformats.org/officeDocument/2006/relationships/worksheet" Target="worksheets/sheet435.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worksheet" Target="worksheets/sheet358.xml"/><Relationship Id="rId379" Type="http://schemas.openxmlformats.org/officeDocument/2006/relationships/worksheet" Target="worksheets/sheet379.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25" Type="http://schemas.openxmlformats.org/officeDocument/2006/relationships/worksheet" Target="worksheets/sheet425.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369" Type="http://schemas.openxmlformats.org/officeDocument/2006/relationships/worksheet" Target="worksheets/sheet369.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380" Type="http://schemas.openxmlformats.org/officeDocument/2006/relationships/worksheet" Target="worksheets/sheet380.xml"/><Relationship Id="rId415" Type="http://schemas.openxmlformats.org/officeDocument/2006/relationships/worksheet" Target="worksheets/sheet415.xml"/><Relationship Id="rId436" Type="http://schemas.openxmlformats.org/officeDocument/2006/relationships/worksheet" Target="worksheets/sheet436.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worksheet" Target="worksheets/sheet370.xml"/><Relationship Id="rId391" Type="http://schemas.openxmlformats.org/officeDocument/2006/relationships/worksheet" Target="worksheets/sheet391.xml"/><Relationship Id="rId405" Type="http://schemas.openxmlformats.org/officeDocument/2006/relationships/worksheet" Target="worksheets/sheet405.xml"/><Relationship Id="rId426" Type="http://schemas.openxmlformats.org/officeDocument/2006/relationships/worksheet" Target="worksheets/sheet426.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externalLink" Target="externalLinks/externalLink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theme" Target="theme/theme1.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styles" Target="styles.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sharedStrings" Target="sharedStrings.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calcChain" Target="calcChain.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EJECUCION MARZO 2017</a:t>
            </a:r>
          </a:p>
        </c:rich>
      </c:tx>
      <c:layout/>
      <c:overlay val="0"/>
      <c:spPr>
        <a:noFill/>
        <a:ln w="25400">
          <a:noFill/>
        </a:ln>
      </c:spPr>
    </c:title>
    <c:autoTitleDeleted val="0"/>
    <c:plotArea>
      <c:layout/>
      <c:barChart>
        <c:barDir val="col"/>
        <c:grouping val="clustered"/>
        <c:varyColors val="0"/>
        <c:ser>
          <c:idx val="0"/>
          <c:order val="0"/>
          <c:tx>
            <c:strRef>
              <c:f>'MEDICION EJECUCION'!$B$3:$B$4</c:f>
              <c:strCache>
                <c:ptCount val="2"/>
                <c:pt idx="0">
                  <c:v>PROYECTADO 27/02/17</c:v>
                </c:pt>
              </c:strCache>
            </c:strRef>
          </c:tx>
          <c:spPr>
            <a:solidFill>
              <a:srgbClr val="4F81BD"/>
            </a:solidFill>
            <a:ln w="25400">
              <a:noFill/>
            </a:ln>
          </c:spPr>
          <c:invertIfNegative val="0"/>
          <c:cat>
            <c:strRef>
              <c:f>'MEDICION EJECUCION'!$A$5:$A$9</c:f>
              <c:strCache>
                <c:ptCount val="5"/>
                <c:pt idx="0">
                  <c:v>ELÉCTRICO</c:v>
                </c:pt>
                <c:pt idx="1">
                  <c:v>CIVIL</c:v>
                </c:pt>
                <c:pt idx="2">
                  <c:v>MECÁNICO </c:v>
                </c:pt>
                <c:pt idx="3">
                  <c:v>LINEAS</c:v>
                </c:pt>
                <c:pt idx="4">
                  <c:v>TOTAL</c:v>
                </c:pt>
              </c:strCache>
            </c:strRef>
          </c:cat>
          <c:val>
            <c:numRef>
              <c:f>'MEDICION EJECUCION'!$B$5:$B$9</c:f>
              <c:numCache>
                <c:formatCode>_-"$"* #,##0_-;\-"$"* #,##0_-;_-"$"* "-"??_-;_-@_-</c:formatCode>
                <c:ptCount val="5"/>
                <c:pt idx="0">
                  <c:v>187853713.73333332</c:v>
                </c:pt>
                <c:pt idx="1">
                  <c:v>99624707.833333299</c:v>
                </c:pt>
                <c:pt idx="2">
                  <c:v>113694926.09999999</c:v>
                </c:pt>
                <c:pt idx="3">
                  <c:v>82591384.120000005</c:v>
                </c:pt>
                <c:pt idx="4" formatCode="&quot;$&quot;#,##0">
                  <c:v>483764731.78666663</c:v>
                </c:pt>
              </c:numCache>
            </c:numRef>
          </c:val>
          <c:extLst xmlns:c16r2="http://schemas.microsoft.com/office/drawing/2015/06/chart">
            <c:ext xmlns:c16="http://schemas.microsoft.com/office/drawing/2014/chart" uri="{C3380CC4-5D6E-409C-BE32-E72D297353CC}">
              <c16:uniqueId val="{00000000-71D2-40C4-A284-0DA1FB96D8FB}"/>
            </c:ext>
          </c:extLst>
        </c:ser>
        <c:ser>
          <c:idx val="1"/>
          <c:order val="1"/>
          <c:tx>
            <c:strRef>
              <c:f>'MEDICION EJECUCION'!$C$3:$C$4</c:f>
              <c:strCache>
                <c:ptCount val="2"/>
                <c:pt idx="0">
                  <c:v>EJECUTADO A</c:v>
                </c:pt>
                <c:pt idx="1">
                  <c:v>lunes, 12 de marzo de 2018</c:v>
                </c:pt>
              </c:strCache>
            </c:strRef>
          </c:tx>
          <c:spPr>
            <a:solidFill>
              <a:srgbClr val="C0504D"/>
            </a:solidFill>
            <a:ln w="25400">
              <a:noFill/>
            </a:ln>
          </c:spPr>
          <c:invertIfNegative val="0"/>
          <c:cat>
            <c:strRef>
              <c:f>'MEDICION EJECUCION'!$A$5:$A$9</c:f>
              <c:strCache>
                <c:ptCount val="5"/>
                <c:pt idx="0">
                  <c:v>ELÉCTRICO</c:v>
                </c:pt>
                <c:pt idx="1">
                  <c:v>CIVIL</c:v>
                </c:pt>
                <c:pt idx="2">
                  <c:v>MECÁNICO </c:v>
                </c:pt>
                <c:pt idx="3">
                  <c:v>LINEAS</c:v>
                </c:pt>
                <c:pt idx="4">
                  <c:v>TOTAL</c:v>
                </c:pt>
              </c:strCache>
            </c:strRef>
          </c:cat>
          <c:val>
            <c:numRef>
              <c:f>'MEDICION EJECUCION'!$C$5:$C$9</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71D2-40C4-A284-0DA1FB96D8FB}"/>
            </c:ext>
          </c:extLst>
        </c:ser>
        <c:ser>
          <c:idx val="2"/>
          <c:order val="2"/>
          <c:tx>
            <c:strRef>
              <c:f>'MEDICION EJECUCION'!$D$3:$D$4</c:f>
              <c:strCache>
                <c:ptCount val="2"/>
                <c:pt idx="0">
                  <c:v>% CUMPLIMIENTO EJECUCION</c:v>
                </c:pt>
              </c:strCache>
            </c:strRef>
          </c:tx>
          <c:spPr>
            <a:solidFill>
              <a:srgbClr val="9BBB59"/>
            </a:solidFill>
            <a:ln w="25400">
              <a:noFill/>
            </a:ln>
          </c:spPr>
          <c:invertIfNegative val="0"/>
          <c:cat>
            <c:strRef>
              <c:f>'MEDICION EJECUCION'!$A$5:$A$9</c:f>
              <c:strCache>
                <c:ptCount val="5"/>
                <c:pt idx="0">
                  <c:v>ELÉCTRICO</c:v>
                </c:pt>
                <c:pt idx="1">
                  <c:v>CIVIL</c:v>
                </c:pt>
                <c:pt idx="2">
                  <c:v>MECÁNICO </c:v>
                </c:pt>
                <c:pt idx="3">
                  <c:v>LINEAS</c:v>
                </c:pt>
                <c:pt idx="4">
                  <c:v>TOTAL</c:v>
                </c:pt>
              </c:strCache>
            </c:strRef>
          </c:cat>
          <c:val>
            <c:numRef>
              <c:f>'MEDICION EJECUCION'!$D$5:$D$9</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71D2-40C4-A284-0DA1FB96D8FB}"/>
            </c:ext>
          </c:extLst>
        </c:ser>
        <c:ser>
          <c:idx val="3"/>
          <c:order val="3"/>
          <c:tx>
            <c:strRef>
              <c:f>'MEDICION EJECUCION'!$E$3:$E$4</c:f>
              <c:strCache>
                <c:ptCount val="2"/>
                <c:pt idx="0">
                  <c:v>% APORTE </c:v>
                </c:pt>
              </c:strCache>
            </c:strRef>
          </c:tx>
          <c:spPr>
            <a:solidFill>
              <a:srgbClr val="8064A2"/>
            </a:solidFill>
            <a:ln w="25400">
              <a:noFill/>
            </a:ln>
          </c:spPr>
          <c:invertIfNegative val="0"/>
          <c:cat>
            <c:strRef>
              <c:f>'MEDICION EJECUCION'!$A$5:$A$9</c:f>
              <c:strCache>
                <c:ptCount val="5"/>
                <c:pt idx="0">
                  <c:v>ELÉCTRICO</c:v>
                </c:pt>
                <c:pt idx="1">
                  <c:v>CIVIL</c:v>
                </c:pt>
                <c:pt idx="2">
                  <c:v>MECÁNICO </c:v>
                </c:pt>
                <c:pt idx="3">
                  <c:v>LINEAS</c:v>
                </c:pt>
                <c:pt idx="4">
                  <c:v>TOTAL</c:v>
                </c:pt>
              </c:strCache>
            </c:strRef>
          </c:cat>
          <c:val>
            <c:numRef>
              <c:f>'MEDICION EJECUCION'!$E$5:$E$9</c:f>
              <c:numCache>
                <c:formatCode>0%</c:formatCode>
                <c:ptCount val="5"/>
                <c:pt idx="0">
                  <c:v>0.3883162648908729</c:v>
                </c:pt>
                <c:pt idx="1">
                  <c:v>0.20593627705226428</c:v>
                </c:pt>
                <c:pt idx="2">
                  <c:v>0.23502111383790963</c:v>
                </c:pt>
                <c:pt idx="3">
                  <c:v>0.17072634421895316</c:v>
                </c:pt>
                <c:pt idx="4">
                  <c:v>1</c:v>
                </c:pt>
              </c:numCache>
            </c:numRef>
          </c:val>
          <c:extLst xmlns:c16r2="http://schemas.microsoft.com/office/drawing/2015/06/chart">
            <c:ext xmlns:c16="http://schemas.microsoft.com/office/drawing/2014/chart" uri="{C3380CC4-5D6E-409C-BE32-E72D297353CC}">
              <c16:uniqueId val="{00000003-71D2-40C4-A284-0DA1FB96D8FB}"/>
            </c:ext>
          </c:extLst>
        </c:ser>
        <c:dLbls>
          <c:showLegendKey val="0"/>
          <c:showVal val="0"/>
          <c:showCatName val="0"/>
          <c:showSerName val="0"/>
          <c:showPercent val="0"/>
          <c:showBubbleSize val="0"/>
        </c:dLbls>
        <c:gapWidth val="219"/>
        <c:overlap val="-27"/>
        <c:axId val="369448536"/>
        <c:axId val="369444616"/>
      </c:barChart>
      <c:catAx>
        <c:axId val="369448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69444616"/>
        <c:crosses val="autoZero"/>
        <c:auto val="1"/>
        <c:lblAlgn val="ctr"/>
        <c:lblOffset val="100"/>
        <c:noMultiLvlLbl val="0"/>
      </c:catAx>
      <c:valAx>
        <c:axId val="3694446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69448536"/>
        <c:crosses val="autoZero"/>
        <c:crossBetween val="between"/>
      </c:valAx>
      <c:spPr>
        <a:noFill/>
        <a:ln w="25400">
          <a:noFill/>
        </a:ln>
      </c:spPr>
    </c:plotArea>
    <c:legend>
      <c:legendPos val="b"/>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25400">
          <a:noFill/>
        </a:ln>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pieChart>
        <c:varyColors val="1"/>
        <c:ser>
          <c:idx val="0"/>
          <c:order val="0"/>
          <c:tx>
            <c:strRef>
              <c:f>'MEDICION EJECUCION'!$E$3</c:f>
              <c:strCache>
                <c:ptCount val="1"/>
                <c:pt idx="0">
                  <c:v>% APORTE </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D43B-481B-B580-CC83A7E137C7}"/>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D43B-481B-B580-CC83A7E137C7}"/>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D43B-481B-B580-CC83A7E137C7}"/>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D43B-481B-B580-CC83A7E137C7}"/>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D43B-481B-B580-CC83A7E137C7}"/>
              </c:ext>
            </c:extLst>
          </c:dPt>
          <c:dLbls>
            <c:spPr>
              <a:noFill/>
              <a:ln>
                <a:noFill/>
              </a:ln>
              <a:effectLst/>
            </c:spPr>
            <c:showLegendKey val="0"/>
            <c:showVal val="1"/>
            <c:showCatName val="0"/>
            <c:showSerName val="0"/>
            <c:showPercent val="0"/>
            <c:showBubbleSize val="0"/>
            <c:showLeaderLines val="1"/>
            <c:extLst xmlns:c16r2="http://schemas.microsoft.com/office/drawing/2015/06/chart">
              <c:ext xmlns:c15="http://schemas.microsoft.com/office/drawing/2012/chart" uri="{CE6537A1-D6FC-4f65-9D91-7224C49458BB}">
                <c15:layout/>
              </c:ext>
            </c:extLst>
          </c:dLbls>
          <c:cat>
            <c:strRef>
              <c:f>'MEDICION EJECUCION'!$A$4:$A$8</c:f>
              <c:strCache>
                <c:ptCount val="5"/>
                <c:pt idx="1">
                  <c:v>ELÉCTRICO</c:v>
                </c:pt>
                <c:pt idx="2">
                  <c:v>CIVIL</c:v>
                </c:pt>
                <c:pt idx="3">
                  <c:v>MECÁNICO </c:v>
                </c:pt>
                <c:pt idx="4">
                  <c:v>LINEAS</c:v>
                </c:pt>
              </c:strCache>
            </c:strRef>
          </c:cat>
          <c:val>
            <c:numRef>
              <c:f>'MEDICION EJECUCION'!$E$4:$E$8</c:f>
              <c:numCache>
                <c:formatCode>0%</c:formatCode>
                <c:ptCount val="5"/>
                <c:pt idx="1">
                  <c:v>0.3883162648908729</c:v>
                </c:pt>
                <c:pt idx="2">
                  <c:v>0.20593627705226428</c:v>
                </c:pt>
                <c:pt idx="3">
                  <c:v>0.23502111383790963</c:v>
                </c:pt>
                <c:pt idx="4">
                  <c:v>0.17072634421895316</c:v>
                </c:pt>
              </c:numCache>
            </c:numRef>
          </c:val>
          <c:extLst xmlns:c16r2="http://schemas.microsoft.com/office/drawing/2015/06/chart">
            <c:ext xmlns:c16="http://schemas.microsoft.com/office/drawing/2014/chart" uri="{C3380CC4-5D6E-409C-BE32-E72D297353CC}">
              <c16:uniqueId val="{0000000A-D43B-481B-B580-CC83A7E137C7}"/>
            </c:ext>
          </c:extLst>
        </c:ser>
        <c:dLbls>
          <c:showLegendKey val="0"/>
          <c:showVal val="0"/>
          <c:showCatName val="0"/>
          <c:showSerName val="0"/>
          <c:showPercent val="0"/>
          <c:showBubbleSize val="0"/>
          <c:showLeaderLines val="1"/>
        </c:dLbls>
        <c:firstSliceAng val="0"/>
      </c:pieChart>
      <c:spPr>
        <a:noFill/>
        <a:ln w="25400">
          <a:noFill/>
        </a:ln>
      </c:spPr>
    </c:plotArea>
    <c:legend>
      <c:legendPos val="b"/>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2.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2.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2.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2.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2.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2.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2.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2.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2.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2.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2.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2.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2.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2.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2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4.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6.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8.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emf"/><Relationship Id="rId1" Type="http://schemas.openxmlformats.org/officeDocument/2006/relationships/image" Target="../media/image5.jpeg"/></Relationships>
</file>

<file path=xl/drawings/_rels/drawing42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emf"/><Relationship Id="rId1" Type="http://schemas.openxmlformats.org/officeDocument/2006/relationships/image" Target="../media/image5.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7.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657225</xdr:colOff>
      <xdr:row>1</xdr:row>
      <xdr:rowOff>85725</xdr:rowOff>
    </xdr:from>
    <xdr:to>
      <xdr:col>13</xdr:col>
      <xdr:colOff>135466</xdr:colOff>
      <xdr:row>21</xdr:row>
      <xdr:rowOff>0</xdr:rowOff>
    </xdr:to>
    <xdr:graphicFrame macro="">
      <xdr:nvGraphicFramePr>
        <xdr:cNvPr id="2" name="Gráfico 1">
          <a:extLst>
            <a:ext uri="{FF2B5EF4-FFF2-40B4-BE49-F238E27FC236}">
              <a16:creationId xmlns=""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45244</xdr:colOff>
      <xdr:row>11</xdr:row>
      <xdr:rowOff>47625</xdr:rowOff>
    </xdr:from>
    <xdr:to>
      <xdr:col>3</xdr:col>
      <xdr:colOff>1635125</xdr:colOff>
      <xdr:row>28</xdr:row>
      <xdr:rowOff>77258</xdr:rowOff>
    </xdr:to>
    <xdr:graphicFrame macro="">
      <xdr:nvGraphicFramePr>
        <xdr:cNvPr id="3" name="Gráfico 4">
          <a:extLst>
            <a:ext uri="{FF2B5EF4-FFF2-40B4-BE49-F238E27FC236}">
              <a16:creationId xmlns=""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1400" cy="26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158750</xdr:colOff>
      <xdr:row>0</xdr:row>
      <xdr:rowOff>47625</xdr:rowOff>
    </xdr:from>
    <xdr:to>
      <xdr:col>1</xdr:col>
      <xdr:colOff>1358900</xdr:colOff>
      <xdr:row>1</xdr:row>
      <xdr:rowOff>133350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750" y="47625"/>
          <a:ext cx="2311400" cy="26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6384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4288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536910" cy="571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40821</xdr:rowOff>
    </xdr:from>
    <xdr:to>
      <xdr:col>1</xdr:col>
      <xdr:colOff>1222829</xdr:colOff>
      <xdr:row>1</xdr:row>
      <xdr:rowOff>124278</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21"/>
          <a:ext cx="2308679" cy="264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40821</xdr:rowOff>
    </xdr:from>
    <xdr:to>
      <xdr:col>1</xdr:col>
      <xdr:colOff>1222829</xdr:colOff>
      <xdr:row>1</xdr:row>
      <xdr:rowOff>124278</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21"/>
          <a:ext cx="2308679" cy="264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40821</xdr:rowOff>
    </xdr:from>
    <xdr:to>
      <xdr:col>1</xdr:col>
      <xdr:colOff>1222829</xdr:colOff>
      <xdr:row>1</xdr:row>
      <xdr:rowOff>124278</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21"/>
          <a:ext cx="2375354" cy="264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4765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5241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4193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a16="http://schemas.microsoft.com/office/drawing/2014/main" xmlns="" id="{00000000-0008-0000-2E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409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6574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6574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1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122465</xdr:rowOff>
    </xdr:from>
    <xdr:to>
      <xdr:col>1</xdr:col>
      <xdr:colOff>991507</xdr:colOff>
      <xdr:row>1</xdr:row>
      <xdr:rowOff>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465"/>
          <a:ext cx="2311400" cy="5578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1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79375</xdr:colOff>
      <xdr:row>0</xdr:row>
      <xdr:rowOff>79375</xdr:rowOff>
    </xdr:from>
    <xdr:to>
      <xdr:col>1</xdr:col>
      <xdr:colOff>1200150</xdr:colOff>
      <xdr:row>0</xdr:row>
      <xdr:rowOff>339725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 y="79375"/>
          <a:ext cx="2311400" cy="26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6003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86591</xdr:rowOff>
    </xdr:from>
    <xdr:to>
      <xdr:col>1</xdr:col>
      <xdr:colOff>1012536</xdr:colOff>
      <xdr:row>0</xdr:row>
      <xdr:rowOff>710045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591"/>
          <a:ext cx="2317461" cy="623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4574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1143000</xdr:colOff>
      <xdr:row>2</xdr:row>
      <xdr:rowOff>47625</xdr:rowOff>
    </xdr:to>
    <xdr:pic>
      <xdr:nvPicPr>
        <xdr:cNvPr id="2" name="Immagine 1" descr="LOGO-OD-base30mm.jpg">
          <a:extLst>
            <a:ext uri="{FF2B5EF4-FFF2-40B4-BE49-F238E27FC236}">
              <a16:creationId xmlns=""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675"/>
          <a:ext cx="89535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76200</xdr:colOff>
      <xdr:row>0</xdr:row>
      <xdr:rowOff>161925</xdr:rowOff>
    </xdr:from>
    <xdr:to>
      <xdr:col>1</xdr:col>
      <xdr:colOff>1266825</xdr:colOff>
      <xdr:row>0</xdr:row>
      <xdr:rowOff>857250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161925"/>
          <a:ext cx="23145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127000</xdr:colOff>
      <xdr:row>0</xdr:row>
      <xdr:rowOff>111125</xdr:rowOff>
    </xdr:from>
    <xdr:to>
      <xdr:col>1</xdr:col>
      <xdr:colOff>1311275</xdr:colOff>
      <xdr:row>0</xdr:row>
      <xdr:rowOff>809625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111125"/>
          <a:ext cx="2308225"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63500</xdr:colOff>
      <xdr:row>0</xdr:row>
      <xdr:rowOff>79375</xdr:rowOff>
    </xdr:from>
    <xdr:to>
      <xdr:col>1</xdr:col>
      <xdr:colOff>1073150</xdr:colOff>
      <xdr:row>0</xdr:row>
      <xdr:rowOff>650875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00" y="79375"/>
          <a:ext cx="231457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2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63500</xdr:colOff>
      <xdr:row>0</xdr:row>
      <xdr:rowOff>79375</xdr:rowOff>
    </xdr:from>
    <xdr:to>
      <xdr:col>1</xdr:col>
      <xdr:colOff>1073150</xdr:colOff>
      <xdr:row>0</xdr:row>
      <xdr:rowOff>650875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00" y="79375"/>
          <a:ext cx="231457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3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2604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407642"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3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540992" cy="5619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1143000</xdr:colOff>
      <xdr:row>2</xdr:row>
      <xdr:rowOff>47625</xdr:rowOff>
    </xdr:to>
    <xdr:pic>
      <xdr:nvPicPr>
        <xdr:cNvPr id="2" name="Immagine 1" descr="LOGO-OD-base30mm.jpg">
          <a:extLst>
            <a:ext uri="{FF2B5EF4-FFF2-40B4-BE49-F238E27FC236}">
              <a16:creationId xmlns=""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675"/>
          <a:ext cx="89535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161925</xdr:colOff>
      <xdr:row>0</xdr:row>
      <xdr:rowOff>95250</xdr:rowOff>
    </xdr:from>
    <xdr:to>
      <xdr:col>1</xdr:col>
      <xdr:colOff>1247775</xdr:colOff>
      <xdr:row>0</xdr:row>
      <xdr:rowOff>1562100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3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95250"/>
          <a:ext cx="246697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3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3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540992" cy="5619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3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693392" cy="5143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3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474317" cy="5143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4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683867" cy="571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4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7965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4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4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0</xdr:col>
      <xdr:colOff>0</xdr:colOff>
      <xdr:row>0</xdr:row>
      <xdr:rowOff>47625</xdr:rowOff>
    </xdr:from>
    <xdr:to>
      <xdr:col>1</xdr:col>
      <xdr:colOff>1295400</xdr:colOff>
      <xdr:row>1</xdr:row>
      <xdr:rowOff>133350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4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24098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4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274292" cy="2857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4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4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4F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788642" cy="3714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626717" cy="2667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0</xdr:row>
      <xdr:rowOff>95248</xdr:rowOff>
    </xdr:from>
    <xdr:to>
      <xdr:col>1</xdr:col>
      <xdr:colOff>1407517</xdr:colOff>
      <xdr:row>0</xdr:row>
      <xdr:rowOff>666750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48"/>
          <a:ext cx="2626717" cy="2667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1367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701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5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31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5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5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2604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701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606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17748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0320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796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796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6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796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6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8" name="Picture 1" descr="Untitled:Users:jaime:Documents:MARZO_2014:PIEZAS_NUEVOS_LOGOS:FIRMAS_CORREO:logo_firmas-02.png">
          <a:extLst>
            <a:ext uri="{FF2B5EF4-FFF2-40B4-BE49-F238E27FC236}">
              <a16:creationId xmlns="" xmlns:a16="http://schemas.microsoft.com/office/drawing/2014/main" id="{00000000-0008-0000-6F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260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4" name="Picture 1" descr="Untitled:Users:jaime:Documents:MARZO_2014:PIEZAS_NUEVOS_LOGOS:FIRMAS_CORREO:logo_firmas-02.png">
          <a:extLst>
            <a:ext uri="{FF2B5EF4-FFF2-40B4-BE49-F238E27FC236}">
              <a16:creationId xmlns="" xmlns:a16="http://schemas.microsoft.com/office/drawing/2014/main" id="{00000000-0008-0000-7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19748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7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0034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7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555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6" name="Picture 1" descr="Untitled:Users:jaime:Documents:MARZO_2014:PIEZAS_NUEVOS_LOGOS:FIRMAS_CORREO:logo_firmas-02.png">
          <a:extLst>
            <a:ext uri="{FF2B5EF4-FFF2-40B4-BE49-F238E27FC236}">
              <a16:creationId xmlns="" xmlns:a16="http://schemas.microsoft.com/office/drawing/2014/main" id="{00000000-0008-0000-7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0034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6" name="Picture 1" descr="Untitled:Users:jaime:Documents:MARZO_2014:PIEZAS_NUEVOS_LOGOS:FIRMAS_CORREO:logo_firmas-02.png">
          <a:extLst>
            <a:ext uri="{FF2B5EF4-FFF2-40B4-BE49-F238E27FC236}">
              <a16:creationId xmlns="" xmlns:a16="http://schemas.microsoft.com/office/drawing/2014/main" id="{00000000-0008-0000-79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1272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7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0034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7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0034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7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8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4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5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9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9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A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1</xdr:col>
      <xdr:colOff>1231900</xdr:colOff>
      <xdr:row>1</xdr:row>
      <xdr:rowOff>38100</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A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142875"/>
          <a:ext cx="200342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A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6535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A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A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6535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A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A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7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A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2604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8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8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8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8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B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9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B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2604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9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2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9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9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19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0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A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0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0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C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0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C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0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955675" cy="103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97F82033-5762-40E8-A78A-25BA41C5A07B}"/>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1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D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748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1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987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D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1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558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1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748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D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558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D8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19.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8510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99769D57-900B-4CD1-A934-88CBCC62EFE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2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3939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D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3939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99769D57-900B-4CD1-A934-88CBCC62EFE3}"/>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2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4157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D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4157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2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56540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D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56540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1EDA99D6-AD2C-4F3F-A3BE-708C7D047A34}"/>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FAC37781-D33D-48CF-AAB5-B7BDEF932A9D}"/>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2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D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558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2F3961C7-CB68-486F-8553-8D74B13AC4AE}"/>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E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3177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CA8341B1-9C59-4F2C-A554-43474556192C}"/>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E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51777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E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3177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74B91C82-D334-4EA8-B081-10685EEDE8C8}"/>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293499A7-9A25-4C69-85AD-EF083D70DE03}"/>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12A0D114-D97A-4968-82A6-FDA713903F76}"/>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264E9DF-93DE-44DF-80D0-CCB58CEB0B1E}"/>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E7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E9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CA9E51DA-7D34-414A-8908-3A27BC99EFB7}"/>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00000000-0008-0000-E7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EC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EE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B5EE69D1-8770-46D7-AF88-C0D8123268BE}"/>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8511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939FD5E-EBBD-4B2F-B5FB-7EDC08EDD7B8}"/>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4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558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5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30822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5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2034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F4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54.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2034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81DF1CA7-0F19-4FB8-8028-8BCC7E634044}"/>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5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85102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5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701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6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8511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1.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8440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99402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3.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85102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4.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85102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5.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85102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29870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7.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F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55587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0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28917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101-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70.xml><?xml version="1.0" encoding="utf-8"?>
<xdr:wsDr xmlns:xdr="http://schemas.openxmlformats.org/drawingml/2006/spreadsheetDrawing" xmlns:a="http://schemas.openxmlformats.org/drawingml/2006/main">
  <xdr:twoCellAnchor>
    <xdr:from>
      <xdr:col>0</xdr:col>
      <xdr:colOff>205344</xdr:colOff>
      <xdr:row>0</xdr:row>
      <xdr:rowOff>86592</xdr:rowOff>
    </xdr:from>
    <xdr:to>
      <xdr:col>1</xdr:col>
      <xdr:colOff>1197428</xdr:colOff>
      <xdr:row>1</xdr:row>
      <xdr:rowOff>109005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2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344" y="86592"/>
          <a:ext cx="2121477" cy="2945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301-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72.xml><?xml version="1.0" encoding="utf-8"?>
<xdr:wsDr xmlns:xdr="http://schemas.openxmlformats.org/drawingml/2006/spreadsheetDrawing" xmlns:a="http://schemas.openxmlformats.org/drawingml/2006/main">
  <xdr:twoCellAnchor>
    <xdr:from>
      <xdr:col>0</xdr:col>
      <xdr:colOff>205344</xdr:colOff>
      <xdr:row>0</xdr:row>
      <xdr:rowOff>86592</xdr:rowOff>
    </xdr:from>
    <xdr:to>
      <xdr:col>1</xdr:col>
      <xdr:colOff>1197428</xdr:colOff>
      <xdr:row>1</xdr:row>
      <xdr:rowOff>109005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4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344" y="86592"/>
          <a:ext cx="2116034" cy="289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6E21DE7B-FEEA-445D-941B-C2D346903AB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74.xml><?xml version="1.0" encoding="utf-8"?>
<xdr:wsDr xmlns:xdr="http://schemas.openxmlformats.org/drawingml/2006/spreadsheetDrawing" xmlns:a="http://schemas.openxmlformats.org/drawingml/2006/main">
  <xdr:twoCellAnchor>
    <xdr:from>
      <xdr:col>0</xdr:col>
      <xdr:colOff>205344</xdr:colOff>
      <xdr:row>0</xdr:row>
      <xdr:rowOff>86592</xdr:rowOff>
    </xdr:from>
    <xdr:to>
      <xdr:col>1</xdr:col>
      <xdr:colOff>1197428</xdr:colOff>
      <xdr:row>1</xdr:row>
      <xdr:rowOff>109005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5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344" y="86592"/>
          <a:ext cx="2030309" cy="2224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AB8DB224-2BDC-465E-9CA3-1D28C32AA6B4}"/>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7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6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70150"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7CE3BBC2-95D8-41C4-BD47-BBE9B1C9A3BF}"/>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7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7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327275" cy="113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8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8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225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8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4" name="Picture 1" descr="Untitled:Users:jaime:Documents:MARZO_2014:PIEZAS_NUEVOS_LOGOS:FIRMAS_CORREO:logo_firmas-02.png">
          <a:extLst>
            <a:ext uri="{FF2B5EF4-FFF2-40B4-BE49-F238E27FC236}">
              <a16:creationId xmlns="" xmlns:a16="http://schemas.microsoft.com/office/drawing/2014/main" id="{00000000-0008-0000-0901-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177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9F43619F-D3FB-4775-9CC4-08C269CE9E5F}"/>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84.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A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5939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8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B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844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8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C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9558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9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D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9558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9F43619F-D3FB-4775-9CC4-08C269CE9E5F}"/>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9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A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844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9F43619F-D3FB-4775-9CC4-08C269CE9E5F}"/>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161925</xdr:colOff>
      <xdr:row>13</xdr:row>
      <xdr:rowOff>0</xdr:rowOff>
    </xdr:from>
    <xdr:to>
      <xdr:col>0</xdr:col>
      <xdr:colOff>916169</xdr:colOff>
      <xdr:row>13</xdr:row>
      <xdr:rowOff>465126</xdr:rowOff>
    </xdr:to>
    <xdr:pic>
      <xdr:nvPicPr>
        <xdr:cNvPr id="2" name="1 Imagen" descr="acenergy">
          <a:extLst>
            <a:ext uri="{FF2B5EF4-FFF2-40B4-BE49-F238E27FC236}">
              <a16:creationId xmlns:a16="http://schemas.microsoft.com/office/drawing/2014/main" xmlns=""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0"/>
          <a:ext cx="754244" cy="458321"/>
        </a:xfrm>
        <a:prstGeom prst="rect">
          <a:avLst/>
        </a:prstGeom>
        <a:noFill/>
        <a:ln>
          <a:noFill/>
        </a:ln>
      </xdr:spPr>
    </xdr:pic>
    <xdr:clientData/>
  </xdr:twoCellAnchor>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0A01-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773" y="86591"/>
          <a:ext cx="19558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AD62967C-EA90-4A44-85D0-C3E21BC83DE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9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E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177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29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0F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082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0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0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0986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0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1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9558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04.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2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0986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128492BD-2C2F-4E8B-984C-BC5B32D019F4}"/>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0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3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558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559F2B3A-ECCA-428D-B902-28A9A699B841}"/>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30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4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225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E05FB5F8-32EA-4F28-B213-F45C3E8C19DF}"/>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31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5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195580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477531A1-771C-4B8A-A5CD-36B348E31F06}"/>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wsDr>
</file>

<file path=xl/drawings/drawing31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6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0605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14.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701-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09867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DF109D08-4152-4E3A-A1BC-211E4F3FE7A7}"/>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1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42252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1141095</xdr:colOff>
      <xdr:row>2</xdr:row>
      <xdr:rowOff>48895</xdr:rowOff>
    </xdr:to>
    <xdr:pic>
      <xdr:nvPicPr>
        <xdr:cNvPr id="2" name="Immagine 1" descr="LOGO-OD-base30mm.jpg">
          <a:extLst>
            <a:ext uri="{FF2B5EF4-FFF2-40B4-BE49-F238E27FC236}">
              <a16:creationId xmlns="" xmlns:a16="http://schemas.microsoft.com/office/drawing/2014/main" id="{00000000-0008-0000-0600-000002000000}"/>
            </a:ext>
          </a:extLst>
        </xdr:cNvPr>
        <xdr:cNvPicPr/>
      </xdr:nvPicPr>
      <xdr:blipFill>
        <a:blip xmlns:r="http://schemas.openxmlformats.org/officeDocument/2006/relationships" r:embed="rId1" cstate="print"/>
        <a:stretch>
          <a:fillRect/>
        </a:stretch>
      </xdr:blipFill>
      <xdr:spPr>
        <a:xfrm>
          <a:off x="247650" y="66675"/>
          <a:ext cx="893445" cy="34417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18.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27250"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20.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2534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22.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2534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24.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2534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26.xml><?xml version="1.0" encoding="utf-8"?>
<xdr:wsDr xmlns:xdr="http://schemas.openxmlformats.org/drawingml/2006/spreadsheetDrawing" xmlns:a="http://schemas.openxmlformats.org/drawingml/2006/main">
  <xdr:twoCellAnchor>
    <xdr:from>
      <xdr:col>0</xdr:col>
      <xdr:colOff>259773</xdr:colOff>
      <xdr:row>0</xdr:row>
      <xdr:rowOff>86591</xdr:rowOff>
    </xdr:from>
    <xdr:to>
      <xdr:col>1</xdr:col>
      <xdr:colOff>1348798</xdr:colOff>
      <xdr:row>0</xdr:row>
      <xdr:rowOff>276225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773" y="86591"/>
          <a:ext cx="2125345" cy="1896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2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5780" cy="981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3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32.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22167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34.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23615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36.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3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4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69100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42.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44.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4090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46.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4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4090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5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52.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54.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56.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5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6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62.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64.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4090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66.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4090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6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7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72.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74.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76.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7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8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82.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84.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86.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88.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69100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90.xml><?xml version="1.0" encoding="utf-8"?>
<xdr:wsDr xmlns:xdr="http://schemas.openxmlformats.org/drawingml/2006/spreadsheetDrawing" xmlns:a="http://schemas.openxmlformats.org/drawingml/2006/main">
  <xdr:twoCellAnchor>
    <xdr:from>
      <xdr:col>0</xdr:col>
      <xdr:colOff>174048</xdr:colOff>
      <xdr:row>0</xdr:row>
      <xdr:rowOff>115166</xdr:rowOff>
    </xdr:from>
    <xdr:to>
      <xdr:col>1</xdr:col>
      <xdr:colOff>1179253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04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92.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94.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96.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398.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00.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02.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04.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3"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06.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8244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08.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00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10.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1.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12.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3.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3"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4"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5"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6"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7"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8"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9"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0"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1"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2"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3"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4"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5"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6"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7"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8"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19"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0"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1"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2"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3"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1133475</xdr:colOff>
      <xdr:row>2</xdr:row>
      <xdr:rowOff>33655</xdr:rowOff>
    </xdr:to>
    <xdr:pic>
      <xdr:nvPicPr>
        <xdr:cNvPr id="24"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14.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3672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5.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1125855</xdr:colOff>
      <xdr:row>2</xdr:row>
      <xdr:rowOff>18415</xdr:rowOff>
    </xdr:to>
    <xdr:pic>
      <xdr:nvPicPr>
        <xdr:cNvPr id="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85825" cy="31750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16.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1386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7.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1125855</xdr:colOff>
      <xdr:row>2</xdr:row>
      <xdr:rowOff>18415</xdr:rowOff>
    </xdr:to>
    <xdr:pic>
      <xdr:nvPicPr>
        <xdr:cNvPr id="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85825" cy="31750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18.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79768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9.xml><?xml version="1.0" encoding="utf-8"?>
<xdr:wsDr xmlns:xdr="http://schemas.openxmlformats.org/drawingml/2006/spreadsheetDrawing" xmlns:a="http://schemas.openxmlformats.org/drawingml/2006/main">
  <xdr:twoCellAnchor editAs="oneCell">
    <xdr:from>
      <xdr:col>0</xdr:col>
      <xdr:colOff>247650</xdr:colOff>
      <xdr:row>0</xdr:row>
      <xdr:rowOff>66675</xdr:rowOff>
    </xdr:from>
    <xdr:to>
      <xdr:col>0</xdr:col>
      <xdr:colOff>1133475</xdr:colOff>
      <xdr:row>2</xdr:row>
      <xdr:rowOff>33655</xdr:rowOff>
    </xdr:to>
    <xdr:pic>
      <xdr:nvPicPr>
        <xdr:cNvPr id="2"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3" name="Immagine 1" descr="LOGO-OD-base30mm.jpg">
          <a:extLst>
            <a:ext uri="{FF2B5EF4-FFF2-40B4-BE49-F238E27FC236}">
              <a16:creationId xmlns="" xmlns:a16="http://schemas.microsoft.com/office/drawing/2014/main" id="{F2CA4A45-534B-42FC-B5BD-A408BB121F43}"/>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4" name="Immagine 1" descr="LOGO-OD-base30mm.jpg">
          <a:extLst>
            <a:ext uri="{FF2B5EF4-FFF2-40B4-BE49-F238E27FC236}">
              <a16:creationId xmlns="" xmlns:a16="http://schemas.microsoft.com/office/drawing/2014/main" id="{C15BFDD8-4057-494B-AA37-BA3F95743DED}"/>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5" name="Immagine 1" descr="LOGO-OD-base30mm.jpg">
          <a:extLst>
            <a:ext uri="{FF2B5EF4-FFF2-40B4-BE49-F238E27FC236}">
              <a16:creationId xmlns="" xmlns:a16="http://schemas.microsoft.com/office/drawing/2014/main" id="{9352A3FE-ACEC-43B5-ACE5-B5FC40550905}"/>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6" name="Immagine 1" descr="LOGO-OD-base30mm.jpg">
          <a:extLst>
            <a:ext uri="{FF2B5EF4-FFF2-40B4-BE49-F238E27FC236}">
              <a16:creationId xmlns="" xmlns:a16="http://schemas.microsoft.com/office/drawing/2014/main" id="{19AC5489-5631-4B82-A309-0369F3741781}"/>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7" name="Immagine 1" descr="LOGO-OD-base30mm.jpg">
          <a:extLst>
            <a:ext uri="{FF2B5EF4-FFF2-40B4-BE49-F238E27FC236}">
              <a16:creationId xmlns="" xmlns:a16="http://schemas.microsoft.com/office/drawing/2014/main" id="{00000000-0008-0000-D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8" name="Immagine 1" descr="LOGO-OD-base30mm.jpg">
          <a:extLst>
            <a:ext uri="{FF2B5EF4-FFF2-40B4-BE49-F238E27FC236}">
              <a16:creationId xmlns="" xmlns:a16="http://schemas.microsoft.com/office/drawing/2014/main" id="{F9431632-7DC6-4A68-95EB-6EF276E38582}"/>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9" name="Immagine 1" descr="LOGO-OD-base30mm.jpg">
          <a:extLst>
            <a:ext uri="{FF2B5EF4-FFF2-40B4-BE49-F238E27FC236}">
              <a16:creationId xmlns="" xmlns:a16="http://schemas.microsoft.com/office/drawing/2014/main" id="{00000000-0008-0000-D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0" name="Immagine 1" descr="LOGO-OD-base30mm.jpg">
          <a:extLst>
            <a:ext uri="{FF2B5EF4-FFF2-40B4-BE49-F238E27FC236}">
              <a16:creationId xmlns="" xmlns:a16="http://schemas.microsoft.com/office/drawing/2014/main" id="{00000000-0008-0000-C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1" name="Immagine 1" descr="LOGO-OD-base30mm.jpg">
          <a:extLst>
            <a:ext uri="{FF2B5EF4-FFF2-40B4-BE49-F238E27FC236}">
              <a16:creationId xmlns="" xmlns:a16="http://schemas.microsoft.com/office/drawing/2014/main" id="{00000000-0008-0000-B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2" name="Immagine 1" descr="LOGO-OD-base30mm.jpg">
          <a:extLst>
            <a:ext uri="{FF2B5EF4-FFF2-40B4-BE49-F238E27FC236}">
              <a16:creationId xmlns="" xmlns:a16="http://schemas.microsoft.com/office/drawing/2014/main" id="{00000000-0008-0000-B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3" name="Immagine 1" descr="LOGO-OD-base30mm.jpg">
          <a:extLst>
            <a:ext uri="{FF2B5EF4-FFF2-40B4-BE49-F238E27FC236}">
              <a16:creationId xmlns="" xmlns:a16="http://schemas.microsoft.com/office/drawing/2014/main" id="{00000000-0008-0000-A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4" name="Immagine 1" descr="LOGO-OD-base30mm.jpg">
          <a:extLst>
            <a:ext uri="{FF2B5EF4-FFF2-40B4-BE49-F238E27FC236}">
              <a16:creationId xmlns="" xmlns:a16="http://schemas.microsoft.com/office/drawing/2014/main" id="{00000000-0008-0000-A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5" name="Immagine 1" descr="LOGO-OD-base30mm.jpg">
          <a:extLst>
            <a:ext uri="{FF2B5EF4-FFF2-40B4-BE49-F238E27FC236}">
              <a16:creationId xmlns="" xmlns:a16="http://schemas.microsoft.com/office/drawing/2014/main" id="{00000000-0008-0000-A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6" name="Immagine 1" descr="LOGO-OD-base30mm.jpg">
          <a:extLst>
            <a:ext uri="{FF2B5EF4-FFF2-40B4-BE49-F238E27FC236}">
              <a16:creationId xmlns=""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7" name="Immagine 1" descr="LOGO-OD-base30mm.jpg">
          <a:extLst>
            <a:ext uri="{FF2B5EF4-FFF2-40B4-BE49-F238E27FC236}">
              <a16:creationId xmlns=""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8" name="Immagine 1" descr="LOGO-OD-base30mm.jpg">
          <a:extLst>
            <a:ext uri="{FF2B5EF4-FFF2-40B4-BE49-F238E27FC236}">
              <a16:creationId xmlns=""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19" name="Immagine 1" descr="LOGO-OD-base30mm.jpg">
          <a:extLst>
            <a:ext uri="{FF2B5EF4-FFF2-40B4-BE49-F238E27FC236}">
              <a16:creationId xmlns=""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0" name="Immagine 1" descr="LOGO-OD-base30mm.jpg">
          <a:extLst>
            <a:ext uri="{FF2B5EF4-FFF2-40B4-BE49-F238E27FC236}">
              <a16:creationId xmlns="" xmlns:a16="http://schemas.microsoft.com/office/drawing/2014/main" id="{00000000-0008-0000-46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1" name="Immagine 1" descr="LOGO-OD-base30mm.jpg">
          <a:extLst>
            <a:ext uri="{FF2B5EF4-FFF2-40B4-BE49-F238E27FC236}">
              <a16:creationId xmlns=""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2" name="Immagine 1" descr="LOGO-OD-base30mm.jpg">
          <a:extLst>
            <a:ext uri="{FF2B5EF4-FFF2-40B4-BE49-F238E27FC236}">
              <a16:creationId xmlns=""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3" name="Immagine 1" descr="LOGO-OD-base30mm.jpg">
          <a:extLst>
            <a:ext uri="{FF2B5EF4-FFF2-40B4-BE49-F238E27FC236}">
              <a16:creationId xmlns=""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4" name="Immagine 1" descr="LOGO-OD-base30mm.jpg">
          <a:extLst>
            <a:ext uri="{FF2B5EF4-FFF2-40B4-BE49-F238E27FC236}">
              <a16:creationId xmlns=""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twoCellAnchor editAs="oneCell">
    <xdr:from>
      <xdr:col>0</xdr:col>
      <xdr:colOff>247650</xdr:colOff>
      <xdr:row>0</xdr:row>
      <xdr:rowOff>66675</xdr:rowOff>
    </xdr:from>
    <xdr:to>
      <xdr:col>0</xdr:col>
      <xdr:colOff>1141095</xdr:colOff>
      <xdr:row>2</xdr:row>
      <xdr:rowOff>48895</xdr:rowOff>
    </xdr:to>
    <xdr:pic>
      <xdr:nvPicPr>
        <xdr:cNvPr id="25" name="Immagine 1" descr="LOGO-OD-base30mm.jpg">
          <a:extLst>
            <a:ext uri="{FF2B5EF4-FFF2-40B4-BE49-F238E27FC236}">
              <a16:creationId xmlns=""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247650" y="66675"/>
          <a:ext cx="893445" cy="332740"/>
        </a:xfrm>
        <a:prstGeom prst="rect">
          <a:avLst/>
        </a:prstGeom>
      </xdr:spPr>
    </xdr:pic>
    <xdr:clientData/>
  </xdr:twoCellAnchor>
</xdr:wsDr>
</file>

<file path=xl/drawings/drawing420.xml><?xml version="1.0" encoding="utf-8"?>
<xdr:wsDr xmlns:xdr="http://schemas.openxmlformats.org/drawingml/2006/spreadsheetDrawing" xmlns:a="http://schemas.openxmlformats.org/drawingml/2006/main">
  <xdr:twoCellAnchor>
    <xdr:from>
      <xdr:col>0</xdr:col>
      <xdr:colOff>219768</xdr:colOff>
      <xdr:row>0</xdr:row>
      <xdr:rowOff>115166</xdr:rowOff>
    </xdr:from>
    <xdr:to>
      <xdr:col>1</xdr:col>
      <xdr:colOff>1224973</xdr:colOff>
      <xdr:row>1</xdr:row>
      <xdr:rowOff>32385</xdr:rowOff>
    </xdr:to>
    <xdr:pic>
      <xdr:nvPicPr>
        <xdr:cNvPr id="2" name="Picture 1" descr="Untitled:Users:jaime:Documents:MARZO_2014:PIEZAS_NUEVOS_LOGOS:FIRMAS_CORREO:logo_firmas-02.png">
          <a:extLst>
            <a:ext uri="{FF2B5EF4-FFF2-40B4-BE49-F238E27FC236}">
              <a16:creationId xmlns=""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68" y="115166"/>
          <a:ext cx="1622425" cy="1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1.xml><?xml version="1.0" encoding="utf-8"?>
<xdr:wsDr xmlns:xdr="http://schemas.openxmlformats.org/drawingml/2006/spreadsheetDrawing" xmlns:a="http://schemas.openxmlformats.org/drawingml/2006/main">
  <xdr:twoCellAnchor editAs="oneCell">
    <xdr:from>
      <xdr:col>0</xdr:col>
      <xdr:colOff>333375</xdr:colOff>
      <xdr:row>0</xdr:row>
      <xdr:rowOff>104775</xdr:rowOff>
    </xdr:from>
    <xdr:to>
      <xdr:col>1</xdr:col>
      <xdr:colOff>104775</xdr:colOff>
      <xdr:row>2</xdr:row>
      <xdr:rowOff>171450</xdr:rowOff>
    </xdr:to>
    <xdr:pic>
      <xdr:nvPicPr>
        <xdr:cNvPr id="2" name="3 Imagen" descr="acenerg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104775"/>
          <a:ext cx="7429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266700</xdr:colOff>
      <xdr:row>29</xdr:row>
      <xdr:rowOff>0</xdr:rowOff>
    </xdr:from>
    <xdr:to>
      <xdr:col>3</xdr:col>
      <xdr:colOff>276225</xdr:colOff>
      <xdr:row>38</xdr:row>
      <xdr:rowOff>95250</xdr:rowOff>
    </xdr:to>
    <xdr:pic>
      <xdr:nvPicPr>
        <xdr:cNvPr id="3" name="Imagen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50" y="6115050"/>
          <a:ext cx="1533525" cy="2771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295275</xdr:colOff>
      <xdr:row>39</xdr:row>
      <xdr:rowOff>38100</xdr:rowOff>
    </xdr:from>
    <xdr:to>
      <xdr:col>9</xdr:col>
      <xdr:colOff>238125</xdr:colOff>
      <xdr:row>50</xdr:row>
      <xdr:rowOff>219075</xdr:rowOff>
    </xdr:to>
    <xdr:pic>
      <xdr:nvPicPr>
        <xdr:cNvPr id="4" name="1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26237" t="22591" r="11714" b="15158"/>
        <a:stretch>
          <a:fillRect/>
        </a:stretch>
      </xdr:blipFill>
      <xdr:spPr bwMode="auto">
        <a:xfrm>
          <a:off x="295275" y="9191625"/>
          <a:ext cx="7381875" cy="416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723900</xdr:colOff>
      <xdr:row>44</xdr:row>
      <xdr:rowOff>266700</xdr:rowOff>
    </xdr:from>
    <xdr:to>
      <xdr:col>9</xdr:col>
      <xdr:colOff>171450</xdr:colOff>
      <xdr:row>44</xdr:row>
      <xdr:rowOff>266700</xdr:rowOff>
    </xdr:to>
    <xdr:cxnSp macro="">
      <xdr:nvCxnSpPr>
        <xdr:cNvPr id="5" name="4 Conector recto"/>
        <xdr:cNvCxnSpPr/>
      </xdr:nvCxnSpPr>
      <xdr:spPr>
        <a:xfrm>
          <a:off x="723900" y="11229975"/>
          <a:ext cx="6886575" cy="0"/>
        </a:xfrm>
        <a:prstGeom prst="line">
          <a:avLst/>
        </a:prstGeom>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422.xml><?xml version="1.0" encoding="utf-8"?>
<xdr:wsDr xmlns:xdr="http://schemas.openxmlformats.org/drawingml/2006/spreadsheetDrawing" xmlns:a="http://schemas.openxmlformats.org/drawingml/2006/main">
  <xdr:twoCellAnchor editAs="oneCell">
    <xdr:from>
      <xdr:col>0</xdr:col>
      <xdr:colOff>333375</xdr:colOff>
      <xdr:row>0</xdr:row>
      <xdr:rowOff>104775</xdr:rowOff>
    </xdr:from>
    <xdr:to>
      <xdr:col>1</xdr:col>
      <xdr:colOff>104775</xdr:colOff>
      <xdr:row>2</xdr:row>
      <xdr:rowOff>171450</xdr:rowOff>
    </xdr:to>
    <xdr:pic>
      <xdr:nvPicPr>
        <xdr:cNvPr id="2" name="3 Imagen" descr="acenerg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104775"/>
          <a:ext cx="7429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266700</xdr:colOff>
      <xdr:row>29</xdr:row>
      <xdr:rowOff>0</xdr:rowOff>
    </xdr:from>
    <xdr:to>
      <xdr:col>3</xdr:col>
      <xdr:colOff>276225</xdr:colOff>
      <xdr:row>38</xdr:row>
      <xdr:rowOff>95250</xdr:rowOff>
    </xdr:to>
    <xdr:pic>
      <xdr:nvPicPr>
        <xdr:cNvPr id="3" name="Imagen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50" y="6115050"/>
          <a:ext cx="1533525" cy="2771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295275</xdr:colOff>
      <xdr:row>39</xdr:row>
      <xdr:rowOff>9525</xdr:rowOff>
    </xdr:from>
    <xdr:to>
      <xdr:col>9</xdr:col>
      <xdr:colOff>180975</xdr:colOff>
      <xdr:row>50</xdr:row>
      <xdr:rowOff>123825</xdr:rowOff>
    </xdr:to>
    <xdr:pic>
      <xdr:nvPicPr>
        <xdr:cNvPr id="4" name="7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25586" t="22366" r="10922" b="14529"/>
        <a:stretch>
          <a:fillRect/>
        </a:stretch>
      </xdr:blipFill>
      <xdr:spPr bwMode="auto">
        <a:xfrm>
          <a:off x="295275" y="9163050"/>
          <a:ext cx="7324725" cy="409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523875</xdr:colOff>
      <xdr:row>43</xdr:row>
      <xdr:rowOff>180975</xdr:rowOff>
    </xdr:from>
    <xdr:to>
      <xdr:col>8</xdr:col>
      <xdr:colOff>733425</xdr:colOff>
      <xdr:row>43</xdr:row>
      <xdr:rowOff>180975</xdr:rowOff>
    </xdr:to>
    <xdr:cxnSp macro="">
      <xdr:nvCxnSpPr>
        <xdr:cNvPr id="5" name="4 Conector recto"/>
        <xdr:cNvCxnSpPr/>
      </xdr:nvCxnSpPr>
      <xdr:spPr>
        <a:xfrm>
          <a:off x="523875" y="10782300"/>
          <a:ext cx="6886575" cy="0"/>
        </a:xfrm>
        <a:prstGeom prst="line">
          <a:avLst/>
        </a:prstGeom>
      </xdr:spPr>
      <xdr:style>
        <a:lnRef idx="2">
          <a:schemeClr val="accent2"/>
        </a:lnRef>
        <a:fillRef idx="0">
          <a:schemeClr val="accent2"/>
        </a:fillRef>
        <a:effectRef idx="1">
          <a:schemeClr val="accent2"/>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0.242\Felipe%20Vargas\1-Requerimientos\Leidy%20Mateus\INFORME%20FACTURACION\2017\07-Julio\facturacion%20xls%20consolidado\6_FACTURACION%20MAY%20JUN%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T17-009 CASTELL FILAS D1D2D3"/>
      <sheetName val="OT17-017 BALSILLAS TRAFO D1"/>
      <sheetName val="OT17-020 LA GUACA FL2 COD MEDID"/>
      <sheetName val="OT17-021 CONCORDIA DR Y CN"/>
      <sheetName val="OT17-030 BOSA REP DE PRO"/>
      <sheetName val="OT17-031 CALLE 67 REP PROT"/>
      <sheetName val="OT17-033 CENTRO CHIA ADIC"/>
      <sheetName val="OT17-040 CAJICÁ "/>
      <sheetName val="OT17-041 LA GUACA"/>
      <sheetName val="OT17-042-MUÑA 3 "/>
      <sheetName val="OT17-043 VICTORIA PTES D1 D2"/>
      <sheetName val="OT17-046 VICTORIA POTENCIA"/>
      <sheetName val="OT17-051 LA GUACA"/>
      <sheetName val="OT17-053 NELSON ALONSO SSAA"/>
      <sheetName val="OT17-054 TOCANCIPÁ SSAA"/>
      <sheetName val="OT17-056 SALITRE SSAA"/>
      <sheetName val="OT17-063 SALTO 1 COD MED"/>
      <sheetName val="OT17-064 MUÑA III COD MEDIDA"/>
      <sheetName val="OT17-067 USME COD MEDIDA"/>
      <sheetName val="OT17-068 VICTORIA SSAA"/>
      <sheetName val="OT17-077 TRES ESQUINAS"/>
      <sheetName val="OT17-078 VIANÍ"/>
      <sheetName val="OT17-079 EL PEÑON"/>
      <sheetName val="OT17-086 CAYUNDA COD MEDIDA"/>
      <sheetName val="OT17-087 ÚTICA"/>
      <sheetName val="OT17-088 GUADUAS COD MEDIDA"/>
      <sheetName val="OT17-089 SAN FRANCISCO"/>
      <sheetName val="OT17-090 PUERTO SALGAR"/>
      <sheetName val="OT17-093 SUBA NORM SSAA"/>
      <sheetName val="OT17-096 SAN CARLOS ADIC"/>
      <sheetName val="OT17-098 LA PAZ CTO TELAS"/>
      <sheetName val="OT17-100 QUETAME"/>
      <sheetName val="OT17-101 LT CAQUEZA LA REFORMA"/>
      <sheetName val="OT17-102 CAQUEZA "/>
      <sheetName val="OT17-103 CALERA"/>
      <sheetName val="OT17-108 TOCANCIPÁ AMPLIACIÓN"/>
      <sheetName val="OT17-110 VERAGUAS ACT COD MED"/>
      <sheetName val="OT17-115 GACHANCIPÁ "/>
      <sheetName val="OT17-116 CHICALÁ ACT COD MEDID"/>
      <sheetName val="OT17-118 CHIA ACT EQUIPOS COD "/>
      <sheetName val="OT17-120 GRAN SABANA COD MED"/>
      <sheetName val="OT17-124 LLTTBACOBAFOCOCK REDIS"/>
      <sheetName val="OT17-126 SIMIJACA"/>
      <sheetName val="OT17-127 VILLETA"/>
      <sheetName val="OT17-128 CHARQUITO ING DETA"/>
      <sheetName val="OT17-132 TUNAL"/>
      <sheetName val="OT17-133 MAMBITA CÓD MED"/>
      <sheetName val="OT17-136 ZIPAQUIRÁ"/>
      <sheetName val="OT17-137 BOSA ACTU COD MED"/>
      <sheetName val="OT17-142 LT SAN JOSÉ-CONCORDIA"/>
      <sheetName val="OT17-143 SA REPOSICION INT LP"/>
      <sheetName val="OT17-145 CIRCO REPO DE PRO"/>
      <sheetName val="OT17-146  LLTT SAUCES - MUÑA"/>
      <sheetName val="OT17-148 LA PAZ CTO TELAS LEV"/>
      <sheetName val="OT17-149 EL SOL"/>
      <sheetName val="OT17-151 EL SOL"/>
      <sheetName val="OT17-155 TOCANCIPÁ PROVISIONAL"/>
    </sheetNames>
    <sheetDataSet>
      <sheetData sheetId="0"/>
      <sheetData sheetId="1"/>
      <sheetData sheetId="2"/>
      <sheetData sheetId="3"/>
      <sheetData sheetId="4"/>
      <sheetData sheetId="5">
        <row r="64">
          <cell r="V64">
            <v>5390436</v>
          </cell>
          <cell r="W64">
            <v>5.4734459529151541E-2</v>
          </cell>
        </row>
        <row r="65">
          <cell r="W65">
            <v>0.36896267580347497</v>
          </cell>
        </row>
        <row r="66">
          <cell r="V66">
            <v>30890537</v>
          </cell>
          <cell r="W66">
            <v>0.31366235444781426</v>
          </cell>
        </row>
        <row r="67">
          <cell r="V67">
            <v>17379629</v>
          </cell>
          <cell r="W67">
            <v>0.17647266383130575</v>
          </cell>
        </row>
        <row r="68">
          <cell r="V68">
            <v>89997303</v>
          </cell>
          <cell r="W68">
            <v>0.91383215361174652</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comments" Target="../comments3.xml"/><Relationship Id="rId4"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9.xml"/><Relationship Id="rId1" Type="http://schemas.openxmlformats.org/officeDocument/2006/relationships/printerSettings" Target="../printerSettings/printerSettings21.bin"/><Relationship Id="rId5" Type="http://schemas.openxmlformats.org/officeDocument/2006/relationships/comments" Target="../comments4.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1.xml"/><Relationship Id="rId1" Type="http://schemas.openxmlformats.org/officeDocument/2006/relationships/printerSettings" Target="../printerSettings/printerSettings23.bin"/><Relationship Id="rId5" Type="http://schemas.openxmlformats.org/officeDocument/2006/relationships/comments" Target="../comments5.xml"/><Relationship Id="rId4" Type="http://schemas.openxmlformats.org/officeDocument/2006/relationships/vmlDrawing" Target="../drawings/vmlDrawing15.v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33.xml"/><Relationship Id="rId1" Type="http://schemas.openxmlformats.org/officeDocument/2006/relationships/printerSettings" Target="../printerSettings/printerSettings35.bin"/><Relationship Id="rId5" Type="http://schemas.openxmlformats.org/officeDocument/2006/relationships/comments" Target="../comments6.xml"/><Relationship Id="rId4" Type="http://schemas.openxmlformats.org/officeDocument/2006/relationships/vmlDrawing" Target="../drawings/vmlDrawing22.v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55.xml"/><Relationship Id="rId1" Type="http://schemas.openxmlformats.org/officeDocument/2006/relationships/printerSettings" Target="../printerSettings/printerSettings57.bin"/><Relationship Id="rId5" Type="http://schemas.openxmlformats.org/officeDocument/2006/relationships/comments" Target="../comments7.xml"/><Relationship Id="rId4" Type="http://schemas.openxmlformats.org/officeDocument/2006/relationships/vmlDrawing" Target="../drawings/vmlDrawing33.v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59.xml"/><Relationship Id="rId1" Type="http://schemas.openxmlformats.org/officeDocument/2006/relationships/printerSettings" Target="../printerSettings/printerSettings61.bin"/><Relationship Id="rId5" Type="http://schemas.openxmlformats.org/officeDocument/2006/relationships/comments" Target="../comments8.xml"/><Relationship Id="rId4" Type="http://schemas.openxmlformats.org/officeDocument/2006/relationships/vmlDrawing" Target="../drawings/vmlDrawing36.v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63.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65.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67.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69.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71.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75.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77.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drawing" Target="../drawings/drawing79.xml"/><Relationship Id="rId1" Type="http://schemas.openxmlformats.org/officeDocument/2006/relationships/printerSettings" Target="../printerSettings/printerSettings81.bin"/><Relationship Id="rId5" Type="http://schemas.openxmlformats.org/officeDocument/2006/relationships/comments" Target="../comments9.xml"/><Relationship Id="rId4" Type="http://schemas.openxmlformats.org/officeDocument/2006/relationships/vmlDrawing" Target="../drawings/vmlDrawing46.v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81.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83.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85.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87.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89.xml"/><Relationship Id="rId1" Type="http://schemas.openxmlformats.org/officeDocument/2006/relationships/printerSettings" Target="../printerSettings/printerSettings91.bin"/><Relationship Id="rId5" Type="http://schemas.openxmlformats.org/officeDocument/2006/relationships/comments" Target="../comments10.xml"/><Relationship Id="rId4" Type="http://schemas.openxmlformats.org/officeDocument/2006/relationships/vmlDrawing" Target="../drawings/vmlDrawing52.vml"/></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91.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93.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95.xml"/><Relationship Id="rId1" Type="http://schemas.openxmlformats.org/officeDocument/2006/relationships/printerSettings" Target="../printerSettings/printerSettings97.bin"/><Relationship Id="rId5" Type="http://schemas.openxmlformats.org/officeDocument/2006/relationships/comments" Target="../comments11.xml"/><Relationship Id="rId4" Type="http://schemas.openxmlformats.org/officeDocument/2006/relationships/vmlDrawing" Target="../drawings/vmlDrawing56.vml"/></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97.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99.xml"/><Relationship Id="rId1" Type="http://schemas.openxmlformats.org/officeDocument/2006/relationships/printerSettings" Target="../printerSettings/printerSettings101.bin"/><Relationship Id="rId5" Type="http://schemas.openxmlformats.org/officeDocument/2006/relationships/comments" Target="../comments12.xml"/><Relationship Id="rId4" Type="http://schemas.openxmlformats.org/officeDocument/2006/relationships/vmlDrawing" Target="../drawings/vmlDrawing59.v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3" Type="http://schemas.openxmlformats.org/officeDocument/2006/relationships/vmlDrawing" Target="../drawings/vmlDrawing60.vml"/><Relationship Id="rId2" Type="http://schemas.openxmlformats.org/officeDocument/2006/relationships/drawing" Target="../drawings/drawing101.xml"/><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3" Type="http://schemas.openxmlformats.org/officeDocument/2006/relationships/vmlDrawing" Target="../drawings/vmlDrawing61.vml"/><Relationship Id="rId2" Type="http://schemas.openxmlformats.org/officeDocument/2006/relationships/drawing" Target="../drawings/drawing103.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3" Type="http://schemas.openxmlformats.org/officeDocument/2006/relationships/vmlDrawing" Target="../drawings/vmlDrawing62.vml"/><Relationship Id="rId2" Type="http://schemas.openxmlformats.org/officeDocument/2006/relationships/drawing" Target="../drawings/drawing105.xml"/><Relationship Id="rId1" Type="http://schemas.openxmlformats.org/officeDocument/2006/relationships/printerSettings" Target="../printerSettings/printerSettings107.bin"/><Relationship Id="rId5" Type="http://schemas.openxmlformats.org/officeDocument/2006/relationships/comments" Target="../comments13.xml"/><Relationship Id="rId4" Type="http://schemas.openxmlformats.org/officeDocument/2006/relationships/vmlDrawing" Target="../drawings/vmlDrawing63.vml"/></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3" Type="http://schemas.openxmlformats.org/officeDocument/2006/relationships/vmlDrawing" Target="../drawings/vmlDrawing64.vml"/><Relationship Id="rId2" Type="http://schemas.openxmlformats.org/officeDocument/2006/relationships/drawing" Target="../drawings/drawing107.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109.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111.x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113.xml"/><Relationship Id="rId1" Type="http://schemas.openxmlformats.org/officeDocument/2006/relationships/printerSettings" Target="../printerSettings/printerSettings115.bin"/><Relationship Id="rId5" Type="http://schemas.openxmlformats.org/officeDocument/2006/relationships/comments" Target="../comments14.xml"/><Relationship Id="rId4" Type="http://schemas.openxmlformats.org/officeDocument/2006/relationships/vmlDrawing" Target="../drawings/vmlDrawing68.vml"/></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115.xml"/><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3" Type="http://schemas.openxmlformats.org/officeDocument/2006/relationships/vmlDrawing" Target="../drawings/vmlDrawing70.vml"/><Relationship Id="rId2" Type="http://schemas.openxmlformats.org/officeDocument/2006/relationships/drawing" Target="../drawings/drawing117.xml"/><Relationship Id="rId1" Type="http://schemas.openxmlformats.org/officeDocument/2006/relationships/printerSettings" Target="../printerSettings/printerSettings119.bin"/><Relationship Id="rId5" Type="http://schemas.openxmlformats.org/officeDocument/2006/relationships/comments" Target="../comments15.xml"/><Relationship Id="rId4" Type="http://schemas.openxmlformats.org/officeDocument/2006/relationships/vmlDrawing" Target="../drawings/vmlDrawing71.vml"/></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3" Type="http://schemas.openxmlformats.org/officeDocument/2006/relationships/vmlDrawing" Target="../drawings/vmlDrawing72.vml"/><Relationship Id="rId2" Type="http://schemas.openxmlformats.org/officeDocument/2006/relationships/drawing" Target="../drawings/drawing119.xml"/><Relationship Id="rId1" Type="http://schemas.openxmlformats.org/officeDocument/2006/relationships/printerSettings" Target="../printerSettings/printerSettings121.bin"/><Relationship Id="rId5" Type="http://schemas.openxmlformats.org/officeDocument/2006/relationships/comments" Target="../comments16.xml"/><Relationship Id="rId4" Type="http://schemas.openxmlformats.org/officeDocument/2006/relationships/vmlDrawing" Target="../drawings/vmlDrawing73.vml"/></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74.vml"/><Relationship Id="rId2" Type="http://schemas.openxmlformats.org/officeDocument/2006/relationships/drawing" Target="../drawings/drawing121.xml"/><Relationship Id="rId1" Type="http://schemas.openxmlformats.org/officeDocument/2006/relationships/printerSettings" Target="../printerSettings/printerSettings123.bin"/><Relationship Id="rId5" Type="http://schemas.openxmlformats.org/officeDocument/2006/relationships/comments" Target="../comments17.xml"/><Relationship Id="rId4" Type="http://schemas.openxmlformats.org/officeDocument/2006/relationships/vmlDrawing" Target="../drawings/vmlDrawing75.vml"/></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3" Type="http://schemas.openxmlformats.org/officeDocument/2006/relationships/vmlDrawing" Target="../drawings/vmlDrawing76.vml"/><Relationship Id="rId2" Type="http://schemas.openxmlformats.org/officeDocument/2006/relationships/drawing" Target="../drawings/drawing123.xml"/><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3" Type="http://schemas.openxmlformats.org/officeDocument/2006/relationships/vmlDrawing" Target="../drawings/vmlDrawing77.vml"/><Relationship Id="rId2" Type="http://schemas.openxmlformats.org/officeDocument/2006/relationships/drawing" Target="../drawings/drawing125.xml"/><Relationship Id="rId1" Type="http://schemas.openxmlformats.org/officeDocument/2006/relationships/printerSettings" Target="../printerSettings/printerSettings127.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3" Type="http://schemas.openxmlformats.org/officeDocument/2006/relationships/vmlDrawing" Target="../drawings/vmlDrawing78.vml"/><Relationship Id="rId2" Type="http://schemas.openxmlformats.org/officeDocument/2006/relationships/drawing" Target="../drawings/drawing127.xml"/><Relationship Id="rId1" Type="http://schemas.openxmlformats.org/officeDocument/2006/relationships/printerSettings" Target="../printerSettings/printerSettings129.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3" Type="http://schemas.openxmlformats.org/officeDocument/2006/relationships/vmlDrawing" Target="../drawings/vmlDrawing79.vml"/><Relationship Id="rId2" Type="http://schemas.openxmlformats.org/officeDocument/2006/relationships/drawing" Target="../drawings/drawing129.xml"/><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3" Type="http://schemas.openxmlformats.org/officeDocument/2006/relationships/vmlDrawing" Target="../drawings/vmlDrawing80.vml"/><Relationship Id="rId2" Type="http://schemas.openxmlformats.org/officeDocument/2006/relationships/drawing" Target="../drawings/drawing131.xml"/><Relationship Id="rId1" Type="http://schemas.openxmlformats.org/officeDocument/2006/relationships/printerSettings" Target="../printerSettings/printerSettings133.bin"/><Relationship Id="rId5" Type="http://schemas.openxmlformats.org/officeDocument/2006/relationships/comments" Target="../comments18.xml"/><Relationship Id="rId4" Type="http://schemas.openxmlformats.org/officeDocument/2006/relationships/vmlDrawing" Target="../drawings/vmlDrawing81.vml"/></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3" Type="http://schemas.openxmlformats.org/officeDocument/2006/relationships/vmlDrawing" Target="../drawings/vmlDrawing82.vml"/><Relationship Id="rId2" Type="http://schemas.openxmlformats.org/officeDocument/2006/relationships/drawing" Target="../drawings/drawing133.xml"/><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3" Type="http://schemas.openxmlformats.org/officeDocument/2006/relationships/vmlDrawing" Target="../drawings/vmlDrawing83.vml"/><Relationship Id="rId2" Type="http://schemas.openxmlformats.org/officeDocument/2006/relationships/drawing" Target="../drawings/drawing135.xml"/><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8.bin"/></Relationships>
</file>

<file path=xl/worksheets/_rels/sheet140.xml.rels><?xml version="1.0" encoding="UTF-8" standalone="yes"?>
<Relationships xmlns="http://schemas.openxmlformats.org/package/2006/relationships"><Relationship Id="rId3" Type="http://schemas.openxmlformats.org/officeDocument/2006/relationships/vmlDrawing" Target="../drawings/vmlDrawing84.vml"/><Relationship Id="rId2" Type="http://schemas.openxmlformats.org/officeDocument/2006/relationships/drawing" Target="../drawings/drawing137.xml"/><Relationship Id="rId1" Type="http://schemas.openxmlformats.org/officeDocument/2006/relationships/printerSettings" Target="../printerSettings/printerSettings139.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40.bin"/></Relationships>
</file>

<file path=xl/worksheets/_rels/sheet142.xml.rels><?xml version="1.0" encoding="UTF-8" standalone="yes"?>
<Relationships xmlns="http://schemas.openxmlformats.org/package/2006/relationships"><Relationship Id="rId3" Type="http://schemas.openxmlformats.org/officeDocument/2006/relationships/vmlDrawing" Target="../drawings/vmlDrawing85.vml"/><Relationship Id="rId2" Type="http://schemas.openxmlformats.org/officeDocument/2006/relationships/drawing" Target="../drawings/drawing139.xml"/><Relationship Id="rId1" Type="http://schemas.openxmlformats.org/officeDocument/2006/relationships/printerSettings" Target="../printerSettings/printerSettings141.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2.bin"/></Relationships>
</file>

<file path=xl/worksheets/_rels/sheet144.xml.rels><?xml version="1.0" encoding="UTF-8" standalone="yes"?>
<Relationships xmlns="http://schemas.openxmlformats.org/package/2006/relationships"><Relationship Id="rId3" Type="http://schemas.openxmlformats.org/officeDocument/2006/relationships/vmlDrawing" Target="../drawings/vmlDrawing86.vml"/><Relationship Id="rId2" Type="http://schemas.openxmlformats.org/officeDocument/2006/relationships/drawing" Target="../drawings/drawing141.xml"/><Relationship Id="rId1" Type="http://schemas.openxmlformats.org/officeDocument/2006/relationships/printerSettings" Target="../printerSettings/printerSettings143.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4.bin"/></Relationships>
</file>

<file path=xl/worksheets/_rels/sheet146.xml.rels><?xml version="1.0" encoding="UTF-8" standalone="yes"?>
<Relationships xmlns="http://schemas.openxmlformats.org/package/2006/relationships"><Relationship Id="rId3" Type="http://schemas.openxmlformats.org/officeDocument/2006/relationships/vmlDrawing" Target="../drawings/vmlDrawing87.vml"/><Relationship Id="rId2" Type="http://schemas.openxmlformats.org/officeDocument/2006/relationships/drawing" Target="../drawings/drawing143.xml"/><Relationship Id="rId1" Type="http://schemas.openxmlformats.org/officeDocument/2006/relationships/printerSettings" Target="../printerSettings/printerSettings145.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6.bin"/></Relationships>
</file>

<file path=xl/worksheets/_rels/sheet148.xml.rels><?xml version="1.0" encoding="UTF-8" standalone="yes"?>
<Relationships xmlns="http://schemas.openxmlformats.org/package/2006/relationships"><Relationship Id="rId3" Type="http://schemas.openxmlformats.org/officeDocument/2006/relationships/vmlDrawing" Target="../drawings/vmlDrawing88.vml"/><Relationship Id="rId2" Type="http://schemas.openxmlformats.org/officeDocument/2006/relationships/drawing" Target="../drawings/drawing145.xml"/><Relationship Id="rId1" Type="http://schemas.openxmlformats.org/officeDocument/2006/relationships/printerSettings" Target="../printerSettings/printerSettings147.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8.bin"/></Relationships>
</file>

<file path=xl/worksheets/_rels/sheet150.xml.rels><?xml version="1.0" encoding="UTF-8" standalone="yes"?>
<Relationships xmlns="http://schemas.openxmlformats.org/package/2006/relationships"><Relationship Id="rId3" Type="http://schemas.openxmlformats.org/officeDocument/2006/relationships/vmlDrawing" Target="../drawings/vmlDrawing89.vml"/><Relationship Id="rId2" Type="http://schemas.openxmlformats.org/officeDocument/2006/relationships/drawing" Target="../drawings/drawing147.xml"/><Relationship Id="rId1" Type="http://schemas.openxmlformats.org/officeDocument/2006/relationships/printerSettings" Target="../printerSettings/printerSettings149.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50.bin"/></Relationships>
</file>

<file path=xl/worksheets/_rels/sheet152.xml.rels><?xml version="1.0" encoding="UTF-8" standalone="yes"?>
<Relationships xmlns="http://schemas.openxmlformats.org/package/2006/relationships"><Relationship Id="rId3" Type="http://schemas.openxmlformats.org/officeDocument/2006/relationships/vmlDrawing" Target="../drawings/vmlDrawing90.vml"/><Relationship Id="rId2" Type="http://schemas.openxmlformats.org/officeDocument/2006/relationships/drawing" Target="../drawings/drawing149.xml"/><Relationship Id="rId1" Type="http://schemas.openxmlformats.org/officeDocument/2006/relationships/printerSettings" Target="../printerSettings/printerSettings151.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52.bin"/></Relationships>
</file>

<file path=xl/worksheets/_rels/sheet154.xml.rels><?xml version="1.0" encoding="UTF-8" standalone="yes"?>
<Relationships xmlns="http://schemas.openxmlformats.org/package/2006/relationships"><Relationship Id="rId3" Type="http://schemas.openxmlformats.org/officeDocument/2006/relationships/vmlDrawing" Target="../drawings/vmlDrawing91.vml"/><Relationship Id="rId2" Type="http://schemas.openxmlformats.org/officeDocument/2006/relationships/drawing" Target="../drawings/drawing151.xml"/><Relationship Id="rId1" Type="http://schemas.openxmlformats.org/officeDocument/2006/relationships/printerSettings" Target="../printerSettings/printerSettings153.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4.bin"/></Relationships>
</file>

<file path=xl/worksheets/_rels/sheet156.xml.rels><?xml version="1.0" encoding="UTF-8" standalone="yes"?>
<Relationships xmlns="http://schemas.openxmlformats.org/package/2006/relationships"><Relationship Id="rId3" Type="http://schemas.openxmlformats.org/officeDocument/2006/relationships/vmlDrawing" Target="../drawings/vmlDrawing92.vml"/><Relationship Id="rId2" Type="http://schemas.openxmlformats.org/officeDocument/2006/relationships/drawing" Target="../drawings/drawing153.xml"/><Relationship Id="rId1" Type="http://schemas.openxmlformats.org/officeDocument/2006/relationships/printerSettings" Target="../printerSettings/printerSettings155.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6.bin"/></Relationships>
</file>

<file path=xl/worksheets/_rels/sheet158.xml.rels><?xml version="1.0" encoding="UTF-8" standalone="yes"?>
<Relationships xmlns="http://schemas.openxmlformats.org/package/2006/relationships"><Relationship Id="rId3" Type="http://schemas.openxmlformats.org/officeDocument/2006/relationships/vmlDrawing" Target="../drawings/vmlDrawing93.vml"/><Relationship Id="rId2" Type="http://schemas.openxmlformats.org/officeDocument/2006/relationships/drawing" Target="../drawings/drawing155.xml"/><Relationship Id="rId1" Type="http://schemas.openxmlformats.org/officeDocument/2006/relationships/printerSettings" Target="../printerSettings/printerSettings157.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58.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94.vml"/><Relationship Id="rId2" Type="http://schemas.openxmlformats.org/officeDocument/2006/relationships/drawing" Target="../drawings/drawing157.xml"/><Relationship Id="rId1" Type="http://schemas.openxmlformats.org/officeDocument/2006/relationships/printerSettings" Target="../printerSettings/printerSettings159.bin"/><Relationship Id="rId5" Type="http://schemas.openxmlformats.org/officeDocument/2006/relationships/comments" Target="../comments19.xml"/><Relationship Id="rId4" Type="http://schemas.openxmlformats.org/officeDocument/2006/relationships/vmlDrawing" Target="../drawings/vmlDrawing95.vml"/></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60.bin"/></Relationships>
</file>

<file path=xl/worksheets/_rels/sheet162.xml.rels><?xml version="1.0" encoding="UTF-8" standalone="yes"?>
<Relationships xmlns="http://schemas.openxmlformats.org/package/2006/relationships"><Relationship Id="rId3" Type="http://schemas.openxmlformats.org/officeDocument/2006/relationships/vmlDrawing" Target="../drawings/vmlDrawing96.vml"/><Relationship Id="rId2" Type="http://schemas.openxmlformats.org/officeDocument/2006/relationships/drawing" Target="../drawings/drawing159.xml"/><Relationship Id="rId1" Type="http://schemas.openxmlformats.org/officeDocument/2006/relationships/printerSettings" Target="../printerSettings/printerSettings161.bin"/><Relationship Id="rId5" Type="http://schemas.openxmlformats.org/officeDocument/2006/relationships/comments" Target="../comments20.xml"/><Relationship Id="rId4" Type="http://schemas.openxmlformats.org/officeDocument/2006/relationships/vmlDrawing" Target="../drawings/vmlDrawing97.vml"/></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62.bin"/></Relationships>
</file>

<file path=xl/worksheets/_rels/sheet164.xml.rels><?xml version="1.0" encoding="UTF-8" standalone="yes"?>
<Relationships xmlns="http://schemas.openxmlformats.org/package/2006/relationships"><Relationship Id="rId3" Type="http://schemas.openxmlformats.org/officeDocument/2006/relationships/vmlDrawing" Target="../drawings/vmlDrawing98.vml"/><Relationship Id="rId2" Type="http://schemas.openxmlformats.org/officeDocument/2006/relationships/drawing" Target="../drawings/drawing161.xml"/><Relationship Id="rId1" Type="http://schemas.openxmlformats.org/officeDocument/2006/relationships/printerSettings" Target="../printerSettings/printerSettings163.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164.bin"/></Relationships>
</file>

<file path=xl/worksheets/_rels/sheet166.xml.rels><?xml version="1.0" encoding="UTF-8" standalone="yes"?>
<Relationships xmlns="http://schemas.openxmlformats.org/package/2006/relationships"><Relationship Id="rId3" Type="http://schemas.openxmlformats.org/officeDocument/2006/relationships/vmlDrawing" Target="../drawings/vmlDrawing99.vml"/><Relationship Id="rId2" Type="http://schemas.openxmlformats.org/officeDocument/2006/relationships/drawing" Target="../drawings/drawing163.xml"/><Relationship Id="rId1" Type="http://schemas.openxmlformats.org/officeDocument/2006/relationships/printerSettings" Target="../printerSettings/printerSettings165.bin"/><Relationship Id="rId5" Type="http://schemas.openxmlformats.org/officeDocument/2006/relationships/comments" Target="../comments21.xml"/><Relationship Id="rId4" Type="http://schemas.openxmlformats.org/officeDocument/2006/relationships/vmlDrawing" Target="../drawings/vmlDrawing100.vml"/></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4.xml"/><Relationship Id="rId1" Type="http://schemas.openxmlformats.org/officeDocument/2006/relationships/printerSettings" Target="../printerSettings/printerSettings166.bin"/></Relationships>
</file>

<file path=xl/worksheets/_rels/sheet168.xml.rels><?xml version="1.0" encoding="UTF-8" standalone="yes"?>
<Relationships xmlns="http://schemas.openxmlformats.org/package/2006/relationships"><Relationship Id="rId3" Type="http://schemas.openxmlformats.org/officeDocument/2006/relationships/vmlDrawing" Target="../drawings/vmlDrawing101.vml"/><Relationship Id="rId2" Type="http://schemas.openxmlformats.org/officeDocument/2006/relationships/drawing" Target="../drawings/drawing165.xml"/><Relationship Id="rId1" Type="http://schemas.openxmlformats.org/officeDocument/2006/relationships/printerSettings" Target="../printerSettings/printerSettings167.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68.bin"/></Relationships>
</file>

<file path=xl/worksheets/_rels/sheet170.xml.rels><?xml version="1.0" encoding="UTF-8" standalone="yes"?>
<Relationships xmlns="http://schemas.openxmlformats.org/package/2006/relationships"><Relationship Id="rId3" Type="http://schemas.openxmlformats.org/officeDocument/2006/relationships/vmlDrawing" Target="../drawings/vmlDrawing102.vml"/><Relationship Id="rId2" Type="http://schemas.openxmlformats.org/officeDocument/2006/relationships/drawing" Target="../drawings/drawing167.xml"/><Relationship Id="rId1" Type="http://schemas.openxmlformats.org/officeDocument/2006/relationships/printerSettings" Target="../printerSettings/printerSettings169.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70.bin"/></Relationships>
</file>

<file path=xl/worksheets/_rels/sheet172.xml.rels><?xml version="1.0" encoding="UTF-8" standalone="yes"?>
<Relationships xmlns="http://schemas.openxmlformats.org/package/2006/relationships"><Relationship Id="rId3" Type="http://schemas.openxmlformats.org/officeDocument/2006/relationships/vmlDrawing" Target="../drawings/vmlDrawing103.vml"/><Relationship Id="rId2" Type="http://schemas.openxmlformats.org/officeDocument/2006/relationships/drawing" Target="../drawings/drawing169.xml"/><Relationship Id="rId1" Type="http://schemas.openxmlformats.org/officeDocument/2006/relationships/printerSettings" Target="../printerSettings/printerSettings171.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172.bin"/></Relationships>
</file>

<file path=xl/worksheets/_rels/sheet174.xml.rels><?xml version="1.0" encoding="UTF-8" standalone="yes"?>
<Relationships xmlns="http://schemas.openxmlformats.org/package/2006/relationships"><Relationship Id="rId3" Type="http://schemas.openxmlformats.org/officeDocument/2006/relationships/vmlDrawing" Target="../drawings/vmlDrawing104.vml"/><Relationship Id="rId2" Type="http://schemas.openxmlformats.org/officeDocument/2006/relationships/drawing" Target="../drawings/drawing171.xml"/><Relationship Id="rId1" Type="http://schemas.openxmlformats.org/officeDocument/2006/relationships/printerSettings" Target="../printerSettings/printerSettings173.bin"/></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74.bin"/></Relationships>
</file>

<file path=xl/worksheets/_rels/sheet176.xml.rels><?xml version="1.0" encoding="UTF-8" standalone="yes"?>
<Relationships xmlns="http://schemas.openxmlformats.org/package/2006/relationships"><Relationship Id="rId3" Type="http://schemas.openxmlformats.org/officeDocument/2006/relationships/vmlDrawing" Target="../drawings/vmlDrawing105.vml"/><Relationship Id="rId2" Type="http://schemas.openxmlformats.org/officeDocument/2006/relationships/drawing" Target="../drawings/drawing173.xml"/><Relationship Id="rId1" Type="http://schemas.openxmlformats.org/officeDocument/2006/relationships/printerSettings" Target="../printerSettings/printerSettings175.bin"/></Relationships>
</file>

<file path=xl/worksheets/_rels/sheet177.xml.rels><?xml version="1.0" encoding="UTF-8" standalone="yes"?>
<Relationships xmlns="http://schemas.openxmlformats.org/package/2006/relationships"><Relationship Id="rId2" Type="http://schemas.openxmlformats.org/officeDocument/2006/relationships/drawing" Target="../drawings/drawing174.xml"/><Relationship Id="rId1" Type="http://schemas.openxmlformats.org/officeDocument/2006/relationships/printerSettings" Target="../printerSettings/printerSettings176.bin"/></Relationships>
</file>

<file path=xl/worksheets/_rels/sheet178.xml.rels><?xml version="1.0" encoding="UTF-8" standalone="yes"?>
<Relationships xmlns="http://schemas.openxmlformats.org/package/2006/relationships"><Relationship Id="rId3" Type="http://schemas.openxmlformats.org/officeDocument/2006/relationships/vmlDrawing" Target="../drawings/vmlDrawing106.vml"/><Relationship Id="rId2" Type="http://schemas.openxmlformats.org/officeDocument/2006/relationships/drawing" Target="../drawings/drawing175.xml"/><Relationship Id="rId1" Type="http://schemas.openxmlformats.org/officeDocument/2006/relationships/printerSettings" Target="../printerSettings/printerSettings177.bin"/></Relationships>
</file>

<file path=xl/worksheets/_rels/sheet179.xml.rels><?xml version="1.0" encoding="UTF-8" standalone="yes"?>
<Relationships xmlns="http://schemas.openxmlformats.org/package/2006/relationships"><Relationship Id="rId2" Type="http://schemas.openxmlformats.org/officeDocument/2006/relationships/drawing" Target="../drawings/drawing176.xml"/><Relationship Id="rId1" Type="http://schemas.openxmlformats.org/officeDocument/2006/relationships/printerSettings" Target="../printerSettings/printerSettings178.bin"/></Relationships>
</file>

<file path=xl/worksheets/_rels/sheet180.xml.rels><?xml version="1.0" encoding="UTF-8" standalone="yes"?>
<Relationships xmlns="http://schemas.openxmlformats.org/package/2006/relationships"><Relationship Id="rId3" Type="http://schemas.openxmlformats.org/officeDocument/2006/relationships/vmlDrawing" Target="../drawings/vmlDrawing107.vml"/><Relationship Id="rId2" Type="http://schemas.openxmlformats.org/officeDocument/2006/relationships/drawing" Target="../drawings/drawing177.xml"/><Relationship Id="rId1" Type="http://schemas.openxmlformats.org/officeDocument/2006/relationships/printerSettings" Target="../printerSettings/printerSettings179.bin"/><Relationship Id="rId5" Type="http://schemas.openxmlformats.org/officeDocument/2006/relationships/comments" Target="../comments22.xml"/><Relationship Id="rId4" Type="http://schemas.openxmlformats.org/officeDocument/2006/relationships/vmlDrawing" Target="../drawings/vmlDrawing108.vml"/></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78.xml"/><Relationship Id="rId1" Type="http://schemas.openxmlformats.org/officeDocument/2006/relationships/printerSettings" Target="../printerSettings/printerSettings180.bin"/></Relationships>
</file>

<file path=xl/worksheets/_rels/sheet182.xml.rels><?xml version="1.0" encoding="UTF-8" standalone="yes"?>
<Relationships xmlns="http://schemas.openxmlformats.org/package/2006/relationships"><Relationship Id="rId3" Type="http://schemas.openxmlformats.org/officeDocument/2006/relationships/vmlDrawing" Target="../drawings/vmlDrawing109.vml"/><Relationship Id="rId2" Type="http://schemas.openxmlformats.org/officeDocument/2006/relationships/drawing" Target="../drawings/drawing179.xml"/><Relationship Id="rId1" Type="http://schemas.openxmlformats.org/officeDocument/2006/relationships/printerSettings" Target="../printerSettings/printerSettings181.bin"/></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180.xml"/><Relationship Id="rId1" Type="http://schemas.openxmlformats.org/officeDocument/2006/relationships/printerSettings" Target="../printerSettings/printerSettings182.bin"/></Relationships>
</file>

<file path=xl/worksheets/_rels/sheet184.xml.rels><?xml version="1.0" encoding="UTF-8" standalone="yes"?>
<Relationships xmlns="http://schemas.openxmlformats.org/package/2006/relationships"><Relationship Id="rId3" Type="http://schemas.openxmlformats.org/officeDocument/2006/relationships/vmlDrawing" Target="../drawings/vmlDrawing110.vml"/><Relationship Id="rId2" Type="http://schemas.openxmlformats.org/officeDocument/2006/relationships/drawing" Target="../drawings/drawing181.xml"/><Relationship Id="rId1" Type="http://schemas.openxmlformats.org/officeDocument/2006/relationships/printerSettings" Target="../printerSettings/printerSettings183.bin"/><Relationship Id="rId5" Type="http://schemas.openxmlformats.org/officeDocument/2006/relationships/comments" Target="../comments23.xml"/><Relationship Id="rId4" Type="http://schemas.openxmlformats.org/officeDocument/2006/relationships/vmlDrawing" Target="../drawings/vmlDrawing111.vml"/></Relationships>
</file>

<file path=xl/worksheets/_rels/sheet185.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printerSettings" Target="../printerSettings/printerSettings184.bin"/></Relationships>
</file>

<file path=xl/worksheets/_rels/sheet186.xml.rels><?xml version="1.0" encoding="UTF-8" standalone="yes"?>
<Relationships xmlns="http://schemas.openxmlformats.org/package/2006/relationships"><Relationship Id="rId3" Type="http://schemas.openxmlformats.org/officeDocument/2006/relationships/vmlDrawing" Target="../drawings/vmlDrawing112.vml"/><Relationship Id="rId2" Type="http://schemas.openxmlformats.org/officeDocument/2006/relationships/drawing" Target="../drawings/drawing183.xml"/><Relationship Id="rId1" Type="http://schemas.openxmlformats.org/officeDocument/2006/relationships/printerSettings" Target="../printerSettings/printerSettings185.bin"/></Relationships>
</file>

<file path=xl/worksheets/_rels/sheet187.xml.rels><?xml version="1.0" encoding="UTF-8" standalone="yes"?>
<Relationships xmlns="http://schemas.openxmlformats.org/package/2006/relationships"><Relationship Id="rId2" Type="http://schemas.openxmlformats.org/officeDocument/2006/relationships/drawing" Target="../drawings/drawing184.xml"/><Relationship Id="rId1" Type="http://schemas.openxmlformats.org/officeDocument/2006/relationships/printerSettings" Target="../printerSettings/printerSettings186.bin"/></Relationships>
</file>

<file path=xl/worksheets/_rels/sheet188.xml.rels><?xml version="1.0" encoding="UTF-8" standalone="yes"?>
<Relationships xmlns="http://schemas.openxmlformats.org/package/2006/relationships"><Relationship Id="rId3" Type="http://schemas.openxmlformats.org/officeDocument/2006/relationships/vmlDrawing" Target="../drawings/vmlDrawing113.vml"/><Relationship Id="rId2" Type="http://schemas.openxmlformats.org/officeDocument/2006/relationships/drawing" Target="../drawings/drawing185.xml"/><Relationship Id="rId1" Type="http://schemas.openxmlformats.org/officeDocument/2006/relationships/printerSettings" Target="../printerSettings/printerSettings187.bin"/></Relationships>
</file>

<file path=xl/worksheets/_rels/sheet189.xml.rels><?xml version="1.0" encoding="UTF-8" standalone="yes"?>
<Relationships xmlns="http://schemas.openxmlformats.org/package/2006/relationships"><Relationship Id="rId2" Type="http://schemas.openxmlformats.org/officeDocument/2006/relationships/drawing" Target="../drawings/drawing186.xml"/><Relationship Id="rId1" Type="http://schemas.openxmlformats.org/officeDocument/2006/relationships/printerSettings" Target="../printerSettings/printerSettings188.bin"/></Relationships>
</file>

<file path=xl/worksheets/_rels/sheet190.xml.rels><?xml version="1.0" encoding="UTF-8" standalone="yes"?>
<Relationships xmlns="http://schemas.openxmlformats.org/package/2006/relationships"><Relationship Id="rId3" Type="http://schemas.openxmlformats.org/officeDocument/2006/relationships/vmlDrawing" Target="../drawings/vmlDrawing114.vml"/><Relationship Id="rId2" Type="http://schemas.openxmlformats.org/officeDocument/2006/relationships/drawing" Target="../drawings/drawing187.xml"/><Relationship Id="rId1" Type="http://schemas.openxmlformats.org/officeDocument/2006/relationships/printerSettings" Target="../printerSettings/printerSettings189.bin"/><Relationship Id="rId5" Type="http://schemas.openxmlformats.org/officeDocument/2006/relationships/comments" Target="../comments24.xml"/><Relationship Id="rId4" Type="http://schemas.openxmlformats.org/officeDocument/2006/relationships/vmlDrawing" Target="../drawings/vmlDrawing115.vml"/></Relationships>
</file>

<file path=xl/worksheets/_rels/sheet191.xml.rels><?xml version="1.0" encoding="UTF-8" standalone="yes"?>
<Relationships xmlns="http://schemas.openxmlformats.org/package/2006/relationships"><Relationship Id="rId2" Type="http://schemas.openxmlformats.org/officeDocument/2006/relationships/drawing" Target="../drawings/drawing188.xml"/><Relationship Id="rId1" Type="http://schemas.openxmlformats.org/officeDocument/2006/relationships/printerSettings" Target="../printerSettings/printerSettings190.bin"/></Relationships>
</file>

<file path=xl/worksheets/_rels/sheet192.xml.rels><?xml version="1.0" encoding="UTF-8" standalone="yes"?>
<Relationships xmlns="http://schemas.openxmlformats.org/package/2006/relationships"><Relationship Id="rId3" Type="http://schemas.openxmlformats.org/officeDocument/2006/relationships/vmlDrawing" Target="../drawings/vmlDrawing116.vml"/><Relationship Id="rId2" Type="http://schemas.openxmlformats.org/officeDocument/2006/relationships/drawing" Target="../drawings/drawing189.xml"/><Relationship Id="rId1" Type="http://schemas.openxmlformats.org/officeDocument/2006/relationships/printerSettings" Target="../printerSettings/printerSettings191.bin"/><Relationship Id="rId5" Type="http://schemas.openxmlformats.org/officeDocument/2006/relationships/comments" Target="../comments25.xml"/><Relationship Id="rId4" Type="http://schemas.openxmlformats.org/officeDocument/2006/relationships/vmlDrawing" Target="../drawings/vmlDrawing117.vml"/></Relationships>
</file>

<file path=xl/worksheets/_rels/sheet193.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printerSettings" Target="../printerSettings/printerSettings192.bin"/></Relationships>
</file>

<file path=xl/worksheets/_rels/sheet194.xml.rels><?xml version="1.0" encoding="UTF-8" standalone="yes"?>
<Relationships xmlns="http://schemas.openxmlformats.org/package/2006/relationships"><Relationship Id="rId3" Type="http://schemas.openxmlformats.org/officeDocument/2006/relationships/vmlDrawing" Target="../drawings/vmlDrawing118.vml"/><Relationship Id="rId2" Type="http://schemas.openxmlformats.org/officeDocument/2006/relationships/drawing" Target="../drawings/drawing191.xml"/><Relationship Id="rId1" Type="http://schemas.openxmlformats.org/officeDocument/2006/relationships/printerSettings" Target="../printerSettings/printerSettings193.bin"/></Relationships>
</file>

<file path=xl/worksheets/_rels/sheet195.xml.rels><?xml version="1.0" encoding="UTF-8" standalone="yes"?>
<Relationships xmlns="http://schemas.openxmlformats.org/package/2006/relationships"><Relationship Id="rId2" Type="http://schemas.openxmlformats.org/officeDocument/2006/relationships/drawing" Target="../drawings/drawing192.xml"/><Relationship Id="rId1" Type="http://schemas.openxmlformats.org/officeDocument/2006/relationships/printerSettings" Target="../printerSettings/printerSettings194.bin"/></Relationships>
</file>

<file path=xl/worksheets/_rels/sheet196.xml.rels><?xml version="1.0" encoding="UTF-8" standalone="yes"?>
<Relationships xmlns="http://schemas.openxmlformats.org/package/2006/relationships"><Relationship Id="rId3" Type="http://schemas.openxmlformats.org/officeDocument/2006/relationships/vmlDrawing" Target="../drawings/vmlDrawing119.vml"/><Relationship Id="rId2" Type="http://schemas.openxmlformats.org/officeDocument/2006/relationships/drawing" Target="../drawings/drawing193.xml"/><Relationship Id="rId1" Type="http://schemas.openxmlformats.org/officeDocument/2006/relationships/printerSettings" Target="../printerSettings/printerSettings195.bin"/></Relationships>
</file>

<file path=xl/worksheets/_rels/sheet197.xml.rels><?xml version="1.0" encoding="UTF-8" standalone="yes"?>
<Relationships xmlns="http://schemas.openxmlformats.org/package/2006/relationships"><Relationship Id="rId2" Type="http://schemas.openxmlformats.org/officeDocument/2006/relationships/drawing" Target="../drawings/drawing194.xml"/><Relationship Id="rId1" Type="http://schemas.openxmlformats.org/officeDocument/2006/relationships/printerSettings" Target="../printerSettings/printerSettings196.bin"/></Relationships>
</file>

<file path=xl/worksheets/_rels/sheet198.xml.rels><?xml version="1.0" encoding="UTF-8" standalone="yes"?>
<Relationships xmlns="http://schemas.openxmlformats.org/package/2006/relationships"><Relationship Id="rId3" Type="http://schemas.openxmlformats.org/officeDocument/2006/relationships/vmlDrawing" Target="../drawings/vmlDrawing120.vml"/><Relationship Id="rId2" Type="http://schemas.openxmlformats.org/officeDocument/2006/relationships/drawing" Target="../drawings/drawing195.xml"/><Relationship Id="rId1" Type="http://schemas.openxmlformats.org/officeDocument/2006/relationships/printerSettings" Target="../printerSettings/printerSettings197.bin"/></Relationships>
</file>

<file path=xl/worksheets/_rels/sheet199.xml.rels><?xml version="1.0" encoding="UTF-8" standalone="yes"?>
<Relationships xmlns="http://schemas.openxmlformats.org/package/2006/relationships"><Relationship Id="rId2" Type="http://schemas.openxmlformats.org/officeDocument/2006/relationships/drawing" Target="../drawings/drawing196.xml"/><Relationship Id="rId1" Type="http://schemas.openxmlformats.org/officeDocument/2006/relationships/printerSettings" Target="../printerSettings/printerSettings198.bin"/></Relationships>
</file>

<file path=xl/worksheets/_rels/sheet200.xml.rels><?xml version="1.0" encoding="UTF-8" standalone="yes"?>
<Relationships xmlns="http://schemas.openxmlformats.org/package/2006/relationships"><Relationship Id="rId3" Type="http://schemas.openxmlformats.org/officeDocument/2006/relationships/vmlDrawing" Target="../drawings/vmlDrawing121.vml"/><Relationship Id="rId2" Type="http://schemas.openxmlformats.org/officeDocument/2006/relationships/drawing" Target="../drawings/drawing197.xml"/><Relationship Id="rId1" Type="http://schemas.openxmlformats.org/officeDocument/2006/relationships/printerSettings" Target="../printerSettings/printerSettings199.bin"/></Relationships>
</file>

<file path=xl/worksheets/_rels/sheet201.xml.rels><?xml version="1.0" encoding="UTF-8" standalone="yes"?>
<Relationships xmlns="http://schemas.openxmlformats.org/package/2006/relationships"><Relationship Id="rId2" Type="http://schemas.openxmlformats.org/officeDocument/2006/relationships/drawing" Target="../drawings/drawing198.xml"/><Relationship Id="rId1" Type="http://schemas.openxmlformats.org/officeDocument/2006/relationships/printerSettings" Target="../printerSettings/printerSettings200.bin"/></Relationships>
</file>

<file path=xl/worksheets/_rels/sheet202.xml.rels><?xml version="1.0" encoding="UTF-8" standalone="yes"?>
<Relationships xmlns="http://schemas.openxmlformats.org/package/2006/relationships"><Relationship Id="rId3" Type="http://schemas.openxmlformats.org/officeDocument/2006/relationships/vmlDrawing" Target="../drawings/vmlDrawing122.vml"/><Relationship Id="rId2" Type="http://schemas.openxmlformats.org/officeDocument/2006/relationships/drawing" Target="../drawings/drawing199.xml"/><Relationship Id="rId1" Type="http://schemas.openxmlformats.org/officeDocument/2006/relationships/printerSettings" Target="../printerSettings/printerSettings201.bin"/><Relationship Id="rId5" Type="http://schemas.openxmlformats.org/officeDocument/2006/relationships/comments" Target="../comments26.xml"/><Relationship Id="rId4" Type="http://schemas.openxmlformats.org/officeDocument/2006/relationships/vmlDrawing" Target="../drawings/vmlDrawing123.vml"/></Relationships>
</file>

<file path=xl/worksheets/_rels/sheet203.xml.rels><?xml version="1.0" encoding="UTF-8" standalone="yes"?>
<Relationships xmlns="http://schemas.openxmlformats.org/package/2006/relationships"><Relationship Id="rId2" Type="http://schemas.openxmlformats.org/officeDocument/2006/relationships/drawing" Target="../drawings/drawing200.xml"/><Relationship Id="rId1" Type="http://schemas.openxmlformats.org/officeDocument/2006/relationships/printerSettings" Target="../printerSettings/printerSettings202.bin"/></Relationships>
</file>

<file path=xl/worksheets/_rels/sheet204.xml.rels><?xml version="1.0" encoding="UTF-8" standalone="yes"?>
<Relationships xmlns="http://schemas.openxmlformats.org/package/2006/relationships"><Relationship Id="rId3" Type="http://schemas.openxmlformats.org/officeDocument/2006/relationships/vmlDrawing" Target="../drawings/vmlDrawing124.vml"/><Relationship Id="rId2" Type="http://schemas.openxmlformats.org/officeDocument/2006/relationships/drawing" Target="../drawings/drawing201.xml"/><Relationship Id="rId1" Type="http://schemas.openxmlformats.org/officeDocument/2006/relationships/printerSettings" Target="../printerSettings/printerSettings203.bin"/><Relationship Id="rId5" Type="http://schemas.openxmlformats.org/officeDocument/2006/relationships/comments" Target="../comments27.xml"/><Relationship Id="rId4" Type="http://schemas.openxmlformats.org/officeDocument/2006/relationships/vmlDrawing" Target="../drawings/vmlDrawing125.vml"/></Relationships>
</file>

<file path=xl/worksheets/_rels/sheet205.xml.rels><?xml version="1.0" encoding="UTF-8" standalone="yes"?>
<Relationships xmlns="http://schemas.openxmlformats.org/package/2006/relationships"><Relationship Id="rId2" Type="http://schemas.openxmlformats.org/officeDocument/2006/relationships/drawing" Target="../drawings/drawing202.xml"/><Relationship Id="rId1" Type="http://schemas.openxmlformats.org/officeDocument/2006/relationships/printerSettings" Target="../printerSettings/printerSettings204.bin"/></Relationships>
</file>

<file path=xl/worksheets/_rels/sheet206.xml.rels><?xml version="1.0" encoding="UTF-8" standalone="yes"?>
<Relationships xmlns="http://schemas.openxmlformats.org/package/2006/relationships"><Relationship Id="rId3" Type="http://schemas.openxmlformats.org/officeDocument/2006/relationships/vmlDrawing" Target="../drawings/vmlDrawing126.vml"/><Relationship Id="rId2" Type="http://schemas.openxmlformats.org/officeDocument/2006/relationships/drawing" Target="../drawings/drawing203.xml"/><Relationship Id="rId1" Type="http://schemas.openxmlformats.org/officeDocument/2006/relationships/printerSettings" Target="../printerSettings/printerSettings205.bin"/><Relationship Id="rId5" Type="http://schemas.openxmlformats.org/officeDocument/2006/relationships/comments" Target="../comments28.xml"/><Relationship Id="rId4" Type="http://schemas.openxmlformats.org/officeDocument/2006/relationships/vmlDrawing" Target="../drawings/vmlDrawing127.vml"/></Relationships>
</file>

<file path=xl/worksheets/_rels/sheet207.xml.rels><?xml version="1.0" encoding="UTF-8" standalone="yes"?>
<Relationships xmlns="http://schemas.openxmlformats.org/package/2006/relationships"><Relationship Id="rId2" Type="http://schemas.openxmlformats.org/officeDocument/2006/relationships/drawing" Target="../drawings/drawing204.xml"/><Relationship Id="rId1" Type="http://schemas.openxmlformats.org/officeDocument/2006/relationships/printerSettings" Target="../printerSettings/printerSettings206.bin"/></Relationships>
</file>

<file path=xl/worksheets/_rels/sheet208.xml.rels><?xml version="1.0" encoding="UTF-8" standalone="yes"?>
<Relationships xmlns="http://schemas.openxmlformats.org/package/2006/relationships"><Relationship Id="rId3" Type="http://schemas.openxmlformats.org/officeDocument/2006/relationships/vmlDrawing" Target="../drawings/vmlDrawing128.vml"/><Relationship Id="rId2" Type="http://schemas.openxmlformats.org/officeDocument/2006/relationships/drawing" Target="../drawings/drawing205.xml"/><Relationship Id="rId1" Type="http://schemas.openxmlformats.org/officeDocument/2006/relationships/printerSettings" Target="../printerSettings/printerSettings207.bin"/></Relationships>
</file>

<file path=xl/worksheets/_rels/sheet209.xml.rels><?xml version="1.0" encoding="UTF-8" standalone="yes"?>
<Relationships xmlns="http://schemas.openxmlformats.org/package/2006/relationships"><Relationship Id="rId2" Type="http://schemas.openxmlformats.org/officeDocument/2006/relationships/drawing" Target="../drawings/drawing206.xml"/><Relationship Id="rId1" Type="http://schemas.openxmlformats.org/officeDocument/2006/relationships/printerSettings" Target="../printerSettings/printerSettings208.bin"/></Relationships>
</file>

<file path=xl/worksheets/_rels/sheet210.xml.rels><?xml version="1.0" encoding="UTF-8" standalone="yes"?>
<Relationships xmlns="http://schemas.openxmlformats.org/package/2006/relationships"><Relationship Id="rId3" Type="http://schemas.openxmlformats.org/officeDocument/2006/relationships/vmlDrawing" Target="../drawings/vmlDrawing129.vml"/><Relationship Id="rId2" Type="http://schemas.openxmlformats.org/officeDocument/2006/relationships/drawing" Target="../drawings/drawing207.xml"/><Relationship Id="rId1" Type="http://schemas.openxmlformats.org/officeDocument/2006/relationships/printerSettings" Target="../printerSettings/printerSettings209.bin"/></Relationships>
</file>

<file path=xl/worksheets/_rels/sheet211.xml.rels><?xml version="1.0" encoding="UTF-8" standalone="yes"?>
<Relationships xmlns="http://schemas.openxmlformats.org/package/2006/relationships"><Relationship Id="rId2" Type="http://schemas.openxmlformats.org/officeDocument/2006/relationships/drawing" Target="../drawings/drawing208.xml"/><Relationship Id="rId1" Type="http://schemas.openxmlformats.org/officeDocument/2006/relationships/printerSettings" Target="../printerSettings/printerSettings210.bin"/></Relationships>
</file>

<file path=xl/worksheets/_rels/sheet212.xml.rels><?xml version="1.0" encoding="UTF-8" standalone="yes"?>
<Relationships xmlns="http://schemas.openxmlformats.org/package/2006/relationships"><Relationship Id="rId3" Type="http://schemas.openxmlformats.org/officeDocument/2006/relationships/vmlDrawing" Target="../drawings/vmlDrawing130.vml"/><Relationship Id="rId2" Type="http://schemas.openxmlformats.org/officeDocument/2006/relationships/drawing" Target="../drawings/drawing209.xml"/><Relationship Id="rId1" Type="http://schemas.openxmlformats.org/officeDocument/2006/relationships/printerSettings" Target="../printerSettings/printerSettings211.bin"/></Relationships>
</file>

<file path=xl/worksheets/_rels/sheet213.xml.rels><?xml version="1.0" encoding="UTF-8" standalone="yes"?>
<Relationships xmlns="http://schemas.openxmlformats.org/package/2006/relationships"><Relationship Id="rId2" Type="http://schemas.openxmlformats.org/officeDocument/2006/relationships/drawing" Target="../drawings/drawing210.xml"/><Relationship Id="rId1" Type="http://schemas.openxmlformats.org/officeDocument/2006/relationships/printerSettings" Target="../printerSettings/printerSettings212.bin"/></Relationships>
</file>

<file path=xl/worksheets/_rels/sheet214.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213.bin"/></Relationships>
</file>

<file path=xl/worksheets/_rels/sheet215.xml.rels><?xml version="1.0" encoding="UTF-8" standalone="yes"?>
<Relationships xmlns="http://schemas.openxmlformats.org/package/2006/relationships"><Relationship Id="rId2" Type="http://schemas.openxmlformats.org/officeDocument/2006/relationships/drawing" Target="../drawings/drawing212.xml"/><Relationship Id="rId1" Type="http://schemas.openxmlformats.org/officeDocument/2006/relationships/printerSettings" Target="../printerSettings/printerSettings214.bin"/></Relationships>
</file>

<file path=xl/worksheets/_rels/sheet216.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215.bin"/></Relationships>
</file>

<file path=xl/worksheets/_rels/sheet217.xml.rels><?xml version="1.0" encoding="UTF-8" standalone="yes"?>
<Relationships xmlns="http://schemas.openxmlformats.org/package/2006/relationships"><Relationship Id="rId2" Type="http://schemas.openxmlformats.org/officeDocument/2006/relationships/drawing" Target="../drawings/drawing214.xml"/><Relationship Id="rId1" Type="http://schemas.openxmlformats.org/officeDocument/2006/relationships/printerSettings" Target="../printerSettings/printerSettings216.bin"/></Relationships>
</file>

<file path=xl/worksheets/_rels/sheet21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217.bin"/></Relationships>
</file>

<file path=xl/worksheets/_rels/sheet219.xml.rels><?xml version="1.0" encoding="UTF-8" standalone="yes"?>
<Relationships xmlns="http://schemas.openxmlformats.org/package/2006/relationships"><Relationship Id="rId2" Type="http://schemas.openxmlformats.org/officeDocument/2006/relationships/drawing" Target="../drawings/drawing216.xml"/><Relationship Id="rId1" Type="http://schemas.openxmlformats.org/officeDocument/2006/relationships/printerSettings" Target="../printerSettings/printerSettings218.bin"/></Relationships>
</file>

<file path=xl/worksheets/_rels/sheet220.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219.bin"/></Relationships>
</file>

<file path=xl/worksheets/_rels/sheet221.xml.rels><?xml version="1.0" encoding="UTF-8" standalone="yes"?>
<Relationships xmlns="http://schemas.openxmlformats.org/package/2006/relationships"><Relationship Id="rId2" Type="http://schemas.openxmlformats.org/officeDocument/2006/relationships/drawing" Target="../drawings/drawing218.xml"/><Relationship Id="rId1" Type="http://schemas.openxmlformats.org/officeDocument/2006/relationships/printerSettings" Target="../printerSettings/printerSettings220.bin"/></Relationships>
</file>

<file path=xl/worksheets/_rels/sheet222.xml.rels><?xml version="1.0" encoding="UTF-8" standalone="yes"?>
<Relationships xmlns="http://schemas.openxmlformats.org/package/2006/relationships"><Relationship Id="rId2" Type="http://schemas.openxmlformats.org/officeDocument/2006/relationships/drawing" Target="../drawings/drawing219.xml"/><Relationship Id="rId1" Type="http://schemas.openxmlformats.org/officeDocument/2006/relationships/printerSettings" Target="../printerSettings/printerSettings221.bin"/></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5.xml.rels><?xml version="1.0" encoding="UTF-8" standalone="yes"?>
<Relationships xmlns="http://schemas.openxmlformats.org/package/2006/relationships"><Relationship Id="rId2" Type="http://schemas.openxmlformats.org/officeDocument/2006/relationships/drawing" Target="../drawings/drawing222.xml"/><Relationship Id="rId1" Type="http://schemas.openxmlformats.org/officeDocument/2006/relationships/printerSettings" Target="../printerSettings/printerSettings222.bin"/></Relationships>
</file>

<file path=xl/worksheets/_rels/sheet226.xml.rels><?xml version="1.0" encoding="UTF-8" standalone="yes"?>
<Relationships xmlns="http://schemas.openxmlformats.org/package/2006/relationships"><Relationship Id="rId2" Type="http://schemas.openxmlformats.org/officeDocument/2006/relationships/drawing" Target="../drawings/drawing223.xml"/><Relationship Id="rId1" Type="http://schemas.openxmlformats.org/officeDocument/2006/relationships/printerSettings" Target="../printerSettings/printerSettings223.bin"/></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9.xml.rels><?xml version="1.0" encoding="UTF-8" standalone="yes"?>
<Relationships xmlns="http://schemas.openxmlformats.org/package/2006/relationships"><Relationship Id="rId2" Type="http://schemas.openxmlformats.org/officeDocument/2006/relationships/drawing" Target="../drawings/drawing226.xml"/><Relationship Id="rId1" Type="http://schemas.openxmlformats.org/officeDocument/2006/relationships/printerSettings" Target="../printerSettings/printerSettings224.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31.xml.rels><?xml version="1.0" encoding="UTF-8" standalone="yes"?>
<Relationships xmlns="http://schemas.openxmlformats.org/package/2006/relationships"><Relationship Id="rId2" Type="http://schemas.openxmlformats.org/officeDocument/2006/relationships/drawing" Target="../drawings/drawing227.xml"/><Relationship Id="rId1" Type="http://schemas.openxmlformats.org/officeDocument/2006/relationships/printerSettings" Target="../printerSettings/printerSettings226.bin"/></Relationships>
</file>

<file path=xl/worksheets/_rels/sheet232.xml.rels><?xml version="1.0" encoding="UTF-8" standalone="yes"?>
<Relationships xmlns="http://schemas.openxmlformats.org/package/2006/relationships"><Relationship Id="rId2" Type="http://schemas.openxmlformats.org/officeDocument/2006/relationships/drawing" Target="../drawings/drawing228.xml"/><Relationship Id="rId1" Type="http://schemas.openxmlformats.org/officeDocument/2006/relationships/printerSettings" Target="../printerSettings/printerSettings227.bin"/></Relationships>
</file>

<file path=xl/worksheets/_rels/sheet233.xml.rels><?xml version="1.0" encoding="UTF-8" standalone="yes"?>
<Relationships xmlns="http://schemas.openxmlformats.org/package/2006/relationships"><Relationship Id="rId2" Type="http://schemas.openxmlformats.org/officeDocument/2006/relationships/drawing" Target="../drawings/drawing229.xml"/><Relationship Id="rId1" Type="http://schemas.openxmlformats.org/officeDocument/2006/relationships/printerSettings" Target="../printerSettings/printerSettings228.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5.xml.rels><?xml version="1.0" encoding="UTF-8" standalone="yes"?>
<Relationships xmlns="http://schemas.openxmlformats.org/package/2006/relationships"><Relationship Id="rId2" Type="http://schemas.openxmlformats.org/officeDocument/2006/relationships/drawing" Target="../drawings/drawing230.xml"/><Relationship Id="rId1" Type="http://schemas.openxmlformats.org/officeDocument/2006/relationships/printerSettings" Target="../printerSettings/printerSettings230.bin"/></Relationships>
</file>

<file path=xl/worksheets/_rels/sheet236.xml.rels><?xml version="1.0" encoding="UTF-8" standalone="yes"?>
<Relationships xmlns="http://schemas.openxmlformats.org/package/2006/relationships"><Relationship Id="rId2" Type="http://schemas.openxmlformats.org/officeDocument/2006/relationships/drawing" Target="../drawings/drawing231.xml"/><Relationship Id="rId1" Type="http://schemas.openxmlformats.org/officeDocument/2006/relationships/printerSettings" Target="../printerSettings/printerSettings231.bin"/></Relationships>
</file>

<file path=xl/worksheets/_rels/sheet237.xml.rels><?xml version="1.0" encoding="UTF-8" standalone="yes"?>
<Relationships xmlns="http://schemas.openxmlformats.org/package/2006/relationships"><Relationship Id="rId2" Type="http://schemas.openxmlformats.org/officeDocument/2006/relationships/drawing" Target="../drawings/drawing232.xml"/><Relationship Id="rId1" Type="http://schemas.openxmlformats.org/officeDocument/2006/relationships/printerSettings" Target="../printerSettings/printerSettings232.bin"/></Relationships>
</file>

<file path=xl/worksheets/_rels/sheet238.xml.rels><?xml version="1.0" encoding="UTF-8" standalone="yes"?>
<Relationships xmlns="http://schemas.openxmlformats.org/package/2006/relationships"><Relationship Id="rId2" Type="http://schemas.openxmlformats.org/officeDocument/2006/relationships/drawing" Target="../drawings/drawing233.xml"/><Relationship Id="rId1" Type="http://schemas.openxmlformats.org/officeDocument/2006/relationships/printerSettings" Target="../printerSettings/printerSettings233.bin"/></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41.xml.rels><?xml version="1.0" encoding="UTF-8" standalone="yes"?>
<Relationships xmlns="http://schemas.openxmlformats.org/package/2006/relationships"><Relationship Id="rId2" Type="http://schemas.openxmlformats.org/officeDocument/2006/relationships/drawing" Target="../drawings/drawing236.xml"/><Relationship Id="rId1" Type="http://schemas.openxmlformats.org/officeDocument/2006/relationships/printerSettings" Target="../printerSettings/printerSettings234.bin"/></Relationships>
</file>

<file path=xl/worksheets/_rels/sheet242.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243.xml.rels><?xml version="1.0" encoding="UTF-8" standalone="yes"?>
<Relationships xmlns="http://schemas.openxmlformats.org/package/2006/relationships"><Relationship Id="rId2" Type="http://schemas.openxmlformats.org/officeDocument/2006/relationships/drawing" Target="../drawings/drawing237.xml"/><Relationship Id="rId1" Type="http://schemas.openxmlformats.org/officeDocument/2006/relationships/printerSettings" Target="../printerSettings/printerSettings236.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245.xml.rels><?xml version="1.0" encoding="UTF-8" standalone="yes"?>
<Relationships xmlns="http://schemas.openxmlformats.org/package/2006/relationships"><Relationship Id="rId2" Type="http://schemas.openxmlformats.org/officeDocument/2006/relationships/drawing" Target="../drawings/drawing238.xml"/><Relationship Id="rId1" Type="http://schemas.openxmlformats.org/officeDocument/2006/relationships/printerSettings" Target="../printerSettings/printerSettings238.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247.xml.rels><?xml version="1.0" encoding="UTF-8" standalone="yes"?>
<Relationships xmlns="http://schemas.openxmlformats.org/package/2006/relationships"><Relationship Id="rId2" Type="http://schemas.openxmlformats.org/officeDocument/2006/relationships/drawing" Target="../drawings/drawing239.xml"/><Relationship Id="rId1" Type="http://schemas.openxmlformats.org/officeDocument/2006/relationships/printerSettings" Target="../printerSettings/printerSettings240.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249.xml.rels><?xml version="1.0" encoding="UTF-8" standalone="yes"?>
<Relationships xmlns="http://schemas.openxmlformats.org/package/2006/relationships"><Relationship Id="rId2" Type="http://schemas.openxmlformats.org/officeDocument/2006/relationships/drawing" Target="../drawings/drawing240.xml"/><Relationship Id="rId1" Type="http://schemas.openxmlformats.org/officeDocument/2006/relationships/printerSettings" Target="../printerSettings/printerSettings242.bin"/></Relationships>
</file>

<file path=xl/worksheets/_rels/sheet250.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251.xml.rels><?xml version="1.0" encoding="UTF-8" standalone="yes"?>
<Relationships xmlns="http://schemas.openxmlformats.org/package/2006/relationships"><Relationship Id="rId2" Type="http://schemas.openxmlformats.org/officeDocument/2006/relationships/drawing" Target="../drawings/drawing241.xml"/><Relationship Id="rId1" Type="http://schemas.openxmlformats.org/officeDocument/2006/relationships/printerSettings" Target="../printerSettings/printerSettings244.bin"/></Relationships>
</file>

<file path=xl/worksheets/_rels/sheet253.xml.rels><?xml version="1.0" encoding="UTF-8" standalone="yes"?>
<Relationships xmlns="http://schemas.openxmlformats.org/package/2006/relationships"><Relationship Id="rId2" Type="http://schemas.openxmlformats.org/officeDocument/2006/relationships/drawing" Target="../drawings/drawing242.xml"/><Relationship Id="rId1" Type="http://schemas.openxmlformats.org/officeDocument/2006/relationships/printerSettings" Target="../printerSettings/printerSettings245.bin"/></Relationships>
</file>

<file path=xl/worksheets/_rels/sheet254.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255.xml.rels><?xml version="1.0" encoding="UTF-8" standalone="yes"?>
<Relationships xmlns="http://schemas.openxmlformats.org/package/2006/relationships"><Relationship Id="rId2" Type="http://schemas.openxmlformats.org/officeDocument/2006/relationships/drawing" Target="../drawings/drawing243.xml"/><Relationship Id="rId1" Type="http://schemas.openxmlformats.org/officeDocument/2006/relationships/printerSettings" Target="../printerSettings/printerSettings247.bin"/></Relationships>
</file>

<file path=xl/worksheets/_rels/sheet257.xml.rels><?xml version="1.0" encoding="UTF-8" standalone="yes"?>
<Relationships xmlns="http://schemas.openxmlformats.org/package/2006/relationships"><Relationship Id="rId2" Type="http://schemas.openxmlformats.org/officeDocument/2006/relationships/drawing" Target="../drawings/drawing244.xml"/><Relationship Id="rId1" Type="http://schemas.openxmlformats.org/officeDocument/2006/relationships/printerSettings" Target="../printerSettings/printerSettings248.bin"/></Relationships>
</file>

<file path=xl/worksheets/_rels/sheet259.xml.rels><?xml version="1.0" encoding="UTF-8" standalone="yes"?>
<Relationships xmlns="http://schemas.openxmlformats.org/package/2006/relationships"><Relationship Id="rId2" Type="http://schemas.openxmlformats.org/officeDocument/2006/relationships/drawing" Target="../drawings/drawing245.xml"/><Relationship Id="rId1" Type="http://schemas.openxmlformats.org/officeDocument/2006/relationships/printerSettings" Target="../printerSettings/printerSettings249.bin"/></Relationships>
</file>

<file path=xl/worksheets/_rels/sheet260.xml.rels><?xml version="1.0" encoding="UTF-8" standalone="yes"?>
<Relationships xmlns="http://schemas.openxmlformats.org/package/2006/relationships"><Relationship Id="rId2" Type="http://schemas.openxmlformats.org/officeDocument/2006/relationships/drawing" Target="../drawings/drawing246.xml"/><Relationship Id="rId1" Type="http://schemas.openxmlformats.org/officeDocument/2006/relationships/printerSettings" Target="../printerSettings/printerSettings250.bin"/></Relationships>
</file>

<file path=xl/worksheets/_rels/sheet261.xml.rels><?xml version="1.0" encoding="UTF-8" standalone="yes"?>
<Relationships xmlns="http://schemas.openxmlformats.org/package/2006/relationships"><Relationship Id="rId2" Type="http://schemas.openxmlformats.org/officeDocument/2006/relationships/drawing" Target="../drawings/drawing247.xml"/><Relationship Id="rId1" Type="http://schemas.openxmlformats.org/officeDocument/2006/relationships/printerSettings" Target="../printerSettings/printerSettings251.bin"/></Relationships>
</file>

<file path=xl/worksheets/_rels/sheet262.xml.rels><?xml version="1.0" encoding="UTF-8" standalone="yes"?>
<Relationships xmlns="http://schemas.openxmlformats.org/package/2006/relationships"><Relationship Id="rId2" Type="http://schemas.openxmlformats.org/officeDocument/2006/relationships/drawing" Target="../drawings/drawing248.xml"/><Relationship Id="rId1" Type="http://schemas.openxmlformats.org/officeDocument/2006/relationships/printerSettings" Target="../printerSettings/printerSettings252.bin"/></Relationships>
</file>

<file path=xl/worksheets/_rels/sheet263.xml.rels><?xml version="1.0" encoding="UTF-8" standalone="yes"?>
<Relationships xmlns="http://schemas.openxmlformats.org/package/2006/relationships"><Relationship Id="rId2" Type="http://schemas.openxmlformats.org/officeDocument/2006/relationships/drawing" Target="../drawings/drawing249.xml"/><Relationship Id="rId1" Type="http://schemas.openxmlformats.org/officeDocument/2006/relationships/printerSettings" Target="../printerSettings/printerSettings253.bin"/></Relationships>
</file>

<file path=xl/worksheets/_rels/sheet264.xml.rels><?xml version="1.0" encoding="UTF-8" standalone="yes"?>
<Relationships xmlns="http://schemas.openxmlformats.org/package/2006/relationships"><Relationship Id="rId2" Type="http://schemas.openxmlformats.org/officeDocument/2006/relationships/drawing" Target="../drawings/drawing250.xml"/><Relationship Id="rId1" Type="http://schemas.openxmlformats.org/officeDocument/2006/relationships/printerSettings" Target="../printerSettings/printerSettings254.bin"/></Relationships>
</file>

<file path=xl/worksheets/_rels/sheet265.xml.rels><?xml version="1.0" encoding="UTF-8" standalone="yes"?>
<Relationships xmlns="http://schemas.openxmlformats.org/package/2006/relationships"><Relationship Id="rId2" Type="http://schemas.openxmlformats.org/officeDocument/2006/relationships/drawing" Target="../drawings/drawing251.xml"/><Relationship Id="rId1" Type="http://schemas.openxmlformats.org/officeDocument/2006/relationships/printerSettings" Target="../printerSettings/printerSettings255.bin"/></Relationships>
</file>

<file path=xl/worksheets/_rels/sheet266.xml.rels><?xml version="1.0" encoding="UTF-8" standalone="yes"?>
<Relationships xmlns="http://schemas.openxmlformats.org/package/2006/relationships"><Relationship Id="rId2" Type="http://schemas.openxmlformats.org/officeDocument/2006/relationships/drawing" Target="../drawings/drawing252.xml"/><Relationship Id="rId1" Type="http://schemas.openxmlformats.org/officeDocument/2006/relationships/printerSettings" Target="../printerSettings/printerSettings256.bin"/></Relationships>
</file>

<file path=xl/worksheets/_rels/sheet267.xml.rels><?xml version="1.0" encoding="UTF-8" standalone="yes"?>
<Relationships xmlns="http://schemas.openxmlformats.org/package/2006/relationships"><Relationship Id="rId2" Type="http://schemas.openxmlformats.org/officeDocument/2006/relationships/drawing" Target="../drawings/drawing253.xml"/><Relationship Id="rId1" Type="http://schemas.openxmlformats.org/officeDocument/2006/relationships/printerSettings" Target="../printerSettings/printerSettings257.bin"/></Relationships>
</file>

<file path=xl/worksheets/_rels/sheet268.xml.rels><?xml version="1.0" encoding="UTF-8" standalone="yes"?>
<Relationships xmlns="http://schemas.openxmlformats.org/package/2006/relationships"><Relationship Id="rId2" Type="http://schemas.openxmlformats.org/officeDocument/2006/relationships/drawing" Target="../drawings/drawing254.xml"/><Relationship Id="rId1" Type="http://schemas.openxmlformats.org/officeDocument/2006/relationships/printerSettings" Target="../printerSettings/printerSettings258.bin"/></Relationships>
</file>

<file path=xl/worksheets/_rels/sheet269.xml.rels><?xml version="1.0" encoding="UTF-8" standalone="yes"?>
<Relationships xmlns="http://schemas.openxmlformats.org/package/2006/relationships"><Relationship Id="rId2" Type="http://schemas.openxmlformats.org/officeDocument/2006/relationships/drawing" Target="../drawings/drawing255.xml"/><Relationship Id="rId1" Type="http://schemas.openxmlformats.org/officeDocument/2006/relationships/printerSettings" Target="../printerSettings/printerSettings259.bin"/></Relationships>
</file>

<file path=xl/worksheets/_rels/sheet270.xml.rels><?xml version="1.0" encoding="UTF-8" standalone="yes"?>
<Relationships xmlns="http://schemas.openxmlformats.org/package/2006/relationships"><Relationship Id="rId2" Type="http://schemas.openxmlformats.org/officeDocument/2006/relationships/drawing" Target="../drawings/drawing256.xml"/><Relationship Id="rId1" Type="http://schemas.openxmlformats.org/officeDocument/2006/relationships/printerSettings" Target="../printerSettings/printerSettings260.bin"/></Relationships>
</file>

<file path=xl/worksheets/_rels/sheet271.xml.rels><?xml version="1.0" encoding="UTF-8" standalone="yes"?>
<Relationships xmlns="http://schemas.openxmlformats.org/package/2006/relationships"><Relationship Id="rId2" Type="http://schemas.openxmlformats.org/officeDocument/2006/relationships/drawing" Target="../drawings/drawing257.xml"/><Relationship Id="rId1" Type="http://schemas.openxmlformats.org/officeDocument/2006/relationships/printerSettings" Target="../printerSettings/printerSettings261.bin"/></Relationships>
</file>

<file path=xl/worksheets/_rels/sheet272.xml.rels><?xml version="1.0" encoding="UTF-8" standalone="yes"?>
<Relationships xmlns="http://schemas.openxmlformats.org/package/2006/relationships"><Relationship Id="rId2" Type="http://schemas.openxmlformats.org/officeDocument/2006/relationships/drawing" Target="../drawings/drawing258.xml"/><Relationship Id="rId1" Type="http://schemas.openxmlformats.org/officeDocument/2006/relationships/printerSettings" Target="../printerSettings/printerSettings262.bin"/></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78.xml.rels><?xml version="1.0" encoding="UTF-8" standalone="yes"?>
<Relationships xmlns="http://schemas.openxmlformats.org/package/2006/relationships"><Relationship Id="rId2" Type="http://schemas.openxmlformats.org/officeDocument/2006/relationships/drawing" Target="../drawings/drawing264.xml"/><Relationship Id="rId1" Type="http://schemas.openxmlformats.org/officeDocument/2006/relationships/printerSettings" Target="../printerSettings/printerSettings263.bin"/></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83.xml.rels><?xml version="1.0" encoding="UTF-8" standalone="yes"?>
<Relationships xmlns="http://schemas.openxmlformats.org/package/2006/relationships"><Relationship Id="rId2" Type="http://schemas.openxmlformats.org/officeDocument/2006/relationships/drawing" Target="../drawings/drawing269.xml"/><Relationship Id="rId1" Type="http://schemas.openxmlformats.org/officeDocument/2006/relationships/printerSettings" Target="../printerSettings/printerSettings264.bin"/></Relationships>
</file>

<file path=xl/worksheets/_rels/sheet284.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270.xml"/><Relationship Id="rId1" Type="http://schemas.openxmlformats.org/officeDocument/2006/relationships/printerSettings" Target="../printerSettings/printerSettings265.bin"/><Relationship Id="rId4" Type="http://schemas.openxmlformats.org/officeDocument/2006/relationships/comments" Target="../comments29.xml"/></Relationships>
</file>

<file path=xl/worksheets/_rels/sheet285.xml.rels><?xml version="1.0" encoding="UTF-8" standalone="yes"?>
<Relationships xmlns="http://schemas.openxmlformats.org/package/2006/relationships"><Relationship Id="rId2" Type="http://schemas.openxmlformats.org/officeDocument/2006/relationships/drawing" Target="../drawings/drawing271.xml"/><Relationship Id="rId1" Type="http://schemas.openxmlformats.org/officeDocument/2006/relationships/printerSettings" Target="../printerSettings/printerSettings266.bin"/></Relationships>
</file>

<file path=xl/worksheets/_rels/sheet286.xml.rels><?xml version="1.0" encoding="UTF-8" standalone="yes"?>
<Relationships xmlns="http://schemas.openxmlformats.org/package/2006/relationships"><Relationship Id="rId3" Type="http://schemas.openxmlformats.org/officeDocument/2006/relationships/vmlDrawing" Target="../drawings/vmlDrawing132.vml"/><Relationship Id="rId2" Type="http://schemas.openxmlformats.org/officeDocument/2006/relationships/drawing" Target="../drawings/drawing272.xml"/><Relationship Id="rId1" Type="http://schemas.openxmlformats.org/officeDocument/2006/relationships/printerSettings" Target="../printerSettings/printerSettings267.bin"/><Relationship Id="rId4" Type="http://schemas.openxmlformats.org/officeDocument/2006/relationships/comments" Target="../comments30.xml"/></Relationships>
</file>

<file path=xl/worksheets/_rels/sheet287.xml.rels><?xml version="1.0" encoding="UTF-8" standalone="yes"?>
<Relationships xmlns="http://schemas.openxmlformats.org/package/2006/relationships"><Relationship Id="rId2" Type="http://schemas.openxmlformats.org/officeDocument/2006/relationships/drawing" Target="../drawings/drawing273.xml"/><Relationship Id="rId1" Type="http://schemas.openxmlformats.org/officeDocument/2006/relationships/printerSettings" Target="../printerSettings/printerSettings268.bin"/></Relationships>
</file>

<file path=xl/worksheets/_rels/sheet288.xml.rels><?xml version="1.0" encoding="UTF-8" standalone="yes"?>
<Relationships xmlns="http://schemas.openxmlformats.org/package/2006/relationships"><Relationship Id="rId2" Type="http://schemas.openxmlformats.org/officeDocument/2006/relationships/drawing" Target="../drawings/drawing274.xml"/><Relationship Id="rId1" Type="http://schemas.openxmlformats.org/officeDocument/2006/relationships/printerSettings" Target="../printerSettings/printerSettings269.bin"/></Relationships>
</file>

<file path=xl/worksheets/_rels/sheet289.xml.rels><?xml version="1.0" encoding="UTF-8" standalone="yes"?>
<Relationships xmlns="http://schemas.openxmlformats.org/package/2006/relationships"><Relationship Id="rId2" Type="http://schemas.openxmlformats.org/officeDocument/2006/relationships/drawing" Target="../drawings/drawing275.xml"/><Relationship Id="rId1" Type="http://schemas.openxmlformats.org/officeDocument/2006/relationships/printerSettings" Target="../printerSettings/printerSettings270.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76.xml"/><Relationship Id="rId1" Type="http://schemas.openxmlformats.org/officeDocument/2006/relationships/printerSettings" Target="../printerSettings/printerSettings271.bin"/></Relationships>
</file>

<file path=xl/worksheets/_rels/sheet291.xml.rels><?xml version="1.0" encoding="UTF-8" standalone="yes"?>
<Relationships xmlns="http://schemas.openxmlformats.org/package/2006/relationships"><Relationship Id="rId2" Type="http://schemas.openxmlformats.org/officeDocument/2006/relationships/drawing" Target="../drawings/drawing277.xml"/><Relationship Id="rId1" Type="http://schemas.openxmlformats.org/officeDocument/2006/relationships/printerSettings" Target="../printerSettings/printerSettings272.bin"/></Relationships>
</file>

<file path=xl/worksheets/_rels/sheet292.xml.rels><?xml version="1.0" encoding="UTF-8" standalone="yes"?>
<Relationships xmlns="http://schemas.openxmlformats.org/package/2006/relationships"><Relationship Id="rId2" Type="http://schemas.openxmlformats.org/officeDocument/2006/relationships/drawing" Target="../drawings/drawing278.xml"/><Relationship Id="rId1" Type="http://schemas.openxmlformats.org/officeDocument/2006/relationships/printerSettings" Target="../printerSettings/printerSettings273.bin"/></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94.xml.rels><?xml version="1.0" encoding="UTF-8" standalone="yes"?>
<Relationships xmlns="http://schemas.openxmlformats.org/package/2006/relationships"><Relationship Id="rId3" Type="http://schemas.openxmlformats.org/officeDocument/2006/relationships/vmlDrawing" Target="../drawings/vmlDrawing133.vml"/><Relationship Id="rId2" Type="http://schemas.openxmlformats.org/officeDocument/2006/relationships/drawing" Target="../drawings/drawing280.xml"/><Relationship Id="rId1" Type="http://schemas.openxmlformats.org/officeDocument/2006/relationships/printerSettings" Target="../printerSettings/printerSettings274.bin"/></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96.xml.rels><?xml version="1.0" encoding="UTF-8" standalone="yes"?>
<Relationships xmlns="http://schemas.openxmlformats.org/package/2006/relationships"><Relationship Id="rId3" Type="http://schemas.openxmlformats.org/officeDocument/2006/relationships/vmlDrawing" Target="../drawings/vmlDrawing134.vml"/><Relationship Id="rId2" Type="http://schemas.openxmlformats.org/officeDocument/2006/relationships/drawing" Target="../drawings/drawing282.xml"/><Relationship Id="rId1" Type="http://schemas.openxmlformats.org/officeDocument/2006/relationships/printerSettings" Target="../printerSettings/printerSettings275.bin"/></Relationships>
</file>

<file path=xl/worksheets/_rels/sheet297.xml.rels><?xml version="1.0" encoding="UTF-8" standalone="yes"?>
<Relationships xmlns="http://schemas.openxmlformats.org/package/2006/relationships"><Relationship Id="rId2" Type="http://schemas.openxmlformats.org/officeDocument/2006/relationships/drawing" Target="../drawings/drawing283.xml"/><Relationship Id="rId1" Type="http://schemas.openxmlformats.org/officeDocument/2006/relationships/printerSettings" Target="../printerSettings/printerSettings276.bin"/></Relationships>
</file>

<file path=xl/worksheets/_rels/sheet298.xml.rels><?xml version="1.0" encoding="UTF-8" standalone="yes"?>
<Relationships xmlns="http://schemas.openxmlformats.org/package/2006/relationships"><Relationship Id="rId2" Type="http://schemas.openxmlformats.org/officeDocument/2006/relationships/drawing" Target="../drawings/drawing284.xml"/><Relationship Id="rId1" Type="http://schemas.openxmlformats.org/officeDocument/2006/relationships/printerSettings" Target="../printerSettings/printerSettings277.bin"/></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302.xml.rels><?xml version="1.0" encoding="UTF-8" standalone="yes"?>
<Relationships xmlns="http://schemas.openxmlformats.org/package/2006/relationships"><Relationship Id="rId3" Type="http://schemas.openxmlformats.org/officeDocument/2006/relationships/vmlDrawing" Target="../drawings/vmlDrawing135.vml"/><Relationship Id="rId2" Type="http://schemas.openxmlformats.org/officeDocument/2006/relationships/drawing" Target="../drawings/drawing288.xml"/><Relationship Id="rId1" Type="http://schemas.openxmlformats.org/officeDocument/2006/relationships/printerSettings" Target="../printerSettings/printerSettings278.bin"/></Relationships>
</file>

<file path=xl/worksheets/_rels/sheet303.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304.xml.rels><?xml version="1.0" encoding="UTF-8" standalone="yes"?>
<Relationships xmlns="http://schemas.openxmlformats.org/package/2006/relationships"><Relationship Id="rId3" Type="http://schemas.openxmlformats.org/officeDocument/2006/relationships/vmlDrawing" Target="../drawings/vmlDrawing136.vml"/><Relationship Id="rId2" Type="http://schemas.openxmlformats.org/officeDocument/2006/relationships/drawing" Target="../drawings/drawing290.xml"/><Relationship Id="rId1" Type="http://schemas.openxmlformats.org/officeDocument/2006/relationships/printerSettings" Target="../printerSettings/printerSettings279.bin"/></Relationships>
</file>

<file path=xl/worksheets/_rels/sheet305.xml.rels><?xml version="1.0" encoding="UTF-8" standalone="yes"?>
<Relationships xmlns="http://schemas.openxmlformats.org/package/2006/relationships"><Relationship Id="rId2" Type="http://schemas.openxmlformats.org/officeDocument/2006/relationships/drawing" Target="../drawings/drawing291.xml"/><Relationship Id="rId1" Type="http://schemas.openxmlformats.org/officeDocument/2006/relationships/printerSettings" Target="../printerSettings/printerSettings280.bin"/></Relationships>
</file>

<file path=xl/worksheets/_rels/sheet306.xml.rels><?xml version="1.0" encoding="UTF-8" standalone="yes"?>
<Relationships xmlns="http://schemas.openxmlformats.org/package/2006/relationships"><Relationship Id="rId3" Type="http://schemas.openxmlformats.org/officeDocument/2006/relationships/vmlDrawing" Target="../drawings/vmlDrawing137.vml"/><Relationship Id="rId2" Type="http://schemas.openxmlformats.org/officeDocument/2006/relationships/drawing" Target="../drawings/drawing292.xml"/><Relationship Id="rId1" Type="http://schemas.openxmlformats.org/officeDocument/2006/relationships/printerSettings" Target="../printerSettings/printerSettings281.bin"/></Relationships>
</file>

<file path=xl/worksheets/_rels/sheet307.xml.rels><?xml version="1.0" encoding="UTF-8" standalone="yes"?>
<Relationships xmlns="http://schemas.openxmlformats.org/package/2006/relationships"><Relationship Id="rId2" Type="http://schemas.openxmlformats.org/officeDocument/2006/relationships/drawing" Target="../drawings/drawing293.xml"/><Relationship Id="rId1" Type="http://schemas.openxmlformats.org/officeDocument/2006/relationships/printerSettings" Target="../printerSettings/printerSettings282.bin"/></Relationships>
</file>

<file path=xl/worksheets/_rels/sheet308.xml.rels><?xml version="1.0" encoding="UTF-8" standalone="yes"?>
<Relationships xmlns="http://schemas.openxmlformats.org/package/2006/relationships"><Relationship Id="rId3" Type="http://schemas.openxmlformats.org/officeDocument/2006/relationships/vmlDrawing" Target="../drawings/vmlDrawing138.vml"/><Relationship Id="rId2" Type="http://schemas.openxmlformats.org/officeDocument/2006/relationships/drawing" Target="../drawings/drawing294.xml"/><Relationship Id="rId1" Type="http://schemas.openxmlformats.org/officeDocument/2006/relationships/printerSettings" Target="../printerSettings/printerSettings283.bin"/></Relationships>
</file>

<file path=xl/worksheets/_rels/sheet309.xml.rels><?xml version="1.0" encoding="UTF-8" standalone="yes"?>
<Relationships xmlns="http://schemas.openxmlformats.org/package/2006/relationships"><Relationship Id="rId2" Type="http://schemas.openxmlformats.org/officeDocument/2006/relationships/drawing" Target="../drawings/drawing295.xml"/><Relationship Id="rId1" Type="http://schemas.openxmlformats.org/officeDocument/2006/relationships/printerSettings" Target="../printerSettings/printerSettings284.bin"/></Relationships>
</file>

<file path=xl/worksheets/_rels/sheet310.xml.rels><?xml version="1.0" encoding="UTF-8" standalone="yes"?>
<Relationships xmlns="http://schemas.openxmlformats.org/package/2006/relationships"><Relationship Id="rId3" Type="http://schemas.openxmlformats.org/officeDocument/2006/relationships/vmlDrawing" Target="../drawings/vmlDrawing139.vml"/><Relationship Id="rId2" Type="http://schemas.openxmlformats.org/officeDocument/2006/relationships/drawing" Target="../drawings/drawing296.xml"/><Relationship Id="rId1" Type="http://schemas.openxmlformats.org/officeDocument/2006/relationships/printerSettings" Target="../printerSettings/printerSettings285.bin"/></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312.xml.rels><?xml version="1.0" encoding="UTF-8" standalone="yes"?>
<Relationships xmlns="http://schemas.openxmlformats.org/package/2006/relationships"><Relationship Id="rId3" Type="http://schemas.openxmlformats.org/officeDocument/2006/relationships/vmlDrawing" Target="../drawings/vmlDrawing140.vml"/><Relationship Id="rId2" Type="http://schemas.openxmlformats.org/officeDocument/2006/relationships/drawing" Target="../drawings/drawing298.xml"/><Relationship Id="rId1" Type="http://schemas.openxmlformats.org/officeDocument/2006/relationships/printerSettings" Target="../printerSettings/printerSettings286.bin"/></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14.xml.rels><?xml version="1.0" encoding="UTF-8" standalone="yes"?>
<Relationships xmlns="http://schemas.openxmlformats.org/package/2006/relationships"><Relationship Id="rId3" Type="http://schemas.openxmlformats.org/officeDocument/2006/relationships/vmlDrawing" Target="../drawings/vmlDrawing141.vml"/><Relationship Id="rId2" Type="http://schemas.openxmlformats.org/officeDocument/2006/relationships/drawing" Target="../drawings/drawing300.xml"/><Relationship Id="rId1" Type="http://schemas.openxmlformats.org/officeDocument/2006/relationships/printerSettings" Target="../printerSettings/printerSettings287.bin"/></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16.xml.rels><?xml version="1.0" encoding="UTF-8" standalone="yes"?>
<Relationships xmlns="http://schemas.openxmlformats.org/package/2006/relationships"><Relationship Id="rId3" Type="http://schemas.openxmlformats.org/officeDocument/2006/relationships/vmlDrawing" Target="../drawings/vmlDrawing142.vml"/><Relationship Id="rId2" Type="http://schemas.openxmlformats.org/officeDocument/2006/relationships/drawing" Target="../drawings/drawing302.xml"/><Relationship Id="rId1" Type="http://schemas.openxmlformats.org/officeDocument/2006/relationships/printerSettings" Target="../printerSettings/printerSettings288.bin"/></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303.xml"/></Relationships>
</file>

<file path=xl/worksheets/_rels/sheet318.xml.rels><?xml version="1.0" encoding="UTF-8" standalone="yes"?>
<Relationships xmlns="http://schemas.openxmlformats.org/package/2006/relationships"><Relationship Id="rId3" Type="http://schemas.openxmlformats.org/officeDocument/2006/relationships/vmlDrawing" Target="../drawings/vmlDrawing143.vml"/><Relationship Id="rId2" Type="http://schemas.openxmlformats.org/officeDocument/2006/relationships/drawing" Target="../drawings/drawing304.xml"/><Relationship Id="rId1" Type="http://schemas.openxmlformats.org/officeDocument/2006/relationships/printerSettings" Target="../printerSettings/printerSettings289.bin"/></Relationships>
</file>

<file path=xl/worksheets/_rels/sheet319.xml.rels><?xml version="1.0" encoding="UTF-8" standalone="yes"?>
<Relationships xmlns="http://schemas.openxmlformats.org/package/2006/relationships"><Relationship Id="rId2" Type="http://schemas.openxmlformats.org/officeDocument/2006/relationships/drawing" Target="../drawings/drawing305.xml"/><Relationship Id="rId1" Type="http://schemas.openxmlformats.org/officeDocument/2006/relationships/printerSettings" Target="../printerSettings/printerSettings290.bin"/></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21.xml.rels><?xml version="1.0" encoding="UTF-8" standalone="yes"?>
<Relationships xmlns="http://schemas.openxmlformats.org/package/2006/relationships"><Relationship Id="rId2" Type="http://schemas.openxmlformats.org/officeDocument/2006/relationships/drawing" Target="../drawings/drawing307.xml"/><Relationship Id="rId1" Type="http://schemas.openxmlformats.org/officeDocument/2006/relationships/printerSettings" Target="../printerSettings/printerSettings291.bin"/></Relationships>
</file>

<file path=xl/worksheets/_rels/sheet322.xml.rels><?xml version="1.0" encoding="UTF-8" standalone="yes"?>
<Relationships xmlns="http://schemas.openxmlformats.org/package/2006/relationships"><Relationship Id="rId3" Type="http://schemas.openxmlformats.org/officeDocument/2006/relationships/vmlDrawing" Target="../drawings/vmlDrawing144.vml"/><Relationship Id="rId2" Type="http://schemas.openxmlformats.org/officeDocument/2006/relationships/drawing" Target="../drawings/drawing308.xml"/><Relationship Id="rId1" Type="http://schemas.openxmlformats.org/officeDocument/2006/relationships/printerSettings" Target="../printerSettings/printerSettings292.bin"/></Relationships>
</file>

<file path=xl/worksheets/_rels/sheet323.xml.rels><?xml version="1.0" encoding="UTF-8" standalone="yes"?>
<Relationships xmlns="http://schemas.openxmlformats.org/package/2006/relationships"><Relationship Id="rId2" Type="http://schemas.openxmlformats.org/officeDocument/2006/relationships/drawing" Target="../drawings/drawing309.xml"/><Relationship Id="rId1" Type="http://schemas.openxmlformats.org/officeDocument/2006/relationships/printerSettings" Target="../printerSettings/printerSettings293.bin"/></Relationships>
</file>

<file path=xl/worksheets/_rels/sheet324.xml.rels><?xml version="1.0" encoding="UTF-8" standalone="yes"?>
<Relationships xmlns="http://schemas.openxmlformats.org/package/2006/relationships"><Relationship Id="rId2" Type="http://schemas.openxmlformats.org/officeDocument/2006/relationships/drawing" Target="../drawings/drawing310.xml"/><Relationship Id="rId1" Type="http://schemas.openxmlformats.org/officeDocument/2006/relationships/printerSettings" Target="../printerSettings/printerSettings294.bin"/></Relationships>
</file>

<file path=xl/worksheets/_rels/sheet325.xml.rels><?xml version="1.0" encoding="UTF-8" standalone="yes"?>
<Relationships xmlns="http://schemas.openxmlformats.org/package/2006/relationships"><Relationship Id="rId2" Type="http://schemas.openxmlformats.org/officeDocument/2006/relationships/drawing" Target="../drawings/drawing311.xml"/><Relationship Id="rId1" Type="http://schemas.openxmlformats.org/officeDocument/2006/relationships/printerSettings" Target="../printerSettings/printerSettings295.bin"/></Relationships>
</file>

<file path=xl/worksheets/_rels/sheet326.xml.rels><?xml version="1.0" encoding="UTF-8" standalone="yes"?>
<Relationships xmlns="http://schemas.openxmlformats.org/package/2006/relationships"><Relationship Id="rId3" Type="http://schemas.openxmlformats.org/officeDocument/2006/relationships/vmlDrawing" Target="../drawings/vmlDrawing145.vml"/><Relationship Id="rId2" Type="http://schemas.openxmlformats.org/officeDocument/2006/relationships/drawing" Target="../drawings/drawing312.xml"/><Relationship Id="rId1" Type="http://schemas.openxmlformats.org/officeDocument/2006/relationships/printerSettings" Target="../printerSettings/printerSettings296.bin"/></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328.xml.rels><?xml version="1.0" encoding="UTF-8" standalone="yes"?>
<Relationships xmlns="http://schemas.openxmlformats.org/package/2006/relationships"><Relationship Id="rId2" Type="http://schemas.openxmlformats.org/officeDocument/2006/relationships/drawing" Target="../drawings/drawing314.xml"/><Relationship Id="rId1" Type="http://schemas.openxmlformats.org/officeDocument/2006/relationships/printerSettings" Target="../printerSettings/printerSettings297.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315.xml"/><Relationship Id="rId1" Type="http://schemas.openxmlformats.org/officeDocument/2006/relationships/printerSettings" Target="../printerSettings/printerSettings298.bin"/></Relationships>
</file>

<file path=xl/worksheets/_rels/sheet330.xml.rels><?xml version="1.0" encoding="UTF-8" standalone="yes"?>
<Relationships xmlns="http://schemas.openxmlformats.org/package/2006/relationships"><Relationship Id="rId3" Type="http://schemas.openxmlformats.org/officeDocument/2006/relationships/vmlDrawing" Target="../drawings/vmlDrawing146.vml"/><Relationship Id="rId2" Type="http://schemas.openxmlformats.org/officeDocument/2006/relationships/drawing" Target="../drawings/drawing316.xml"/><Relationship Id="rId1" Type="http://schemas.openxmlformats.org/officeDocument/2006/relationships/printerSettings" Target="../printerSettings/printerSettings299.bin"/></Relationships>
</file>

<file path=xl/worksheets/_rels/sheet331.xml.rels><?xml version="1.0" encoding="UTF-8" standalone="yes"?>
<Relationships xmlns="http://schemas.openxmlformats.org/package/2006/relationships"><Relationship Id="rId2" Type="http://schemas.openxmlformats.org/officeDocument/2006/relationships/drawing" Target="../drawings/drawing317.xml"/><Relationship Id="rId1" Type="http://schemas.openxmlformats.org/officeDocument/2006/relationships/printerSettings" Target="../printerSettings/printerSettings300.bin"/></Relationships>
</file>

<file path=xl/worksheets/_rels/sheet332.xml.rels><?xml version="1.0" encoding="UTF-8" standalone="yes"?>
<Relationships xmlns="http://schemas.openxmlformats.org/package/2006/relationships"><Relationship Id="rId3" Type="http://schemas.openxmlformats.org/officeDocument/2006/relationships/vmlDrawing" Target="../drawings/vmlDrawing147.vml"/><Relationship Id="rId2" Type="http://schemas.openxmlformats.org/officeDocument/2006/relationships/drawing" Target="../drawings/drawing318.xml"/><Relationship Id="rId1" Type="http://schemas.openxmlformats.org/officeDocument/2006/relationships/printerSettings" Target="../printerSettings/printerSettings301.bin"/></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2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337.xml.rels><?xml version="1.0" encoding="UTF-8" standalone="yes"?>
<Relationships xmlns="http://schemas.openxmlformats.org/package/2006/relationships"><Relationship Id="rId1" Type="http://schemas.openxmlformats.org/officeDocument/2006/relationships/drawing" Target="../drawings/drawing323.xml"/></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26.xml"/></Relationships>
</file>

<file path=xl/worksheets/_rels/sheet341.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342.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343.xml.rels><?xml version="1.0" encoding="UTF-8" standalone="yes"?>
<Relationships xmlns="http://schemas.openxmlformats.org/package/2006/relationships"><Relationship Id="rId1" Type="http://schemas.openxmlformats.org/officeDocument/2006/relationships/drawing" Target="../drawings/drawing329.xml"/></Relationships>
</file>

<file path=xl/worksheets/_rels/sheet344.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345.xml.rels><?xml version="1.0" encoding="UTF-8" standalone="yes"?>
<Relationships xmlns="http://schemas.openxmlformats.org/package/2006/relationships"><Relationship Id="rId1" Type="http://schemas.openxmlformats.org/officeDocument/2006/relationships/drawing" Target="../drawings/drawing331.xml"/></Relationships>
</file>

<file path=xl/worksheets/_rels/sheet346.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47.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334.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drawing335.xml"/></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36.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drawing337.xml"/></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38.xml"/></Relationships>
</file>

<file path=xl/worksheets/_rels/sheet353.xml.rels><?xml version="1.0" encoding="UTF-8" standalone="yes"?>
<Relationships xmlns="http://schemas.openxmlformats.org/package/2006/relationships"><Relationship Id="rId1" Type="http://schemas.openxmlformats.org/officeDocument/2006/relationships/drawing" Target="../drawings/drawing339.xml"/></Relationships>
</file>

<file path=xl/worksheets/_rels/sheet354.xml.rels><?xml version="1.0" encoding="UTF-8" standalone="yes"?>
<Relationships xmlns="http://schemas.openxmlformats.org/package/2006/relationships"><Relationship Id="rId2" Type="http://schemas.openxmlformats.org/officeDocument/2006/relationships/drawing" Target="../drawings/drawing340.xml"/><Relationship Id="rId1" Type="http://schemas.openxmlformats.org/officeDocument/2006/relationships/printerSettings" Target="../printerSettings/printerSettings302.bin"/></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341.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342.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343.xml"/></Relationships>
</file>

<file path=xl/worksheets/_rels/sheet358.xml.rels><?xml version="1.0" encoding="UTF-8" standalone="yes"?>
<Relationships xmlns="http://schemas.openxmlformats.org/package/2006/relationships"><Relationship Id="rId1" Type="http://schemas.openxmlformats.org/officeDocument/2006/relationships/drawing" Target="../drawings/drawing344.xml"/></Relationships>
</file>

<file path=xl/worksheets/_rels/sheet359.xml.rels><?xml version="1.0" encoding="UTF-8" standalone="yes"?>
<Relationships xmlns="http://schemas.openxmlformats.org/package/2006/relationships"><Relationship Id="rId1" Type="http://schemas.openxmlformats.org/officeDocument/2006/relationships/drawing" Target="../drawings/drawing345.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drawing346.xml"/></Relationships>
</file>

<file path=xl/worksheets/_rels/sheet361.xml.rels><?xml version="1.0" encoding="UTF-8" standalone="yes"?>
<Relationships xmlns="http://schemas.openxmlformats.org/package/2006/relationships"><Relationship Id="rId1" Type="http://schemas.openxmlformats.org/officeDocument/2006/relationships/drawing" Target="../drawings/drawing347.xml"/></Relationships>
</file>

<file path=xl/worksheets/_rels/sheet362.xml.rels><?xml version="1.0" encoding="UTF-8" standalone="yes"?>
<Relationships xmlns="http://schemas.openxmlformats.org/package/2006/relationships"><Relationship Id="rId1" Type="http://schemas.openxmlformats.org/officeDocument/2006/relationships/drawing" Target="../drawings/drawing348.xml"/></Relationships>
</file>

<file path=xl/worksheets/_rels/sheet363.xml.rels><?xml version="1.0" encoding="UTF-8" standalone="yes"?>
<Relationships xmlns="http://schemas.openxmlformats.org/package/2006/relationships"><Relationship Id="rId1" Type="http://schemas.openxmlformats.org/officeDocument/2006/relationships/drawing" Target="../drawings/drawing349.xml"/></Relationships>
</file>

<file path=xl/worksheets/_rels/sheet364.xml.rels><?xml version="1.0" encoding="UTF-8" standalone="yes"?>
<Relationships xmlns="http://schemas.openxmlformats.org/package/2006/relationships"><Relationship Id="rId1" Type="http://schemas.openxmlformats.org/officeDocument/2006/relationships/drawing" Target="../drawings/drawing350.xml"/></Relationships>
</file>

<file path=xl/worksheets/_rels/sheet365.xml.rels><?xml version="1.0" encoding="UTF-8" standalone="yes"?>
<Relationships xmlns="http://schemas.openxmlformats.org/package/2006/relationships"><Relationship Id="rId1" Type="http://schemas.openxmlformats.org/officeDocument/2006/relationships/drawing" Target="../drawings/drawing351.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drawing352.xml"/></Relationships>
</file>

<file path=xl/worksheets/_rels/sheet367.xml.rels><?xml version="1.0" encoding="UTF-8" standalone="yes"?>
<Relationships xmlns="http://schemas.openxmlformats.org/package/2006/relationships"><Relationship Id="rId1" Type="http://schemas.openxmlformats.org/officeDocument/2006/relationships/drawing" Target="../drawings/drawing353.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drawing354.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drawing355.xml"/></Relationships>
</file>

<file path=xl/worksheets/_rels/sheet370.xml.rels><?xml version="1.0" encoding="UTF-8" standalone="yes"?>
<Relationships xmlns="http://schemas.openxmlformats.org/package/2006/relationships"><Relationship Id="rId1" Type="http://schemas.openxmlformats.org/officeDocument/2006/relationships/drawing" Target="../drawings/drawing356.xml"/></Relationships>
</file>

<file path=xl/worksheets/_rels/sheet371.xml.rels><?xml version="1.0" encoding="UTF-8" standalone="yes"?>
<Relationships xmlns="http://schemas.openxmlformats.org/package/2006/relationships"><Relationship Id="rId1" Type="http://schemas.openxmlformats.org/officeDocument/2006/relationships/drawing" Target="../drawings/drawing357.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drawing358.xml"/></Relationships>
</file>

<file path=xl/worksheets/_rels/sheet373.xml.rels><?xml version="1.0" encoding="UTF-8" standalone="yes"?>
<Relationships xmlns="http://schemas.openxmlformats.org/package/2006/relationships"><Relationship Id="rId1" Type="http://schemas.openxmlformats.org/officeDocument/2006/relationships/drawing" Target="../drawings/drawing359.xml"/></Relationships>
</file>

<file path=xl/worksheets/_rels/sheet374.xml.rels><?xml version="1.0" encoding="UTF-8" standalone="yes"?>
<Relationships xmlns="http://schemas.openxmlformats.org/package/2006/relationships"><Relationship Id="rId1" Type="http://schemas.openxmlformats.org/officeDocument/2006/relationships/drawing" Target="../drawings/drawing360.xml"/></Relationships>
</file>

<file path=xl/worksheets/_rels/sheet375.xml.rels><?xml version="1.0" encoding="UTF-8" standalone="yes"?>
<Relationships xmlns="http://schemas.openxmlformats.org/package/2006/relationships"><Relationship Id="rId1" Type="http://schemas.openxmlformats.org/officeDocument/2006/relationships/drawing" Target="../drawings/drawing361.xml"/></Relationships>
</file>

<file path=xl/worksheets/_rels/sheet376.xml.rels><?xml version="1.0" encoding="UTF-8" standalone="yes"?>
<Relationships xmlns="http://schemas.openxmlformats.org/package/2006/relationships"><Relationship Id="rId1" Type="http://schemas.openxmlformats.org/officeDocument/2006/relationships/drawing" Target="../drawings/drawing362.xml"/></Relationships>
</file>

<file path=xl/worksheets/_rels/sheet377.xml.rels><?xml version="1.0" encoding="UTF-8" standalone="yes"?>
<Relationships xmlns="http://schemas.openxmlformats.org/package/2006/relationships"><Relationship Id="rId1" Type="http://schemas.openxmlformats.org/officeDocument/2006/relationships/drawing" Target="../drawings/drawing363.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drawing364.xml"/></Relationships>
</file>

<file path=xl/worksheets/_rels/sheet379.xml.rels><?xml version="1.0" encoding="UTF-8" standalone="yes"?>
<Relationships xmlns="http://schemas.openxmlformats.org/package/2006/relationships"><Relationship Id="rId1" Type="http://schemas.openxmlformats.org/officeDocument/2006/relationships/drawing" Target="../drawings/drawing365.xml"/></Relationships>
</file>

<file path=xl/worksheets/_rels/sheet380.xml.rels><?xml version="1.0" encoding="UTF-8" standalone="yes"?>
<Relationships xmlns="http://schemas.openxmlformats.org/package/2006/relationships"><Relationship Id="rId1" Type="http://schemas.openxmlformats.org/officeDocument/2006/relationships/drawing" Target="../drawings/drawing366.xml"/></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367.xml"/></Relationships>
</file>

<file path=xl/worksheets/_rels/sheet382.xml.rels><?xml version="1.0" encoding="UTF-8" standalone="yes"?>
<Relationships xmlns="http://schemas.openxmlformats.org/package/2006/relationships"><Relationship Id="rId1" Type="http://schemas.openxmlformats.org/officeDocument/2006/relationships/drawing" Target="../drawings/drawing368.xml"/></Relationships>
</file>

<file path=xl/worksheets/_rels/sheet383.xml.rels><?xml version="1.0" encoding="UTF-8" standalone="yes"?>
<Relationships xmlns="http://schemas.openxmlformats.org/package/2006/relationships"><Relationship Id="rId1" Type="http://schemas.openxmlformats.org/officeDocument/2006/relationships/drawing" Target="../drawings/drawing369.xml"/></Relationships>
</file>

<file path=xl/worksheets/_rels/sheet384.xml.rels><?xml version="1.0" encoding="UTF-8" standalone="yes"?>
<Relationships xmlns="http://schemas.openxmlformats.org/package/2006/relationships"><Relationship Id="rId1" Type="http://schemas.openxmlformats.org/officeDocument/2006/relationships/drawing" Target="../drawings/drawing370.xml"/></Relationships>
</file>

<file path=xl/worksheets/_rels/sheet385.xml.rels><?xml version="1.0" encoding="UTF-8" standalone="yes"?>
<Relationships xmlns="http://schemas.openxmlformats.org/package/2006/relationships"><Relationship Id="rId1" Type="http://schemas.openxmlformats.org/officeDocument/2006/relationships/drawing" Target="../drawings/drawing371.xml"/></Relationships>
</file>

<file path=xl/worksheets/_rels/sheet386.xml.rels><?xml version="1.0" encoding="UTF-8" standalone="yes"?>
<Relationships xmlns="http://schemas.openxmlformats.org/package/2006/relationships"><Relationship Id="rId1" Type="http://schemas.openxmlformats.org/officeDocument/2006/relationships/drawing" Target="../drawings/drawing372.xml"/></Relationships>
</file>

<file path=xl/worksheets/_rels/sheet387.xml.rels><?xml version="1.0" encoding="UTF-8" standalone="yes"?>
<Relationships xmlns="http://schemas.openxmlformats.org/package/2006/relationships"><Relationship Id="rId1" Type="http://schemas.openxmlformats.org/officeDocument/2006/relationships/drawing" Target="../drawings/drawing373.xml"/></Relationships>
</file>

<file path=xl/worksheets/_rels/sheet388.xml.rels><?xml version="1.0" encoding="UTF-8" standalone="yes"?>
<Relationships xmlns="http://schemas.openxmlformats.org/package/2006/relationships"><Relationship Id="rId1" Type="http://schemas.openxmlformats.org/officeDocument/2006/relationships/drawing" Target="../drawings/drawing374.xml"/></Relationships>
</file>

<file path=xl/worksheets/_rels/sheet389.xml.rels><?xml version="1.0" encoding="UTF-8" standalone="yes"?>
<Relationships xmlns="http://schemas.openxmlformats.org/package/2006/relationships"><Relationship Id="rId1" Type="http://schemas.openxmlformats.org/officeDocument/2006/relationships/drawing" Target="../drawings/drawing375.xml"/></Relationships>
</file>

<file path=xl/worksheets/_rels/sheet390.xml.rels><?xml version="1.0" encoding="UTF-8" standalone="yes"?>
<Relationships xmlns="http://schemas.openxmlformats.org/package/2006/relationships"><Relationship Id="rId1" Type="http://schemas.openxmlformats.org/officeDocument/2006/relationships/drawing" Target="../drawings/drawing376.xml"/></Relationships>
</file>

<file path=xl/worksheets/_rels/sheet391.xml.rels><?xml version="1.0" encoding="UTF-8" standalone="yes"?>
<Relationships xmlns="http://schemas.openxmlformats.org/package/2006/relationships"><Relationship Id="rId1" Type="http://schemas.openxmlformats.org/officeDocument/2006/relationships/drawing" Target="../drawings/drawing377.xml"/></Relationships>
</file>

<file path=xl/worksheets/_rels/sheet392.xml.rels><?xml version="1.0" encoding="UTF-8" standalone="yes"?>
<Relationships xmlns="http://schemas.openxmlformats.org/package/2006/relationships"><Relationship Id="rId1" Type="http://schemas.openxmlformats.org/officeDocument/2006/relationships/drawing" Target="../drawings/drawing378.xml"/></Relationships>
</file>

<file path=xl/worksheets/_rels/sheet393.xml.rels><?xml version="1.0" encoding="UTF-8" standalone="yes"?>
<Relationships xmlns="http://schemas.openxmlformats.org/package/2006/relationships"><Relationship Id="rId1" Type="http://schemas.openxmlformats.org/officeDocument/2006/relationships/drawing" Target="../drawings/drawing379.xml"/></Relationships>
</file>

<file path=xl/worksheets/_rels/sheet394.xml.rels><?xml version="1.0" encoding="UTF-8" standalone="yes"?>
<Relationships xmlns="http://schemas.openxmlformats.org/package/2006/relationships"><Relationship Id="rId1" Type="http://schemas.openxmlformats.org/officeDocument/2006/relationships/drawing" Target="../drawings/drawing380.xml"/></Relationships>
</file>

<file path=xl/worksheets/_rels/sheet395.xml.rels><?xml version="1.0" encoding="UTF-8" standalone="yes"?>
<Relationships xmlns="http://schemas.openxmlformats.org/package/2006/relationships"><Relationship Id="rId1" Type="http://schemas.openxmlformats.org/officeDocument/2006/relationships/drawing" Target="../drawings/drawing381.xml"/></Relationships>
</file>

<file path=xl/worksheets/_rels/sheet396.xml.rels><?xml version="1.0" encoding="UTF-8" standalone="yes"?>
<Relationships xmlns="http://schemas.openxmlformats.org/package/2006/relationships"><Relationship Id="rId1" Type="http://schemas.openxmlformats.org/officeDocument/2006/relationships/drawing" Target="../drawings/drawing382.xml"/></Relationships>
</file>

<file path=xl/worksheets/_rels/sheet397.xml.rels><?xml version="1.0" encoding="UTF-8" standalone="yes"?>
<Relationships xmlns="http://schemas.openxmlformats.org/package/2006/relationships"><Relationship Id="rId1" Type="http://schemas.openxmlformats.org/officeDocument/2006/relationships/drawing" Target="../drawings/drawing383.xml"/></Relationships>
</file>

<file path=xl/worksheets/_rels/sheet398.xml.rels><?xml version="1.0" encoding="UTF-8" standalone="yes"?>
<Relationships xmlns="http://schemas.openxmlformats.org/package/2006/relationships"><Relationship Id="rId1" Type="http://schemas.openxmlformats.org/officeDocument/2006/relationships/drawing" Target="../drawings/drawing384.xml"/></Relationships>
</file>

<file path=xl/worksheets/_rels/sheet399.xml.rels><?xml version="1.0" encoding="UTF-8" standalone="yes"?>
<Relationships xmlns="http://schemas.openxmlformats.org/package/2006/relationships"><Relationship Id="rId1" Type="http://schemas.openxmlformats.org/officeDocument/2006/relationships/drawing" Target="../drawings/drawing385.xml"/></Relationships>
</file>

<file path=xl/worksheets/_rels/sheet400.xml.rels><?xml version="1.0" encoding="UTF-8" standalone="yes"?>
<Relationships xmlns="http://schemas.openxmlformats.org/package/2006/relationships"><Relationship Id="rId1" Type="http://schemas.openxmlformats.org/officeDocument/2006/relationships/drawing" Target="../drawings/drawing386.xml"/></Relationships>
</file>

<file path=xl/worksheets/_rels/sheet401.xml.rels><?xml version="1.0" encoding="UTF-8" standalone="yes"?>
<Relationships xmlns="http://schemas.openxmlformats.org/package/2006/relationships"><Relationship Id="rId1" Type="http://schemas.openxmlformats.org/officeDocument/2006/relationships/drawing" Target="../drawings/drawing387.xml"/></Relationships>
</file>

<file path=xl/worksheets/_rels/sheet402.xml.rels><?xml version="1.0" encoding="UTF-8" standalone="yes"?>
<Relationships xmlns="http://schemas.openxmlformats.org/package/2006/relationships"><Relationship Id="rId1" Type="http://schemas.openxmlformats.org/officeDocument/2006/relationships/drawing" Target="../drawings/drawing388.xml"/></Relationships>
</file>

<file path=xl/worksheets/_rels/sheet403.xml.rels><?xml version="1.0" encoding="UTF-8" standalone="yes"?>
<Relationships xmlns="http://schemas.openxmlformats.org/package/2006/relationships"><Relationship Id="rId1" Type="http://schemas.openxmlformats.org/officeDocument/2006/relationships/drawing" Target="../drawings/drawing389.xml"/></Relationships>
</file>

<file path=xl/worksheets/_rels/sheet404.xml.rels><?xml version="1.0" encoding="UTF-8" standalone="yes"?>
<Relationships xmlns="http://schemas.openxmlformats.org/package/2006/relationships"><Relationship Id="rId1" Type="http://schemas.openxmlformats.org/officeDocument/2006/relationships/drawing" Target="../drawings/drawing390.xml"/></Relationships>
</file>

<file path=xl/worksheets/_rels/sheet405.xml.rels><?xml version="1.0" encoding="UTF-8" standalone="yes"?>
<Relationships xmlns="http://schemas.openxmlformats.org/package/2006/relationships"><Relationship Id="rId1" Type="http://schemas.openxmlformats.org/officeDocument/2006/relationships/drawing" Target="../drawings/drawing391.xml"/></Relationships>
</file>

<file path=xl/worksheets/_rels/sheet406.xml.rels><?xml version="1.0" encoding="UTF-8" standalone="yes"?>
<Relationships xmlns="http://schemas.openxmlformats.org/package/2006/relationships"><Relationship Id="rId1" Type="http://schemas.openxmlformats.org/officeDocument/2006/relationships/drawing" Target="../drawings/drawing392.xml"/></Relationships>
</file>

<file path=xl/worksheets/_rels/sheet407.xml.rels><?xml version="1.0" encoding="UTF-8" standalone="yes"?>
<Relationships xmlns="http://schemas.openxmlformats.org/package/2006/relationships"><Relationship Id="rId1" Type="http://schemas.openxmlformats.org/officeDocument/2006/relationships/drawing" Target="../drawings/drawing393.xml"/></Relationships>
</file>

<file path=xl/worksheets/_rels/sheet408.xml.rels><?xml version="1.0" encoding="UTF-8" standalone="yes"?>
<Relationships xmlns="http://schemas.openxmlformats.org/package/2006/relationships"><Relationship Id="rId1" Type="http://schemas.openxmlformats.org/officeDocument/2006/relationships/drawing" Target="../drawings/drawing394.xml"/></Relationships>
</file>

<file path=xl/worksheets/_rels/sheet409.xml.rels><?xml version="1.0" encoding="UTF-8" standalone="yes"?>
<Relationships xmlns="http://schemas.openxmlformats.org/package/2006/relationships"><Relationship Id="rId1" Type="http://schemas.openxmlformats.org/officeDocument/2006/relationships/drawing" Target="../drawings/drawing395.xml"/></Relationships>
</file>

<file path=xl/worksheets/_rels/sheet410.xml.rels><?xml version="1.0" encoding="UTF-8" standalone="yes"?>
<Relationships xmlns="http://schemas.openxmlformats.org/package/2006/relationships"><Relationship Id="rId1" Type="http://schemas.openxmlformats.org/officeDocument/2006/relationships/drawing" Target="../drawings/drawing396.xml"/></Relationships>
</file>

<file path=xl/worksheets/_rels/sheet411.xml.rels><?xml version="1.0" encoding="UTF-8" standalone="yes"?>
<Relationships xmlns="http://schemas.openxmlformats.org/package/2006/relationships"><Relationship Id="rId1" Type="http://schemas.openxmlformats.org/officeDocument/2006/relationships/drawing" Target="../drawings/drawing397.xml"/></Relationships>
</file>

<file path=xl/worksheets/_rels/sheet412.xml.rels><?xml version="1.0" encoding="UTF-8" standalone="yes"?>
<Relationships xmlns="http://schemas.openxmlformats.org/package/2006/relationships"><Relationship Id="rId1" Type="http://schemas.openxmlformats.org/officeDocument/2006/relationships/drawing" Target="../drawings/drawing398.xml"/></Relationships>
</file>

<file path=xl/worksheets/_rels/sheet413.xml.rels><?xml version="1.0" encoding="UTF-8" standalone="yes"?>
<Relationships xmlns="http://schemas.openxmlformats.org/package/2006/relationships"><Relationship Id="rId1" Type="http://schemas.openxmlformats.org/officeDocument/2006/relationships/drawing" Target="../drawings/drawing399.xml"/></Relationships>
</file>

<file path=xl/worksheets/_rels/sheet414.xml.rels><?xml version="1.0" encoding="UTF-8" standalone="yes"?>
<Relationships xmlns="http://schemas.openxmlformats.org/package/2006/relationships"><Relationship Id="rId1" Type="http://schemas.openxmlformats.org/officeDocument/2006/relationships/drawing" Target="../drawings/drawing400.xml"/></Relationships>
</file>

<file path=xl/worksheets/_rels/sheet415.xml.rels><?xml version="1.0" encoding="UTF-8" standalone="yes"?>
<Relationships xmlns="http://schemas.openxmlformats.org/package/2006/relationships"><Relationship Id="rId1" Type="http://schemas.openxmlformats.org/officeDocument/2006/relationships/drawing" Target="../drawings/drawing401.xml"/></Relationships>
</file>

<file path=xl/worksheets/_rels/sheet416.xml.rels><?xml version="1.0" encoding="UTF-8" standalone="yes"?>
<Relationships xmlns="http://schemas.openxmlformats.org/package/2006/relationships"><Relationship Id="rId1" Type="http://schemas.openxmlformats.org/officeDocument/2006/relationships/drawing" Target="../drawings/drawing402.xml"/></Relationships>
</file>

<file path=xl/worksheets/_rels/sheet417.xml.rels><?xml version="1.0" encoding="UTF-8" standalone="yes"?>
<Relationships xmlns="http://schemas.openxmlformats.org/package/2006/relationships"><Relationship Id="rId1" Type="http://schemas.openxmlformats.org/officeDocument/2006/relationships/drawing" Target="../drawings/drawing403.xml"/></Relationships>
</file>

<file path=xl/worksheets/_rels/sheet418.xml.rels><?xml version="1.0" encoding="UTF-8" standalone="yes"?>
<Relationships xmlns="http://schemas.openxmlformats.org/package/2006/relationships"><Relationship Id="rId1" Type="http://schemas.openxmlformats.org/officeDocument/2006/relationships/drawing" Target="../drawings/drawing404.xml"/></Relationships>
</file>

<file path=xl/worksheets/_rels/sheet419.xml.rels><?xml version="1.0" encoding="UTF-8" standalone="yes"?>
<Relationships xmlns="http://schemas.openxmlformats.org/package/2006/relationships"><Relationship Id="rId1" Type="http://schemas.openxmlformats.org/officeDocument/2006/relationships/drawing" Target="../drawings/drawing405.xml"/></Relationships>
</file>

<file path=xl/worksheets/_rels/sheet420.xml.rels><?xml version="1.0" encoding="UTF-8" standalone="yes"?>
<Relationships xmlns="http://schemas.openxmlformats.org/package/2006/relationships"><Relationship Id="rId1" Type="http://schemas.openxmlformats.org/officeDocument/2006/relationships/drawing" Target="../drawings/drawing406.xml"/></Relationships>
</file>

<file path=xl/worksheets/_rels/sheet421.xml.rels><?xml version="1.0" encoding="UTF-8" standalone="yes"?>
<Relationships xmlns="http://schemas.openxmlformats.org/package/2006/relationships"><Relationship Id="rId1" Type="http://schemas.openxmlformats.org/officeDocument/2006/relationships/drawing" Target="../drawings/drawing407.xml"/></Relationships>
</file>

<file path=xl/worksheets/_rels/sheet422.xml.rels><?xml version="1.0" encoding="UTF-8" standalone="yes"?>
<Relationships xmlns="http://schemas.openxmlformats.org/package/2006/relationships"><Relationship Id="rId1" Type="http://schemas.openxmlformats.org/officeDocument/2006/relationships/drawing" Target="../drawings/drawing408.xml"/></Relationships>
</file>

<file path=xl/worksheets/_rels/sheet423.xml.rels><?xml version="1.0" encoding="UTF-8" standalone="yes"?>
<Relationships xmlns="http://schemas.openxmlformats.org/package/2006/relationships"><Relationship Id="rId1" Type="http://schemas.openxmlformats.org/officeDocument/2006/relationships/drawing" Target="../drawings/drawing409.xml"/></Relationships>
</file>

<file path=xl/worksheets/_rels/sheet424.xml.rels><?xml version="1.0" encoding="UTF-8" standalone="yes"?>
<Relationships xmlns="http://schemas.openxmlformats.org/package/2006/relationships"><Relationship Id="rId1" Type="http://schemas.openxmlformats.org/officeDocument/2006/relationships/drawing" Target="../drawings/drawing410.xml"/></Relationships>
</file>

<file path=xl/worksheets/_rels/sheet425.xml.rels><?xml version="1.0" encoding="UTF-8" standalone="yes"?>
<Relationships xmlns="http://schemas.openxmlformats.org/package/2006/relationships"><Relationship Id="rId1" Type="http://schemas.openxmlformats.org/officeDocument/2006/relationships/drawing" Target="../drawings/drawing411.xml"/></Relationships>
</file>

<file path=xl/worksheets/_rels/sheet426.xml.rels><?xml version="1.0" encoding="UTF-8" standalone="yes"?>
<Relationships xmlns="http://schemas.openxmlformats.org/package/2006/relationships"><Relationship Id="rId1" Type="http://schemas.openxmlformats.org/officeDocument/2006/relationships/drawing" Target="../drawings/drawing412.xml"/></Relationships>
</file>

<file path=xl/worksheets/_rels/sheet427.xml.rels><?xml version="1.0" encoding="UTF-8" standalone="yes"?>
<Relationships xmlns="http://schemas.openxmlformats.org/package/2006/relationships"><Relationship Id="rId1" Type="http://schemas.openxmlformats.org/officeDocument/2006/relationships/drawing" Target="../drawings/drawing413.xml"/></Relationships>
</file>

<file path=xl/worksheets/_rels/sheet428.xml.rels><?xml version="1.0" encoding="UTF-8" standalone="yes"?>
<Relationships xmlns="http://schemas.openxmlformats.org/package/2006/relationships"><Relationship Id="rId1" Type="http://schemas.openxmlformats.org/officeDocument/2006/relationships/drawing" Target="../drawings/drawing414.xml"/></Relationships>
</file>

<file path=xl/worksheets/_rels/sheet429.xml.rels><?xml version="1.0" encoding="UTF-8" standalone="yes"?>
<Relationships xmlns="http://schemas.openxmlformats.org/package/2006/relationships"><Relationship Id="rId1" Type="http://schemas.openxmlformats.org/officeDocument/2006/relationships/drawing" Target="../drawings/drawing415.xml"/></Relationships>
</file>

<file path=xl/worksheets/_rels/sheet430.xml.rels><?xml version="1.0" encoding="UTF-8" standalone="yes"?>
<Relationships xmlns="http://schemas.openxmlformats.org/package/2006/relationships"><Relationship Id="rId1" Type="http://schemas.openxmlformats.org/officeDocument/2006/relationships/drawing" Target="../drawings/drawing416.xml"/></Relationships>
</file>

<file path=xl/worksheets/_rels/sheet431.xml.rels><?xml version="1.0" encoding="UTF-8" standalone="yes"?>
<Relationships xmlns="http://schemas.openxmlformats.org/package/2006/relationships"><Relationship Id="rId1" Type="http://schemas.openxmlformats.org/officeDocument/2006/relationships/drawing" Target="../drawings/drawing417.xml"/></Relationships>
</file>

<file path=xl/worksheets/_rels/sheet432.xml.rels><?xml version="1.0" encoding="UTF-8" standalone="yes"?>
<Relationships xmlns="http://schemas.openxmlformats.org/package/2006/relationships"><Relationship Id="rId1" Type="http://schemas.openxmlformats.org/officeDocument/2006/relationships/drawing" Target="../drawings/drawing418.xml"/></Relationships>
</file>

<file path=xl/worksheets/_rels/sheet433.xml.rels><?xml version="1.0" encoding="UTF-8" standalone="yes"?>
<Relationships xmlns="http://schemas.openxmlformats.org/package/2006/relationships"><Relationship Id="rId1" Type="http://schemas.openxmlformats.org/officeDocument/2006/relationships/drawing" Target="../drawings/drawing419.xml"/></Relationships>
</file>

<file path=xl/worksheets/_rels/sheet434.xml.rels><?xml version="1.0" encoding="UTF-8" standalone="yes"?>
<Relationships xmlns="http://schemas.openxmlformats.org/package/2006/relationships"><Relationship Id="rId1" Type="http://schemas.openxmlformats.org/officeDocument/2006/relationships/drawing" Target="../drawings/drawing420.xml"/></Relationships>
</file>

<file path=xl/worksheets/_rels/sheet435.xml.rels><?xml version="1.0" encoding="UTF-8" standalone="yes"?>
<Relationships xmlns="http://schemas.openxmlformats.org/package/2006/relationships"><Relationship Id="rId2" Type="http://schemas.openxmlformats.org/officeDocument/2006/relationships/drawing" Target="../drawings/drawing421.xml"/><Relationship Id="rId1" Type="http://schemas.openxmlformats.org/officeDocument/2006/relationships/printerSettings" Target="../printerSettings/printerSettings303.bin"/></Relationships>
</file>

<file path=xl/worksheets/_rels/sheet436.xml.rels><?xml version="1.0" encoding="UTF-8" standalone="yes"?>
<Relationships xmlns="http://schemas.openxmlformats.org/package/2006/relationships"><Relationship Id="rId2" Type="http://schemas.openxmlformats.org/officeDocument/2006/relationships/drawing" Target="../drawings/drawing422.xml"/><Relationship Id="rId1" Type="http://schemas.openxmlformats.org/officeDocument/2006/relationships/printerSettings" Target="../printerSettings/printerSettings30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I22"/>
  <sheetViews>
    <sheetView zoomScaleNormal="100" zoomScalePageLayoutView="150" workbookViewId="0">
      <selection activeCell="C9" sqref="C9"/>
    </sheetView>
  </sheetViews>
  <sheetFormatPr baseColWidth="10" defaultColWidth="10.88671875" defaultRowHeight="14.4" x14ac:dyDescent="0.3"/>
  <cols>
    <col min="1" max="1" width="16.6640625" style="1" customWidth="1"/>
    <col min="2" max="2" width="17.109375" style="1" customWidth="1"/>
    <col min="3" max="3" width="38.44140625" style="1" bestFit="1" customWidth="1"/>
    <col min="4" max="4" width="25.44140625" style="1" customWidth="1"/>
    <col min="5" max="16384" width="10.88671875" style="1"/>
  </cols>
  <sheetData>
    <row r="1" spans="1:5" ht="15" thickBot="1" x14ac:dyDescent="0.35"/>
    <row r="2" spans="1:5" ht="15" thickTop="1" x14ac:dyDescent="0.3">
      <c r="A2" s="1230">
        <v>2017</v>
      </c>
      <c r="B2" s="1231"/>
      <c r="C2" s="1231"/>
      <c r="D2" s="1232"/>
      <c r="E2" s="2"/>
    </row>
    <row r="3" spans="1:5" ht="31.5" customHeight="1" x14ac:dyDescent="0.3">
      <c r="A3" s="1233" t="s">
        <v>20</v>
      </c>
      <c r="B3" s="1234" t="s">
        <v>21</v>
      </c>
      <c r="C3" s="325" t="s">
        <v>22</v>
      </c>
      <c r="D3" s="1234" t="s">
        <v>23</v>
      </c>
      <c r="E3" s="1234" t="s">
        <v>24</v>
      </c>
    </row>
    <row r="4" spans="1:5" x14ac:dyDescent="0.3">
      <c r="A4" s="1233"/>
      <c r="B4" s="1234"/>
      <c r="C4" s="326">
        <f ca="1">TODAY()</f>
        <v>43171</v>
      </c>
      <c r="D4" s="1234"/>
      <c r="E4" s="1234"/>
    </row>
    <row r="5" spans="1:5" x14ac:dyDescent="0.3">
      <c r="A5" s="327" t="s">
        <v>25</v>
      </c>
      <c r="B5" s="3">
        <v>187853713.73333332</v>
      </c>
      <c r="C5" s="328" t="e">
        <f>'BASE DATOS'!G995</f>
        <v>#REF!</v>
      </c>
      <c r="D5" s="329" t="e">
        <f>C5/B5</f>
        <v>#REF!</v>
      </c>
      <c r="E5" s="329">
        <f>+B5/$B$9</f>
        <v>0.3883162648908729</v>
      </c>
    </row>
    <row r="6" spans="1:5" x14ac:dyDescent="0.3">
      <c r="A6" s="330" t="s">
        <v>26</v>
      </c>
      <c r="B6" s="3">
        <v>99624707.833333299</v>
      </c>
      <c r="C6" s="328" t="e">
        <f>'BASE DATOS'!H995</f>
        <v>#REF!</v>
      </c>
      <c r="D6" s="329" t="e">
        <f>C6/B6</f>
        <v>#REF!</v>
      </c>
      <c r="E6" s="329">
        <f>+B6/$B$9</f>
        <v>0.20593627705226428</v>
      </c>
    </row>
    <row r="7" spans="1:5" x14ac:dyDescent="0.3">
      <c r="A7" s="331" t="s">
        <v>27</v>
      </c>
      <c r="B7" s="332">
        <v>113694926.09999999</v>
      </c>
      <c r="C7" s="328" t="e">
        <f>'BASE DATOS'!I995</f>
        <v>#REF!</v>
      </c>
      <c r="D7" s="329" t="e">
        <f>C7/B7</f>
        <v>#REF!</v>
      </c>
      <c r="E7" s="329">
        <f>+B7/$B$9</f>
        <v>0.23502111383790963</v>
      </c>
    </row>
    <row r="8" spans="1:5" x14ac:dyDescent="0.3">
      <c r="A8" s="333" t="s">
        <v>28</v>
      </c>
      <c r="B8" s="3">
        <v>82591384.120000005</v>
      </c>
      <c r="C8" s="328" t="e">
        <f>'BASE DATOS'!J995</f>
        <v>#REF!</v>
      </c>
      <c r="D8" s="329" t="e">
        <f>C8/B8</f>
        <v>#REF!</v>
      </c>
      <c r="E8" s="329">
        <f>+B8/$B$9</f>
        <v>0.17072634421895316</v>
      </c>
    </row>
    <row r="9" spans="1:5" x14ac:dyDescent="0.3">
      <c r="A9" s="334" t="s">
        <v>1</v>
      </c>
      <c r="B9" s="335">
        <f>SUM(B5:B8)</f>
        <v>483764731.78666663</v>
      </c>
      <c r="C9" s="335" t="e">
        <f>SUM(C5:C8)</f>
        <v>#REF!</v>
      </c>
      <c r="D9" s="336" t="e">
        <f>C9/B9</f>
        <v>#REF!</v>
      </c>
      <c r="E9" s="337">
        <f>+B9/$B$9</f>
        <v>1</v>
      </c>
    </row>
    <row r="10" spans="1:5" x14ac:dyDescent="0.3">
      <c r="B10" s="4"/>
      <c r="C10" s="5">
        <v>489079165.11879402</v>
      </c>
      <c r="D10" s="5" t="e">
        <f>C10-C9</f>
        <v>#REF!</v>
      </c>
    </row>
    <row r="11" spans="1:5" x14ac:dyDescent="0.3">
      <c r="D11" s="6"/>
    </row>
    <row r="12" spans="1:5" x14ac:dyDescent="0.3">
      <c r="A12" s="4"/>
      <c r="D12" s="7"/>
    </row>
    <row r="13" spans="1:5" x14ac:dyDescent="0.3">
      <c r="D13" s="4"/>
    </row>
    <row r="18" spans="4:9" x14ac:dyDescent="0.3">
      <c r="D18" s="8"/>
    </row>
    <row r="22" spans="4:9" x14ac:dyDescent="0.3">
      <c r="I22" s="4"/>
    </row>
  </sheetData>
  <mergeCells count="5">
    <mergeCell ref="A2:D2"/>
    <mergeCell ref="A3:A4"/>
    <mergeCell ref="B3:B4"/>
    <mergeCell ref="D3:D4"/>
    <mergeCell ref="E3:E4"/>
  </mergeCells>
  <pageMargins left="0.70866141732283472" right="0.70866141732283472" top="0.74803149606299213" bottom="0.74803149606299213" header="0.31496062992125984" footer="0.31496062992125984"/>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1009"/>
  <sheetViews>
    <sheetView zoomScale="70" zoomScaleNormal="70" zoomScalePageLayoutView="70" workbookViewId="0">
      <pane xSplit="1" ySplit="1" topLeftCell="B2" activePane="bottomRight" state="frozen"/>
      <selection activeCell="A9" sqref="A9:W9"/>
      <selection pane="topRight" activeCell="A9" sqref="A9:W9"/>
      <selection pane="bottomLeft" activeCell="A9" sqref="A9:W9"/>
      <selection pane="bottomRight" activeCell="D14" sqref="D14"/>
    </sheetView>
  </sheetViews>
  <sheetFormatPr baseColWidth="10" defaultColWidth="10.88671875" defaultRowHeight="18" x14ac:dyDescent="0.3"/>
  <cols>
    <col min="1" max="1" width="18.33203125" style="16" customWidth="1"/>
    <col min="2" max="2" width="8.109375" style="9" bestFit="1" customWidth="1"/>
    <col min="3" max="3" width="73.5546875" style="9" customWidth="1"/>
    <col min="4" max="4" width="24.33203125" style="9" customWidth="1"/>
    <col min="5" max="5" width="17.44140625" style="10" customWidth="1"/>
    <col min="6" max="6" width="23.109375" customWidth="1"/>
    <col min="7" max="7" width="19.109375" style="11" bestFit="1" customWidth="1"/>
    <col min="8" max="9" width="14.44140625" style="11" customWidth="1"/>
    <col min="10" max="10" width="15.33203125" style="11" bestFit="1" customWidth="1"/>
    <col min="11" max="11" width="3.88671875" style="9" customWidth="1"/>
    <col min="12" max="16384" width="10.88671875" style="9"/>
  </cols>
  <sheetData>
    <row r="1" spans="2:10" x14ac:dyDescent="0.3">
      <c r="B1" s="9" t="s">
        <v>29</v>
      </c>
      <c r="C1" s="256" t="s">
        <v>30</v>
      </c>
      <c r="D1" s="17" t="s">
        <v>36</v>
      </c>
      <c r="E1" s="10" t="s">
        <v>31</v>
      </c>
      <c r="F1" s="146" t="s">
        <v>398</v>
      </c>
      <c r="G1" s="11" t="s">
        <v>32</v>
      </c>
      <c r="H1" s="12" t="s">
        <v>33</v>
      </c>
      <c r="I1" s="11" t="s">
        <v>34</v>
      </c>
      <c r="J1" s="11" t="s">
        <v>35</v>
      </c>
    </row>
    <row r="2" spans="2:10" x14ac:dyDescent="0.3">
      <c r="B2" s="400" t="s">
        <v>479</v>
      </c>
      <c r="C2" s="13" t="str">
        <f>'OT17-013  CHÍA AMPLIACIÓN'!C14</f>
        <v>Ingeniería civil y mecánico (Levantamiento e ingeniería de detalle)</v>
      </c>
      <c r="D2" s="19" t="s">
        <v>760</v>
      </c>
      <c r="E2" s="10">
        <f>'OT17-013  CHÍA AMPLIACIÓN'!U14</f>
        <v>0</v>
      </c>
      <c r="F2">
        <f>'OT17-013  CHÍA AMPLIACIÓN'!T14</f>
        <v>0</v>
      </c>
      <c r="G2" s="11">
        <f>IF(AND(D2="INGENIERÍA ELÉCTRICA",F2&lt;&gt;0),E2,0)</f>
        <v>0</v>
      </c>
      <c r="H2" s="11">
        <f>IF(AND(D2="INGENIERÍA CIVIL",F2&lt;&gt;0),E2,0)</f>
        <v>0</v>
      </c>
      <c r="I2" s="11">
        <f>IF(AND(D2="INGENIERÍA MECÁNICA",F2&lt;&gt;0),E2,0)</f>
        <v>0</v>
      </c>
      <c r="J2" s="11">
        <f>IF(AND(D2="LINEAS",F2&lt;&gt;0),E2,0)</f>
        <v>0</v>
      </c>
    </row>
    <row r="3" spans="2:10" x14ac:dyDescent="0.3">
      <c r="B3" s="400" t="s">
        <v>479</v>
      </c>
      <c r="C3" s="13" t="str">
        <f>'OT17-013  CHÍA AMPLIACIÓN'!C15</f>
        <v>Ingeniería eléctrica (Levantamiento e ingeniería de detalle)</v>
      </c>
      <c r="D3" s="19" t="s">
        <v>761</v>
      </c>
      <c r="E3" s="10">
        <f>'OT17-013  CHÍA AMPLIACIÓN'!U15</f>
        <v>0</v>
      </c>
      <c r="F3" s="302">
        <f>'OT17-013  CHÍA AMPLIACIÓN'!T15</f>
        <v>0</v>
      </c>
      <c r="G3" s="11">
        <f t="shared" ref="G3:G5" si="0">IF(AND(D3="INGENIERÍA ELÉCTRICA",F3&lt;&gt;0),E3,0)</f>
        <v>0</v>
      </c>
      <c r="H3" s="11">
        <f t="shared" ref="H3:H5" si="1">IF(AND(D3="INGENIERÍA CIVIL",F3&lt;&gt;0),E3,0)</f>
        <v>0</v>
      </c>
      <c r="I3" s="11">
        <f t="shared" ref="I3:I5" si="2">IF(AND(D3="INGENIERÍA MECÁNICA",F3&lt;&gt;0),E3,0)</f>
        <v>0</v>
      </c>
      <c r="J3" s="11">
        <f t="shared" ref="J3:J5" si="3">IF(AND(D3="LINEAS",F3&lt;&gt;0),E3,0)</f>
        <v>0</v>
      </c>
    </row>
    <row r="4" spans="2:10" x14ac:dyDescent="0.3">
      <c r="B4" s="400" t="s">
        <v>479</v>
      </c>
      <c r="C4" s="13" t="str">
        <f>'OT17-013  CHÍA AMPLIACIÓN'!C17</f>
        <v>Ingeniería civil y mecánico (Levantamiento e ingeniería de detalle)</v>
      </c>
      <c r="D4" s="19" t="s">
        <v>760</v>
      </c>
      <c r="E4" s="10">
        <f>'OT17-013  CHÍA AMPLIACIÓN'!U17</f>
        <v>0</v>
      </c>
      <c r="F4" s="302">
        <f>'OT17-013  CHÍA AMPLIACIÓN'!T17</f>
        <v>0</v>
      </c>
      <c r="G4" s="11">
        <f t="shared" si="0"/>
        <v>0</v>
      </c>
      <c r="H4" s="11">
        <f t="shared" si="1"/>
        <v>0</v>
      </c>
      <c r="I4" s="11">
        <f t="shared" si="2"/>
        <v>0</v>
      </c>
      <c r="J4" s="11">
        <f t="shared" si="3"/>
        <v>0</v>
      </c>
    </row>
    <row r="5" spans="2:10" x14ac:dyDescent="0.3">
      <c r="B5" s="400" t="s">
        <v>479</v>
      </c>
      <c r="C5" s="13" t="str">
        <f>'OT17-013  CHÍA AMPLIACIÓN'!C18</f>
        <v>Ingeniería eléctrica (Levantamiento e ingeniería de detalle)</v>
      </c>
      <c r="D5" s="19" t="s">
        <v>761</v>
      </c>
      <c r="E5" s="10">
        <f>'OT17-013  CHÍA AMPLIACIÓN'!U18</f>
        <v>0</v>
      </c>
      <c r="F5" s="302">
        <f>'OT17-013  CHÍA AMPLIACIÓN'!T18</f>
        <v>0</v>
      </c>
      <c r="G5" s="11">
        <f t="shared" si="0"/>
        <v>0</v>
      </c>
      <c r="H5" s="11">
        <f t="shared" si="1"/>
        <v>0</v>
      </c>
      <c r="I5" s="11">
        <f t="shared" si="2"/>
        <v>0</v>
      </c>
      <c r="J5" s="11">
        <f t="shared" si="3"/>
        <v>0</v>
      </c>
    </row>
    <row r="6" spans="2:10" x14ac:dyDescent="0.3">
      <c r="B6" s="400" t="s">
        <v>479</v>
      </c>
      <c r="C6" s="13" t="str">
        <f>'OT17-013  CHÍA AMPLIACIÓN'!C20</f>
        <v>Ingeniería civil (Levantamiento e ingeniería de detalle)</v>
      </c>
      <c r="D6" s="19" t="s">
        <v>760</v>
      </c>
      <c r="E6" s="10">
        <f>'OT17-013  CHÍA AMPLIACIÓN'!U20</f>
        <v>0</v>
      </c>
      <c r="F6" s="302">
        <f>'OT17-013  CHÍA AMPLIACIÓN'!T20</f>
        <v>0</v>
      </c>
      <c r="G6" s="11">
        <f t="shared" ref="G6:G15" si="4">IF(AND(D6="INGENIERÍA ELÉCTRICA",F6&lt;&gt;0),E6,0)</f>
        <v>0</v>
      </c>
      <c r="H6" s="11">
        <f t="shared" ref="H6:H15" si="5">IF(AND(D6="INGENIERÍA CIVIL",F6&lt;&gt;0),E6,0)</f>
        <v>0</v>
      </c>
      <c r="I6" s="11">
        <f t="shared" ref="I6:I15" si="6">IF(AND(D6="INGENIERÍA MECÁNICA",F6&lt;&gt;0),E6,0)</f>
        <v>0</v>
      </c>
      <c r="J6" s="11">
        <f t="shared" ref="J6:J15" si="7">IF(AND(D6="LINEAS",F6&lt;&gt;0),E6,0)</f>
        <v>0</v>
      </c>
    </row>
    <row r="7" spans="2:10" x14ac:dyDescent="0.3">
      <c r="B7" s="400" t="s">
        <v>479</v>
      </c>
      <c r="C7" s="13" t="str">
        <f>'OT17-013  CHÍA AMPLIACIÓN'!C21</f>
        <v>Ingeniería mecánica (Levantamiento e ingeniería de detalle)</v>
      </c>
      <c r="D7" s="19" t="s">
        <v>762</v>
      </c>
      <c r="E7" s="10">
        <f>'OT17-013  CHÍA AMPLIACIÓN'!U21</f>
        <v>0</v>
      </c>
      <c r="F7" s="302">
        <f>'OT17-013  CHÍA AMPLIACIÓN'!T21</f>
        <v>0</v>
      </c>
      <c r="G7" s="11">
        <f t="shared" si="4"/>
        <v>0</v>
      </c>
      <c r="H7" s="11">
        <f t="shared" si="5"/>
        <v>0</v>
      </c>
      <c r="I7" s="11">
        <f t="shared" si="6"/>
        <v>0</v>
      </c>
      <c r="J7" s="11">
        <f t="shared" si="7"/>
        <v>0</v>
      </c>
    </row>
    <row r="8" spans="2:10" x14ac:dyDescent="0.3">
      <c r="B8" s="400" t="s">
        <v>479</v>
      </c>
      <c r="C8" s="13" t="str">
        <f>'OT17-013  CHÍA AMPLIACIÓN'!C23</f>
        <v xml:space="preserve"> </v>
      </c>
      <c r="D8" s="9" t="s">
        <v>761</v>
      </c>
      <c r="E8" s="10">
        <f>'OT17-013  CHÍA AMPLIACIÓN'!U23</f>
        <v>0</v>
      </c>
      <c r="F8" s="302">
        <f>'OT17-013  CHÍA AMPLIACIÓN'!T23</f>
        <v>0</v>
      </c>
      <c r="G8" s="11">
        <f t="shared" si="4"/>
        <v>0</v>
      </c>
      <c r="H8" s="11">
        <f t="shared" si="5"/>
        <v>0</v>
      </c>
      <c r="I8" s="11">
        <f t="shared" si="6"/>
        <v>0</v>
      </c>
      <c r="J8" s="11">
        <f t="shared" si="7"/>
        <v>0</v>
      </c>
    </row>
    <row r="9" spans="2:10" x14ac:dyDescent="0.3">
      <c r="B9" s="400" t="s">
        <v>479</v>
      </c>
      <c r="C9" s="13" t="str">
        <f>'OT17-013  CHÍA AMPLIACIÓN'!C25</f>
        <v>Ingeniería civil (Levantamiento e ingeniería de detalle)</v>
      </c>
      <c r="D9" s="19" t="s">
        <v>760</v>
      </c>
      <c r="E9" s="10">
        <f>'OT17-013  CHÍA AMPLIACIÓN'!U25</f>
        <v>2354660</v>
      </c>
      <c r="F9" s="302">
        <f>'OT17-013  CHÍA AMPLIACIÓN'!T25</f>
        <v>0.49</v>
      </c>
      <c r="G9" s="11">
        <f t="shared" si="4"/>
        <v>0</v>
      </c>
      <c r="H9" s="11">
        <f t="shared" si="5"/>
        <v>2354660</v>
      </c>
      <c r="I9" s="11">
        <f t="shared" si="6"/>
        <v>0</v>
      </c>
      <c r="J9" s="11">
        <f t="shared" si="7"/>
        <v>0</v>
      </c>
    </row>
    <row r="10" spans="2:10" x14ac:dyDescent="0.3">
      <c r="B10" s="400" t="s">
        <v>479</v>
      </c>
      <c r="C10" s="13" t="str">
        <f>'OT17-013  CHÍA AMPLIACIÓN'!C26</f>
        <v>Ingeniería mecánica (Levantamiento e ingeniería de detalle)</v>
      </c>
      <c r="D10" s="19" t="s">
        <v>762</v>
      </c>
      <c r="E10" s="10">
        <f>'OT17-013  CHÍA AMPLIACIÓN'!U26</f>
        <v>0</v>
      </c>
      <c r="F10" s="302">
        <f>'OT17-013  CHÍA AMPLIACIÓN'!T26</f>
        <v>0</v>
      </c>
      <c r="G10" s="11">
        <f t="shared" si="4"/>
        <v>0</v>
      </c>
      <c r="H10" s="11">
        <f t="shared" si="5"/>
        <v>0</v>
      </c>
      <c r="I10" s="11">
        <f t="shared" si="6"/>
        <v>0</v>
      </c>
      <c r="J10" s="11">
        <f t="shared" si="7"/>
        <v>0</v>
      </c>
    </row>
    <row r="11" spans="2:10" x14ac:dyDescent="0.3">
      <c r="B11" s="400" t="s">
        <v>479</v>
      </c>
      <c r="C11" s="13" t="str">
        <f>'OT17-013  CHÍA AMPLIACIÓN'!C27</f>
        <v>Ingeniería eléctrica (Levantamiento y Ingeniería  detallado)</v>
      </c>
      <c r="D11" s="19" t="s">
        <v>761</v>
      </c>
      <c r="E11" s="10">
        <f>'OT17-013  CHÍA AMPLIACIÓN'!U27</f>
        <v>0</v>
      </c>
      <c r="F11" s="302">
        <f>'OT17-013  CHÍA AMPLIACIÓN'!T27</f>
        <v>0</v>
      </c>
      <c r="G11" s="11">
        <f t="shared" si="4"/>
        <v>0</v>
      </c>
      <c r="H11" s="11">
        <f t="shared" si="5"/>
        <v>0</v>
      </c>
      <c r="I11" s="11">
        <f t="shared" si="6"/>
        <v>0</v>
      </c>
      <c r="J11" s="11">
        <f t="shared" si="7"/>
        <v>0</v>
      </c>
    </row>
    <row r="12" spans="2:10" x14ac:dyDescent="0.3">
      <c r="B12" s="400" t="s">
        <v>479</v>
      </c>
      <c r="C12" s="13" t="str">
        <f>'OT17-013  CHÍA AMPLIACIÓN'!C29</f>
        <v>Diseño civil (Levantamiento e ingeniería de detalle)</v>
      </c>
      <c r="D12" s="19" t="s">
        <v>760</v>
      </c>
      <c r="E12" s="10">
        <f>'OT17-013  CHÍA AMPLIACIÓN'!U29</f>
        <v>0</v>
      </c>
      <c r="F12" s="302">
        <f>'OT17-013  CHÍA AMPLIACIÓN'!T29</f>
        <v>0</v>
      </c>
      <c r="G12" s="11">
        <f t="shared" si="4"/>
        <v>0</v>
      </c>
      <c r="H12" s="11">
        <f t="shared" si="5"/>
        <v>0</v>
      </c>
      <c r="I12" s="11">
        <f t="shared" si="6"/>
        <v>0</v>
      </c>
      <c r="J12" s="11">
        <f t="shared" si="7"/>
        <v>0</v>
      </c>
    </row>
    <row r="13" spans="2:10" x14ac:dyDescent="0.3">
      <c r="B13" s="400" t="s">
        <v>479</v>
      </c>
      <c r="C13" s="13" t="str">
        <f>'OT17-013  CHÍA AMPLIACIÓN'!C30</f>
        <v>Ingeniería mecánica (Levantamiento e ingeniería de detalle)</v>
      </c>
      <c r="D13" s="19" t="s">
        <v>762</v>
      </c>
      <c r="E13" s="10">
        <f>'OT17-013  CHÍA AMPLIACIÓN'!U30</f>
        <v>0</v>
      </c>
      <c r="F13" s="302">
        <f>'OT17-013  CHÍA AMPLIACIÓN'!T30</f>
        <v>0</v>
      </c>
      <c r="G13" s="11">
        <f t="shared" si="4"/>
        <v>0</v>
      </c>
      <c r="H13" s="11">
        <f t="shared" si="5"/>
        <v>0</v>
      </c>
      <c r="I13" s="11">
        <f t="shared" si="6"/>
        <v>0</v>
      </c>
      <c r="J13" s="11">
        <f t="shared" si="7"/>
        <v>0</v>
      </c>
    </row>
    <row r="14" spans="2:10" x14ac:dyDescent="0.3">
      <c r="B14" s="400" t="s">
        <v>479</v>
      </c>
      <c r="C14" s="13" t="str">
        <f>'OT17-013  CHÍA AMPLIACIÓN'!C31</f>
        <v>Ingeniería eléctrica (Levantamiento e ingeniería de detalle)</v>
      </c>
      <c r="D14" s="19" t="s">
        <v>761</v>
      </c>
      <c r="E14" s="10">
        <f>'OT17-013  CHÍA AMPLIACIÓN'!U31</f>
        <v>0</v>
      </c>
      <c r="F14" s="302">
        <f>'OT17-013  CHÍA AMPLIACIÓN'!T31</f>
        <v>0</v>
      </c>
      <c r="G14" s="11">
        <f t="shared" si="4"/>
        <v>0</v>
      </c>
      <c r="H14" s="11">
        <f t="shared" si="5"/>
        <v>0</v>
      </c>
      <c r="I14" s="11">
        <f t="shared" si="6"/>
        <v>0</v>
      </c>
      <c r="J14" s="11">
        <f t="shared" si="7"/>
        <v>0</v>
      </c>
    </row>
    <row r="15" spans="2:10" x14ac:dyDescent="0.3">
      <c r="B15" s="400" t="s">
        <v>479</v>
      </c>
      <c r="C15" s="13" t="str">
        <f>'OT17-013  CHÍA AMPLIACIÓN'!C33</f>
        <v>Ingeniería mecánica (Levantamiento e ingeniería de detalle)</v>
      </c>
      <c r="D15" s="19" t="s">
        <v>762</v>
      </c>
      <c r="E15" s="10">
        <f>'OT17-013  CHÍA AMPLIACIÓN'!U33</f>
        <v>0</v>
      </c>
      <c r="F15" s="302">
        <f>'OT17-013  CHÍA AMPLIACIÓN'!T33</f>
        <v>0</v>
      </c>
      <c r="G15" s="11">
        <f t="shared" si="4"/>
        <v>0</v>
      </c>
      <c r="H15" s="11">
        <f t="shared" si="5"/>
        <v>0</v>
      </c>
      <c r="I15" s="11">
        <f t="shared" si="6"/>
        <v>0</v>
      </c>
      <c r="J15" s="11">
        <f t="shared" si="7"/>
        <v>0</v>
      </c>
    </row>
    <row r="16" spans="2:10" x14ac:dyDescent="0.3">
      <c r="B16" s="400" t="s">
        <v>479</v>
      </c>
      <c r="C16" s="13" t="str">
        <f>'OT17-013  CHÍA AMPLIACIÓN'!C34</f>
        <v>Ingeniería eléctrica (Levantamiento e ingeniería de detalle)</v>
      </c>
      <c r="D16" s="19" t="s">
        <v>761</v>
      </c>
      <c r="E16" s="10">
        <f>'OT17-013  CHÍA AMPLIACIÓN'!U34</f>
        <v>0</v>
      </c>
      <c r="F16" s="302">
        <f>'OT17-013  CHÍA AMPLIACIÓN'!T34</f>
        <v>0</v>
      </c>
      <c r="G16" s="11">
        <f t="shared" ref="G16:G17" si="8">IF(AND(D16="INGENIERÍA ELÉCTRICA",F16&lt;&gt;0),E16,0)</f>
        <v>0</v>
      </c>
      <c r="H16" s="11">
        <f t="shared" ref="H16:H17" si="9">IF(AND(D16="INGENIERÍA CIVIL",F16&lt;&gt;0),E16,0)</f>
        <v>0</v>
      </c>
      <c r="I16" s="11">
        <f t="shared" ref="I16:I17" si="10">IF(AND(D16="INGENIERÍA MECÁNICA",F16&lt;&gt;0),E16,0)</f>
        <v>0</v>
      </c>
      <c r="J16" s="11">
        <f t="shared" ref="J16:J17" si="11">IF(AND(D16="LINEAS",F16&lt;&gt;0),E16,0)</f>
        <v>0</v>
      </c>
    </row>
    <row r="17" spans="2:10" x14ac:dyDescent="0.3">
      <c r="B17" s="400" t="s">
        <v>479</v>
      </c>
      <c r="C17" s="13" t="str">
        <f>'OT17-013  CHÍA AMPLIACIÓN'!C36</f>
        <v>Ingeniería civil (Levantamiento e ingeniería de detalle)</v>
      </c>
      <c r="D17" s="19" t="s">
        <v>760</v>
      </c>
      <c r="E17" s="10">
        <f>'OT17-013  CHÍA AMPLIACIÓN'!U36</f>
        <v>0</v>
      </c>
      <c r="F17" s="302">
        <f>'OT17-013  CHÍA AMPLIACIÓN'!T36</f>
        <v>0</v>
      </c>
      <c r="G17" s="11">
        <f t="shared" si="8"/>
        <v>0</v>
      </c>
      <c r="H17" s="11">
        <f t="shared" si="9"/>
        <v>0</v>
      </c>
      <c r="I17" s="11">
        <f t="shared" si="10"/>
        <v>0</v>
      </c>
      <c r="J17" s="11">
        <f t="shared" si="11"/>
        <v>0</v>
      </c>
    </row>
    <row r="18" spans="2:10" x14ac:dyDescent="0.3">
      <c r="B18" s="400" t="s">
        <v>479</v>
      </c>
      <c r="C18" s="13" t="str">
        <f>'OT17-013  CHÍA AMPLIACIÓN'!C38</f>
        <v>Ingeniería civil (Levantamiento e ingeniería de detalle)</v>
      </c>
      <c r="D18" s="19" t="s">
        <v>760</v>
      </c>
      <c r="E18" s="10">
        <f>'OT17-013  CHÍA AMPLIACIÓN'!U38</f>
        <v>0</v>
      </c>
      <c r="F18" s="302">
        <f>'OT17-013  CHÍA AMPLIACIÓN'!T38</f>
        <v>0</v>
      </c>
      <c r="G18" s="11">
        <f t="shared" ref="G18:G25" si="12">IF(AND(D18="INGENIERÍA ELÉCTRICA",F18&lt;&gt;0),E18,0)</f>
        <v>0</v>
      </c>
      <c r="H18" s="11">
        <f t="shared" ref="H18:H25" si="13">IF(AND(D18="INGENIERÍA CIVIL",F18&lt;&gt;0),E18,0)</f>
        <v>0</v>
      </c>
      <c r="I18" s="11">
        <f t="shared" ref="I18:I25" si="14">IF(AND(D18="INGENIERÍA MECÁNICA",F18&lt;&gt;0),E18,0)</f>
        <v>0</v>
      </c>
      <c r="J18" s="11">
        <f t="shared" ref="J18:J25" si="15">IF(AND(D18="LINEAS",F18&lt;&gt;0),E18,0)</f>
        <v>0</v>
      </c>
    </row>
    <row r="19" spans="2:10" x14ac:dyDescent="0.3">
      <c r="B19" s="400" t="s">
        <v>479</v>
      </c>
      <c r="C19" s="13" t="str">
        <f>'OT17-013  CHÍA AMPLIACIÓN'!C39</f>
        <v>Ingeniería mecánica (Levantamiento e ingeniería de detalle)</v>
      </c>
      <c r="D19" s="19" t="s">
        <v>762</v>
      </c>
      <c r="E19" s="10">
        <f>'OT17-013  CHÍA AMPLIACIÓN'!U39</f>
        <v>0</v>
      </c>
      <c r="F19" s="302">
        <f>'OT17-013  CHÍA AMPLIACIÓN'!T39</f>
        <v>0</v>
      </c>
      <c r="G19" s="11">
        <f t="shared" si="12"/>
        <v>0</v>
      </c>
      <c r="H19" s="11">
        <f t="shared" si="13"/>
        <v>0</v>
      </c>
      <c r="I19" s="11">
        <f t="shared" si="14"/>
        <v>0</v>
      </c>
      <c r="J19" s="11">
        <f t="shared" si="15"/>
        <v>0</v>
      </c>
    </row>
    <row r="20" spans="2:10" x14ac:dyDescent="0.3">
      <c r="B20" s="400" t="s">
        <v>479</v>
      </c>
      <c r="C20" s="13" t="str">
        <f>'OT17-013  CHÍA AMPLIACIÓN'!C40</f>
        <v>Ingeniería eléctrica (Levantamiento y Ingeniería  detallado)</v>
      </c>
      <c r="D20" s="19" t="s">
        <v>761</v>
      </c>
      <c r="E20" s="10">
        <f>'OT17-013  CHÍA AMPLIACIÓN'!U40</f>
        <v>0</v>
      </c>
      <c r="F20" s="302">
        <f>'OT17-013  CHÍA AMPLIACIÓN'!T40</f>
        <v>0</v>
      </c>
      <c r="G20" s="11">
        <f t="shared" si="12"/>
        <v>0</v>
      </c>
      <c r="H20" s="11">
        <f t="shared" si="13"/>
        <v>0</v>
      </c>
      <c r="I20" s="11">
        <f t="shared" si="14"/>
        <v>0</v>
      </c>
      <c r="J20" s="11">
        <f t="shared" si="15"/>
        <v>0</v>
      </c>
    </row>
    <row r="21" spans="2:10" x14ac:dyDescent="0.3">
      <c r="B21" s="400" t="s">
        <v>479</v>
      </c>
      <c r="C21" s="13" t="str">
        <f>'OT17-013  CHÍA AMPLIACIÓN'!C42</f>
        <v>Ingeniería civil (Levantamiento e ingeniería de detalle)</v>
      </c>
      <c r="D21" s="19" t="s">
        <v>760</v>
      </c>
      <c r="E21" s="10">
        <f>'OT17-013  CHÍA AMPLIACIÓN'!U42</f>
        <v>5528331</v>
      </c>
      <c r="F21" s="302">
        <f>'OT17-013  CHÍA AMPLIACIÓN'!T42</f>
        <v>0.49</v>
      </c>
      <c r="G21" s="11">
        <f t="shared" si="12"/>
        <v>0</v>
      </c>
      <c r="H21" s="11">
        <f t="shared" si="13"/>
        <v>5528331</v>
      </c>
      <c r="I21" s="11">
        <f t="shared" si="14"/>
        <v>0</v>
      </c>
      <c r="J21" s="11">
        <f t="shared" si="15"/>
        <v>0</v>
      </c>
    </row>
    <row r="22" spans="2:10" x14ac:dyDescent="0.3">
      <c r="B22" s="400" t="s">
        <v>479</v>
      </c>
      <c r="C22" s="13" t="str">
        <f>'OT17-013  CHÍA AMPLIACIÓN'!C43</f>
        <v>Ingeniería mecánica (Levantamiento e ingeniería de detalle)</v>
      </c>
      <c r="D22" s="19" t="s">
        <v>762</v>
      </c>
      <c r="E22" s="10">
        <f>'OT17-013  CHÍA AMPLIACIÓN'!U43</f>
        <v>0</v>
      </c>
      <c r="F22" s="302">
        <f>'OT17-013  CHÍA AMPLIACIÓN'!T43</f>
        <v>0</v>
      </c>
      <c r="G22" s="11">
        <f t="shared" si="12"/>
        <v>0</v>
      </c>
      <c r="H22" s="11">
        <f t="shared" si="13"/>
        <v>0</v>
      </c>
      <c r="I22" s="11">
        <f t="shared" si="14"/>
        <v>0</v>
      </c>
      <c r="J22" s="11">
        <f t="shared" si="15"/>
        <v>0</v>
      </c>
    </row>
    <row r="23" spans="2:10" x14ac:dyDescent="0.3">
      <c r="B23" s="400" t="s">
        <v>479</v>
      </c>
      <c r="C23" s="13" t="str">
        <f>'OT17-013  CHÍA AMPLIACIÓN'!C44</f>
        <v>Ingeniería eléctrica (Levantamiento e ingeniería de detalle)</v>
      </c>
      <c r="D23" s="19" t="s">
        <v>761</v>
      </c>
      <c r="E23" s="10">
        <f>'OT17-013  CHÍA AMPLIACIÓN'!U44</f>
        <v>0</v>
      </c>
      <c r="F23" s="302">
        <f>'OT17-013  CHÍA AMPLIACIÓN'!T44</f>
        <v>0</v>
      </c>
      <c r="G23" s="11">
        <f t="shared" si="12"/>
        <v>0</v>
      </c>
      <c r="H23" s="11">
        <f t="shared" si="13"/>
        <v>0</v>
      </c>
      <c r="I23" s="11">
        <f t="shared" si="14"/>
        <v>0</v>
      </c>
      <c r="J23" s="11">
        <f t="shared" si="15"/>
        <v>0</v>
      </c>
    </row>
    <row r="24" spans="2:10" x14ac:dyDescent="0.3">
      <c r="B24" s="400" t="s">
        <v>479</v>
      </c>
      <c r="C24" s="13" t="str">
        <f>'OT17-013  CHÍA AMPLIACIÓN'!C46</f>
        <v>Ingeniería mecánica (Levantamiento e ingeniería de detalle)</v>
      </c>
      <c r="D24" s="19" t="s">
        <v>762</v>
      </c>
      <c r="E24" s="10">
        <f>'OT17-013  CHÍA AMPLIACIÓN'!U46</f>
        <v>0</v>
      </c>
      <c r="F24" s="302">
        <f>'OT17-013  CHÍA AMPLIACIÓN'!T46</f>
        <v>0</v>
      </c>
      <c r="G24" s="11">
        <f t="shared" si="12"/>
        <v>0</v>
      </c>
      <c r="H24" s="11">
        <f t="shared" si="13"/>
        <v>0</v>
      </c>
      <c r="I24" s="11">
        <f t="shared" si="14"/>
        <v>0</v>
      </c>
      <c r="J24" s="11">
        <f t="shared" si="15"/>
        <v>0</v>
      </c>
    </row>
    <row r="25" spans="2:10" x14ac:dyDescent="0.3">
      <c r="B25" s="400" t="s">
        <v>479</v>
      </c>
      <c r="C25" s="13" t="str">
        <f>'OT17-013  CHÍA AMPLIACIÓN'!C47</f>
        <v>Ingeniería eléctrica (Levantamiento e ingeniería de detalle)</v>
      </c>
      <c r="D25" s="19" t="s">
        <v>761</v>
      </c>
      <c r="E25" s="10">
        <f>'OT17-013  CHÍA AMPLIACIÓN'!U47</f>
        <v>0</v>
      </c>
      <c r="F25" s="302">
        <f>'OT17-013  CHÍA AMPLIACIÓN'!T47</f>
        <v>0</v>
      </c>
      <c r="G25" s="11">
        <f t="shared" si="12"/>
        <v>0</v>
      </c>
      <c r="H25" s="11">
        <f t="shared" si="13"/>
        <v>0</v>
      </c>
      <c r="I25" s="11">
        <f t="shared" si="14"/>
        <v>0</v>
      </c>
      <c r="J25" s="11">
        <f t="shared" si="15"/>
        <v>0</v>
      </c>
    </row>
    <row r="26" spans="2:10" x14ac:dyDescent="0.3">
      <c r="B26" s="400" t="s">
        <v>479</v>
      </c>
      <c r="C26" s="13" t="str">
        <f>'OT17-013  CHÍA AMPLIACIÓN'!C49</f>
        <v>Ingeniería civil (Levantamiento e ingeniería de detalle)</v>
      </c>
      <c r="D26" s="19" t="s">
        <v>760</v>
      </c>
      <c r="E26" s="10">
        <f>'OT17-013  CHÍA AMPLIACIÓN'!U49</f>
        <v>0</v>
      </c>
      <c r="F26" s="302">
        <f>'OT17-013  CHÍA AMPLIACIÓN'!T49</f>
        <v>0</v>
      </c>
      <c r="G26" s="11">
        <f t="shared" ref="G26" si="16">IF(AND(D26="INGENIERÍA ELÉCTRICA",F26&lt;&gt;0),E26,0)</f>
        <v>0</v>
      </c>
      <c r="H26" s="11">
        <f t="shared" ref="H26" si="17">IF(AND(D26="INGENIERÍA CIVIL",F26&lt;&gt;0),E26,0)</f>
        <v>0</v>
      </c>
      <c r="I26" s="11">
        <f t="shared" ref="I26" si="18">IF(AND(D26="INGENIERÍA MECÁNICA",F26&lt;&gt;0),E26,0)</f>
        <v>0</v>
      </c>
      <c r="J26" s="11">
        <f t="shared" ref="J26" si="19">IF(AND(D26="LINEAS",F26&lt;&gt;0),E26,0)</f>
        <v>0</v>
      </c>
    </row>
    <row r="27" spans="2:10" x14ac:dyDescent="0.3">
      <c r="B27" s="400" t="s">
        <v>766</v>
      </c>
      <c r="C27" s="13" t="str">
        <f>'OT17-045 VICTORIA CONT Y PR'!C14</f>
        <v>Ingeniería mecánica (Levantamiento e ingeniería de detalle)</v>
      </c>
      <c r="D27" s="19" t="s">
        <v>762</v>
      </c>
      <c r="E27" s="10">
        <f>'OT17-045 VICTORIA CONT Y PR'!R14</f>
        <v>1560023</v>
      </c>
      <c r="F27" s="302">
        <f>'OT17-045 VICTORIA CONT Y PR'!Q14</f>
        <v>0.7</v>
      </c>
      <c r="G27" s="11">
        <f t="shared" ref="G27" si="20">IF(AND(D27="INGENIERÍA ELÉCTRICA",F27&lt;&gt;0),E27,0)</f>
        <v>0</v>
      </c>
      <c r="H27" s="11">
        <f t="shared" ref="H27" si="21">IF(AND(D27="INGENIERÍA CIVIL",F27&lt;&gt;0),E27,0)</f>
        <v>0</v>
      </c>
      <c r="I27" s="11">
        <f t="shared" ref="I27" si="22">IF(AND(D27="INGENIERÍA MECÁNICA",F27&lt;&gt;0),E27,0)</f>
        <v>1560023</v>
      </c>
      <c r="J27" s="11">
        <f t="shared" ref="J27" si="23">IF(AND(D27="LINEAS",F27&lt;&gt;0),E27,0)</f>
        <v>0</v>
      </c>
    </row>
    <row r="28" spans="2:10" x14ac:dyDescent="0.3">
      <c r="B28" s="400" t="s">
        <v>766</v>
      </c>
      <c r="C28" s="13" t="str">
        <f>'OT17-045 VICTORIA CONT Y PR'!C15</f>
        <v>Ingeniería eléctrica (Levantamiento e ingeniería de detalle)</v>
      </c>
      <c r="D28" s="19" t="s">
        <v>761</v>
      </c>
      <c r="E28" s="10">
        <f>'OT17-045 VICTORIA CONT Y PR'!R15</f>
        <v>0</v>
      </c>
      <c r="F28" s="302">
        <f>'OT17-045 VICTORIA CONT Y PR'!Q15</f>
        <v>0</v>
      </c>
      <c r="G28" s="11">
        <f t="shared" ref="G28:G34" si="24">IF(AND(D28="INGENIERÍA ELÉCTRICA",F28&lt;&gt;0),E28,0)</f>
        <v>0</v>
      </c>
      <c r="H28" s="11">
        <f t="shared" ref="H28:H34" si="25">IF(AND(D28="INGENIERÍA CIVIL",F28&lt;&gt;0),E28,0)</f>
        <v>0</v>
      </c>
      <c r="I28" s="11">
        <f t="shared" ref="I28:I34" si="26">IF(AND(D28="INGENIERÍA MECÁNICA",F28&lt;&gt;0),E28,0)</f>
        <v>0</v>
      </c>
      <c r="J28" s="11">
        <f t="shared" ref="J28:J34" si="27">IF(AND(D28="LINEAS",F28&lt;&gt;0),E28,0)</f>
        <v>0</v>
      </c>
    </row>
    <row r="29" spans="2:10" x14ac:dyDescent="0.3">
      <c r="B29" s="400" t="s">
        <v>766</v>
      </c>
      <c r="C29" s="13" t="str">
        <f>'OT17-045 VICTORIA CONT Y PR'!C17</f>
        <v>Ingeniería mecánica (Levantamiento e ingeniería de detalle)</v>
      </c>
      <c r="D29" s="19" t="s">
        <v>762</v>
      </c>
      <c r="E29" s="10">
        <f>'OT17-045 VICTORIA CONT Y PR'!R17</f>
        <v>1340644</v>
      </c>
      <c r="F29" s="302">
        <f>'OT17-045 VICTORIA CONT Y PR'!Q17</f>
        <v>0.7</v>
      </c>
      <c r="G29" s="11">
        <f t="shared" si="24"/>
        <v>0</v>
      </c>
      <c r="H29" s="11">
        <f t="shared" si="25"/>
        <v>0</v>
      </c>
      <c r="I29" s="11">
        <f t="shared" si="26"/>
        <v>1340644</v>
      </c>
      <c r="J29" s="11">
        <f t="shared" si="27"/>
        <v>0</v>
      </c>
    </row>
    <row r="30" spans="2:10" x14ac:dyDescent="0.3">
      <c r="B30" s="400" t="s">
        <v>766</v>
      </c>
      <c r="C30" s="13" t="str">
        <f>'OT17-045 VICTORIA CONT Y PR'!C18</f>
        <v>Ingeniería eléctrica (Levantamiento e ingeniería de detalle)</v>
      </c>
      <c r="D30" s="19" t="s">
        <v>761</v>
      </c>
      <c r="E30" s="10">
        <f>'OT17-045 VICTORIA CONT Y PR'!R18</f>
        <v>0</v>
      </c>
      <c r="F30" s="302">
        <f>'OT17-045 VICTORIA CONT Y PR'!Q18</f>
        <v>0</v>
      </c>
      <c r="G30" s="11">
        <f t="shared" si="24"/>
        <v>0</v>
      </c>
      <c r="H30" s="11">
        <f t="shared" si="25"/>
        <v>0</v>
      </c>
      <c r="I30" s="11">
        <f t="shared" si="26"/>
        <v>0</v>
      </c>
      <c r="J30" s="11">
        <f t="shared" si="27"/>
        <v>0</v>
      </c>
    </row>
    <row r="31" spans="2:10" x14ac:dyDescent="0.3">
      <c r="B31" s="400" t="s">
        <v>766</v>
      </c>
      <c r="C31" s="13" t="str">
        <f>'OT17-045 VICTORIA CONT Y PR'!C20</f>
        <v>Ingeniería mecánica (Levantamiento e ingeniería de detalle)</v>
      </c>
      <c r="D31" s="19" t="s">
        <v>762</v>
      </c>
      <c r="E31" s="10">
        <f>'OT17-045 VICTORIA CONT Y PR'!R20</f>
        <v>1340644</v>
      </c>
      <c r="F31" s="302">
        <f>'OT17-045 VICTORIA CONT Y PR'!Q20</f>
        <v>0.7</v>
      </c>
      <c r="G31" s="11">
        <f t="shared" si="24"/>
        <v>0</v>
      </c>
      <c r="H31" s="11">
        <f t="shared" si="25"/>
        <v>0</v>
      </c>
      <c r="I31" s="11">
        <f t="shared" si="26"/>
        <v>1340644</v>
      </c>
      <c r="J31" s="11">
        <f t="shared" si="27"/>
        <v>0</v>
      </c>
    </row>
    <row r="32" spans="2:10" x14ac:dyDescent="0.3">
      <c r="B32" s="400" t="s">
        <v>766</v>
      </c>
      <c r="C32" s="13" t="str">
        <f>'OT17-045 VICTORIA CONT Y PR'!C21</f>
        <v>Ingeniería eléctrica (Levantamiento e ingeniería de detalle)</v>
      </c>
      <c r="D32" s="19" t="s">
        <v>761</v>
      </c>
      <c r="E32" s="10">
        <f>'OT17-045 VICTORIA CONT Y PR'!R21</f>
        <v>2737004</v>
      </c>
      <c r="F32" s="302">
        <f>'OT17-045 VICTORIA CONT Y PR'!Q21</f>
        <v>0.3</v>
      </c>
      <c r="G32" s="11">
        <f t="shared" si="24"/>
        <v>2737004</v>
      </c>
      <c r="H32" s="11">
        <f t="shared" si="25"/>
        <v>0</v>
      </c>
      <c r="I32" s="11">
        <f t="shared" si="26"/>
        <v>0</v>
      </c>
      <c r="J32" s="11">
        <f t="shared" si="27"/>
        <v>0</v>
      </c>
    </row>
    <row r="33" spans="2:10" x14ac:dyDescent="0.3">
      <c r="B33" s="400" t="s">
        <v>766</v>
      </c>
      <c r="C33" s="13" t="str">
        <f>'OT17-045 VICTORIA CONT Y PR'!C23</f>
        <v>Ingeniería mecánica (Levantamiento e ingeniería de detalle)</v>
      </c>
      <c r="D33" s="19" t="s">
        <v>762</v>
      </c>
      <c r="E33" s="10">
        <f>'OT17-045 VICTORIA CONT Y PR'!R23</f>
        <v>804387</v>
      </c>
      <c r="F33" s="302">
        <f>'OT17-045 VICTORIA CONT Y PR'!Q23</f>
        <v>0.7</v>
      </c>
      <c r="G33" s="11">
        <f t="shared" si="24"/>
        <v>0</v>
      </c>
      <c r="H33" s="11">
        <f t="shared" si="25"/>
        <v>0</v>
      </c>
      <c r="I33" s="11">
        <f t="shared" si="26"/>
        <v>804387</v>
      </c>
      <c r="J33" s="11">
        <f t="shared" si="27"/>
        <v>0</v>
      </c>
    </row>
    <row r="34" spans="2:10" x14ac:dyDescent="0.3">
      <c r="B34" s="400" t="s">
        <v>766</v>
      </c>
      <c r="C34" s="13" t="str">
        <f>'OT17-045 VICTORIA CONT Y PR'!C24</f>
        <v>Ingeniería eléctrica (Levantamiento e ingeniería de detalle)</v>
      </c>
      <c r="D34" s="19" t="s">
        <v>761</v>
      </c>
      <c r="E34" s="10">
        <f>'OT17-045 VICTORIA CONT Y PR'!R24</f>
        <v>1640113</v>
      </c>
      <c r="F34" s="302">
        <f>'OT17-045 VICTORIA CONT Y PR'!Q24</f>
        <v>0.3</v>
      </c>
      <c r="G34" s="11">
        <f t="shared" si="24"/>
        <v>1640113</v>
      </c>
      <c r="H34" s="11">
        <f t="shared" si="25"/>
        <v>0</v>
      </c>
      <c r="I34" s="11">
        <f t="shared" si="26"/>
        <v>0</v>
      </c>
      <c r="J34" s="11">
        <f t="shared" si="27"/>
        <v>0</v>
      </c>
    </row>
    <row r="35" spans="2:10" x14ac:dyDescent="0.3">
      <c r="B35" s="400" t="s">
        <v>403</v>
      </c>
      <c r="C35" s="13" t="str">
        <f>'OT17-046 VICTORIA POTENCIA'!C14</f>
        <v>Ingeniería civil (Levantamiento e ingeniería de detalle)</v>
      </c>
      <c r="D35" s="19" t="s">
        <v>760</v>
      </c>
      <c r="E35" s="10">
        <f>'OT17-046 VICTORIA POTENCIA'!U14</f>
        <v>0</v>
      </c>
      <c r="F35" s="302">
        <f>'OT17-046 VICTORIA POTENCIA'!T14</f>
        <v>0</v>
      </c>
      <c r="G35" s="11">
        <f t="shared" ref="G35" si="28">IF(AND(D35="INGENIERÍA ELÉCTRICA",F35&lt;&gt;0),E35,0)</f>
        <v>0</v>
      </c>
      <c r="H35" s="11">
        <f t="shared" ref="H35" si="29">IF(AND(D35="INGENIERÍA CIVIL",F35&lt;&gt;0),E35,0)</f>
        <v>0</v>
      </c>
      <c r="I35" s="11">
        <f t="shared" ref="I35" si="30">IF(AND(D35="INGENIERÍA MECÁNICA",F35&lt;&gt;0),E35,0)</f>
        <v>0</v>
      </c>
      <c r="J35" s="11">
        <f t="shared" ref="J35" si="31">IF(AND(D35="LINEAS",F35&lt;&gt;0),E35,0)</f>
        <v>0</v>
      </c>
    </row>
    <row r="36" spans="2:10" x14ac:dyDescent="0.3">
      <c r="B36" s="400" t="s">
        <v>403</v>
      </c>
      <c r="C36" s="13" t="str">
        <f>'OT17-046 VICTORIA POTENCIA'!C15</f>
        <v>Ingeniería mecánica (Levantamiento e ingeniería de detalle)</v>
      </c>
      <c r="D36" s="19" t="s">
        <v>762</v>
      </c>
      <c r="E36" s="10">
        <f>'OT17-046 VICTORIA POTENCIA'!U15</f>
        <v>0</v>
      </c>
      <c r="F36" s="302">
        <f>'OT17-046 VICTORIA POTENCIA'!T15</f>
        <v>0</v>
      </c>
      <c r="G36" s="11">
        <f t="shared" ref="G36:G45" si="32">IF(AND(D36="INGENIERÍA ELÉCTRICA",F36&lt;&gt;0),E36,0)</f>
        <v>0</v>
      </c>
      <c r="H36" s="11">
        <f t="shared" ref="H36:H45" si="33">IF(AND(D36="INGENIERÍA CIVIL",F36&lt;&gt;0),E36,0)</f>
        <v>0</v>
      </c>
      <c r="I36" s="11">
        <f t="shared" ref="I36:I45" si="34">IF(AND(D36="INGENIERÍA MECÁNICA",F36&lt;&gt;0),E36,0)</f>
        <v>0</v>
      </c>
      <c r="J36" s="11">
        <f t="shared" ref="J36:J45" si="35">IF(AND(D36="LINEAS",F36&lt;&gt;0),E36,0)</f>
        <v>0</v>
      </c>
    </row>
    <row r="37" spans="2:10" x14ac:dyDescent="0.3">
      <c r="B37" s="400" t="s">
        <v>403</v>
      </c>
      <c r="C37" s="13" t="str">
        <f>'OT17-046 VICTORIA POTENCIA'!C16</f>
        <v>Ingeniería eléctrica (Levantamiento e ingeniería de detalle)</v>
      </c>
      <c r="D37" s="19" t="s">
        <v>761</v>
      </c>
      <c r="E37" s="10">
        <f>'OT17-046 VICTORIA POTENCIA'!U16</f>
        <v>0</v>
      </c>
      <c r="F37" s="302">
        <f>'OT17-046 VICTORIA POTENCIA'!T16</f>
        <v>0</v>
      </c>
      <c r="G37" s="11">
        <f t="shared" si="32"/>
        <v>0</v>
      </c>
      <c r="H37" s="11">
        <f t="shared" si="33"/>
        <v>0</v>
      </c>
      <c r="I37" s="11">
        <f t="shared" si="34"/>
        <v>0</v>
      </c>
      <c r="J37" s="11">
        <f t="shared" si="35"/>
        <v>0</v>
      </c>
    </row>
    <row r="38" spans="2:10" x14ac:dyDescent="0.3">
      <c r="B38" s="400" t="s">
        <v>403</v>
      </c>
      <c r="C38" s="13" t="str">
        <f>'OT17-046 VICTORIA POTENCIA'!C18</f>
        <v>Ingeniería civil (Levantamiento e ingeniería de detalle)</v>
      </c>
      <c r="D38" s="19" t="s">
        <v>760</v>
      </c>
      <c r="E38" s="10">
        <f>'OT17-046 VICTORIA POTENCIA'!U18</f>
        <v>0</v>
      </c>
      <c r="F38" s="302">
        <f>'OT17-046 VICTORIA POTENCIA'!T18</f>
        <v>0</v>
      </c>
      <c r="G38" s="11">
        <f t="shared" si="32"/>
        <v>0</v>
      </c>
      <c r="H38" s="11">
        <f t="shared" si="33"/>
        <v>0</v>
      </c>
      <c r="I38" s="11">
        <f t="shared" si="34"/>
        <v>0</v>
      </c>
      <c r="J38" s="11">
        <f t="shared" si="35"/>
        <v>0</v>
      </c>
    </row>
    <row r="39" spans="2:10" x14ac:dyDescent="0.3">
      <c r="B39" s="400" t="s">
        <v>403</v>
      </c>
      <c r="C39" s="13" t="str">
        <f>'OT17-046 VICTORIA POTENCIA'!C19</f>
        <v>Ingeniería mecánica (Levantamiento e ingeniería de detalle)</v>
      </c>
      <c r="D39" s="19" t="s">
        <v>762</v>
      </c>
      <c r="E39" s="10">
        <f>'OT17-046 VICTORIA POTENCIA'!U19</f>
        <v>0</v>
      </c>
      <c r="F39" s="302">
        <f>'OT17-046 VICTORIA POTENCIA'!T19</f>
        <v>0</v>
      </c>
      <c r="G39" s="11">
        <f t="shared" si="32"/>
        <v>0</v>
      </c>
      <c r="H39" s="11">
        <f t="shared" si="33"/>
        <v>0</v>
      </c>
      <c r="I39" s="11">
        <f t="shared" si="34"/>
        <v>0</v>
      </c>
      <c r="J39" s="11">
        <f t="shared" si="35"/>
        <v>0</v>
      </c>
    </row>
    <row r="40" spans="2:10" x14ac:dyDescent="0.3">
      <c r="B40" s="400" t="s">
        <v>403</v>
      </c>
      <c r="C40" s="13" t="str">
        <f>'OT17-046 VICTORIA POTENCIA'!C20</f>
        <v>Ingeniería eléctrica (Levantamiento e ingeniería de detalle)</v>
      </c>
      <c r="D40" s="19" t="s">
        <v>761</v>
      </c>
      <c r="E40" s="10">
        <f>'OT17-046 VICTORIA POTENCIA'!U20</f>
        <v>0</v>
      </c>
      <c r="F40" s="302">
        <f>'OT17-046 VICTORIA POTENCIA'!T20</f>
        <v>0</v>
      </c>
      <c r="G40" s="11">
        <f t="shared" si="32"/>
        <v>0</v>
      </c>
      <c r="H40" s="11">
        <f t="shared" si="33"/>
        <v>0</v>
      </c>
      <c r="I40" s="11">
        <f t="shared" si="34"/>
        <v>0</v>
      </c>
      <c r="J40" s="11">
        <f t="shared" si="35"/>
        <v>0</v>
      </c>
    </row>
    <row r="41" spans="2:10" x14ac:dyDescent="0.3">
      <c r="B41" s="400" t="s">
        <v>403</v>
      </c>
      <c r="C41" s="13" t="str">
        <f>'OT17-046 VICTORIA POTENCIA'!C22</f>
        <v>Ingeniería civil (Levantamiento e ingeniería de detalle)</v>
      </c>
      <c r="D41" s="19" t="s">
        <v>760</v>
      </c>
      <c r="E41" s="10">
        <f>'OT17-046 VICTORIA POTENCIA'!U22</f>
        <v>0</v>
      </c>
      <c r="F41" s="302">
        <f>'OT17-046 VICTORIA POTENCIA'!T22</f>
        <v>0</v>
      </c>
      <c r="G41" s="11">
        <f t="shared" si="32"/>
        <v>0</v>
      </c>
      <c r="H41" s="11">
        <f t="shared" si="33"/>
        <v>0</v>
      </c>
      <c r="I41" s="11">
        <f t="shared" si="34"/>
        <v>0</v>
      </c>
      <c r="J41" s="11">
        <f t="shared" si="35"/>
        <v>0</v>
      </c>
    </row>
    <row r="42" spans="2:10" x14ac:dyDescent="0.3">
      <c r="B42" s="400" t="s">
        <v>403</v>
      </c>
      <c r="C42" s="13" t="str">
        <f>'OT17-046 VICTORIA POTENCIA'!C23</f>
        <v>Ingeniería mecánica (Levantamiento e ingeniería de detalle)</v>
      </c>
      <c r="D42" s="19" t="s">
        <v>762</v>
      </c>
      <c r="E42" s="10">
        <f>'OT17-046 VICTORIA POTENCIA'!U23</f>
        <v>0</v>
      </c>
      <c r="F42" s="302">
        <f>'OT17-046 VICTORIA POTENCIA'!T23</f>
        <v>0</v>
      </c>
      <c r="G42" s="11">
        <f t="shared" si="32"/>
        <v>0</v>
      </c>
      <c r="H42" s="11">
        <f t="shared" si="33"/>
        <v>0</v>
      </c>
      <c r="I42" s="11">
        <f t="shared" si="34"/>
        <v>0</v>
      </c>
      <c r="J42" s="11">
        <f t="shared" si="35"/>
        <v>0</v>
      </c>
    </row>
    <row r="43" spans="2:10" x14ac:dyDescent="0.3">
      <c r="B43" s="400" t="s">
        <v>403</v>
      </c>
      <c r="C43" s="13" t="str">
        <f>'OT17-046 VICTORIA POTENCIA'!C24</f>
        <v>Ingeniería eléctrica (Levantamiento e ingeniería de detalle)</v>
      </c>
      <c r="D43" s="19" t="s">
        <v>761</v>
      </c>
      <c r="E43" s="10">
        <f>'OT17-046 VICTORIA POTENCIA'!U24</f>
        <v>0</v>
      </c>
      <c r="F43" s="302">
        <f>'OT17-046 VICTORIA POTENCIA'!T24</f>
        <v>0</v>
      </c>
      <c r="G43" s="11">
        <f t="shared" si="32"/>
        <v>0</v>
      </c>
      <c r="H43" s="11">
        <f t="shared" si="33"/>
        <v>0</v>
      </c>
      <c r="I43" s="11">
        <f t="shared" si="34"/>
        <v>0</v>
      </c>
      <c r="J43" s="11">
        <f t="shared" si="35"/>
        <v>0</v>
      </c>
    </row>
    <row r="44" spans="2:10" x14ac:dyDescent="0.3">
      <c r="B44" s="400" t="s">
        <v>403</v>
      </c>
      <c r="C44" s="13" t="str">
        <f>'OT17-046 VICTORIA POTENCIA'!C26</f>
        <v>Ingeniería civil (Levantamiento e ingeniería de detalle)</v>
      </c>
      <c r="D44" s="19" t="s">
        <v>760</v>
      </c>
      <c r="E44" s="10">
        <f>'OT17-046 VICTORIA POTENCIA'!U26</f>
        <v>0</v>
      </c>
      <c r="F44" s="302">
        <f>'OT17-046 VICTORIA POTENCIA'!T26</f>
        <v>0</v>
      </c>
      <c r="G44" s="11">
        <f t="shared" si="32"/>
        <v>0</v>
      </c>
      <c r="H44" s="11">
        <f t="shared" si="33"/>
        <v>0</v>
      </c>
      <c r="I44" s="11">
        <f t="shared" si="34"/>
        <v>0</v>
      </c>
      <c r="J44" s="11">
        <f t="shared" si="35"/>
        <v>0</v>
      </c>
    </row>
    <row r="45" spans="2:10" x14ac:dyDescent="0.3">
      <c r="B45" s="400" t="s">
        <v>403</v>
      </c>
      <c r="C45" s="13" t="str">
        <f>'OT17-046 VICTORIA POTENCIA'!C27</f>
        <v>Ingeniería mecánica (Levantamiento e ingeniería de detalle)</v>
      </c>
      <c r="D45" s="19" t="s">
        <v>762</v>
      </c>
      <c r="E45" s="10">
        <f>'OT17-046 VICTORIA POTENCIA'!U27</f>
        <v>0</v>
      </c>
      <c r="F45" s="302">
        <f>'OT17-046 VICTORIA POTENCIA'!T27</f>
        <v>0</v>
      </c>
      <c r="G45" s="11">
        <f t="shared" si="32"/>
        <v>0</v>
      </c>
      <c r="H45" s="11">
        <f t="shared" si="33"/>
        <v>0</v>
      </c>
      <c r="I45" s="11">
        <f t="shared" si="34"/>
        <v>0</v>
      </c>
      <c r="J45" s="11">
        <f t="shared" si="35"/>
        <v>0</v>
      </c>
    </row>
    <row r="46" spans="2:10" x14ac:dyDescent="0.3">
      <c r="B46" s="400" t="s">
        <v>403</v>
      </c>
      <c r="C46" s="13" t="str">
        <f>'OT17-046 VICTORIA POTENCIA'!C28</f>
        <v>Ingeniería eléctrica (Levantamiento e ingeniería de detalle)</v>
      </c>
      <c r="D46" s="19" t="s">
        <v>761</v>
      </c>
      <c r="E46" s="10">
        <f>'OT17-046 VICTORIA POTENCIA'!U28</f>
        <v>0</v>
      </c>
      <c r="F46" s="302">
        <f>'OT17-046 VICTORIA POTENCIA'!T28</f>
        <v>0</v>
      </c>
      <c r="G46" s="11">
        <f t="shared" ref="G46:G50" si="36">IF(AND(D46="INGENIERÍA ELÉCTRICA",F46&lt;&gt;0),E46,0)</f>
        <v>0</v>
      </c>
      <c r="H46" s="11">
        <f t="shared" ref="H46:H50" si="37">IF(AND(D46="INGENIERÍA CIVIL",F46&lt;&gt;0),E46,0)</f>
        <v>0</v>
      </c>
      <c r="I46" s="11">
        <f t="shared" ref="I46:I50" si="38">IF(AND(D46="INGENIERÍA MECÁNICA",F46&lt;&gt;0),E46,0)</f>
        <v>0</v>
      </c>
      <c r="J46" s="11">
        <f t="shared" ref="J46:J50" si="39">IF(AND(D46="LINEAS",F46&lt;&gt;0),E46,0)</f>
        <v>0</v>
      </c>
    </row>
    <row r="47" spans="2:10" x14ac:dyDescent="0.3">
      <c r="B47" s="400" t="s">
        <v>403</v>
      </c>
      <c r="C47" s="13" t="str">
        <f>'OT17-046 VICTORIA POTENCIA'!C30</f>
        <v>Ingeniería civil (Levantamiento e ingeniería de detalle)</v>
      </c>
      <c r="D47" s="19" t="s">
        <v>760</v>
      </c>
      <c r="E47" s="10">
        <f>'OT17-046 VICTORIA POTENCIA'!U30</f>
        <v>0</v>
      </c>
      <c r="F47" s="302">
        <f>'OT17-046 VICTORIA POTENCIA'!T30</f>
        <v>0</v>
      </c>
      <c r="G47" s="11">
        <f t="shared" si="36"/>
        <v>0</v>
      </c>
      <c r="H47" s="11">
        <f t="shared" si="37"/>
        <v>0</v>
      </c>
      <c r="I47" s="11">
        <f t="shared" si="38"/>
        <v>0</v>
      </c>
      <c r="J47" s="11">
        <f t="shared" si="39"/>
        <v>0</v>
      </c>
    </row>
    <row r="48" spans="2:10" x14ac:dyDescent="0.3">
      <c r="B48" s="400" t="s">
        <v>403</v>
      </c>
      <c r="C48" s="13" t="str">
        <f>'OT17-046 VICTORIA POTENCIA'!C31</f>
        <v>Ingeniería mecánica (Levantamiento e ingeniería de detalle)</v>
      </c>
      <c r="D48" s="19" t="s">
        <v>762</v>
      </c>
      <c r="E48" s="10">
        <f>'OT17-046 VICTORIA POTENCIA'!U31</f>
        <v>0</v>
      </c>
      <c r="F48" s="302">
        <f>'OT17-046 VICTORIA POTENCIA'!T31</f>
        <v>0</v>
      </c>
      <c r="G48" s="11">
        <f t="shared" si="36"/>
        <v>0</v>
      </c>
      <c r="H48" s="11">
        <f t="shared" si="37"/>
        <v>0</v>
      </c>
      <c r="I48" s="11">
        <f t="shared" si="38"/>
        <v>0</v>
      </c>
      <c r="J48" s="11">
        <f t="shared" si="39"/>
        <v>0</v>
      </c>
    </row>
    <row r="49" spans="2:10" x14ac:dyDescent="0.3">
      <c r="B49" s="400" t="s">
        <v>403</v>
      </c>
      <c r="C49" s="13" t="str">
        <f>'OT17-046 VICTORIA POTENCIA'!C32</f>
        <v>Ingeniería eléctrica (Levantamiento e ingeniería de detalle)</v>
      </c>
      <c r="D49" s="19" t="s">
        <v>761</v>
      </c>
      <c r="E49" s="10">
        <f>'OT17-046 VICTORIA POTENCIA'!U32</f>
        <v>0</v>
      </c>
      <c r="F49" s="302">
        <f>'OT17-046 VICTORIA POTENCIA'!T32</f>
        <v>0</v>
      </c>
      <c r="G49" s="11">
        <f t="shared" si="36"/>
        <v>0</v>
      </c>
      <c r="H49" s="11">
        <f t="shared" si="37"/>
        <v>0</v>
      </c>
      <c r="I49" s="11">
        <f t="shared" si="38"/>
        <v>0</v>
      </c>
      <c r="J49" s="11">
        <f t="shared" si="39"/>
        <v>0</v>
      </c>
    </row>
    <row r="50" spans="2:10" x14ac:dyDescent="0.3">
      <c r="B50" s="400" t="s">
        <v>403</v>
      </c>
      <c r="C50" s="13" t="str">
        <f>'OT17-046 VICTORIA POTENCIA'!C34</f>
        <v>Ingeniería civil y mecánico (Levantamiento e ingeniería de detalle)</v>
      </c>
      <c r="D50" s="19" t="s">
        <v>760</v>
      </c>
      <c r="E50" s="10">
        <f>'OT17-046 VICTORIA POTENCIA'!U34</f>
        <v>0</v>
      </c>
      <c r="F50" s="302">
        <f>'OT17-046 VICTORIA POTENCIA'!T34</f>
        <v>0</v>
      </c>
      <c r="G50" s="11">
        <f t="shared" si="36"/>
        <v>0</v>
      </c>
      <c r="H50" s="11">
        <f t="shared" si="37"/>
        <v>0</v>
      </c>
      <c r="I50" s="11">
        <f t="shared" si="38"/>
        <v>0</v>
      </c>
      <c r="J50" s="11">
        <f t="shared" si="39"/>
        <v>0</v>
      </c>
    </row>
    <row r="51" spans="2:10" x14ac:dyDescent="0.3">
      <c r="B51" s="400" t="s">
        <v>403</v>
      </c>
      <c r="C51" s="13" t="str">
        <f>'OT17-046 VICTORIA POTENCIA'!C36</f>
        <v>Ingeniería civil (Levantamiento e ingeniería de detalle)</v>
      </c>
      <c r="D51" s="19" t="s">
        <v>760</v>
      </c>
      <c r="E51" s="10">
        <f>'OT17-046 VICTORIA POTENCIA'!U36</f>
        <v>0</v>
      </c>
      <c r="F51" s="302">
        <f>'OT17-046 VICTORIA POTENCIA'!T36</f>
        <v>0</v>
      </c>
      <c r="G51" s="11">
        <f t="shared" ref="G51:G53" si="40">IF(AND(D51="INGENIERÍA ELÉCTRICA",F51&lt;&gt;0),E51,0)</f>
        <v>0</v>
      </c>
      <c r="H51" s="11">
        <f t="shared" ref="H51:H53" si="41">IF(AND(D51="INGENIERÍA CIVIL",F51&lt;&gt;0),E51,0)</f>
        <v>0</v>
      </c>
      <c r="I51" s="11">
        <f t="shared" ref="I51:I53" si="42">IF(AND(D51="INGENIERÍA MECÁNICA",F51&lt;&gt;0),E51,0)</f>
        <v>0</v>
      </c>
      <c r="J51" s="11">
        <f t="shared" ref="J51:J53" si="43">IF(AND(D51="LINEAS",F51&lt;&gt;0),E51,0)</f>
        <v>0</v>
      </c>
    </row>
    <row r="52" spans="2:10" x14ac:dyDescent="0.3">
      <c r="B52" s="400" t="s">
        <v>403</v>
      </c>
      <c r="C52" s="13" t="str">
        <f>'OT17-046 VICTORIA POTENCIA'!C37</f>
        <v>Ingeniería mecánica (Levantamiento e ingeniería de detalle)</v>
      </c>
      <c r="D52" s="19" t="s">
        <v>762</v>
      </c>
      <c r="E52" s="10">
        <f>'OT17-046 VICTORIA POTENCIA'!U37</f>
        <v>0</v>
      </c>
      <c r="F52" s="302">
        <f>'OT17-046 VICTORIA POTENCIA'!T37</f>
        <v>0</v>
      </c>
      <c r="G52" s="11">
        <f t="shared" si="40"/>
        <v>0</v>
      </c>
      <c r="H52" s="11">
        <f t="shared" si="41"/>
        <v>0</v>
      </c>
      <c r="I52" s="11">
        <f t="shared" si="42"/>
        <v>0</v>
      </c>
      <c r="J52" s="11">
        <f t="shared" si="43"/>
        <v>0</v>
      </c>
    </row>
    <row r="53" spans="2:10" x14ac:dyDescent="0.3">
      <c r="B53" s="400" t="s">
        <v>403</v>
      </c>
      <c r="C53" s="13" t="str">
        <f>'OT17-046 VICTORIA POTENCIA'!C38</f>
        <v>Ingeniería eléctrica (Levantamiento e ingeniería de detalle)</v>
      </c>
      <c r="D53" s="19" t="s">
        <v>761</v>
      </c>
      <c r="E53" s="10">
        <f>'OT17-046 VICTORIA POTENCIA'!U38</f>
        <v>0</v>
      </c>
      <c r="F53" s="302">
        <f>'OT17-046 VICTORIA POTENCIA'!T38</f>
        <v>0</v>
      </c>
      <c r="G53" s="11">
        <f t="shared" si="40"/>
        <v>0</v>
      </c>
      <c r="H53" s="11">
        <f t="shared" si="41"/>
        <v>0</v>
      </c>
      <c r="I53" s="11">
        <f t="shared" si="42"/>
        <v>0</v>
      </c>
      <c r="J53" s="11">
        <f t="shared" si="43"/>
        <v>0</v>
      </c>
    </row>
    <row r="54" spans="2:10" x14ac:dyDescent="0.3">
      <c r="B54" s="400" t="s">
        <v>403</v>
      </c>
      <c r="C54" s="13" t="str">
        <f>'OT17-046 VICTORIA POTENCIA'!C40</f>
        <v>Ingeniería civil (Levantamiento e ingeniería de detalle)</v>
      </c>
      <c r="D54" s="19" t="s">
        <v>760</v>
      </c>
      <c r="E54" s="10">
        <f>'OT17-046 VICTORIA POTENCIA'!U40</f>
        <v>0</v>
      </c>
      <c r="F54" s="302">
        <f>'OT17-046 VICTORIA POTENCIA'!T40</f>
        <v>0</v>
      </c>
      <c r="G54" s="11">
        <f t="shared" ref="G54:G58" si="44">IF(AND(D54="INGENIERÍA ELÉCTRICA",F54&lt;&gt;0),E54,0)</f>
        <v>0</v>
      </c>
      <c r="H54" s="11">
        <f t="shared" ref="H54:H58" si="45">IF(AND(D54="INGENIERÍA CIVIL",F54&lt;&gt;0),E54,0)</f>
        <v>0</v>
      </c>
      <c r="I54" s="11">
        <f t="shared" ref="I54:I58" si="46">IF(AND(D54="INGENIERÍA MECÁNICA",F54&lt;&gt;0),E54,0)</f>
        <v>0</v>
      </c>
      <c r="J54" s="11">
        <f t="shared" ref="J54:J58" si="47">IF(AND(D54="LINEAS",F54&lt;&gt;0),E54,0)</f>
        <v>0</v>
      </c>
    </row>
    <row r="55" spans="2:10" x14ac:dyDescent="0.3">
      <c r="B55" s="400" t="s">
        <v>403</v>
      </c>
      <c r="C55" s="13" t="str">
        <f>'OT17-046 VICTORIA POTENCIA'!C41</f>
        <v>Ingeniería mecánica (Levantamiento e ingeniería de detalle)</v>
      </c>
      <c r="D55" s="19" t="s">
        <v>762</v>
      </c>
      <c r="E55" s="10">
        <f>'OT17-046 VICTORIA POTENCIA'!U41</f>
        <v>0</v>
      </c>
      <c r="F55" s="302">
        <f>'OT17-046 VICTORIA POTENCIA'!T41</f>
        <v>0</v>
      </c>
      <c r="G55" s="11">
        <f t="shared" si="44"/>
        <v>0</v>
      </c>
      <c r="H55" s="11">
        <f t="shared" si="45"/>
        <v>0</v>
      </c>
      <c r="I55" s="11">
        <f t="shared" si="46"/>
        <v>0</v>
      </c>
      <c r="J55" s="11">
        <f t="shared" si="47"/>
        <v>0</v>
      </c>
    </row>
    <row r="56" spans="2:10" x14ac:dyDescent="0.3">
      <c r="B56" s="400" t="s">
        <v>403</v>
      </c>
      <c r="C56" s="13" t="str">
        <f>'OT17-046 VICTORIA POTENCIA'!C42</f>
        <v>Ingeniería eléctrica (Levantamiento e ingeniería de detalle)</v>
      </c>
      <c r="D56" s="19" t="s">
        <v>761</v>
      </c>
      <c r="E56" s="10">
        <f>'OT17-046 VICTORIA POTENCIA'!U42</f>
        <v>0</v>
      </c>
      <c r="F56" s="302">
        <f>'OT17-046 VICTORIA POTENCIA'!T42</f>
        <v>0</v>
      </c>
      <c r="G56" s="11">
        <f t="shared" si="44"/>
        <v>0</v>
      </c>
      <c r="H56" s="11">
        <f t="shared" si="45"/>
        <v>0</v>
      </c>
      <c r="I56" s="11">
        <f t="shared" si="46"/>
        <v>0</v>
      </c>
      <c r="J56" s="11">
        <f t="shared" si="47"/>
        <v>0</v>
      </c>
    </row>
    <row r="57" spans="2:10" x14ac:dyDescent="0.3">
      <c r="B57" s="400" t="s">
        <v>403</v>
      </c>
      <c r="C57" s="13" t="str">
        <f>'OT17-046 VICTORIA POTENCIA'!C44</f>
        <v>Ingeniería civil (Levantamiento e ingeniería de detalle)</v>
      </c>
      <c r="D57" s="19" t="s">
        <v>760</v>
      </c>
      <c r="E57" s="10">
        <f>'OT17-046 VICTORIA POTENCIA'!U44</f>
        <v>0</v>
      </c>
      <c r="F57" s="302">
        <f>'OT17-046 VICTORIA POTENCIA'!T44</f>
        <v>0</v>
      </c>
      <c r="G57" s="11">
        <f t="shared" si="44"/>
        <v>0</v>
      </c>
      <c r="H57" s="11">
        <f t="shared" si="45"/>
        <v>0</v>
      </c>
      <c r="I57" s="11">
        <f t="shared" si="46"/>
        <v>0</v>
      </c>
      <c r="J57" s="11">
        <f t="shared" si="47"/>
        <v>0</v>
      </c>
    </row>
    <row r="58" spans="2:10" x14ac:dyDescent="0.3">
      <c r="B58" s="400" t="s">
        <v>403</v>
      </c>
      <c r="C58" s="13" t="str">
        <f>'OT17-046 VICTORIA POTENCIA'!C45</f>
        <v>Ingeniería mecánica (Levantamiento e ingeniería de detalle)</v>
      </c>
      <c r="D58" s="19" t="s">
        <v>762</v>
      </c>
      <c r="E58" s="10">
        <f>'OT17-046 VICTORIA POTENCIA'!U45</f>
        <v>0</v>
      </c>
      <c r="F58" s="302">
        <f>'OT17-046 VICTORIA POTENCIA'!T45</f>
        <v>0</v>
      </c>
      <c r="G58" s="11">
        <f t="shared" si="44"/>
        <v>0</v>
      </c>
      <c r="H58" s="11">
        <f t="shared" si="45"/>
        <v>0</v>
      </c>
      <c r="I58" s="11">
        <f t="shared" si="46"/>
        <v>0</v>
      </c>
      <c r="J58" s="11">
        <f t="shared" si="47"/>
        <v>0</v>
      </c>
    </row>
    <row r="59" spans="2:10" x14ac:dyDescent="0.3">
      <c r="B59" s="400" t="s">
        <v>403</v>
      </c>
      <c r="C59" s="13" t="str">
        <f>'OT17-046 VICTORIA POTENCIA'!C46</f>
        <v>Ingeniería eléctrica (Levantamiento e ingeniería de detalle)</v>
      </c>
      <c r="D59" s="19" t="s">
        <v>761</v>
      </c>
      <c r="E59" s="10">
        <f>'OT17-046 VICTORIA POTENCIA'!U46</f>
        <v>0</v>
      </c>
      <c r="F59" s="302">
        <f>'OT17-046 VICTORIA POTENCIA'!T46</f>
        <v>0</v>
      </c>
      <c r="G59" s="11">
        <f t="shared" ref="G59:G61" si="48">IF(AND(D59="INGENIERÍA ELÉCTRICA",F59&lt;&gt;0),E59,0)</f>
        <v>0</v>
      </c>
      <c r="H59" s="11">
        <f t="shared" ref="H59:H61" si="49">IF(AND(D59="INGENIERÍA CIVIL",F59&lt;&gt;0),E59,0)</f>
        <v>0</v>
      </c>
      <c r="I59" s="11">
        <f t="shared" ref="I59:I61" si="50">IF(AND(D59="INGENIERÍA MECÁNICA",F59&lt;&gt;0),E59,0)</f>
        <v>0</v>
      </c>
      <c r="J59" s="11">
        <f t="shared" ref="J59:J61" si="51">IF(AND(D59="LINEAS",F59&lt;&gt;0),E59,0)</f>
        <v>0</v>
      </c>
    </row>
    <row r="60" spans="2:10" x14ac:dyDescent="0.3">
      <c r="B60" s="400" t="s">
        <v>403</v>
      </c>
      <c r="C60" s="13" t="str">
        <f>'OT17-046 VICTORIA POTENCIA'!C48</f>
        <v>Ingeniería civil (Levantamiento e ingeniería de detalle)</v>
      </c>
      <c r="D60" s="19" t="s">
        <v>760</v>
      </c>
      <c r="E60" s="10">
        <f>'OT17-046 VICTORIA POTENCIA'!U48</f>
        <v>0</v>
      </c>
      <c r="F60" s="302">
        <f>'OT17-046 VICTORIA POTENCIA'!T48</f>
        <v>0</v>
      </c>
      <c r="G60" s="11">
        <f t="shared" si="48"/>
        <v>0</v>
      </c>
      <c r="H60" s="11">
        <f t="shared" si="49"/>
        <v>0</v>
      </c>
      <c r="I60" s="11">
        <f t="shared" si="50"/>
        <v>0</v>
      </c>
      <c r="J60" s="11">
        <f t="shared" si="51"/>
        <v>0</v>
      </c>
    </row>
    <row r="61" spans="2:10" x14ac:dyDescent="0.3">
      <c r="B61" s="400" t="s">
        <v>403</v>
      </c>
      <c r="C61" s="13" t="str">
        <f>'OT17-046 VICTORIA POTENCIA'!C49</f>
        <v>Ingeniería mecánica (Levantamiento e ingeniería de detalle)</v>
      </c>
      <c r="D61" s="19" t="s">
        <v>762</v>
      </c>
      <c r="E61" s="10">
        <f>'OT17-046 VICTORIA POTENCIA'!U49</f>
        <v>0</v>
      </c>
      <c r="F61" s="302">
        <f>'OT17-046 VICTORIA POTENCIA'!T49</f>
        <v>0</v>
      </c>
      <c r="G61" s="11">
        <f t="shared" si="48"/>
        <v>0</v>
      </c>
      <c r="H61" s="11">
        <f t="shared" si="49"/>
        <v>0</v>
      </c>
      <c r="I61" s="11">
        <f t="shared" si="50"/>
        <v>0</v>
      </c>
      <c r="J61" s="11">
        <f t="shared" si="51"/>
        <v>0</v>
      </c>
    </row>
    <row r="62" spans="2:10" x14ac:dyDescent="0.3">
      <c r="B62" s="400" t="s">
        <v>403</v>
      </c>
      <c r="C62" s="13" t="str">
        <f>'OT17-046 VICTORIA POTENCIA'!C50</f>
        <v>Ingeniería eléctrica (Levantamiento e ingeniería de detalle)</v>
      </c>
      <c r="D62" s="19" t="s">
        <v>761</v>
      </c>
      <c r="E62" s="10">
        <f>'OT17-046 VICTORIA POTENCIA'!U50</f>
        <v>0</v>
      </c>
      <c r="F62" s="302">
        <f>'OT17-046 VICTORIA POTENCIA'!T50</f>
        <v>0</v>
      </c>
      <c r="G62" s="11">
        <f t="shared" ref="G62:G65" si="52">IF(AND(D62="INGENIERÍA ELÉCTRICA",F62&lt;&gt;0),E62,0)</f>
        <v>0</v>
      </c>
      <c r="H62" s="11">
        <f t="shared" ref="H62:H65" si="53">IF(AND(D62="INGENIERÍA CIVIL",F62&lt;&gt;0),E62,0)</f>
        <v>0</v>
      </c>
      <c r="I62" s="11">
        <f t="shared" ref="I62:I65" si="54">IF(AND(D62="INGENIERÍA MECÁNICA",F62&lt;&gt;0),E62,0)</f>
        <v>0</v>
      </c>
      <c r="J62" s="11">
        <f t="shared" ref="J62:J65" si="55">IF(AND(D62="LINEAS",F62&lt;&gt;0),E62,0)</f>
        <v>0</v>
      </c>
    </row>
    <row r="63" spans="2:10" x14ac:dyDescent="0.3">
      <c r="B63" s="400" t="s">
        <v>403</v>
      </c>
      <c r="C63" s="13" t="str">
        <f>'OT17-046 VICTORIA POTENCIA'!C52</f>
        <v>Ingeniería civil (Levantamiento e ingeniería de detalle)</v>
      </c>
      <c r="D63" s="19" t="s">
        <v>760</v>
      </c>
      <c r="E63" s="10">
        <f>'OT17-046 VICTORIA POTENCIA'!U52</f>
        <v>0</v>
      </c>
      <c r="F63" s="302">
        <f>'OT17-046 VICTORIA POTENCIA'!T52</f>
        <v>0</v>
      </c>
      <c r="G63" s="11">
        <f t="shared" si="52"/>
        <v>0</v>
      </c>
      <c r="H63" s="11">
        <f t="shared" si="53"/>
        <v>0</v>
      </c>
      <c r="I63" s="11">
        <f t="shared" si="54"/>
        <v>0</v>
      </c>
      <c r="J63" s="11">
        <f t="shared" si="55"/>
        <v>0</v>
      </c>
    </row>
    <row r="64" spans="2:10" x14ac:dyDescent="0.3">
      <c r="B64" s="400" t="s">
        <v>403</v>
      </c>
      <c r="C64" s="13" t="str">
        <f>'OT17-046 VICTORIA POTENCIA'!C53</f>
        <v>Ingeniería mecánica (Levantamiento e ingeniería de detalle)</v>
      </c>
      <c r="D64" s="19" t="s">
        <v>762</v>
      </c>
      <c r="E64" s="10">
        <f>'OT17-046 VICTORIA POTENCIA'!U53</f>
        <v>0</v>
      </c>
      <c r="F64" s="302">
        <f>'OT17-046 VICTORIA POTENCIA'!T53</f>
        <v>0</v>
      </c>
      <c r="G64" s="11">
        <f t="shared" si="52"/>
        <v>0</v>
      </c>
      <c r="H64" s="11">
        <f t="shared" si="53"/>
        <v>0</v>
      </c>
      <c r="I64" s="11">
        <f t="shared" si="54"/>
        <v>0</v>
      </c>
      <c r="J64" s="11">
        <f t="shared" si="55"/>
        <v>0</v>
      </c>
    </row>
    <row r="65" spans="2:10" x14ac:dyDescent="0.3">
      <c r="B65" s="400" t="s">
        <v>403</v>
      </c>
      <c r="C65" s="13" t="str">
        <f>'OT17-046 VICTORIA POTENCIA'!C54</f>
        <v>Ingeniería eléctrica (Levantamiento e ingeniería de detalle)</v>
      </c>
      <c r="D65" s="19" t="s">
        <v>761</v>
      </c>
      <c r="E65" s="10">
        <f>'OT17-046 VICTORIA POTENCIA'!U54</f>
        <v>0</v>
      </c>
      <c r="F65" s="302">
        <f>'OT17-046 VICTORIA POTENCIA'!T54</f>
        <v>0</v>
      </c>
      <c r="G65" s="11">
        <f t="shared" si="52"/>
        <v>0</v>
      </c>
      <c r="H65" s="11">
        <f t="shared" si="53"/>
        <v>0</v>
      </c>
      <c r="I65" s="11">
        <f t="shared" si="54"/>
        <v>0</v>
      </c>
      <c r="J65" s="11">
        <f t="shared" si="55"/>
        <v>0</v>
      </c>
    </row>
    <row r="66" spans="2:10" x14ac:dyDescent="0.3">
      <c r="B66" s="400" t="s">
        <v>403</v>
      </c>
      <c r="C66" s="13" t="str">
        <f>'OT17-046 VICTORIA POTENCIA'!C56</f>
        <v>Ingeniería civil y mecánico (Levantamiento e ingeniería de detalle)</v>
      </c>
      <c r="D66" s="19" t="s">
        <v>760</v>
      </c>
      <c r="E66" s="10">
        <f>'OT17-046 VICTORIA POTENCIA'!U56</f>
        <v>0</v>
      </c>
      <c r="F66" s="302">
        <f>'OT17-046 VICTORIA POTENCIA'!T56</f>
        <v>0</v>
      </c>
      <c r="G66" s="11">
        <f t="shared" ref="G66:G69" si="56">IF(AND(D66="INGENIERÍA ELÉCTRICA",F66&lt;&gt;0),E66,0)</f>
        <v>0</v>
      </c>
      <c r="H66" s="11">
        <f t="shared" ref="H66:H69" si="57">IF(AND(D66="INGENIERÍA CIVIL",F66&lt;&gt;0),E66,0)</f>
        <v>0</v>
      </c>
      <c r="I66" s="11">
        <f t="shared" ref="I66:I69" si="58">IF(AND(D66="INGENIERÍA MECÁNICA",F66&lt;&gt;0),E66,0)</f>
        <v>0</v>
      </c>
      <c r="J66" s="11">
        <f t="shared" ref="J66:J69" si="59">IF(AND(D66="LINEAS",F66&lt;&gt;0),E66,0)</f>
        <v>0</v>
      </c>
    </row>
    <row r="67" spans="2:10" x14ac:dyDescent="0.3">
      <c r="B67" s="400" t="s">
        <v>403</v>
      </c>
      <c r="C67" s="13" t="str">
        <f>'OT17-046 VICTORIA POTENCIA'!C58</f>
        <v>Ingeniería civil (Levantamiento e ingeniería de detalle)</v>
      </c>
      <c r="D67" s="19" t="s">
        <v>760</v>
      </c>
      <c r="E67" s="10">
        <f>'OT17-046 VICTORIA POTENCIA'!U58</f>
        <v>0</v>
      </c>
      <c r="F67" s="302">
        <f>'OT17-046 VICTORIA POTENCIA'!T58</f>
        <v>0</v>
      </c>
      <c r="G67" s="11">
        <f t="shared" si="56"/>
        <v>0</v>
      </c>
      <c r="H67" s="11">
        <f t="shared" si="57"/>
        <v>0</v>
      </c>
      <c r="I67" s="11">
        <f t="shared" si="58"/>
        <v>0</v>
      </c>
      <c r="J67" s="11">
        <f t="shared" si="59"/>
        <v>0</v>
      </c>
    </row>
    <row r="68" spans="2:10" x14ac:dyDescent="0.3">
      <c r="B68" s="400" t="s">
        <v>403</v>
      </c>
      <c r="C68" s="13" t="str">
        <f>'OT17-046 VICTORIA POTENCIA'!C59</f>
        <v>Ingeniería mecánica (Levantamiento e ingeniería de detalle)</v>
      </c>
      <c r="D68" s="19" t="s">
        <v>762</v>
      </c>
      <c r="E68" s="10">
        <f>'OT17-046 VICTORIA POTENCIA'!U59</f>
        <v>0</v>
      </c>
      <c r="F68" s="302">
        <f>'OT17-046 VICTORIA POTENCIA'!T59</f>
        <v>0</v>
      </c>
      <c r="G68" s="11">
        <f t="shared" si="56"/>
        <v>0</v>
      </c>
      <c r="H68" s="11">
        <f t="shared" si="57"/>
        <v>0</v>
      </c>
      <c r="I68" s="11">
        <f t="shared" si="58"/>
        <v>0</v>
      </c>
      <c r="J68" s="11">
        <f t="shared" si="59"/>
        <v>0</v>
      </c>
    </row>
    <row r="69" spans="2:10" x14ac:dyDescent="0.3">
      <c r="B69" s="400" t="s">
        <v>403</v>
      </c>
      <c r="C69" s="13" t="str">
        <f>'OT17-046 VICTORIA POTENCIA'!C60</f>
        <v>Ingeniería eléctrica (Levantamiento e ingeniería de detalle)</v>
      </c>
      <c r="D69" s="19" t="s">
        <v>761</v>
      </c>
      <c r="E69" s="10">
        <f>'OT17-046 VICTORIA POTENCIA'!U60</f>
        <v>0</v>
      </c>
      <c r="F69" s="302">
        <f>'OT17-046 VICTORIA POTENCIA'!T60</f>
        <v>0</v>
      </c>
      <c r="G69" s="11">
        <f t="shared" si="56"/>
        <v>0</v>
      </c>
      <c r="H69" s="11">
        <f t="shared" si="57"/>
        <v>0</v>
      </c>
      <c r="I69" s="11">
        <f t="shared" si="58"/>
        <v>0</v>
      </c>
      <c r="J69" s="11">
        <f t="shared" si="59"/>
        <v>0</v>
      </c>
    </row>
    <row r="70" spans="2:10" x14ac:dyDescent="0.3">
      <c r="B70" s="400" t="s">
        <v>403</v>
      </c>
      <c r="C70" s="13" t="str">
        <f>'OT17-046 VICTORIA POTENCIA'!C62</f>
        <v>Ingeniería civil (Levantamiento e ingeniería de detalle)</v>
      </c>
      <c r="D70" s="19" t="s">
        <v>760</v>
      </c>
      <c r="E70" s="10">
        <f>'OT17-046 VICTORIA POTENCIA'!U62</f>
        <v>0</v>
      </c>
      <c r="F70" s="302">
        <f>'OT17-046 VICTORIA POTENCIA'!T62</f>
        <v>0</v>
      </c>
      <c r="G70" s="11">
        <f t="shared" ref="G70:G72" si="60">IF(AND(D70="INGENIERÍA ELÉCTRICA",F70&lt;&gt;0),E70,0)</f>
        <v>0</v>
      </c>
      <c r="H70" s="11">
        <f t="shared" ref="H70:H72" si="61">IF(AND(D70="INGENIERÍA CIVIL",F70&lt;&gt;0),E70,0)</f>
        <v>0</v>
      </c>
      <c r="I70" s="11">
        <f t="shared" ref="I70:I72" si="62">IF(AND(D70="INGENIERÍA MECÁNICA",F70&lt;&gt;0),E70,0)</f>
        <v>0</v>
      </c>
      <c r="J70" s="11">
        <f t="shared" ref="J70:J72" si="63">IF(AND(D70="LINEAS",F70&lt;&gt;0),E70,0)</f>
        <v>0</v>
      </c>
    </row>
    <row r="71" spans="2:10" x14ac:dyDescent="0.3">
      <c r="B71" s="400" t="s">
        <v>403</v>
      </c>
      <c r="C71" s="13" t="str">
        <f>'OT17-046 VICTORIA POTENCIA'!C63</f>
        <v>Ingeniería mecánica (Levantamiento e ingeniería de detalle)</v>
      </c>
      <c r="D71" s="19" t="s">
        <v>762</v>
      </c>
      <c r="E71" s="10">
        <f>'OT17-046 VICTORIA POTENCIA'!U63</f>
        <v>0</v>
      </c>
      <c r="F71" s="302">
        <f>'OT17-046 VICTORIA POTENCIA'!T63</f>
        <v>0</v>
      </c>
      <c r="G71" s="11">
        <f t="shared" si="60"/>
        <v>0</v>
      </c>
      <c r="H71" s="11">
        <f t="shared" si="61"/>
        <v>0</v>
      </c>
      <c r="I71" s="11">
        <f t="shared" si="62"/>
        <v>0</v>
      </c>
      <c r="J71" s="11">
        <f t="shared" si="63"/>
        <v>0</v>
      </c>
    </row>
    <row r="72" spans="2:10" x14ac:dyDescent="0.3">
      <c r="B72" s="400" t="s">
        <v>403</v>
      </c>
      <c r="C72" s="13" t="str">
        <f>'OT17-046 VICTORIA POTENCIA'!C64</f>
        <v>Ingeniería eléctrica (Levantamiento e ingeniería de detalle)</v>
      </c>
      <c r="D72" s="19" t="s">
        <v>761</v>
      </c>
      <c r="E72" s="10">
        <f>'OT17-046 VICTORIA POTENCIA'!U64</f>
        <v>0</v>
      </c>
      <c r="F72" s="302">
        <f>'OT17-046 VICTORIA POTENCIA'!T64</f>
        <v>0</v>
      </c>
      <c r="G72" s="11">
        <f t="shared" si="60"/>
        <v>0</v>
      </c>
      <c r="H72" s="11">
        <f t="shared" si="61"/>
        <v>0</v>
      </c>
      <c r="I72" s="11">
        <f t="shared" si="62"/>
        <v>0</v>
      </c>
      <c r="J72" s="11">
        <f t="shared" si="63"/>
        <v>0</v>
      </c>
    </row>
    <row r="73" spans="2:10" x14ac:dyDescent="0.3">
      <c r="B73" s="400" t="s">
        <v>403</v>
      </c>
      <c r="C73" s="13" t="str">
        <f>'OT17-046 VICTORIA POTENCIA'!C66</f>
        <v>Ingeniería civil (Levantamiento e ingeniería de detalle)</v>
      </c>
      <c r="D73" s="19" t="s">
        <v>760</v>
      </c>
      <c r="E73" s="10">
        <f>'OT17-046 VICTORIA POTENCIA'!U66</f>
        <v>0</v>
      </c>
      <c r="F73" s="302">
        <f>'OT17-046 VICTORIA POTENCIA'!T66</f>
        <v>0</v>
      </c>
      <c r="G73" s="11">
        <f t="shared" ref="G73:G77" si="64">IF(AND(D73="INGENIERÍA ELÉCTRICA",F73&lt;&gt;0),E73,0)</f>
        <v>0</v>
      </c>
      <c r="H73" s="11">
        <f t="shared" ref="H73:H77" si="65">IF(AND(D73="INGENIERÍA CIVIL",F73&lt;&gt;0),E73,0)</f>
        <v>0</v>
      </c>
      <c r="I73" s="11">
        <f t="shared" ref="I73:I77" si="66">IF(AND(D73="INGENIERÍA MECÁNICA",F73&lt;&gt;0),E73,0)</f>
        <v>0</v>
      </c>
      <c r="J73" s="11">
        <f t="shared" ref="J73:J77" si="67">IF(AND(D73="LINEAS",F73&lt;&gt;0),E73,0)</f>
        <v>0</v>
      </c>
    </row>
    <row r="74" spans="2:10" x14ac:dyDescent="0.3">
      <c r="B74" s="400" t="s">
        <v>403</v>
      </c>
      <c r="C74" s="13" t="str">
        <f>'OT17-046 VICTORIA POTENCIA'!C67</f>
        <v>Ingeniería mecánica (Levantamiento e ingeniería de detalle)</v>
      </c>
      <c r="D74" s="19" t="s">
        <v>762</v>
      </c>
      <c r="E74" s="10">
        <f>'OT17-046 VICTORIA POTENCIA'!U67</f>
        <v>0</v>
      </c>
      <c r="F74" s="302">
        <f>'OT17-046 VICTORIA POTENCIA'!T67</f>
        <v>0</v>
      </c>
      <c r="G74" s="11">
        <f t="shared" si="64"/>
        <v>0</v>
      </c>
      <c r="H74" s="11">
        <f t="shared" si="65"/>
        <v>0</v>
      </c>
      <c r="I74" s="11">
        <f t="shared" si="66"/>
        <v>0</v>
      </c>
      <c r="J74" s="11">
        <f t="shared" si="67"/>
        <v>0</v>
      </c>
    </row>
    <row r="75" spans="2:10" x14ac:dyDescent="0.3">
      <c r="B75" s="400" t="s">
        <v>403</v>
      </c>
      <c r="C75" s="13" t="str">
        <f>'OT17-046 VICTORIA POTENCIA'!C68</f>
        <v>Ingeniería eléctrica (Levantamiento e ingeniería de detalle)</v>
      </c>
      <c r="D75" s="19" t="s">
        <v>761</v>
      </c>
      <c r="E75" s="10">
        <f>'OT17-046 VICTORIA POTENCIA'!U68</f>
        <v>0</v>
      </c>
      <c r="F75" s="302">
        <f>'OT17-046 VICTORIA POTENCIA'!T68</f>
        <v>0</v>
      </c>
      <c r="G75" s="11">
        <f t="shared" si="64"/>
        <v>0</v>
      </c>
      <c r="H75" s="11">
        <f t="shared" si="65"/>
        <v>0</v>
      </c>
      <c r="I75" s="11">
        <f t="shared" si="66"/>
        <v>0</v>
      </c>
      <c r="J75" s="11">
        <f t="shared" si="67"/>
        <v>0</v>
      </c>
    </row>
    <row r="76" spans="2:10" x14ac:dyDescent="0.3">
      <c r="B76" s="400" t="s">
        <v>403</v>
      </c>
      <c r="C76" s="13" t="str">
        <f>'OT17-046 VICTORIA POTENCIA'!C70</f>
        <v>Ingeniería civil (Levantamiento e ingeniería de detalle)</v>
      </c>
      <c r="D76" s="19" t="s">
        <v>760</v>
      </c>
      <c r="E76" s="10">
        <f>'OT17-046 VICTORIA POTENCIA'!U70</f>
        <v>0</v>
      </c>
      <c r="F76" s="302">
        <f>'OT17-046 VICTORIA POTENCIA'!T70</f>
        <v>0</v>
      </c>
      <c r="G76" s="11">
        <f t="shared" si="64"/>
        <v>0</v>
      </c>
      <c r="H76" s="11">
        <f t="shared" si="65"/>
        <v>0</v>
      </c>
      <c r="I76" s="11">
        <f t="shared" si="66"/>
        <v>0</v>
      </c>
      <c r="J76" s="11">
        <f t="shared" si="67"/>
        <v>0</v>
      </c>
    </row>
    <row r="77" spans="2:10" x14ac:dyDescent="0.3">
      <c r="B77" s="400" t="s">
        <v>403</v>
      </c>
      <c r="C77" s="13" t="str">
        <f>'OT17-046 VICTORIA POTENCIA'!C71</f>
        <v>Ingeniería mecánica (Levantamiento e ingeniería de detalle)</v>
      </c>
      <c r="D77" s="19" t="s">
        <v>762</v>
      </c>
      <c r="E77" s="10">
        <f>'OT17-046 VICTORIA POTENCIA'!U71</f>
        <v>0</v>
      </c>
      <c r="F77" s="302">
        <f>'OT17-046 VICTORIA POTENCIA'!T71</f>
        <v>0</v>
      </c>
      <c r="G77" s="11">
        <f t="shared" si="64"/>
        <v>0</v>
      </c>
      <c r="H77" s="11">
        <f t="shared" si="65"/>
        <v>0</v>
      </c>
      <c r="I77" s="11">
        <f t="shared" si="66"/>
        <v>0</v>
      </c>
      <c r="J77" s="11">
        <f t="shared" si="67"/>
        <v>0</v>
      </c>
    </row>
    <row r="78" spans="2:10" x14ac:dyDescent="0.3">
      <c r="B78" s="400" t="s">
        <v>403</v>
      </c>
      <c r="C78" s="13" t="str">
        <f>'OT17-046 VICTORIA POTENCIA'!C72</f>
        <v>Ingeniería eléctrica (Levantamiento e ingeniería de detalle)</v>
      </c>
      <c r="D78" s="19" t="s">
        <v>761</v>
      </c>
      <c r="E78" s="10">
        <f>'OT17-046 VICTORIA POTENCIA'!U72</f>
        <v>0</v>
      </c>
      <c r="F78" s="302">
        <f>'OT17-046 VICTORIA POTENCIA'!T72</f>
        <v>0</v>
      </c>
      <c r="G78" s="11">
        <f t="shared" ref="G78:G79" si="68">IF(AND(D78="INGENIERÍA ELÉCTRICA",F78&lt;&gt;0),E78,0)</f>
        <v>0</v>
      </c>
      <c r="H78" s="11">
        <f t="shared" ref="H78:H79" si="69">IF(AND(D78="INGENIERÍA CIVIL",F78&lt;&gt;0),E78,0)</f>
        <v>0</v>
      </c>
      <c r="I78" s="11">
        <f t="shared" ref="I78:I79" si="70">IF(AND(D78="INGENIERÍA MECÁNICA",F78&lt;&gt;0),E78,0)</f>
        <v>0</v>
      </c>
      <c r="J78" s="11">
        <f t="shared" ref="J78:J79" si="71">IF(AND(D78="LINEAS",F78&lt;&gt;0),E78,0)</f>
        <v>0</v>
      </c>
    </row>
    <row r="79" spans="2:10" x14ac:dyDescent="0.3">
      <c r="B79" s="400" t="s">
        <v>403</v>
      </c>
      <c r="C79" s="13" t="str">
        <f>'OT17-046 VICTORIA POTENCIA'!C74</f>
        <v>Ingeniería civil y mecánico (Levantamiento e ingeniería de detalle)</v>
      </c>
      <c r="D79" s="19" t="s">
        <v>760</v>
      </c>
      <c r="E79" s="10">
        <f>'OT17-046 VICTORIA POTENCIA'!U74</f>
        <v>0</v>
      </c>
      <c r="F79" s="302">
        <f>'OT17-046 VICTORIA POTENCIA'!T74</f>
        <v>0</v>
      </c>
      <c r="G79" s="11">
        <f t="shared" si="68"/>
        <v>0</v>
      </c>
      <c r="H79" s="11">
        <f t="shared" si="69"/>
        <v>0</v>
      </c>
      <c r="I79" s="11">
        <f t="shared" si="70"/>
        <v>0</v>
      </c>
      <c r="J79" s="11">
        <f t="shared" si="71"/>
        <v>0</v>
      </c>
    </row>
    <row r="80" spans="2:10" x14ac:dyDescent="0.3">
      <c r="B80" s="400" t="s">
        <v>403</v>
      </c>
      <c r="C80" s="13" t="str">
        <f>'OT17-046 VICTORIA POTENCIA'!C76</f>
        <v>Ingeniería civil (Levantamiento e ingeniería de detalle)</v>
      </c>
      <c r="D80" s="19" t="s">
        <v>760</v>
      </c>
      <c r="E80" s="10">
        <f>'OT17-046 VICTORIA POTENCIA'!U76</f>
        <v>0</v>
      </c>
      <c r="F80" s="302">
        <f>'OT17-046 VICTORIA POTENCIA'!T76</f>
        <v>0</v>
      </c>
      <c r="G80" s="11">
        <f t="shared" ref="G80:G84" si="72">IF(AND(D80="INGENIERÍA ELÉCTRICA",F80&lt;&gt;0),E80,0)</f>
        <v>0</v>
      </c>
      <c r="H80" s="11">
        <f t="shared" ref="H80:H84" si="73">IF(AND(D80="INGENIERÍA CIVIL",F80&lt;&gt;0),E80,0)</f>
        <v>0</v>
      </c>
      <c r="I80" s="11">
        <f t="shared" ref="I80:I84" si="74">IF(AND(D80="INGENIERÍA MECÁNICA",F80&lt;&gt;0),E80,0)</f>
        <v>0</v>
      </c>
      <c r="J80" s="11">
        <f t="shared" ref="J80:J84" si="75">IF(AND(D80="LINEAS",F80&lt;&gt;0),E80,0)</f>
        <v>0</v>
      </c>
    </row>
    <row r="81" spans="2:10" x14ac:dyDescent="0.3">
      <c r="B81" s="400" t="s">
        <v>403</v>
      </c>
      <c r="C81" s="13" t="str">
        <f>'OT17-046 VICTORIA POTENCIA'!C77</f>
        <v>Ingeniería mecánica (Levantamiento e ingeniería de detalle)</v>
      </c>
      <c r="D81" s="19" t="s">
        <v>762</v>
      </c>
      <c r="E81" s="10">
        <f>'OT17-046 VICTORIA POTENCIA'!U77</f>
        <v>0</v>
      </c>
      <c r="F81" s="302">
        <f>'OT17-046 VICTORIA POTENCIA'!T77</f>
        <v>0</v>
      </c>
      <c r="G81" s="11">
        <f t="shared" si="72"/>
        <v>0</v>
      </c>
      <c r="H81" s="11">
        <f t="shared" si="73"/>
        <v>0</v>
      </c>
      <c r="I81" s="11">
        <f t="shared" si="74"/>
        <v>0</v>
      </c>
      <c r="J81" s="11">
        <f t="shared" si="75"/>
        <v>0</v>
      </c>
    </row>
    <row r="82" spans="2:10" x14ac:dyDescent="0.3">
      <c r="B82" s="400" t="s">
        <v>403</v>
      </c>
      <c r="C82" s="13" t="str">
        <f>'OT17-046 VICTORIA POTENCIA'!C78</f>
        <v>Ingeniería eléctrica (Levantamiento e ingeniería de detalle)</v>
      </c>
      <c r="D82" s="19" t="s">
        <v>761</v>
      </c>
      <c r="E82" s="10">
        <f>'OT17-046 VICTORIA POTENCIA'!U78</f>
        <v>2193782</v>
      </c>
      <c r="F82" s="302">
        <f>'OT17-046 VICTORIA POTENCIA'!T78</f>
        <v>0.3</v>
      </c>
      <c r="G82" s="11">
        <f t="shared" si="72"/>
        <v>2193782</v>
      </c>
      <c r="H82" s="11">
        <f t="shared" si="73"/>
        <v>0</v>
      </c>
      <c r="I82" s="11">
        <f t="shared" si="74"/>
        <v>0</v>
      </c>
      <c r="J82" s="11">
        <f t="shared" si="75"/>
        <v>0</v>
      </c>
    </row>
    <row r="83" spans="2:10" x14ac:dyDescent="0.3">
      <c r="B83" s="400" t="s">
        <v>403</v>
      </c>
      <c r="C83" s="13" t="str">
        <f>'OT17-046 VICTORIA POTENCIA'!C80</f>
        <v>Ingeniería civil (Levantamiento e ingeniería de detalle)</v>
      </c>
      <c r="D83" s="19" t="s">
        <v>760</v>
      </c>
      <c r="E83" s="10">
        <f>'OT17-046 VICTORIA POTENCIA'!U80</f>
        <v>0</v>
      </c>
      <c r="F83" s="302">
        <f>'OT17-046 VICTORIA POTENCIA'!T80</f>
        <v>0</v>
      </c>
      <c r="G83" s="11">
        <f t="shared" si="72"/>
        <v>0</v>
      </c>
      <c r="H83" s="11">
        <f t="shared" si="73"/>
        <v>0</v>
      </c>
      <c r="I83" s="11">
        <f t="shared" si="74"/>
        <v>0</v>
      </c>
      <c r="J83" s="11">
        <f t="shared" si="75"/>
        <v>0</v>
      </c>
    </row>
    <row r="84" spans="2:10" x14ac:dyDescent="0.3">
      <c r="B84" s="400" t="s">
        <v>403</v>
      </c>
      <c r="C84" s="13" t="str">
        <f>'OT17-046 VICTORIA POTENCIA'!C81</f>
        <v>Ingeniería mecánica (Levantamiento e ingeniería de detalle)</v>
      </c>
      <c r="D84" s="19" t="s">
        <v>762</v>
      </c>
      <c r="E84" s="10">
        <f>'OT17-046 VICTORIA POTENCIA'!U81</f>
        <v>0</v>
      </c>
      <c r="F84" s="302">
        <f>'OT17-046 VICTORIA POTENCIA'!T81</f>
        <v>0</v>
      </c>
      <c r="G84" s="11">
        <f t="shared" si="72"/>
        <v>0</v>
      </c>
      <c r="H84" s="11">
        <f t="shared" si="73"/>
        <v>0</v>
      </c>
      <c r="I84" s="11">
        <f t="shared" si="74"/>
        <v>0</v>
      </c>
      <c r="J84" s="11">
        <f t="shared" si="75"/>
        <v>0</v>
      </c>
    </row>
    <row r="85" spans="2:10" x14ac:dyDescent="0.3">
      <c r="B85" s="400" t="s">
        <v>403</v>
      </c>
      <c r="C85" s="13" t="str">
        <f>'OT17-046 VICTORIA POTENCIA'!C82</f>
        <v>Ingeniería eléctrica (Levantamiento e ingeniería de detalle)</v>
      </c>
      <c r="D85" s="19" t="s">
        <v>761</v>
      </c>
      <c r="E85" s="10">
        <f>'OT17-046 VICTORIA POTENCIA'!U82</f>
        <v>0</v>
      </c>
      <c r="F85" s="302">
        <f>'OT17-046 VICTORIA POTENCIA'!T82</f>
        <v>0</v>
      </c>
      <c r="G85" s="11">
        <f t="shared" ref="G85:G88" si="76">IF(AND(D85="INGENIERÍA ELÉCTRICA",F85&lt;&gt;0),E85,0)</f>
        <v>0</v>
      </c>
      <c r="H85" s="11">
        <f t="shared" ref="H85:H88" si="77">IF(AND(D85="INGENIERÍA CIVIL",F85&lt;&gt;0),E85,0)</f>
        <v>0</v>
      </c>
      <c r="I85" s="11">
        <f t="shared" ref="I85:I88" si="78">IF(AND(D85="INGENIERÍA MECÁNICA",F85&lt;&gt;0),E85,0)</f>
        <v>0</v>
      </c>
      <c r="J85" s="11">
        <f t="shared" ref="J85:J88" si="79">IF(AND(D85="LINEAS",F85&lt;&gt;0),E85,0)</f>
        <v>0</v>
      </c>
    </row>
    <row r="86" spans="2:10" x14ac:dyDescent="0.3">
      <c r="B86" s="400" t="s">
        <v>403</v>
      </c>
      <c r="C86" s="13" t="str">
        <f>'OT17-046 VICTORIA POTENCIA'!C84</f>
        <v>Ingeniería civil (Levantamiento e ingeniería de detalle)</v>
      </c>
      <c r="D86" s="19" t="s">
        <v>760</v>
      </c>
      <c r="E86" s="10">
        <f>'OT17-046 VICTORIA POTENCIA'!U84</f>
        <v>0</v>
      </c>
      <c r="F86" s="302">
        <f>'OT17-046 VICTORIA POTENCIA'!T84</f>
        <v>0</v>
      </c>
      <c r="G86" s="11">
        <f t="shared" si="76"/>
        <v>0</v>
      </c>
      <c r="H86" s="11">
        <f t="shared" si="77"/>
        <v>0</v>
      </c>
      <c r="I86" s="11">
        <f t="shared" si="78"/>
        <v>0</v>
      </c>
      <c r="J86" s="11">
        <f t="shared" si="79"/>
        <v>0</v>
      </c>
    </row>
    <row r="87" spans="2:10" x14ac:dyDescent="0.3">
      <c r="B87" s="400" t="s">
        <v>403</v>
      </c>
      <c r="C87" s="13" t="str">
        <f>'OT17-046 VICTORIA POTENCIA'!C85</f>
        <v>Ingeniería mecánica (Levantamiento e ingeniería de detalle)</v>
      </c>
      <c r="D87" s="19" t="s">
        <v>762</v>
      </c>
      <c r="E87" s="10">
        <f>'OT17-046 VICTORIA POTENCIA'!U85</f>
        <v>0</v>
      </c>
      <c r="F87" s="302">
        <f>'OT17-046 VICTORIA POTENCIA'!T85</f>
        <v>0</v>
      </c>
      <c r="G87" s="11">
        <f t="shared" si="76"/>
        <v>0</v>
      </c>
      <c r="H87" s="11">
        <f t="shared" si="77"/>
        <v>0</v>
      </c>
      <c r="I87" s="11">
        <f t="shared" si="78"/>
        <v>0</v>
      </c>
      <c r="J87" s="11">
        <f t="shared" si="79"/>
        <v>0</v>
      </c>
    </row>
    <row r="88" spans="2:10" x14ac:dyDescent="0.3">
      <c r="B88" s="400" t="s">
        <v>403</v>
      </c>
      <c r="C88" s="13" t="str">
        <f>'OT17-046 VICTORIA POTENCIA'!C86</f>
        <v>Ingeniería eléctrica (Levantamiento e ingeniería de detalle)</v>
      </c>
      <c r="D88" s="19" t="s">
        <v>761</v>
      </c>
      <c r="E88" s="10">
        <f>'OT17-046 VICTORIA POTENCIA'!U86</f>
        <v>961085</v>
      </c>
      <c r="F88" s="302">
        <f>'OT17-046 VICTORIA POTENCIA'!T86</f>
        <v>0.3</v>
      </c>
      <c r="G88" s="11">
        <f t="shared" si="76"/>
        <v>961085</v>
      </c>
      <c r="H88" s="11">
        <f t="shared" si="77"/>
        <v>0</v>
      </c>
      <c r="I88" s="11">
        <f t="shared" si="78"/>
        <v>0</v>
      </c>
      <c r="J88" s="11">
        <f t="shared" si="79"/>
        <v>0</v>
      </c>
    </row>
    <row r="89" spans="2:10" x14ac:dyDescent="0.3">
      <c r="B89" s="400" t="s">
        <v>403</v>
      </c>
      <c r="C89" s="13" t="str">
        <f>'OT17-046 VICTORIA POTENCIA'!C88</f>
        <v>Ingeniería civil (Levantamiento e ingeniería de detalle)</v>
      </c>
      <c r="D89" s="19" t="s">
        <v>760</v>
      </c>
      <c r="E89" s="10">
        <f>'OT17-046 VICTORIA POTENCIA'!U88</f>
        <v>0</v>
      </c>
      <c r="F89" s="302">
        <f>'OT17-046 VICTORIA POTENCIA'!T88</f>
        <v>0</v>
      </c>
      <c r="G89" s="11">
        <f t="shared" ref="G89:G91" si="80">IF(AND(D89="INGENIERÍA ELÉCTRICA",F89&lt;&gt;0),E89,0)</f>
        <v>0</v>
      </c>
      <c r="H89" s="11">
        <f t="shared" ref="H89:H91" si="81">IF(AND(D89="INGENIERÍA CIVIL",F89&lt;&gt;0),E89,0)</f>
        <v>0</v>
      </c>
      <c r="I89" s="11">
        <f t="shared" ref="I89:I91" si="82">IF(AND(D89="INGENIERÍA MECÁNICA",F89&lt;&gt;0),E89,0)</f>
        <v>0</v>
      </c>
      <c r="J89" s="11">
        <f t="shared" ref="J89:J91" si="83">IF(AND(D89="LINEAS",F89&lt;&gt;0),E89,0)</f>
        <v>0</v>
      </c>
    </row>
    <row r="90" spans="2:10" x14ac:dyDescent="0.3">
      <c r="B90" s="400" t="s">
        <v>403</v>
      </c>
      <c r="C90" s="13" t="str">
        <f>'OT17-046 VICTORIA POTENCIA'!C89</f>
        <v>Ingeniería mecánica (Levantamiento e ingeniería de detalle)</v>
      </c>
      <c r="D90" s="19" t="s">
        <v>762</v>
      </c>
      <c r="E90" s="10">
        <f>'OT17-046 VICTORIA POTENCIA'!U89</f>
        <v>0</v>
      </c>
      <c r="F90" s="302">
        <f>'OT17-046 VICTORIA POTENCIA'!T89</f>
        <v>0</v>
      </c>
      <c r="G90" s="11">
        <f t="shared" si="80"/>
        <v>0</v>
      </c>
      <c r="H90" s="11">
        <f t="shared" si="81"/>
        <v>0</v>
      </c>
      <c r="I90" s="11">
        <f t="shared" si="82"/>
        <v>0</v>
      </c>
      <c r="J90" s="11">
        <f t="shared" si="83"/>
        <v>0</v>
      </c>
    </row>
    <row r="91" spans="2:10" x14ac:dyDescent="0.3">
      <c r="B91" s="400" t="s">
        <v>403</v>
      </c>
      <c r="C91" s="13" t="str">
        <f>'OT17-046 VICTORIA POTENCIA'!C90</f>
        <v>Ingeniería eléctrica (Levantamiento e ingeniería de detalle)</v>
      </c>
      <c r="D91" s="19" t="s">
        <v>761</v>
      </c>
      <c r="E91" s="10">
        <f>'OT17-046 VICTORIA POTENCIA'!U90</f>
        <v>2402714</v>
      </c>
      <c r="F91" s="302">
        <f>'OT17-046 VICTORIA POTENCIA'!T90</f>
        <v>0.6</v>
      </c>
      <c r="G91" s="11">
        <f t="shared" si="80"/>
        <v>2402714</v>
      </c>
      <c r="H91" s="11">
        <f t="shared" si="81"/>
        <v>0</v>
      </c>
      <c r="I91" s="11">
        <f t="shared" si="82"/>
        <v>0</v>
      </c>
      <c r="J91" s="11">
        <f t="shared" si="83"/>
        <v>0</v>
      </c>
    </row>
    <row r="92" spans="2:10" x14ac:dyDescent="0.3">
      <c r="B92" s="400" t="s">
        <v>403</v>
      </c>
      <c r="C92" s="13" t="str">
        <f>'OT17-046 VICTORIA POTENCIA'!C92</f>
        <v>Ingeniería civil y mecánico (Levantamiento e ingeniería de detalle)</v>
      </c>
      <c r="D92" s="19" t="s">
        <v>760</v>
      </c>
      <c r="E92" s="10">
        <f>'OT17-046 VICTORIA POTENCIA'!U92</f>
        <v>0</v>
      </c>
      <c r="F92" s="302">
        <f>'OT17-046 VICTORIA POTENCIA'!T92</f>
        <v>0</v>
      </c>
      <c r="G92" s="11">
        <f t="shared" ref="G92:G94" si="84">IF(AND(D92="INGENIERÍA ELÉCTRICA",F92&lt;&gt;0),E92,0)</f>
        <v>0</v>
      </c>
      <c r="H92" s="11">
        <f t="shared" ref="H92:H94" si="85">IF(AND(D92="INGENIERÍA CIVIL",F92&lt;&gt;0),E92,0)</f>
        <v>0</v>
      </c>
      <c r="I92" s="11">
        <f t="shared" ref="I92:I94" si="86">IF(AND(D92="INGENIERÍA MECÁNICA",F92&lt;&gt;0),E92,0)</f>
        <v>0</v>
      </c>
      <c r="J92" s="11">
        <f t="shared" ref="J92:J94" si="87">IF(AND(D92="LINEAS",F92&lt;&gt;0),E92,0)</f>
        <v>0</v>
      </c>
    </row>
    <row r="93" spans="2:10" x14ac:dyDescent="0.3">
      <c r="B93" s="400" t="s">
        <v>403</v>
      </c>
      <c r="C93" s="13" t="str">
        <f>'OT17-046 VICTORIA POTENCIA'!C94</f>
        <v>Ingeniería civil (Levantamiento e ingeniería de detalle)</v>
      </c>
      <c r="D93" s="19" t="s">
        <v>760</v>
      </c>
      <c r="E93" s="10">
        <f>'OT17-046 VICTORIA POTENCIA'!U94</f>
        <v>0</v>
      </c>
      <c r="F93" s="302">
        <f>'OT17-046 VICTORIA POTENCIA'!T94</f>
        <v>0</v>
      </c>
      <c r="G93" s="11">
        <f t="shared" si="84"/>
        <v>0</v>
      </c>
      <c r="H93" s="11">
        <f t="shared" si="85"/>
        <v>0</v>
      </c>
      <c r="I93" s="11">
        <f t="shared" si="86"/>
        <v>0</v>
      </c>
      <c r="J93" s="11">
        <f t="shared" si="87"/>
        <v>0</v>
      </c>
    </row>
    <row r="94" spans="2:10" x14ac:dyDescent="0.3">
      <c r="B94" s="400" t="s">
        <v>403</v>
      </c>
      <c r="C94" s="13" t="str">
        <f>'OT17-046 VICTORIA POTENCIA'!C96</f>
        <v>Ingeniería civil (Levantamiento e ingeniería de detalle)</v>
      </c>
      <c r="D94" s="19" t="s">
        <v>760</v>
      </c>
      <c r="E94" s="10">
        <f>'OT17-046 VICTORIA POTENCIA'!U96</f>
        <v>0</v>
      </c>
      <c r="F94" s="302">
        <f>'OT17-046 VICTORIA POTENCIA'!T96</f>
        <v>0</v>
      </c>
      <c r="G94" s="11">
        <f t="shared" si="84"/>
        <v>0</v>
      </c>
      <c r="H94" s="11">
        <f t="shared" si="85"/>
        <v>0</v>
      </c>
      <c r="I94" s="11">
        <f t="shared" si="86"/>
        <v>0</v>
      </c>
      <c r="J94" s="11">
        <f t="shared" si="87"/>
        <v>0</v>
      </c>
    </row>
    <row r="95" spans="2:10" x14ac:dyDescent="0.3">
      <c r="B95" s="400" t="s">
        <v>403</v>
      </c>
      <c r="C95" s="13" t="str">
        <f>'OT17-046 VICTORIA POTENCIA'!C98</f>
        <v>Ingeniería civil y mecánico (Levantamiento e ingeniería de detalle)</v>
      </c>
      <c r="D95" s="19" t="s">
        <v>760</v>
      </c>
      <c r="E95" s="10">
        <f>'OT17-046 VICTORIA POTENCIA'!U98</f>
        <v>0</v>
      </c>
      <c r="F95" s="302">
        <f>'OT17-046 VICTORIA POTENCIA'!T98</f>
        <v>0</v>
      </c>
      <c r="G95" s="11">
        <f t="shared" ref="G95:G96" si="88">IF(AND(D95="INGENIERÍA ELÉCTRICA",F95&lt;&gt;0),E95,0)</f>
        <v>0</v>
      </c>
      <c r="H95" s="11">
        <f t="shared" ref="H95:H96" si="89">IF(AND(D95="INGENIERÍA CIVIL",F95&lt;&gt;0),E95,0)</f>
        <v>0</v>
      </c>
      <c r="I95" s="11">
        <f t="shared" ref="I95:I96" si="90">IF(AND(D95="INGENIERÍA MECÁNICA",F95&lt;&gt;0),E95,0)</f>
        <v>0</v>
      </c>
      <c r="J95" s="11">
        <f t="shared" ref="J95:J96" si="91">IF(AND(D95="LINEAS",F95&lt;&gt;0),E95,0)</f>
        <v>0</v>
      </c>
    </row>
    <row r="96" spans="2:10" x14ac:dyDescent="0.3">
      <c r="B96" s="400" t="s">
        <v>403</v>
      </c>
      <c r="C96" s="13" t="str">
        <f>'OT17-046 VICTORIA POTENCIA'!C99</f>
        <v>Ingeniería eléctrica (Levantamiento e ingeniería de detalle)</v>
      </c>
      <c r="D96" s="19" t="s">
        <v>761</v>
      </c>
      <c r="E96" s="10">
        <f>'OT17-046 VICTORIA POTENCIA'!U99</f>
        <v>0</v>
      </c>
      <c r="F96" s="302">
        <f>'OT17-046 VICTORIA POTENCIA'!T99</f>
        <v>0</v>
      </c>
      <c r="G96" s="11">
        <f t="shared" si="88"/>
        <v>0</v>
      </c>
      <c r="H96" s="11">
        <f t="shared" si="89"/>
        <v>0</v>
      </c>
      <c r="I96" s="11">
        <f t="shared" si="90"/>
        <v>0</v>
      </c>
      <c r="J96" s="11">
        <f t="shared" si="91"/>
        <v>0</v>
      </c>
    </row>
    <row r="97" spans="2:10" x14ac:dyDescent="0.3">
      <c r="B97" s="400" t="s">
        <v>767</v>
      </c>
      <c r="C97" s="13" t="str">
        <f>'OT-047 MORATO AS BUILT'!C14</f>
        <v>Ingeniería mecánica (Levantamiento e ingeniería de detalle)</v>
      </c>
      <c r="D97" s="19" t="s">
        <v>762</v>
      </c>
      <c r="E97" s="10">
        <f>'OT-047 MORATO AS BUILT'!L14</f>
        <v>0</v>
      </c>
      <c r="F97" s="302">
        <f>'OT-047 MORATO AS BUILT'!K14</f>
        <v>0</v>
      </c>
      <c r="G97" s="11">
        <f t="shared" ref="G97" si="92">IF(AND(D97="INGENIERÍA ELÉCTRICA",F97&lt;&gt;0),E97,0)</f>
        <v>0</v>
      </c>
      <c r="H97" s="11">
        <f t="shared" ref="H97" si="93">IF(AND(D97="INGENIERÍA CIVIL",F97&lt;&gt;0),E97,0)</f>
        <v>0</v>
      </c>
      <c r="I97" s="11">
        <f t="shared" ref="I97" si="94">IF(AND(D97="INGENIERÍA MECÁNICA",F97&lt;&gt;0),E97,0)</f>
        <v>0</v>
      </c>
      <c r="J97" s="11">
        <f t="shared" ref="J97" si="95">IF(AND(D97="LINEAS",F97&lt;&gt;0),E97,0)</f>
        <v>0</v>
      </c>
    </row>
    <row r="98" spans="2:10" x14ac:dyDescent="0.3">
      <c r="B98" s="400" t="s">
        <v>767</v>
      </c>
      <c r="C98" s="13" t="str">
        <f>'OT-047 MORATO AS BUILT'!C15</f>
        <v>Ingeniería eléctrica (Levantamiento e ingeniería de detalle)</v>
      </c>
      <c r="D98" s="19" t="s">
        <v>761</v>
      </c>
      <c r="E98" s="10">
        <f>'OT-047 MORATO AS BUILT'!L15</f>
        <v>593714</v>
      </c>
      <c r="F98" s="302">
        <f>'OT-047 MORATO AS BUILT'!K15</f>
        <v>0.05</v>
      </c>
      <c r="G98" s="11">
        <f t="shared" ref="G98:G103" si="96">IF(AND(D98="INGENIERÍA ELÉCTRICA",F98&lt;&gt;0),E98,0)</f>
        <v>593714</v>
      </c>
      <c r="H98" s="11">
        <f t="shared" ref="H98:H103" si="97">IF(AND(D98="INGENIERÍA CIVIL",F98&lt;&gt;0),E98,0)</f>
        <v>0</v>
      </c>
      <c r="I98" s="11">
        <f t="shared" ref="I98:I103" si="98">IF(AND(D98="INGENIERÍA MECÁNICA",F98&lt;&gt;0),E98,0)</f>
        <v>0</v>
      </c>
      <c r="J98" s="11">
        <f t="shared" ref="J98:J103" si="99">IF(AND(D98="LINEAS",F98&lt;&gt;0),E98,0)</f>
        <v>0</v>
      </c>
    </row>
    <row r="99" spans="2:10" x14ac:dyDescent="0.3">
      <c r="B99" s="400" t="s">
        <v>767</v>
      </c>
      <c r="C99" s="13" t="str">
        <f>'OT-047 MORATO AS BUILT'!C17</f>
        <v>Ingeniería mecánica (Levantamiento e ingeniería de detalle)</v>
      </c>
      <c r="D99" s="19" t="s">
        <v>762</v>
      </c>
      <c r="E99" s="10">
        <f>'OT-047 MORATO AS BUILT'!L17</f>
        <v>0</v>
      </c>
      <c r="F99" s="302">
        <f>'OT-047 MORATO AS BUILT'!K17</f>
        <v>0</v>
      </c>
      <c r="G99" s="11">
        <f t="shared" si="96"/>
        <v>0</v>
      </c>
      <c r="H99" s="11">
        <f t="shared" si="97"/>
        <v>0</v>
      </c>
      <c r="I99" s="11">
        <f t="shared" si="98"/>
        <v>0</v>
      </c>
      <c r="J99" s="11">
        <f t="shared" si="99"/>
        <v>0</v>
      </c>
    </row>
    <row r="100" spans="2:10" x14ac:dyDescent="0.3">
      <c r="B100" s="400" t="s">
        <v>767</v>
      </c>
      <c r="C100" s="13" t="str">
        <f>'OT-047 MORATO AS BUILT'!C18</f>
        <v>Ingeniería eléctrica (Levantamiento e ingeniería de detalle)</v>
      </c>
      <c r="D100" s="19" t="s">
        <v>761</v>
      </c>
      <c r="E100" s="10">
        <f>'OT-047 MORATO AS BUILT'!L18</f>
        <v>50492</v>
      </c>
      <c r="F100" s="302">
        <f>'OT-047 MORATO AS BUILT'!K18</f>
        <v>0.05</v>
      </c>
      <c r="G100" s="11">
        <f t="shared" si="96"/>
        <v>50492</v>
      </c>
      <c r="H100" s="11">
        <f t="shared" si="97"/>
        <v>0</v>
      </c>
      <c r="I100" s="11">
        <f t="shared" si="98"/>
        <v>0</v>
      </c>
      <c r="J100" s="11">
        <f t="shared" si="99"/>
        <v>0</v>
      </c>
    </row>
    <row r="101" spans="2:10" x14ac:dyDescent="0.3">
      <c r="B101" s="400" t="s">
        <v>767</v>
      </c>
      <c r="C101" s="13" t="str">
        <f>'OT-047 MORATO AS BUILT'!C20</f>
        <v>Ingeniería mecánica (Levantamiento e ingeniería de detalle)</v>
      </c>
      <c r="D101" s="19" t="s">
        <v>762</v>
      </c>
      <c r="E101" s="10">
        <f>'OT-047 MORATO AS BUILT'!L20</f>
        <v>0</v>
      </c>
      <c r="F101" s="302">
        <f>'OT-047 MORATO AS BUILT'!K20</f>
        <v>0</v>
      </c>
      <c r="G101" s="11">
        <f t="shared" si="96"/>
        <v>0</v>
      </c>
      <c r="H101" s="11">
        <f t="shared" si="97"/>
        <v>0</v>
      </c>
      <c r="I101" s="11">
        <f t="shared" si="98"/>
        <v>0</v>
      </c>
      <c r="J101" s="11">
        <f t="shared" si="99"/>
        <v>0</v>
      </c>
    </row>
    <row r="102" spans="2:10" x14ac:dyDescent="0.3">
      <c r="B102" s="400" t="s">
        <v>767</v>
      </c>
      <c r="C102" s="13" t="str">
        <f>'OT-047 MORATO AS BUILT'!C21</f>
        <v>Ingeniería eléctrica (Levantamiento e ingeniería de detalle)</v>
      </c>
      <c r="D102" s="19" t="s">
        <v>761</v>
      </c>
      <c r="E102" s="10">
        <f>'OT-047 MORATO AS BUILT'!L21</f>
        <v>1189169</v>
      </c>
      <c r="F102" s="302">
        <f>'OT-047 MORATO AS BUILT'!K21</f>
        <v>0.05</v>
      </c>
      <c r="G102" s="11">
        <f t="shared" si="96"/>
        <v>1189169</v>
      </c>
      <c r="H102" s="11">
        <f t="shared" si="97"/>
        <v>0</v>
      </c>
      <c r="I102" s="11">
        <f t="shared" si="98"/>
        <v>0</v>
      </c>
      <c r="J102" s="11">
        <f t="shared" si="99"/>
        <v>0</v>
      </c>
    </row>
    <row r="103" spans="2:10" x14ac:dyDescent="0.3">
      <c r="B103" s="400" t="s">
        <v>767</v>
      </c>
      <c r="C103" s="13" t="str">
        <f>'OT-047 MORATO AS BUILT'!C23</f>
        <v>Ingenierías o estudios especiales</v>
      </c>
      <c r="D103" s="19" t="s">
        <v>760</v>
      </c>
      <c r="E103" s="10">
        <f>'OT-047 MORATO AS BUILT'!L23</f>
        <v>724298</v>
      </c>
      <c r="F103" s="302">
        <f>'OT-047 MORATO AS BUILT'!K23</f>
        <v>10.4</v>
      </c>
      <c r="G103" s="11">
        <f t="shared" si="96"/>
        <v>0</v>
      </c>
      <c r="H103" s="11">
        <f t="shared" si="97"/>
        <v>724298</v>
      </c>
      <c r="I103" s="11">
        <f t="shared" si="98"/>
        <v>0</v>
      </c>
      <c r="J103" s="11">
        <f t="shared" si="99"/>
        <v>0</v>
      </c>
    </row>
    <row r="104" spans="2:10" x14ac:dyDescent="0.3">
      <c r="B104" s="400" t="s">
        <v>767</v>
      </c>
      <c r="C104" s="13" t="str">
        <f>'OT-047 MORATO AS BUILT'!C25</f>
        <v>Ingeniería mecánica (Levantamiento e ingeniería de detalle)</v>
      </c>
      <c r="D104" s="19" t="s">
        <v>762</v>
      </c>
      <c r="E104" s="10">
        <f>'OT-047 MORATO AS BUILT'!L25</f>
        <v>0</v>
      </c>
      <c r="F104" s="302">
        <f>'OT-047 MORATO AS BUILT'!K25</f>
        <v>0</v>
      </c>
      <c r="G104" s="11">
        <f t="shared" ref="G104:G106" si="100">IF(AND(D104="INGENIERÍA ELÉCTRICA",F104&lt;&gt;0),E104,0)</f>
        <v>0</v>
      </c>
      <c r="H104" s="11">
        <f t="shared" ref="H104:H106" si="101">IF(AND(D104="INGENIERÍA CIVIL",F104&lt;&gt;0),E104,0)</f>
        <v>0</v>
      </c>
      <c r="I104" s="11">
        <f t="shared" ref="I104:I106" si="102">IF(AND(D104="INGENIERÍA MECÁNICA",F104&lt;&gt;0),E104,0)</f>
        <v>0</v>
      </c>
      <c r="J104" s="11">
        <f t="shared" ref="J104:J106" si="103">IF(AND(D104="LINEAS",F104&lt;&gt;0),E104,0)</f>
        <v>0</v>
      </c>
    </row>
    <row r="105" spans="2:10" x14ac:dyDescent="0.3">
      <c r="B105" s="400" t="s">
        <v>767</v>
      </c>
      <c r="C105" s="13" t="str">
        <f>'OT-047 MORATO AS BUILT'!C26</f>
        <v>Ingeniería eléctrica (Levantamiento e ingeniería de detalle)</v>
      </c>
      <c r="D105" s="19" t="s">
        <v>761</v>
      </c>
      <c r="E105" s="10">
        <f>'OT-047 MORATO AS BUILT'!L26</f>
        <v>50492</v>
      </c>
      <c r="F105" s="302">
        <f>'OT-047 MORATO AS BUILT'!K26</f>
        <v>0.05</v>
      </c>
      <c r="G105" s="11">
        <f t="shared" si="100"/>
        <v>50492</v>
      </c>
      <c r="H105" s="11">
        <f t="shared" si="101"/>
        <v>0</v>
      </c>
      <c r="I105" s="11">
        <f t="shared" si="102"/>
        <v>0</v>
      </c>
      <c r="J105" s="11">
        <f t="shared" si="103"/>
        <v>0</v>
      </c>
    </row>
    <row r="106" spans="2:10" x14ac:dyDescent="0.3">
      <c r="B106" s="400" t="s">
        <v>767</v>
      </c>
      <c r="C106" s="13" t="str">
        <f>'OT-047 MORATO AS BUILT'!C28</f>
        <v>Ingeniería mecánica (Levantamiento e ingeniería de detalle)</v>
      </c>
      <c r="D106" s="19" t="s">
        <v>762</v>
      </c>
      <c r="E106" s="10">
        <f>'OT-047 MORATO AS BUILT'!L28</f>
        <v>0</v>
      </c>
      <c r="F106" s="302">
        <f>'OT-047 MORATO AS BUILT'!K28</f>
        <v>0</v>
      </c>
      <c r="G106" s="11">
        <f t="shared" si="100"/>
        <v>0</v>
      </c>
      <c r="H106" s="11">
        <f t="shared" si="101"/>
        <v>0</v>
      </c>
      <c r="I106" s="11">
        <f t="shared" si="102"/>
        <v>0</v>
      </c>
      <c r="J106" s="11">
        <f t="shared" si="103"/>
        <v>0</v>
      </c>
    </row>
    <row r="107" spans="2:10" x14ac:dyDescent="0.3">
      <c r="B107" s="400" t="s">
        <v>767</v>
      </c>
      <c r="C107" s="13" t="str">
        <f>'OT-047 MORATO AS BUILT'!C29</f>
        <v>Ingeniería eléctrica (Levantamiento e ingeniería de detalle)</v>
      </c>
      <c r="D107" s="19" t="s">
        <v>761</v>
      </c>
      <c r="E107" s="10">
        <f>'OT-047 MORATO AS BUILT'!L29</f>
        <v>50492</v>
      </c>
      <c r="F107" s="302">
        <f>'OT-047 MORATO AS BUILT'!K29</f>
        <v>0.05</v>
      </c>
      <c r="G107" s="11">
        <f t="shared" ref="G107:G109" si="104">IF(AND(D107="INGENIERÍA ELÉCTRICA",F107&lt;&gt;0),E107,0)</f>
        <v>50492</v>
      </c>
      <c r="H107" s="11">
        <f t="shared" ref="H107:H109" si="105">IF(AND(D107="INGENIERÍA CIVIL",F107&lt;&gt;0),E107,0)</f>
        <v>0</v>
      </c>
      <c r="I107" s="11">
        <f t="shared" ref="I107:I109" si="106">IF(AND(D107="INGENIERÍA MECÁNICA",F107&lt;&gt;0),E107,0)</f>
        <v>0</v>
      </c>
      <c r="J107" s="11">
        <f t="shared" ref="J107:J109" si="107">IF(AND(D107="LINEAS",F107&lt;&gt;0),E107,0)</f>
        <v>0</v>
      </c>
    </row>
    <row r="108" spans="2:10" x14ac:dyDescent="0.3">
      <c r="B108" s="400" t="s">
        <v>767</v>
      </c>
      <c r="C108" s="13" t="str">
        <f>'OT-047 MORATO AS BUILT'!C31</f>
        <v>Ingeniería mecánica (Levantamiento e ingeniería de detalle)</v>
      </c>
      <c r="D108" s="19" t="s">
        <v>762</v>
      </c>
      <c r="E108" s="10">
        <f>'OT-047 MORATO AS BUILT'!L31</f>
        <v>0</v>
      </c>
      <c r="F108" s="302">
        <f>'OT-047 MORATO AS BUILT'!K31</f>
        <v>0</v>
      </c>
      <c r="G108" s="11">
        <f t="shared" si="104"/>
        <v>0</v>
      </c>
      <c r="H108" s="11">
        <f t="shared" si="105"/>
        <v>0</v>
      </c>
      <c r="I108" s="11">
        <f t="shared" si="106"/>
        <v>0</v>
      </c>
      <c r="J108" s="11">
        <f t="shared" si="107"/>
        <v>0</v>
      </c>
    </row>
    <row r="109" spans="2:10" x14ac:dyDescent="0.3">
      <c r="B109" s="400" t="s">
        <v>767</v>
      </c>
      <c r="C109" s="13" t="str">
        <f>'OT-047 MORATO AS BUILT'!C32</f>
        <v>Ingeniería eléctrica (Levantamiento e ingeniería de detalle)</v>
      </c>
      <c r="D109" s="19" t="s">
        <v>761</v>
      </c>
      <c r="E109" s="10">
        <f>'OT-047 MORATO AS BUILT'!L32</f>
        <v>50492</v>
      </c>
      <c r="F109" s="302">
        <f>'OT-047 MORATO AS BUILT'!K32</f>
        <v>0.05</v>
      </c>
      <c r="G109" s="11">
        <f t="shared" si="104"/>
        <v>50492</v>
      </c>
      <c r="H109" s="11">
        <f t="shared" si="105"/>
        <v>0</v>
      </c>
      <c r="I109" s="11">
        <f t="shared" si="106"/>
        <v>0</v>
      </c>
      <c r="J109" s="11">
        <f t="shared" si="107"/>
        <v>0</v>
      </c>
    </row>
    <row r="110" spans="2:10" x14ac:dyDescent="0.3">
      <c r="B110" s="400" t="s">
        <v>767</v>
      </c>
      <c r="C110" s="13" t="str">
        <f>'OT-047 MORATO AS BUILT'!C34</f>
        <v>Ingeniería mecánica (Levantamiento e ingeniería de detalle)</v>
      </c>
      <c r="D110" s="19" t="s">
        <v>762</v>
      </c>
      <c r="E110" s="10">
        <f>'OT-047 MORATO AS BUILT'!L34</f>
        <v>0</v>
      </c>
      <c r="F110" s="302">
        <f>'OT-047 MORATO AS BUILT'!K34</f>
        <v>0</v>
      </c>
      <c r="G110" s="11">
        <f t="shared" ref="G110:G113" si="108">IF(AND(D110="INGENIERÍA ELÉCTRICA",F110&lt;&gt;0),E110,0)</f>
        <v>0</v>
      </c>
      <c r="H110" s="11">
        <f t="shared" ref="H110:H113" si="109">IF(AND(D110="INGENIERÍA CIVIL",F110&lt;&gt;0),E110,0)</f>
        <v>0</v>
      </c>
      <c r="I110" s="11">
        <f t="shared" ref="I110:I113" si="110">IF(AND(D110="INGENIERÍA MECÁNICA",F110&lt;&gt;0),E110,0)</f>
        <v>0</v>
      </c>
      <c r="J110" s="11">
        <f t="shared" ref="J110:J113" si="111">IF(AND(D110="LINEAS",F110&lt;&gt;0),E110,0)</f>
        <v>0</v>
      </c>
    </row>
    <row r="111" spans="2:10" x14ac:dyDescent="0.3">
      <c r="B111" s="400" t="s">
        <v>767</v>
      </c>
      <c r="C111" s="13" t="str">
        <f>'OT-047 MORATO AS BUILT'!C35</f>
        <v>Ingeniería eléctrica (Levantamiento e ingeniería de detalle)</v>
      </c>
      <c r="D111" s="19" t="s">
        <v>761</v>
      </c>
      <c r="E111" s="10">
        <f>'OT-047 MORATO AS BUILT'!L35</f>
        <v>50492</v>
      </c>
      <c r="F111" s="302">
        <f>'OT-047 MORATO AS BUILT'!K35</f>
        <v>0.05</v>
      </c>
      <c r="G111" s="11">
        <f t="shared" si="108"/>
        <v>50492</v>
      </c>
      <c r="H111" s="11">
        <f t="shared" si="109"/>
        <v>0</v>
      </c>
      <c r="I111" s="11">
        <f t="shared" si="110"/>
        <v>0</v>
      </c>
      <c r="J111" s="11">
        <f t="shared" si="111"/>
        <v>0</v>
      </c>
    </row>
    <row r="112" spans="2:10" x14ac:dyDescent="0.3">
      <c r="B112" s="400" t="s">
        <v>767</v>
      </c>
      <c r="C112" s="13" t="str">
        <f>'OT-047 MORATO AS BUILT'!C37</f>
        <v>Ingeniería mecánica (Levantamiento e ingeniería de detalle)</v>
      </c>
      <c r="D112" s="19" t="s">
        <v>762</v>
      </c>
      <c r="E112" s="10">
        <f>'OT-047 MORATO AS BUILT'!L37</f>
        <v>0</v>
      </c>
      <c r="F112" s="302">
        <f>'OT-047 MORATO AS BUILT'!K37</f>
        <v>0</v>
      </c>
      <c r="G112" s="11">
        <f t="shared" si="108"/>
        <v>0</v>
      </c>
      <c r="H112" s="11">
        <f t="shared" si="109"/>
        <v>0</v>
      </c>
      <c r="I112" s="11">
        <f t="shared" si="110"/>
        <v>0</v>
      </c>
      <c r="J112" s="11">
        <f t="shared" si="111"/>
        <v>0</v>
      </c>
    </row>
    <row r="113" spans="2:10" x14ac:dyDescent="0.3">
      <c r="B113" s="400" t="s">
        <v>767</v>
      </c>
      <c r="C113" s="13" t="str">
        <f>'OT-047 MORATO AS BUILT'!C38</f>
        <v>Ingeniería eléctrica (Levantamiento e ingeniería de detalle)</v>
      </c>
      <c r="D113" s="19" t="s">
        <v>761</v>
      </c>
      <c r="E113" s="10">
        <f>'OT-047 MORATO AS BUILT'!L38</f>
        <v>311656</v>
      </c>
      <c r="F113" s="302">
        <f>'OT-047 MORATO AS BUILT'!K38</f>
        <v>0.05</v>
      </c>
      <c r="G113" s="11">
        <f t="shared" si="108"/>
        <v>311656</v>
      </c>
      <c r="H113" s="11">
        <f t="shared" si="109"/>
        <v>0</v>
      </c>
      <c r="I113" s="11">
        <f t="shared" si="110"/>
        <v>0</v>
      </c>
      <c r="J113" s="11">
        <f t="shared" si="111"/>
        <v>0</v>
      </c>
    </row>
    <row r="114" spans="2:10" x14ac:dyDescent="0.3">
      <c r="B114" s="400" t="s">
        <v>767</v>
      </c>
      <c r="C114" s="13" t="str">
        <f>'OT-047 MORATO AS BUILT'!C40</f>
        <v>Ingeniería mecánica (Levantamiento e ingeniería de detalle)</v>
      </c>
      <c r="D114" s="19" t="s">
        <v>762</v>
      </c>
      <c r="E114" s="10">
        <f>'OT-047 MORATO AS BUILT'!L40</f>
        <v>0</v>
      </c>
      <c r="F114" s="302">
        <f>'OT-047 MORATO AS BUILT'!K40</f>
        <v>0</v>
      </c>
      <c r="G114" s="11">
        <f t="shared" ref="G114:G117" si="112">IF(AND(D114="INGENIERÍA ELÉCTRICA",F114&lt;&gt;0),E114,0)</f>
        <v>0</v>
      </c>
      <c r="H114" s="11">
        <f t="shared" ref="H114:H117" si="113">IF(AND(D114="INGENIERÍA CIVIL",F114&lt;&gt;0),E114,0)</f>
        <v>0</v>
      </c>
      <c r="I114" s="11">
        <f t="shared" ref="I114:I117" si="114">IF(AND(D114="INGENIERÍA MECÁNICA",F114&lt;&gt;0),E114,0)</f>
        <v>0</v>
      </c>
      <c r="J114" s="11">
        <f t="shared" ref="J114:J117" si="115">IF(AND(D114="LINEAS",F114&lt;&gt;0),E114,0)</f>
        <v>0</v>
      </c>
    </row>
    <row r="115" spans="2:10" x14ac:dyDescent="0.3">
      <c r="B115" s="400" t="s">
        <v>767</v>
      </c>
      <c r="C115" s="13" t="str">
        <f>'OT-047 MORATO AS BUILT'!C41</f>
        <v>Ingeniería eléctrica (Levantamiento e ingeniería de detalle)</v>
      </c>
      <c r="D115" s="19" t="s">
        <v>761</v>
      </c>
      <c r="E115" s="10">
        <f>'OT-047 MORATO AS BUILT'!L41</f>
        <v>311656</v>
      </c>
      <c r="F115" s="302">
        <f>'OT-047 MORATO AS BUILT'!K41</f>
        <v>0.05</v>
      </c>
      <c r="G115" s="11">
        <f t="shared" si="112"/>
        <v>311656</v>
      </c>
      <c r="H115" s="11">
        <f t="shared" si="113"/>
        <v>0</v>
      </c>
      <c r="I115" s="11">
        <f t="shared" si="114"/>
        <v>0</v>
      </c>
      <c r="J115" s="11">
        <f t="shared" si="115"/>
        <v>0</v>
      </c>
    </row>
    <row r="116" spans="2:10" x14ac:dyDescent="0.3">
      <c r="B116" s="400" t="s">
        <v>767</v>
      </c>
      <c r="C116" s="13" t="str">
        <f>'OT-047 MORATO AS BUILT'!C43</f>
        <v>Ingeniería mecánica (Levantamiento e ingeniería de detalle)</v>
      </c>
      <c r="D116" s="19" t="s">
        <v>762</v>
      </c>
      <c r="E116" s="10">
        <f>'OT-047 MORATO AS BUILT'!L43</f>
        <v>0</v>
      </c>
      <c r="F116" s="302">
        <f>'OT-047 MORATO AS BUILT'!K43</f>
        <v>0</v>
      </c>
      <c r="G116" s="11">
        <f t="shared" si="112"/>
        <v>0</v>
      </c>
      <c r="H116" s="11">
        <f t="shared" si="113"/>
        <v>0</v>
      </c>
      <c r="I116" s="11">
        <f t="shared" si="114"/>
        <v>0</v>
      </c>
      <c r="J116" s="11">
        <f t="shared" si="115"/>
        <v>0</v>
      </c>
    </row>
    <row r="117" spans="2:10" x14ac:dyDescent="0.3">
      <c r="B117" s="400" t="s">
        <v>767</v>
      </c>
      <c r="C117" s="13" t="str">
        <f>'OT-047 MORATO AS BUILT'!C44</f>
        <v>Ingeniería eléctrica (Levantamiento e ingeniería de detalle)</v>
      </c>
      <c r="D117" s="19" t="s">
        <v>761</v>
      </c>
      <c r="E117" s="10">
        <f>'OT-047 MORATO AS BUILT'!L44</f>
        <v>525811</v>
      </c>
      <c r="F117" s="302">
        <f>'OT-047 MORATO AS BUILT'!K44</f>
        <v>0.05</v>
      </c>
      <c r="G117" s="11">
        <f t="shared" si="112"/>
        <v>525811</v>
      </c>
      <c r="H117" s="11">
        <f t="shared" si="113"/>
        <v>0</v>
      </c>
      <c r="I117" s="11">
        <f t="shared" si="114"/>
        <v>0</v>
      </c>
      <c r="J117" s="11">
        <f t="shared" si="115"/>
        <v>0</v>
      </c>
    </row>
    <row r="118" spans="2:10" x14ac:dyDescent="0.3">
      <c r="B118" s="400" t="s">
        <v>767</v>
      </c>
      <c r="C118" s="13" t="str">
        <f>'OT-047 MORATO AS BUILT'!C46</f>
        <v>Ingeniería mecánica (Levantamiento e ingeniería de detalle)</v>
      </c>
      <c r="D118" s="19" t="s">
        <v>762</v>
      </c>
      <c r="E118" s="10">
        <f>'OT-047 MORATO AS BUILT'!L46</f>
        <v>0</v>
      </c>
      <c r="F118" s="302">
        <f>'OT-047 MORATO AS BUILT'!K46</f>
        <v>0</v>
      </c>
      <c r="G118" s="11">
        <f t="shared" ref="G118:G120" si="116">IF(AND(D118="INGENIERÍA ELÉCTRICA",F118&lt;&gt;0),E118,0)</f>
        <v>0</v>
      </c>
      <c r="H118" s="11">
        <f t="shared" ref="H118:H120" si="117">IF(AND(D118="INGENIERÍA CIVIL",F118&lt;&gt;0),E118,0)</f>
        <v>0</v>
      </c>
      <c r="I118" s="11">
        <f t="shared" ref="I118:I120" si="118">IF(AND(D118="INGENIERÍA MECÁNICA",F118&lt;&gt;0),E118,0)</f>
        <v>0</v>
      </c>
      <c r="J118" s="11">
        <f t="shared" ref="J118:J120" si="119">IF(AND(D118="LINEAS",F118&lt;&gt;0),E118,0)</f>
        <v>0</v>
      </c>
    </row>
    <row r="119" spans="2:10" x14ac:dyDescent="0.3">
      <c r="B119" s="400" t="s">
        <v>767</v>
      </c>
      <c r="C119" s="13" t="str">
        <f>'OT-047 MORATO AS BUILT'!C47</f>
        <v>Ingeniería eléctrica (Levantamiento e ingeniería de detalle)</v>
      </c>
      <c r="D119" s="19" t="s">
        <v>761</v>
      </c>
      <c r="E119" s="10">
        <f>'OT-047 MORATO AS BUILT'!L47</f>
        <v>311656</v>
      </c>
      <c r="F119" s="302">
        <f>'OT-047 MORATO AS BUILT'!K47</f>
        <v>0.05</v>
      </c>
      <c r="G119" s="11">
        <f t="shared" si="116"/>
        <v>311656</v>
      </c>
      <c r="H119" s="11">
        <f t="shared" si="117"/>
        <v>0</v>
      </c>
      <c r="I119" s="11">
        <f t="shared" si="118"/>
        <v>0</v>
      </c>
      <c r="J119" s="11">
        <f t="shared" si="119"/>
        <v>0</v>
      </c>
    </row>
    <row r="120" spans="2:10" x14ac:dyDescent="0.3">
      <c r="B120" s="400" t="s">
        <v>767</v>
      </c>
      <c r="C120" s="13" t="str">
        <f>'OT-047 MORATO AS BUILT'!C49</f>
        <v>Ingeniería mecánica (Levantamiento e ingeniería de detalle)</v>
      </c>
      <c r="D120" s="19" t="s">
        <v>762</v>
      </c>
      <c r="E120" s="10">
        <f>'OT-047 MORATO AS BUILT'!L49</f>
        <v>0</v>
      </c>
      <c r="F120" s="302">
        <f>'OT-047 MORATO AS BUILT'!K49</f>
        <v>0</v>
      </c>
      <c r="G120" s="11">
        <f t="shared" si="116"/>
        <v>0</v>
      </c>
      <c r="H120" s="11">
        <f t="shared" si="117"/>
        <v>0</v>
      </c>
      <c r="I120" s="11">
        <f t="shared" si="118"/>
        <v>0</v>
      </c>
      <c r="J120" s="11">
        <f t="shared" si="119"/>
        <v>0</v>
      </c>
    </row>
    <row r="121" spans="2:10" x14ac:dyDescent="0.3">
      <c r="B121" s="400" t="s">
        <v>767</v>
      </c>
      <c r="C121" s="13" t="str">
        <f>'OT-047 MORATO AS BUILT'!C50</f>
        <v>Ingeniería eléctrica (Levantamiento e ingeniería de detalle)</v>
      </c>
      <c r="D121" s="19" t="s">
        <v>761</v>
      </c>
      <c r="E121" s="10">
        <f>'OT-047 MORATO AS BUILT'!L50</f>
        <v>525811</v>
      </c>
      <c r="F121" s="302">
        <f>'OT-047 MORATO AS BUILT'!K50</f>
        <v>0.05</v>
      </c>
      <c r="G121" s="11">
        <f t="shared" ref="G121:G124" si="120">IF(AND(D121="INGENIERÍA ELÉCTRICA",F121&lt;&gt;0),E121,0)</f>
        <v>525811</v>
      </c>
      <c r="H121" s="11">
        <f t="shared" ref="H121:H124" si="121">IF(AND(D121="INGENIERÍA CIVIL",F121&lt;&gt;0),E121,0)</f>
        <v>0</v>
      </c>
      <c r="I121" s="11">
        <f t="shared" ref="I121:I124" si="122">IF(AND(D121="INGENIERÍA MECÁNICA",F121&lt;&gt;0),E121,0)</f>
        <v>0</v>
      </c>
      <c r="J121" s="11">
        <f t="shared" ref="J121:J124" si="123">IF(AND(D121="LINEAS",F121&lt;&gt;0),E121,0)</f>
        <v>0</v>
      </c>
    </row>
    <row r="122" spans="2:10" x14ac:dyDescent="0.3">
      <c r="B122" s="400" t="s">
        <v>767</v>
      </c>
      <c r="C122" s="13" t="str">
        <f>'OT-047 MORATO AS BUILT'!C52</f>
        <v>Ingeniería mecánica (Levantamiento e ingeniería de detalle)</v>
      </c>
      <c r="D122" s="19" t="s">
        <v>762</v>
      </c>
      <c r="E122" s="10">
        <f>'OT-047 MORATO AS BUILT'!L52</f>
        <v>0</v>
      </c>
      <c r="F122" s="302">
        <f>'OT-047 MORATO AS BUILT'!K52</f>
        <v>0</v>
      </c>
      <c r="G122" s="11">
        <f t="shared" si="120"/>
        <v>0</v>
      </c>
      <c r="H122" s="11">
        <f t="shared" si="121"/>
        <v>0</v>
      </c>
      <c r="I122" s="11">
        <f t="shared" si="122"/>
        <v>0</v>
      </c>
      <c r="J122" s="11">
        <f t="shared" si="123"/>
        <v>0</v>
      </c>
    </row>
    <row r="123" spans="2:10" x14ac:dyDescent="0.3">
      <c r="B123" s="400" t="s">
        <v>767</v>
      </c>
      <c r="C123" s="13" t="str">
        <f>'OT-047 MORATO AS BUILT'!C53</f>
        <v>Ingeniería eléctrica (Levantamiento e ingeniería de detalle)</v>
      </c>
      <c r="D123" s="19" t="s">
        <v>761</v>
      </c>
      <c r="E123" s="10">
        <f>'OT-047 MORATO AS BUILT'!L53</f>
        <v>311656</v>
      </c>
      <c r="F123" s="302">
        <f>'OT-047 MORATO AS BUILT'!K53</f>
        <v>0.05</v>
      </c>
      <c r="G123" s="11">
        <f t="shared" si="120"/>
        <v>311656</v>
      </c>
      <c r="H123" s="11">
        <f t="shared" si="121"/>
        <v>0</v>
      </c>
      <c r="I123" s="11">
        <f t="shared" si="122"/>
        <v>0</v>
      </c>
      <c r="J123" s="11">
        <f t="shared" si="123"/>
        <v>0</v>
      </c>
    </row>
    <row r="124" spans="2:10" x14ac:dyDescent="0.3">
      <c r="B124" s="400" t="s">
        <v>767</v>
      </c>
      <c r="C124" s="13" t="str">
        <f>'OT-047 MORATO AS BUILT'!C55</f>
        <v>Ingeniería mecánica (Levantamiento e ingeniería de detalle)</v>
      </c>
      <c r="D124" s="19" t="s">
        <v>762</v>
      </c>
      <c r="E124" s="10">
        <f>'OT-047 MORATO AS BUILT'!L55</f>
        <v>0</v>
      </c>
      <c r="F124" s="302">
        <f>'OT-047 MORATO AS BUILT'!K55</f>
        <v>0</v>
      </c>
      <c r="G124" s="11">
        <f t="shared" si="120"/>
        <v>0</v>
      </c>
      <c r="H124" s="11">
        <f t="shared" si="121"/>
        <v>0</v>
      </c>
      <c r="I124" s="11">
        <f t="shared" si="122"/>
        <v>0</v>
      </c>
      <c r="J124" s="11">
        <f t="shared" si="123"/>
        <v>0</v>
      </c>
    </row>
    <row r="125" spans="2:10" x14ac:dyDescent="0.3">
      <c r="B125" s="400" t="s">
        <v>767</v>
      </c>
      <c r="C125" s="13" t="str">
        <f>'OT-047 MORATO AS BUILT'!C56</f>
        <v>Ingeniería eléctrica (Levantamiento e ingeniería de detalle)</v>
      </c>
      <c r="D125" s="19" t="s">
        <v>761</v>
      </c>
      <c r="E125" s="10">
        <f>'OT-047 MORATO AS BUILT'!L56</f>
        <v>275093</v>
      </c>
      <c r="F125" s="302">
        <f>'OT-047 MORATO AS BUILT'!K56</f>
        <v>0.05</v>
      </c>
      <c r="G125" s="11">
        <f t="shared" ref="G125" si="124">IF(AND(D125="INGENIERÍA ELÉCTRICA",F125&lt;&gt;0),E125,0)</f>
        <v>275093</v>
      </c>
      <c r="H125" s="11">
        <f t="shared" ref="H125" si="125">IF(AND(D125="INGENIERÍA CIVIL",F125&lt;&gt;0),E125,0)</f>
        <v>0</v>
      </c>
      <c r="I125" s="11">
        <f t="shared" ref="I125" si="126">IF(AND(D125="INGENIERÍA MECÁNICA",F125&lt;&gt;0),E125,0)</f>
        <v>0</v>
      </c>
      <c r="J125" s="11">
        <f t="shared" ref="J125" si="127">IF(AND(D125="LINEAS",F125&lt;&gt;0),E125,0)</f>
        <v>0</v>
      </c>
    </row>
    <row r="126" spans="2:10" x14ac:dyDescent="0.3">
      <c r="B126" s="400" t="s">
        <v>1275</v>
      </c>
      <c r="C126" s="13" t="str">
        <f>'OT17-048 TECHO PLANOS AS BUILT'!C14</f>
        <v>Ingeniería mecánica (Levantamiento e ingeniería de detalle)</v>
      </c>
      <c r="D126" s="19" t="s">
        <v>762</v>
      </c>
      <c r="E126" s="10">
        <f>'OT17-048 TECHO PLANOS AS BUILT'!L14</f>
        <v>0</v>
      </c>
      <c r="F126" s="302">
        <f>'OT17-048 TECHO PLANOS AS BUILT'!K14</f>
        <v>0</v>
      </c>
      <c r="G126" s="11">
        <f t="shared" ref="G126" si="128">IF(AND(D126="INGENIERÍA ELÉCTRICA",F126&lt;&gt;0),E126,0)</f>
        <v>0</v>
      </c>
      <c r="H126" s="11">
        <f t="shared" ref="H126" si="129">IF(AND(D126="INGENIERÍA CIVIL",F126&lt;&gt;0),E126,0)</f>
        <v>0</v>
      </c>
      <c r="I126" s="11">
        <f t="shared" ref="I126" si="130">IF(AND(D126="INGENIERÍA MECÁNICA",F126&lt;&gt;0),E126,0)</f>
        <v>0</v>
      </c>
      <c r="J126" s="11">
        <f t="shared" ref="J126" si="131">IF(AND(D126="LINEAS",F126&lt;&gt;0),E126,0)</f>
        <v>0</v>
      </c>
    </row>
    <row r="127" spans="2:10" x14ac:dyDescent="0.3">
      <c r="B127" s="400" t="s">
        <v>1275</v>
      </c>
      <c r="C127" s="13" t="str">
        <f>'OT17-048 TECHO PLANOS AS BUILT'!C15</f>
        <v>Ingeniería eléctrica (Levantamiento e ingeniería de detalle)</v>
      </c>
      <c r="D127" s="19" t="s">
        <v>761</v>
      </c>
      <c r="E127" s="10">
        <f>'OT17-048 TECHO PLANOS AS BUILT'!L15</f>
        <v>175503</v>
      </c>
      <c r="F127" s="302">
        <f>'OT17-048 TECHO PLANOS AS BUILT'!K15</f>
        <v>0.04</v>
      </c>
      <c r="G127" s="11">
        <f t="shared" ref="G127:G135" si="132">IF(AND(D127="INGENIERÍA ELÉCTRICA",F127&lt;&gt;0),E127,0)</f>
        <v>175503</v>
      </c>
      <c r="H127" s="11">
        <f t="shared" ref="H127:H135" si="133">IF(AND(D127="INGENIERÍA CIVIL",F127&lt;&gt;0),E127,0)</f>
        <v>0</v>
      </c>
      <c r="I127" s="11">
        <f t="shared" ref="I127:I135" si="134">IF(AND(D127="INGENIERÍA MECÁNICA",F127&lt;&gt;0),E127,0)</f>
        <v>0</v>
      </c>
      <c r="J127" s="11">
        <f t="shared" ref="J127:J135" si="135">IF(AND(D127="LINEAS",F127&lt;&gt;0),E127,0)</f>
        <v>0</v>
      </c>
    </row>
    <row r="128" spans="2:10" x14ac:dyDescent="0.3">
      <c r="B128" s="400" t="s">
        <v>1275</v>
      </c>
      <c r="C128" s="13" t="str">
        <f>'OT17-048 TECHO PLANOS AS BUILT'!C17</f>
        <v>Ingeniería mecánica (Levantamiento e ingeniería de detalle)</v>
      </c>
      <c r="D128" s="19" t="s">
        <v>762</v>
      </c>
      <c r="E128" s="10">
        <f>'OT17-048 TECHO PLANOS AS BUILT'!L17</f>
        <v>0</v>
      </c>
      <c r="F128" s="302">
        <f>'OT17-048 TECHO PLANOS AS BUILT'!K17</f>
        <v>0</v>
      </c>
      <c r="G128" s="11">
        <f t="shared" si="132"/>
        <v>0</v>
      </c>
      <c r="H128" s="11">
        <f t="shared" si="133"/>
        <v>0</v>
      </c>
      <c r="I128" s="11">
        <f t="shared" si="134"/>
        <v>0</v>
      </c>
      <c r="J128" s="11">
        <f t="shared" si="135"/>
        <v>0</v>
      </c>
    </row>
    <row r="129" spans="2:10" x14ac:dyDescent="0.3">
      <c r="B129" s="400" t="s">
        <v>1275</v>
      </c>
      <c r="C129" s="13" t="str">
        <f>'OT17-048 TECHO PLANOS AS BUILT'!C18</f>
        <v>Ingeniería eléctrica (Levantamiento e ingeniería de detalle)</v>
      </c>
      <c r="D129" s="19" t="s">
        <v>761</v>
      </c>
      <c r="E129" s="10">
        <f>'OT17-048 TECHO PLANOS AS BUILT'!L18</f>
        <v>175503</v>
      </c>
      <c r="F129" s="302">
        <f>'OT17-048 TECHO PLANOS AS BUILT'!K18</f>
        <v>0.04</v>
      </c>
      <c r="G129" s="11">
        <f t="shared" si="132"/>
        <v>175503</v>
      </c>
      <c r="H129" s="11">
        <f t="shared" si="133"/>
        <v>0</v>
      </c>
      <c r="I129" s="11">
        <f t="shared" si="134"/>
        <v>0</v>
      </c>
      <c r="J129" s="11">
        <f t="shared" si="135"/>
        <v>0</v>
      </c>
    </row>
    <row r="130" spans="2:10" x14ac:dyDescent="0.3">
      <c r="B130" s="400" t="s">
        <v>1275</v>
      </c>
      <c r="C130" s="13" t="str">
        <f>'OT17-048 TECHO PLANOS AS BUILT'!C20</f>
        <v>Ingeniería mecánica (Levantamiento e ingeniería de detalle)</v>
      </c>
      <c r="D130" s="19" t="s">
        <v>762</v>
      </c>
      <c r="E130" s="10">
        <f>'OT17-048 TECHO PLANOS AS BUILT'!L20</f>
        <v>0</v>
      </c>
      <c r="F130" s="302">
        <f>'OT17-048 TECHO PLANOS AS BUILT'!K20</f>
        <v>0</v>
      </c>
      <c r="G130" s="11">
        <f t="shared" si="132"/>
        <v>0</v>
      </c>
      <c r="H130" s="11">
        <f t="shared" si="133"/>
        <v>0</v>
      </c>
      <c r="I130" s="11">
        <f t="shared" si="134"/>
        <v>0</v>
      </c>
      <c r="J130" s="11">
        <f t="shared" si="135"/>
        <v>0</v>
      </c>
    </row>
    <row r="131" spans="2:10" x14ac:dyDescent="0.3">
      <c r="B131" s="400" t="s">
        <v>1275</v>
      </c>
      <c r="C131" s="13" t="str">
        <f>'OT17-048 TECHO PLANOS AS BUILT'!C21</f>
        <v>Ingeniería eléctrica (Levantamiento e ingeniería de detalle)</v>
      </c>
      <c r="D131" s="19" t="s">
        <v>761</v>
      </c>
      <c r="E131" s="10">
        <f>'OT17-048 TECHO PLANOS AS BUILT'!L21</f>
        <v>175503</v>
      </c>
      <c r="F131" s="302">
        <f>'OT17-048 TECHO PLANOS AS BUILT'!K21</f>
        <v>0.04</v>
      </c>
      <c r="G131" s="11">
        <f t="shared" si="132"/>
        <v>175503</v>
      </c>
      <c r="H131" s="11">
        <f t="shared" si="133"/>
        <v>0</v>
      </c>
      <c r="I131" s="11">
        <f t="shared" si="134"/>
        <v>0</v>
      </c>
      <c r="J131" s="11">
        <f t="shared" si="135"/>
        <v>0</v>
      </c>
    </row>
    <row r="132" spans="2:10" x14ac:dyDescent="0.3">
      <c r="B132" s="400" t="s">
        <v>1275</v>
      </c>
      <c r="C132" s="13" t="str">
        <f>'OT17-048 TECHO PLANOS AS BUILT'!C23</f>
        <v>Ingeniería mecánica (Levantamiento e ingeniería de detalle)</v>
      </c>
      <c r="D132" s="19" t="s">
        <v>762</v>
      </c>
      <c r="E132" s="10">
        <f>'OT17-048 TECHO PLANOS AS BUILT'!L23</f>
        <v>0</v>
      </c>
      <c r="F132" s="302">
        <f>'OT17-048 TECHO PLANOS AS BUILT'!K23</f>
        <v>0</v>
      </c>
      <c r="G132" s="11">
        <f t="shared" si="132"/>
        <v>0</v>
      </c>
      <c r="H132" s="11">
        <f t="shared" si="133"/>
        <v>0</v>
      </c>
      <c r="I132" s="11">
        <f t="shared" si="134"/>
        <v>0</v>
      </c>
      <c r="J132" s="11">
        <f t="shared" si="135"/>
        <v>0</v>
      </c>
    </row>
    <row r="133" spans="2:10" x14ac:dyDescent="0.3">
      <c r="B133" s="400" t="s">
        <v>1275</v>
      </c>
      <c r="C133" s="13" t="str">
        <f>'OT17-048 TECHO PLANOS AS BUILT'!C24</f>
        <v>Ingeniería eléctrica (Levantamiento e ingeniería de detalle)</v>
      </c>
      <c r="D133" s="19" t="s">
        <v>761</v>
      </c>
      <c r="E133" s="10">
        <f>'OT17-048 TECHO PLANOS AS BUILT'!L24</f>
        <v>175503</v>
      </c>
      <c r="F133" s="302">
        <f>'OT17-048 TECHO PLANOS AS BUILT'!K24</f>
        <v>0.04</v>
      </c>
      <c r="G133" s="11">
        <f t="shared" si="132"/>
        <v>175503</v>
      </c>
      <c r="H133" s="11">
        <f t="shared" si="133"/>
        <v>0</v>
      </c>
      <c r="I133" s="11">
        <f t="shared" si="134"/>
        <v>0</v>
      </c>
      <c r="J133" s="11">
        <f t="shared" si="135"/>
        <v>0</v>
      </c>
    </row>
    <row r="134" spans="2:10" x14ac:dyDescent="0.3">
      <c r="B134" s="400" t="s">
        <v>1275</v>
      </c>
      <c r="C134" s="13" t="str">
        <f>'OT17-048 TECHO PLANOS AS BUILT'!C26</f>
        <v>Ingeniería mecánica (Levantamiento e ingeniería de detalle)</v>
      </c>
      <c r="D134" s="19" t="s">
        <v>762</v>
      </c>
      <c r="E134" s="10">
        <f>'OT17-048 TECHO PLANOS AS BUILT'!L26</f>
        <v>0</v>
      </c>
      <c r="F134" s="302">
        <f>'OT17-048 TECHO PLANOS AS BUILT'!K26</f>
        <v>0</v>
      </c>
      <c r="G134" s="11">
        <f t="shared" si="132"/>
        <v>0</v>
      </c>
      <c r="H134" s="11">
        <f t="shared" si="133"/>
        <v>0</v>
      </c>
      <c r="I134" s="11">
        <f t="shared" si="134"/>
        <v>0</v>
      </c>
      <c r="J134" s="11">
        <f t="shared" si="135"/>
        <v>0</v>
      </c>
    </row>
    <row r="135" spans="2:10" x14ac:dyDescent="0.3">
      <c r="B135" s="400" t="s">
        <v>1275</v>
      </c>
      <c r="C135" s="13" t="str">
        <f>'OT17-048 TECHO PLANOS AS BUILT'!C27</f>
        <v>Ingeniería eléctrica (Levantamiento e ingeniería de detalle)</v>
      </c>
      <c r="D135" s="19" t="s">
        <v>761</v>
      </c>
      <c r="E135" s="10">
        <f>'OT17-048 TECHO PLANOS AS BUILT'!L27</f>
        <v>175503</v>
      </c>
      <c r="F135" s="302">
        <f>'OT17-048 TECHO PLANOS AS BUILT'!K27</f>
        <v>0.04</v>
      </c>
      <c r="G135" s="11">
        <f t="shared" si="132"/>
        <v>175503</v>
      </c>
      <c r="H135" s="11">
        <f t="shared" si="133"/>
        <v>0</v>
      </c>
      <c r="I135" s="11">
        <f t="shared" si="134"/>
        <v>0</v>
      </c>
      <c r="J135" s="11">
        <f t="shared" si="135"/>
        <v>0</v>
      </c>
    </row>
    <row r="136" spans="2:10" x14ac:dyDescent="0.3">
      <c r="B136" s="400" t="s">
        <v>1275</v>
      </c>
      <c r="C136" s="13" t="str">
        <f>'OT17-048 TECHO PLANOS AS BUILT'!C29</f>
        <v>Ingeniería mecánica (Levantamiento e ingeniería de detalle)</v>
      </c>
      <c r="D136" s="19" t="s">
        <v>762</v>
      </c>
      <c r="E136" s="10">
        <f>'OT17-048 TECHO PLANOS AS BUILT'!L29</f>
        <v>0</v>
      </c>
      <c r="F136" s="302">
        <f>'OT17-048 TECHO PLANOS AS BUILT'!K29</f>
        <v>0</v>
      </c>
      <c r="G136" s="11">
        <f t="shared" ref="G136:G140" si="136">IF(AND(D136="INGENIERÍA ELÉCTRICA",F136&lt;&gt;0),E136,0)</f>
        <v>0</v>
      </c>
      <c r="H136" s="11">
        <f t="shared" ref="H136:H140" si="137">IF(AND(D136="INGENIERÍA CIVIL",F136&lt;&gt;0),E136,0)</f>
        <v>0</v>
      </c>
      <c r="I136" s="11">
        <f t="shared" ref="I136:I140" si="138">IF(AND(D136="INGENIERÍA MECÁNICA",F136&lt;&gt;0),E136,0)</f>
        <v>0</v>
      </c>
      <c r="J136" s="11">
        <f t="shared" ref="J136:J140" si="139">IF(AND(D136="LINEAS",F136&lt;&gt;0),E136,0)</f>
        <v>0</v>
      </c>
    </row>
    <row r="137" spans="2:10" x14ac:dyDescent="0.3">
      <c r="B137" s="400" t="s">
        <v>1275</v>
      </c>
      <c r="C137" s="13" t="str">
        <f>'OT17-048 TECHO PLANOS AS BUILT'!C30</f>
        <v>Ingeniería eléctrica (Levantamiento e ingeniería de detalle)</v>
      </c>
      <c r="D137" s="19" t="s">
        <v>761</v>
      </c>
      <c r="E137" s="10">
        <f>'OT17-048 TECHO PLANOS AS BUILT'!L30</f>
        <v>175503</v>
      </c>
      <c r="F137" s="302">
        <f>'OT17-048 TECHO PLANOS AS BUILT'!K30</f>
        <v>0.04</v>
      </c>
      <c r="G137" s="11">
        <f t="shared" si="136"/>
        <v>175503</v>
      </c>
      <c r="H137" s="11">
        <f t="shared" si="137"/>
        <v>0</v>
      </c>
      <c r="I137" s="11">
        <f t="shared" si="138"/>
        <v>0</v>
      </c>
      <c r="J137" s="11">
        <f t="shared" si="139"/>
        <v>0</v>
      </c>
    </row>
    <row r="138" spans="2:10" x14ac:dyDescent="0.3">
      <c r="B138" s="400" t="s">
        <v>1275</v>
      </c>
      <c r="C138" s="13" t="str">
        <f>'OT17-048 TECHO PLANOS AS BUILT'!C32</f>
        <v>Ingeniería mecánica (Levantamiento e ingeniería de detalle)</v>
      </c>
      <c r="D138" s="19" t="s">
        <v>762</v>
      </c>
      <c r="E138" s="10">
        <f>'OT17-048 TECHO PLANOS AS BUILT'!L32</f>
        <v>0</v>
      </c>
      <c r="F138" s="302">
        <f>'OT17-048 TECHO PLANOS AS BUILT'!K32</f>
        <v>0</v>
      </c>
      <c r="G138" s="11">
        <f t="shared" si="136"/>
        <v>0</v>
      </c>
      <c r="H138" s="11">
        <f t="shared" si="137"/>
        <v>0</v>
      </c>
      <c r="I138" s="11">
        <f t="shared" si="138"/>
        <v>0</v>
      </c>
      <c r="J138" s="11">
        <f t="shared" si="139"/>
        <v>0</v>
      </c>
    </row>
    <row r="139" spans="2:10" x14ac:dyDescent="0.3">
      <c r="B139" s="400" t="s">
        <v>1275</v>
      </c>
      <c r="C139" s="13" t="str">
        <f>'OT17-048 TECHO PLANOS AS BUILT'!C33</f>
        <v>Ingeniería eléctrica (Levantamiento e ingeniería de detalle)</v>
      </c>
      <c r="D139" s="19" t="s">
        <v>761</v>
      </c>
      <c r="E139" s="10">
        <f>'OT17-048 TECHO PLANOS AS BUILT'!L33</f>
        <v>175503</v>
      </c>
      <c r="F139" s="302">
        <f>'OT17-048 TECHO PLANOS AS BUILT'!K33</f>
        <v>0.04</v>
      </c>
      <c r="G139" s="11">
        <f t="shared" si="136"/>
        <v>175503</v>
      </c>
      <c r="H139" s="11">
        <f t="shared" si="137"/>
        <v>0</v>
      </c>
      <c r="I139" s="11">
        <f t="shared" si="138"/>
        <v>0</v>
      </c>
      <c r="J139" s="11">
        <f t="shared" si="139"/>
        <v>0</v>
      </c>
    </row>
    <row r="140" spans="2:10" x14ac:dyDescent="0.3">
      <c r="B140" s="400" t="s">
        <v>1275</v>
      </c>
      <c r="C140" s="13" t="str">
        <f>'OT17-048 TECHO PLANOS AS BUILT'!C35</f>
        <v>Ingeniería mecánica (Levantamiento e ingeniería de detalle)</v>
      </c>
      <c r="D140" s="19" t="s">
        <v>762</v>
      </c>
      <c r="E140" s="10">
        <f>'OT17-048 TECHO PLANOS AS BUILT'!L35</f>
        <v>0</v>
      </c>
      <c r="F140" s="302">
        <f>'OT17-048 TECHO PLANOS AS BUILT'!K35</f>
        <v>0</v>
      </c>
      <c r="G140" s="11">
        <f t="shared" si="136"/>
        <v>0</v>
      </c>
      <c r="H140" s="11">
        <f t="shared" si="137"/>
        <v>0</v>
      </c>
      <c r="I140" s="11">
        <f t="shared" si="138"/>
        <v>0</v>
      </c>
      <c r="J140" s="11">
        <f t="shared" si="139"/>
        <v>0</v>
      </c>
    </row>
    <row r="141" spans="2:10" x14ac:dyDescent="0.3">
      <c r="B141" s="400" t="s">
        <v>1275</v>
      </c>
      <c r="C141" s="13" t="str">
        <f>'OT17-048 TECHO PLANOS AS BUILT'!C36</f>
        <v>Ingeniería eléctrica (Levantamiento e ingeniería de detalle)</v>
      </c>
      <c r="D141" s="19" t="s">
        <v>761</v>
      </c>
      <c r="E141" s="10">
        <f>'OT17-048 TECHO PLANOS AS BUILT'!L36</f>
        <v>175503</v>
      </c>
      <c r="F141" s="302">
        <f>'OT17-048 TECHO PLANOS AS BUILT'!K36</f>
        <v>0.04</v>
      </c>
      <c r="G141" s="11">
        <f t="shared" ref="G141:G148" si="140">IF(AND(D141="INGENIERÍA ELÉCTRICA",F141&lt;&gt;0),E141,0)</f>
        <v>175503</v>
      </c>
      <c r="H141" s="11">
        <f t="shared" ref="H141:H148" si="141">IF(AND(D141="INGENIERÍA CIVIL",F141&lt;&gt;0),E141,0)</f>
        <v>0</v>
      </c>
      <c r="I141" s="11">
        <f t="shared" ref="I141:I148" si="142">IF(AND(D141="INGENIERÍA MECÁNICA",F141&lt;&gt;0),E141,0)</f>
        <v>0</v>
      </c>
      <c r="J141" s="11">
        <f t="shared" ref="J141:J148" si="143">IF(AND(D141="LINEAS",F141&lt;&gt;0),E141,0)</f>
        <v>0</v>
      </c>
    </row>
    <row r="142" spans="2:10" x14ac:dyDescent="0.3">
      <c r="B142" s="400" t="s">
        <v>1275</v>
      </c>
      <c r="C142" s="13" t="str">
        <f>'OT17-048 TECHO PLANOS AS BUILT'!C38</f>
        <v>Ingeniería mecánica (Levantamiento e ingeniería de detalle)</v>
      </c>
      <c r="D142" s="19" t="s">
        <v>762</v>
      </c>
      <c r="E142" s="10">
        <f>'OT17-048 TECHO PLANOS AS BUILT'!L38</f>
        <v>0</v>
      </c>
      <c r="F142" s="302">
        <f>'OT17-048 TECHO PLANOS AS BUILT'!K38</f>
        <v>0</v>
      </c>
      <c r="G142" s="11">
        <f t="shared" si="140"/>
        <v>0</v>
      </c>
      <c r="H142" s="11">
        <f t="shared" si="141"/>
        <v>0</v>
      </c>
      <c r="I142" s="11">
        <f t="shared" si="142"/>
        <v>0</v>
      </c>
      <c r="J142" s="11">
        <f t="shared" si="143"/>
        <v>0</v>
      </c>
    </row>
    <row r="143" spans="2:10" x14ac:dyDescent="0.3">
      <c r="B143" s="400" t="s">
        <v>1275</v>
      </c>
      <c r="C143" s="13" t="str">
        <f>'OT17-048 TECHO PLANOS AS BUILT'!C39</f>
        <v>Ingeniería eléctrica (Levantamiento e ingeniería de detalle)</v>
      </c>
      <c r="D143" s="19" t="s">
        <v>761</v>
      </c>
      <c r="E143" s="10">
        <f>'OT17-048 TECHO PLANOS AS BUILT'!L39</f>
        <v>175503</v>
      </c>
      <c r="F143" s="302">
        <f>'OT17-048 TECHO PLANOS AS BUILT'!K39</f>
        <v>0.04</v>
      </c>
      <c r="G143" s="11">
        <f t="shared" si="140"/>
        <v>175503</v>
      </c>
      <c r="H143" s="11">
        <f t="shared" si="141"/>
        <v>0</v>
      </c>
      <c r="I143" s="11">
        <f t="shared" si="142"/>
        <v>0</v>
      </c>
      <c r="J143" s="11">
        <f t="shared" si="143"/>
        <v>0</v>
      </c>
    </row>
    <row r="144" spans="2:10" x14ac:dyDescent="0.3">
      <c r="B144" s="400" t="s">
        <v>1275</v>
      </c>
      <c r="C144" s="13" t="str">
        <f>'OT17-048 TECHO PLANOS AS BUILT'!C41</f>
        <v>Ingeniería mecánica (Levantamiento e ingeniería de detalle)</v>
      </c>
      <c r="D144" s="19" t="s">
        <v>762</v>
      </c>
      <c r="E144" s="10">
        <f>'OT17-048 TECHO PLANOS AS BUILT'!L41</f>
        <v>0</v>
      </c>
      <c r="F144" s="302">
        <f>'OT17-048 TECHO PLANOS AS BUILT'!K41</f>
        <v>0</v>
      </c>
      <c r="G144" s="11">
        <f t="shared" si="140"/>
        <v>0</v>
      </c>
      <c r="H144" s="11">
        <f t="shared" si="141"/>
        <v>0</v>
      </c>
      <c r="I144" s="11">
        <f t="shared" si="142"/>
        <v>0</v>
      </c>
      <c r="J144" s="11">
        <f t="shared" si="143"/>
        <v>0</v>
      </c>
    </row>
    <row r="145" spans="2:10" x14ac:dyDescent="0.3">
      <c r="B145" s="400" t="s">
        <v>1275</v>
      </c>
      <c r="C145" s="13" t="str">
        <f>'OT17-048 TECHO PLANOS AS BUILT'!C42</f>
        <v>Ingeniería eléctrica (Levantamiento e ingeniería de detalle)</v>
      </c>
      <c r="D145" s="19" t="s">
        <v>761</v>
      </c>
      <c r="E145" s="10">
        <f>'OT17-048 TECHO PLANOS AS BUILT'!L42</f>
        <v>175503</v>
      </c>
      <c r="F145" s="302">
        <f>'OT17-048 TECHO PLANOS AS BUILT'!K42</f>
        <v>0.04</v>
      </c>
      <c r="G145" s="11">
        <f t="shared" si="140"/>
        <v>175503</v>
      </c>
      <c r="H145" s="11">
        <f t="shared" si="141"/>
        <v>0</v>
      </c>
      <c r="I145" s="11">
        <f t="shared" si="142"/>
        <v>0</v>
      </c>
      <c r="J145" s="11">
        <f t="shared" si="143"/>
        <v>0</v>
      </c>
    </row>
    <row r="146" spans="2:10" x14ac:dyDescent="0.3">
      <c r="B146" s="400" t="s">
        <v>1275</v>
      </c>
      <c r="C146" s="13" t="str">
        <f>'OT17-048 TECHO PLANOS AS BUILT'!C44</f>
        <v>Ingeniería mecánica (Levantamiento e ingeniería de detalle)</v>
      </c>
      <c r="D146" s="19" t="s">
        <v>762</v>
      </c>
      <c r="E146" s="10">
        <f>'OT17-048 TECHO PLANOS AS BUILT'!L44</f>
        <v>0</v>
      </c>
      <c r="F146" s="302">
        <f>'OT17-048 TECHO PLANOS AS BUILT'!K44</f>
        <v>0</v>
      </c>
      <c r="G146" s="11">
        <f t="shared" si="140"/>
        <v>0</v>
      </c>
      <c r="H146" s="11">
        <f t="shared" si="141"/>
        <v>0</v>
      </c>
      <c r="I146" s="11">
        <f t="shared" si="142"/>
        <v>0</v>
      </c>
      <c r="J146" s="11">
        <f t="shared" si="143"/>
        <v>0</v>
      </c>
    </row>
    <row r="147" spans="2:10" x14ac:dyDescent="0.3">
      <c r="B147" s="400" t="s">
        <v>1275</v>
      </c>
      <c r="C147" s="13" t="str">
        <f>'OT17-048 TECHO PLANOS AS BUILT'!C45</f>
        <v>Ingeniería eléctrica (Levantamiento e ingeniería de detalle)</v>
      </c>
      <c r="D147" s="19" t="s">
        <v>761</v>
      </c>
      <c r="E147" s="10">
        <f>'OT17-048 TECHO PLANOS AS BUILT'!L45</f>
        <v>175503</v>
      </c>
      <c r="F147" s="302">
        <f>'OT17-048 TECHO PLANOS AS BUILT'!K45</f>
        <v>0.04</v>
      </c>
      <c r="G147" s="11">
        <f t="shared" si="140"/>
        <v>175503</v>
      </c>
      <c r="H147" s="11">
        <f t="shared" si="141"/>
        <v>0</v>
      </c>
      <c r="I147" s="11">
        <f t="shared" si="142"/>
        <v>0</v>
      </c>
      <c r="J147" s="11">
        <f t="shared" si="143"/>
        <v>0</v>
      </c>
    </row>
    <row r="148" spans="2:10" x14ac:dyDescent="0.3">
      <c r="B148" s="400" t="s">
        <v>1275</v>
      </c>
      <c r="C148" s="13" t="str">
        <f>'OT17-048 TECHO PLANOS AS BUILT'!C47</f>
        <v>Ingeniería mecánica (Levantamiento e ingeniería de detalle)</v>
      </c>
      <c r="D148" s="19" t="s">
        <v>762</v>
      </c>
      <c r="E148" s="10">
        <f>'OT17-048 TECHO PLANOS AS BUILT'!L47</f>
        <v>0</v>
      </c>
      <c r="F148" s="302">
        <f>'OT17-048 TECHO PLANOS AS BUILT'!K47</f>
        <v>0</v>
      </c>
      <c r="G148" s="11">
        <f t="shared" si="140"/>
        <v>0</v>
      </c>
      <c r="H148" s="11">
        <f t="shared" si="141"/>
        <v>0</v>
      </c>
      <c r="I148" s="11">
        <f t="shared" si="142"/>
        <v>0</v>
      </c>
      <c r="J148" s="11">
        <f t="shared" si="143"/>
        <v>0</v>
      </c>
    </row>
    <row r="149" spans="2:10" x14ac:dyDescent="0.3">
      <c r="B149" s="400" t="s">
        <v>1275</v>
      </c>
      <c r="C149" s="13" t="str">
        <f>'OT17-048 TECHO PLANOS AS BUILT'!C48</f>
        <v>Ingeniería eléctrica (Levantamiento e ingeniería de detalle)</v>
      </c>
      <c r="D149" s="19" t="s">
        <v>761</v>
      </c>
      <c r="E149" s="10">
        <f>'OT17-048 TECHO PLANOS AS BUILT'!L48</f>
        <v>175503</v>
      </c>
      <c r="F149" s="302">
        <f>'OT17-048 TECHO PLANOS AS BUILT'!K48</f>
        <v>0.04</v>
      </c>
      <c r="G149" s="11">
        <f t="shared" ref="G149:G153" si="144">IF(AND(D149="INGENIERÍA ELÉCTRICA",F149&lt;&gt;0),E149,0)</f>
        <v>175503</v>
      </c>
      <c r="H149" s="11">
        <f t="shared" ref="H149:H153" si="145">IF(AND(D149="INGENIERÍA CIVIL",F149&lt;&gt;0),E149,0)</f>
        <v>0</v>
      </c>
      <c r="I149" s="11">
        <f t="shared" ref="I149:I153" si="146">IF(AND(D149="INGENIERÍA MECÁNICA",F149&lt;&gt;0),E149,0)</f>
        <v>0</v>
      </c>
      <c r="J149" s="11">
        <f t="shared" ref="J149:J153" si="147">IF(AND(D149="LINEAS",F149&lt;&gt;0),E149,0)</f>
        <v>0</v>
      </c>
    </row>
    <row r="150" spans="2:10" x14ac:dyDescent="0.3">
      <c r="B150" s="400" t="s">
        <v>1275</v>
      </c>
      <c r="C150" s="13" t="str">
        <f>'OT17-048 TECHO PLANOS AS BUILT'!C50</f>
        <v>Ingeniería mecánica (Levantamiento e ingeniería de detalle)</v>
      </c>
      <c r="D150" s="19" t="s">
        <v>762</v>
      </c>
      <c r="E150" s="10">
        <f>'OT17-048 TECHO PLANOS AS BUILT'!L50</f>
        <v>0</v>
      </c>
      <c r="F150" s="302">
        <f>'OT17-048 TECHO PLANOS AS BUILT'!K50</f>
        <v>0</v>
      </c>
      <c r="G150" s="11">
        <f t="shared" si="144"/>
        <v>0</v>
      </c>
      <c r="H150" s="11">
        <f t="shared" si="145"/>
        <v>0</v>
      </c>
      <c r="I150" s="11">
        <f t="shared" si="146"/>
        <v>0</v>
      </c>
      <c r="J150" s="11">
        <f t="shared" si="147"/>
        <v>0</v>
      </c>
    </row>
    <row r="151" spans="2:10" x14ac:dyDescent="0.3">
      <c r="B151" s="400" t="s">
        <v>1275</v>
      </c>
      <c r="C151" s="13" t="str">
        <f>'OT17-048 TECHO PLANOS AS BUILT'!C51</f>
        <v>Ingeniería eléctrica (Levantamiento e ingeniería de detalle)</v>
      </c>
      <c r="D151" s="19" t="s">
        <v>761</v>
      </c>
      <c r="E151" s="10">
        <f>'OT17-048 TECHO PLANOS AS BUILT'!L51</f>
        <v>175503</v>
      </c>
      <c r="F151" s="302">
        <f>'OT17-048 TECHO PLANOS AS BUILT'!K51</f>
        <v>0.04</v>
      </c>
      <c r="G151" s="11">
        <f t="shared" si="144"/>
        <v>175503</v>
      </c>
      <c r="H151" s="11">
        <f t="shared" si="145"/>
        <v>0</v>
      </c>
      <c r="I151" s="11">
        <f t="shared" si="146"/>
        <v>0</v>
      </c>
      <c r="J151" s="11">
        <f t="shared" si="147"/>
        <v>0</v>
      </c>
    </row>
    <row r="152" spans="2:10" x14ac:dyDescent="0.3">
      <c r="B152" s="400" t="s">
        <v>1275</v>
      </c>
      <c r="C152" s="13" t="str">
        <f>'OT17-048 TECHO PLANOS AS BUILT'!C53</f>
        <v>Ingeniería mecánica (Levantamiento e ingeniería de detalle)</v>
      </c>
      <c r="D152" s="19" t="s">
        <v>762</v>
      </c>
      <c r="E152" s="10">
        <f>'OT17-048 TECHO PLANOS AS BUILT'!L53</f>
        <v>0</v>
      </c>
      <c r="F152" s="302">
        <f>'OT17-048 TECHO PLANOS AS BUILT'!K53</f>
        <v>0</v>
      </c>
      <c r="G152" s="11">
        <f t="shared" si="144"/>
        <v>0</v>
      </c>
      <c r="H152" s="11">
        <f t="shared" si="145"/>
        <v>0</v>
      </c>
      <c r="I152" s="11">
        <f t="shared" si="146"/>
        <v>0</v>
      </c>
      <c r="J152" s="11">
        <f t="shared" si="147"/>
        <v>0</v>
      </c>
    </row>
    <row r="153" spans="2:10" x14ac:dyDescent="0.3">
      <c r="B153" s="400" t="s">
        <v>1275</v>
      </c>
      <c r="C153" s="13" t="str">
        <f>'OT17-048 TECHO PLANOS AS BUILT'!C54</f>
        <v>Ingeniería eléctrica (Levantamiento e ingeniería de detalle)</v>
      </c>
      <c r="D153" s="19" t="s">
        <v>761</v>
      </c>
      <c r="E153" s="10">
        <f>'OT17-048 TECHO PLANOS AS BUILT'!L54</f>
        <v>175503</v>
      </c>
      <c r="F153" s="302">
        <f>'OT17-048 TECHO PLANOS AS BUILT'!K54</f>
        <v>0.04</v>
      </c>
      <c r="G153" s="11">
        <f t="shared" si="144"/>
        <v>175503</v>
      </c>
      <c r="H153" s="11">
        <f t="shared" si="145"/>
        <v>0</v>
      </c>
      <c r="I153" s="11">
        <f t="shared" si="146"/>
        <v>0</v>
      </c>
      <c r="J153" s="11">
        <f t="shared" si="147"/>
        <v>0</v>
      </c>
    </row>
    <row r="154" spans="2:10" x14ac:dyDescent="0.3">
      <c r="B154" s="400" t="s">
        <v>1275</v>
      </c>
      <c r="C154" s="13" t="str">
        <f>'OT17-048 TECHO PLANOS AS BUILT'!C56</f>
        <v>Ingeniería mecánica (Levantamiento e ingeniería de detalle)</v>
      </c>
      <c r="D154" s="19" t="s">
        <v>762</v>
      </c>
      <c r="E154" s="10">
        <f>'OT17-048 TECHO PLANOS AS BUILT'!L56</f>
        <v>0</v>
      </c>
      <c r="F154" s="302">
        <f>'OT17-048 TECHO PLANOS AS BUILT'!K56</f>
        <v>0</v>
      </c>
      <c r="G154" s="11">
        <f t="shared" ref="G154:G157" si="148">IF(AND(D154="INGENIERÍA ELÉCTRICA",F154&lt;&gt;0),E154,0)</f>
        <v>0</v>
      </c>
      <c r="H154" s="11">
        <f t="shared" ref="H154:H157" si="149">IF(AND(D154="INGENIERÍA CIVIL",F154&lt;&gt;0),E154,0)</f>
        <v>0</v>
      </c>
      <c r="I154" s="11">
        <f t="shared" ref="I154:I157" si="150">IF(AND(D154="INGENIERÍA MECÁNICA",F154&lt;&gt;0),E154,0)</f>
        <v>0</v>
      </c>
      <c r="J154" s="11">
        <f t="shared" ref="J154:J157" si="151">IF(AND(D154="LINEAS",F154&lt;&gt;0),E154,0)</f>
        <v>0</v>
      </c>
    </row>
    <row r="155" spans="2:10" x14ac:dyDescent="0.3">
      <c r="B155" s="400" t="s">
        <v>1275</v>
      </c>
      <c r="C155" s="13" t="str">
        <f>'OT17-048 TECHO PLANOS AS BUILT'!C57</f>
        <v>Ingeniería eléctrica (Levantamiento e ingeniería de detalle)</v>
      </c>
      <c r="D155" s="19" t="s">
        <v>761</v>
      </c>
      <c r="E155" s="10">
        <f>'OT17-048 TECHO PLANOS AS BUILT'!L57</f>
        <v>175503</v>
      </c>
      <c r="F155" s="302">
        <f>'OT17-048 TECHO PLANOS AS BUILT'!K57</f>
        <v>0.04</v>
      </c>
      <c r="G155" s="11">
        <f t="shared" si="148"/>
        <v>175503</v>
      </c>
      <c r="H155" s="11">
        <f t="shared" si="149"/>
        <v>0</v>
      </c>
      <c r="I155" s="11">
        <f t="shared" si="150"/>
        <v>0</v>
      </c>
      <c r="J155" s="11">
        <f t="shared" si="151"/>
        <v>0</v>
      </c>
    </row>
    <row r="156" spans="2:10" x14ac:dyDescent="0.3">
      <c r="B156" s="400" t="s">
        <v>1275</v>
      </c>
      <c r="C156" s="13" t="str">
        <f>'OT17-048 TECHO PLANOS AS BUILT'!C59</f>
        <v>Ingeniería mecánica (Levantamiento e ingeniería de detalle)</v>
      </c>
      <c r="D156" s="19" t="s">
        <v>762</v>
      </c>
      <c r="E156" s="10">
        <f>'OT17-048 TECHO PLANOS AS BUILT'!L59</f>
        <v>0</v>
      </c>
      <c r="F156" s="302">
        <f>'OT17-048 TECHO PLANOS AS BUILT'!K59</f>
        <v>0</v>
      </c>
      <c r="G156" s="11">
        <f t="shared" si="148"/>
        <v>0</v>
      </c>
      <c r="H156" s="11">
        <f t="shared" si="149"/>
        <v>0</v>
      </c>
      <c r="I156" s="11">
        <f t="shared" si="150"/>
        <v>0</v>
      </c>
      <c r="J156" s="11">
        <f t="shared" si="151"/>
        <v>0</v>
      </c>
    </row>
    <row r="157" spans="2:10" x14ac:dyDescent="0.3">
      <c r="B157" s="400" t="s">
        <v>1275</v>
      </c>
      <c r="C157" s="13" t="str">
        <f>'OT17-048 TECHO PLANOS AS BUILT'!C60</f>
        <v>Ingeniería eléctrica (Levantamiento e ingeniería de detalle)</v>
      </c>
      <c r="D157" s="19" t="s">
        <v>761</v>
      </c>
      <c r="E157" s="10">
        <f>'OT17-048 TECHO PLANOS AS BUILT'!L60</f>
        <v>175503</v>
      </c>
      <c r="F157" s="302">
        <f>'OT17-048 TECHO PLANOS AS BUILT'!K60</f>
        <v>0.04</v>
      </c>
      <c r="G157" s="11">
        <f t="shared" si="148"/>
        <v>175503</v>
      </c>
      <c r="H157" s="11">
        <f t="shared" si="149"/>
        <v>0</v>
      </c>
      <c r="I157" s="11">
        <f t="shared" si="150"/>
        <v>0</v>
      </c>
      <c r="J157" s="11">
        <f t="shared" si="151"/>
        <v>0</v>
      </c>
    </row>
    <row r="158" spans="2:10" x14ac:dyDescent="0.3">
      <c r="B158" s="400" t="s">
        <v>1275</v>
      </c>
      <c r="C158" s="13" t="str">
        <f>'OT17-048 TECHO PLANOS AS BUILT'!C62</f>
        <v>Ingeniería mecánica (Levantamiento e ingeniería de detalle)</v>
      </c>
      <c r="D158" s="19" t="s">
        <v>762</v>
      </c>
      <c r="E158" s="10">
        <f>'OT17-048 TECHO PLANOS AS BUILT'!L62</f>
        <v>0</v>
      </c>
      <c r="F158" s="302">
        <f>'OT17-048 TECHO PLANOS AS BUILT'!K62</f>
        <v>0</v>
      </c>
      <c r="G158" s="11">
        <f t="shared" ref="G158:G162" si="152">IF(AND(D158="INGENIERÍA ELÉCTRICA",F158&lt;&gt;0),E158,0)</f>
        <v>0</v>
      </c>
      <c r="H158" s="11">
        <f t="shared" ref="H158:H162" si="153">IF(AND(D158="INGENIERÍA CIVIL",F158&lt;&gt;0),E158,0)</f>
        <v>0</v>
      </c>
      <c r="I158" s="11">
        <f t="shared" ref="I158:I162" si="154">IF(AND(D158="INGENIERÍA MECÁNICA",F158&lt;&gt;0),E158,0)</f>
        <v>0</v>
      </c>
      <c r="J158" s="11">
        <f t="shared" ref="J158:J162" si="155">IF(AND(D158="LINEAS",F158&lt;&gt;0),E158,0)</f>
        <v>0</v>
      </c>
    </row>
    <row r="159" spans="2:10" x14ac:dyDescent="0.3">
      <c r="B159" s="400" t="s">
        <v>1275</v>
      </c>
      <c r="C159" s="13" t="str">
        <f>'OT17-048 TECHO PLANOS AS BUILT'!C63</f>
        <v>Ingeniería eléctrica (Levantamiento e ingeniería de detalle)</v>
      </c>
      <c r="D159" s="19" t="s">
        <v>761</v>
      </c>
      <c r="E159" s="10">
        <f>'OT17-048 TECHO PLANOS AS BUILT'!L63</f>
        <v>175503</v>
      </c>
      <c r="F159" s="302">
        <f>'OT17-048 TECHO PLANOS AS BUILT'!K63</f>
        <v>0.04</v>
      </c>
      <c r="G159" s="11">
        <f t="shared" si="152"/>
        <v>175503</v>
      </c>
      <c r="H159" s="11">
        <f t="shared" si="153"/>
        <v>0</v>
      </c>
      <c r="I159" s="11">
        <f t="shared" si="154"/>
        <v>0</v>
      </c>
      <c r="J159" s="11">
        <f t="shared" si="155"/>
        <v>0</v>
      </c>
    </row>
    <row r="160" spans="2:10" x14ac:dyDescent="0.3">
      <c r="B160" s="400" t="s">
        <v>1275</v>
      </c>
      <c r="C160" s="13" t="str">
        <f>'OT17-048 TECHO PLANOS AS BUILT'!C65</f>
        <v>Ingeniería mecánica (Levantamiento e ingeniería de detalle)</v>
      </c>
      <c r="D160" s="19" t="s">
        <v>762</v>
      </c>
      <c r="E160" s="10">
        <f>'OT17-048 TECHO PLANOS AS BUILT'!L65</f>
        <v>0</v>
      </c>
      <c r="F160" s="302">
        <f>'OT17-048 TECHO PLANOS AS BUILT'!K65</f>
        <v>0</v>
      </c>
      <c r="G160" s="11">
        <f t="shared" si="152"/>
        <v>0</v>
      </c>
      <c r="H160" s="11">
        <f t="shared" si="153"/>
        <v>0</v>
      </c>
      <c r="I160" s="11">
        <f t="shared" si="154"/>
        <v>0</v>
      </c>
      <c r="J160" s="11">
        <f t="shared" si="155"/>
        <v>0</v>
      </c>
    </row>
    <row r="161" spans="2:10" x14ac:dyDescent="0.3">
      <c r="B161" s="400" t="s">
        <v>1275</v>
      </c>
      <c r="C161" s="13" t="str">
        <f>'OT17-048 TECHO PLANOS AS BUILT'!C66</f>
        <v>Ingeniería eléctrica (Levantamiento e ingeniería de detalle)</v>
      </c>
      <c r="D161" s="19" t="s">
        <v>761</v>
      </c>
      <c r="E161" s="10">
        <f>'OT17-048 TECHO PLANOS AS BUILT'!L66</f>
        <v>175503</v>
      </c>
      <c r="F161" s="302">
        <f>'OT17-048 TECHO PLANOS AS BUILT'!K66</f>
        <v>0.04</v>
      </c>
      <c r="G161" s="11">
        <f t="shared" si="152"/>
        <v>175503</v>
      </c>
      <c r="H161" s="11">
        <f t="shared" si="153"/>
        <v>0</v>
      </c>
      <c r="I161" s="11">
        <f t="shared" si="154"/>
        <v>0</v>
      </c>
      <c r="J161" s="11">
        <f t="shared" si="155"/>
        <v>0</v>
      </c>
    </row>
    <row r="162" spans="2:10" x14ac:dyDescent="0.3">
      <c r="B162" s="400" t="s">
        <v>1275</v>
      </c>
      <c r="C162" s="13" t="str">
        <f>'OT17-048 TECHO PLANOS AS BUILT'!C68</f>
        <v>Ingeniería mecánica (Levantamiento e ingeniería de detalle)</v>
      </c>
      <c r="D162" s="19" t="s">
        <v>762</v>
      </c>
      <c r="E162" s="10">
        <f>'OT17-048 TECHO PLANOS AS BUILT'!L68</f>
        <v>0</v>
      </c>
      <c r="F162" s="302">
        <f>'OT17-048 TECHO PLANOS AS BUILT'!K68</f>
        <v>0</v>
      </c>
      <c r="G162" s="11">
        <f t="shared" si="152"/>
        <v>0</v>
      </c>
      <c r="H162" s="11">
        <f t="shared" si="153"/>
        <v>0</v>
      </c>
      <c r="I162" s="11">
        <f t="shared" si="154"/>
        <v>0</v>
      </c>
      <c r="J162" s="11">
        <f t="shared" si="155"/>
        <v>0</v>
      </c>
    </row>
    <row r="163" spans="2:10" x14ac:dyDescent="0.3">
      <c r="B163" s="400" t="s">
        <v>1275</v>
      </c>
      <c r="C163" s="13" t="str">
        <f>'OT17-048 TECHO PLANOS AS BUILT'!C69</f>
        <v>Ingeniería eléctrica (Levantamiento e ingeniería de detalle)</v>
      </c>
      <c r="D163" s="19" t="s">
        <v>761</v>
      </c>
      <c r="E163" s="10">
        <f>'OT17-048 TECHO PLANOS AS BUILT'!L69</f>
        <v>175503</v>
      </c>
      <c r="F163" s="302">
        <f>'OT17-048 TECHO PLANOS AS BUILT'!K69</f>
        <v>0.04</v>
      </c>
      <c r="G163" s="11">
        <f t="shared" ref="G163:G165" si="156">IF(AND(D163="INGENIERÍA ELÉCTRICA",F163&lt;&gt;0),E163,0)</f>
        <v>175503</v>
      </c>
      <c r="H163" s="11">
        <f t="shared" ref="H163:H165" si="157">IF(AND(D163="INGENIERÍA CIVIL",F163&lt;&gt;0),E163,0)</f>
        <v>0</v>
      </c>
      <c r="I163" s="11">
        <f t="shared" ref="I163:I165" si="158">IF(AND(D163="INGENIERÍA MECÁNICA",F163&lt;&gt;0),E163,0)</f>
        <v>0</v>
      </c>
      <c r="J163" s="11">
        <f t="shared" ref="J163:J165" si="159">IF(AND(D163="LINEAS",F163&lt;&gt;0),E163,0)</f>
        <v>0</v>
      </c>
    </row>
    <row r="164" spans="2:10" x14ac:dyDescent="0.3">
      <c r="B164" s="400" t="s">
        <v>1275</v>
      </c>
      <c r="C164" s="13" t="str">
        <f>'OT17-048 TECHO PLANOS AS BUILT'!C71</f>
        <v>Ingeniería mecánica (Levantamiento e ingeniería de detalle)</v>
      </c>
      <c r="D164" s="19" t="s">
        <v>762</v>
      </c>
      <c r="E164" s="10">
        <f>'OT17-048 TECHO PLANOS AS BUILT'!L71</f>
        <v>0</v>
      </c>
      <c r="F164" s="302">
        <f>'OT17-048 TECHO PLANOS AS BUILT'!K71</f>
        <v>0</v>
      </c>
      <c r="G164" s="11">
        <f t="shared" si="156"/>
        <v>0</v>
      </c>
      <c r="H164" s="11">
        <f t="shared" si="157"/>
        <v>0</v>
      </c>
      <c r="I164" s="11">
        <f t="shared" si="158"/>
        <v>0</v>
      </c>
      <c r="J164" s="11">
        <f t="shared" si="159"/>
        <v>0</v>
      </c>
    </row>
    <row r="165" spans="2:10" x14ac:dyDescent="0.3">
      <c r="B165" s="400" t="s">
        <v>1275</v>
      </c>
      <c r="C165" s="13" t="str">
        <f>'OT17-048 TECHO PLANOS AS BUILT'!C72</f>
        <v>Ingeniería eléctrica (Levantamiento e ingeniería de detalle)</v>
      </c>
      <c r="D165" s="19" t="s">
        <v>761</v>
      </c>
      <c r="E165" s="10">
        <f>'OT17-048 TECHO PLANOS AS BUILT'!L72</f>
        <v>175503</v>
      </c>
      <c r="F165" s="302">
        <f>'OT17-048 TECHO PLANOS AS BUILT'!K72</f>
        <v>0.04</v>
      </c>
      <c r="G165" s="11">
        <f t="shared" si="156"/>
        <v>175503</v>
      </c>
      <c r="H165" s="11">
        <f t="shared" si="157"/>
        <v>0</v>
      </c>
      <c r="I165" s="11">
        <f t="shared" si="158"/>
        <v>0</v>
      </c>
      <c r="J165" s="11">
        <f t="shared" si="159"/>
        <v>0</v>
      </c>
    </row>
    <row r="166" spans="2:10" x14ac:dyDescent="0.3">
      <c r="B166" s="400" t="s">
        <v>1275</v>
      </c>
      <c r="C166" s="13" t="str">
        <f>'OT17-048 TECHO PLANOS AS BUILT'!C74</f>
        <v>Ingeniería mecánica (Levantamiento e ingeniería de detalle)</v>
      </c>
      <c r="D166" s="19" t="s">
        <v>762</v>
      </c>
      <c r="E166" s="10">
        <f>'OT17-048 TECHO PLANOS AS BUILT'!L74</f>
        <v>0</v>
      </c>
      <c r="F166" s="302">
        <f>'OT17-048 TECHO PLANOS AS BUILT'!K74</f>
        <v>0</v>
      </c>
      <c r="G166" s="11">
        <f t="shared" ref="G166:G171" si="160">IF(AND(D166="INGENIERÍA ELÉCTRICA",F166&lt;&gt;0),E166,0)</f>
        <v>0</v>
      </c>
      <c r="H166" s="11">
        <f t="shared" ref="H166:H171" si="161">IF(AND(D166="INGENIERÍA CIVIL",F166&lt;&gt;0),E166,0)</f>
        <v>0</v>
      </c>
      <c r="I166" s="11">
        <f t="shared" ref="I166:I171" si="162">IF(AND(D166="INGENIERÍA MECÁNICA",F166&lt;&gt;0),E166,0)</f>
        <v>0</v>
      </c>
      <c r="J166" s="11">
        <f t="shared" ref="J166:J171" si="163">IF(AND(D166="LINEAS",F166&lt;&gt;0),E166,0)</f>
        <v>0</v>
      </c>
    </row>
    <row r="167" spans="2:10" x14ac:dyDescent="0.3">
      <c r="B167" s="400" t="s">
        <v>1275</v>
      </c>
      <c r="C167" s="13" t="str">
        <f>'OT17-048 TECHO PLANOS AS BUILT'!C75</f>
        <v>Ingeniería eléctrica (Levantamiento e ingeniería de detalle)</v>
      </c>
      <c r="D167" s="19" t="s">
        <v>761</v>
      </c>
      <c r="E167" s="10">
        <f>'OT17-048 TECHO PLANOS AS BUILT'!L75</f>
        <v>175503</v>
      </c>
      <c r="F167" s="302">
        <f>'OT17-048 TECHO PLANOS AS BUILT'!K75</f>
        <v>0.04</v>
      </c>
      <c r="G167" s="11">
        <f t="shared" si="160"/>
        <v>175503</v>
      </c>
      <c r="H167" s="11">
        <f t="shared" si="161"/>
        <v>0</v>
      </c>
      <c r="I167" s="11">
        <f t="shared" si="162"/>
        <v>0</v>
      </c>
      <c r="J167" s="11">
        <f t="shared" si="163"/>
        <v>0</v>
      </c>
    </row>
    <row r="168" spans="2:10" x14ac:dyDescent="0.3">
      <c r="B168" s="400" t="s">
        <v>1275</v>
      </c>
      <c r="C168" s="13" t="str">
        <f>'OT17-048 TECHO PLANOS AS BUILT'!C77</f>
        <v>Ingeniería mecánica (Levantamiento e ingeniería de detalle)</v>
      </c>
      <c r="D168" s="19" t="s">
        <v>762</v>
      </c>
      <c r="E168" s="10">
        <f>'OT17-048 TECHO PLANOS AS BUILT'!L77</f>
        <v>0</v>
      </c>
      <c r="F168" s="302">
        <f>'OT17-048 TECHO PLANOS AS BUILT'!K77</f>
        <v>0</v>
      </c>
      <c r="G168" s="11">
        <f t="shared" si="160"/>
        <v>0</v>
      </c>
      <c r="H168" s="11">
        <f t="shared" si="161"/>
        <v>0</v>
      </c>
      <c r="I168" s="11">
        <f t="shared" si="162"/>
        <v>0</v>
      </c>
      <c r="J168" s="11">
        <f t="shared" si="163"/>
        <v>0</v>
      </c>
    </row>
    <row r="169" spans="2:10" x14ac:dyDescent="0.3">
      <c r="B169" s="400" t="s">
        <v>1275</v>
      </c>
      <c r="C169" s="13" t="str">
        <f>'OT17-048 TECHO PLANOS AS BUILT'!C78</f>
        <v>Ingeniería eléctrica (Levantamiento e ingeniería de detalle)</v>
      </c>
      <c r="D169" s="19" t="s">
        <v>761</v>
      </c>
      <c r="E169" s="10">
        <f>'OT17-048 TECHO PLANOS AS BUILT'!L78</f>
        <v>175503</v>
      </c>
      <c r="F169" s="302">
        <f>'OT17-048 TECHO PLANOS AS BUILT'!K78</f>
        <v>0.04</v>
      </c>
      <c r="G169" s="11">
        <f t="shared" si="160"/>
        <v>175503</v>
      </c>
      <c r="H169" s="11">
        <f t="shared" si="161"/>
        <v>0</v>
      </c>
      <c r="I169" s="11">
        <f t="shared" si="162"/>
        <v>0</v>
      </c>
      <c r="J169" s="11">
        <f t="shared" si="163"/>
        <v>0</v>
      </c>
    </row>
    <row r="170" spans="2:10" x14ac:dyDescent="0.3">
      <c r="B170" s="400" t="s">
        <v>1275</v>
      </c>
      <c r="C170" s="13" t="str">
        <f>'OT17-048 TECHO PLANOS AS BUILT'!C80</f>
        <v>Ingeniería mecánica (Levantamiento e ingeniería de detalle)</v>
      </c>
      <c r="D170" s="19" t="s">
        <v>762</v>
      </c>
      <c r="E170" s="10">
        <f>'OT17-048 TECHO PLANOS AS BUILT'!L80</f>
        <v>0</v>
      </c>
      <c r="F170" s="302">
        <f>'OT17-048 TECHO PLANOS AS BUILT'!K80</f>
        <v>0</v>
      </c>
      <c r="G170" s="11">
        <f t="shared" si="160"/>
        <v>0</v>
      </c>
      <c r="H170" s="11">
        <f t="shared" si="161"/>
        <v>0</v>
      </c>
      <c r="I170" s="11">
        <f t="shared" si="162"/>
        <v>0</v>
      </c>
      <c r="J170" s="11">
        <f t="shared" si="163"/>
        <v>0</v>
      </c>
    </row>
    <row r="171" spans="2:10" x14ac:dyDescent="0.3">
      <c r="B171" s="400" t="s">
        <v>1275</v>
      </c>
      <c r="C171" s="13" t="str">
        <f>'OT17-048 TECHO PLANOS AS BUILT'!C81</f>
        <v>Ingeniería eléctrica (Levantamiento e ingeniería de detalle)</v>
      </c>
      <c r="D171" s="19" t="s">
        <v>761</v>
      </c>
      <c r="E171" s="10">
        <f>'OT17-048 TECHO PLANOS AS BUILT'!L81</f>
        <v>175503</v>
      </c>
      <c r="F171" s="302">
        <f>'OT17-048 TECHO PLANOS AS BUILT'!K81</f>
        <v>0.04</v>
      </c>
      <c r="G171" s="11">
        <f t="shared" si="160"/>
        <v>175503</v>
      </c>
      <c r="H171" s="11">
        <f t="shared" si="161"/>
        <v>0</v>
      </c>
      <c r="I171" s="11">
        <f t="shared" si="162"/>
        <v>0</v>
      </c>
      <c r="J171" s="11">
        <f t="shared" si="163"/>
        <v>0</v>
      </c>
    </row>
    <row r="172" spans="2:10" x14ac:dyDescent="0.3">
      <c r="B172" s="400" t="s">
        <v>1275</v>
      </c>
      <c r="C172" s="13" t="str">
        <f>'OT17-048 TECHO PLANOS AS BUILT'!C83</f>
        <v>Ingeniería mecánica (Levantamiento e ingeniería de detalle)</v>
      </c>
      <c r="D172" s="19" t="s">
        <v>762</v>
      </c>
      <c r="E172" s="10">
        <f>'OT17-048 TECHO PLANOS AS BUILT'!L83</f>
        <v>0</v>
      </c>
      <c r="F172" s="302">
        <f>'OT17-048 TECHO PLANOS AS BUILT'!K83</f>
        <v>0</v>
      </c>
      <c r="G172" s="11">
        <f t="shared" ref="G172:G173" si="164">IF(AND(D172="INGENIERÍA ELÉCTRICA",F172&lt;&gt;0),E172,0)</f>
        <v>0</v>
      </c>
      <c r="H172" s="11">
        <f t="shared" ref="H172:H173" si="165">IF(AND(D172="INGENIERÍA CIVIL",F172&lt;&gt;0),E172,0)</f>
        <v>0</v>
      </c>
      <c r="I172" s="11">
        <f t="shared" ref="I172:I173" si="166">IF(AND(D172="INGENIERÍA MECÁNICA",F172&lt;&gt;0),E172,0)</f>
        <v>0</v>
      </c>
      <c r="J172" s="11">
        <f t="shared" ref="J172:J173" si="167">IF(AND(D172="LINEAS",F172&lt;&gt;0),E172,0)</f>
        <v>0</v>
      </c>
    </row>
    <row r="173" spans="2:10" x14ac:dyDescent="0.3">
      <c r="B173" s="400" t="s">
        <v>1275</v>
      </c>
      <c r="C173" s="13" t="str">
        <f>'OT17-048 TECHO PLANOS AS BUILT'!C84</f>
        <v>Ingeniería eléctrica (Levantamiento e ingeniería de detalle)</v>
      </c>
      <c r="D173" s="19" t="s">
        <v>761</v>
      </c>
      <c r="E173" s="10">
        <f>'OT17-048 TECHO PLANOS AS BUILT'!L84</f>
        <v>175503</v>
      </c>
      <c r="F173" s="302">
        <f>'OT17-048 TECHO PLANOS AS BUILT'!K84</f>
        <v>0.04</v>
      </c>
      <c r="G173" s="11">
        <f t="shared" si="164"/>
        <v>175503</v>
      </c>
      <c r="H173" s="11">
        <f t="shared" si="165"/>
        <v>0</v>
      </c>
      <c r="I173" s="11">
        <f t="shared" si="166"/>
        <v>0</v>
      </c>
      <c r="J173" s="11">
        <f t="shared" si="167"/>
        <v>0</v>
      </c>
    </row>
    <row r="174" spans="2:10" x14ac:dyDescent="0.3">
      <c r="B174" s="400" t="s">
        <v>471</v>
      </c>
      <c r="C174" s="13" t="e">
        <f>#REF!</f>
        <v>#REF!</v>
      </c>
      <c r="D174" s="19" t="s">
        <v>760</v>
      </c>
      <c r="E174" s="10" t="e">
        <f>#REF!</f>
        <v>#REF!</v>
      </c>
      <c r="F174" s="302" t="e">
        <f>#REF!</f>
        <v>#REF!</v>
      </c>
      <c r="G174" s="11" t="e">
        <f t="shared" ref="G174" si="168">IF(AND(D174="INGENIERÍA ELÉCTRICA",F174&lt;&gt;0),E174,0)</f>
        <v>#REF!</v>
      </c>
      <c r="H174" s="11" t="e">
        <f t="shared" ref="H174" si="169">IF(AND(D174="INGENIERÍA CIVIL",F174&lt;&gt;0),E174,0)</f>
        <v>#REF!</v>
      </c>
      <c r="I174" s="11" t="e">
        <f t="shared" ref="I174" si="170">IF(AND(D174="INGENIERÍA MECÁNICA",F174&lt;&gt;0),E174,0)</f>
        <v>#REF!</v>
      </c>
      <c r="J174" s="11" t="e">
        <f t="shared" ref="J174" si="171">IF(AND(D174="LINEAS",F174&lt;&gt;0),E174,0)</f>
        <v>#REF!</v>
      </c>
    </row>
    <row r="175" spans="2:10" x14ac:dyDescent="0.3">
      <c r="B175" s="400" t="s">
        <v>471</v>
      </c>
      <c r="C175" s="13" t="e">
        <f>#REF!</f>
        <v>#REF!</v>
      </c>
      <c r="D175" s="19" t="s">
        <v>761</v>
      </c>
      <c r="E175" s="10" t="e">
        <f>#REF!</f>
        <v>#REF!</v>
      </c>
      <c r="F175" s="302" t="e">
        <f>#REF!</f>
        <v>#REF!</v>
      </c>
      <c r="G175" s="11" t="e">
        <f t="shared" ref="G175:G178" si="172">IF(AND(D175="INGENIERÍA ELÉCTRICA",F175&lt;&gt;0),E175,0)</f>
        <v>#REF!</v>
      </c>
      <c r="H175" s="11" t="e">
        <f t="shared" ref="H175:H178" si="173">IF(AND(D175="INGENIERÍA CIVIL",F175&lt;&gt;0),E175,0)</f>
        <v>#REF!</v>
      </c>
      <c r="I175" s="11" t="e">
        <f t="shared" ref="I175:I178" si="174">IF(AND(D175="INGENIERÍA MECÁNICA",F175&lt;&gt;0),E175,0)</f>
        <v>#REF!</v>
      </c>
      <c r="J175" s="11" t="e">
        <f t="shared" ref="J175:J178" si="175">IF(AND(D175="LINEAS",F175&lt;&gt;0),E175,0)</f>
        <v>#REF!</v>
      </c>
    </row>
    <row r="176" spans="2:10" x14ac:dyDescent="0.3">
      <c r="B176" s="400" t="s">
        <v>471</v>
      </c>
      <c r="C176" s="13" t="e">
        <f>#REF!</f>
        <v>#REF!</v>
      </c>
      <c r="D176" s="19" t="s">
        <v>762</v>
      </c>
      <c r="E176" s="10" t="e">
        <f>#REF!</f>
        <v>#REF!</v>
      </c>
      <c r="F176" s="302" t="e">
        <f>#REF!</f>
        <v>#REF!</v>
      </c>
      <c r="G176" s="11" t="e">
        <f t="shared" si="172"/>
        <v>#REF!</v>
      </c>
      <c r="H176" s="11" t="e">
        <f t="shared" si="173"/>
        <v>#REF!</v>
      </c>
      <c r="I176" s="11" t="e">
        <f t="shared" si="174"/>
        <v>#REF!</v>
      </c>
      <c r="J176" s="11" t="e">
        <f t="shared" si="175"/>
        <v>#REF!</v>
      </c>
    </row>
    <row r="177" spans="2:10" x14ac:dyDescent="0.3">
      <c r="B177" s="400" t="s">
        <v>471</v>
      </c>
      <c r="C177" s="13" t="e">
        <f>#REF!</f>
        <v>#REF!</v>
      </c>
      <c r="D177" s="19" t="s">
        <v>761</v>
      </c>
      <c r="E177" s="10" t="e">
        <f>#REF!</f>
        <v>#REF!</v>
      </c>
      <c r="F177" s="302" t="e">
        <f>#REF!</f>
        <v>#REF!</v>
      </c>
      <c r="G177" s="11" t="e">
        <f t="shared" si="172"/>
        <v>#REF!</v>
      </c>
      <c r="H177" s="11" t="e">
        <f t="shared" si="173"/>
        <v>#REF!</v>
      </c>
      <c r="I177" s="11" t="e">
        <f t="shared" si="174"/>
        <v>#REF!</v>
      </c>
      <c r="J177" s="11" t="e">
        <f t="shared" si="175"/>
        <v>#REF!</v>
      </c>
    </row>
    <row r="178" spans="2:10" x14ac:dyDescent="0.3">
      <c r="B178" s="400" t="s">
        <v>471</v>
      </c>
      <c r="C178" s="13" t="e">
        <f>#REF!</f>
        <v>#REF!</v>
      </c>
      <c r="D178" s="19" t="s">
        <v>760</v>
      </c>
      <c r="E178" s="10" t="e">
        <f>#REF!</f>
        <v>#REF!</v>
      </c>
      <c r="F178" s="302" t="e">
        <f>#REF!</f>
        <v>#REF!</v>
      </c>
      <c r="G178" s="11" t="e">
        <f t="shared" si="172"/>
        <v>#REF!</v>
      </c>
      <c r="H178" s="11" t="e">
        <f t="shared" si="173"/>
        <v>#REF!</v>
      </c>
      <c r="I178" s="11" t="e">
        <f t="shared" si="174"/>
        <v>#REF!</v>
      </c>
      <c r="J178" s="11" t="e">
        <f t="shared" si="175"/>
        <v>#REF!</v>
      </c>
    </row>
    <row r="179" spans="2:10" x14ac:dyDescent="0.3">
      <c r="B179" s="400" t="s">
        <v>37</v>
      </c>
      <c r="C179" s="13" t="e">
        <f>#REF!</f>
        <v>#REF!</v>
      </c>
      <c r="D179" s="19" t="s">
        <v>760</v>
      </c>
      <c r="E179" s="10" t="e">
        <f>#REF!</f>
        <v>#REF!</v>
      </c>
      <c r="F179" s="302" t="e">
        <f>#REF!</f>
        <v>#REF!</v>
      </c>
      <c r="G179" s="11" t="e">
        <f t="shared" ref="G179" si="176">IF(AND(D179="INGENIERÍA ELÉCTRICA",F179&lt;&gt;0),E179,0)</f>
        <v>#REF!</v>
      </c>
      <c r="H179" s="11" t="e">
        <f t="shared" ref="H179" si="177">IF(AND(D179="INGENIERÍA CIVIL",F179&lt;&gt;0),E179,0)</f>
        <v>#REF!</v>
      </c>
      <c r="I179" s="11" t="e">
        <f t="shared" ref="I179" si="178">IF(AND(D179="INGENIERÍA MECÁNICA",F179&lt;&gt;0),E179,0)</f>
        <v>#REF!</v>
      </c>
      <c r="J179" s="11" t="e">
        <f t="shared" ref="J179" si="179">IF(AND(D179="LINEAS",F179&lt;&gt;0),E179,0)</f>
        <v>#REF!</v>
      </c>
    </row>
    <row r="180" spans="2:10" x14ac:dyDescent="0.3">
      <c r="B180" s="400" t="s">
        <v>37</v>
      </c>
      <c r="C180" s="13" t="e">
        <f>#REF!</f>
        <v>#REF!</v>
      </c>
      <c r="D180" s="19" t="s">
        <v>761</v>
      </c>
      <c r="E180" s="10" t="e">
        <f>#REF!</f>
        <v>#REF!</v>
      </c>
      <c r="F180" s="302" t="e">
        <f>#REF!</f>
        <v>#REF!</v>
      </c>
      <c r="G180" s="11" t="e">
        <f t="shared" ref="G180:G185" si="180">IF(AND(D180="INGENIERÍA ELÉCTRICA",F180&lt;&gt;0),E180,0)</f>
        <v>#REF!</v>
      </c>
      <c r="H180" s="11" t="e">
        <f t="shared" ref="H180:H185" si="181">IF(AND(D180="INGENIERÍA CIVIL",F180&lt;&gt;0),E180,0)</f>
        <v>#REF!</v>
      </c>
      <c r="I180" s="11" t="e">
        <f t="shared" ref="I180:I185" si="182">IF(AND(D180="INGENIERÍA MECÁNICA",F180&lt;&gt;0),E180,0)</f>
        <v>#REF!</v>
      </c>
      <c r="J180" s="11" t="e">
        <f t="shared" ref="J180:J185" si="183">IF(AND(D180="LINEAS",F180&lt;&gt;0),E180,0)</f>
        <v>#REF!</v>
      </c>
    </row>
    <row r="181" spans="2:10" x14ac:dyDescent="0.3">
      <c r="B181" s="400" t="s">
        <v>37</v>
      </c>
      <c r="C181" s="13" t="e">
        <f>#REF!</f>
        <v>#REF!</v>
      </c>
      <c r="D181" s="19" t="s">
        <v>760</v>
      </c>
      <c r="E181" s="10" t="e">
        <f>#REF!</f>
        <v>#REF!</v>
      </c>
      <c r="F181" s="302" t="e">
        <f>#REF!</f>
        <v>#REF!</v>
      </c>
      <c r="G181" s="11" t="e">
        <f t="shared" si="180"/>
        <v>#REF!</v>
      </c>
      <c r="H181" s="11" t="e">
        <f t="shared" si="181"/>
        <v>#REF!</v>
      </c>
      <c r="I181" s="11" t="e">
        <f t="shared" si="182"/>
        <v>#REF!</v>
      </c>
      <c r="J181" s="11" t="e">
        <f t="shared" si="183"/>
        <v>#REF!</v>
      </c>
    </row>
    <row r="182" spans="2:10" x14ac:dyDescent="0.3">
      <c r="B182" s="400" t="s">
        <v>37</v>
      </c>
      <c r="C182" s="13" t="e">
        <f>#REF!</f>
        <v>#REF!</v>
      </c>
      <c r="D182" s="19" t="s">
        <v>761</v>
      </c>
      <c r="E182" s="10" t="e">
        <f>#REF!</f>
        <v>#REF!</v>
      </c>
      <c r="F182" s="302" t="e">
        <f>#REF!</f>
        <v>#REF!</v>
      </c>
      <c r="G182" s="11" t="e">
        <f t="shared" si="180"/>
        <v>#REF!</v>
      </c>
      <c r="H182" s="11" t="e">
        <f t="shared" si="181"/>
        <v>#REF!</v>
      </c>
      <c r="I182" s="11" t="e">
        <f t="shared" si="182"/>
        <v>#REF!</v>
      </c>
      <c r="J182" s="11" t="e">
        <f t="shared" si="183"/>
        <v>#REF!</v>
      </c>
    </row>
    <row r="183" spans="2:10" x14ac:dyDescent="0.3">
      <c r="B183" s="400" t="s">
        <v>37</v>
      </c>
      <c r="C183" s="13" t="e">
        <f>#REF!</f>
        <v>#REF!</v>
      </c>
      <c r="D183" s="19" t="s">
        <v>760</v>
      </c>
      <c r="E183" s="10" t="e">
        <f>#REF!</f>
        <v>#REF!</v>
      </c>
      <c r="F183" s="302" t="e">
        <f>#REF!</f>
        <v>#REF!</v>
      </c>
      <c r="G183" s="11" t="e">
        <f t="shared" si="180"/>
        <v>#REF!</v>
      </c>
      <c r="H183" s="11" t="e">
        <f t="shared" si="181"/>
        <v>#REF!</v>
      </c>
      <c r="I183" s="11" t="e">
        <f t="shared" si="182"/>
        <v>#REF!</v>
      </c>
      <c r="J183" s="11" t="e">
        <f t="shared" si="183"/>
        <v>#REF!</v>
      </c>
    </row>
    <row r="184" spans="2:10" x14ac:dyDescent="0.3">
      <c r="B184" s="400" t="s">
        <v>37</v>
      </c>
      <c r="C184" s="13" t="e">
        <f>#REF!</f>
        <v>#REF!</v>
      </c>
      <c r="D184" s="19" t="s">
        <v>762</v>
      </c>
      <c r="E184" s="10" t="e">
        <f>#REF!</f>
        <v>#REF!</v>
      </c>
      <c r="F184" s="302" t="e">
        <f>#REF!</f>
        <v>#REF!</v>
      </c>
      <c r="G184" s="11" t="e">
        <f t="shared" si="180"/>
        <v>#REF!</v>
      </c>
      <c r="H184" s="11" t="e">
        <f t="shared" si="181"/>
        <v>#REF!</v>
      </c>
      <c r="I184" s="11" t="e">
        <f t="shared" si="182"/>
        <v>#REF!</v>
      </c>
      <c r="J184" s="11" t="e">
        <f t="shared" si="183"/>
        <v>#REF!</v>
      </c>
    </row>
    <row r="185" spans="2:10" x14ac:dyDescent="0.3">
      <c r="B185" s="400" t="s">
        <v>37</v>
      </c>
      <c r="C185" s="13" t="e">
        <f>#REF!</f>
        <v>#REF!</v>
      </c>
      <c r="D185" s="19" t="s">
        <v>761</v>
      </c>
      <c r="E185" s="10" t="e">
        <f>#REF!</f>
        <v>#REF!</v>
      </c>
      <c r="F185" s="302" t="e">
        <f>#REF!</f>
        <v>#REF!</v>
      </c>
      <c r="G185" s="11" t="e">
        <f t="shared" si="180"/>
        <v>#REF!</v>
      </c>
      <c r="H185" s="11" t="e">
        <f t="shared" si="181"/>
        <v>#REF!</v>
      </c>
      <c r="I185" s="11" t="e">
        <f t="shared" si="182"/>
        <v>#REF!</v>
      </c>
      <c r="J185" s="11" t="e">
        <f t="shared" si="183"/>
        <v>#REF!</v>
      </c>
    </row>
    <row r="186" spans="2:10" x14ac:dyDescent="0.3">
      <c r="B186" s="400" t="s">
        <v>37</v>
      </c>
      <c r="C186" s="13" t="e">
        <f>#REF!</f>
        <v>#REF!</v>
      </c>
      <c r="D186" s="19" t="s">
        <v>760</v>
      </c>
      <c r="E186" s="10" t="e">
        <f>#REF!</f>
        <v>#REF!</v>
      </c>
      <c r="F186" s="302" t="e">
        <f>#REF!</f>
        <v>#REF!</v>
      </c>
      <c r="G186" s="11" t="e">
        <f t="shared" ref="G186:G188" si="184">IF(AND(D186="INGENIERÍA ELÉCTRICA",F186&lt;&gt;0),E186,0)</f>
        <v>#REF!</v>
      </c>
      <c r="H186" s="11" t="e">
        <f t="shared" ref="H186:H188" si="185">IF(AND(D186="INGENIERÍA CIVIL",F186&lt;&gt;0),E186,0)</f>
        <v>#REF!</v>
      </c>
      <c r="I186" s="11" t="e">
        <f t="shared" ref="I186:I188" si="186">IF(AND(D186="INGENIERÍA MECÁNICA",F186&lt;&gt;0),E186,0)</f>
        <v>#REF!</v>
      </c>
      <c r="J186" s="11" t="e">
        <f t="shared" ref="J186:J188" si="187">IF(AND(D186="LINEAS",F186&lt;&gt;0),E186,0)</f>
        <v>#REF!</v>
      </c>
    </row>
    <row r="187" spans="2:10" x14ac:dyDescent="0.3">
      <c r="B187" s="400" t="s">
        <v>37</v>
      </c>
      <c r="C187" s="13" t="e">
        <f>#REF!</f>
        <v>#REF!</v>
      </c>
      <c r="D187" s="19" t="s">
        <v>760</v>
      </c>
      <c r="E187" s="10" t="e">
        <f>#REF!</f>
        <v>#REF!</v>
      </c>
      <c r="F187" s="302" t="e">
        <f>#REF!</f>
        <v>#REF!</v>
      </c>
      <c r="G187" s="11" t="e">
        <f t="shared" si="184"/>
        <v>#REF!</v>
      </c>
      <c r="H187" s="11" t="e">
        <f t="shared" si="185"/>
        <v>#REF!</v>
      </c>
      <c r="I187" s="11" t="e">
        <f t="shared" si="186"/>
        <v>#REF!</v>
      </c>
      <c r="J187" s="11" t="e">
        <f t="shared" si="187"/>
        <v>#REF!</v>
      </c>
    </row>
    <row r="188" spans="2:10" x14ac:dyDescent="0.3">
      <c r="B188" s="400" t="s">
        <v>37</v>
      </c>
      <c r="C188" s="13" t="e">
        <f>#REF!</f>
        <v>#REF!</v>
      </c>
      <c r="D188" s="19" t="s">
        <v>760</v>
      </c>
      <c r="E188" s="10" t="e">
        <f>#REF!</f>
        <v>#REF!</v>
      </c>
      <c r="F188" s="302" t="e">
        <f>#REF!</f>
        <v>#REF!</v>
      </c>
      <c r="G188" s="11" t="e">
        <f t="shared" si="184"/>
        <v>#REF!</v>
      </c>
      <c r="H188" s="11" t="e">
        <f t="shared" si="185"/>
        <v>#REF!</v>
      </c>
      <c r="I188" s="11" t="e">
        <f t="shared" si="186"/>
        <v>#REF!</v>
      </c>
      <c r="J188" s="11" t="e">
        <f t="shared" si="187"/>
        <v>#REF!</v>
      </c>
    </row>
    <row r="189" spans="2:10" x14ac:dyDescent="0.3">
      <c r="B189" s="400" t="s">
        <v>472</v>
      </c>
      <c r="C189" s="13" t="str">
        <f>'OT17-098 LA PAZ CTO TELAS'!C14</f>
        <v>Ingeniería civil (Levantamiento e ingeniería de detalle)</v>
      </c>
      <c r="D189" s="19" t="s">
        <v>760</v>
      </c>
      <c r="E189" s="10">
        <f>'OT17-098 LA PAZ CTO TELAS'!X14</f>
        <v>277879</v>
      </c>
      <c r="F189" s="302">
        <f>'OT17-098 LA PAZ CTO TELAS'!W14</f>
        <v>0.21</v>
      </c>
      <c r="G189" s="11">
        <f t="shared" ref="G189" si="188">IF(AND(D189="INGENIERÍA ELÉCTRICA",F189&lt;&gt;0),E189,0)</f>
        <v>0</v>
      </c>
      <c r="H189" s="11">
        <f t="shared" ref="H189" si="189">IF(AND(D189="INGENIERÍA CIVIL",F189&lt;&gt;0),E189,0)</f>
        <v>277879</v>
      </c>
      <c r="I189" s="11">
        <f t="shared" ref="I189" si="190">IF(AND(D189="INGENIERÍA MECÁNICA",F189&lt;&gt;0),E189,0)</f>
        <v>0</v>
      </c>
      <c r="J189" s="11">
        <f t="shared" ref="J189" si="191">IF(AND(D189="LINEAS",F189&lt;&gt;0),E189,0)</f>
        <v>0</v>
      </c>
    </row>
    <row r="190" spans="2:10" x14ac:dyDescent="0.3">
      <c r="B190" s="400" t="s">
        <v>472</v>
      </c>
      <c r="C190" s="13" t="str">
        <f>'OT17-098 LA PAZ CTO TELAS'!C15</f>
        <v>Ingeniería mecánica (Levantamiento e ingeniería de detalle)</v>
      </c>
      <c r="D190" s="19" t="s">
        <v>762</v>
      </c>
      <c r="E190" s="10">
        <f>'OT17-098 LA PAZ CTO TELAS'!X15</f>
        <v>0</v>
      </c>
      <c r="F190" s="302">
        <f>'OT17-098 LA PAZ CTO TELAS'!W15</f>
        <v>0</v>
      </c>
      <c r="G190" s="11">
        <f t="shared" ref="G190:G196" si="192">IF(AND(D190="INGENIERÍA ELÉCTRICA",F190&lt;&gt;0),E190,0)</f>
        <v>0</v>
      </c>
      <c r="H190" s="11">
        <f t="shared" ref="H190:H196" si="193">IF(AND(D190="INGENIERÍA CIVIL",F190&lt;&gt;0),E190,0)</f>
        <v>0</v>
      </c>
      <c r="I190" s="11">
        <f t="shared" ref="I190:I196" si="194">IF(AND(D190="INGENIERÍA MECÁNICA",F190&lt;&gt;0),E190,0)</f>
        <v>0</v>
      </c>
      <c r="J190" s="11">
        <f t="shared" ref="J190:J196" si="195">IF(AND(D190="LINEAS",F190&lt;&gt;0),E190,0)</f>
        <v>0</v>
      </c>
    </row>
    <row r="191" spans="2:10" x14ac:dyDescent="0.3">
      <c r="B191" s="400" t="s">
        <v>472</v>
      </c>
      <c r="C191" s="13" t="str">
        <f>'OT17-098 LA PAZ CTO TELAS'!C16</f>
        <v>Ingeniería eléctrica (Levantamiento e ingeniería de detalle)</v>
      </c>
      <c r="D191" s="19" t="s">
        <v>761</v>
      </c>
      <c r="E191" s="10">
        <f>'OT17-098 LA PAZ CTO TELAS'!X16</f>
        <v>0</v>
      </c>
      <c r="F191" s="302">
        <f>'OT17-098 LA PAZ CTO TELAS'!W16</f>
        <v>0</v>
      </c>
      <c r="G191" s="11">
        <f t="shared" si="192"/>
        <v>0</v>
      </c>
      <c r="H191" s="11">
        <f t="shared" si="193"/>
        <v>0</v>
      </c>
      <c r="I191" s="11">
        <f t="shared" si="194"/>
        <v>0</v>
      </c>
      <c r="J191" s="11">
        <f t="shared" si="195"/>
        <v>0</v>
      </c>
    </row>
    <row r="192" spans="2:10" x14ac:dyDescent="0.3">
      <c r="B192" s="400" t="s">
        <v>472</v>
      </c>
      <c r="C192" s="13" t="str">
        <f>'OT17-098 LA PAZ CTO TELAS'!C18</f>
        <v>Ingeniería civil (Levantamiento e ingeniería de detalle)</v>
      </c>
      <c r="D192" s="19" t="s">
        <v>760</v>
      </c>
      <c r="E192" s="10">
        <f>'OT17-098 LA PAZ CTO TELAS'!X18</f>
        <v>0</v>
      </c>
      <c r="F192" s="302">
        <f>'OT17-098 LA PAZ CTO TELAS'!W18</f>
        <v>0</v>
      </c>
      <c r="G192" s="11">
        <f t="shared" si="192"/>
        <v>0</v>
      </c>
      <c r="H192" s="11">
        <f t="shared" si="193"/>
        <v>0</v>
      </c>
      <c r="I192" s="11">
        <f t="shared" si="194"/>
        <v>0</v>
      </c>
      <c r="J192" s="11">
        <f t="shared" si="195"/>
        <v>0</v>
      </c>
    </row>
    <row r="193" spans="2:10" x14ac:dyDescent="0.3">
      <c r="B193" s="400" t="s">
        <v>472</v>
      </c>
      <c r="C193" s="13" t="str">
        <f>'OT17-098 LA PAZ CTO TELAS'!C19</f>
        <v>Ingeniería mecánica (Levantamiento e ingeniería de detalle)</v>
      </c>
      <c r="D193" s="19" t="s">
        <v>762</v>
      </c>
      <c r="E193" s="10">
        <f>'OT17-098 LA PAZ CTO TELAS'!X19</f>
        <v>0</v>
      </c>
      <c r="F193" s="302">
        <f>'OT17-098 LA PAZ CTO TELAS'!W19</f>
        <v>0</v>
      </c>
      <c r="G193" s="11">
        <f t="shared" si="192"/>
        <v>0</v>
      </c>
      <c r="H193" s="11">
        <f t="shared" si="193"/>
        <v>0</v>
      </c>
      <c r="I193" s="11">
        <f t="shared" si="194"/>
        <v>0</v>
      </c>
      <c r="J193" s="11">
        <f t="shared" si="195"/>
        <v>0</v>
      </c>
    </row>
    <row r="194" spans="2:10" x14ac:dyDescent="0.3">
      <c r="B194" s="400" t="s">
        <v>472</v>
      </c>
      <c r="C194" s="13" t="str">
        <f>'OT17-098 LA PAZ CTO TELAS'!C20</f>
        <v>Ingeniería eléctrica (Levantamiento e ingeniería de detalle)</v>
      </c>
      <c r="D194" s="19" t="s">
        <v>761</v>
      </c>
      <c r="E194" s="10">
        <f>'OT17-098 LA PAZ CTO TELAS'!X20</f>
        <v>0</v>
      </c>
      <c r="F194" s="302">
        <f>'OT17-098 LA PAZ CTO TELAS'!W20</f>
        <v>0</v>
      </c>
      <c r="G194" s="11">
        <f t="shared" si="192"/>
        <v>0</v>
      </c>
      <c r="H194" s="11">
        <f t="shared" si="193"/>
        <v>0</v>
      </c>
      <c r="I194" s="11">
        <f t="shared" si="194"/>
        <v>0</v>
      </c>
      <c r="J194" s="11">
        <f t="shared" si="195"/>
        <v>0</v>
      </c>
    </row>
    <row r="195" spans="2:10" x14ac:dyDescent="0.3">
      <c r="B195" s="400" t="s">
        <v>472</v>
      </c>
      <c r="C195" s="13" t="str">
        <f>'OT17-098 LA PAZ CTO TELAS'!C22</f>
        <v>Ingeniería mecánica (Levantamiento e ingeniería de detalle)</v>
      </c>
      <c r="D195" s="19" t="s">
        <v>762</v>
      </c>
      <c r="E195" s="10">
        <f>'OT17-098 LA PAZ CTO TELAS'!X22</f>
        <v>0</v>
      </c>
      <c r="F195" s="302">
        <f>'OT17-098 LA PAZ CTO TELAS'!W22</f>
        <v>0</v>
      </c>
      <c r="G195" s="11">
        <f t="shared" si="192"/>
        <v>0</v>
      </c>
      <c r="H195" s="11">
        <f t="shared" si="193"/>
        <v>0</v>
      </c>
      <c r="I195" s="11">
        <f t="shared" si="194"/>
        <v>0</v>
      </c>
      <c r="J195" s="11">
        <f t="shared" si="195"/>
        <v>0</v>
      </c>
    </row>
    <row r="196" spans="2:10" x14ac:dyDescent="0.3">
      <c r="B196" s="400" t="s">
        <v>472</v>
      </c>
      <c r="C196" s="13" t="str">
        <f>'OT17-098 LA PAZ CTO TELAS'!C23</f>
        <v>Ingeniería eléctrica (Levantamiento e ingeniería de detalle)</v>
      </c>
      <c r="D196" s="19" t="s">
        <v>761</v>
      </c>
      <c r="E196" s="10">
        <f>'OT17-098 LA PAZ CTO TELAS'!X23</f>
        <v>0</v>
      </c>
      <c r="F196" s="302">
        <f>'OT17-098 LA PAZ CTO TELAS'!W23</f>
        <v>0</v>
      </c>
      <c r="G196" s="11">
        <f t="shared" si="192"/>
        <v>0</v>
      </c>
      <c r="H196" s="11">
        <f t="shared" si="193"/>
        <v>0</v>
      </c>
      <c r="I196" s="11">
        <f t="shared" si="194"/>
        <v>0</v>
      </c>
      <c r="J196" s="11">
        <f t="shared" si="195"/>
        <v>0</v>
      </c>
    </row>
    <row r="197" spans="2:10" x14ac:dyDescent="0.3">
      <c r="B197" s="400" t="s">
        <v>472</v>
      </c>
      <c r="C197" s="13" t="str">
        <f>'OT17-098 LA PAZ CTO TELAS'!C14</f>
        <v>Ingeniería civil (Levantamiento e ingeniería de detalle)</v>
      </c>
      <c r="D197" s="19" t="s">
        <v>760</v>
      </c>
      <c r="E197" s="10">
        <f>'OT17-098 LA PAZ CTO TELAS'!X14</f>
        <v>277879</v>
      </c>
      <c r="F197" s="302">
        <f>'OT17-098 LA PAZ CTO TELAS'!W14</f>
        <v>0.21</v>
      </c>
      <c r="G197" s="11">
        <f t="shared" ref="G197" si="196">IF(AND(D197="INGENIERÍA ELÉCTRICA",F197&lt;&gt;0),E197,0)</f>
        <v>0</v>
      </c>
      <c r="H197" s="11">
        <f t="shared" ref="H197" si="197">IF(AND(D197="INGENIERÍA CIVIL",F197&lt;&gt;0),E197,0)</f>
        <v>277879</v>
      </c>
      <c r="I197" s="11">
        <f t="shared" ref="I197" si="198">IF(AND(D197="INGENIERÍA MECÁNICA",F197&lt;&gt;0),E197,0)</f>
        <v>0</v>
      </c>
      <c r="J197" s="11">
        <f t="shared" ref="J197" si="199">IF(AND(D197="LINEAS",F197&lt;&gt;0),E197,0)</f>
        <v>0</v>
      </c>
    </row>
    <row r="198" spans="2:10" x14ac:dyDescent="0.3">
      <c r="B198" s="400" t="s">
        <v>472</v>
      </c>
      <c r="C198" s="13" t="str">
        <f>'OT17-098 LA PAZ CTO TELAS'!C15</f>
        <v>Ingeniería mecánica (Levantamiento e ingeniería de detalle)</v>
      </c>
      <c r="D198" s="19" t="s">
        <v>762</v>
      </c>
      <c r="E198" s="10">
        <f>'OT17-098 LA PAZ CTO TELAS'!X15</f>
        <v>0</v>
      </c>
      <c r="F198" s="302">
        <f>'OT17-098 LA PAZ CTO TELAS'!W15</f>
        <v>0</v>
      </c>
      <c r="G198" s="11">
        <f t="shared" ref="G198:G204" si="200">IF(AND(D198="INGENIERÍA ELÉCTRICA",F198&lt;&gt;0),E198,0)</f>
        <v>0</v>
      </c>
      <c r="H198" s="11">
        <f t="shared" ref="H198:H204" si="201">IF(AND(D198="INGENIERÍA CIVIL",F198&lt;&gt;0),E198,0)</f>
        <v>0</v>
      </c>
      <c r="I198" s="11">
        <f t="shared" ref="I198:I204" si="202">IF(AND(D198="INGENIERÍA MECÁNICA",F198&lt;&gt;0),E198,0)</f>
        <v>0</v>
      </c>
      <c r="J198" s="11">
        <f t="shared" ref="J198:J204" si="203">IF(AND(D198="LINEAS",F198&lt;&gt;0),E198,0)</f>
        <v>0</v>
      </c>
    </row>
    <row r="199" spans="2:10" x14ac:dyDescent="0.3">
      <c r="B199" s="400" t="s">
        <v>472</v>
      </c>
      <c r="C199" s="13" t="str">
        <f>'OT17-098 LA PAZ CTO TELAS'!C16</f>
        <v>Ingeniería eléctrica (Levantamiento e ingeniería de detalle)</v>
      </c>
      <c r="D199" s="19" t="s">
        <v>761</v>
      </c>
      <c r="E199" s="10">
        <f>'OT17-098 LA PAZ CTO TELAS'!X16</f>
        <v>0</v>
      </c>
      <c r="F199" s="302">
        <f>'OT17-098 LA PAZ CTO TELAS'!W16</f>
        <v>0</v>
      </c>
      <c r="G199" s="11">
        <f t="shared" si="200"/>
        <v>0</v>
      </c>
      <c r="H199" s="11">
        <f t="shared" si="201"/>
        <v>0</v>
      </c>
      <c r="I199" s="11">
        <f t="shared" si="202"/>
        <v>0</v>
      </c>
      <c r="J199" s="11">
        <f t="shared" si="203"/>
        <v>0</v>
      </c>
    </row>
    <row r="200" spans="2:10" x14ac:dyDescent="0.3">
      <c r="B200" s="400" t="s">
        <v>472</v>
      </c>
      <c r="C200" s="13" t="str">
        <f>'OT17-098 LA PAZ CTO TELAS'!C18</f>
        <v>Ingeniería civil (Levantamiento e ingeniería de detalle)</v>
      </c>
      <c r="D200" s="19" t="s">
        <v>760</v>
      </c>
      <c r="E200" s="10">
        <f>'OT17-098 LA PAZ CTO TELAS'!X18</f>
        <v>0</v>
      </c>
      <c r="F200" s="302">
        <f>'OT17-098 LA PAZ CTO TELAS'!W18</f>
        <v>0</v>
      </c>
      <c r="G200" s="11">
        <f t="shared" si="200"/>
        <v>0</v>
      </c>
      <c r="H200" s="11">
        <f t="shared" si="201"/>
        <v>0</v>
      </c>
      <c r="I200" s="11">
        <f t="shared" si="202"/>
        <v>0</v>
      </c>
      <c r="J200" s="11">
        <f t="shared" si="203"/>
        <v>0</v>
      </c>
    </row>
    <row r="201" spans="2:10" x14ac:dyDescent="0.3">
      <c r="B201" s="400" t="s">
        <v>472</v>
      </c>
      <c r="C201" s="13" t="str">
        <f>'OT17-098 LA PAZ CTO TELAS'!C19</f>
        <v>Ingeniería mecánica (Levantamiento e ingeniería de detalle)</v>
      </c>
      <c r="D201" s="19" t="s">
        <v>762</v>
      </c>
      <c r="E201" s="10">
        <f>'OT17-098 LA PAZ CTO TELAS'!X19</f>
        <v>0</v>
      </c>
      <c r="F201" s="302">
        <f>'OT17-098 LA PAZ CTO TELAS'!W19</f>
        <v>0</v>
      </c>
      <c r="G201" s="11">
        <f t="shared" si="200"/>
        <v>0</v>
      </c>
      <c r="H201" s="11">
        <f t="shared" si="201"/>
        <v>0</v>
      </c>
      <c r="I201" s="11">
        <f t="shared" si="202"/>
        <v>0</v>
      </c>
      <c r="J201" s="11">
        <f t="shared" si="203"/>
        <v>0</v>
      </c>
    </row>
    <row r="202" spans="2:10" x14ac:dyDescent="0.3">
      <c r="B202" s="400" t="s">
        <v>472</v>
      </c>
      <c r="C202" s="13" t="str">
        <f>'OT17-098 LA PAZ CTO TELAS'!C20</f>
        <v>Ingeniería eléctrica (Levantamiento e ingeniería de detalle)</v>
      </c>
      <c r="D202" s="19" t="s">
        <v>761</v>
      </c>
      <c r="E202" s="10">
        <f>'OT17-098 LA PAZ CTO TELAS'!X20</f>
        <v>0</v>
      </c>
      <c r="F202" s="302">
        <f>'OT17-098 LA PAZ CTO TELAS'!W20</f>
        <v>0</v>
      </c>
      <c r="G202" s="11">
        <f t="shared" si="200"/>
        <v>0</v>
      </c>
      <c r="H202" s="11">
        <f t="shared" si="201"/>
        <v>0</v>
      </c>
      <c r="I202" s="11">
        <f t="shared" si="202"/>
        <v>0</v>
      </c>
      <c r="J202" s="11">
        <f t="shared" si="203"/>
        <v>0</v>
      </c>
    </row>
    <row r="203" spans="2:10" x14ac:dyDescent="0.3">
      <c r="B203" s="400" t="s">
        <v>472</v>
      </c>
      <c r="C203" s="13" t="str">
        <f>'OT17-098 LA PAZ CTO TELAS'!C22</f>
        <v>Ingeniería mecánica (Levantamiento e ingeniería de detalle)</v>
      </c>
      <c r="D203" s="19" t="s">
        <v>762</v>
      </c>
      <c r="E203" s="10">
        <f>'OT17-098 LA PAZ CTO TELAS'!X22</f>
        <v>0</v>
      </c>
      <c r="F203" s="302">
        <f>'OT17-098 LA PAZ CTO TELAS'!W22</f>
        <v>0</v>
      </c>
      <c r="G203" s="11">
        <f t="shared" si="200"/>
        <v>0</v>
      </c>
      <c r="H203" s="11">
        <f t="shared" si="201"/>
        <v>0</v>
      </c>
      <c r="I203" s="11">
        <f t="shared" si="202"/>
        <v>0</v>
      </c>
      <c r="J203" s="11">
        <f t="shared" si="203"/>
        <v>0</v>
      </c>
    </row>
    <row r="204" spans="2:10" x14ac:dyDescent="0.3">
      <c r="B204" s="400" t="s">
        <v>472</v>
      </c>
      <c r="C204" s="13" t="str">
        <f>'OT17-098 LA PAZ CTO TELAS'!C23</f>
        <v>Ingeniería eléctrica (Levantamiento e ingeniería de detalle)</v>
      </c>
      <c r="D204" s="19" t="s">
        <v>761</v>
      </c>
      <c r="E204" s="10">
        <f>'OT17-098 LA PAZ CTO TELAS'!X23</f>
        <v>0</v>
      </c>
      <c r="F204" s="302">
        <f>'OT17-098 LA PAZ CTO TELAS'!W23</f>
        <v>0</v>
      </c>
      <c r="G204" s="11">
        <f t="shared" si="200"/>
        <v>0</v>
      </c>
      <c r="H204" s="11">
        <f t="shared" si="201"/>
        <v>0</v>
      </c>
      <c r="I204" s="11">
        <f t="shared" si="202"/>
        <v>0</v>
      </c>
      <c r="J204" s="11">
        <f t="shared" si="203"/>
        <v>0</v>
      </c>
    </row>
    <row r="205" spans="2:10" x14ac:dyDescent="0.3">
      <c r="B205" s="400" t="s">
        <v>38</v>
      </c>
      <c r="C205" s="13" t="e">
        <f>#REF!</f>
        <v>#REF!</v>
      </c>
      <c r="D205" s="19" t="s">
        <v>760</v>
      </c>
      <c r="E205" s="10" t="e">
        <f>#REF!</f>
        <v>#REF!</v>
      </c>
      <c r="F205" s="302" t="e">
        <f>#REF!</f>
        <v>#REF!</v>
      </c>
      <c r="G205" s="11" t="e">
        <f t="shared" ref="G205" si="204">IF(AND(D205="INGENIERÍA ELÉCTRICA",F205&lt;&gt;0),E205,0)</f>
        <v>#REF!</v>
      </c>
      <c r="H205" s="11" t="e">
        <f t="shared" ref="H205" si="205">IF(AND(D205="INGENIERÍA CIVIL",F205&lt;&gt;0),E205,0)</f>
        <v>#REF!</v>
      </c>
      <c r="I205" s="11" t="e">
        <f t="shared" ref="I205" si="206">IF(AND(D205="INGENIERÍA MECÁNICA",F205&lt;&gt;0),E205,0)</f>
        <v>#REF!</v>
      </c>
      <c r="J205" s="11" t="e">
        <f t="shared" ref="J205" si="207">IF(AND(D205="LINEAS",F205&lt;&gt;0),E205,0)</f>
        <v>#REF!</v>
      </c>
    </row>
    <row r="206" spans="2:10" x14ac:dyDescent="0.3">
      <c r="B206" s="400" t="s">
        <v>38</v>
      </c>
      <c r="C206" s="13" t="e">
        <f>#REF!</f>
        <v>#REF!</v>
      </c>
      <c r="D206" s="19" t="s">
        <v>762</v>
      </c>
      <c r="E206" s="10" t="e">
        <f>#REF!</f>
        <v>#REF!</v>
      </c>
      <c r="F206" s="302" t="e">
        <f>#REF!</f>
        <v>#REF!</v>
      </c>
      <c r="G206" s="11" t="e">
        <f t="shared" ref="G206:G214" si="208">IF(AND(D206="INGENIERÍA ELÉCTRICA",F206&lt;&gt;0),E206,0)</f>
        <v>#REF!</v>
      </c>
      <c r="H206" s="11" t="e">
        <f t="shared" ref="H206:H214" si="209">IF(AND(D206="INGENIERÍA CIVIL",F206&lt;&gt;0),E206,0)</f>
        <v>#REF!</v>
      </c>
      <c r="I206" s="11" t="e">
        <f t="shared" ref="I206:I214" si="210">IF(AND(D206="INGENIERÍA MECÁNICA",F206&lt;&gt;0),E206,0)</f>
        <v>#REF!</v>
      </c>
      <c r="J206" s="11" t="e">
        <f t="shared" ref="J206:J214" si="211">IF(AND(D206="LINEAS",F206&lt;&gt;0),E206,0)</f>
        <v>#REF!</v>
      </c>
    </row>
    <row r="207" spans="2:10" x14ac:dyDescent="0.3">
      <c r="B207" s="400" t="s">
        <v>38</v>
      </c>
      <c r="C207" s="13" t="e">
        <f>#REF!</f>
        <v>#REF!</v>
      </c>
      <c r="D207" s="19" t="s">
        <v>761</v>
      </c>
      <c r="E207" s="10" t="e">
        <f>#REF!</f>
        <v>#REF!</v>
      </c>
      <c r="F207" s="302" t="e">
        <f>#REF!</f>
        <v>#REF!</v>
      </c>
      <c r="G207" s="11" t="e">
        <f t="shared" si="208"/>
        <v>#REF!</v>
      </c>
      <c r="H207" s="11" t="e">
        <f t="shared" si="209"/>
        <v>#REF!</v>
      </c>
      <c r="I207" s="11" t="e">
        <f t="shared" si="210"/>
        <v>#REF!</v>
      </c>
      <c r="J207" s="11" t="e">
        <f t="shared" si="211"/>
        <v>#REF!</v>
      </c>
    </row>
    <row r="208" spans="2:10" x14ac:dyDescent="0.3">
      <c r="B208" s="400" t="s">
        <v>38</v>
      </c>
      <c r="C208" s="13" t="e">
        <f>#REF!</f>
        <v>#REF!</v>
      </c>
      <c r="D208" s="19" t="s">
        <v>760</v>
      </c>
      <c r="E208" s="10" t="e">
        <f>#REF!</f>
        <v>#REF!</v>
      </c>
      <c r="F208" s="302" t="e">
        <f>#REF!</f>
        <v>#REF!</v>
      </c>
      <c r="G208" s="11" t="e">
        <f t="shared" si="208"/>
        <v>#REF!</v>
      </c>
      <c r="H208" s="11" t="e">
        <f t="shared" si="209"/>
        <v>#REF!</v>
      </c>
      <c r="I208" s="11" t="e">
        <f t="shared" si="210"/>
        <v>#REF!</v>
      </c>
      <c r="J208" s="11" t="e">
        <f t="shared" si="211"/>
        <v>#REF!</v>
      </c>
    </row>
    <row r="209" spans="2:10" x14ac:dyDescent="0.3">
      <c r="B209" s="400" t="s">
        <v>38</v>
      </c>
      <c r="C209" s="13" t="e">
        <f>#REF!</f>
        <v>#REF!</v>
      </c>
      <c r="D209" s="19" t="s">
        <v>762</v>
      </c>
      <c r="E209" s="10" t="e">
        <f>#REF!</f>
        <v>#REF!</v>
      </c>
      <c r="F209" s="302" t="e">
        <f>#REF!</f>
        <v>#REF!</v>
      </c>
      <c r="G209" s="11" t="e">
        <f t="shared" si="208"/>
        <v>#REF!</v>
      </c>
      <c r="H209" s="11" t="e">
        <f t="shared" si="209"/>
        <v>#REF!</v>
      </c>
      <c r="I209" s="11" t="e">
        <f t="shared" si="210"/>
        <v>#REF!</v>
      </c>
      <c r="J209" s="11" t="e">
        <f t="shared" si="211"/>
        <v>#REF!</v>
      </c>
    </row>
    <row r="210" spans="2:10" x14ac:dyDescent="0.3">
      <c r="B210" s="400" t="s">
        <v>38</v>
      </c>
      <c r="C210" s="13" t="e">
        <f>#REF!</f>
        <v>#REF!</v>
      </c>
      <c r="D210" s="19" t="s">
        <v>761</v>
      </c>
      <c r="E210" s="10" t="e">
        <f>#REF!</f>
        <v>#REF!</v>
      </c>
      <c r="F210" s="302" t="e">
        <f>#REF!</f>
        <v>#REF!</v>
      </c>
      <c r="G210" s="11" t="e">
        <f t="shared" si="208"/>
        <v>#REF!</v>
      </c>
      <c r="H210" s="11" t="e">
        <f t="shared" si="209"/>
        <v>#REF!</v>
      </c>
      <c r="I210" s="11" t="e">
        <f t="shared" si="210"/>
        <v>#REF!</v>
      </c>
      <c r="J210" s="11" t="e">
        <f t="shared" si="211"/>
        <v>#REF!</v>
      </c>
    </row>
    <row r="211" spans="2:10" x14ac:dyDescent="0.3">
      <c r="B211" s="400" t="s">
        <v>38</v>
      </c>
      <c r="C211" s="13" t="e">
        <f>#REF!</f>
        <v>#REF!</v>
      </c>
      <c r="D211" s="19" t="s">
        <v>762</v>
      </c>
      <c r="E211" s="10" t="e">
        <f>#REF!</f>
        <v>#REF!</v>
      </c>
      <c r="F211" s="302" t="e">
        <f>#REF!</f>
        <v>#REF!</v>
      </c>
      <c r="G211" s="11" t="e">
        <f t="shared" si="208"/>
        <v>#REF!</v>
      </c>
      <c r="H211" s="11" t="e">
        <f t="shared" si="209"/>
        <v>#REF!</v>
      </c>
      <c r="I211" s="11" t="e">
        <f t="shared" si="210"/>
        <v>#REF!</v>
      </c>
      <c r="J211" s="11" t="e">
        <f t="shared" si="211"/>
        <v>#REF!</v>
      </c>
    </row>
    <row r="212" spans="2:10" x14ac:dyDescent="0.3">
      <c r="B212" s="400" t="s">
        <v>38</v>
      </c>
      <c r="C212" s="13" t="e">
        <f>#REF!</f>
        <v>#REF!</v>
      </c>
      <c r="D212" s="19" t="s">
        <v>761</v>
      </c>
      <c r="E212" s="10" t="e">
        <f>#REF!</f>
        <v>#REF!</v>
      </c>
      <c r="F212" s="302" t="e">
        <f>#REF!</f>
        <v>#REF!</v>
      </c>
      <c r="G212" s="11" t="e">
        <f t="shared" si="208"/>
        <v>#REF!</v>
      </c>
      <c r="H212" s="11" t="e">
        <f t="shared" si="209"/>
        <v>#REF!</v>
      </c>
      <c r="I212" s="11" t="e">
        <f t="shared" si="210"/>
        <v>#REF!</v>
      </c>
      <c r="J212" s="11" t="e">
        <f t="shared" si="211"/>
        <v>#REF!</v>
      </c>
    </row>
    <row r="213" spans="2:10" x14ac:dyDescent="0.3">
      <c r="B213" s="400" t="s">
        <v>38</v>
      </c>
      <c r="C213" s="13" t="e">
        <f>#REF!</f>
        <v>#REF!</v>
      </c>
      <c r="D213" s="19" t="s">
        <v>760</v>
      </c>
      <c r="E213" s="10" t="e">
        <f>#REF!</f>
        <v>#REF!</v>
      </c>
      <c r="F213" s="302" t="e">
        <f>#REF!</f>
        <v>#REF!</v>
      </c>
      <c r="G213" s="11" t="e">
        <f t="shared" si="208"/>
        <v>#REF!</v>
      </c>
      <c r="H213" s="11" t="e">
        <f t="shared" si="209"/>
        <v>#REF!</v>
      </c>
      <c r="I213" s="11" t="e">
        <f t="shared" si="210"/>
        <v>#REF!</v>
      </c>
      <c r="J213" s="11" t="e">
        <f t="shared" si="211"/>
        <v>#REF!</v>
      </c>
    </row>
    <row r="214" spans="2:10" x14ac:dyDescent="0.3">
      <c r="B214" s="400" t="s">
        <v>38</v>
      </c>
      <c r="C214" s="13" t="e">
        <f>#REF!</f>
        <v>#REF!</v>
      </c>
      <c r="D214" s="19" t="s">
        <v>762</v>
      </c>
      <c r="E214" s="10" t="e">
        <f>#REF!</f>
        <v>#REF!</v>
      </c>
      <c r="F214" s="302" t="e">
        <f>#REF!</f>
        <v>#REF!</v>
      </c>
      <c r="G214" s="11" t="e">
        <f t="shared" si="208"/>
        <v>#REF!</v>
      </c>
      <c r="H214" s="11" t="e">
        <f t="shared" si="209"/>
        <v>#REF!</v>
      </c>
      <c r="I214" s="11" t="e">
        <f t="shared" si="210"/>
        <v>#REF!</v>
      </c>
      <c r="J214" s="11" t="e">
        <f t="shared" si="211"/>
        <v>#REF!</v>
      </c>
    </row>
    <row r="215" spans="2:10" x14ac:dyDescent="0.3">
      <c r="B215" s="400" t="s">
        <v>38</v>
      </c>
      <c r="C215" s="13" t="e">
        <f>#REF!</f>
        <v>#REF!</v>
      </c>
      <c r="D215" s="19" t="s">
        <v>760</v>
      </c>
      <c r="E215" s="10" t="e">
        <f>#REF!</f>
        <v>#REF!</v>
      </c>
      <c r="F215" s="302" t="e">
        <f>#REF!</f>
        <v>#REF!</v>
      </c>
      <c r="G215" s="11" t="e">
        <f t="shared" ref="G215:G220" si="212">IF(AND(D215="INGENIERÍA ELÉCTRICA",F215&lt;&gt;0),E215,0)</f>
        <v>#REF!</v>
      </c>
      <c r="H215" s="11" t="e">
        <f t="shared" ref="H215:H220" si="213">IF(AND(D215="INGENIERÍA CIVIL",F215&lt;&gt;0),E215,0)</f>
        <v>#REF!</v>
      </c>
      <c r="I215" s="11" t="e">
        <f t="shared" ref="I215:I220" si="214">IF(AND(D215="INGENIERÍA MECÁNICA",F215&lt;&gt;0),E215,0)</f>
        <v>#REF!</v>
      </c>
      <c r="J215" s="11" t="e">
        <f t="shared" ref="J215:J220" si="215">IF(AND(D215="LINEAS",F215&lt;&gt;0),E215,0)</f>
        <v>#REF!</v>
      </c>
    </row>
    <row r="216" spans="2:10" x14ac:dyDescent="0.3">
      <c r="B216" s="400" t="s">
        <v>38</v>
      </c>
      <c r="C216" s="13" t="e">
        <f>#REF!</f>
        <v>#REF!</v>
      </c>
      <c r="D216" s="19" t="s">
        <v>760</v>
      </c>
      <c r="E216" s="10" t="e">
        <f>#REF!</f>
        <v>#REF!</v>
      </c>
      <c r="F216" s="302" t="e">
        <f>#REF!</f>
        <v>#REF!</v>
      </c>
      <c r="G216" s="11" t="e">
        <f t="shared" si="212"/>
        <v>#REF!</v>
      </c>
      <c r="H216" s="11" t="e">
        <f t="shared" si="213"/>
        <v>#REF!</v>
      </c>
      <c r="I216" s="11" t="e">
        <f t="shared" si="214"/>
        <v>#REF!</v>
      </c>
      <c r="J216" s="11" t="e">
        <f t="shared" si="215"/>
        <v>#REF!</v>
      </c>
    </row>
    <row r="217" spans="2:10" x14ac:dyDescent="0.3">
      <c r="B217" s="400" t="s">
        <v>38</v>
      </c>
      <c r="C217" s="13" t="e">
        <f>#REF!</f>
        <v>#REF!</v>
      </c>
      <c r="D217" s="19" t="s">
        <v>762</v>
      </c>
      <c r="E217" s="10" t="e">
        <f>#REF!</f>
        <v>#REF!</v>
      </c>
      <c r="F217" s="302" t="e">
        <f>#REF!</f>
        <v>#REF!</v>
      </c>
      <c r="G217" s="11" t="e">
        <f t="shared" si="212"/>
        <v>#REF!</v>
      </c>
      <c r="H217" s="11" t="e">
        <f t="shared" si="213"/>
        <v>#REF!</v>
      </c>
      <c r="I217" s="11" t="e">
        <f t="shared" si="214"/>
        <v>#REF!</v>
      </c>
      <c r="J217" s="11" t="e">
        <f t="shared" si="215"/>
        <v>#REF!</v>
      </c>
    </row>
    <row r="218" spans="2:10" x14ac:dyDescent="0.3">
      <c r="B218" s="400" t="s">
        <v>38</v>
      </c>
      <c r="C218" s="13" t="e">
        <f>#REF!</f>
        <v>#REF!</v>
      </c>
      <c r="D218" s="19" t="s">
        <v>761</v>
      </c>
      <c r="E218" s="10" t="e">
        <f>#REF!</f>
        <v>#REF!</v>
      </c>
      <c r="F218" s="302" t="e">
        <f>#REF!</f>
        <v>#REF!</v>
      </c>
      <c r="G218" s="11" t="e">
        <f t="shared" si="212"/>
        <v>#REF!</v>
      </c>
      <c r="H218" s="11" t="e">
        <f t="shared" si="213"/>
        <v>#REF!</v>
      </c>
      <c r="I218" s="11" t="e">
        <f t="shared" si="214"/>
        <v>#REF!</v>
      </c>
      <c r="J218" s="11" t="e">
        <f t="shared" si="215"/>
        <v>#REF!</v>
      </c>
    </row>
    <row r="219" spans="2:10" x14ac:dyDescent="0.3">
      <c r="B219" s="400" t="s">
        <v>38</v>
      </c>
      <c r="C219" s="13" t="e">
        <f>#REF!</f>
        <v>#REF!</v>
      </c>
      <c r="D219" s="19" t="s">
        <v>762</v>
      </c>
      <c r="E219" s="10" t="e">
        <f>#REF!</f>
        <v>#REF!</v>
      </c>
      <c r="F219" s="302" t="e">
        <f>#REF!</f>
        <v>#REF!</v>
      </c>
      <c r="G219" s="11" t="e">
        <f t="shared" si="212"/>
        <v>#REF!</v>
      </c>
      <c r="H219" s="11" t="e">
        <f t="shared" si="213"/>
        <v>#REF!</v>
      </c>
      <c r="I219" s="11" t="e">
        <f t="shared" si="214"/>
        <v>#REF!</v>
      </c>
      <c r="J219" s="11" t="e">
        <f t="shared" si="215"/>
        <v>#REF!</v>
      </c>
    </row>
    <row r="220" spans="2:10" x14ac:dyDescent="0.3">
      <c r="B220" s="400" t="s">
        <v>38</v>
      </c>
      <c r="C220" s="13" t="e">
        <f>#REF!</f>
        <v>#REF!</v>
      </c>
      <c r="D220" s="19" t="s">
        <v>761</v>
      </c>
      <c r="E220" s="10" t="e">
        <f>#REF!</f>
        <v>#REF!</v>
      </c>
      <c r="F220" s="302" t="e">
        <f>#REF!</f>
        <v>#REF!</v>
      </c>
      <c r="G220" s="11" t="e">
        <f t="shared" si="212"/>
        <v>#REF!</v>
      </c>
      <c r="H220" s="11" t="e">
        <f t="shared" si="213"/>
        <v>#REF!</v>
      </c>
      <c r="I220" s="11" t="e">
        <f t="shared" si="214"/>
        <v>#REF!</v>
      </c>
      <c r="J220" s="11" t="e">
        <f t="shared" si="215"/>
        <v>#REF!</v>
      </c>
    </row>
    <row r="221" spans="2:10" x14ac:dyDescent="0.3">
      <c r="B221" s="400" t="s">
        <v>38</v>
      </c>
      <c r="C221" s="13" t="e">
        <f>#REF!</f>
        <v>#REF!</v>
      </c>
      <c r="D221" s="19" t="s">
        <v>760</v>
      </c>
      <c r="E221" s="10" t="e">
        <f>#REF!</f>
        <v>#REF!</v>
      </c>
      <c r="F221" s="302" t="e">
        <f>#REF!</f>
        <v>#REF!</v>
      </c>
      <c r="G221" s="11" t="e">
        <f t="shared" ref="G221:G225" si="216">IF(AND(D221="INGENIERÍA ELÉCTRICA",F221&lt;&gt;0),E221,0)</f>
        <v>#REF!</v>
      </c>
      <c r="H221" s="11" t="e">
        <f t="shared" ref="H221:H225" si="217">IF(AND(D221="INGENIERÍA CIVIL",F221&lt;&gt;0),E221,0)</f>
        <v>#REF!</v>
      </c>
      <c r="I221" s="11" t="e">
        <f t="shared" ref="I221:I225" si="218">IF(AND(D221="INGENIERÍA MECÁNICA",F221&lt;&gt;0),E221,0)</f>
        <v>#REF!</v>
      </c>
      <c r="J221" s="11" t="e">
        <f t="shared" ref="J221:J225" si="219">IF(AND(D221="LINEAS",F221&lt;&gt;0),E221,0)</f>
        <v>#REF!</v>
      </c>
    </row>
    <row r="222" spans="2:10" x14ac:dyDescent="0.3">
      <c r="B222" s="400" t="s">
        <v>38</v>
      </c>
      <c r="C222" s="13" t="e">
        <f>#REF!</f>
        <v>#REF!</v>
      </c>
      <c r="D222" s="19" t="s">
        <v>762</v>
      </c>
      <c r="E222" s="10" t="e">
        <f>#REF!</f>
        <v>#REF!</v>
      </c>
      <c r="F222" s="302" t="e">
        <f>#REF!</f>
        <v>#REF!</v>
      </c>
      <c r="G222" s="11" t="e">
        <f t="shared" si="216"/>
        <v>#REF!</v>
      </c>
      <c r="H222" s="11" t="e">
        <f t="shared" si="217"/>
        <v>#REF!</v>
      </c>
      <c r="I222" s="11" t="e">
        <f t="shared" si="218"/>
        <v>#REF!</v>
      </c>
      <c r="J222" s="11" t="e">
        <f t="shared" si="219"/>
        <v>#REF!</v>
      </c>
    </row>
    <row r="223" spans="2:10" x14ac:dyDescent="0.3">
      <c r="B223" s="400" t="s">
        <v>38</v>
      </c>
      <c r="C223" s="13" t="e">
        <f>#REF!</f>
        <v>#REF!</v>
      </c>
      <c r="D223" s="19" t="s">
        <v>761</v>
      </c>
      <c r="E223" s="10" t="e">
        <f>#REF!</f>
        <v>#REF!</v>
      </c>
      <c r="F223" s="302" t="e">
        <f>#REF!</f>
        <v>#REF!</v>
      </c>
      <c r="G223" s="11" t="e">
        <f t="shared" si="216"/>
        <v>#REF!</v>
      </c>
      <c r="H223" s="11" t="e">
        <f t="shared" si="217"/>
        <v>#REF!</v>
      </c>
      <c r="I223" s="11" t="e">
        <f t="shared" si="218"/>
        <v>#REF!</v>
      </c>
      <c r="J223" s="11" t="e">
        <f t="shared" si="219"/>
        <v>#REF!</v>
      </c>
    </row>
    <row r="224" spans="2:10" x14ac:dyDescent="0.3">
      <c r="B224" s="400" t="s">
        <v>38</v>
      </c>
      <c r="C224" s="13" t="e">
        <f>#REF!</f>
        <v>#REF!</v>
      </c>
      <c r="D224" s="19" t="s">
        <v>762</v>
      </c>
      <c r="E224" s="10" t="e">
        <f>#REF!</f>
        <v>#REF!</v>
      </c>
      <c r="F224" s="302" t="e">
        <f>#REF!</f>
        <v>#REF!</v>
      </c>
      <c r="G224" s="11" t="e">
        <f t="shared" si="216"/>
        <v>#REF!</v>
      </c>
      <c r="H224" s="11" t="e">
        <f t="shared" si="217"/>
        <v>#REF!</v>
      </c>
      <c r="I224" s="11" t="e">
        <f t="shared" si="218"/>
        <v>#REF!</v>
      </c>
      <c r="J224" s="11" t="e">
        <f t="shared" si="219"/>
        <v>#REF!</v>
      </c>
    </row>
    <row r="225" spans="2:10" x14ac:dyDescent="0.3">
      <c r="B225" s="400" t="s">
        <v>38</v>
      </c>
      <c r="C225" s="13" t="e">
        <f>#REF!</f>
        <v>#REF!</v>
      </c>
      <c r="D225" s="19" t="s">
        <v>761</v>
      </c>
      <c r="E225" s="10" t="e">
        <f>#REF!</f>
        <v>#REF!</v>
      </c>
      <c r="F225" s="302" t="e">
        <f>#REF!</f>
        <v>#REF!</v>
      </c>
      <c r="G225" s="11" t="e">
        <f t="shared" si="216"/>
        <v>#REF!</v>
      </c>
      <c r="H225" s="11" t="e">
        <f t="shared" si="217"/>
        <v>#REF!</v>
      </c>
      <c r="I225" s="11" t="e">
        <f t="shared" si="218"/>
        <v>#REF!</v>
      </c>
      <c r="J225" s="11" t="e">
        <f t="shared" si="219"/>
        <v>#REF!</v>
      </c>
    </row>
    <row r="226" spans="2:10" x14ac:dyDescent="0.3">
      <c r="B226" s="400" t="s">
        <v>414</v>
      </c>
      <c r="C226" s="13" t="str">
        <f>'OT17-108 TOCANCIPÁ AMPLIACIÓN'!C14</f>
        <v>Ingenierías o estudios especiales</v>
      </c>
      <c r="D226" s="19" t="s">
        <v>760</v>
      </c>
      <c r="E226" s="10">
        <f>'OT17-108 TOCANCIPÁ AMPLIACIÓN'!U14</f>
        <v>0</v>
      </c>
      <c r="F226" s="302">
        <f>'OT17-108 TOCANCIPÁ AMPLIACIÓN'!T14</f>
        <v>0</v>
      </c>
      <c r="G226" s="11">
        <f t="shared" ref="G226" si="220">IF(AND(D226="INGENIERÍA ELÉCTRICA",F226&lt;&gt;0),E226,0)</f>
        <v>0</v>
      </c>
      <c r="H226" s="11">
        <f t="shared" ref="H226" si="221">IF(AND(D226="INGENIERÍA CIVIL",F226&lt;&gt;0),E226,0)</f>
        <v>0</v>
      </c>
      <c r="I226" s="11">
        <f t="shared" ref="I226" si="222">IF(AND(D226="INGENIERÍA MECÁNICA",F226&lt;&gt;0),E226,0)</f>
        <v>0</v>
      </c>
      <c r="J226" s="11">
        <f t="shared" ref="J226" si="223">IF(AND(D226="LINEAS",F226&lt;&gt;0),E226,0)</f>
        <v>0</v>
      </c>
    </row>
    <row r="227" spans="2:10" x14ac:dyDescent="0.3">
      <c r="B227" s="400" t="s">
        <v>414</v>
      </c>
      <c r="C227" s="13" t="str">
        <f>'OT17-108 TOCANCIPÁ AMPLIACIÓN'!C16</f>
        <v>Ingenierías o estudios especiales</v>
      </c>
      <c r="D227" s="19" t="s">
        <v>760</v>
      </c>
      <c r="E227" s="10">
        <f>'OT17-108 TOCANCIPÁ AMPLIACIÓN'!U16</f>
        <v>0</v>
      </c>
      <c r="F227" s="302">
        <f>'OT17-108 TOCANCIPÁ AMPLIACIÓN'!T16</f>
        <v>0</v>
      </c>
      <c r="G227" s="11">
        <f t="shared" ref="G227:G235" si="224">IF(AND(D227="INGENIERÍA ELÉCTRICA",F227&lt;&gt;0),E227,0)</f>
        <v>0</v>
      </c>
      <c r="H227" s="11">
        <f t="shared" ref="H227:H235" si="225">IF(AND(D227="INGENIERÍA CIVIL",F227&lt;&gt;0),E227,0)</f>
        <v>0</v>
      </c>
      <c r="I227" s="11">
        <f t="shared" ref="I227:I235" si="226">IF(AND(D227="INGENIERÍA MECÁNICA",F227&lt;&gt;0),E227,0)</f>
        <v>0</v>
      </c>
      <c r="J227" s="11">
        <f t="shared" ref="J227:J235" si="227">IF(AND(D227="LINEAS",F227&lt;&gt;0),E227,0)</f>
        <v>0</v>
      </c>
    </row>
    <row r="228" spans="2:10" x14ac:dyDescent="0.3">
      <c r="B228" s="400" t="s">
        <v>414</v>
      </c>
      <c r="C228" s="13" t="str">
        <f>'OT17-108 TOCANCIPÁ AMPLIACIÓN'!C18</f>
        <v>Ingenierías o estudios especiales</v>
      </c>
      <c r="D228" s="19" t="s">
        <v>760</v>
      </c>
      <c r="E228" s="10">
        <f>'OT17-108 TOCANCIPÁ AMPLIACIÓN'!U18</f>
        <v>0</v>
      </c>
      <c r="F228" s="302">
        <f>'OT17-108 TOCANCIPÁ AMPLIACIÓN'!T18</f>
        <v>0</v>
      </c>
      <c r="G228" s="11">
        <f t="shared" si="224"/>
        <v>0</v>
      </c>
      <c r="H228" s="11">
        <f t="shared" si="225"/>
        <v>0</v>
      </c>
      <c r="I228" s="11">
        <f t="shared" si="226"/>
        <v>0</v>
      </c>
      <c r="J228" s="11">
        <f t="shared" si="227"/>
        <v>0</v>
      </c>
    </row>
    <row r="229" spans="2:10" x14ac:dyDescent="0.3">
      <c r="B229" s="400" t="s">
        <v>414</v>
      </c>
      <c r="C229" s="13" t="str">
        <f>'OT17-108 TOCANCIPÁ AMPLIACIÓN'!C20</f>
        <v>Ingeniería civil y electromecánica (Levantamiento e ingeniería de detalle)</v>
      </c>
      <c r="D229" s="19" t="s">
        <v>760</v>
      </c>
      <c r="E229" s="10">
        <f>'OT17-108 TOCANCIPÁ AMPLIACIÓN'!U20</f>
        <v>2019673</v>
      </c>
      <c r="F229" s="302">
        <f>'OT17-108 TOCANCIPÁ AMPLIACIÓN'!T20</f>
        <v>0.5</v>
      </c>
      <c r="G229" s="11">
        <f t="shared" si="224"/>
        <v>0</v>
      </c>
      <c r="H229" s="11">
        <f t="shared" si="225"/>
        <v>2019673</v>
      </c>
      <c r="I229" s="11">
        <f t="shared" si="226"/>
        <v>0</v>
      </c>
      <c r="J229" s="11">
        <f t="shared" si="227"/>
        <v>0</v>
      </c>
    </row>
    <row r="230" spans="2:10" x14ac:dyDescent="0.3">
      <c r="B230" s="400" t="s">
        <v>414</v>
      </c>
      <c r="C230" s="13" t="str">
        <f>'OT17-108 TOCANCIPÁ AMPLIACIÓN'!C22</f>
        <v>Ingeniería civil (Levantamiento e ingeniería de detalle)</v>
      </c>
      <c r="D230" s="19" t="s">
        <v>760</v>
      </c>
      <c r="E230" s="10">
        <f>'OT17-108 TOCANCIPÁ AMPLIACIÓN'!U22</f>
        <v>0</v>
      </c>
      <c r="F230" s="302">
        <f>'OT17-108 TOCANCIPÁ AMPLIACIÓN'!T22</f>
        <v>0</v>
      </c>
      <c r="G230" s="11">
        <f t="shared" si="224"/>
        <v>0</v>
      </c>
      <c r="H230" s="11">
        <f t="shared" si="225"/>
        <v>0</v>
      </c>
      <c r="I230" s="11">
        <f t="shared" si="226"/>
        <v>0</v>
      </c>
      <c r="J230" s="11">
        <f t="shared" si="227"/>
        <v>0</v>
      </c>
    </row>
    <row r="231" spans="2:10" x14ac:dyDescent="0.3">
      <c r="B231" s="400" t="s">
        <v>414</v>
      </c>
      <c r="C231" s="13" t="str">
        <f>'OT17-108 TOCANCIPÁ AMPLIACIÓN'!C23</f>
        <v>Ingeniería mecánica (Levantamiento e ingeniería de detalle)</v>
      </c>
      <c r="D231" s="19" t="s">
        <v>762</v>
      </c>
      <c r="E231" s="10">
        <f>'OT17-108 TOCANCIPÁ AMPLIACIÓN'!U23</f>
        <v>0</v>
      </c>
      <c r="F231" s="302">
        <f>'OT17-108 TOCANCIPÁ AMPLIACIÓN'!T23</f>
        <v>0</v>
      </c>
      <c r="G231" s="11">
        <f t="shared" si="224"/>
        <v>0</v>
      </c>
      <c r="H231" s="11">
        <f t="shared" si="225"/>
        <v>0</v>
      </c>
      <c r="I231" s="11">
        <f t="shared" si="226"/>
        <v>0</v>
      </c>
      <c r="J231" s="11">
        <f t="shared" si="227"/>
        <v>0</v>
      </c>
    </row>
    <row r="232" spans="2:10" x14ac:dyDescent="0.3">
      <c r="B232" s="400" t="s">
        <v>414</v>
      </c>
      <c r="C232" s="13" t="str">
        <f>'OT17-108 TOCANCIPÁ AMPLIACIÓN'!C24</f>
        <v>Ingeniería eléctrica (Levantamiento e ingeniería de detalle)</v>
      </c>
      <c r="D232" s="19" t="s">
        <v>761</v>
      </c>
      <c r="E232" s="10">
        <f>'OT17-108 TOCANCIPÁ AMPLIACIÓN'!U24</f>
        <v>0</v>
      </c>
      <c r="F232" s="302">
        <f>'OT17-108 TOCANCIPÁ AMPLIACIÓN'!T24</f>
        <v>0</v>
      </c>
      <c r="G232" s="11">
        <f t="shared" si="224"/>
        <v>0</v>
      </c>
      <c r="H232" s="11">
        <f t="shared" si="225"/>
        <v>0</v>
      </c>
      <c r="I232" s="11">
        <f t="shared" si="226"/>
        <v>0</v>
      </c>
      <c r="J232" s="11">
        <f t="shared" si="227"/>
        <v>0</v>
      </c>
    </row>
    <row r="233" spans="2:10" x14ac:dyDescent="0.3">
      <c r="B233" s="400" t="s">
        <v>414</v>
      </c>
      <c r="C233" s="13" t="str">
        <f>'OT17-108 TOCANCIPÁ AMPLIACIÓN'!C26</f>
        <v>Ingeniería civil (Levantamiento e ingeniería de detalle)</v>
      </c>
      <c r="D233" s="19" t="s">
        <v>760</v>
      </c>
      <c r="E233" s="10">
        <f>'OT17-108 TOCANCIPÁ AMPLIACIÓN'!U26</f>
        <v>0</v>
      </c>
      <c r="F233" s="302">
        <f>'OT17-108 TOCANCIPÁ AMPLIACIÓN'!T26</f>
        <v>0</v>
      </c>
      <c r="G233" s="11">
        <f t="shared" si="224"/>
        <v>0</v>
      </c>
      <c r="H233" s="11">
        <f t="shared" si="225"/>
        <v>0</v>
      </c>
      <c r="I233" s="11">
        <f t="shared" si="226"/>
        <v>0</v>
      </c>
      <c r="J233" s="11">
        <f t="shared" si="227"/>
        <v>0</v>
      </c>
    </row>
    <row r="234" spans="2:10" x14ac:dyDescent="0.3">
      <c r="B234" s="400" t="s">
        <v>414</v>
      </c>
      <c r="C234" s="13" t="str">
        <f>'OT17-108 TOCANCIPÁ AMPLIACIÓN'!C27</f>
        <v>Ingeniería mecánica (Levantamiento e ingeniería de detalle)</v>
      </c>
      <c r="D234" s="19" t="s">
        <v>762</v>
      </c>
      <c r="E234" s="10">
        <f>'OT17-108 TOCANCIPÁ AMPLIACIÓN'!U27</f>
        <v>0</v>
      </c>
      <c r="F234" s="302">
        <f>'OT17-108 TOCANCIPÁ AMPLIACIÓN'!T27</f>
        <v>0</v>
      </c>
      <c r="G234" s="11">
        <f t="shared" si="224"/>
        <v>0</v>
      </c>
      <c r="H234" s="11">
        <f t="shared" si="225"/>
        <v>0</v>
      </c>
      <c r="I234" s="11">
        <f t="shared" si="226"/>
        <v>0</v>
      </c>
      <c r="J234" s="11">
        <f t="shared" si="227"/>
        <v>0</v>
      </c>
    </row>
    <row r="235" spans="2:10" x14ac:dyDescent="0.3">
      <c r="B235" s="400" t="s">
        <v>414</v>
      </c>
      <c r="C235" s="13" t="str">
        <f>'OT17-108 TOCANCIPÁ AMPLIACIÓN'!C28</f>
        <v>Ingeniería eléctrica (Levantamiento e ingeniería de detalle)</v>
      </c>
      <c r="D235" s="19" t="s">
        <v>761</v>
      </c>
      <c r="E235" s="10">
        <f>'OT17-108 TOCANCIPÁ AMPLIACIÓN'!U28</f>
        <v>0</v>
      </c>
      <c r="F235" s="302">
        <f>'OT17-108 TOCANCIPÁ AMPLIACIÓN'!T28</f>
        <v>0</v>
      </c>
      <c r="G235" s="11">
        <f t="shared" si="224"/>
        <v>0</v>
      </c>
      <c r="H235" s="11">
        <f t="shared" si="225"/>
        <v>0</v>
      </c>
      <c r="I235" s="11">
        <f t="shared" si="226"/>
        <v>0</v>
      </c>
      <c r="J235" s="11">
        <f t="shared" si="227"/>
        <v>0</v>
      </c>
    </row>
    <row r="236" spans="2:10" x14ac:dyDescent="0.3">
      <c r="B236" s="400" t="s">
        <v>414</v>
      </c>
      <c r="C236" s="13" t="str">
        <f>'OT17-108 TOCANCIPÁ AMPLIACIÓN'!C30</f>
        <v>Ingeniería civil (Levantamiento e ingeniería de detalle)</v>
      </c>
      <c r="D236" s="19" t="s">
        <v>760</v>
      </c>
      <c r="E236" s="10">
        <f>'OT17-108 TOCANCIPÁ AMPLIACIÓN'!U30</f>
        <v>0</v>
      </c>
      <c r="F236" s="302">
        <f>'OT17-108 TOCANCIPÁ AMPLIACIÓN'!T30</f>
        <v>0</v>
      </c>
      <c r="G236" s="11">
        <f t="shared" ref="G236:G239" si="228">IF(AND(D236="INGENIERÍA ELÉCTRICA",F236&lt;&gt;0),E236,0)</f>
        <v>0</v>
      </c>
      <c r="H236" s="11">
        <f t="shared" ref="H236:H239" si="229">IF(AND(D236="INGENIERÍA CIVIL",F236&lt;&gt;0),E236,0)</f>
        <v>0</v>
      </c>
      <c r="I236" s="11">
        <f t="shared" ref="I236:I239" si="230">IF(AND(D236="INGENIERÍA MECÁNICA",F236&lt;&gt;0),E236,0)</f>
        <v>0</v>
      </c>
      <c r="J236" s="11">
        <f t="shared" ref="J236:J239" si="231">IF(AND(D236="LINEAS",F236&lt;&gt;0),E236,0)</f>
        <v>0</v>
      </c>
    </row>
    <row r="237" spans="2:10" x14ac:dyDescent="0.3">
      <c r="B237" s="400" t="s">
        <v>414</v>
      </c>
      <c r="C237" s="13" t="str">
        <f>'OT17-108 TOCANCIPÁ AMPLIACIÓN'!C31</f>
        <v>Ingeniería mecánica (Levantamiento e ingeniería de detalle)</v>
      </c>
      <c r="D237" s="19" t="s">
        <v>762</v>
      </c>
      <c r="E237" s="10">
        <f>'OT17-108 TOCANCIPÁ AMPLIACIÓN'!U31</f>
        <v>0</v>
      </c>
      <c r="F237" s="302">
        <f>'OT17-108 TOCANCIPÁ AMPLIACIÓN'!T31</f>
        <v>0</v>
      </c>
      <c r="G237" s="11">
        <f t="shared" si="228"/>
        <v>0</v>
      </c>
      <c r="H237" s="11">
        <f t="shared" si="229"/>
        <v>0</v>
      </c>
      <c r="I237" s="11">
        <f t="shared" si="230"/>
        <v>0</v>
      </c>
      <c r="J237" s="11">
        <f t="shared" si="231"/>
        <v>0</v>
      </c>
    </row>
    <row r="238" spans="2:10" x14ac:dyDescent="0.3">
      <c r="B238" s="400" t="s">
        <v>414</v>
      </c>
      <c r="C238" s="13" t="str">
        <f>'OT17-108 TOCANCIPÁ AMPLIACIÓN'!C32</f>
        <v>Ingeniería eléctrica (Levantamiento e ingeniería de detalle)</v>
      </c>
      <c r="D238" s="19" t="s">
        <v>761</v>
      </c>
      <c r="E238" s="10">
        <f>'OT17-108 TOCANCIPÁ AMPLIACIÓN'!U32</f>
        <v>0</v>
      </c>
      <c r="F238" s="302">
        <f>'OT17-108 TOCANCIPÁ AMPLIACIÓN'!T32</f>
        <v>0</v>
      </c>
      <c r="G238" s="11">
        <f t="shared" si="228"/>
        <v>0</v>
      </c>
      <c r="H238" s="11">
        <f t="shared" si="229"/>
        <v>0</v>
      </c>
      <c r="I238" s="11">
        <f t="shared" si="230"/>
        <v>0</v>
      </c>
      <c r="J238" s="11">
        <f t="shared" si="231"/>
        <v>0</v>
      </c>
    </row>
    <row r="239" spans="2:10" x14ac:dyDescent="0.3">
      <c r="B239" s="400" t="s">
        <v>414</v>
      </c>
      <c r="C239" s="13" t="str">
        <f>'OT17-108 TOCANCIPÁ AMPLIACIÓN'!C34</f>
        <v>Ingeniería civil (Levantamiento e ingeniería de detalle)</v>
      </c>
      <c r="D239" s="19" t="s">
        <v>760</v>
      </c>
      <c r="E239" s="10">
        <f>'OT17-108 TOCANCIPÁ AMPLIACIÓN'!U34</f>
        <v>0</v>
      </c>
      <c r="F239" s="302">
        <f>'OT17-108 TOCANCIPÁ AMPLIACIÓN'!T34</f>
        <v>0</v>
      </c>
      <c r="G239" s="11">
        <f t="shared" si="228"/>
        <v>0</v>
      </c>
      <c r="H239" s="11">
        <f t="shared" si="229"/>
        <v>0</v>
      </c>
      <c r="I239" s="11">
        <f t="shared" si="230"/>
        <v>0</v>
      </c>
      <c r="J239" s="11">
        <f t="shared" si="231"/>
        <v>0</v>
      </c>
    </row>
    <row r="240" spans="2:10" x14ac:dyDescent="0.3">
      <c r="B240" s="400" t="s">
        <v>414</v>
      </c>
      <c r="C240" s="13" t="str">
        <f>'OT17-108 TOCANCIPÁ AMPLIACIÓN'!C36</f>
        <v>Ingeniería civil (Levantamiento e ingeniería de detalle)</v>
      </c>
      <c r="D240" s="19" t="s">
        <v>760</v>
      </c>
      <c r="E240" s="10">
        <f>'OT17-108 TOCANCIPÁ AMPLIACIÓN'!U36</f>
        <v>0</v>
      </c>
      <c r="F240" s="302">
        <f>'OT17-108 TOCANCIPÁ AMPLIACIÓN'!T36</f>
        <v>0</v>
      </c>
      <c r="G240" s="11">
        <f t="shared" ref="G240" si="232">IF(AND(D240="INGENIERÍA ELÉCTRICA",F240&lt;&gt;0),E240,0)</f>
        <v>0</v>
      </c>
      <c r="H240" s="11">
        <f t="shared" ref="H240" si="233">IF(AND(D240="INGENIERÍA CIVIL",F240&lt;&gt;0),E240,0)</f>
        <v>0</v>
      </c>
      <c r="I240" s="11">
        <f t="shared" ref="I240" si="234">IF(AND(D240="INGENIERÍA MECÁNICA",F240&lt;&gt;0),E240,0)</f>
        <v>0</v>
      </c>
      <c r="J240" s="11">
        <f t="shared" ref="J240" si="235">IF(AND(D240="LINEAS",F240&lt;&gt;0),E240,0)</f>
        <v>0</v>
      </c>
    </row>
    <row r="241" spans="2:10" x14ac:dyDescent="0.3">
      <c r="B241" s="400" t="s">
        <v>1213</v>
      </c>
      <c r="C241" s="13" t="e">
        <f>#REF!</f>
        <v>#REF!</v>
      </c>
      <c r="D241" s="9" t="s">
        <v>761</v>
      </c>
      <c r="E241" s="10" t="e">
        <f>#REF!</f>
        <v>#REF!</v>
      </c>
      <c r="F241" s="302" t="e">
        <f>#REF!</f>
        <v>#REF!</v>
      </c>
      <c r="G241" s="11" t="e">
        <f t="shared" ref="G241" si="236">IF(AND(D241="INGENIERÍA ELÉCTRICA",F241&lt;&gt;0),E241,0)</f>
        <v>#REF!</v>
      </c>
      <c r="H241" s="11" t="e">
        <f t="shared" ref="H241" si="237">IF(AND(D241="INGENIERÍA CIVIL",F241&lt;&gt;0),E241,0)</f>
        <v>#REF!</v>
      </c>
      <c r="I241" s="11" t="e">
        <f t="shared" ref="I241" si="238">IF(AND(D241="INGENIERÍA MECÁNICA",F241&lt;&gt;0),E241,0)</f>
        <v>#REF!</v>
      </c>
      <c r="J241" s="11" t="e">
        <f t="shared" ref="J241" si="239">IF(AND(D241="LINEAS",F241&lt;&gt;0),E241,0)</f>
        <v>#REF!</v>
      </c>
    </row>
    <row r="242" spans="2:10" x14ac:dyDescent="0.3">
      <c r="B242" s="400" t="s">
        <v>407</v>
      </c>
      <c r="C242" s="13" t="e">
        <f>#REF!</f>
        <v>#REF!</v>
      </c>
      <c r="D242" s="19" t="s">
        <v>760</v>
      </c>
      <c r="E242" s="10" t="e">
        <f>#REF!</f>
        <v>#REF!</v>
      </c>
      <c r="F242" s="302" t="e">
        <f>#REF!</f>
        <v>#REF!</v>
      </c>
      <c r="G242" s="11" t="e">
        <f t="shared" ref="G242" si="240">IF(AND(D242="INGENIERÍA ELÉCTRICA",F242&lt;&gt;0),E242,0)</f>
        <v>#REF!</v>
      </c>
      <c r="H242" s="11" t="e">
        <f t="shared" ref="H242" si="241">IF(AND(D242="INGENIERÍA CIVIL",F242&lt;&gt;0),E242,0)</f>
        <v>#REF!</v>
      </c>
      <c r="I242" s="11" t="e">
        <f t="shared" ref="I242" si="242">IF(AND(D242="INGENIERÍA MECÁNICA",F242&lt;&gt;0),E242,0)</f>
        <v>#REF!</v>
      </c>
      <c r="J242" s="11" t="e">
        <f t="shared" ref="J242" si="243">IF(AND(D242="LINEAS",F242&lt;&gt;0),E242,0)</f>
        <v>#REF!</v>
      </c>
    </row>
    <row r="243" spans="2:10" x14ac:dyDescent="0.3">
      <c r="B243" s="400" t="s">
        <v>407</v>
      </c>
      <c r="C243" s="13" t="e">
        <f>#REF!</f>
        <v>#REF!</v>
      </c>
      <c r="D243" s="19" t="s">
        <v>760</v>
      </c>
      <c r="E243" s="10" t="e">
        <f>#REF!</f>
        <v>#REF!</v>
      </c>
      <c r="F243" s="302" t="e">
        <f>#REF!</f>
        <v>#REF!</v>
      </c>
      <c r="G243" s="11" t="e">
        <f t="shared" ref="G243:G251" si="244">IF(AND(D243="INGENIERÍA ELÉCTRICA",F243&lt;&gt;0),E243,0)</f>
        <v>#REF!</v>
      </c>
      <c r="H243" s="11" t="e">
        <f t="shared" ref="H243:H251" si="245">IF(AND(D243="INGENIERÍA CIVIL",F243&lt;&gt;0),E243,0)</f>
        <v>#REF!</v>
      </c>
      <c r="I243" s="11" t="e">
        <f t="shared" ref="I243:I251" si="246">IF(AND(D243="INGENIERÍA MECÁNICA",F243&lt;&gt;0),E243,0)</f>
        <v>#REF!</v>
      </c>
      <c r="J243" s="11" t="e">
        <f t="shared" ref="J243:J251" si="247">IF(AND(D243="LINEAS",F243&lt;&gt;0),E243,0)</f>
        <v>#REF!</v>
      </c>
    </row>
    <row r="244" spans="2:10" x14ac:dyDescent="0.3">
      <c r="B244" s="400" t="s">
        <v>407</v>
      </c>
      <c r="C244" s="13" t="e">
        <f>#REF!</f>
        <v>#REF!</v>
      </c>
      <c r="D244" s="19" t="s">
        <v>760</v>
      </c>
      <c r="E244" s="10" t="e">
        <f>#REF!</f>
        <v>#REF!</v>
      </c>
      <c r="F244" s="302" t="e">
        <f>#REF!</f>
        <v>#REF!</v>
      </c>
      <c r="G244" s="11" t="e">
        <f t="shared" si="244"/>
        <v>#REF!</v>
      </c>
      <c r="H244" s="11" t="e">
        <f t="shared" si="245"/>
        <v>#REF!</v>
      </c>
      <c r="I244" s="11" t="e">
        <f t="shared" si="246"/>
        <v>#REF!</v>
      </c>
      <c r="J244" s="11" t="e">
        <f t="shared" si="247"/>
        <v>#REF!</v>
      </c>
    </row>
    <row r="245" spans="2:10" x14ac:dyDescent="0.3">
      <c r="B245" s="400" t="s">
        <v>407</v>
      </c>
      <c r="C245" s="13" t="e">
        <f>#REF!</f>
        <v>#REF!</v>
      </c>
      <c r="D245" s="19" t="s">
        <v>761</v>
      </c>
      <c r="E245" s="10" t="e">
        <f>#REF!</f>
        <v>#REF!</v>
      </c>
      <c r="F245" s="302" t="e">
        <f>#REF!</f>
        <v>#REF!</v>
      </c>
      <c r="G245" s="11" t="e">
        <f t="shared" si="244"/>
        <v>#REF!</v>
      </c>
      <c r="H245" s="11" t="e">
        <f t="shared" si="245"/>
        <v>#REF!</v>
      </c>
      <c r="I245" s="11" t="e">
        <f t="shared" si="246"/>
        <v>#REF!</v>
      </c>
      <c r="J245" s="11" t="e">
        <f t="shared" si="247"/>
        <v>#REF!</v>
      </c>
    </row>
    <row r="246" spans="2:10" x14ac:dyDescent="0.3">
      <c r="B246" s="400" t="s">
        <v>407</v>
      </c>
      <c r="C246" s="13" t="e">
        <f>#REF!</f>
        <v>#REF!</v>
      </c>
      <c r="D246" s="19" t="s">
        <v>760</v>
      </c>
      <c r="E246" s="10" t="e">
        <f>#REF!</f>
        <v>#REF!</v>
      </c>
      <c r="F246" s="302" t="e">
        <f>#REF!</f>
        <v>#REF!</v>
      </c>
      <c r="G246" s="11" t="e">
        <f t="shared" si="244"/>
        <v>#REF!</v>
      </c>
      <c r="H246" s="11" t="e">
        <f t="shared" si="245"/>
        <v>#REF!</v>
      </c>
      <c r="I246" s="11" t="e">
        <f t="shared" si="246"/>
        <v>#REF!</v>
      </c>
      <c r="J246" s="11" t="e">
        <f t="shared" si="247"/>
        <v>#REF!</v>
      </c>
    </row>
    <row r="247" spans="2:10" x14ac:dyDescent="0.3">
      <c r="B247" s="400" t="s">
        <v>407</v>
      </c>
      <c r="C247" s="13" t="e">
        <f>#REF!</f>
        <v>#REF!</v>
      </c>
      <c r="D247" s="19" t="s">
        <v>760</v>
      </c>
      <c r="E247" s="10" t="e">
        <f>#REF!</f>
        <v>#REF!</v>
      </c>
      <c r="F247" s="302" t="e">
        <f>#REF!</f>
        <v>#REF!</v>
      </c>
      <c r="G247" s="11" t="e">
        <f t="shared" si="244"/>
        <v>#REF!</v>
      </c>
      <c r="H247" s="11" t="e">
        <f t="shared" si="245"/>
        <v>#REF!</v>
      </c>
      <c r="I247" s="11" t="e">
        <f t="shared" si="246"/>
        <v>#REF!</v>
      </c>
      <c r="J247" s="11" t="e">
        <f t="shared" si="247"/>
        <v>#REF!</v>
      </c>
    </row>
    <row r="248" spans="2:10" x14ac:dyDescent="0.3">
      <c r="B248" s="400" t="s">
        <v>407</v>
      </c>
      <c r="C248" s="13" t="e">
        <f>#REF!</f>
        <v>#REF!</v>
      </c>
      <c r="D248" s="19" t="s">
        <v>762</v>
      </c>
      <c r="E248" s="10" t="e">
        <f>#REF!</f>
        <v>#REF!</v>
      </c>
      <c r="F248" s="302" t="e">
        <f>#REF!</f>
        <v>#REF!</v>
      </c>
      <c r="G248" s="11" t="e">
        <f t="shared" si="244"/>
        <v>#REF!</v>
      </c>
      <c r="H248" s="11" t="e">
        <f t="shared" si="245"/>
        <v>#REF!</v>
      </c>
      <c r="I248" s="11" t="e">
        <f t="shared" si="246"/>
        <v>#REF!</v>
      </c>
      <c r="J248" s="11" t="e">
        <f t="shared" si="247"/>
        <v>#REF!</v>
      </c>
    </row>
    <row r="249" spans="2:10" x14ac:dyDescent="0.3">
      <c r="B249" s="400" t="s">
        <v>407</v>
      </c>
      <c r="C249" s="13" t="e">
        <f>#REF!</f>
        <v>#REF!</v>
      </c>
      <c r="D249" s="19" t="s">
        <v>761</v>
      </c>
      <c r="E249" s="10" t="e">
        <f>#REF!</f>
        <v>#REF!</v>
      </c>
      <c r="F249" s="302" t="e">
        <f>#REF!</f>
        <v>#REF!</v>
      </c>
      <c r="G249" s="11" t="e">
        <f t="shared" si="244"/>
        <v>#REF!</v>
      </c>
      <c r="H249" s="11" t="e">
        <f t="shared" si="245"/>
        <v>#REF!</v>
      </c>
      <c r="I249" s="11" t="e">
        <f t="shared" si="246"/>
        <v>#REF!</v>
      </c>
      <c r="J249" s="11" t="e">
        <f t="shared" si="247"/>
        <v>#REF!</v>
      </c>
    </row>
    <row r="250" spans="2:10" x14ac:dyDescent="0.3">
      <c r="B250" s="400" t="s">
        <v>407</v>
      </c>
      <c r="C250" s="13" t="e">
        <f>#REF!</f>
        <v>#REF!</v>
      </c>
      <c r="D250" s="19" t="s">
        <v>760</v>
      </c>
      <c r="E250" s="10" t="e">
        <f>#REF!</f>
        <v>#REF!</v>
      </c>
      <c r="F250" s="302" t="e">
        <f>#REF!</f>
        <v>#REF!</v>
      </c>
      <c r="G250" s="11" t="e">
        <f t="shared" si="244"/>
        <v>#REF!</v>
      </c>
      <c r="H250" s="11" t="e">
        <f t="shared" si="245"/>
        <v>#REF!</v>
      </c>
      <c r="I250" s="11" t="e">
        <f t="shared" si="246"/>
        <v>#REF!</v>
      </c>
      <c r="J250" s="11" t="e">
        <f t="shared" si="247"/>
        <v>#REF!</v>
      </c>
    </row>
    <row r="251" spans="2:10" x14ac:dyDescent="0.3">
      <c r="B251" s="400" t="s">
        <v>407</v>
      </c>
      <c r="C251" s="13" t="e">
        <f>#REF!</f>
        <v>#REF!</v>
      </c>
      <c r="D251" s="19" t="s">
        <v>762</v>
      </c>
      <c r="E251" s="10" t="e">
        <f>#REF!</f>
        <v>#REF!</v>
      </c>
      <c r="F251" s="302" t="e">
        <f>#REF!</f>
        <v>#REF!</v>
      </c>
      <c r="G251" s="11" t="e">
        <f t="shared" si="244"/>
        <v>#REF!</v>
      </c>
      <c r="H251" s="11" t="e">
        <f t="shared" si="245"/>
        <v>#REF!</v>
      </c>
      <c r="I251" s="11" t="e">
        <f t="shared" si="246"/>
        <v>#REF!</v>
      </c>
      <c r="J251" s="11" t="e">
        <f t="shared" si="247"/>
        <v>#REF!</v>
      </c>
    </row>
    <row r="252" spans="2:10" x14ac:dyDescent="0.3">
      <c r="B252" s="400" t="s">
        <v>407</v>
      </c>
      <c r="C252" s="13" t="e">
        <f>#REF!</f>
        <v>#REF!</v>
      </c>
      <c r="D252" s="19" t="s">
        <v>762</v>
      </c>
      <c r="E252" s="10" t="e">
        <f>#REF!</f>
        <v>#REF!</v>
      </c>
      <c r="F252" s="302" t="e">
        <f>#REF!</f>
        <v>#REF!</v>
      </c>
      <c r="G252" s="11" t="e">
        <f t="shared" ref="G252:G258" si="248">IF(AND(D252="INGENIERÍA ELÉCTRICA",F252&lt;&gt;0),E252,0)</f>
        <v>#REF!</v>
      </c>
      <c r="H252" s="11" t="e">
        <f t="shared" ref="H252:H258" si="249">IF(AND(D252="INGENIERÍA CIVIL",F252&lt;&gt;0),E252,0)</f>
        <v>#REF!</v>
      </c>
      <c r="I252" s="11" t="e">
        <f t="shared" ref="I252:I258" si="250">IF(AND(D252="INGENIERÍA MECÁNICA",F252&lt;&gt;0),E252,0)</f>
        <v>#REF!</v>
      </c>
      <c r="J252" s="11" t="e">
        <f t="shared" ref="J252:J258" si="251">IF(AND(D252="LINEAS",F252&lt;&gt;0),E252,0)</f>
        <v>#REF!</v>
      </c>
    </row>
    <row r="253" spans="2:10" x14ac:dyDescent="0.3">
      <c r="B253" s="400" t="s">
        <v>407</v>
      </c>
      <c r="C253" s="13" t="e">
        <f>#REF!</f>
        <v>#REF!</v>
      </c>
      <c r="D253" s="19" t="s">
        <v>761</v>
      </c>
      <c r="E253" s="10" t="e">
        <f>#REF!</f>
        <v>#REF!</v>
      </c>
      <c r="F253" s="302" t="e">
        <f>#REF!</f>
        <v>#REF!</v>
      </c>
      <c r="G253" s="11" t="e">
        <f t="shared" si="248"/>
        <v>#REF!</v>
      </c>
      <c r="H253" s="11" t="e">
        <f t="shared" si="249"/>
        <v>#REF!</v>
      </c>
      <c r="I253" s="11" t="e">
        <f t="shared" si="250"/>
        <v>#REF!</v>
      </c>
      <c r="J253" s="11" t="e">
        <f t="shared" si="251"/>
        <v>#REF!</v>
      </c>
    </row>
    <row r="254" spans="2:10" x14ac:dyDescent="0.3">
      <c r="B254" s="400" t="s">
        <v>407</v>
      </c>
      <c r="C254" s="13" t="e">
        <f>#REF!</f>
        <v>#REF!</v>
      </c>
      <c r="D254" s="19" t="s">
        <v>760</v>
      </c>
      <c r="E254" s="10" t="e">
        <f>#REF!</f>
        <v>#REF!</v>
      </c>
      <c r="F254" s="302" t="e">
        <f>#REF!</f>
        <v>#REF!</v>
      </c>
      <c r="G254" s="11" t="e">
        <f t="shared" si="248"/>
        <v>#REF!</v>
      </c>
      <c r="H254" s="11" t="e">
        <f t="shared" si="249"/>
        <v>#REF!</v>
      </c>
      <c r="I254" s="11" t="e">
        <f t="shared" si="250"/>
        <v>#REF!</v>
      </c>
      <c r="J254" s="11" t="e">
        <f t="shared" si="251"/>
        <v>#REF!</v>
      </c>
    </row>
    <row r="255" spans="2:10" x14ac:dyDescent="0.3">
      <c r="B255" s="400" t="s">
        <v>407</v>
      </c>
      <c r="C255" s="13" t="e">
        <f>#REF!</f>
        <v>#REF!</v>
      </c>
      <c r="D255" s="19" t="s">
        <v>762</v>
      </c>
      <c r="E255" s="10" t="e">
        <f>#REF!</f>
        <v>#REF!</v>
      </c>
      <c r="F255" s="302" t="e">
        <f>#REF!</f>
        <v>#REF!</v>
      </c>
      <c r="G255" s="11" t="e">
        <f t="shared" si="248"/>
        <v>#REF!</v>
      </c>
      <c r="H255" s="11" t="e">
        <f t="shared" si="249"/>
        <v>#REF!</v>
      </c>
      <c r="I255" s="11" t="e">
        <f t="shared" si="250"/>
        <v>#REF!</v>
      </c>
      <c r="J255" s="11" t="e">
        <f t="shared" si="251"/>
        <v>#REF!</v>
      </c>
    </row>
    <row r="256" spans="2:10" x14ac:dyDescent="0.3">
      <c r="B256" s="400" t="s">
        <v>407</v>
      </c>
      <c r="C256" s="13" t="e">
        <f>#REF!</f>
        <v>#REF!</v>
      </c>
      <c r="D256" s="19" t="s">
        <v>761</v>
      </c>
      <c r="E256" s="10" t="e">
        <f>#REF!</f>
        <v>#REF!</v>
      </c>
      <c r="F256" s="302" t="e">
        <f>#REF!</f>
        <v>#REF!</v>
      </c>
      <c r="G256" s="11" t="e">
        <f t="shared" si="248"/>
        <v>#REF!</v>
      </c>
      <c r="H256" s="11" t="e">
        <f t="shared" si="249"/>
        <v>#REF!</v>
      </c>
      <c r="I256" s="11" t="e">
        <f t="shared" si="250"/>
        <v>#REF!</v>
      </c>
      <c r="J256" s="11" t="e">
        <f t="shared" si="251"/>
        <v>#REF!</v>
      </c>
    </row>
    <row r="257" spans="2:10" x14ac:dyDescent="0.3">
      <c r="B257" s="400" t="s">
        <v>407</v>
      </c>
      <c r="C257" s="13" t="e">
        <f>#REF!</f>
        <v>#REF!</v>
      </c>
      <c r="D257" s="19" t="s">
        <v>760</v>
      </c>
      <c r="E257" s="10" t="e">
        <f>#REF!</f>
        <v>#REF!</v>
      </c>
      <c r="F257" s="302" t="e">
        <f>#REF!</f>
        <v>#REF!</v>
      </c>
      <c r="G257" s="11" t="e">
        <f t="shared" si="248"/>
        <v>#REF!</v>
      </c>
      <c r="H257" s="11" t="e">
        <f t="shared" si="249"/>
        <v>#REF!</v>
      </c>
      <c r="I257" s="11" t="e">
        <f t="shared" si="250"/>
        <v>#REF!</v>
      </c>
      <c r="J257" s="11" t="e">
        <f t="shared" si="251"/>
        <v>#REF!</v>
      </c>
    </row>
    <row r="258" spans="2:10" x14ac:dyDescent="0.3">
      <c r="B258" s="400" t="s">
        <v>407</v>
      </c>
      <c r="C258" s="13" t="e">
        <f>#REF!</f>
        <v>#REF!</v>
      </c>
      <c r="D258" s="19" t="s">
        <v>762</v>
      </c>
      <c r="E258" s="10" t="e">
        <f>#REF!</f>
        <v>#REF!</v>
      </c>
      <c r="F258" s="302" t="e">
        <f>#REF!</f>
        <v>#REF!</v>
      </c>
      <c r="G258" s="11" t="e">
        <f t="shared" si="248"/>
        <v>#REF!</v>
      </c>
      <c r="H258" s="11" t="e">
        <f t="shared" si="249"/>
        <v>#REF!</v>
      </c>
      <c r="I258" s="11" t="e">
        <f t="shared" si="250"/>
        <v>#REF!</v>
      </c>
      <c r="J258" s="11" t="e">
        <f t="shared" si="251"/>
        <v>#REF!</v>
      </c>
    </row>
    <row r="259" spans="2:10" x14ac:dyDescent="0.3">
      <c r="B259" s="400" t="s">
        <v>407</v>
      </c>
      <c r="C259" s="13" t="e">
        <f>#REF!</f>
        <v>#REF!</v>
      </c>
      <c r="D259" s="19" t="s">
        <v>762</v>
      </c>
      <c r="E259" s="10" t="e">
        <f>#REF!</f>
        <v>#REF!</v>
      </c>
      <c r="F259" s="302" t="e">
        <f>#REF!</f>
        <v>#REF!</v>
      </c>
      <c r="G259" s="11" t="e">
        <f t="shared" ref="G259:G262" si="252">IF(AND(D259="INGENIERÍA ELÉCTRICA",F259&lt;&gt;0),E259,0)</f>
        <v>#REF!</v>
      </c>
      <c r="H259" s="11" t="e">
        <f t="shared" ref="H259:H262" si="253">IF(AND(D259="INGENIERÍA CIVIL",F259&lt;&gt;0),E259,0)</f>
        <v>#REF!</v>
      </c>
      <c r="I259" s="11" t="e">
        <f t="shared" ref="I259:I262" si="254">IF(AND(D259="INGENIERÍA MECÁNICA",F259&lt;&gt;0),E259,0)</f>
        <v>#REF!</v>
      </c>
      <c r="J259" s="11" t="e">
        <f t="shared" ref="J259:J262" si="255">IF(AND(D259="LINEAS",F259&lt;&gt;0),E259,0)</f>
        <v>#REF!</v>
      </c>
    </row>
    <row r="260" spans="2:10" x14ac:dyDescent="0.3">
      <c r="B260" s="400" t="s">
        <v>407</v>
      </c>
      <c r="C260" s="13" t="e">
        <f>#REF!</f>
        <v>#REF!</v>
      </c>
      <c r="D260" s="19" t="s">
        <v>761</v>
      </c>
      <c r="E260" s="10" t="e">
        <f>#REF!</f>
        <v>#REF!</v>
      </c>
      <c r="F260" s="302" t="e">
        <f>#REF!</f>
        <v>#REF!</v>
      </c>
      <c r="G260" s="11" t="e">
        <f t="shared" si="252"/>
        <v>#REF!</v>
      </c>
      <c r="H260" s="11" t="e">
        <f t="shared" si="253"/>
        <v>#REF!</v>
      </c>
      <c r="I260" s="11" t="e">
        <f t="shared" si="254"/>
        <v>#REF!</v>
      </c>
      <c r="J260" s="11" t="e">
        <f t="shared" si="255"/>
        <v>#REF!</v>
      </c>
    </row>
    <row r="261" spans="2:10" x14ac:dyDescent="0.3">
      <c r="B261" s="400" t="s">
        <v>407</v>
      </c>
      <c r="C261" s="13" t="e">
        <f>#REF!</f>
        <v>#REF!</v>
      </c>
      <c r="D261" s="19" t="s">
        <v>760</v>
      </c>
      <c r="E261" s="10" t="e">
        <f>#REF!</f>
        <v>#REF!</v>
      </c>
      <c r="F261" s="302" t="e">
        <f>#REF!</f>
        <v>#REF!</v>
      </c>
      <c r="G261" s="11" t="e">
        <f t="shared" si="252"/>
        <v>#REF!</v>
      </c>
      <c r="H261" s="11" t="e">
        <f t="shared" si="253"/>
        <v>#REF!</v>
      </c>
      <c r="I261" s="11" t="e">
        <f t="shared" si="254"/>
        <v>#REF!</v>
      </c>
      <c r="J261" s="11" t="e">
        <f t="shared" si="255"/>
        <v>#REF!</v>
      </c>
    </row>
    <row r="262" spans="2:10" x14ac:dyDescent="0.3">
      <c r="B262" s="400" t="s">
        <v>407</v>
      </c>
      <c r="C262" s="13" t="e">
        <f>#REF!</f>
        <v>#REF!</v>
      </c>
      <c r="D262" s="19" t="s">
        <v>762</v>
      </c>
      <c r="E262" s="10" t="e">
        <f>#REF!</f>
        <v>#REF!</v>
      </c>
      <c r="F262" s="302" t="e">
        <f>#REF!</f>
        <v>#REF!</v>
      </c>
      <c r="G262" s="11" t="e">
        <f t="shared" si="252"/>
        <v>#REF!</v>
      </c>
      <c r="H262" s="11" t="e">
        <f t="shared" si="253"/>
        <v>#REF!</v>
      </c>
      <c r="I262" s="11" t="e">
        <f t="shared" si="254"/>
        <v>#REF!</v>
      </c>
      <c r="J262" s="11" t="e">
        <f t="shared" si="255"/>
        <v>#REF!</v>
      </c>
    </row>
    <row r="263" spans="2:10" x14ac:dyDescent="0.3">
      <c r="B263" s="400" t="s">
        <v>407</v>
      </c>
      <c r="C263" s="13" t="e">
        <f>#REF!</f>
        <v>#REF!</v>
      </c>
      <c r="D263" s="19" t="s">
        <v>761</v>
      </c>
      <c r="E263" s="10" t="e">
        <f>#REF!</f>
        <v>#REF!</v>
      </c>
      <c r="F263" s="302" t="e">
        <f>#REF!</f>
        <v>#REF!</v>
      </c>
      <c r="G263" s="11" t="e">
        <f t="shared" ref="G263:G265" si="256">IF(AND(D263="INGENIERÍA ELÉCTRICA",F263&lt;&gt;0),E263,0)</f>
        <v>#REF!</v>
      </c>
      <c r="H263" s="11" t="e">
        <f t="shared" ref="H263:H265" si="257">IF(AND(D263="INGENIERÍA CIVIL",F263&lt;&gt;0),E263,0)</f>
        <v>#REF!</v>
      </c>
      <c r="I263" s="11" t="e">
        <f t="shared" ref="I263:I265" si="258">IF(AND(D263="INGENIERÍA MECÁNICA",F263&lt;&gt;0),E263,0)</f>
        <v>#REF!</v>
      </c>
      <c r="J263" s="11" t="e">
        <f t="shared" ref="J263:J265" si="259">IF(AND(D263="LINEAS",F263&lt;&gt;0),E263,0)</f>
        <v>#REF!</v>
      </c>
    </row>
    <row r="264" spans="2:10" x14ac:dyDescent="0.3">
      <c r="B264" s="400" t="s">
        <v>407</v>
      </c>
      <c r="C264" s="13" t="e">
        <f>#REF!</f>
        <v>#REF!</v>
      </c>
      <c r="D264" s="19" t="s">
        <v>760</v>
      </c>
      <c r="E264" s="10" t="e">
        <f>#REF!</f>
        <v>#REF!</v>
      </c>
      <c r="F264" s="302" t="e">
        <f>#REF!</f>
        <v>#REF!</v>
      </c>
      <c r="G264" s="11" t="e">
        <f t="shared" si="256"/>
        <v>#REF!</v>
      </c>
      <c r="H264" s="11" t="e">
        <f t="shared" si="257"/>
        <v>#REF!</v>
      </c>
      <c r="I264" s="11" t="e">
        <f t="shared" si="258"/>
        <v>#REF!</v>
      </c>
      <c r="J264" s="11" t="e">
        <f t="shared" si="259"/>
        <v>#REF!</v>
      </c>
    </row>
    <row r="265" spans="2:10" x14ac:dyDescent="0.3">
      <c r="B265" s="400" t="s">
        <v>407</v>
      </c>
      <c r="C265" s="13" t="e">
        <f>#REF!</f>
        <v>#REF!</v>
      </c>
      <c r="D265" s="19" t="s">
        <v>761</v>
      </c>
      <c r="E265" s="10" t="e">
        <f>#REF!</f>
        <v>#REF!</v>
      </c>
      <c r="F265" s="302" t="e">
        <f>#REF!</f>
        <v>#REF!</v>
      </c>
      <c r="G265" s="11" t="e">
        <f t="shared" si="256"/>
        <v>#REF!</v>
      </c>
      <c r="H265" s="11" t="e">
        <f t="shared" si="257"/>
        <v>#REF!</v>
      </c>
      <c r="I265" s="11" t="e">
        <f t="shared" si="258"/>
        <v>#REF!</v>
      </c>
      <c r="J265" s="11" t="e">
        <f t="shared" si="259"/>
        <v>#REF!</v>
      </c>
    </row>
    <row r="266" spans="2:10" x14ac:dyDescent="0.3">
      <c r="B266" s="400" t="s">
        <v>407</v>
      </c>
      <c r="C266" s="13" t="e">
        <f>#REF!</f>
        <v>#REF!</v>
      </c>
      <c r="D266" s="19" t="s">
        <v>762</v>
      </c>
      <c r="E266" s="10" t="e">
        <f>#REF!</f>
        <v>#REF!</v>
      </c>
      <c r="F266" s="302" t="e">
        <f>#REF!</f>
        <v>#REF!</v>
      </c>
      <c r="G266" s="11" t="e">
        <f t="shared" ref="G266:G267" si="260">IF(AND(D266="INGENIERÍA ELÉCTRICA",F266&lt;&gt;0),E266,0)</f>
        <v>#REF!</v>
      </c>
      <c r="H266" s="11" t="e">
        <f t="shared" ref="H266:H267" si="261">IF(AND(D266="INGENIERÍA CIVIL",F266&lt;&gt;0),E266,0)</f>
        <v>#REF!</v>
      </c>
      <c r="I266" s="11" t="e">
        <f t="shared" ref="I266:I267" si="262">IF(AND(D266="INGENIERÍA MECÁNICA",F266&lt;&gt;0),E266,0)</f>
        <v>#REF!</v>
      </c>
      <c r="J266" s="11" t="e">
        <f t="shared" ref="J266:J267" si="263">IF(AND(D266="LINEAS",F266&lt;&gt;0),E266,0)</f>
        <v>#REF!</v>
      </c>
    </row>
    <row r="267" spans="2:10" x14ac:dyDescent="0.3">
      <c r="B267" s="400" t="s">
        <v>407</v>
      </c>
      <c r="C267" s="13" t="e">
        <f>#REF!</f>
        <v>#REF!</v>
      </c>
      <c r="D267" s="19" t="s">
        <v>761</v>
      </c>
      <c r="E267" s="10" t="e">
        <f>#REF!</f>
        <v>#REF!</v>
      </c>
      <c r="F267" s="302" t="e">
        <f>#REF!</f>
        <v>#REF!</v>
      </c>
      <c r="G267" s="11" t="e">
        <f t="shared" si="260"/>
        <v>#REF!</v>
      </c>
      <c r="H267" s="11" t="e">
        <f t="shared" si="261"/>
        <v>#REF!</v>
      </c>
      <c r="I267" s="11" t="e">
        <f t="shared" si="262"/>
        <v>#REF!</v>
      </c>
      <c r="J267" s="11" t="e">
        <f t="shared" si="263"/>
        <v>#REF!</v>
      </c>
    </row>
    <row r="268" spans="2:10" x14ac:dyDescent="0.3">
      <c r="B268" s="400" t="s">
        <v>407</v>
      </c>
      <c r="C268" s="13" t="e">
        <f>#REF!</f>
        <v>#REF!</v>
      </c>
      <c r="D268" s="19" t="s">
        <v>760</v>
      </c>
      <c r="E268" s="10" t="e">
        <f>#REF!</f>
        <v>#REF!</v>
      </c>
      <c r="F268" s="302" t="e">
        <f>#REF!</f>
        <v>#REF!</v>
      </c>
      <c r="G268" s="11" t="e">
        <f t="shared" ref="G268:G272" si="264">IF(AND(D268="INGENIERÍA ELÉCTRICA",F268&lt;&gt;0),E268,0)</f>
        <v>#REF!</v>
      </c>
      <c r="H268" s="11" t="e">
        <f t="shared" ref="H268:H272" si="265">IF(AND(D268="INGENIERÍA CIVIL",F268&lt;&gt;0),E268,0)</f>
        <v>#REF!</v>
      </c>
      <c r="I268" s="11" t="e">
        <f t="shared" ref="I268:I272" si="266">IF(AND(D268="INGENIERÍA MECÁNICA",F268&lt;&gt;0),E268,0)</f>
        <v>#REF!</v>
      </c>
      <c r="J268" s="11" t="e">
        <f t="shared" ref="J268:J272" si="267">IF(AND(D268="LINEAS",F268&lt;&gt;0),E268,0)</f>
        <v>#REF!</v>
      </c>
    </row>
    <row r="269" spans="2:10" x14ac:dyDescent="0.3">
      <c r="B269" s="400" t="s">
        <v>407</v>
      </c>
      <c r="C269" s="13" t="e">
        <f>#REF!</f>
        <v>#REF!</v>
      </c>
      <c r="D269" s="19" t="s">
        <v>761</v>
      </c>
      <c r="E269" s="10" t="e">
        <f>#REF!</f>
        <v>#REF!</v>
      </c>
      <c r="F269" s="302" t="e">
        <f>#REF!</f>
        <v>#REF!</v>
      </c>
      <c r="G269" s="11" t="e">
        <f t="shared" si="264"/>
        <v>#REF!</v>
      </c>
      <c r="H269" s="11" t="e">
        <f t="shared" si="265"/>
        <v>#REF!</v>
      </c>
      <c r="I269" s="11" t="e">
        <f t="shared" si="266"/>
        <v>#REF!</v>
      </c>
      <c r="J269" s="11" t="e">
        <f t="shared" si="267"/>
        <v>#REF!</v>
      </c>
    </row>
    <row r="270" spans="2:10" x14ac:dyDescent="0.3">
      <c r="B270" s="400" t="s">
        <v>407</v>
      </c>
      <c r="C270" s="13" t="e">
        <f>#REF!</f>
        <v>#REF!</v>
      </c>
      <c r="D270" s="19" t="s">
        <v>760</v>
      </c>
      <c r="E270" s="10" t="e">
        <f>#REF!</f>
        <v>#REF!</v>
      </c>
      <c r="F270" s="302" t="e">
        <f>#REF!</f>
        <v>#REF!</v>
      </c>
      <c r="G270" s="11" t="e">
        <f t="shared" si="264"/>
        <v>#REF!</v>
      </c>
      <c r="H270" s="11" t="e">
        <f t="shared" si="265"/>
        <v>#REF!</v>
      </c>
      <c r="I270" s="11" t="e">
        <f t="shared" si="266"/>
        <v>#REF!</v>
      </c>
      <c r="J270" s="11" t="e">
        <f t="shared" si="267"/>
        <v>#REF!</v>
      </c>
    </row>
    <row r="271" spans="2:10" x14ac:dyDescent="0.3">
      <c r="B271" s="400" t="s">
        <v>407</v>
      </c>
      <c r="C271" s="13" t="e">
        <f>#REF!</f>
        <v>#REF!</v>
      </c>
      <c r="D271" s="19" t="s">
        <v>762</v>
      </c>
      <c r="E271" s="10" t="e">
        <f>#REF!</f>
        <v>#REF!</v>
      </c>
      <c r="F271" s="302" t="e">
        <f>#REF!</f>
        <v>#REF!</v>
      </c>
      <c r="G271" s="11" t="e">
        <f t="shared" si="264"/>
        <v>#REF!</v>
      </c>
      <c r="H271" s="11" t="e">
        <f t="shared" si="265"/>
        <v>#REF!</v>
      </c>
      <c r="I271" s="11" t="e">
        <f t="shared" si="266"/>
        <v>#REF!</v>
      </c>
      <c r="J271" s="11" t="e">
        <f t="shared" si="267"/>
        <v>#REF!</v>
      </c>
    </row>
    <row r="272" spans="2:10" x14ac:dyDescent="0.3">
      <c r="B272" s="400" t="s">
        <v>407</v>
      </c>
      <c r="C272" s="13" t="e">
        <f>#REF!</f>
        <v>#REF!</v>
      </c>
      <c r="D272" s="19" t="s">
        <v>761</v>
      </c>
      <c r="E272" s="10" t="e">
        <f>#REF!</f>
        <v>#REF!</v>
      </c>
      <c r="F272" s="302" t="e">
        <f>#REF!</f>
        <v>#REF!</v>
      </c>
      <c r="G272" s="11" t="e">
        <f t="shared" si="264"/>
        <v>#REF!</v>
      </c>
      <c r="H272" s="11" t="e">
        <f t="shared" si="265"/>
        <v>#REF!</v>
      </c>
      <c r="I272" s="11" t="e">
        <f t="shared" si="266"/>
        <v>#REF!</v>
      </c>
      <c r="J272" s="11" t="e">
        <f t="shared" si="267"/>
        <v>#REF!</v>
      </c>
    </row>
    <row r="273" spans="2:10" x14ac:dyDescent="0.3">
      <c r="B273" s="400" t="s">
        <v>407</v>
      </c>
      <c r="C273" s="13" t="e">
        <f>#REF!</f>
        <v>#REF!</v>
      </c>
      <c r="D273" s="19" t="s">
        <v>760</v>
      </c>
      <c r="E273" s="10" t="e">
        <f>#REF!</f>
        <v>#REF!</v>
      </c>
      <c r="F273" s="302" t="e">
        <f>#REF!</f>
        <v>#REF!</v>
      </c>
      <c r="G273" s="11" t="e">
        <f t="shared" ref="G273:G275" si="268">IF(AND(D273="INGENIERÍA ELÉCTRICA",F273&lt;&gt;0),E273,0)</f>
        <v>#REF!</v>
      </c>
      <c r="H273" s="11" t="e">
        <f t="shared" ref="H273:H275" si="269">IF(AND(D273="INGENIERÍA CIVIL",F273&lt;&gt;0),E273,0)</f>
        <v>#REF!</v>
      </c>
      <c r="I273" s="11" t="e">
        <f t="shared" ref="I273:I275" si="270">IF(AND(D273="INGENIERÍA MECÁNICA",F273&lt;&gt;0),E273,0)</f>
        <v>#REF!</v>
      </c>
      <c r="J273" s="11" t="e">
        <f t="shared" ref="J273:J275" si="271">IF(AND(D273="LINEAS",F273&lt;&gt;0),E273,0)</f>
        <v>#REF!</v>
      </c>
    </row>
    <row r="274" spans="2:10" x14ac:dyDescent="0.3">
      <c r="B274" s="400" t="s">
        <v>407</v>
      </c>
      <c r="C274" s="13" t="e">
        <f>#REF!</f>
        <v>#REF!</v>
      </c>
      <c r="D274" s="19" t="s">
        <v>761</v>
      </c>
      <c r="E274" s="10" t="e">
        <f>#REF!</f>
        <v>#REF!</v>
      </c>
      <c r="F274" s="302" t="e">
        <f>#REF!</f>
        <v>#REF!</v>
      </c>
      <c r="G274" s="11" t="e">
        <f t="shared" si="268"/>
        <v>#REF!</v>
      </c>
      <c r="H274" s="11" t="e">
        <f t="shared" si="269"/>
        <v>#REF!</v>
      </c>
      <c r="I274" s="11" t="e">
        <f t="shared" si="270"/>
        <v>#REF!</v>
      </c>
      <c r="J274" s="11" t="e">
        <f t="shared" si="271"/>
        <v>#REF!</v>
      </c>
    </row>
    <row r="275" spans="2:10" x14ac:dyDescent="0.3">
      <c r="B275" s="400" t="s">
        <v>407</v>
      </c>
      <c r="C275" s="13" t="e">
        <f>#REF!</f>
        <v>#REF!</v>
      </c>
      <c r="D275" s="19" t="s">
        <v>762</v>
      </c>
      <c r="E275" s="10" t="e">
        <f>#REF!</f>
        <v>#REF!</v>
      </c>
      <c r="F275" s="302" t="e">
        <f>#REF!</f>
        <v>#REF!</v>
      </c>
      <c r="G275" s="11" t="e">
        <f t="shared" si="268"/>
        <v>#REF!</v>
      </c>
      <c r="H275" s="11" t="e">
        <f t="shared" si="269"/>
        <v>#REF!</v>
      </c>
      <c r="I275" s="11" t="e">
        <f t="shared" si="270"/>
        <v>#REF!</v>
      </c>
      <c r="J275" s="11" t="e">
        <f t="shared" si="271"/>
        <v>#REF!</v>
      </c>
    </row>
    <row r="276" spans="2:10" x14ac:dyDescent="0.3">
      <c r="B276" s="400" t="s">
        <v>407</v>
      </c>
      <c r="C276" s="13" t="e">
        <f>#REF!</f>
        <v>#REF!</v>
      </c>
      <c r="D276" s="19" t="s">
        <v>761</v>
      </c>
      <c r="E276" s="10" t="e">
        <f>#REF!</f>
        <v>#REF!</v>
      </c>
      <c r="F276" s="302" t="e">
        <f>#REF!</f>
        <v>#REF!</v>
      </c>
      <c r="G276" s="11" t="e">
        <f t="shared" ref="G276:G279" si="272">IF(AND(D276="INGENIERÍA ELÉCTRICA",F276&lt;&gt;0),E276,0)</f>
        <v>#REF!</v>
      </c>
      <c r="H276" s="11" t="e">
        <f t="shared" ref="H276:H279" si="273">IF(AND(D276="INGENIERÍA CIVIL",F276&lt;&gt;0),E276,0)</f>
        <v>#REF!</v>
      </c>
      <c r="I276" s="11" t="e">
        <f t="shared" ref="I276:I279" si="274">IF(AND(D276="INGENIERÍA MECÁNICA",F276&lt;&gt;0),E276,0)</f>
        <v>#REF!</v>
      </c>
      <c r="J276" s="11" t="e">
        <f t="shared" ref="J276:J279" si="275">IF(AND(D276="LINEAS",F276&lt;&gt;0),E276,0)</f>
        <v>#REF!</v>
      </c>
    </row>
    <row r="277" spans="2:10" x14ac:dyDescent="0.3">
      <c r="B277" s="400" t="s">
        <v>407</v>
      </c>
      <c r="C277" s="13" t="e">
        <f>#REF!</f>
        <v>#REF!</v>
      </c>
      <c r="D277" s="19" t="s">
        <v>760</v>
      </c>
      <c r="E277" s="10" t="e">
        <f>#REF!</f>
        <v>#REF!</v>
      </c>
      <c r="F277" s="302" t="e">
        <f>#REF!</f>
        <v>#REF!</v>
      </c>
      <c r="G277" s="11" t="e">
        <f t="shared" si="272"/>
        <v>#REF!</v>
      </c>
      <c r="H277" s="11" t="e">
        <f t="shared" si="273"/>
        <v>#REF!</v>
      </c>
      <c r="I277" s="11" t="e">
        <f t="shared" si="274"/>
        <v>#REF!</v>
      </c>
      <c r="J277" s="11" t="e">
        <f t="shared" si="275"/>
        <v>#REF!</v>
      </c>
    </row>
    <row r="278" spans="2:10" x14ac:dyDescent="0.3">
      <c r="B278" s="400" t="s">
        <v>407</v>
      </c>
      <c r="C278" s="13" t="e">
        <f>#REF!</f>
        <v>#REF!</v>
      </c>
      <c r="D278" s="19" t="s">
        <v>761</v>
      </c>
      <c r="E278" s="10" t="e">
        <f>#REF!</f>
        <v>#REF!</v>
      </c>
      <c r="F278" s="302" t="e">
        <f>#REF!</f>
        <v>#REF!</v>
      </c>
      <c r="G278" s="11" t="e">
        <f t="shared" si="272"/>
        <v>#REF!</v>
      </c>
      <c r="H278" s="11" t="e">
        <f t="shared" si="273"/>
        <v>#REF!</v>
      </c>
      <c r="I278" s="11" t="e">
        <f t="shared" si="274"/>
        <v>#REF!</v>
      </c>
      <c r="J278" s="11" t="e">
        <f t="shared" si="275"/>
        <v>#REF!</v>
      </c>
    </row>
    <row r="279" spans="2:10" x14ac:dyDescent="0.3">
      <c r="B279" s="400" t="s">
        <v>407</v>
      </c>
      <c r="C279" s="13" t="e">
        <f>#REF!</f>
        <v>#REF!</v>
      </c>
      <c r="D279" s="19" t="s">
        <v>760</v>
      </c>
      <c r="E279" s="10" t="e">
        <f>#REF!</f>
        <v>#REF!</v>
      </c>
      <c r="F279" s="302" t="e">
        <f>#REF!</f>
        <v>#REF!</v>
      </c>
      <c r="G279" s="11" t="e">
        <f t="shared" si="272"/>
        <v>#REF!</v>
      </c>
      <c r="H279" s="11" t="e">
        <f t="shared" si="273"/>
        <v>#REF!</v>
      </c>
      <c r="I279" s="11" t="e">
        <f t="shared" si="274"/>
        <v>#REF!</v>
      </c>
      <c r="J279" s="11" t="e">
        <f t="shared" si="275"/>
        <v>#REF!</v>
      </c>
    </row>
    <row r="280" spans="2:10" x14ac:dyDescent="0.3">
      <c r="B280" s="400" t="s">
        <v>407</v>
      </c>
      <c r="C280" s="13" t="e">
        <f>#REF!</f>
        <v>#REF!</v>
      </c>
      <c r="D280" s="19" t="s">
        <v>762</v>
      </c>
      <c r="E280" s="10" t="e">
        <f>#REF!</f>
        <v>#REF!</v>
      </c>
      <c r="F280" s="302" t="e">
        <f>#REF!</f>
        <v>#REF!</v>
      </c>
      <c r="G280" s="11" t="e">
        <f t="shared" ref="G280:G283" si="276">IF(AND(D280="INGENIERÍA ELÉCTRICA",F280&lt;&gt;0),E280,0)</f>
        <v>#REF!</v>
      </c>
      <c r="H280" s="11" t="e">
        <f t="shared" ref="H280:H283" si="277">IF(AND(D280="INGENIERÍA CIVIL",F280&lt;&gt;0),E280,0)</f>
        <v>#REF!</v>
      </c>
      <c r="I280" s="11" t="e">
        <f t="shared" ref="I280:I283" si="278">IF(AND(D280="INGENIERÍA MECÁNICA",F280&lt;&gt;0),E280,0)</f>
        <v>#REF!</v>
      </c>
      <c r="J280" s="11" t="e">
        <f t="shared" ref="J280:J283" si="279">IF(AND(D280="LINEAS",F280&lt;&gt;0),E280,0)</f>
        <v>#REF!</v>
      </c>
    </row>
    <row r="281" spans="2:10" x14ac:dyDescent="0.3">
      <c r="B281" s="400" t="s">
        <v>407</v>
      </c>
      <c r="C281" s="13" t="e">
        <f>#REF!</f>
        <v>#REF!</v>
      </c>
      <c r="D281" s="19" t="s">
        <v>761</v>
      </c>
      <c r="E281" s="10" t="e">
        <f>#REF!</f>
        <v>#REF!</v>
      </c>
      <c r="F281" s="302" t="e">
        <f>#REF!</f>
        <v>#REF!</v>
      </c>
      <c r="G281" s="11" t="e">
        <f t="shared" si="276"/>
        <v>#REF!</v>
      </c>
      <c r="H281" s="11" t="e">
        <f t="shared" si="277"/>
        <v>#REF!</v>
      </c>
      <c r="I281" s="11" t="e">
        <f t="shared" si="278"/>
        <v>#REF!</v>
      </c>
      <c r="J281" s="11" t="e">
        <f t="shared" si="279"/>
        <v>#REF!</v>
      </c>
    </row>
    <row r="282" spans="2:10" x14ac:dyDescent="0.3">
      <c r="B282" s="400" t="s">
        <v>407</v>
      </c>
      <c r="C282" s="13" t="e">
        <f>#REF!</f>
        <v>#REF!</v>
      </c>
      <c r="D282" s="19" t="s">
        <v>760</v>
      </c>
      <c r="E282" s="10" t="e">
        <f>#REF!</f>
        <v>#REF!</v>
      </c>
      <c r="F282" s="302" t="e">
        <f>#REF!</f>
        <v>#REF!</v>
      </c>
      <c r="G282" s="11" t="e">
        <f t="shared" si="276"/>
        <v>#REF!</v>
      </c>
      <c r="H282" s="11" t="e">
        <f t="shared" si="277"/>
        <v>#REF!</v>
      </c>
      <c r="I282" s="11" t="e">
        <f t="shared" si="278"/>
        <v>#REF!</v>
      </c>
      <c r="J282" s="11" t="e">
        <f t="shared" si="279"/>
        <v>#REF!</v>
      </c>
    </row>
    <row r="283" spans="2:10" x14ac:dyDescent="0.3">
      <c r="B283" s="400" t="s">
        <v>407</v>
      </c>
      <c r="C283" s="13" t="e">
        <f>#REF!</f>
        <v>#REF!</v>
      </c>
      <c r="D283" s="19" t="s">
        <v>761</v>
      </c>
      <c r="E283" s="10" t="e">
        <f>#REF!</f>
        <v>#REF!</v>
      </c>
      <c r="F283" s="302" t="e">
        <f>#REF!</f>
        <v>#REF!</v>
      </c>
      <c r="G283" s="11" t="e">
        <f t="shared" si="276"/>
        <v>#REF!</v>
      </c>
      <c r="H283" s="11" t="e">
        <f t="shared" si="277"/>
        <v>#REF!</v>
      </c>
      <c r="I283" s="11" t="e">
        <f t="shared" si="278"/>
        <v>#REF!</v>
      </c>
      <c r="J283" s="11" t="e">
        <f t="shared" si="279"/>
        <v>#REF!</v>
      </c>
    </row>
    <row r="284" spans="2:10" x14ac:dyDescent="0.3">
      <c r="B284" s="400" t="s">
        <v>407</v>
      </c>
      <c r="C284" s="13" t="e">
        <f>#REF!</f>
        <v>#REF!</v>
      </c>
      <c r="D284" s="19" t="s">
        <v>762</v>
      </c>
      <c r="E284" s="10" t="e">
        <f>#REF!</f>
        <v>#REF!</v>
      </c>
      <c r="F284" s="302" t="e">
        <f>#REF!</f>
        <v>#REF!</v>
      </c>
      <c r="G284" s="11" t="e">
        <f t="shared" ref="G284:G286" si="280">IF(AND(D284="INGENIERÍA ELÉCTRICA",F284&lt;&gt;0),E284,0)</f>
        <v>#REF!</v>
      </c>
      <c r="H284" s="11" t="e">
        <f t="shared" ref="H284:H286" si="281">IF(AND(D284="INGENIERÍA CIVIL",F284&lt;&gt;0),E284,0)</f>
        <v>#REF!</v>
      </c>
      <c r="I284" s="11" t="e">
        <f t="shared" ref="I284:I286" si="282">IF(AND(D284="INGENIERÍA MECÁNICA",F284&lt;&gt;0),E284,0)</f>
        <v>#REF!</v>
      </c>
      <c r="J284" s="11" t="e">
        <f t="shared" ref="J284:J286" si="283">IF(AND(D284="LINEAS",F284&lt;&gt;0),E284,0)</f>
        <v>#REF!</v>
      </c>
    </row>
    <row r="285" spans="2:10" x14ac:dyDescent="0.3">
      <c r="B285" s="400" t="s">
        <v>407</v>
      </c>
      <c r="C285" s="13" t="e">
        <f>#REF!</f>
        <v>#REF!</v>
      </c>
      <c r="D285" s="19" t="s">
        <v>761</v>
      </c>
      <c r="E285" s="10" t="e">
        <f>#REF!</f>
        <v>#REF!</v>
      </c>
      <c r="F285" s="302" t="e">
        <f>#REF!</f>
        <v>#REF!</v>
      </c>
      <c r="G285" s="11" t="e">
        <f t="shared" si="280"/>
        <v>#REF!</v>
      </c>
      <c r="H285" s="11" t="e">
        <f t="shared" si="281"/>
        <v>#REF!</v>
      </c>
      <c r="I285" s="11" t="e">
        <f t="shared" si="282"/>
        <v>#REF!</v>
      </c>
      <c r="J285" s="11" t="e">
        <f t="shared" si="283"/>
        <v>#REF!</v>
      </c>
    </row>
    <row r="286" spans="2:10" x14ac:dyDescent="0.3">
      <c r="B286" s="400" t="s">
        <v>407</v>
      </c>
      <c r="C286" s="13" t="e">
        <f>#REF!</f>
        <v>#REF!</v>
      </c>
      <c r="D286" s="19" t="s">
        <v>760</v>
      </c>
      <c r="E286" s="10" t="e">
        <f>#REF!</f>
        <v>#REF!</v>
      </c>
      <c r="F286" s="302" t="e">
        <f>#REF!</f>
        <v>#REF!</v>
      </c>
      <c r="G286" s="11" t="e">
        <f t="shared" si="280"/>
        <v>#REF!</v>
      </c>
      <c r="H286" s="11" t="e">
        <f t="shared" si="281"/>
        <v>#REF!</v>
      </c>
      <c r="I286" s="11" t="e">
        <f t="shared" si="282"/>
        <v>#REF!</v>
      </c>
      <c r="J286" s="11" t="e">
        <f t="shared" si="283"/>
        <v>#REF!</v>
      </c>
    </row>
    <row r="287" spans="2:10" x14ac:dyDescent="0.3">
      <c r="B287" s="400" t="s">
        <v>407</v>
      </c>
      <c r="C287" s="13" t="e">
        <f>#REF!</f>
        <v>#REF!</v>
      </c>
      <c r="D287" s="19" t="s">
        <v>762</v>
      </c>
      <c r="E287" s="10" t="e">
        <f>#REF!</f>
        <v>#REF!</v>
      </c>
      <c r="F287" s="302" t="e">
        <f>#REF!</f>
        <v>#REF!</v>
      </c>
      <c r="G287" s="11" t="e">
        <f t="shared" ref="G287:G291" si="284">IF(AND(D287="INGENIERÍA ELÉCTRICA",F287&lt;&gt;0),E287,0)</f>
        <v>#REF!</v>
      </c>
      <c r="H287" s="11" t="e">
        <f t="shared" ref="H287:H291" si="285">IF(AND(D287="INGENIERÍA CIVIL",F287&lt;&gt;0),E287,0)</f>
        <v>#REF!</v>
      </c>
      <c r="I287" s="11" t="e">
        <f t="shared" ref="I287:I291" si="286">IF(AND(D287="INGENIERÍA MECÁNICA",F287&lt;&gt;0),E287,0)</f>
        <v>#REF!</v>
      </c>
      <c r="J287" s="11" t="e">
        <f t="shared" ref="J287:J291" si="287">IF(AND(D287="LINEAS",F287&lt;&gt;0),E287,0)</f>
        <v>#REF!</v>
      </c>
    </row>
    <row r="288" spans="2:10" x14ac:dyDescent="0.3">
      <c r="B288" s="400" t="s">
        <v>407</v>
      </c>
      <c r="C288" s="13" t="e">
        <f>#REF!</f>
        <v>#REF!</v>
      </c>
      <c r="D288" s="9" t="s">
        <v>761</v>
      </c>
      <c r="E288" s="10" t="e">
        <f>#REF!</f>
        <v>#REF!</v>
      </c>
      <c r="F288" s="302" t="e">
        <f>#REF!</f>
        <v>#REF!</v>
      </c>
      <c r="G288" s="11" t="e">
        <f t="shared" si="284"/>
        <v>#REF!</v>
      </c>
      <c r="H288" s="11" t="e">
        <f t="shared" si="285"/>
        <v>#REF!</v>
      </c>
      <c r="I288" s="11" t="e">
        <f t="shared" si="286"/>
        <v>#REF!</v>
      </c>
      <c r="J288" s="11" t="e">
        <f t="shared" si="287"/>
        <v>#REF!</v>
      </c>
    </row>
    <row r="289" spans="2:10" x14ac:dyDescent="0.3">
      <c r="B289" s="400" t="s">
        <v>407</v>
      </c>
      <c r="C289" s="13" t="e">
        <f>#REF!</f>
        <v>#REF!</v>
      </c>
      <c r="D289" s="19" t="s">
        <v>760</v>
      </c>
      <c r="E289" s="10" t="e">
        <f>#REF!</f>
        <v>#REF!</v>
      </c>
      <c r="F289" s="302" t="e">
        <f>#REF!</f>
        <v>#REF!</v>
      </c>
      <c r="G289" s="11" t="e">
        <f t="shared" si="284"/>
        <v>#REF!</v>
      </c>
      <c r="H289" s="11" t="e">
        <f t="shared" si="285"/>
        <v>#REF!</v>
      </c>
      <c r="I289" s="11" t="e">
        <f t="shared" si="286"/>
        <v>#REF!</v>
      </c>
      <c r="J289" s="11" t="e">
        <f t="shared" si="287"/>
        <v>#REF!</v>
      </c>
    </row>
    <row r="290" spans="2:10" x14ac:dyDescent="0.3">
      <c r="B290" s="400" t="s">
        <v>407</v>
      </c>
      <c r="C290" s="13" t="e">
        <f>#REF!</f>
        <v>#REF!</v>
      </c>
      <c r="D290" s="19" t="s">
        <v>760</v>
      </c>
      <c r="E290" s="10" t="e">
        <f>#REF!</f>
        <v>#REF!</v>
      </c>
      <c r="F290" s="302" t="e">
        <f>#REF!</f>
        <v>#REF!</v>
      </c>
      <c r="G290" s="11" t="e">
        <f t="shared" si="284"/>
        <v>#REF!</v>
      </c>
      <c r="H290" s="11" t="e">
        <f t="shared" si="285"/>
        <v>#REF!</v>
      </c>
      <c r="I290" s="11" t="e">
        <f t="shared" si="286"/>
        <v>#REF!</v>
      </c>
      <c r="J290" s="11" t="e">
        <f t="shared" si="287"/>
        <v>#REF!</v>
      </c>
    </row>
    <row r="291" spans="2:10" x14ac:dyDescent="0.3">
      <c r="B291" s="400" t="s">
        <v>407</v>
      </c>
      <c r="C291" s="13" t="e">
        <f>#REF!</f>
        <v>#REF!</v>
      </c>
      <c r="D291" s="19" t="s">
        <v>761</v>
      </c>
      <c r="E291" s="10" t="e">
        <f>#REF!</f>
        <v>#REF!</v>
      </c>
      <c r="F291" s="302" t="e">
        <f>#REF!</f>
        <v>#REF!</v>
      </c>
      <c r="G291" s="11" t="e">
        <f t="shared" si="284"/>
        <v>#REF!</v>
      </c>
      <c r="H291" s="11" t="e">
        <f t="shared" si="285"/>
        <v>#REF!</v>
      </c>
      <c r="I291" s="11" t="e">
        <f t="shared" si="286"/>
        <v>#REF!</v>
      </c>
      <c r="J291" s="11" t="e">
        <f t="shared" si="287"/>
        <v>#REF!</v>
      </c>
    </row>
    <row r="292" spans="2:10" x14ac:dyDescent="0.3">
      <c r="B292" s="400" t="s">
        <v>407</v>
      </c>
      <c r="C292" s="13" t="e">
        <f>#REF!</f>
        <v>#REF!</v>
      </c>
      <c r="D292" s="19" t="s">
        <v>761</v>
      </c>
      <c r="E292" s="10" t="e">
        <f>#REF!</f>
        <v>#REF!</v>
      </c>
      <c r="F292" s="302" t="e">
        <f>#REF!</f>
        <v>#REF!</v>
      </c>
      <c r="G292" s="11" t="e">
        <f t="shared" ref="G292:G295" si="288">IF(AND(D292="INGENIERÍA ELÉCTRICA",F292&lt;&gt;0),E292,0)</f>
        <v>#REF!</v>
      </c>
      <c r="H292" s="11" t="e">
        <f t="shared" ref="H292:H295" si="289">IF(AND(D292="INGENIERÍA CIVIL",F292&lt;&gt;0),E292,0)</f>
        <v>#REF!</v>
      </c>
      <c r="I292" s="11" t="e">
        <f t="shared" ref="I292:I295" si="290">IF(AND(D292="INGENIERÍA MECÁNICA",F292&lt;&gt;0),E292,0)</f>
        <v>#REF!</v>
      </c>
      <c r="J292" s="11" t="e">
        <f t="shared" ref="J292:J295" si="291">IF(AND(D292="LINEAS",F292&lt;&gt;0),E292,0)</f>
        <v>#REF!</v>
      </c>
    </row>
    <row r="293" spans="2:10" x14ac:dyDescent="0.3">
      <c r="B293" s="400" t="s">
        <v>407</v>
      </c>
      <c r="C293" s="13" t="e">
        <f>#REF!</f>
        <v>#REF!</v>
      </c>
      <c r="D293" s="19" t="s">
        <v>760</v>
      </c>
      <c r="E293" s="10" t="e">
        <f>#REF!</f>
        <v>#REF!</v>
      </c>
      <c r="F293" s="302" t="e">
        <f>#REF!</f>
        <v>#REF!</v>
      </c>
      <c r="G293" s="11" t="e">
        <f t="shared" si="288"/>
        <v>#REF!</v>
      </c>
      <c r="H293" s="11" t="e">
        <f t="shared" si="289"/>
        <v>#REF!</v>
      </c>
      <c r="I293" s="11" t="e">
        <f t="shared" si="290"/>
        <v>#REF!</v>
      </c>
      <c r="J293" s="11" t="e">
        <f t="shared" si="291"/>
        <v>#REF!</v>
      </c>
    </row>
    <row r="294" spans="2:10" x14ac:dyDescent="0.3">
      <c r="B294" s="400" t="s">
        <v>407</v>
      </c>
      <c r="C294" s="13" t="e">
        <f>#REF!</f>
        <v>#REF!</v>
      </c>
      <c r="D294" s="19" t="s">
        <v>760</v>
      </c>
      <c r="E294" s="10" t="e">
        <f>#REF!</f>
        <v>#REF!</v>
      </c>
      <c r="F294" s="302" t="e">
        <f>#REF!</f>
        <v>#REF!</v>
      </c>
      <c r="G294" s="11" t="e">
        <f t="shared" si="288"/>
        <v>#REF!</v>
      </c>
      <c r="H294" s="11" t="e">
        <f t="shared" si="289"/>
        <v>#REF!</v>
      </c>
      <c r="I294" s="11" t="e">
        <f t="shared" si="290"/>
        <v>#REF!</v>
      </c>
      <c r="J294" s="11" t="e">
        <f t="shared" si="291"/>
        <v>#REF!</v>
      </c>
    </row>
    <row r="295" spans="2:10" x14ac:dyDescent="0.3">
      <c r="B295" s="400" t="s">
        <v>407</v>
      </c>
      <c r="C295" s="13" t="e">
        <f>#REF!</f>
        <v>#REF!</v>
      </c>
      <c r="D295" s="19" t="s">
        <v>762</v>
      </c>
      <c r="E295" s="10" t="e">
        <f>#REF!</f>
        <v>#REF!</v>
      </c>
      <c r="F295" s="302" t="e">
        <f>#REF!</f>
        <v>#REF!</v>
      </c>
      <c r="G295" s="11" t="e">
        <f t="shared" si="288"/>
        <v>#REF!</v>
      </c>
      <c r="H295" s="11" t="e">
        <f t="shared" si="289"/>
        <v>#REF!</v>
      </c>
      <c r="I295" s="11" t="e">
        <f t="shared" si="290"/>
        <v>#REF!</v>
      </c>
      <c r="J295" s="11" t="e">
        <f t="shared" si="291"/>
        <v>#REF!</v>
      </c>
    </row>
    <row r="296" spans="2:10" x14ac:dyDescent="0.3">
      <c r="B296" s="400" t="s">
        <v>407</v>
      </c>
      <c r="C296" s="13" t="e">
        <f>#REF!</f>
        <v>#REF!</v>
      </c>
      <c r="D296" s="19" t="s">
        <v>761</v>
      </c>
      <c r="E296" s="10" t="e">
        <f>#REF!</f>
        <v>#REF!</v>
      </c>
      <c r="F296" s="302" t="e">
        <f>#REF!</f>
        <v>#REF!</v>
      </c>
      <c r="G296" s="11" t="e">
        <f t="shared" ref="G296:G301" si="292">IF(AND(D296="INGENIERÍA ELÉCTRICA",F296&lt;&gt;0),E296,0)</f>
        <v>#REF!</v>
      </c>
      <c r="H296" s="11" t="e">
        <f t="shared" ref="H296:H301" si="293">IF(AND(D296="INGENIERÍA CIVIL",F296&lt;&gt;0),E296,0)</f>
        <v>#REF!</v>
      </c>
      <c r="I296" s="11" t="e">
        <f t="shared" ref="I296:I301" si="294">IF(AND(D296="INGENIERÍA MECÁNICA",F296&lt;&gt;0),E296,0)</f>
        <v>#REF!</v>
      </c>
      <c r="J296" s="11" t="e">
        <f t="shared" ref="J296:J301" si="295">IF(AND(D296="LINEAS",F296&lt;&gt;0),E296,0)</f>
        <v>#REF!</v>
      </c>
    </row>
    <row r="297" spans="2:10" x14ac:dyDescent="0.3">
      <c r="B297" s="400" t="s">
        <v>407</v>
      </c>
      <c r="C297" s="13" t="e">
        <f>#REF!</f>
        <v>#REF!</v>
      </c>
      <c r="D297" s="19" t="s">
        <v>760</v>
      </c>
      <c r="E297" s="10" t="e">
        <f>#REF!</f>
        <v>#REF!</v>
      </c>
      <c r="F297" s="302" t="e">
        <f>#REF!</f>
        <v>#REF!</v>
      </c>
      <c r="G297" s="11" t="e">
        <f t="shared" si="292"/>
        <v>#REF!</v>
      </c>
      <c r="H297" s="11" t="e">
        <f t="shared" si="293"/>
        <v>#REF!</v>
      </c>
      <c r="I297" s="11" t="e">
        <f t="shared" si="294"/>
        <v>#REF!</v>
      </c>
      <c r="J297" s="11" t="e">
        <f t="shared" si="295"/>
        <v>#REF!</v>
      </c>
    </row>
    <row r="298" spans="2:10" x14ac:dyDescent="0.3">
      <c r="B298" s="400" t="s">
        <v>407</v>
      </c>
      <c r="C298" s="13" t="e">
        <f>#REF!</f>
        <v>#REF!</v>
      </c>
      <c r="D298" s="19" t="s">
        <v>762</v>
      </c>
      <c r="E298" s="10" t="e">
        <f>#REF!</f>
        <v>#REF!</v>
      </c>
      <c r="F298" s="302" t="e">
        <f>#REF!</f>
        <v>#REF!</v>
      </c>
      <c r="G298" s="11" t="e">
        <f t="shared" si="292"/>
        <v>#REF!</v>
      </c>
      <c r="H298" s="11" t="e">
        <f t="shared" si="293"/>
        <v>#REF!</v>
      </c>
      <c r="I298" s="11" t="e">
        <f t="shared" si="294"/>
        <v>#REF!</v>
      </c>
      <c r="J298" s="11" t="e">
        <f t="shared" si="295"/>
        <v>#REF!</v>
      </c>
    </row>
    <row r="299" spans="2:10" x14ac:dyDescent="0.3">
      <c r="B299" s="400" t="s">
        <v>407</v>
      </c>
      <c r="C299" s="13" t="e">
        <f>#REF!</f>
        <v>#REF!</v>
      </c>
      <c r="D299" s="19" t="s">
        <v>761</v>
      </c>
      <c r="E299" s="10" t="e">
        <f>#REF!</f>
        <v>#REF!</v>
      </c>
      <c r="F299" s="302" t="e">
        <f>#REF!</f>
        <v>#REF!</v>
      </c>
      <c r="G299" s="11" t="e">
        <f t="shared" si="292"/>
        <v>#REF!</v>
      </c>
      <c r="H299" s="11" t="e">
        <f t="shared" si="293"/>
        <v>#REF!</v>
      </c>
      <c r="I299" s="11" t="e">
        <f t="shared" si="294"/>
        <v>#REF!</v>
      </c>
      <c r="J299" s="11" t="e">
        <f t="shared" si="295"/>
        <v>#REF!</v>
      </c>
    </row>
    <row r="300" spans="2:10" x14ac:dyDescent="0.3">
      <c r="B300" s="400" t="s">
        <v>407</v>
      </c>
      <c r="C300" s="13" t="e">
        <f>#REF!</f>
        <v>#REF!</v>
      </c>
      <c r="D300" s="19" t="s">
        <v>760</v>
      </c>
      <c r="E300" s="10" t="e">
        <f>#REF!</f>
        <v>#REF!</v>
      </c>
      <c r="F300" s="302" t="e">
        <f>#REF!</f>
        <v>#REF!</v>
      </c>
      <c r="G300" s="11" t="e">
        <f t="shared" si="292"/>
        <v>#REF!</v>
      </c>
      <c r="H300" s="11" t="e">
        <f t="shared" si="293"/>
        <v>#REF!</v>
      </c>
      <c r="I300" s="11" t="e">
        <f t="shared" si="294"/>
        <v>#REF!</v>
      </c>
      <c r="J300" s="11" t="e">
        <f t="shared" si="295"/>
        <v>#REF!</v>
      </c>
    </row>
    <row r="301" spans="2:10" x14ac:dyDescent="0.3">
      <c r="B301" s="400" t="s">
        <v>407</v>
      </c>
      <c r="C301" s="13" t="e">
        <f>#REF!</f>
        <v>#REF!</v>
      </c>
      <c r="D301" s="19" t="s">
        <v>761</v>
      </c>
      <c r="E301" s="10" t="e">
        <f>#REF!</f>
        <v>#REF!</v>
      </c>
      <c r="F301" s="302" t="e">
        <f>#REF!</f>
        <v>#REF!</v>
      </c>
      <c r="G301" s="11" t="e">
        <f t="shared" si="292"/>
        <v>#REF!</v>
      </c>
      <c r="H301" s="11" t="e">
        <f t="shared" si="293"/>
        <v>#REF!</v>
      </c>
      <c r="I301" s="11" t="e">
        <f t="shared" si="294"/>
        <v>#REF!</v>
      </c>
      <c r="J301" s="11" t="e">
        <f t="shared" si="295"/>
        <v>#REF!</v>
      </c>
    </row>
    <row r="302" spans="2:10" x14ac:dyDescent="0.3">
      <c r="B302" s="400" t="s">
        <v>407</v>
      </c>
      <c r="C302" s="13" t="e">
        <f>#REF!</f>
        <v>#REF!</v>
      </c>
      <c r="D302" s="19" t="s">
        <v>760</v>
      </c>
      <c r="E302" s="10" t="e">
        <f>#REF!</f>
        <v>#REF!</v>
      </c>
      <c r="F302" s="302" t="e">
        <f>#REF!</f>
        <v>#REF!</v>
      </c>
      <c r="G302" s="11" t="e">
        <f t="shared" ref="G302:G303" si="296">IF(AND(D302="INGENIERÍA ELÉCTRICA",F302&lt;&gt;0),E302,0)</f>
        <v>#REF!</v>
      </c>
      <c r="H302" s="11" t="e">
        <f t="shared" ref="H302:H303" si="297">IF(AND(D302="INGENIERÍA CIVIL",F302&lt;&gt;0),E302,0)</f>
        <v>#REF!</v>
      </c>
      <c r="I302" s="11" t="e">
        <f t="shared" ref="I302:I303" si="298">IF(AND(D302="INGENIERÍA MECÁNICA",F302&lt;&gt;0),E302,0)</f>
        <v>#REF!</v>
      </c>
      <c r="J302" s="11" t="e">
        <f t="shared" ref="J302:J303" si="299">IF(AND(D302="LINEAS",F302&lt;&gt;0),E302,0)</f>
        <v>#REF!</v>
      </c>
    </row>
    <row r="303" spans="2:10" x14ac:dyDescent="0.3">
      <c r="B303" s="400" t="s">
        <v>407</v>
      </c>
      <c r="C303" s="13" t="e">
        <f>#REF!</f>
        <v>#REF!</v>
      </c>
      <c r="D303" s="19" t="s">
        <v>761</v>
      </c>
      <c r="E303" s="10" t="e">
        <f>#REF!</f>
        <v>#REF!</v>
      </c>
      <c r="F303" s="302" t="e">
        <f>#REF!</f>
        <v>#REF!</v>
      </c>
      <c r="G303" s="11" t="e">
        <f t="shared" si="296"/>
        <v>#REF!</v>
      </c>
      <c r="H303" s="11" t="e">
        <f t="shared" si="297"/>
        <v>#REF!</v>
      </c>
      <c r="I303" s="11" t="e">
        <f t="shared" si="298"/>
        <v>#REF!</v>
      </c>
      <c r="J303" s="11" t="e">
        <f t="shared" si="299"/>
        <v>#REF!</v>
      </c>
    </row>
    <row r="304" spans="2:10" x14ac:dyDescent="0.3">
      <c r="B304" s="400" t="s">
        <v>407</v>
      </c>
      <c r="C304" s="13" t="e">
        <f>#REF!</f>
        <v>#REF!</v>
      </c>
      <c r="D304" s="19" t="s">
        <v>762</v>
      </c>
      <c r="E304" s="10" t="e">
        <f>#REF!</f>
        <v>#REF!</v>
      </c>
      <c r="F304" s="302" t="e">
        <f>#REF!</f>
        <v>#REF!</v>
      </c>
      <c r="G304" s="11" t="e">
        <f t="shared" ref="G304:G306" si="300">IF(AND(D304="INGENIERÍA ELÉCTRICA",F304&lt;&gt;0),E304,0)</f>
        <v>#REF!</v>
      </c>
      <c r="H304" s="11" t="e">
        <f t="shared" ref="H304:H306" si="301">IF(AND(D304="INGENIERÍA CIVIL",F304&lt;&gt;0),E304,0)</f>
        <v>#REF!</v>
      </c>
      <c r="I304" s="11" t="e">
        <f t="shared" ref="I304:I306" si="302">IF(AND(D304="INGENIERÍA MECÁNICA",F304&lt;&gt;0),E304,0)</f>
        <v>#REF!</v>
      </c>
      <c r="J304" s="11" t="e">
        <f t="shared" ref="J304:J306" si="303">IF(AND(D304="LINEAS",F304&lt;&gt;0),E304,0)</f>
        <v>#REF!</v>
      </c>
    </row>
    <row r="305" spans="2:10" x14ac:dyDescent="0.3">
      <c r="B305" s="400" t="s">
        <v>407</v>
      </c>
      <c r="C305" s="13" t="e">
        <f>#REF!</f>
        <v>#REF!</v>
      </c>
      <c r="D305" s="19" t="s">
        <v>761</v>
      </c>
      <c r="E305" s="10" t="e">
        <f>#REF!</f>
        <v>#REF!</v>
      </c>
      <c r="F305" s="302" t="e">
        <f>#REF!</f>
        <v>#REF!</v>
      </c>
      <c r="G305" s="11" t="e">
        <f t="shared" si="300"/>
        <v>#REF!</v>
      </c>
      <c r="H305" s="11" t="e">
        <f t="shared" si="301"/>
        <v>#REF!</v>
      </c>
      <c r="I305" s="11" t="e">
        <f t="shared" si="302"/>
        <v>#REF!</v>
      </c>
      <c r="J305" s="11" t="e">
        <f t="shared" si="303"/>
        <v>#REF!</v>
      </c>
    </row>
    <row r="306" spans="2:10" x14ac:dyDescent="0.3">
      <c r="B306" s="400" t="s">
        <v>407</v>
      </c>
      <c r="C306" s="13" t="e">
        <f>#REF!</f>
        <v>#REF!</v>
      </c>
      <c r="D306" s="19" t="s">
        <v>760</v>
      </c>
      <c r="E306" s="10" t="e">
        <f>#REF!</f>
        <v>#REF!</v>
      </c>
      <c r="F306" s="302" t="e">
        <f>#REF!</f>
        <v>#REF!</v>
      </c>
      <c r="G306" s="11" t="e">
        <f t="shared" si="300"/>
        <v>#REF!</v>
      </c>
      <c r="H306" s="11" t="e">
        <f t="shared" si="301"/>
        <v>#REF!</v>
      </c>
      <c r="I306" s="11" t="e">
        <f t="shared" si="302"/>
        <v>#REF!</v>
      </c>
      <c r="J306" s="11" t="e">
        <f t="shared" si="303"/>
        <v>#REF!</v>
      </c>
    </row>
    <row r="307" spans="2:10" x14ac:dyDescent="0.3">
      <c r="B307" s="400" t="s">
        <v>610</v>
      </c>
      <c r="C307" s="13" t="e">
        <f>#REF!</f>
        <v>#REF!</v>
      </c>
      <c r="D307" s="19" t="s">
        <v>760</v>
      </c>
      <c r="E307" s="10" t="e">
        <f>#REF!</f>
        <v>#REF!</v>
      </c>
      <c r="F307" s="302" t="e">
        <f>#REF!</f>
        <v>#REF!</v>
      </c>
      <c r="G307" s="11" t="e">
        <f t="shared" ref="G307" si="304">IF(AND(D307="INGENIERÍA ELÉCTRICA",F307&lt;&gt;0),E307,0)</f>
        <v>#REF!</v>
      </c>
      <c r="H307" s="11" t="e">
        <f t="shared" ref="H307" si="305">IF(AND(D307="INGENIERÍA CIVIL",F307&lt;&gt;0),E307,0)</f>
        <v>#REF!</v>
      </c>
      <c r="I307" s="11" t="e">
        <f t="shared" ref="I307" si="306">IF(AND(D307="INGENIERÍA MECÁNICA",F307&lt;&gt;0),E307,0)</f>
        <v>#REF!</v>
      </c>
      <c r="J307" s="11" t="e">
        <f t="shared" ref="J307" si="307">IF(AND(D307="LINEAS",F307&lt;&gt;0),E307,0)</f>
        <v>#REF!</v>
      </c>
    </row>
    <row r="308" spans="2:10" x14ac:dyDescent="0.3">
      <c r="B308" s="400" t="s">
        <v>610</v>
      </c>
      <c r="C308" s="13" t="e">
        <f>#REF!</f>
        <v>#REF!</v>
      </c>
      <c r="D308" s="19" t="s">
        <v>760</v>
      </c>
      <c r="E308" s="10" t="e">
        <f>#REF!</f>
        <v>#REF!</v>
      </c>
      <c r="F308" s="302" t="e">
        <f>#REF!</f>
        <v>#REF!</v>
      </c>
      <c r="G308" s="11" t="e">
        <f t="shared" ref="G308:G309" si="308">IF(AND(D308="INGENIERÍA ELÉCTRICA",F308&lt;&gt;0),E308,0)</f>
        <v>#REF!</v>
      </c>
      <c r="H308" s="11" t="e">
        <f t="shared" ref="H308:H309" si="309">IF(AND(D308="INGENIERÍA CIVIL",F308&lt;&gt;0),E308,0)</f>
        <v>#REF!</v>
      </c>
      <c r="I308" s="11" t="e">
        <f t="shared" ref="I308:I309" si="310">IF(AND(D308="INGENIERÍA MECÁNICA",F308&lt;&gt;0),E308,0)</f>
        <v>#REF!</v>
      </c>
      <c r="J308" s="11" t="e">
        <f t="shared" ref="J308:J309" si="311">IF(AND(D308="LINEAS",F308&lt;&gt;0),E308,0)</f>
        <v>#REF!</v>
      </c>
    </row>
    <row r="309" spans="2:10" x14ac:dyDescent="0.3">
      <c r="B309" s="400" t="s">
        <v>610</v>
      </c>
      <c r="C309" s="13" t="e">
        <f>#REF!</f>
        <v>#REF!</v>
      </c>
      <c r="D309" s="9" t="s">
        <v>761</v>
      </c>
      <c r="E309" s="10" t="e">
        <f>#REF!</f>
        <v>#REF!</v>
      </c>
      <c r="F309" s="302" t="e">
        <f>#REF!</f>
        <v>#REF!</v>
      </c>
      <c r="G309" s="11" t="e">
        <f t="shared" si="308"/>
        <v>#REF!</v>
      </c>
      <c r="H309" s="11" t="e">
        <f t="shared" si="309"/>
        <v>#REF!</v>
      </c>
      <c r="I309" s="11" t="e">
        <f t="shared" si="310"/>
        <v>#REF!</v>
      </c>
      <c r="J309" s="11" t="e">
        <f t="shared" si="311"/>
        <v>#REF!</v>
      </c>
    </row>
    <row r="310" spans="2:10" x14ac:dyDescent="0.3">
      <c r="B310" s="400" t="s">
        <v>1215</v>
      </c>
      <c r="C310" s="13" t="str">
        <f>'OT17-153 SATÉLITE SIMP MAGDALEN'!C14</f>
        <v>Ingeniería civil y mecánico (Levantamiento e ingeniería de detalle)</v>
      </c>
      <c r="D310" s="19" t="s">
        <v>760</v>
      </c>
      <c r="E310" s="10">
        <f>'OT17-153 SATÉLITE SIMP MAGDALEN'!R14</f>
        <v>0</v>
      </c>
      <c r="F310" s="302">
        <f>'OT17-153 SATÉLITE SIMP MAGDALEN'!Q14</f>
        <v>0</v>
      </c>
      <c r="G310" s="11">
        <f t="shared" ref="G310" si="312">IF(AND(D310="INGENIERÍA ELÉCTRICA",F310&lt;&gt;0),E310,0)</f>
        <v>0</v>
      </c>
      <c r="H310" s="11">
        <f t="shared" ref="H310" si="313">IF(AND(D310="INGENIERÍA CIVIL",F310&lt;&gt;0),E310,0)</f>
        <v>0</v>
      </c>
      <c r="I310" s="11">
        <f t="shared" ref="I310" si="314">IF(AND(D310="INGENIERÍA MECÁNICA",F310&lt;&gt;0),E310,0)</f>
        <v>0</v>
      </c>
      <c r="J310" s="11">
        <f t="shared" ref="J310" si="315">IF(AND(D310="LINEAS",F310&lt;&gt;0),E310,0)</f>
        <v>0</v>
      </c>
    </row>
    <row r="311" spans="2:10" x14ac:dyDescent="0.3">
      <c r="B311" s="400" t="s">
        <v>1215</v>
      </c>
      <c r="C311" s="13" t="str">
        <f>'OT17-153 SATÉLITE SIMP MAGDALEN'!C16</f>
        <v>Ingeniería civil y mecánico (Levantamiento e ingeniería de detalle)</v>
      </c>
      <c r="D311" s="19" t="s">
        <v>760</v>
      </c>
      <c r="E311" s="10">
        <f>'OT17-153 SATÉLITE SIMP MAGDALEN'!R16</f>
        <v>0</v>
      </c>
      <c r="F311" s="302">
        <f>'OT17-153 SATÉLITE SIMP MAGDALEN'!Q16</f>
        <v>0</v>
      </c>
      <c r="G311" s="11">
        <f t="shared" ref="G311:G316" si="316">IF(AND(D311="INGENIERÍA ELÉCTRICA",F311&lt;&gt;0),E311,0)</f>
        <v>0</v>
      </c>
      <c r="H311" s="11">
        <f t="shared" ref="H311:H316" si="317">IF(AND(D311="INGENIERÍA CIVIL",F311&lt;&gt;0),E311,0)</f>
        <v>0</v>
      </c>
      <c r="I311" s="11">
        <f t="shared" ref="I311:I316" si="318">IF(AND(D311="INGENIERÍA MECÁNICA",F311&lt;&gt;0),E311,0)</f>
        <v>0</v>
      </c>
      <c r="J311" s="11">
        <f t="shared" ref="J311:J316" si="319">IF(AND(D311="LINEAS",F311&lt;&gt;0),E311,0)</f>
        <v>0</v>
      </c>
    </row>
    <row r="312" spans="2:10" x14ac:dyDescent="0.3">
      <c r="B312" s="400" t="s">
        <v>1215</v>
      </c>
      <c r="C312" s="13" t="str">
        <f>'OT17-153 SATÉLITE SIMP MAGDALEN'!C17</f>
        <v>Ingeniería eléctrica (Levantamiento e ingeniería de detalle)</v>
      </c>
      <c r="D312" s="19" t="s">
        <v>761</v>
      </c>
      <c r="E312" s="10">
        <f>'OT17-153 SATÉLITE SIMP MAGDALEN'!R17</f>
        <v>0</v>
      </c>
      <c r="F312" s="302">
        <f>'OT17-153 SATÉLITE SIMP MAGDALEN'!Q17</f>
        <v>0</v>
      </c>
      <c r="G312" s="11">
        <f t="shared" si="316"/>
        <v>0</v>
      </c>
      <c r="H312" s="11">
        <f t="shared" si="317"/>
        <v>0</v>
      </c>
      <c r="I312" s="11">
        <f t="shared" si="318"/>
        <v>0</v>
      </c>
      <c r="J312" s="11">
        <f t="shared" si="319"/>
        <v>0</v>
      </c>
    </row>
    <row r="313" spans="2:10" x14ac:dyDescent="0.3">
      <c r="B313" s="400" t="s">
        <v>1215</v>
      </c>
      <c r="C313" s="13" t="str">
        <f>'OT17-153 SATÉLITE SIMP MAGDALEN'!C19</f>
        <v>Ingeniería civil y mecánico (Levantamiento e ingeniería de detalle)</v>
      </c>
      <c r="D313" s="19" t="s">
        <v>760</v>
      </c>
      <c r="E313" s="10">
        <f>'OT17-153 SATÉLITE SIMP MAGDALEN'!R19</f>
        <v>0</v>
      </c>
      <c r="F313" s="302">
        <f>'OT17-153 SATÉLITE SIMP MAGDALEN'!Q19</f>
        <v>0</v>
      </c>
      <c r="G313" s="11">
        <f t="shared" si="316"/>
        <v>0</v>
      </c>
      <c r="H313" s="11">
        <f t="shared" si="317"/>
        <v>0</v>
      </c>
      <c r="I313" s="11">
        <f t="shared" si="318"/>
        <v>0</v>
      </c>
      <c r="J313" s="11">
        <f t="shared" si="319"/>
        <v>0</v>
      </c>
    </row>
    <row r="314" spans="2:10" x14ac:dyDescent="0.3">
      <c r="B314" s="400" t="s">
        <v>1215</v>
      </c>
      <c r="C314" s="13" t="str">
        <f>'OT17-153 SATÉLITE SIMP MAGDALEN'!C20</f>
        <v>Ingeniería eléctrica (Levantamiento e ingeniería de detalle)</v>
      </c>
      <c r="D314" s="19" t="s">
        <v>761</v>
      </c>
      <c r="E314" s="10">
        <f>'OT17-153 SATÉLITE SIMP MAGDALEN'!R20</f>
        <v>0</v>
      </c>
      <c r="F314" s="302">
        <f>'OT17-153 SATÉLITE SIMP MAGDALEN'!Q20</f>
        <v>0</v>
      </c>
      <c r="G314" s="11">
        <f t="shared" si="316"/>
        <v>0</v>
      </c>
      <c r="H314" s="11">
        <f t="shared" si="317"/>
        <v>0</v>
      </c>
      <c r="I314" s="11">
        <f t="shared" si="318"/>
        <v>0</v>
      </c>
      <c r="J314" s="11">
        <f t="shared" si="319"/>
        <v>0</v>
      </c>
    </row>
    <row r="315" spans="2:10" x14ac:dyDescent="0.3">
      <c r="B315" s="400" t="s">
        <v>1215</v>
      </c>
      <c r="C315" s="13" t="str">
        <f>'OT17-153 SATÉLITE SIMP MAGDALEN'!C22</f>
        <v xml:space="preserve"> </v>
      </c>
      <c r="D315" s="9" t="s">
        <v>761</v>
      </c>
      <c r="E315" s="10">
        <f>'OT17-153 SATÉLITE SIMP MAGDALEN'!R22</f>
        <v>1347609</v>
      </c>
      <c r="F315" s="302">
        <f>'OT17-153 SATÉLITE SIMP MAGDALEN'!Q22</f>
        <v>0.3</v>
      </c>
      <c r="G315" s="11">
        <f t="shared" si="316"/>
        <v>1347609</v>
      </c>
      <c r="H315" s="11">
        <f t="shared" si="317"/>
        <v>0</v>
      </c>
      <c r="I315" s="11">
        <f t="shared" si="318"/>
        <v>0</v>
      </c>
      <c r="J315" s="11">
        <f t="shared" si="319"/>
        <v>0</v>
      </c>
    </row>
    <row r="316" spans="2:10" x14ac:dyDescent="0.3">
      <c r="B316" s="400" t="s">
        <v>1215</v>
      </c>
      <c r="C316" s="13" t="str">
        <f>'OT17-153 SATÉLITE SIMP MAGDALEN'!C24</f>
        <v>Ingeniería civil y electromecánica (Levantamiento e ingeniería de detalle)</v>
      </c>
      <c r="D316" s="19" t="s">
        <v>760</v>
      </c>
      <c r="E316" s="10">
        <f>'OT17-153 SATÉLITE SIMP MAGDALEN'!R24</f>
        <v>4828758</v>
      </c>
      <c r="F316" s="302">
        <f>'OT17-153 SATÉLITE SIMP MAGDALEN'!Q24</f>
        <v>0.48999999999999994</v>
      </c>
      <c r="G316" s="11">
        <f t="shared" si="316"/>
        <v>0</v>
      </c>
      <c r="H316" s="11">
        <f t="shared" si="317"/>
        <v>4828758</v>
      </c>
      <c r="I316" s="11">
        <f t="shared" si="318"/>
        <v>0</v>
      </c>
      <c r="J316" s="11">
        <f t="shared" si="319"/>
        <v>0</v>
      </c>
    </row>
    <row r="317" spans="2:10" x14ac:dyDescent="0.3">
      <c r="B317" s="400" t="s">
        <v>423</v>
      </c>
      <c r="C317" s="13" t="e">
        <f>#REF!</f>
        <v>#REF!</v>
      </c>
      <c r="D317" s="19" t="s">
        <v>760</v>
      </c>
      <c r="E317" s="10" t="e">
        <f>#REF!</f>
        <v>#REF!</v>
      </c>
      <c r="F317" s="302" t="e">
        <f>#REF!</f>
        <v>#REF!</v>
      </c>
      <c r="G317" s="11" t="e">
        <f t="shared" ref="G317" si="320">IF(AND(D317="INGENIERÍA ELÉCTRICA",F317&lt;&gt;0),E317,0)</f>
        <v>#REF!</v>
      </c>
      <c r="H317" s="11" t="e">
        <f t="shared" ref="H317" si="321">IF(AND(D317="INGENIERÍA CIVIL",F317&lt;&gt;0),E317,0)</f>
        <v>#REF!</v>
      </c>
      <c r="I317" s="11" t="e">
        <f t="shared" ref="I317" si="322">IF(AND(D317="INGENIERÍA MECÁNICA",F317&lt;&gt;0),E317,0)</f>
        <v>#REF!</v>
      </c>
      <c r="J317" s="11" t="e">
        <f t="shared" ref="J317" si="323">IF(AND(D317="LINEAS",F317&lt;&gt;0),E317,0)</f>
        <v>#REF!</v>
      </c>
    </row>
    <row r="318" spans="2:10" x14ac:dyDescent="0.3">
      <c r="B318" s="400" t="s">
        <v>423</v>
      </c>
      <c r="C318" s="13" t="e">
        <f>#REF!</f>
        <v>#REF!</v>
      </c>
      <c r="D318" s="19" t="s">
        <v>761</v>
      </c>
      <c r="E318" s="10" t="e">
        <f>#REF!</f>
        <v>#REF!</v>
      </c>
      <c r="F318" s="302" t="e">
        <f>#REF!</f>
        <v>#REF!</v>
      </c>
      <c r="G318" s="11" t="e">
        <f t="shared" ref="G318" si="324">IF(AND(D318="INGENIERÍA ELÉCTRICA",F318&lt;&gt;0),E318,0)</f>
        <v>#REF!</v>
      </c>
      <c r="H318" s="11" t="e">
        <f t="shared" ref="H318" si="325">IF(AND(D318="INGENIERÍA CIVIL",F318&lt;&gt;0),E318,0)</f>
        <v>#REF!</v>
      </c>
      <c r="I318" s="11" t="e">
        <f t="shared" ref="I318" si="326">IF(AND(D318="INGENIERÍA MECÁNICA",F318&lt;&gt;0),E318,0)</f>
        <v>#REF!</v>
      </c>
      <c r="J318" s="11" t="e">
        <f t="shared" ref="J318" si="327">IF(AND(D318="LINEAS",F318&lt;&gt;0),E318,0)</f>
        <v>#REF!</v>
      </c>
    </row>
    <row r="319" spans="2:10" x14ac:dyDescent="0.3">
      <c r="B319" s="400" t="s">
        <v>1216</v>
      </c>
      <c r="C319" s="13" t="e">
        <f>#REF!</f>
        <v>#REF!</v>
      </c>
      <c r="D319" s="19" t="s">
        <v>760</v>
      </c>
      <c r="E319" s="10" t="e">
        <f>#REF!</f>
        <v>#REF!</v>
      </c>
      <c r="F319" s="302" t="e">
        <f>#REF!</f>
        <v>#REF!</v>
      </c>
      <c r="G319" s="11" t="e">
        <f t="shared" ref="G319" si="328">IF(AND(D319="INGENIERÍA ELÉCTRICA",F319&lt;&gt;0),E319,0)</f>
        <v>#REF!</v>
      </c>
      <c r="H319" s="11" t="e">
        <f t="shared" ref="H319" si="329">IF(AND(D319="INGENIERÍA CIVIL",F319&lt;&gt;0),E319,0)</f>
        <v>#REF!</v>
      </c>
      <c r="I319" s="11" t="e">
        <f t="shared" ref="I319" si="330">IF(AND(D319="INGENIERÍA MECÁNICA",F319&lt;&gt;0),E319,0)</f>
        <v>#REF!</v>
      </c>
      <c r="J319" s="11" t="e">
        <f t="shared" ref="J319" si="331">IF(AND(D319="LINEAS",F319&lt;&gt;0),E319,0)</f>
        <v>#REF!</v>
      </c>
    </row>
    <row r="320" spans="2:10" x14ac:dyDescent="0.3">
      <c r="B320" s="400" t="s">
        <v>1216</v>
      </c>
      <c r="C320" s="13" t="e">
        <f>#REF!</f>
        <v>#REF!</v>
      </c>
      <c r="D320" s="19" t="s">
        <v>761</v>
      </c>
      <c r="E320" s="10" t="e">
        <f>#REF!</f>
        <v>#REF!</v>
      </c>
      <c r="F320" s="302" t="e">
        <f>#REF!</f>
        <v>#REF!</v>
      </c>
      <c r="G320" s="11" t="e">
        <f t="shared" ref="G320" si="332">IF(AND(D320="INGENIERÍA ELÉCTRICA",F320&lt;&gt;0),E320,0)</f>
        <v>#REF!</v>
      </c>
      <c r="H320" s="11" t="e">
        <f t="shared" ref="H320" si="333">IF(AND(D320="INGENIERÍA CIVIL",F320&lt;&gt;0),E320,0)</f>
        <v>#REF!</v>
      </c>
      <c r="I320" s="11" t="e">
        <f t="shared" ref="I320" si="334">IF(AND(D320="INGENIERÍA MECÁNICA",F320&lt;&gt;0),E320,0)</f>
        <v>#REF!</v>
      </c>
      <c r="J320" s="11" t="e">
        <f t="shared" ref="J320" si="335">IF(AND(D320="LINEAS",F320&lt;&gt;0),E320,0)</f>
        <v>#REF!</v>
      </c>
    </row>
    <row r="321" spans="2:10" x14ac:dyDescent="0.3">
      <c r="B321" s="400" t="s">
        <v>1218</v>
      </c>
      <c r="C321" s="13" t="e">
        <f>#REF!</f>
        <v>#REF!</v>
      </c>
      <c r="D321" s="19" t="s">
        <v>760</v>
      </c>
      <c r="E321" s="10" t="e">
        <f>#REF!</f>
        <v>#REF!</v>
      </c>
      <c r="F321" s="302" t="e">
        <f>#REF!</f>
        <v>#REF!</v>
      </c>
      <c r="G321" s="11" t="e">
        <f t="shared" ref="G321" si="336">IF(AND(D321="INGENIERÍA ELÉCTRICA",F321&lt;&gt;0),E321,0)</f>
        <v>#REF!</v>
      </c>
      <c r="H321" s="11" t="e">
        <f t="shared" ref="H321" si="337">IF(AND(D321="INGENIERÍA CIVIL",F321&lt;&gt;0),E321,0)</f>
        <v>#REF!</v>
      </c>
      <c r="I321" s="11" t="e">
        <f t="shared" ref="I321" si="338">IF(AND(D321="INGENIERÍA MECÁNICA",F321&lt;&gt;0),E321,0)</f>
        <v>#REF!</v>
      </c>
      <c r="J321" s="11" t="e">
        <f t="shared" ref="J321" si="339">IF(AND(D321="LINEAS",F321&lt;&gt;0),E321,0)</f>
        <v>#REF!</v>
      </c>
    </row>
    <row r="322" spans="2:10" x14ac:dyDescent="0.3">
      <c r="B322" s="400" t="s">
        <v>1218</v>
      </c>
      <c r="C322" s="13" t="e">
        <f>#REF!</f>
        <v>#REF!</v>
      </c>
      <c r="D322" s="19" t="s">
        <v>761</v>
      </c>
      <c r="E322" s="10" t="e">
        <f>#REF!</f>
        <v>#REF!</v>
      </c>
      <c r="F322" s="302" t="e">
        <f>#REF!</f>
        <v>#REF!</v>
      </c>
      <c r="G322" s="11" t="e">
        <f t="shared" ref="G322" si="340">IF(AND(D322="INGENIERÍA ELÉCTRICA",F322&lt;&gt;0),E322,0)</f>
        <v>#REF!</v>
      </c>
      <c r="H322" s="11" t="e">
        <f t="shared" ref="H322" si="341">IF(AND(D322="INGENIERÍA CIVIL",F322&lt;&gt;0),E322,0)</f>
        <v>#REF!</v>
      </c>
      <c r="I322" s="11" t="e">
        <f t="shared" ref="I322" si="342">IF(AND(D322="INGENIERÍA MECÁNICA",F322&lt;&gt;0),E322,0)</f>
        <v>#REF!</v>
      </c>
      <c r="J322" s="11" t="e">
        <f t="shared" ref="J322" si="343">IF(AND(D322="LINEAS",F322&lt;&gt;0),E322,0)</f>
        <v>#REF!</v>
      </c>
    </row>
    <row r="323" spans="2:10" x14ac:dyDescent="0.3">
      <c r="B323" s="400" t="s">
        <v>746</v>
      </c>
      <c r="C323" s="13" t="e">
        <f>#REF!</f>
        <v>#REF!</v>
      </c>
      <c r="D323" s="9" t="s">
        <v>761</v>
      </c>
      <c r="E323" s="10" t="e">
        <f>#REF!</f>
        <v>#REF!</v>
      </c>
      <c r="F323" s="302" t="e">
        <f>#REF!</f>
        <v>#REF!</v>
      </c>
      <c r="G323" s="11" t="e">
        <f t="shared" ref="G323" si="344">IF(AND(D323="INGENIERÍA ELÉCTRICA",F323&lt;&gt;0),E323,0)</f>
        <v>#REF!</v>
      </c>
      <c r="H323" s="11" t="e">
        <f t="shared" ref="H323" si="345">IF(AND(D323="INGENIERÍA CIVIL",F323&lt;&gt;0),E323,0)</f>
        <v>#REF!</v>
      </c>
      <c r="I323" s="11" t="e">
        <f t="shared" ref="I323" si="346">IF(AND(D323="INGENIERÍA MECÁNICA",F323&lt;&gt;0),E323,0)</f>
        <v>#REF!</v>
      </c>
      <c r="J323" s="11" t="e">
        <f t="shared" ref="J323" si="347">IF(AND(D323="LINEAS",F323&lt;&gt;0),E323,0)</f>
        <v>#REF!</v>
      </c>
    </row>
    <row r="324" spans="2:10" x14ac:dyDescent="0.3">
      <c r="B324" s="400" t="s">
        <v>746</v>
      </c>
      <c r="C324" s="13" t="e">
        <f>#REF!</f>
        <v>#REF!</v>
      </c>
      <c r="D324" s="19" t="s">
        <v>760</v>
      </c>
      <c r="E324" s="10" t="e">
        <f>#REF!</f>
        <v>#REF!</v>
      </c>
      <c r="F324" s="302" t="e">
        <f>#REF!</f>
        <v>#REF!</v>
      </c>
      <c r="G324" s="11" t="e">
        <f t="shared" ref="G324:G325" si="348">IF(AND(D324="INGENIERÍA ELÉCTRICA",F324&lt;&gt;0),E324,0)</f>
        <v>#REF!</v>
      </c>
      <c r="H324" s="11" t="e">
        <f t="shared" ref="H324:H325" si="349">IF(AND(D324="INGENIERÍA CIVIL",F324&lt;&gt;0),E324,0)</f>
        <v>#REF!</v>
      </c>
      <c r="I324" s="11" t="e">
        <f t="shared" ref="I324:I325" si="350">IF(AND(D324="INGENIERÍA MECÁNICA",F324&lt;&gt;0),E324,0)</f>
        <v>#REF!</v>
      </c>
      <c r="J324" s="11" t="e">
        <f t="shared" ref="J324:J325" si="351">IF(AND(D324="LINEAS",F324&lt;&gt;0),E324,0)</f>
        <v>#REF!</v>
      </c>
    </row>
    <row r="325" spans="2:10" x14ac:dyDescent="0.3">
      <c r="B325" s="400" t="s">
        <v>746</v>
      </c>
      <c r="C325" s="13" t="e">
        <f>#REF!</f>
        <v>#REF!</v>
      </c>
      <c r="D325" s="19" t="s">
        <v>760</v>
      </c>
      <c r="E325" s="10" t="e">
        <f>#REF!</f>
        <v>#REF!</v>
      </c>
      <c r="F325" s="302" t="e">
        <f>#REF!</f>
        <v>#REF!</v>
      </c>
      <c r="G325" s="11" t="e">
        <f t="shared" si="348"/>
        <v>#REF!</v>
      </c>
      <c r="H325" s="11" t="e">
        <f t="shared" si="349"/>
        <v>#REF!</v>
      </c>
      <c r="I325" s="11" t="e">
        <f t="shared" si="350"/>
        <v>#REF!</v>
      </c>
      <c r="J325" s="11" t="e">
        <f t="shared" si="351"/>
        <v>#REF!</v>
      </c>
    </row>
    <row r="326" spans="2:10" x14ac:dyDescent="0.3">
      <c r="B326" s="400" t="s">
        <v>1220</v>
      </c>
      <c r="C326" s="13" t="e">
        <f>#REF!</f>
        <v>#REF!</v>
      </c>
      <c r="D326" s="19" t="s">
        <v>28</v>
      </c>
      <c r="E326" s="10" t="e">
        <f>#REF!</f>
        <v>#REF!</v>
      </c>
      <c r="F326" s="302" t="e">
        <f>#REF!</f>
        <v>#REF!</v>
      </c>
      <c r="G326" s="11" t="e">
        <f t="shared" ref="G326" si="352">IF(AND(D326="INGENIERÍA ELÉCTRICA",F326&lt;&gt;0),E326,0)</f>
        <v>#REF!</v>
      </c>
      <c r="H326" s="11" t="e">
        <f t="shared" ref="H326" si="353">IF(AND(D326="INGENIERÍA CIVIL",F326&lt;&gt;0),E326,0)</f>
        <v>#REF!</v>
      </c>
      <c r="I326" s="11" t="e">
        <f t="shared" ref="I326" si="354">IF(AND(D326="INGENIERÍA MECÁNICA",F326&lt;&gt;0),E326,0)</f>
        <v>#REF!</v>
      </c>
      <c r="J326" s="11" t="e">
        <f t="shared" ref="J326" si="355">IF(AND(D326="LINEAS",F326&lt;&gt;0),E326,0)</f>
        <v>#REF!</v>
      </c>
    </row>
    <row r="327" spans="2:10" x14ac:dyDescent="0.3">
      <c r="B327" s="400" t="s">
        <v>1220</v>
      </c>
      <c r="C327" s="13" t="e">
        <f>#REF!</f>
        <v>#REF!</v>
      </c>
      <c r="D327" s="19" t="s">
        <v>28</v>
      </c>
      <c r="E327" s="10" t="e">
        <f>#REF!</f>
        <v>#REF!</v>
      </c>
      <c r="F327" s="302" t="e">
        <f>#REF!</f>
        <v>#REF!</v>
      </c>
      <c r="G327" s="11" t="e">
        <f t="shared" ref="G327:G331" si="356">IF(AND(D327="INGENIERÍA ELÉCTRICA",F327&lt;&gt;0),E327,0)</f>
        <v>#REF!</v>
      </c>
      <c r="H327" s="11" t="e">
        <f t="shared" ref="H327:H331" si="357">IF(AND(D327="INGENIERÍA CIVIL",F327&lt;&gt;0),E327,0)</f>
        <v>#REF!</v>
      </c>
      <c r="I327" s="11" t="e">
        <f t="shared" ref="I327:I331" si="358">IF(AND(D327="INGENIERÍA MECÁNICA",F327&lt;&gt;0),E327,0)</f>
        <v>#REF!</v>
      </c>
      <c r="J327" s="11" t="e">
        <f t="shared" ref="J327:J331" si="359">IF(AND(D327="LINEAS",F327&lt;&gt;0),E327,0)</f>
        <v>#REF!</v>
      </c>
    </row>
    <row r="328" spans="2:10" x14ac:dyDescent="0.3">
      <c r="B328" s="400" t="s">
        <v>1220</v>
      </c>
      <c r="C328" s="13" t="e">
        <f>#REF!</f>
        <v>#REF!</v>
      </c>
      <c r="D328" s="19" t="s">
        <v>28</v>
      </c>
      <c r="E328" s="10" t="e">
        <f>#REF!</f>
        <v>#REF!</v>
      </c>
      <c r="F328" s="302" t="e">
        <f>#REF!</f>
        <v>#REF!</v>
      </c>
      <c r="G328" s="11" t="e">
        <f t="shared" si="356"/>
        <v>#REF!</v>
      </c>
      <c r="H328" s="11" t="e">
        <f t="shared" si="357"/>
        <v>#REF!</v>
      </c>
      <c r="I328" s="11" t="e">
        <f t="shared" si="358"/>
        <v>#REF!</v>
      </c>
      <c r="J328" s="11" t="e">
        <f t="shared" si="359"/>
        <v>#REF!</v>
      </c>
    </row>
    <row r="329" spans="2:10" x14ac:dyDescent="0.3">
      <c r="B329" s="400" t="s">
        <v>1220</v>
      </c>
      <c r="C329" s="13" t="e">
        <f>#REF!</f>
        <v>#REF!</v>
      </c>
      <c r="D329" s="19" t="s">
        <v>761</v>
      </c>
      <c r="E329" s="10" t="e">
        <f>#REF!</f>
        <v>#REF!</v>
      </c>
      <c r="F329" s="302" t="e">
        <f>#REF!</f>
        <v>#REF!</v>
      </c>
      <c r="G329" s="11" t="e">
        <f t="shared" si="356"/>
        <v>#REF!</v>
      </c>
      <c r="H329" s="11" t="e">
        <f t="shared" si="357"/>
        <v>#REF!</v>
      </c>
      <c r="I329" s="11" t="e">
        <f t="shared" si="358"/>
        <v>#REF!</v>
      </c>
      <c r="J329" s="11" t="e">
        <f t="shared" si="359"/>
        <v>#REF!</v>
      </c>
    </row>
    <row r="330" spans="2:10" x14ac:dyDescent="0.3">
      <c r="B330" s="400" t="s">
        <v>1220</v>
      </c>
      <c r="C330" s="13" t="e">
        <f>#REF!</f>
        <v>#REF!</v>
      </c>
      <c r="D330" s="19" t="s">
        <v>28</v>
      </c>
      <c r="E330" s="10" t="e">
        <f>#REF!</f>
        <v>#REF!</v>
      </c>
      <c r="F330" s="302" t="e">
        <f>#REF!</f>
        <v>#REF!</v>
      </c>
      <c r="G330" s="11" t="e">
        <f t="shared" si="356"/>
        <v>#REF!</v>
      </c>
      <c r="H330" s="11" t="e">
        <f t="shared" si="357"/>
        <v>#REF!</v>
      </c>
      <c r="I330" s="11" t="e">
        <f t="shared" si="358"/>
        <v>#REF!</v>
      </c>
      <c r="J330" s="11" t="e">
        <f t="shared" si="359"/>
        <v>#REF!</v>
      </c>
    </row>
    <row r="331" spans="2:10" x14ac:dyDescent="0.3">
      <c r="B331" s="400" t="s">
        <v>1220</v>
      </c>
      <c r="C331" s="13" t="e">
        <f>#REF!</f>
        <v>#REF!</v>
      </c>
      <c r="D331" s="19" t="s">
        <v>28</v>
      </c>
      <c r="E331" s="10" t="e">
        <f>#REF!</f>
        <v>#REF!</v>
      </c>
      <c r="F331" s="302" t="e">
        <f>#REF!</f>
        <v>#REF!</v>
      </c>
      <c r="G331" s="11" t="e">
        <f t="shared" si="356"/>
        <v>#REF!</v>
      </c>
      <c r="H331" s="11" t="e">
        <f t="shared" si="357"/>
        <v>#REF!</v>
      </c>
      <c r="I331" s="11" t="e">
        <f t="shared" si="358"/>
        <v>#REF!</v>
      </c>
      <c r="J331" s="11" t="e">
        <f t="shared" si="359"/>
        <v>#REF!</v>
      </c>
    </row>
    <row r="332" spans="2:10" x14ac:dyDescent="0.3">
      <c r="B332" s="400" t="s">
        <v>1221</v>
      </c>
      <c r="C332" s="13" t="e">
        <f>#REF!</f>
        <v>#REF!</v>
      </c>
      <c r="D332" s="19" t="s">
        <v>760</v>
      </c>
      <c r="E332" s="10" t="e">
        <f>#REF!</f>
        <v>#REF!</v>
      </c>
      <c r="F332" s="302" t="e">
        <f>#REF!</f>
        <v>#REF!</v>
      </c>
      <c r="G332" s="11" t="e">
        <f t="shared" ref="G332" si="360">IF(AND(D332="INGENIERÍA ELÉCTRICA",F332&lt;&gt;0),E332,0)</f>
        <v>#REF!</v>
      </c>
      <c r="H332" s="11" t="e">
        <f t="shared" ref="H332" si="361">IF(AND(D332="INGENIERÍA CIVIL",F332&lt;&gt;0),E332,0)</f>
        <v>#REF!</v>
      </c>
      <c r="I332" s="11" t="e">
        <f t="shared" ref="I332" si="362">IF(AND(D332="INGENIERÍA MECÁNICA",F332&lt;&gt;0),E332,0)</f>
        <v>#REF!</v>
      </c>
      <c r="J332" s="11" t="e">
        <f t="shared" ref="J332" si="363">IF(AND(D332="LINEAS",F332&lt;&gt;0),E332,0)</f>
        <v>#REF!</v>
      </c>
    </row>
    <row r="333" spans="2:10" x14ac:dyDescent="0.3">
      <c r="B333" s="400" t="s">
        <v>1221</v>
      </c>
      <c r="C333" s="13" t="e">
        <f>#REF!</f>
        <v>#REF!</v>
      </c>
      <c r="D333" s="19" t="s">
        <v>760</v>
      </c>
      <c r="E333" s="10" t="e">
        <f>#REF!</f>
        <v>#REF!</v>
      </c>
      <c r="F333" s="302" t="e">
        <f>#REF!</f>
        <v>#REF!</v>
      </c>
      <c r="G333" s="11" t="e">
        <f t="shared" ref="G333:G335" si="364">IF(AND(D333="INGENIERÍA ELÉCTRICA",F333&lt;&gt;0),E333,0)</f>
        <v>#REF!</v>
      </c>
      <c r="H333" s="11" t="e">
        <f t="shared" ref="H333:H335" si="365">IF(AND(D333="INGENIERÍA CIVIL",F333&lt;&gt;0),E333,0)</f>
        <v>#REF!</v>
      </c>
      <c r="I333" s="11" t="e">
        <f t="shared" ref="I333:I335" si="366">IF(AND(D333="INGENIERÍA MECÁNICA",F333&lt;&gt;0),E333,0)</f>
        <v>#REF!</v>
      </c>
      <c r="J333" s="11" t="e">
        <f t="shared" ref="J333:J335" si="367">IF(AND(D333="LINEAS",F333&lt;&gt;0),E333,0)</f>
        <v>#REF!</v>
      </c>
    </row>
    <row r="334" spans="2:10" x14ac:dyDescent="0.3">
      <c r="B334" s="400" t="s">
        <v>1221</v>
      </c>
      <c r="C334" s="13" t="e">
        <f>#REF!</f>
        <v>#REF!</v>
      </c>
      <c r="D334" s="19" t="s">
        <v>760</v>
      </c>
      <c r="E334" s="10" t="e">
        <f>#REF!</f>
        <v>#REF!</v>
      </c>
      <c r="F334" s="302" t="e">
        <f>#REF!</f>
        <v>#REF!</v>
      </c>
      <c r="G334" s="11" t="e">
        <f t="shared" si="364"/>
        <v>#REF!</v>
      </c>
      <c r="H334" s="11" t="e">
        <f t="shared" si="365"/>
        <v>#REF!</v>
      </c>
      <c r="I334" s="11" t="e">
        <f t="shared" si="366"/>
        <v>#REF!</v>
      </c>
      <c r="J334" s="11" t="e">
        <f t="shared" si="367"/>
        <v>#REF!</v>
      </c>
    </row>
    <row r="335" spans="2:10" x14ac:dyDescent="0.3">
      <c r="B335" s="400" t="s">
        <v>1221</v>
      </c>
      <c r="C335" s="13" t="e">
        <f>#REF!</f>
        <v>#REF!</v>
      </c>
      <c r="D335" s="19" t="s">
        <v>761</v>
      </c>
      <c r="E335" s="10" t="e">
        <f>#REF!</f>
        <v>#REF!</v>
      </c>
      <c r="F335" s="302" t="e">
        <f>#REF!</f>
        <v>#REF!</v>
      </c>
      <c r="G335" s="11" t="e">
        <f t="shared" si="364"/>
        <v>#REF!</v>
      </c>
      <c r="H335" s="11" t="e">
        <f t="shared" si="365"/>
        <v>#REF!</v>
      </c>
      <c r="I335" s="11" t="e">
        <f t="shared" si="366"/>
        <v>#REF!</v>
      </c>
      <c r="J335" s="11" t="e">
        <f t="shared" si="367"/>
        <v>#REF!</v>
      </c>
    </row>
    <row r="336" spans="2:10" x14ac:dyDescent="0.3">
      <c r="B336" s="400" t="s">
        <v>659</v>
      </c>
      <c r="C336" s="9" t="e">
        <f>#REF!</f>
        <v>#REF!</v>
      </c>
      <c r="D336" s="19" t="s">
        <v>760</v>
      </c>
      <c r="E336" s="10" t="e">
        <f>#REF!</f>
        <v>#REF!</v>
      </c>
      <c r="F336" s="302" t="e">
        <f>#REF!</f>
        <v>#REF!</v>
      </c>
      <c r="G336" s="11" t="e">
        <f t="shared" ref="G336" si="368">IF(AND(D336="INGENIERÍA ELÉCTRICA",F336&lt;&gt;0),E336,0)</f>
        <v>#REF!</v>
      </c>
      <c r="H336" s="11" t="e">
        <f t="shared" ref="H336" si="369">IF(AND(D336="INGENIERÍA CIVIL",F336&lt;&gt;0),E336,0)</f>
        <v>#REF!</v>
      </c>
      <c r="I336" s="11" t="e">
        <f t="shared" ref="I336" si="370">IF(AND(D336="INGENIERÍA MECÁNICA",F336&lt;&gt;0),E336,0)</f>
        <v>#REF!</v>
      </c>
      <c r="J336" s="11" t="e">
        <f t="shared" ref="J336" si="371">IF(AND(D336="LINEAS",F336&lt;&gt;0),E336,0)</f>
        <v>#REF!</v>
      </c>
    </row>
    <row r="337" spans="2:10" x14ac:dyDescent="0.3">
      <c r="B337" s="400" t="s">
        <v>659</v>
      </c>
      <c r="C337" s="9" t="e">
        <f>#REF!</f>
        <v>#REF!</v>
      </c>
      <c r="D337" s="19" t="s">
        <v>762</v>
      </c>
      <c r="E337" s="10" t="e">
        <f>#REF!</f>
        <v>#REF!</v>
      </c>
      <c r="F337" s="302" t="e">
        <f>#REF!</f>
        <v>#REF!</v>
      </c>
      <c r="G337" s="11" t="e">
        <f t="shared" ref="G337:G347" si="372">IF(AND(D337="INGENIERÍA ELÉCTRICA",F337&lt;&gt;0),E337,0)</f>
        <v>#REF!</v>
      </c>
      <c r="H337" s="11" t="e">
        <f t="shared" ref="H337:H347" si="373">IF(AND(D337="INGENIERÍA CIVIL",F337&lt;&gt;0),E337,0)</f>
        <v>#REF!</v>
      </c>
      <c r="I337" s="11" t="e">
        <f t="shared" ref="I337:I347" si="374">IF(AND(D337="INGENIERÍA MECÁNICA",F337&lt;&gt;0),E337,0)</f>
        <v>#REF!</v>
      </c>
      <c r="J337" s="11" t="e">
        <f t="shared" ref="J337:J347" si="375">IF(AND(D337="LINEAS",F337&lt;&gt;0),E337,0)</f>
        <v>#REF!</v>
      </c>
    </row>
    <row r="338" spans="2:10" x14ac:dyDescent="0.3">
      <c r="B338" s="400" t="s">
        <v>659</v>
      </c>
      <c r="C338" s="9" t="e">
        <f>#REF!</f>
        <v>#REF!</v>
      </c>
      <c r="D338" s="19" t="s">
        <v>761</v>
      </c>
      <c r="E338" s="10" t="e">
        <f>#REF!</f>
        <v>#REF!</v>
      </c>
      <c r="F338" s="302" t="e">
        <f>#REF!</f>
        <v>#REF!</v>
      </c>
      <c r="G338" s="11" t="e">
        <f t="shared" si="372"/>
        <v>#REF!</v>
      </c>
      <c r="H338" s="11" t="e">
        <f t="shared" si="373"/>
        <v>#REF!</v>
      </c>
      <c r="I338" s="11" t="e">
        <f t="shared" si="374"/>
        <v>#REF!</v>
      </c>
      <c r="J338" s="11" t="e">
        <f t="shared" si="375"/>
        <v>#REF!</v>
      </c>
    </row>
    <row r="339" spans="2:10" x14ac:dyDescent="0.3">
      <c r="B339" s="400" t="s">
        <v>659</v>
      </c>
      <c r="C339" s="9" t="e">
        <f>#REF!</f>
        <v>#REF!</v>
      </c>
      <c r="D339" s="19" t="s">
        <v>760</v>
      </c>
      <c r="E339" s="10" t="e">
        <f>#REF!</f>
        <v>#REF!</v>
      </c>
      <c r="F339" s="302" t="e">
        <f>#REF!</f>
        <v>#REF!</v>
      </c>
      <c r="G339" s="11" t="e">
        <f t="shared" si="372"/>
        <v>#REF!</v>
      </c>
      <c r="H339" s="11" t="e">
        <f t="shared" si="373"/>
        <v>#REF!</v>
      </c>
      <c r="I339" s="11" t="e">
        <f t="shared" si="374"/>
        <v>#REF!</v>
      </c>
      <c r="J339" s="11" t="e">
        <f t="shared" si="375"/>
        <v>#REF!</v>
      </c>
    </row>
    <row r="340" spans="2:10" x14ac:dyDescent="0.3">
      <c r="B340" s="400" t="s">
        <v>659</v>
      </c>
      <c r="C340" s="9" t="e">
        <f>#REF!</f>
        <v>#REF!</v>
      </c>
      <c r="D340" s="19" t="s">
        <v>762</v>
      </c>
      <c r="E340" s="10" t="e">
        <f>#REF!</f>
        <v>#REF!</v>
      </c>
      <c r="F340" s="302" t="e">
        <f>#REF!</f>
        <v>#REF!</v>
      </c>
      <c r="G340" s="11" t="e">
        <f t="shared" si="372"/>
        <v>#REF!</v>
      </c>
      <c r="H340" s="11" t="e">
        <f t="shared" si="373"/>
        <v>#REF!</v>
      </c>
      <c r="I340" s="11" t="e">
        <f t="shared" si="374"/>
        <v>#REF!</v>
      </c>
      <c r="J340" s="11" t="e">
        <f t="shared" si="375"/>
        <v>#REF!</v>
      </c>
    </row>
    <row r="341" spans="2:10" x14ac:dyDescent="0.3">
      <c r="B341" s="400" t="s">
        <v>659</v>
      </c>
      <c r="C341" s="9" t="e">
        <f>#REF!</f>
        <v>#REF!</v>
      </c>
      <c r="D341" s="19" t="s">
        <v>761</v>
      </c>
      <c r="E341" s="10" t="e">
        <f>#REF!</f>
        <v>#REF!</v>
      </c>
      <c r="F341" s="302" t="e">
        <f>#REF!</f>
        <v>#REF!</v>
      </c>
      <c r="G341" s="11" t="e">
        <f t="shared" si="372"/>
        <v>#REF!</v>
      </c>
      <c r="H341" s="11" t="e">
        <f t="shared" si="373"/>
        <v>#REF!</v>
      </c>
      <c r="I341" s="11" t="e">
        <f t="shared" si="374"/>
        <v>#REF!</v>
      </c>
      <c r="J341" s="11" t="e">
        <f t="shared" si="375"/>
        <v>#REF!</v>
      </c>
    </row>
    <row r="342" spans="2:10" x14ac:dyDescent="0.3">
      <c r="B342" s="400" t="s">
        <v>659</v>
      </c>
      <c r="C342" s="9" t="e">
        <f>#REF!</f>
        <v>#REF!</v>
      </c>
      <c r="D342" s="19" t="s">
        <v>760</v>
      </c>
      <c r="E342" s="10" t="e">
        <f>#REF!</f>
        <v>#REF!</v>
      </c>
      <c r="F342" s="302" t="e">
        <f>#REF!</f>
        <v>#REF!</v>
      </c>
      <c r="G342" s="11" t="e">
        <f t="shared" si="372"/>
        <v>#REF!</v>
      </c>
      <c r="H342" s="11" t="e">
        <f t="shared" si="373"/>
        <v>#REF!</v>
      </c>
      <c r="I342" s="11" t="e">
        <f t="shared" si="374"/>
        <v>#REF!</v>
      </c>
      <c r="J342" s="11" t="e">
        <f t="shared" si="375"/>
        <v>#REF!</v>
      </c>
    </row>
    <row r="343" spans="2:10" x14ac:dyDescent="0.3">
      <c r="B343" s="400" t="s">
        <v>659</v>
      </c>
      <c r="C343" s="9" t="e">
        <f>#REF!</f>
        <v>#REF!</v>
      </c>
      <c r="D343" s="19" t="s">
        <v>762</v>
      </c>
      <c r="E343" s="10" t="e">
        <f>#REF!</f>
        <v>#REF!</v>
      </c>
      <c r="F343" s="302" t="e">
        <f>#REF!</f>
        <v>#REF!</v>
      </c>
      <c r="G343" s="11" t="e">
        <f t="shared" si="372"/>
        <v>#REF!</v>
      </c>
      <c r="H343" s="11" t="e">
        <f t="shared" si="373"/>
        <v>#REF!</v>
      </c>
      <c r="I343" s="11" t="e">
        <f t="shared" si="374"/>
        <v>#REF!</v>
      </c>
      <c r="J343" s="11" t="e">
        <f t="shared" si="375"/>
        <v>#REF!</v>
      </c>
    </row>
    <row r="344" spans="2:10" x14ac:dyDescent="0.3">
      <c r="B344" s="400" t="s">
        <v>659</v>
      </c>
      <c r="C344" s="9" t="e">
        <f>#REF!</f>
        <v>#REF!</v>
      </c>
      <c r="D344" s="19" t="s">
        <v>761</v>
      </c>
      <c r="E344" s="10" t="e">
        <f>#REF!</f>
        <v>#REF!</v>
      </c>
      <c r="F344" s="302" t="e">
        <f>#REF!</f>
        <v>#REF!</v>
      </c>
      <c r="G344" s="11" t="e">
        <f t="shared" si="372"/>
        <v>#REF!</v>
      </c>
      <c r="H344" s="11" t="e">
        <f t="shared" si="373"/>
        <v>#REF!</v>
      </c>
      <c r="I344" s="11" t="e">
        <f t="shared" si="374"/>
        <v>#REF!</v>
      </c>
      <c r="J344" s="11" t="e">
        <f t="shared" si="375"/>
        <v>#REF!</v>
      </c>
    </row>
    <row r="345" spans="2:10" x14ac:dyDescent="0.3">
      <c r="B345" s="400" t="s">
        <v>659</v>
      </c>
      <c r="C345" s="9" t="e">
        <f>#REF!</f>
        <v>#REF!</v>
      </c>
      <c r="D345" s="19" t="s">
        <v>760</v>
      </c>
      <c r="E345" s="10" t="e">
        <f>#REF!</f>
        <v>#REF!</v>
      </c>
      <c r="F345" s="302" t="e">
        <f>#REF!</f>
        <v>#REF!</v>
      </c>
      <c r="G345" s="11" t="e">
        <f t="shared" si="372"/>
        <v>#REF!</v>
      </c>
      <c r="H345" s="11" t="e">
        <f t="shared" si="373"/>
        <v>#REF!</v>
      </c>
      <c r="I345" s="11" t="e">
        <f t="shared" si="374"/>
        <v>#REF!</v>
      </c>
      <c r="J345" s="11" t="e">
        <f t="shared" si="375"/>
        <v>#REF!</v>
      </c>
    </row>
    <row r="346" spans="2:10" x14ac:dyDescent="0.3">
      <c r="B346" s="400" t="s">
        <v>659</v>
      </c>
      <c r="C346" s="9" t="e">
        <f>#REF!</f>
        <v>#REF!</v>
      </c>
      <c r="D346" s="19" t="s">
        <v>762</v>
      </c>
      <c r="E346" s="10" t="e">
        <f>#REF!</f>
        <v>#REF!</v>
      </c>
      <c r="F346" s="302" t="e">
        <f>#REF!</f>
        <v>#REF!</v>
      </c>
      <c r="G346" s="11" t="e">
        <f t="shared" si="372"/>
        <v>#REF!</v>
      </c>
      <c r="H346" s="11" t="e">
        <f t="shared" si="373"/>
        <v>#REF!</v>
      </c>
      <c r="I346" s="11" t="e">
        <f t="shared" si="374"/>
        <v>#REF!</v>
      </c>
      <c r="J346" s="11" t="e">
        <f t="shared" si="375"/>
        <v>#REF!</v>
      </c>
    </row>
    <row r="347" spans="2:10" x14ac:dyDescent="0.3">
      <c r="B347" s="400" t="s">
        <v>659</v>
      </c>
      <c r="C347" s="9" t="e">
        <f>#REF!</f>
        <v>#REF!</v>
      </c>
      <c r="D347" s="19" t="s">
        <v>761</v>
      </c>
      <c r="E347" s="10" t="e">
        <f>#REF!</f>
        <v>#REF!</v>
      </c>
      <c r="F347" s="302" t="e">
        <f>#REF!</f>
        <v>#REF!</v>
      </c>
      <c r="G347" s="11" t="e">
        <f t="shared" si="372"/>
        <v>#REF!</v>
      </c>
      <c r="H347" s="11" t="e">
        <f t="shared" si="373"/>
        <v>#REF!</v>
      </c>
      <c r="I347" s="11" t="e">
        <f t="shared" si="374"/>
        <v>#REF!</v>
      </c>
      <c r="J347" s="11" t="e">
        <f t="shared" si="375"/>
        <v>#REF!</v>
      </c>
    </row>
    <row r="348" spans="2:10" x14ac:dyDescent="0.3">
      <c r="B348" s="400" t="s">
        <v>770</v>
      </c>
      <c r="C348" s="9" t="e">
        <f>#REF!</f>
        <v>#REF!</v>
      </c>
      <c r="D348" s="19" t="s">
        <v>760</v>
      </c>
      <c r="E348" s="10" t="e">
        <f>#REF!</f>
        <v>#REF!</v>
      </c>
      <c r="F348" s="302" t="e">
        <f>#REF!</f>
        <v>#REF!</v>
      </c>
      <c r="G348" s="11" t="e">
        <f t="shared" ref="G348" si="376">IF(AND(D348="INGENIERÍA ELÉCTRICA",F348&lt;&gt;0),E348,0)</f>
        <v>#REF!</v>
      </c>
      <c r="H348" s="11" t="e">
        <f t="shared" ref="H348" si="377">IF(AND(D348="INGENIERÍA CIVIL",F348&lt;&gt;0),E348,0)</f>
        <v>#REF!</v>
      </c>
      <c r="I348" s="11" t="e">
        <f t="shared" ref="I348" si="378">IF(AND(D348="INGENIERÍA MECÁNICA",F348&lt;&gt;0),E348,0)</f>
        <v>#REF!</v>
      </c>
      <c r="J348" s="11" t="e">
        <f t="shared" ref="J348" si="379">IF(AND(D348="LINEAS",F348&lt;&gt;0),E348,0)</f>
        <v>#REF!</v>
      </c>
    </row>
    <row r="349" spans="2:10" x14ac:dyDescent="0.3">
      <c r="B349" s="400" t="s">
        <v>770</v>
      </c>
      <c r="C349" s="9" t="e">
        <f>#REF!</f>
        <v>#REF!</v>
      </c>
      <c r="D349" s="19" t="s">
        <v>762</v>
      </c>
      <c r="E349" s="10" t="e">
        <f>#REF!</f>
        <v>#REF!</v>
      </c>
      <c r="F349" s="302" t="e">
        <f>#REF!</f>
        <v>#REF!</v>
      </c>
      <c r="G349" s="11" t="e">
        <f t="shared" ref="G349:G359" si="380">IF(AND(D349="INGENIERÍA ELÉCTRICA",F349&lt;&gt;0),E349,0)</f>
        <v>#REF!</v>
      </c>
      <c r="H349" s="11" t="e">
        <f t="shared" ref="H349:H359" si="381">IF(AND(D349="INGENIERÍA CIVIL",F349&lt;&gt;0),E349,0)</f>
        <v>#REF!</v>
      </c>
      <c r="I349" s="11" t="e">
        <f t="shared" ref="I349:I359" si="382">IF(AND(D349="INGENIERÍA MECÁNICA",F349&lt;&gt;0),E349,0)</f>
        <v>#REF!</v>
      </c>
      <c r="J349" s="11" t="e">
        <f t="shared" ref="J349:J359" si="383">IF(AND(D349="LINEAS",F349&lt;&gt;0),E349,0)</f>
        <v>#REF!</v>
      </c>
    </row>
    <row r="350" spans="2:10" x14ac:dyDescent="0.3">
      <c r="B350" s="400" t="s">
        <v>770</v>
      </c>
      <c r="C350" s="9" t="e">
        <f>#REF!</f>
        <v>#REF!</v>
      </c>
      <c r="D350" s="19" t="s">
        <v>761</v>
      </c>
      <c r="E350" s="10" t="e">
        <f>#REF!</f>
        <v>#REF!</v>
      </c>
      <c r="F350" s="302" t="e">
        <f>#REF!</f>
        <v>#REF!</v>
      </c>
      <c r="G350" s="11" t="e">
        <f t="shared" si="380"/>
        <v>#REF!</v>
      </c>
      <c r="H350" s="11" t="e">
        <f t="shared" si="381"/>
        <v>#REF!</v>
      </c>
      <c r="I350" s="11" t="e">
        <f t="shared" si="382"/>
        <v>#REF!</v>
      </c>
      <c r="J350" s="11" t="e">
        <f t="shared" si="383"/>
        <v>#REF!</v>
      </c>
    </row>
    <row r="351" spans="2:10" x14ac:dyDescent="0.3">
      <c r="B351" s="400" t="s">
        <v>770</v>
      </c>
      <c r="C351" s="9" t="e">
        <f>#REF!</f>
        <v>#REF!</v>
      </c>
      <c r="D351" s="19" t="s">
        <v>760</v>
      </c>
      <c r="E351" s="10" t="e">
        <f>#REF!</f>
        <v>#REF!</v>
      </c>
      <c r="F351" s="302" t="e">
        <f>#REF!</f>
        <v>#REF!</v>
      </c>
      <c r="G351" s="11" t="e">
        <f t="shared" si="380"/>
        <v>#REF!</v>
      </c>
      <c r="H351" s="11" t="e">
        <f t="shared" si="381"/>
        <v>#REF!</v>
      </c>
      <c r="I351" s="11" t="e">
        <f t="shared" si="382"/>
        <v>#REF!</v>
      </c>
      <c r="J351" s="11" t="e">
        <f t="shared" si="383"/>
        <v>#REF!</v>
      </c>
    </row>
    <row r="352" spans="2:10" x14ac:dyDescent="0.3">
      <c r="B352" s="400" t="s">
        <v>770</v>
      </c>
      <c r="C352" s="9" t="e">
        <f>#REF!</f>
        <v>#REF!</v>
      </c>
      <c r="D352" s="19" t="s">
        <v>762</v>
      </c>
      <c r="E352" s="10" t="e">
        <f>#REF!</f>
        <v>#REF!</v>
      </c>
      <c r="F352" s="302" t="e">
        <f>#REF!</f>
        <v>#REF!</v>
      </c>
      <c r="G352" s="11" t="e">
        <f t="shared" si="380"/>
        <v>#REF!</v>
      </c>
      <c r="H352" s="11" t="e">
        <f t="shared" si="381"/>
        <v>#REF!</v>
      </c>
      <c r="I352" s="11" t="e">
        <f t="shared" si="382"/>
        <v>#REF!</v>
      </c>
      <c r="J352" s="11" t="e">
        <f t="shared" si="383"/>
        <v>#REF!</v>
      </c>
    </row>
    <row r="353" spans="2:10" x14ac:dyDescent="0.3">
      <c r="B353" s="400" t="s">
        <v>770</v>
      </c>
      <c r="C353" s="9" t="e">
        <f>#REF!</f>
        <v>#REF!</v>
      </c>
      <c r="D353" s="19" t="s">
        <v>761</v>
      </c>
      <c r="E353" s="10" t="e">
        <f>#REF!</f>
        <v>#REF!</v>
      </c>
      <c r="F353" s="302" t="e">
        <f>#REF!</f>
        <v>#REF!</v>
      </c>
      <c r="G353" s="11" t="e">
        <f t="shared" si="380"/>
        <v>#REF!</v>
      </c>
      <c r="H353" s="11" t="e">
        <f t="shared" si="381"/>
        <v>#REF!</v>
      </c>
      <c r="I353" s="11" t="e">
        <f t="shared" si="382"/>
        <v>#REF!</v>
      </c>
      <c r="J353" s="11" t="e">
        <f t="shared" si="383"/>
        <v>#REF!</v>
      </c>
    </row>
    <row r="354" spans="2:10" x14ac:dyDescent="0.3">
      <c r="B354" s="400" t="s">
        <v>770</v>
      </c>
      <c r="C354" s="9" t="e">
        <f>#REF!</f>
        <v>#REF!</v>
      </c>
      <c r="D354" s="19" t="s">
        <v>760</v>
      </c>
      <c r="E354" s="10" t="e">
        <f>#REF!</f>
        <v>#REF!</v>
      </c>
      <c r="F354" s="302" t="e">
        <f>#REF!</f>
        <v>#REF!</v>
      </c>
      <c r="G354" s="11" t="e">
        <f t="shared" si="380"/>
        <v>#REF!</v>
      </c>
      <c r="H354" s="11" t="e">
        <f t="shared" si="381"/>
        <v>#REF!</v>
      </c>
      <c r="I354" s="11" t="e">
        <f t="shared" si="382"/>
        <v>#REF!</v>
      </c>
      <c r="J354" s="11" t="e">
        <f t="shared" si="383"/>
        <v>#REF!</v>
      </c>
    </row>
    <row r="355" spans="2:10" x14ac:dyDescent="0.3">
      <c r="B355" s="400" t="s">
        <v>770</v>
      </c>
      <c r="C355" s="9" t="e">
        <f>#REF!</f>
        <v>#REF!</v>
      </c>
      <c r="D355" s="19" t="s">
        <v>762</v>
      </c>
      <c r="E355" s="10" t="e">
        <f>#REF!</f>
        <v>#REF!</v>
      </c>
      <c r="F355" s="302" t="e">
        <f>#REF!</f>
        <v>#REF!</v>
      </c>
      <c r="G355" s="11" t="e">
        <f t="shared" si="380"/>
        <v>#REF!</v>
      </c>
      <c r="H355" s="11" t="e">
        <f t="shared" si="381"/>
        <v>#REF!</v>
      </c>
      <c r="I355" s="11" t="e">
        <f t="shared" si="382"/>
        <v>#REF!</v>
      </c>
      <c r="J355" s="11" t="e">
        <f t="shared" si="383"/>
        <v>#REF!</v>
      </c>
    </row>
    <row r="356" spans="2:10" x14ac:dyDescent="0.3">
      <c r="B356" s="400" t="s">
        <v>770</v>
      </c>
      <c r="C356" s="9" t="e">
        <f>#REF!</f>
        <v>#REF!</v>
      </c>
      <c r="D356" s="19" t="s">
        <v>761</v>
      </c>
      <c r="E356" s="10" t="e">
        <f>#REF!</f>
        <v>#REF!</v>
      </c>
      <c r="F356" s="302" t="e">
        <f>#REF!</f>
        <v>#REF!</v>
      </c>
      <c r="G356" s="11" t="e">
        <f t="shared" si="380"/>
        <v>#REF!</v>
      </c>
      <c r="H356" s="11" t="e">
        <f t="shared" si="381"/>
        <v>#REF!</v>
      </c>
      <c r="I356" s="11" t="e">
        <f t="shared" si="382"/>
        <v>#REF!</v>
      </c>
      <c r="J356" s="11" t="e">
        <f t="shared" si="383"/>
        <v>#REF!</v>
      </c>
    </row>
    <row r="357" spans="2:10" x14ac:dyDescent="0.3">
      <c r="B357" s="400" t="s">
        <v>770</v>
      </c>
      <c r="C357" s="9" t="e">
        <f>#REF!</f>
        <v>#REF!</v>
      </c>
      <c r="D357" s="19" t="s">
        <v>760</v>
      </c>
      <c r="E357" s="10" t="e">
        <f>#REF!</f>
        <v>#REF!</v>
      </c>
      <c r="F357" s="302" t="e">
        <f>#REF!</f>
        <v>#REF!</v>
      </c>
      <c r="G357" s="11" t="e">
        <f t="shared" si="380"/>
        <v>#REF!</v>
      </c>
      <c r="H357" s="11" t="e">
        <f t="shared" si="381"/>
        <v>#REF!</v>
      </c>
      <c r="I357" s="11" t="e">
        <f t="shared" si="382"/>
        <v>#REF!</v>
      </c>
      <c r="J357" s="11" t="e">
        <f t="shared" si="383"/>
        <v>#REF!</v>
      </c>
    </row>
    <row r="358" spans="2:10" x14ac:dyDescent="0.3">
      <c r="B358" s="400" t="s">
        <v>770</v>
      </c>
      <c r="C358" s="9" t="e">
        <f>#REF!</f>
        <v>#REF!</v>
      </c>
      <c r="D358" s="19" t="s">
        <v>762</v>
      </c>
      <c r="E358" s="10" t="e">
        <f>#REF!</f>
        <v>#REF!</v>
      </c>
      <c r="F358" s="302" t="e">
        <f>#REF!</f>
        <v>#REF!</v>
      </c>
      <c r="G358" s="11" t="e">
        <f t="shared" si="380"/>
        <v>#REF!</v>
      </c>
      <c r="H358" s="11" t="e">
        <f t="shared" si="381"/>
        <v>#REF!</v>
      </c>
      <c r="I358" s="11" t="e">
        <f t="shared" si="382"/>
        <v>#REF!</v>
      </c>
      <c r="J358" s="11" t="e">
        <f t="shared" si="383"/>
        <v>#REF!</v>
      </c>
    </row>
    <row r="359" spans="2:10" x14ac:dyDescent="0.3">
      <c r="B359" s="400" t="s">
        <v>770</v>
      </c>
      <c r="C359" s="9" t="e">
        <f>#REF!</f>
        <v>#REF!</v>
      </c>
      <c r="D359" s="19" t="s">
        <v>761</v>
      </c>
      <c r="E359" s="10" t="e">
        <f>#REF!</f>
        <v>#REF!</v>
      </c>
      <c r="F359" s="302" t="e">
        <f>#REF!</f>
        <v>#REF!</v>
      </c>
      <c r="G359" s="11" t="e">
        <f t="shared" si="380"/>
        <v>#REF!</v>
      </c>
      <c r="H359" s="11" t="e">
        <f t="shared" si="381"/>
        <v>#REF!</v>
      </c>
      <c r="I359" s="11" t="e">
        <f t="shared" si="382"/>
        <v>#REF!</v>
      </c>
      <c r="J359" s="11" t="e">
        <f t="shared" si="383"/>
        <v>#REF!</v>
      </c>
    </row>
    <row r="360" spans="2:10" x14ac:dyDescent="0.3">
      <c r="B360" s="400" t="s">
        <v>770</v>
      </c>
      <c r="C360" s="9" t="e">
        <f>#REF!</f>
        <v>#REF!</v>
      </c>
      <c r="D360" s="19" t="s">
        <v>760</v>
      </c>
      <c r="E360" s="10" t="e">
        <f>#REF!</f>
        <v>#REF!</v>
      </c>
      <c r="F360" s="302" t="e">
        <f>#REF!</f>
        <v>#REF!</v>
      </c>
      <c r="G360" s="11" t="e">
        <f t="shared" ref="G360:G367" si="384">IF(AND(D360="INGENIERÍA ELÉCTRICA",F360&lt;&gt;0),E360,0)</f>
        <v>#REF!</v>
      </c>
      <c r="H360" s="11" t="e">
        <f t="shared" ref="H360:H367" si="385">IF(AND(D360="INGENIERÍA CIVIL",F360&lt;&gt;0),E360,0)</f>
        <v>#REF!</v>
      </c>
      <c r="I360" s="11" t="e">
        <f t="shared" ref="I360:I367" si="386">IF(AND(D360="INGENIERÍA MECÁNICA",F360&lt;&gt;0),E360,0)</f>
        <v>#REF!</v>
      </c>
      <c r="J360" s="11" t="e">
        <f t="shared" ref="J360:J367" si="387">IF(AND(D360="LINEAS",F360&lt;&gt;0),E360,0)</f>
        <v>#REF!</v>
      </c>
    </row>
    <row r="361" spans="2:10" x14ac:dyDescent="0.3">
      <c r="B361" s="400" t="s">
        <v>770</v>
      </c>
      <c r="C361" s="9" t="e">
        <f>#REF!</f>
        <v>#REF!</v>
      </c>
      <c r="D361" s="19" t="s">
        <v>762</v>
      </c>
      <c r="E361" s="10" t="e">
        <f>#REF!</f>
        <v>#REF!</v>
      </c>
      <c r="F361" s="302" t="e">
        <f>#REF!</f>
        <v>#REF!</v>
      </c>
      <c r="G361" s="11" t="e">
        <f t="shared" si="384"/>
        <v>#REF!</v>
      </c>
      <c r="H361" s="11" t="e">
        <f t="shared" si="385"/>
        <v>#REF!</v>
      </c>
      <c r="I361" s="11" t="e">
        <f t="shared" si="386"/>
        <v>#REF!</v>
      </c>
      <c r="J361" s="11" t="e">
        <f t="shared" si="387"/>
        <v>#REF!</v>
      </c>
    </row>
    <row r="362" spans="2:10" x14ac:dyDescent="0.3">
      <c r="B362" s="400" t="s">
        <v>770</v>
      </c>
      <c r="C362" s="9" t="e">
        <f>#REF!</f>
        <v>#REF!</v>
      </c>
      <c r="D362" s="19" t="s">
        <v>761</v>
      </c>
      <c r="E362" s="10" t="e">
        <f>#REF!</f>
        <v>#REF!</v>
      </c>
      <c r="F362" s="302" t="e">
        <f>#REF!</f>
        <v>#REF!</v>
      </c>
      <c r="G362" s="11" t="e">
        <f t="shared" si="384"/>
        <v>#REF!</v>
      </c>
      <c r="H362" s="11" t="e">
        <f t="shared" si="385"/>
        <v>#REF!</v>
      </c>
      <c r="I362" s="11" t="e">
        <f t="shared" si="386"/>
        <v>#REF!</v>
      </c>
      <c r="J362" s="11" t="e">
        <f t="shared" si="387"/>
        <v>#REF!</v>
      </c>
    </row>
    <row r="363" spans="2:10" x14ac:dyDescent="0.3">
      <c r="B363" s="400" t="s">
        <v>770</v>
      </c>
      <c r="C363" s="9" t="e">
        <f>#REF!</f>
        <v>#REF!</v>
      </c>
      <c r="D363" s="19" t="s">
        <v>760</v>
      </c>
      <c r="E363" s="10" t="e">
        <f>#REF!</f>
        <v>#REF!</v>
      </c>
      <c r="F363" s="302" t="e">
        <f>#REF!</f>
        <v>#REF!</v>
      </c>
      <c r="G363" s="11" t="e">
        <f t="shared" si="384"/>
        <v>#REF!</v>
      </c>
      <c r="H363" s="11" t="e">
        <f t="shared" si="385"/>
        <v>#REF!</v>
      </c>
      <c r="I363" s="11" t="e">
        <f t="shared" si="386"/>
        <v>#REF!</v>
      </c>
      <c r="J363" s="11" t="e">
        <f t="shared" si="387"/>
        <v>#REF!</v>
      </c>
    </row>
    <row r="364" spans="2:10" x14ac:dyDescent="0.3">
      <c r="B364" s="400" t="s">
        <v>770</v>
      </c>
      <c r="C364" s="9" t="e">
        <f>#REF!</f>
        <v>#REF!</v>
      </c>
      <c r="D364" s="19" t="s">
        <v>762</v>
      </c>
      <c r="E364" s="10" t="e">
        <f>#REF!</f>
        <v>#REF!</v>
      </c>
      <c r="F364" s="302" t="e">
        <f>#REF!</f>
        <v>#REF!</v>
      </c>
      <c r="G364" s="11" t="e">
        <f t="shared" si="384"/>
        <v>#REF!</v>
      </c>
      <c r="H364" s="11" t="e">
        <f t="shared" si="385"/>
        <v>#REF!</v>
      </c>
      <c r="I364" s="11" t="e">
        <f t="shared" si="386"/>
        <v>#REF!</v>
      </c>
      <c r="J364" s="11" t="e">
        <f t="shared" si="387"/>
        <v>#REF!</v>
      </c>
    </row>
    <row r="365" spans="2:10" x14ac:dyDescent="0.3">
      <c r="B365" s="400" t="s">
        <v>770</v>
      </c>
      <c r="C365" s="9" t="e">
        <f>#REF!</f>
        <v>#REF!</v>
      </c>
      <c r="D365" s="19" t="s">
        <v>761</v>
      </c>
      <c r="E365" s="10" t="e">
        <f>#REF!</f>
        <v>#REF!</v>
      </c>
      <c r="F365" s="302" t="e">
        <f>#REF!</f>
        <v>#REF!</v>
      </c>
      <c r="G365" s="11" t="e">
        <f t="shared" si="384"/>
        <v>#REF!</v>
      </c>
      <c r="H365" s="11" t="e">
        <f t="shared" si="385"/>
        <v>#REF!</v>
      </c>
      <c r="I365" s="11" t="e">
        <f t="shared" si="386"/>
        <v>#REF!</v>
      </c>
      <c r="J365" s="11" t="e">
        <f t="shared" si="387"/>
        <v>#REF!</v>
      </c>
    </row>
    <row r="366" spans="2:10" x14ac:dyDescent="0.3">
      <c r="B366" s="400" t="s">
        <v>770</v>
      </c>
      <c r="C366" s="9" t="e">
        <f>#REF!</f>
        <v>#REF!</v>
      </c>
      <c r="D366" s="19" t="s">
        <v>760</v>
      </c>
      <c r="E366" s="10" t="e">
        <f>#REF!</f>
        <v>#REF!</v>
      </c>
      <c r="F366" s="302" t="e">
        <f>#REF!</f>
        <v>#REF!</v>
      </c>
      <c r="G366" s="11" t="e">
        <f t="shared" si="384"/>
        <v>#REF!</v>
      </c>
      <c r="H366" s="11" t="e">
        <f t="shared" si="385"/>
        <v>#REF!</v>
      </c>
      <c r="I366" s="11" t="e">
        <f t="shared" si="386"/>
        <v>#REF!</v>
      </c>
      <c r="J366" s="11" t="e">
        <f t="shared" si="387"/>
        <v>#REF!</v>
      </c>
    </row>
    <row r="367" spans="2:10" x14ac:dyDescent="0.3">
      <c r="B367" s="400" t="s">
        <v>770</v>
      </c>
      <c r="C367" s="9" t="e">
        <f>#REF!</f>
        <v>#REF!</v>
      </c>
      <c r="D367" s="19" t="s">
        <v>762</v>
      </c>
      <c r="E367" s="10" t="e">
        <f>#REF!</f>
        <v>#REF!</v>
      </c>
      <c r="F367" s="302" t="e">
        <f>#REF!</f>
        <v>#REF!</v>
      </c>
      <c r="G367" s="11" t="e">
        <f t="shared" si="384"/>
        <v>#REF!</v>
      </c>
      <c r="H367" s="11" t="e">
        <f t="shared" si="385"/>
        <v>#REF!</v>
      </c>
      <c r="I367" s="11" t="e">
        <f t="shared" si="386"/>
        <v>#REF!</v>
      </c>
      <c r="J367" s="11" t="e">
        <f t="shared" si="387"/>
        <v>#REF!</v>
      </c>
    </row>
    <row r="368" spans="2:10" x14ac:dyDescent="0.3">
      <c r="B368" s="400" t="s">
        <v>770</v>
      </c>
      <c r="C368" s="9" t="e">
        <f>#REF!</f>
        <v>#REF!</v>
      </c>
      <c r="D368" s="19" t="s">
        <v>761</v>
      </c>
      <c r="E368" s="10" t="e">
        <f>#REF!</f>
        <v>#REF!</v>
      </c>
      <c r="F368" s="302" t="e">
        <f>#REF!</f>
        <v>#REF!</v>
      </c>
      <c r="G368" s="11" t="e">
        <f t="shared" ref="G368:G369" si="388">IF(AND(D368="INGENIERÍA ELÉCTRICA",F368&lt;&gt;0),E368,0)</f>
        <v>#REF!</v>
      </c>
      <c r="H368" s="11" t="e">
        <f t="shared" ref="H368:H369" si="389">IF(AND(D368="INGENIERÍA CIVIL",F368&lt;&gt;0),E368,0)</f>
        <v>#REF!</v>
      </c>
      <c r="I368" s="11" t="e">
        <f t="shared" ref="I368:I369" si="390">IF(AND(D368="INGENIERÍA MECÁNICA",F368&lt;&gt;0),E368,0)</f>
        <v>#REF!</v>
      </c>
      <c r="J368" s="11" t="e">
        <f t="shared" ref="J368:J369" si="391">IF(AND(D368="LINEAS",F368&lt;&gt;0),E368,0)</f>
        <v>#REF!</v>
      </c>
    </row>
    <row r="369" spans="2:10" x14ac:dyDescent="0.3">
      <c r="B369" s="400" t="s">
        <v>770</v>
      </c>
      <c r="C369" s="9" t="e">
        <f>#REF!</f>
        <v>#REF!</v>
      </c>
      <c r="D369" s="19" t="s">
        <v>760</v>
      </c>
      <c r="E369" s="10" t="e">
        <f>#REF!</f>
        <v>#REF!</v>
      </c>
      <c r="F369" s="302" t="e">
        <f>#REF!</f>
        <v>#REF!</v>
      </c>
      <c r="G369" s="11" t="e">
        <f t="shared" si="388"/>
        <v>#REF!</v>
      </c>
      <c r="H369" s="11" t="e">
        <f t="shared" si="389"/>
        <v>#REF!</v>
      </c>
      <c r="I369" s="11" t="e">
        <f t="shared" si="390"/>
        <v>#REF!</v>
      </c>
      <c r="J369" s="11" t="e">
        <f t="shared" si="391"/>
        <v>#REF!</v>
      </c>
    </row>
    <row r="370" spans="2:10" x14ac:dyDescent="0.3">
      <c r="B370" s="400" t="s">
        <v>660</v>
      </c>
      <c r="C370" s="9" t="e">
        <f>#REF!</f>
        <v>#REF!</v>
      </c>
      <c r="D370" s="19" t="s">
        <v>760</v>
      </c>
      <c r="E370" s="10" t="e">
        <f>#REF!</f>
        <v>#REF!</v>
      </c>
      <c r="F370" s="302" t="e">
        <f>#REF!</f>
        <v>#REF!</v>
      </c>
      <c r="G370" s="11" t="e">
        <f t="shared" ref="G370" si="392">IF(AND(D370="INGENIERÍA ELÉCTRICA",F370&lt;&gt;0),E370,0)</f>
        <v>#REF!</v>
      </c>
      <c r="H370" s="11" t="e">
        <f t="shared" ref="H370" si="393">IF(AND(D370="INGENIERÍA CIVIL",F370&lt;&gt;0),E370,0)</f>
        <v>#REF!</v>
      </c>
      <c r="I370" s="11" t="e">
        <f t="shared" ref="I370" si="394">IF(AND(D370="INGENIERÍA MECÁNICA",F370&lt;&gt;0),E370,0)</f>
        <v>#REF!</v>
      </c>
      <c r="J370" s="11" t="e">
        <f t="shared" ref="J370" si="395">IF(AND(D370="LINEAS",F370&lt;&gt;0),E370,0)</f>
        <v>#REF!</v>
      </c>
    </row>
    <row r="371" spans="2:10" x14ac:dyDescent="0.3">
      <c r="B371" s="400" t="s">
        <v>660</v>
      </c>
      <c r="C371" s="9" t="e">
        <f>#REF!</f>
        <v>#REF!</v>
      </c>
      <c r="D371" s="19" t="s">
        <v>762</v>
      </c>
      <c r="E371" s="10" t="e">
        <f>#REF!</f>
        <v>#REF!</v>
      </c>
      <c r="F371" s="302" t="e">
        <f>#REF!</f>
        <v>#REF!</v>
      </c>
      <c r="G371" s="11" t="e">
        <f t="shared" ref="G371:G380" si="396">IF(AND(D371="INGENIERÍA ELÉCTRICA",F371&lt;&gt;0),E371,0)</f>
        <v>#REF!</v>
      </c>
      <c r="H371" s="11" t="e">
        <f t="shared" ref="H371:H380" si="397">IF(AND(D371="INGENIERÍA CIVIL",F371&lt;&gt;0),E371,0)</f>
        <v>#REF!</v>
      </c>
      <c r="I371" s="11" t="e">
        <f t="shared" ref="I371:I380" si="398">IF(AND(D371="INGENIERÍA MECÁNICA",F371&lt;&gt;0),E371,0)</f>
        <v>#REF!</v>
      </c>
      <c r="J371" s="11" t="e">
        <f t="shared" ref="J371:J380" si="399">IF(AND(D371="LINEAS",F371&lt;&gt;0),E371,0)</f>
        <v>#REF!</v>
      </c>
    </row>
    <row r="372" spans="2:10" x14ac:dyDescent="0.3">
      <c r="B372" s="400" t="s">
        <v>660</v>
      </c>
      <c r="C372" s="9" t="e">
        <f>#REF!</f>
        <v>#REF!</v>
      </c>
      <c r="D372" s="19" t="s">
        <v>761</v>
      </c>
      <c r="E372" s="10" t="e">
        <f>#REF!</f>
        <v>#REF!</v>
      </c>
      <c r="F372" s="302" t="e">
        <f>#REF!</f>
        <v>#REF!</v>
      </c>
      <c r="G372" s="11" t="e">
        <f t="shared" si="396"/>
        <v>#REF!</v>
      </c>
      <c r="H372" s="11" t="e">
        <f t="shared" si="397"/>
        <v>#REF!</v>
      </c>
      <c r="I372" s="11" t="e">
        <f t="shared" si="398"/>
        <v>#REF!</v>
      </c>
      <c r="J372" s="11" t="e">
        <f t="shared" si="399"/>
        <v>#REF!</v>
      </c>
    </row>
    <row r="373" spans="2:10" x14ac:dyDescent="0.3">
      <c r="B373" s="400" t="s">
        <v>660</v>
      </c>
      <c r="C373" s="9" t="e">
        <f>#REF!</f>
        <v>#REF!</v>
      </c>
      <c r="D373" s="19" t="s">
        <v>760</v>
      </c>
      <c r="E373" s="10" t="e">
        <f>#REF!</f>
        <v>#REF!</v>
      </c>
      <c r="F373" s="302" t="e">
        <f>#REF!</f>
        <v>#REF!</v>
      </c>
      <c r="G373" s="11" t="e">
        <f t="shared" si="396"/>
        <v>#REF!</v>
      </c>
      <c r="H373" s="11" t="e">
        <f t="shared" si="397"/>
        <v>#REF!</v>
      </c>
      <c r="I373" s="11" t="e">
        <f t="shared" si="398"/>
        <v>#REF!</v>
      </c>
      <c r="J373" s="11" t="e">
        <f t="shared" si="399"/>
        <v>#REF!</v>
      </c>
    </row>
    <row r="374" spans="2:10" x14ac:dyDescent="0.3">
      <c r="B374" s="400" t="s">
        <v>660</v>
      </c>
      <c r="C374" s="9" t="e">
        <f>#REF!</f>
        <v>#REF!</v>
      </c>
      <c r="D374" s="19" t="s">
        <v>760</v>
      </c>
      <c r="E374" s="10" t="e">
        <f>#REF!</f>
        <v>#REF!</v>
      </c>
      <c r="F374" s="302" t="e">
        <f>#REF!</f>
        <v>#REF!</v>
      </c>
      <c r="G374" s="11" t="e">
        <f t="shared" si="396"/>
        <v>#REF!</v>
      </c>
      <c r="H374" s="11" t="e">
        <f t="shared" si="397"/>
        <v>#REF!</v>
      </c>
      <c r="I374" s="11" t="e">
        <f t="shared" si="398"/>
        <v>#REF!</v>
      </c>
      <c r="J374" s="11" t="e">
        <f t="shared" si="399"/>
        <v>#REF!</v>
      </c>
    </row>
    <row r="375" spans="2:10" x14ac:dyDescent="0.3">
      <c r="B375" s="400" t="s">
        <v>660</v>
      </c>
      <c r="C375" s="9" t="e">
        <f>#REF!</f>
        <v>#REF!</v>
      </c>
      <c r="D375" s="19" t="s">
        <v>761</v>
      </c>
      <c r="E375" s="10" t="e">
        <f>#REF!</f>
        <v>#REF!</v>
      </c>
      <c r="F375" s="302" t="e">
        <f>#REF!</f>
        <v>#REF!</v>
      </c>
      <c r="G375" s="11" t="e">
        <f t="shared" si="396"/>
        <v>#REF!</v>
      </c>
      <c r="H375" s="11" t="e">
        <f t="shared" si="397"/>
        <v>#REF!</v>
      </c>
      <c r="I375" s="11" t="e">
        <f t="shared" si="398"/>
        <v>#REF!</v>
      </c>
      <c r="J375" s="11" t="e">
        <f t="shared" si="399"/>
        <v>#REF!</v>
      </c>
    </row>
    <row r="376" spans="2:10" x14ac:dyDescent="0.3">
      <c r="B376" s="400" t="s">
        <v>660</v>
      </c>
      <c r="C376" s="9" t="e">
        <f>#REF!</f>
        <v>#REF!</v>
      </c>
      <c r="D376" s="19" t="s">
        <v>760</v>
      </c>
      <c r="E376" s="10" t="e">
        <f>#REF!</f>
        <v>#REF!</v>
      </c>
      <c r="F376" s="302" t="e">
        <f>#REF!</f>
        <v>#REF!</v>
      </c>
      <c r="G376" s="11" t="e">
        <f t="shared" si="396"/>
        <v>#REF!</v>
      </c>
      <c r="H376" s="11" t="e">
        <f t="shared" si="397"/>
        <v>#REF!</v>
      </c>
      <c r="I376" s="11" t="e">
        <f t="shared" si="398"/>
        <v>#REF!</v>
      </c>
      <c r="J376" s="11" t="e">
        <f t="shared" si="399"/>
        <v>#REF!</v>
      </c>
    </row>
    <row r="377" spans="2:10" x14ac:dyDescent="0.3">
      <c r="B377" s="400" t="s">
        <v>660</v>
      </c>
      <c r="C377" s="9" t="e">
        <f>#REF!</f>
        <v>#REF!</v>
      </c>
      <c r="D377" s="19" t="s">
        <v>760</v>
      </c>
      <c r="E377" s="10" t="e">
        <f>#REF!</f>
        <v>#REF!</v>
      </c>
      <c r="F377" s="302" t="e">
        <f>#REF!</f>
        <v>#REF!</v>
      </c>
      <c r="G377" s="11" t="e">
        <f t="shared" si="396"/>
        <v>#REF!</v>
      </c>
      <c r="H377" s="11" t="e">
        <f t="shared" si="397"/>
        <v>#REF!</v>
      </c>
      <c r="I377" s="11" t="e">
        <f t="shared" si="398"/>
        <v>#REF!</v>
      </c>
      <c r="J377" s="11" t="e">
        <f t="shared" si="399"/>
        <v>#REF!</v>
      </c>
    </row>
    <row r="378" spans="2:10" x14ac:dyDescent="0.3">
      <c r="B378" s="400" t="s">
        <v>660</v>
      </c>
      <c r="C378" s="9" t="e">
        <f>#REF!</f>
        <v>#REF!</v>
      </c>
      <c r="D378" s="19" t="s">
        <v>761</v>
      </c>
      <c r="E378" s="10" t="e">
        <f>#REF!</f>
        <v>#REF!</v>
      </c>
      <c r="F378" s="302" t="e">
        <f>#REF!</f>
        <v>#REF!</v>
      </c>
      <c r="G378" s="11" t="e">
        <f t="shared" si="396"/>
        <v>#REF!</v>
      </c>
      <c r="H378" s="11" t="e">
        <f t="shared" si="397"/>
        <v>#REF!</v>
      </c>
      <c r="I378" s="11" t="e">
        <f t="shared" si="398"/>
        <v>#REF!</v>
      </c>
      <c r="J378" s="11" t="e">
        <f t="shared" si="399"/>
        <v>#REF!</v>
      </c>
    </row>
    <row r="379" spans="2:10" x14ac:dyDescent="0.3">
      <c r="B379" s="400" t="s">
        <v>660</v>
      </c>
      <c r="C379" s="9" t="e">
        <f>#REF!</f>
        <v>#REF!</v>
      </c>
      <c r="D379" s="19" t="s">
        <v>760</v>
      </c>
      <c r="E379" s="10" t="e">
        <f>#REF!</f>
        <v>#REF!</v>
      </c>
      <c r="F379" s="302" t="e">
        <f>#REF!</f>
        <v>#REF!</v>
      </c>
      <c r="G379" s="11" t="e">
        <f t="shared" si="396"/>
        <v>#REF!</v>
      </c>
      <c r="H379" s="11" t="e">
        <f t="shared" si="397"/>
        <v>#REF!</v>
      </c>
      <c r="I379" s="11" t="e">
        <f t="shared" si="398"/>
        <v>#REF!</v>
      </c>
      <c r="J379" s="11" t="e">
        <f t="shared" si="399"/>
        <v>#REF!</v>
      </c>
    </row>
    <row r="380" spans="2:10" x14ac:dyDescent="0.3">
      <c r="B380" s="400" t="s">
        <v>660</v>
      </c>
      <c r="C380" s="9" t="e">
        <f>#REF!</f>
        <v>#REF!</v>
      </c>
      <c r="D380" s="19" t="s">
        <v>761</v>
      </c>
      <c r="E380" s="10" t="e">
        <f>#REF!</f>
        <v>#REF!</v>
      </c>
      <c r="F380" s="302" t="e">
        <f>#REF!</f>
        <v>#REF!</v>
      </c>
      <c r="G380" s="11" t="e">
        <f t="shared" si="396"/>
        <v>#REF!</v>
      </c>
      <c r="H380" s="11" t="e">
        <f t="shared" si="397"/>
        <v>#REF!</v>
      </c>
      <c r="I380" s="11" t="e">
        <f t="shared" si="398"/>
        <v>#REF!</v>
      </c>
      <c r="J380" s="11" t="e">
        <f t="shared" si="399"/>
        <v>#REF!</v>
      </c>
    </row>
    <row r="381" spans="2:10" x14ac:dyDescent="0.3">
      <c r="B381" s="400" t="s">
        <v>660</v>
      </c>
      <c r="C381" s="9" t="e">
        <f>#REF!</f>
        <v>#REF!</v>
      </c>
      <c r="D381" s="19" t="s">
        <v>760</v>
      </c>
      <c r="E381" s="10" t="e">
        <f>#REF!</f>
        <v>#REF!</v>
      </c>
      <c r="F381" s="302" t="e">
        <f>#REF!</f>
        <v>#REF!</v>
      </c>
      <c r="G381" s="11" t="e">
        <f t="shared" ref="G381" si="400">IF(AND(D381="INGENIERÍA ELÉCTRICA",F381&lt;&gt;0),E381,0)</f>
        <v>#REF!</v>
      </c>
      <c r="H381" s="11" t="e">
        <f t="shared" ref="H381" si="401">IF(AND(D381="INGENIERÍA CIVIL",F381&lt;&gt;0),E381,0)</f>
        <v>#REF!</v>
      </c>
      <c r="I381" s="11" t="e">
        <f t="shared" ref="I381" si="402">IF(AND(D381="INGENIERÍA MECÁNICA",F381&lt;&gt;0),E381,0)</f>
        <v>#REF!</v>
      </c>
      <c r="J381" s="11" t="e">
        <f t="shared" ref="J381" si="403">IF(AND(D381="LINEAS",F381&lt;&gt;0),E381,0)</f>
        <v>#REF!</v>
      </c>
    </row>
    <row r="382" spans="2:10" x14ac:dyDescent="0.3">
      <c r="B382" s="400" t="s">
        <v>1223</v>
      </c>
      <c r="C382" s="9" t="str">
        <f>'OT17-184 LLTT TERMINAL'!C14</f>
        <v>Levantamiento topográfico</v>
      </c>
      <c r="D382" s="19" t="s">
        <v>28</v>
      </c>
      <c r="E382" s="10">
        <f>'OT17-184 LLTT TERMINAL'!P14</f>
        <v>201967</v>
      </c>
      <c r="F382" s="302">
        <f>'OT17-184 LLTT TERMINAL'!O14</f>
        <v>0.1</v>
      </c>
      <c r="G382" s="11">
        <f t="shared" ref="G382" si="404">IF(AND(D382="INGENIERÍA ELÉCTRICA",F382&lt;&gt;0),E382,0)</f>
        <v>0</v>
      </c>
      <c r="H382" s="11">
        <f t="shared" ref="H382" si="405">IF(AND(D382="INGENIERÍA CIVIL",F382&lt;&gt;0),E382,0)</f>
        <v>0</v>
      </c>
      <c r="I382" s="11">
        <f t="shared" ref="I382" si="406">IF(AND(D382="INGENIERÍA MECÁNICA",F382&lt;&gt;0),E382,0)</f>
        <v>0</v>
      </c>
      <c r="J382" s="11">
        <f t="shared" ref="J382" si="407">IF(AND(D382="LINEAS",F382&lt;&gt;0),E382,0)</f>
        <v>201967</v>
      </c>
    </row>
    <row r="383" spans="2:10" x14ac:dyDescent="0.3">
      <c r="B383" s="400" t="s">
        <v>1223</v>
      </c>
      <c r="C383" s="9" t="str">
        <f>'OT17-184 LLTT TERMINAL'!C16</f>
        <v>Replanteo para Línea de AT</v>
      </c>
      <c r="D383" s="19" t="s">
        <v>28</v>
      </c>
      <c r="E383" s="10">
        <f>'OT17-184 LLTT TERMINAL'!P16</f>
        <v>0</v>
      </c>
      <c r="F383" s="302">
        <f>'OT17-184 LLTT TERMINAL'!O16</f>
        <v>0</v>
      </c>
      <c r="G383" s="11">
        <f t="shared" ref="G383:G387" si="408">IF(AND(D383="INGENIERÍA ELÉCTRICA",F383&lt;&gt;0),E383,0)</f>
        <v>0</v>
      </c>
      <c r="H383" s="11">
        <f t="shared" ref="H383:H387" si="409">IF(AND(D383="INGENIERÍA CIVIL",F383&lt;&gt;0),E383,0)</f>
        <v>0</v>
      </c>
      <c r="I383" s="11">
        <f t="shared" ref="I383:I387" si="410">IF(AND(D383="INGENIERÍA MECÁNICA",F383&lt;&gt;0),E383,0)</f>
        <v>0</v>
      </c>
      <c r="J383" s="11">
        <f t="shared" ref="J383:J387" si="411">IF(AND(D383="LINEAS",F383&lt;&gt;0),E383,0)</f>
        <v>0</v>
      </c>
    </row>
    <row r="384" spans="2:10" x14ac:dyDescent="0.3">
      <c r="B384" s="400" t="s">
        <v>1223</v>
      </c>
      <c r="C384" s="9" t="str">
        <f>'OT17-184 LLTT TERMINAL'!C18</f>
        <v>Diseño de cimentación para apoyo tipo poste</v>
      </c>
      <c r="D384" s="19" t="s">
        <v>28</v>
      </c>
      <c r="E384" s="10">
        <f>'OT17-184 LLTT TERMINAL'!P18</f>
        <v>0</v>
      </c>
      <c r="F384" s="302">
        <f>'OT17-184 LLTT TERMINAL'!O18</f>
        <v>0</v>
      </c>
      <c r="G384" s="11">
        <f t="shared" si="408"/>
        <v>0</v>
      </c>
      <c r="H384" s="11">
        <f t="shared" si="409"/>
        <v>0</v>
      </c>
      <c r="I384" s="11">
        <f t="shared" si="410"/>
        <v>0</v>
      </c>
      <c r="J384" s="11">
        <f t="shared" si="411"/>
        <v>0</v>
      </c>
    </row>
    <row r="385" spans="2:10" x14ac:dyDescent="0.3">
      <c r="B385" s="400" t="s">
        <v>1223</v>
      </c>
      <c r="C385" s="9" t="str">
        <f>'OT17-184 LLTT TERMINAL'!C20</f>
        <v>Diseño electromecánico de línea de AT</v>
      </c>
      <c r="D385" s="19" t="s">
        <v>761</v>
      </c>
      <c r="E385" s="10">
        <f>'OT17-184 LLTT TERMINAL'!P20</f>
        <v>2785755</v>
      </c>
      <c r="F385" s="302">
        <f>'OT17-184 LLTT TERMINAL'!O20</f>
        <v>0.5</v>
      </c>
      <c r="G385" s="11">
        <f t="shared" si="408"/>
        <v>2785755</v>
      </c>
      <c r="H385" s="11">
        <f t="shared" si="409"/>
        <v>0</v>
      </c>
      <c r="I385" s="11">
        <f t="shared" si="410"/>
        <v>0</v>
      </c>
      <c r="J385" s="11">
        <f t="shared" si="411"/>
        <v>0</v>
      </c>
    </row>
    <row r="386" spans="2:10" x14ac:dyDescent="0.3">
      <c r="B386" s="400" t="s">
        <v>1223</v>
      </c>
      <c r="C386" s="9" t="str">
        <f>'OT17-184 LLTT TERMINAL'!C22</f>
        <v>Estudio de suelos con sondeo manual para sitios de estructuras de A.T</v>
      </c>
      <c r="D386" s="19" t="s">
        <v>28</v>
      </c>
      <c r="E386" s="10">
        <f>'OT17-184 LLTT TERMINAL'!P22</f>
        <v>0</v>
      </c>
      <c r="F386" s="302">
        <f>'OT17-184 LLTT TERMINAL'!O22</f>
        <v>0</v>
      </c>
      <c r="G386" s="11">
        <f t="shared" si="408"/>
        <v>0</v>
      </c>
      <c r="H386" s="11">
        <f t="shared" si="409"/>
        <v>0</v>
      </c>
      <c r="I386" s="11">
        <f t="shared" si="410"/>
        <v>0</v>
      </c>
      <c r="J386" s="11">
        <f t="shared" si="411"/>
        <v>0</v>
      </c>
    </row>
    <row r="387" spans="2:10" x14ac:dyDescent="0.3">
      <c r="B387" s="400" t="s">
        <v>1223</v>
      </c>
      <c r="C387" s="9" t="str">
        <f>'OT17-184 LLTT TERMINAL'!C24</f>
        <v>Elaboración de ingenierías  o estudios especiales</v>
      </c>
      <c r="D387" s="19" t="s">
        <v>28</v>
      </c>
      <c r="E387" s="10">
        <f>'OT17-184 LLTT TERMINAL'!P24</f>
        <v>0</v>
      </c>
      <c r="F387" s="302">
        <f>'OT17-184 LLTT TERMINAL'!O24</f>
        <v>0</v>
      </c>
      <c r="G387" s="11">
        <f t="shared" si="408"/>
        <v>0</v>
      </c>
      <c r="H387" s="11">
        <f t="shared" si="409"/>
        <v>0</v>
      </c>
      <c r="I387" s="11">
        <f t="shared" si="410"/>
        <v>0</v>
      </c>
      <c r="J387" s="11">
        <f t="shared" si="411"/>
        <v>0</v>
      </c>
    </row>
    <row r="388" spans="2:10" x14ac:dyDescent="0.3">
      <c r="B388" s="400" t="s">
        <v>748</v>
      </c>
      <c r="C388" s="9" t="str">
        <f>'OT17-187 GUACA'!C14</f>
        <v>Ingeniería mecánica (Levantamiento e ingeniería de detalle)</v>
      </c>
      <c r="D388" s="19" t="s">
        <v>762</v>
      </c>
      <c r="E388" s="10">
        <f>'OT17-187 GUACA'!O14</f>
        <v>780011</v>
      </c>
      <c r="F388" s="302">
        <f>'OT17-187 GUACA'!N14</f>
        <v>0.7</v>
      </c>
      <c r="G388" s="11">
        <f t="shared" ref="G388" si="412">IF(AND(D388="INGENIERÍA ELÉCTRICA",F388&lt;&gt;0),E388,0)</f>
        <v>0</v>
      </c>
      <c r="H388" s="11">
        <f t="shared" ref="H388" si="413">IF(AND(D388="INGENIERÍA CIVIL",F388&lt;&gt;0),E388,0)</f>
        <v>0</v>
      </c>
      <c r="I388" s="11">
        <f t="shared" ref="I388" si="414">IF(AND(D388="INGENIERÍA MECÁNICA",F388&lt;&gt;0),E388,0)</f>
        <v>780011</v>
      </c>
      <c r="J388" s="11">
        <f t="shared" ref="J388" si="415">IF(AND(D388="LINEAS",F388&lt;&gt;0),E388,0)</f>
        <v>0</v>
      </c>
    </row>
    <row r="389" spans="2:10" x14ac:dyDescent="0.3">
      <c r="B389" s="400" t="s">
        <v>748</v>
      </c>
      <c r="C389" s="9" t="str">
        <f>'OT17-187 GUACA'!C15</f>
        <v>Ingeniería eléctrica (Levantamiento e ingeniería de detalle)</v>
      </c>
      <c r="D389" s="19" t="s">
        <v>761</v>
      </c>
      <c r="E389" s="10">
        <f>'OT17-187 GUACA'!O15</f>
        <v>3851306</v>
      </c>
      <c r="F389" s="302">
        <f>'OT17-187 GUACA'!N15</f>
        <v>0.7</v>
      </c>
      <c r="G389" s="11">
        <f t="shared" ref="G389:G397" si="416">IF(AND(D389="INGENIERÍA ELÉCTRICA",F389&lt;&gt;0),E389,0)</f>
        <v>3851306</v>
      </c>
      <c r="H389" s="11">
        <f t="shared" ref="H389:H397" si="417">IF(AND(D389="INGENIERÍA CIVIL",F389&lt;&gt;0),E389,0)</f>
        <v>0</v>
      </c>
      <c r="I389" s="11">
        <f t="shared" ref="I389:I397" si="418">IF(AND(D389="INGENIERÍA MECÁNICA",F389&lt;&gt;0),E389,0)</f>
        <v>0</v>
      </c>
      <c r="J389" s="11">
        <f t="shared" ref="J389:J397" si="419">IF(AND(D389="LINEAS",F389&lt;&gt;0),E389,0)</f>
        <v>0</v>
      </c>
    </row>
    <row r="390" spans="2:10" x14ac:dyDescent="0.3">
      <c r="B390" s="400" t="s">
        <v>748</v>
      </c>
      <c r="C390" s="9" t="str">
        <f>'OT17-187 GUACA'!C17</f>
        <v>Ingeniería mecánica (Levantamiento e ingeniería de detalle)</v>
      </c>
      <c r="D390" s="19" t="s">
        <v>762</v>
      </c>
      <c r="E390" s="10">
        <f>'OT17-187 GUACA'!O17</f>
        <v>780011</v>
      </c>
      <c r="F390" s="302">
        <f>'OT17-187 GUACA'!N17</f>
        <v>0.7</v>
      </c>
      <c r="G390" s="11">
        <f t="shared" si="416"/>
        <v>0</v>
      </c>
      <c r="H390" s="11">
        <f t="shared" si="417"/>
        <v>0</v>
      </c>
      <c r="I390" s="11">
        <f t="shared" si="418"/>
        <v>780011</v>
      </c>
      <c r="J390" s="11">
        <f t="shared" si="419"/>
        <v>0</v>
      </c>
    </row>
    <row r="391" spans="2:10" x14ac:dyDescent="0.3">
      <c r="B391" s="400" t="s">
        <v>748</v>
      </c>
      <c r="C391" s="9" t="str">
        <f>'OT17-187 GUACA'!C18</f>
        <v>Ingeniería eléctrica (Levantamiento e ingeniería de detalle)</v>
      </c>
      <c r="D391" s="19" t="s">
        <v>761</v>
      </c>
      <c r="E391" s="10">
        <f>'OT17-187 GUACA'!O18</f>
        <v>3851306</v>
      </c>
      <c r="F391" s="302">
        <f>'OT17-187 GUACA'!N18</f>
        <v>0.7</v>
      </c>
      <c r="G391" s="11">
        <f t="shared" si="416"/>
        <v>3851306</v>
      </c>
      <c r="H391" s="11">
        <f t="shared" si="417"/>
        <v>0</v>
      </c>
      <c r="I391" s="11">
        <f t="shared" si="418"/>
        <v>0</v>
      </c>
      <c r="J391" s="11">
        <f t="shared" si="419"/>
        <v>0</v>
      </c>
    </row>
    <row r="392" spans="2:10" x14ac:dyDescent="0.3">
      <c r="B392" s="400" t="s">
        <v>748</v>
      </c>
      <c r="C392" s="9" t="str">
        <f>'OT17-187 GUACA'!C20</f>
        <v>Ingeniería mecánica (Levantamiento e ingeniería de detalle)</v>
      </c>
      <c r="D392" s="19" t="s">
        <v>762</v>
      </c>
      <c r="E392" s="10">
        <f>'OT17-187 GUACA'!O20</f>
        <v>926263</v>
      </c>
      <c r="F392" s="302">
        <f>'OT17-187 GUACA'!N20</f>
        <v>0.7</v>
      </c>
      <c r="G392" s="11">
        <f t="shared" si="416"/>
        <v>0</v>
      </c>
      <c r="H392" s="11">
        <f t="shared" si="417"/>
        <v>0</v>
      </c>
      <c r="I392" s="11">
        <f t="shared" si="418"/>
        <v>926263</v>
      </c>
      <c r="J392" s="11">
        <f t="shared" si="419"/>
        <v>0</v>
      </c>
    </row>
    <row r="393" spans="2:10" x14ac:dyDescent="0.3">
      <c r="B393" s="400" t="s">
        <v>748</v>
      </c>
      <c r="C393" s="9" t="str">
        <f>'OT17-187 GUACA'!C21</f>
        <v>Ingeniería eléctrica (Levantamiento e ingeniería de detalle)</v>
      </c>
      <c r="D393" s="19" t="s">
        <v>761</v>
      </c>
      <c r="E393" s="10">
        <f>'OT17-187 GUACA'!O21</f>
        <v>7361358</v>
      </c>
      <c r="F393" s="302">
        <f>'OT17-187 GUACA'!N21</f>
        <v>0.7</v>
      </c>
      <c r="G393" s="11">
        <f t="shared" si="416"/>
        <v>7361358</v>
      </c>
      <c r="H393" s="11">
        <f t="shared" si="417"/>
        <v>0</v>
      </c>
      <c r="I393" s="11">
        <f t="shared" si="418"/>
        <v>0</v>
      </c>
      <c r="J393" s="11">
        <f t="shared" si="419"/>
        <v>0</v>
      </c>
    </row>
    <row r="394" spans="2:10" x14ac:dyDescent="0.3">
      <c r="B394" s="400" t="s">
        <v>748</v>
      </c>
      <c r="C394" s="9" t="str">
        <f>'OT17-187 GUACA'!C23</f>
        <v>Ingeniería mecánica (Levantamiento e ingeniería de detalle)</v>
      </c>
      <c r="D394" s="19" t="s">
        <v>762</v>
      </c>
      <c r="E394" s="10">
        <f>'OT17-187 GUACA'!O23</f>
        <v>0</v>
      </c>
      <c r="F394" s="302">
        <f>'OT17-187 GUACA'!N23</f>
        <v>0</v>
      </c>
      <c r="G394" s="11">
        <f t="shared" si="416"/>
        <v>0</v>
      </c>
      <c r="H394" s="11">
        <f t="shared" si="417"/>
        <v>0</v>
      </c>
      <c r="I394" s="11">
        <f t="shared" si="418"/>
        <v>0</v>
      </c>
      <c r="J394" s="11">
        <f t="shared" si="419"/>
        <v>0</v>
      </c>
    </row>
    <row r="395" spans="2:10" x14ac:dyDescent="0.3">
      <c r="B395" s="400" t="s">
        <v>748</v>
      </c>
      <c r="C395" s="9" t="str">
        <f>'OT17-187 GUACA'!C24</f>
        <v>Ingeniería eléctrica (Levantamiento e ingeniería de detalle)</v>
      </c>
      <c r="D395" s="19" t="s">
        <v>761</v>
      </c>
      <c r="E395" s="10">
        <f>'OT17-187 GUACA'!O24</f>
        <v>0</v>
      </c>
      <c r="F395" s="302">
        <f>'OT17-187 GUACA'!N24</f>
        <v>0</v>
      </c>
      <c r="G395" s="11">
        <f t="shared" si="416"/>
        <v>0</v>
      </c>
      <c r="H395" s="11">
        <f t="shared" si="417"/>
        <v>0</v>
      </c>
      <c r="I395" s="11">
        <f t="shared" si="418"/>
        <v>0</v>
      </c>
      <c r="J395" s="11">
        <f t="shared" si="419"/>
        <v>0</v>
      </c>
    </row>
    <row r="396" spans="2:10" x14ac:dyDescent="0.3">
      <c r="B396" s="400" t="s">
        <v>748</v>
      </c>
      <c r="C396" s="9" t="str">
        <f>'OT17-187 GUACA'!C26</f>
        <v>Ingeniería mecánica (Levantamiento e ingeniería de detalle)</v>
      </c>
      <c r="D396" s="19" t="s">
        <v>762</v>
      </c>
      <c r="E396" s="10">
        <f>'OT17-187 GUACA'!O26</f>
        <v>0</v>
      </c>
      <c r="F396" s="302">
        <f>'OT17-187 GUACA'!N26</f>
        <v>0</v>
      </c>
      <c r="G396" s="11">
        <f t="shared" si="416"/>
        <v>0</v>
      </c>
      <c r="H396" s="11">
        <f t="shared" si="417"/>
        <v>0</v>
      </c>
      <c r="I396" s="11">
        <f t="shared" si="418"/>
        <v>0</v>
      </c>
      <c r="J396" s="11">
        <f t="shared" si="419"/>
        <v>0</v>
      </c>
    </row>
    <row r="397" spans="2:10" x14ac:dyDescent="0.3">
      <c r="B397" s="400" t="s">
        <v>748</v>
      </c>
      <c r="C397" s="9" t="str">
        <f>'OT17-187 GUACA'!C27</f>
        <v>Ingeniería eléctrica (Levantamiento e ingeniería de detalle)</v>
      </c>
      <c r="D397" s="19" t="s">
        <v>761</v>
      </c>
      <c r="E397" s="10">
        <f>'OT17-187 GUACA'!O27</f>
        <v>0</v>
      </c>
      <c r="F397" s="302">
        <f>'OT17-187 GUACA'!N27</f>
        <v>0</v>
      </c>
      <c r="G397" s="11">
        <f t="shared" si="416"/>
        <v>0</v>
      </c>
      <c r="H397" s="11">
        <f t="shared" si="417"/>
        <v>0</v>
      </c>
      <c r="I397" s="11">
        <f t="shared" si="418"/>
        <v>0</v>
      </c>
      <c r="J397" s="11">
        <f t="shared" si="419"/>
        <v>0</v>
      </c>
    </row>
    <row r="398" spans="2:10" x14ac:dyDescent="0.3">
      <c r="B398" s="400" t="s">
        <v>748</v>
      </c>
      <c r="C398" s="9" t="str">
        <f>'OT17-187 GUACA'!C29</f>
        <v>Ingeniería mecánica (Levantamiento e ingeniería de detalle)</v>
      </c>
      <c r="D398" s="19" t="s">
        <v>762</v>
      </c>
      <c r="E398" s="10">
        <f>'OT17-187 GUACA'!O29</f>
        <v>1340644</v>
      </c>
      <c r="F398" s="302">
        <f>'OT17-187 GUACA'!N29</f>
        <v>0.7</v>
      </c>
      <c r="G398" s="11">
        <f t="shared" ref="G398:G401" si="420">IF(AND(D398="INGENIERÍA ELÉCTRICA",F398&lt;&gt;0),E398,0)</f>
        <v>0</v>
      </c>
      <c r="H398" s="11">
        <f t="shared" ref="H398:H401" si="421">IF(AND(D398="INGENIERÍA CIVIL",F398&lt;&gt;0),E398,0)</f>
        <v>0</v>
      </c>
      <c r="I398" s="11">
        <f t="shared" ref="I398:I401" si="422">IF(AND(D398="INGENIERÍA MECÁNICA",F398&lt;&gt;0),E398,0)</f>
        <v>1340644</v>
      </c>
      <c r="J398" s="11">
        <f t="shared" ref="J398:J401" si="423">IF(AND(D398="LINEAS",F398&lt;&gt;0),E398,0)</f>
        <v>0</v>
      </c>
    </row>
    <row r="399" spans="2:10" x14ac:dyDescent="0.3">
      <c r="B399" s="400" t="s">
        <v>748</v>
      </c>
      <c r="C399" s="9" t="str">
        <f>'OT17-187 GUACA'!C30</f>
        <v>Ingeniería eléctrica (Levantamiento e ingeniería de detalle)</v>
      </c>
      <c r="D399" s="19" t="s">
        <v>761</v>
      </c>
      <c r="E399" s="10">
        <f>'OT17-187 GUACA'!O30</f>
        <v>0</v>
      </c>
      <c r="F399" s="302">
        <f>'OT17-187 GUACA'!N30</f>
        <v>0</v>
      </c>
      <c r="G399" s="11">
        <f t="shared" si="420"/>
        <v>0</v>
      </c>
      <c r="H399" s="11">
        <f t="shared" si="421"/>
        <v>0</v>
      </c>
      <c r="I399" s="11">
        <f t="shared" si="422"/>
        <v>0</v>
      </c>
      <c r="J399" s="11">
        <f t="shared" si="423"/>
        <v>0</v>
      </c>
    </row>
    <row r="400" spans="2:10" x14ac:dyDescent="0.3">
      <c r="B400" s="400" t="s">
        <v>748</v>
      </c>
      <c r="C400" s="9" t="str">
        <f>'OT17-187 GUACA'!C32</f>
        <v>Ingeniería mecánica (Levantamiento e ingeniería de detalle)</v>
      </c>
      <c r="D400" s="19" t="s">
        <v>762</v>
      </c>
      <c r="E400" s="10">
        <f>'OT17-187 GUACA'!O32</f>
        <v>0</v>
      </c>
      <c r="F400" s="302">
        <f>'OT17-187 GUACA'!N32</f>
        <v>0</v>
      </c>
      <c r="G400" s="11">
        <f t="shared" si="420"/>
        <v>0</v>
      </c>
      <c r="H400" s="11">
        <f t="shared" si="421"/>
        <v>0</v>
      </c>
      <c r="I400" s="11">
        <f t="shared" si="422"/>
        <v>0</v>
      </c>
      <c r="J400" s="11">
        <f t="shared" si="423"/>
        <v>0</v>
      </c>
    </row>
    <row r="401" spans="2:10" x14ac:dyDescent="0.3">
      <c r="B401" s="400" t="s">
        <v>748</v>
      </c>
      <c r="C401" s="9" t="str">
        <f>'OT17-187 GUACA'!C33</f>
        <v>Ingeniería eléctrica (Levantamiento e ingeniería de detalle)</v>
      </c>
      <c r="D401" s="19" t="s">
        <v>761</v>
      </c>
      <c r="E401" s="10">
        <f>'OT17-187 GUACA'!O33</f>
        <v>0</v>
      </c>
      <c r="F401" s="302">
        <f>'OT17-187 GUACA'!N33</f>
        <v>0</v>
      </c>
      <c r="G401" s="11">
        <f t="shared" si="420"/>
        <v>0</v>
      </c>
      <c r="H401" s="11">
        <f t="shared" si="421"/>
        <v>0</v>
      </c>
      <c r="I401" s="11">
        <f t="shared" si="422"/>
        <v>0</v>
      </c>
      <c r="J401" s="11">
        <f t="shared" si="423"/>
        <v>0</v>
      </c>
    </row>
    <row r="402" spans="2:10" x14ac:dyDescent="0.3">
      <c r="B402" s="400" t="s">
        <v>748</v>
      </c>
      <c r="C402" s="9" t="str">
        <f>'OT17-187 GUACA'!C35</f>
        <v>Ingeniería mecánica (Levantamiento e ingeniería de detalle)</v>
      </c>
      <c r="D402" s="19" t="s">
        <v>762</v>
      </c>
      <c r="E402" s="10">
        <f>'OT17-187 GUACA'!O35</f>
        <v>1340644</v>
      </c>
      <c r="F402" s="302">
        <f>'OT17-187 GUACA'!N35</f>
        <v>0.7</v>
      </c>
      <c r="G402" s="11">
        <f t="shared" ref="G402:G403" si="424">IF(AND(D402="INGENIERÍA ELÉCTRICA",F402&lt;&gt;0),E402,0)</f>
        <v>0</v>
      </c>
      <c r="H402" s="11">
        <f t="shared" ref="H402:H403" si="425">IF(AND(D402="INGENIERÍA CIVIL",F402&lt;&gt;0),E402,0)</f>
        <v>0</v>
      </c>
      <c r="I402" s="11">
        <f t="shared" ref="I402:I403" si="426">IF(AND(D402="INGENIERÍA MECÁNICA",F402&lt;&gt;0),E402,0)</f>
        <v>1340644</v>
      </c>
      <c r="J402" s="11">
        <f t="shared" ref="J402:J403" si="427">IF(AND(D402="LINEAS",F402&lt;&gt;0),E402,0)</f>
        <v>0</v>
      </c>
    </row>
    <row r="403" spans="2:10" x14ac:dyDescent="0.3">
      <c r="B403" s="400" t="s">
        <v>748</v>
      </c>
      <c r="C403" s="9" t="str">
        <f>'OT17-187 GUACA'!C36</f>
        <v>Ingeniería eléctrica (Levantamiento e ingeniería de detalle)</v>
      </c>
      <c r="D403" s="19" t="s">
        <v>761</v>
      </c>
      <c r="E403" s="10">
        <f>'OT17-187 GUACA'!O36</f>
        <v>0</v>
      </c>
      <c r="F403" s="302">
        <f>'OT17-187 GUACA'!N36</f>
        <v>0</v>
      </c>
      <c r="G403" s="11">
        <f t="shared" si="424"/>
        <v>0</v>
      </c>
      <c r="H403" s="11">
        <f t="shared" si="425"/>
        <v>0</v>
      </c>
      <c r="I403" s="11">
        <f t="shared" si="426"/>
        <v>0</v>
      </c>
      <c r="J403" s="11">
        <f t="shared" si="427"/>
        <v>0</v>
      </c>
    </row>
    <row r="404" spans="2:10" x14ac:dyDescent="0.3">
      <c r="B404" s="400" t="s">
        <v>748</v>
      </c>
      <c r="C404" s="9" t="str">
        <f>'OT17-187 GUACA'!C38</f>
        <v>Ingeniería mecánica (Levantamiento e ingeniería de detalle)</v>
      </c>
      <c r="D404" s="19" t="s">
        <v>762</v>
      </c>
      <c r="E404" s="10">
        <f>'OT17-187 GUACA'!O38</f>
        <v>0</v>
      </c>
      <c r="F404" s="302">
        <f>'OT17-187 GUACA'!N38</f>
        <v>0</v>
      </c>
      <c r="G404" s="11">
        <f t="shared" ref="G404:G405" si="428">IF(AND(D404="INGENIERÍA ELÉCTRICA",F404&lt;&gt;0),E404,0)</f>
        <v>0</v>
      </c>
      <c r="H404" s="11">
        <f t="shared" ref="H404:H405" si="429">IF(AND(D404="INGENIERÍA CIVIL",F404&lt;&gt;0),E404,0)</f>
        <v>0</v>
      </c>
      <c r="I404" s="11">
        <f t="shared" ref="I404:I405" si="430">IF(AND(D404="INGENIERÍA MECÁNICA",F404&lt;&gt;0),E404,0)</f>
        <v>0</v>
      </c>
      <c r="J404" s="11">
        <f t="shared" ref="J404:J405" si="431">IF(AND(D404="LINEAS",F404&lt;&gt;0),E404,0)</f>
        <v>0</v>
      </c>
    </row>
    <row r="405" spans="2:10" x14ac:dyDescent="0.3">
      <c r="B405" s="400" t="s">
        <v>748</v>
      </c>
      <c r="C405" s="9" t="str">
        <f>'OT17-187 GUACA'!C39</f>
        <v>Ingeniería eléctrica (Levantamiento e ingeniería de detalle)</v>
      </c>
      <c r="D405" s="19" t="s">
        <v>761</v>
      </c>
      <c r="E405" s="10">
        <f>'OT17-187 GUACA'!O39</f>
        <v>0</v>
      </c>
      <c r="F405" s="302">
        <f>'OT17-187 GUACA'!N39</f>
        <v>0</v>
      </c>
      <c r="G405" s="11">
        <f t="shared" si="428"/>
        <v>0</v>
      </c>
      <c r="H405" s="11">
        <f t="shared" si="429"/>
        <v>0</v>
      </c>
      <c r="I405" s="11">
        <f t="shared" si="430"/>
        <v>0</v>
      </c>
      <c r="J405" s="11">
        <f t="shared" si="431"/>
        <v>0</v>
      </c>
    </row>
    <row r="406" spans="2:10" x14ac:dyDescent="0.3">
      <c r="B406" s="400" t="s">
        <v>506</v>
      </c>
      <c r="C406" s="9" t="e">
        <f>#REF!</f>
        <v>#REF!</v>
      </c>
      <c r="D406" s="19" t="s">
        <v>762</v>
      </c>
      <c r="E406" s="10" t="e">
        <f>#REF!</f>
        <v>#REF!</v>
      </c>
      <c r="F406" s="302" t="e">
        <f>#REF!</f>
        <v>#REF!</v>
      </c>
      <c r="G406" s="11" t="e">
        <f t="shared" ref="G406" si="432">IF(AND(D406="INGENIERÍA ELÉCTRICA",F406&lt;&gt;0),E406,0)</f>
        <v>#REF!</v>
      </c>
      <c r="H406" s="11" t="e">
        <f t="shared" ref="H406" si="433">IF(AND(D406="INGENIERÍA CIVIL",F406&lt;&gt;0),E406,0)</f>
        <v>#REF!</v>
      </c>
      <c r="I406" s="11" t="e">
        <f t="shared" ref="I406" si="434">IF(AND(D406="INGENIERÍA MECÁNICA",F406&lt;&gt;0),E406,0)</f>
        <v>#REF!</v>
      </c>
      <c r="J406" s="11" t="e">
        <f t="shared" ref="J406" si="435">IF(AND(D406="LINEAS",F406&lt;&gt;0),E406,0)</f>
        <v>#REF!</v>
      </c>
    </row>
    <row r="407" spans="2:10" x14ac:dyDescent="0.3">
      <c r="B407" s="400" t="s">
        <v>506</v>
      </c>
      <c r="C407" s="9" t="e">
        <f>#REF!</f>
        <v>#REF!</v>
      </c>
      <c r="D407" s="19" t="s">
        <v>761</v>
      </c>
      <c r="E407" s="10" t="e">
        <f>#REF!</f>
        <v>#REF!</v>
      </c>
      <c r="F407" s="302" t="e">
        <f>#REF!</f>
        <v>#REF!</v>
      </c>
      <c r="G407" s="11" t="e">
        <f t="shared" ref="G407:G415" si="436">IF(AND(D407="INGENIERÍA ELÉCTRICA",F407&lt;&gt;0),E407,0)</f>
        <v>#REF!</v>
      </c>
      <c r="H407" s="11" t="e">
        <f t="shared" ref="H407:H415" si="437">IF(AND(D407="INGENIERÍA CIVIL",F407&lt;&gt;0),E407,0)</f>
        <v>#REF!</v>
      </c>
      <c r="I407" s="11" t="e">
        <f t="shared" ref="I407:I415" si="438">IF(AND(D407="INGENIERÍA MECÁNICA",F407&lt;&gt;0),E407,0)</f>
        <v>#REF!</v>
      </c>
      <c r="J407" s="11" t="e">
        <f t="shared" ref="J407:J415" si="439">IF(AND(D407="LINEAS",F407&lt;&gt;0),E407,0)</f>
        <v>#REF!</v>
      </c>
    </row>
    <row r="408" spans="2:10" x14ac:dyDescent="0.3">
      <c r="B408" s="400" t="s">
        <v>506</v>
      </c>
      <c r="C408" s="9" t="e">
        <f>#REF!</f>
        <v>#REF!</v>
      </c>
      <c r="D408" s="19" t="s">
        <v>762</v>
      </c>
      <c r="E408" s="10" t="e">
        <f>#REF!</f>
        <v>#REF!</v>
      </c>
      <c r="F408" s="302" t="e">
        <f>#REF!</f>
        <v>#REF!</v>
      </c>
      <c r="G408" s="11" t="e">
        <f t="shared" si="436"/>
        <v>#REF!</v>
      </c>
      <c r="H408" s="11" t="e">
        <f t="shared" si="437"/>
        <v>#REF!</v>
      </c>
      <c r="I408" s="11" t="e">
        <f t="shared" si="438"/>
        <v>#REF!</v>
      </c>
      <c r="J408" s="11" t="e">
        <f t="shared" si="439"/>
        <v>#REF!</v>
      </c>
    </row>
    <row r="409" spans="2:10" x14ac:dyDescent="0.3">
      <c r="B409" s="400" t="s">
        <v>506</v>
      </c>
      <c r="C409" s="9" t="e">
        <f>#REF!</f>
        <v>#REF!</v>
      </c>
      <c r="D409" s="19" t="s">
        <v>761</v>
      </c>
      <c r="E409" s="10" t="e">
        <f>#REF!</f>
        <v>#REF!</v>
      </c>
      <c r="F409" s="302" t="e">
        <f>#REF!</f>
        <v>#REF!</v>
      </c>
      <c r="G409" s="11" t="e">
        <f t="shared" si="436"/>
        <v>#REF!</v>
      </c>
      <c r="H409" s="11" t="e">
        <f t="shared" si="437"/>
        <v>#REF!</v>
      </c>
      <c r="I409" s="11" t="e">
        <f t="shared" si="438"/>
        <v>#REF!</v>
      </c>
      <c r="J409" s="11" t="e">
        <f t="shared" si="439"/>
        <v>#REF!</v>
      </c>
    </row>
    <row r="410" spans="2:10" x14ac:dyDescent="0.3">
      <c r="B410" s="400" t="s">
        <v>506</v>
      </c>
      <c r="C410" s="9" t="e">
        <f>#REF!</f>
        <v>#REF!</v>
      </c>
      <c r="D410" s="19" t="s">
        <v>762</v>
      </c>
      <c r="E410" s="10" t="e">
        <f>#REF!</f>
        <v>#REF!</v>
      </c>
      <c r="F410" s="302" t="e">
        <f>#REF!</f>
        <v>#REF!</v>
      </c>
      <c r="G410" s="11" t="e">
        <f t="shared" si="436"/>
        <v>#REF!</v>
      </c>
      <c r="H410" s="11" t="e">
        <f t="shared" si="437"/>
        <v>#REF!</v>
      </c>
      <c r="I410" s="11" t="e">
        <f t="shared" si="438"/>
        <v>#REF!</v>
      </c>
      <c r="J410" s="11" t="e">
        <f t="shared" si="439"/>
        <v>#REF!</v>
      </c>
    </row>
    <row r="411" spans="2:10" x14ac:dyDescent="0.3">
      <c r="B411" s="400" t="s">
        <v>506</v>
      </c>
      <c r="C411" s="9" t="e">
        <f>#REF!</f>
        <v>#REF!</v>
      </c>
      <c r="D411" s="19" t="s">
        <v>761</v>
      </c>
      <c r="E411" s="10" t="e">
        <f>#REF!</f>
        <v>#REF!</v>
      </c>
      <c r="F411" s="302" t="e">
        <f>#REF!</f>
        <v>#REF!</v>
      </c>
      <c r="G411" s="11" t="e">
        <f t="shared" si="436"/>
        <v>#REF!</v>
      </c>
      <c r="H411" s="11" t="e">
        <f t="shared" si="437"/>
        <v>#REF!</v>
      </c>
      <c r="I411" s="11" t="e">
        <f t="shared" si="438"/>
        <v>#REF!</v>
      </c>
      <c r="J411" s="11" t="e">
        <f t="shared" si="439"/>
        <v>#REF!</v>
      </c>
    </row>
    <row r="412" spans="2:10" x14ac:dyDescent="0.3">
      <c r="B412" s="400" t="s">
        <v>506</v>
      </c>
      <c r="C412" s="9" t="e">
        <f>#REF!</f>
        <v>#REF!</v>
      </c>
      <c r="D412" s="19" t="s">
        <v>760</v>
      </c>
      <c r="E412" s="10" t="e">
        <f>#REF!</f>
        <v>#REF!</v>
      </c>
      <c r="F412" s="302" t="e">
        <f>#REF!</f>
        <v>#REF!</v>
      </c>
      <c r="G412" s="11" t="e">
        <f t="shared" si="436"/>
        <v>#REF!</v>
      </c>
      <c r="H412" s="11" t="e">
        <f t="shared" si="437"/>
        <v>#REF!</v>
      </c>
      <c r="I412" s="11" t="e">
        <f t="shared" si="438"/>
        <v>#REF!</v>
      </c>
      <c r="J412" s="11" t="e">
        <f t="shared" si="439"/>
        <v>#REF!</v>
      </c>
    </row>
    <row r="413" spans="2:10" x14ac:dyDescent="0.3">
      <c r="B413" s="400" t="s">
        <v>506</v>
      </c>
      <c r="C413" s="9" t="e">
        <f>#REF!</f>
        <v>#REF!</v>
      </c>
      <c r="D413" s="19" t="s">
        <v>761</v>
      </c>
      <c r="E413" s="10" t="e">
        <f>#REF!</f>
        <v>#REF!</v>
      </c>
      <c r="F413" s="302" t="e">
        <f>#REF!</f>
        <v>#REF!</v>
      </c>
      <c r="G413" s="11" t="e">
        <f t="shared" si="436"/>
        <v>#REF!</v>
      </c>
      <c r="H413" s="11" t="e">
        <f t="shared" si="437"/>
        <v>#REF!</v>
      </c>
      <c r="I413" s="11" t="e">
        <f t="shared" si="438"/>
        <v>#REF!</v>
      </c>
      <c r="J413" s="11" t="e">
        <f t="shared" si="439"/>
        <v>#REF!</v>
      </c>
    </row>
    <row r="414" spans="2:10" x14ac:dyDescent="0.3">
      <c r="B414" s="400" t="s">
        <v>506</v>
      </c>
      <c r="C414" s="9" t="e">
        <f>#REF!</f>
        <v>#REF!</v>
      </c>
      <c r="D414" s="19" t="s">
        <v>760</v>
      </c>
      <c r="E414" s="10" t="e">
        <f>#REF!</f>
        <v>#REF!</v>
      </c>
      <c r="F414" s="302" t="e">
        <f>#REF!</f>
        <v>#REF!</v>
      </c>
      <c r="G414" s="11" t="e">
        <f t="shared" si="436"/>
        <v>#REF!</v>
      </c>
      <c r="H414" s="11" t="e">
        <f t="shared" si="437"/>
        <v>#REF!</v>
      </c>
      <c r="I414" s="11" t="e">
        <f t="shared" si="438"/>
        <v>#REF!</v>
      </c>
      <c r="J414" s="11" t="e">
        <f t="shared" si="439"/>
        <v>#REF!</v>
      </c>
    </row>
    <row r="415" spans="2:10" x14ac:dyDescent="0.3">
      <c r="B415" s="400" t="s">
        <v>506</v>
      </c>
      <c r="C415" s="9" t="e">
        <f>#REF!</f>
        <v>#REF!</v>
      </c>
      <c r="D415" s="19" t="s">
        <v>762</v>
      </c>
      <c r="E415" s="10" t="e">
        <f>#REF!</f>
        <v>#REF!</v>
      </c>
      <c r="F415" s="302" t="e">
        <f>#REF!</f>
        <v>#REF!</v>
      </c>
      <c r="G415" s="11" t="e">
        <f t="shared" si="436"/>
        <v>#REF!</v>
      </c>
      <c r="H415" s="11" t="e">
        <f t="shared" si="437"/>
        <v>#REF!</v>
      </c>
      <c r="I415" s="11" t="e">
        <f t="shared" si="438"/>
        <v>#REF!</v>
      </c>
      <c r="J415" s="11" t="e">
        <f t="shared" si="439"/>
        <v>#REF!</v>
      </c>
    </row>
    <row r="416" spans="2:10" x14ac:dyDescent="0.3">
      <c r="B416" s="400" t="s">
        <v>506</v>
      </c>
      <c r="C416" s="9" t="e">
        <f>#REF!</f>
        <v>#REF!</v>
      </c>
      <c r="D416" s="19" t="s">
        <v>760</v>
      </c>
      <c r="E416" s="10" t="e">
        <f>#REF!</f>
        <v>#REF!</v>
      </c>
      <c r="F416" s="302" t="e">
        <f>#REF!</f>
        <v>#REF!</v>
      </c>
      <c r="G416" s="11" t="e">
        <f t="shared" ref="G416:G417" si="440">IF(AND(D416="INGENIERÍA ELÉCTRICA",F416&lt;&gt;0),E416,0)</f>
        <v>#REF!</v>
      </c>
      <c r="H416" s="11" t="e">
        <f t="shared" ref="H416:H417" si="441">IF(AND(D416="INGENIERÍA CIVIL",F416&lt;&gt;0),E416,0)</f>
        <v>#REF!</v>
      </c>
      <c r="I416" s="11" t="e">
        <f t="shared" ref="I416:I417" si="442">IF(AND(D416="INGENIERÍA MECÁNICA",F416&lt;&gt;0),E416,0)</f>
        <v>#REF!</v>
      </c>
      <c r="J416" s="11" t="e">
        <f t="shared" ref="J416:J417" si="443">IF(AND(D416="LINEAS",F416&lt;&gt;0),E416,0)</f>
        <v>#REF!</v>
      </c>
    </row>
    <row r="417" spans="2:10" x14ac:dyDescent="0.3">
      <c r="B417" s="400" t="s">
        <v>506</v>
      </c>
      <c r="C417" s="9" t="e">
        <f>#REF!</f>
        <v>#REF!</v>
      </c>
      <c r="D417" s="19" t="s">
        <v>760</v>
      </c>
      <c r="E417" s="10" t="e">
        <f>#REF!</f>
        <v>#REF!</v>
      </c>
      <c r="F417" s="302" t="e">
        <f>#REF!</f>
        <v>#REF!</v>
      </c>
      <c r="G417" s="11" t="e">
        <f t="shared" si="440"/>
        <v>#REF!</v>
      </c>
      <c r="H417" s="11" t="e">
        <f t="shared" si="441"/>
        <v>#REF!</v>
      </c>
      <c r="I417" s="11" t="e">
        <f t="shared" si="442"/>
        <v>#REF!</v>
      </c>
      <c r="J417" s="11" t="e">
        <f t="shared" si="443"/>
        <v>#REF!</v>
      </c>
    </row>
    <row r="418" spans="2:10" x14ac:dyDescent="0.3">
      <c r="B418" s="400" t="s">
        <v>749</v>
      </c>
      <c r="C418" s="9" t="e">
        <f>#REF!</f>
        <v>#REF!</v>
      </c>
      <c r="D418" s="19" t="s">
        <v>28</v>
      </c>
      <c r="E418" s="10" t="e">
        <f>#REF!</f>
        <v>#REF!</v>
      </c>
      <c r="F418" s="302" t="e">
        <f>#REF!</f>
        <v>#REF!</v>
      </c>
      <c r="G418" s="11" t="e">
        <f t="shared" ref="G418" si="444">IF(AND(D418="INGENIERÍA ELÉCTRICA",F418&lt;&gt;0),E418,0)</f>
        <v>#REF!</v>
      </c>
      <c r="H418" s="11" t="e">
        <f t="shared" ref="H418" si="445">IF(AND(D418="INGENIERÍA CIVIL",F418&lt;&gt;0),E418,0)</f>
        <v>#REF!</v>
      </c>
      <c r="I418" s="11" t="e">
        <f t="shared" ref="I418" si="446">IF(AND(D418="INGENIERÍA MECÁNICA",F418&lt;&gt;0),E418,0)</f>
        <v>#REF!</v>
      </c>
      <c r="J418" s="11" t="e">
        <f t="shared" ref="J418" si="447">IF(AND(D418="LINEAS",F418&lt;&gt;0),E418,0)</f>
        <v>#REF!</v>
      </c>
    </row>
    <row r="419" spans="2:10" x14ac:dyDescent="0.3">
      <c r="B419" s="400" t="s">
        <v>749</v>
      </c>
      <c r="C419" s="9" t="e">
        <f>#REF!</f>
        <v>#REF!</v>
      </c>
      <c r="D419" s="19" t="s">
        <v>28</v>
      </c>
      <c r="E419" s="10" t="e">
        <f>#REF!</f>
        <v>#REF!</v>
      </c>
      <c r="F419" s="302" t="e">
        <f>#REF!</f>
        <v>#REF!</v>
      </c>
      <c r="G419" s="11" t="e">
        <f t="shared" ref="G419:G420" si="448">IF(AND(D419="INGENIERÍA ELÉCTRICA",F419&lt;&gt;0),E419,0)</f>
        <v>#REF!</v>
      </c>
      <c r="H419" s="11" t="e">
        <f t="shared" ref="H419:H420" si="449">IF(AND(D419="INGENIERÍA CIVIL",F419&lt;&gt;0),E419,0)</f>
        <v>#REF!</v>
      </c>
      <c r="I419" s="11" t="e">
        <f t="shared" ref="I419:I420" si="450">IF(AND(D419="INGENIERÍA MECÁNICA",F419&lt;&gt;0),E419,0)</f>
        <v>#REF!</v>
      </c>
      <c r="J419" s="11" t="e">
        <f t="shared" ref="J419:J420" si="451">IF(AND(D419="LINEAS",F419&lt;&gt;0),E419,0)</f>
        <v>#REF!</v>
      </c>
    </row>
    <row r="420" spans="2:10" x14ac:dyDescent="0.3">
      <c r="B420" s="400" t="s">
        <v>749</v>
      </c>
      <c r="C420" s="9" t="e">
        <f>#REF!</f>
        <v>#REF!</v>
      </c>
      <c r="D420" s="19" t="s">
        <v>761</v>
      </c>
      <c r="E420" s="10" t="e">
        <f>#REF!</f>
        <v>#REF!</v>
      </c>
      <c r="F420" s="302" t="e">
        <f>#REF!</f>
        <v>#REF!</v>
      </c>
      <c r="G420" s="11" t="e">
        <f t="shared" si="448"/>
        <v>#REF!</v>
      </c>
      <c r="H420" s="11" t="e">
        <f t="shared" si="449"/>
        <v>#REF!</v>
      </c>
      <c r="I420" s="11" t="e">
        <f t="shared" si="450"/>
        <v>#REF!</v>
      </c>
      <c r="J420" s="11" t="e">
        <f t="shared" si="451"/>
        <v>#REF!</v>
      </c>
    </row>
    <row r="421" spans="2:10" x14ac:dyDescent="0.3">
      <c r="B421" s="400" t="s">
        <v>426</v>
      </c>
      <c r="C421" s="9" t="e">
        <f>#REF!</f>
        <v>#REF!</v>
      </c>
      <c r="D421" s="19" t="s">
        <v>760</v>
      </c>
      <c r="E421" s="10" t="e">
        <f>#REF!</f>
        <v>#REF!</v>
      </c>
      <c r="F421" s="302" t="e">
        <f>#REF!</f>
        <v>#REF!</v>
      </c>
      <c r="G421" s="11" t="e">
        <f t="shared" ref="G421" si="452">IF(AND(D421="INGENIERÍA ELÉCTRICA",F421&lt;&gt;0),E421,0)</f>
        <v>#REF!</v>
      </c>
      <c r="H421" s="11" t="e">
        <f t="shared" ref="H421" si="453">IF(AND(D421="INGENIERÍA CIVIL",F421&lt;&gt;0),E421,0)</f>
        <v>#REF!</v>
      </c>
      <c r="I421" s="11" t="e">
        <f t="shared" ref="I421" si="454">IF(AND(D421="INGENIERÍA MECÁNICA",F421&lt;&gt;0),E421,0)</f>
        <v>#REF!</v>
      </c>
      <c r="J421" s="11" t="e">
        <f t="shared" ref="J421" si="455">IF(AND(D421="LINEAS",F421&lt;&gt;0),E421,0)</f>
        <v>#REF!</v>
      </c>
    </row>
    <row r="422" spans="2:10" x14ac:dyDescent="0.3">
      <c r="B422" s="400" t="s">
        <v>426</v>
      </c>
      <c r="C422" s="9" t="e">
        <f>#REF!</f>
        <v>#REF!</v>
      </c>
      <c r="D422" s="19" t="s">
        <v>761</v>
      </c>
      <c r="E422" s="10" t="e">
        <f>#REF!</f>
        <v>#REF!</v>
      </c>
      <c r="F422" s="302" t="e">
        <f>#REF!</f>
        <v>#REF!</v>
      </c>
      <c r="G422" s="11" t="e">
        <f t="shared" ref="G422:G424" si="456">IF(AND(D422="INGENIERÍA ELÉCTRICA",F422&lt;&gt;0),E422,0)</f>
        <v>#REF!</v>
      </c>
      <c r="H422" s="11" t="e">
        <f t="shared" ref="H422:H424" si="457">IF(AND(D422="INGENIERÍA CIVIL",F422&lt;&gt;0),E422,0)</f>
        <v>#REF!</v>
      </c>
      <c r="I422" s="11" t="e">
        <f t="shared" ref="I422:I424" si="458">IF(AND(D422="INGENIERÍA MECÁNICA",F422&lt;&gt;0),E422,0)</f>
        <v>#REF!</v>
      </c>
      <c r="J422" s="11" t="e">
        <f t="shared" ref="J422:J424" si="459">IF(AND(D422="LINEAS",F422&lt;&gt;0),E422,0)</f>
        <v>#REF!</v>
      </c>
    </row>
    <row r="423" spans="2:10" x14ac:dyDescent="0.3">
      <c r="B423" s="400" t="s">
        <v>426</v>
      </c>
      <c r="C423" s="9" t="e">
        <f>#REF!</f>
        <v>#REF!</v>
      </c>
      <c r="D423" s="19" t="s">
        <v>762</v>
      </c>
      <c r="E423" s="10" t="e">
        <f>#REF!</f>
        <v>#REF!</v>
      </c>
      <c r="F423" s="302" t="e">
        <f>#REF!</f>
        <v>#REF!</v>
      </c>
      <c r="G423" s="11" t="e">
        <f t="shared" si="456"/>
        <v>#REF!</v>
      </c>
      <c r="H423" s="11" t="e">
        <f t="shared" si="457"/>
        <v>#REF!</v>
      </c>
      <c r="I423" s="11" t="e">
        <f t="shared" si="458"/>
        <v>#REF!</v>
      </c>
      <c r="J423" s="11" t="e">
        <f t="shared" si="459"/>
        <v>#REF!</v>
      </c>
    </row>
    <row r="424" spans="2:10" x14ac:dyDescent="0.3">
      <c r="B424" s="400" t="s">
        <v>426</v>
      </c>
      <c r="C424" s="9" t="e">
        <f>#REF!</f>
        <v>#REF!</v>
      </c>
      <c r="D424" s="19" t="s">
        <v>761</v>
      </c>
      <c r="E424" s="10" t="e">
        <f>#REF!</f>
        <v>#REF!</v>
      </c>
      <c r="F424" s="302" t="e">
        <f>#REF!</f>
        <v>#REF!</v>
      </c>
      <c r="G424" s="11" t="e">
        <f t="shared" si="456"/>
        <v>#REF!</v>
      </c>
      <c r="H424" s="11" t="e">
        <f t="shared" si="457"/>
        <v>#REF!</v>
      </c>
      <c r="I424" s="11" t="e">
        <f t="shared" si="458"/>
        <v>#REF!</v>
      </c>
      <c r="J424" s="11" t="e">
        <f t="shared" si="459"/>
        <v>#REF!</v>
      </c>
    </row>
    <row r="425" spans="2:10" x14ac:dyDescent="0.3">
      <c r="B425" s="400" t="s">
        <v>426</v>
      </c>
      <c r="C425" s="9" t="e">
        <f>#REF!</f>
        <v>#REF!</v>
      </c>
      <c r="D425" s="19" t="s">
        <v>762</v>
      </c>
      <c r="E425" s="10" t="e">
        <f>#REF!</f>
        <v>#REF!</v>
      </c>
      <c r="F425" s="302" t="e">
        <f>#REF!</f>
        <v>#REF!</v>
      </c>
      <c r="G425" s="11" t="e">
        <f t="shared" ref="G425:G428" si="460">IF(AND(D425="INGENIERÍA ELÉCTRICA",F425&lt;&gt;0),E425,0)</f>
        <v>#REF!</v>
      </c>
      <c r="H425" s="11" t="e">
        <f t="shared" ref="H425:H428" si="461">IF(AND(D425="INGENIERÍA CIVIL",F425&lt;&gt;0),E425,0)</f>
        <v>#REF!</v>
      </c>
      <c r="I425" s="11" t="e">
        <f t="shared" ref="I425:I428" si="462">IF(AND(D425="INGENIERÍA MECÁNICA",F425&lt;&gt;0),E425,0)</f>
        <v>#REF!</v>
      </c>
      <c r="J425" s="11" t="e">
        <f t="shared" ref="J425:J428" si="463">IF(AND(D425="LINEAS",F425&lt;&gt;0),E425,0)</f>
        <v>#REF!</v>
      </c>
    </row>
    <row r="426" spans="2:10" x14ac:dyDescent="0.3">
      <c r="B426" s="400" t="s">
        <v>426</v>
      </c>
      <c r="C426" s="9" t="e">
        <f>#REF!</f>
        <v>#REF!</v>
      </c>
      <c r="D426" s="19" t="s">
        <v>761</v>
      </c>
      <c r="E426" s="10" t="e">
        <f>#REF!</f>
        <v>#REF!</v>
      </c>
      <c r="F426" s="302" t="e">
        <f>#REF!</f>
        <v>#REF!</v>
      </c>
      <c r="G426" s="11" t="e">
        <f t="shared" si="460"/>
        <v>#REF!</v>
      </c>
      <c r="H426" s="11" t="e">
        <f t="shared" si="461"/>
        <v>#REF!</v>
      </c>
      <c r="I426" s="11" t="e">
        <f t="shared" si="462"/>
        <v>#REF!</v>
      </c>
      <c r="J426" s="11" t="e">
        <f t="shared" si="463"/>
        <v>#REF!</v>
      </c>
    </row>
    <row r="427" spans="2:10" x14ac:dyDescent="0.3">
      <c r="B427" s="400" t="s">
        <v>426</v>
      </c>
      <c r="C427" s="9" t="e">
        <f>#REF!</f>
        <v>#REF!</v>
      </c>
      <c r="D427" s="19" t="s">
        <v>762</v>
      </c>
      <c r="E427" s="10" t="e">
        <f>#REF!</f>
        <v>#REF!</v>
      </c>
      <c r="F427" s="302" t="e">
        <f>#REF!</f>
        <v>#REF!</v>
      </c>
      <c r="G427" s="11" t="e">
        <f t="shared" si="460"/>
        <v>#REF!</v>
      </c>
      <c r="H427" s="11" t="e">
        <f t="shared" si="461"/>
        <v>#REF!</v>
      </c>
      <c r="I427" s="11" t="e">
        <f t="shared" si="462"/>
        <v>#REF!</v>
      </c>
      <c r="J427" s="11" t="e">
        <f t="shared" si="463"/>
        <v>#REF!</v>
      </c>
    </row>
    <row r="428" spans="2:10" x14ac:dyDescent="0.3">
      <c r="B428" s="400" t="s">
        <v>426</v>
      </c>
      <c r="C428" s="9" t="e">
        <f>#REF!</f>
        <v>#REF!</v>
      </c>
      <c r="D428" s="19" t="s">
        <v>761</v>
      </c>
      <c r="E428" s="10" t="e">
        <f>#REF!</f>
        <v>#REF!</v>
      </c>
      <c r="F428" s="302" t="e">
        <f>#REF!</f>
        <v>#REF!</v>
      </c>
      <c r="G428" s="11" t="e">
        <f t="shared" si="460"/>
        <v>#REF!</v>
      </c>
      <c r="H428" s="11" t="e">
        <f t="shared" si="461"/>
        <v>#REF!</v>
      </c>
      <c r="I428" s="11" t="e">
        <f t="shared" si="462"/>
        <v>#REF!</v>
      </c>
      <c r="J428" s="11" t="e">
        <f t="shared" si="463"/>
        <v>#REF!</v>
      </c>
    </row>
    <row r="429" spans="2:10" x14ac:dyDescent="0.3">
      <c r="B429" s="400" t="s">
        <v>426</v>
      </c>
      <c r="C429" s="9" t="e">
        <f>#REF!</f>
        <v>#REF!</v>
      </c>
      <c r="D429" s="19" t="s">
        <v>760</v>
      </c>
      <c r="E429" s="10" t="e">
        <f>#REF!</f>
        <v>#REF!</v>
      </c>
      <c r="F429" s="302" t="e">
        <f>#REF!</f>
        <v>#REF!</v>
      </c>
      <c r="G429" s="11" t="e">
        <f t="shared" ref="G429:G430" si="464">IF(AND(D429="INGENIERÍA ELÉCTRICA",F429&lt;&gt;0),E429,0)</f>
        <v>#REF!</v>
      </c>
      <c r="H429" s="11" t="e">
        <f t="shared" ref="H429:H430" si="465">IF(AND(D429="INGENIERÍA CIVIL",F429&lt;&gt;0),E429,0)</f>
        <v>#REF!</v>
      </c>
      <c r="I429" s="11" t="e">
        <f t="shared" ref="I429:I430" si="466">IF(AND(D429="INGENIERÍA MECÁNICA",F429&lt;&gt;0),E429,0)</f>
        <v>#REF!</v>
      </c>
      <c r="J429" s="11" t="e">
        <f t="shared" ref="J429:J430" si="467">IF(AND(D429="LINEAS",F429&lt;&gt;0),E429,0)</f>
        <v>#REF!</v>
      </c>
    </row>
    <row r="430" spans="2:10" x14ac:dyDescent="0.3">
      <c r="B430" s="400" t="s">
        <v>426</v>
      </c>
      <c r="C430" s="9" t="e">
        <f>#REF!</f>
        <v>#REF!</v>
      </c>
      <c r="D430" s="19" t="s">
        <v>760</v>
      </c>
      <c r="E430" s="10" t="e">
        <f>#REF!</f>
        <v>#REF!</v>
      </c>
      <c r="F430" s="302" t="e">
        <f>#REF!</f>
        <v>#REF!</v>
      </c>
      <c r="G430" s="11" t="e">
        <f t="shared" si="464"/>
        <v>#REF!</v>
      </c>
      <c r="H430" s="11" t="e">
        <f t="shared" si="465"/>
        <v>#REF!</v>
      </c>
      <c r="I430" s="11" t="e">
        <f t="shared" si="466"/>
        <v>#REF!</v>
      </c>
      <c r="J430" s="11" t="e">
        <f t="shared" si="467"/>
        <v>#REF!</v>
      </c>
    </row>
    <row r="431" spans="2:10" x14ac:dyDescent="0.3">
      <c r="B431" s="400" t="s">
        <v>784</v>
      </c>
      <c r="C431" s="9" t="e">
        <f>#REF!</f>
        <v>#REF!</v>
      </c>
      <c r="D431" s="19" t="s">
        <v>762</v>
      </c>
      <c r="E431" s="10" t="e">
        <f>#REF!</f>
        <v>#REF!</v>
      </c>
      <c r="F431" s="302" t="e">
        <f>#REF!</f>
        <v>#REF!</v>
      </c>
      <c r="G431" s="11" t="e">
        <f t="shared" ref="G431" si="468">IF(AND(D431="INGENIERÍA ELÉCTRICA",F431&lt;&gt;0),E431,0)</f>
        <v>#REF!</v>
      </c>
      <c r="H431" s="11" t="e">
        <f t="shared" ref="H431" si="469">IF(AND(D431="INGENIERÍA CIVIL",F431&lt;&gt;0),E431,0)</f>
        <v>#REF!</v>
      </c>
      <c r="I431" s="11" t="e">
        <f t="shared" ref="I431" si="470">IF(AND(D431="INGENIERÍA MECÁNICA",F431&lt;&gt;0),E431,0)</f>
        <v>#REF!</v>
      </c>
      <c r="J431" s="11" t="e">
        <f t="shared" ref="J431" si="471">IF(AND(D431="LINEAS",F431&lt;&gt;0),E431,0)</f>
        <v>#REF!</v>
      </c>
    </row>
    <row r="432" spans="2:10" x14ac:dyDescent="0.3">
      <c r="B432" s="400" t="s">
        <v>784</v>
      </c>
      <c r="C432" s="9" t="e">
        <f>#REF!</f>
        <v>#REF!</v>
      </c>
      <c r="D432" s="19" t="s">
        <v>761</v>
      </c>
      <c r="E432" s="10" t="e">
        <f>#REF!</f>
        <v>#REF!</v>
      </c>
      <c r="F432" s="302" t="e">
        <f>#REF!</f>
        <v>#REF!</v>
      </c>
      <c r="G432" s="11" t="e">
        <f t="shared" ref="G432:G440" si="472">IF(AND(D432="INGENIERÍA ELÉCTRICA",F432&lt;&gt;0),E432,0)</f>
        <v>#REF!</v>
      </c>
      <c r="H432" s="11" t="e">
        <f t="shared" ref="H432:H440" si="473">IF(AND(D432="INGENIERÍA CIVIL",F432&lt;&gt;0),E432,0)</f>
        <v>#REF!</v>
      </c>
      <c r="I432" s="11" t="e">
        <f t="shared" ref="I432:I440" si="474">IF(AND(D432="INGENIERÍA MECÁNICA",F432&lt;&gt;0),E432,0)</f>
        <v>#REF!</v>
      </c>
      <c r="J432" s="11" t="e">
        <f t="shared" ref="J432:J440" si="475">IF(AND(D432="LINEAS",F432&lt;&gt;0),E432,0)</f>
        <v>#REF!</v>
      </c>
    </row>
    <row r="433" spans="2:10" x14ac:dyDescent="0.3">
      <c r="B433" s="400" t="s">
        <v>784</v>
      </c>
      <c r="C433" s="9" t="e">
        <f>#REF!</f>
        <v>#REF!</v>
      </c>
      <c r="D433" s="19" t="s">
        <v>762</v>
      </c>
      <c r="E433" s="10" t="e">
        <f>#REF!</f>
        <v>#REF!</v>
      </c>
      <c r="F433" s="302" t="e">
        <f>#REF!</f>
        <v>#REF!</v>
      </c>
      <c r="G433" s="11" t="e">
        <f t="shared" si="472"/>
        <v>#REF!</v>
      </c>
      <c r="H433" s="11" t="e">
        <f t="shared" si="473"/>
        <v>#REF!</v>
      </c>
      <c r="I433" s="11" t="e">
        <f t="shared" si="474"/>
        <v>#REF!</v>
      </c>
      <c r="J433" s="11" t="e">
        <f t="shared" si="475"/>
        <v>#REF!</v>
      </c>
    </row>
    <row r="434" spans="2:10" x14ac:dyDescent="0.3">
      <c r="B434" s="400" t="s">
        <v>784</v>
      </c>
      <c r="C434" s="9" t="e">
        <f>#REF!</f>
        <v>#REF!</v>
      </c>
      <c r="D434" s="19" t="s">
        <v>761</v>
      </c>
      <c r="E434" s="10" t="e">
        <f>#REF!</f>
        <v>#REF!</v>
      </c>
      <c r="F434" s="302" t="e">
        <f>#REF!</f>
        <v>#REF!</v>
      </c>
      <c r="G434" s="11" t="e">
        <f t="shared" si="472"/>
        <v>#REF!</v>
      </c>
      <c r="H434" s="11" t="e">
        <f t="shared" si="473"/>
        <v>#REF!</v>
      </c>
      <c r="I434" s="11" t="e">
        <f t="shared" si="474"/>
        <v>#REF!</v>
      </c>
      <c r="J434" s="11" t="e">
        <f t="shared" si="475"/>
        <v>#REF!</v>
      </c>
    </row>
    <row r="435" spans="2:10" x14ac:dyDescent="0.3">
      <c r="B435" s="400" t="s">
        <v>784</v>
      </c>
      <c r="C435" s="9" t="e">
        <f>#REF!</f>
        <v>#REF!</v>
      </c>
      <c r="D435" s="19" t="s">
        <v>762</v>
      </c>
      <c r="E435" s="10" t="e">
        <f>#REF!</f>
        <v>#REF!</v>
      </c>
      <c r="F435" s="302" t="e">
        <f>#REF!</f>
        <v>#REF!</v>
      </c>
      <c r="G435" s="11" t="e">
        <f t="shared" si="472"/>
        <v>#REF!</v>
      </c>
      <c r="H435" s="11" t="e">
        <f t="shared" si="473"/>
        <v>#REF!</v>
      </c>
      <c r="I435" s="11" t="e">
        <f t="shared" si="474"/>
        <v>#REF!</v>
      </c>
      <c r="J435" s="11" t="e">
        <f t="shared" si="475"/>
        <v>#REF!</v>
      </c>
    </row>
    <row r="436" spans="2:10" x14ac:dyDescent="0.3">
      <c r="B436" s="400" t="s">
        <v>784</v>
      </c>
      <c r="C436" s="9" t="e">
        <f>#REF!</f>
        <v>#REF!</v>
      </c>
      <c r="D436" s="19" t="s">
        <v>761</v>
      </c>
      <c r="E436" s="10" t="e">
        <f>#REF!</f>
        <v>#REF!</v>
      </c>
      <c r="F436" s="302" t="e">
        <f>#REF!</f>
        <v>#REF!</v>
      </c>
      <c r="G436" s="11" t="e">
        <f t="shared" si="472"/>
        <v>#REF!</v>
      </c>
      <c r="H436" s="11" t="e">
        <f t="shared" si="473"/>
        <v>#REF!</v>
      </c>
      <c r="I436" s="11" t="e">
        <f t="shared" si="474"/>
        <v>#REF!</v>
      </c>
      <c r="J436" s="11" t="e">
        <f t="shared" si="475"/>
        <v>#REF!</v>
      </c>
    </row>
    <row r="437" spans="2:10" x14ac:dyDescent="0.3">
      <c r="B437" s="400" t="s">
        <v>784</v>
      </c>
      <c r="C437" s="9" t="e">
        <f>#REF!</f>
        <v>#REF!</v>
      </c>
      <c r="D437" s="19" t="s">
        <v>762</v>
      </c>
      <c r="E437" s="10" t="e">
        <f>#REF!</f>
        <v>#REF!</v>
      </c>
      <c r="F437" s="302" t="e">
        <f>#REF!</f>
        <v>#REF!</v>
      </c>
      <c r="G437" s="11" t="e">
        <f t="shared" si="472"/>
        <v>#REF!</v>
      </c>
      <c r="H437" s="11" t="e">
        <f t="shared" si="473"/>
        <v>#REF!</v>
      </c>
      <c r="I437" s="11" t="e">
        <f t="shared" si="474"/>
        <v>#REF!</v>
      </c>
      <c r="J437" s="11" t="e">
        <f t="shared" si="475"/>
        <v>#REF!</v>
      </c>
    </row>
    <row r="438" spans="2:10" x14ac:dyDescent="0.3">
      <c r="B438" s="400" t="s">
        <v>784</v>
      </c>
      <c r="C438" s="9" t="e">
        <f>#REF!</f>
        <v>#REF!</v>
      </c>
      <c r="D438" s="19" t="s">
        <v>761</v>
      </c>
      <c r="E438" s="10" t="e">
        <f>#REF!</f>
        <v>#REF!</v>
      </c>
      <c r="F438" s="302" t="e">
        <f>#REF!</f>
        <v>#REF!</v>
      </c>
      <c r="G438" s="11" t="e">
        <f t="shared" si="472"/>
        <v>#REF!</v>
      </c>
      <c r="H438" s="11" t="e">
        <f t="shared" si="473"/>
        <v>#REF!</v>
      </c>
      <c r="I438" s="11" t="e">
        <f t="shared" si="474"/>
        <v>#REF!</v>
      </c>
      <c r="J438" s="11" t="e">
        <f t="shared" si="475"/>
        <v>#REF!</v>
      </c>
    </row>
    <row r="439" spans="2:10" x14ac:dyDescent="0.3">
      <c r="B439" s="400" t="s">
        <v>784</v>
      </c>
      <c r="C439" s="9" t="e">
        <f>#REF!</f>
        <v>#REF!</v>
      </c>
      <c r="D439" s="19" t="s">
        <v>762</v>
      </c>
      <c r="E439" s="10" t="e">
        <f>#REF!</f>
        <v>#REF!</v>
      </c>
      <c r="F439" s="302" t="e">
        <f>#REF!</f>
        <v>#REF!</v>
      </c>
      <c r="G439" s="11" t="e">
        <f t="shared" si="472"/>
        <v>#REF!</v>
      </c>
      <c r="H439" s="11" t="e">
        <f t="shared" si="473"/>
        <v>#REF!</v>
      </c>
      <c r="I439" s="11" t="e">
        <f t="shared" si="474"/>
        <v>#REF!</v>
      </c>
      <c r="J439" s="11" t="e">
        <f t="shared" si="475"/>
        <v>#REF!</v>
      </c>
    </row>
    <row r="440" spans="2:10" x14ac:dyDescent="0.3">
      <c r="B440" s="400" t="s">
        <v>784</v>
      </c>
      <c r="C440" s="9" t="e">
        <f>#REF!</f>
        <v>#REF!</v>
      </c>
      <c r="D440" s="19" t="s">
        <v>761</v>
      </c>
      <c r="E440" s="10" t="e">
        <f>#REF!</f>
        <v>#REF!</v>
      </c>
      <c r="F440" s="302" t="e">
        <f>#REF!</f>
        <v>#REF!</v>
      </c>
      <c r="G440" s="11" t="e">
        <f t="shared" si="472"/>
        <v>#REF!</v>
      </c>
      <c r="H440" s="11" t="e">
        <f t="shared" si="473"/>
        <v>#REF!</v>
      </c>
      <c r="I440" s="11" t="e">
        <f t="shared" si="474"/>
        <v>#REF!</v>
      </c>
      <c r="J440" s="11" t="e">
        <f t="shared" si="475"/>
        <v>#REF!</v>
      </c>
    </row>
    <row r="441" spans="2:10" x14ac:dyDescent="0.3">
      <c r="B441" s="400" t="s">
        <v>784</v>
      </c>
      <c r="C441" s="9" t="e">
        <f>#REF!</f>
        <v>#REF!</v>
      </c>
      <c r="D441" s="19" t="s">
        <v>762</v>
      </c>
      <c r="E441" s="10" t="e">
        <f>#REF!</f>
        <v>#REF!</v>
      </c>
      <c r="F441" s="302" t="e">
        <f>#REF!</f>
        <v>#REF!</v>
      </c>
      <c r="G441" s="11" t="e">
        <f t="shared" ref="G441:G445" si="476">IF(AND(D441="INGENIERÍA ELÉCTRICA",F441&lt;&gt;0),E441,0)</f>
        <v>#REF!</v>
      </c>
      <c r="H441" s="11" t="e">
        <f t="shared" ref="H441:H445" si="477">IF(AND(D441="INGENIERÍA CIVIL",F441&lt;&gt;0),E441,0)</f>
        <v>#REF!</v>
      </c>
      <c r="I441" s="11" t="e">
        <f t="shared" ref="I441:I445" si="478">IF(AND(D441="INGENIERÍA MECÁNICA",F441&lt;&gt;0),E441,0)</f>
        <v>#REF!</v>
      </c>
      <c r="J441" s="11" t="e">
        <f t="shared" ref="J441:J445" si="479">IF(AND(D441="LINEAS",F441&lt;&gt;0),E441,0)</f>
        <v>#REF!</v>
      </c>
    </row>
    <row r="442" spans="2:10" x14ac:dyDescent="0.3">
      <c r="B442" s="400" t="s">
        <v>784</v>
      </c>
      <c r="C442" s="9" t="e">
        <f>#REF!</f>
        <v>#REF!</v>
      </c>
      <c r="D442" s="19" t="s">
        <v>761</v>
      </c>
      <c r="E442" s="10" t="e">
        <f>#REF!</f>
        <v>#REF!</v>
      </c>
      <c r="F442" s="302" t="e">
        <f>#REF!</f>
        <v>#REF!</v>
      </c>
      <c r="G442" s="11" t="e">
        <f t="shared" si="476"/>
        <v>#REF!</v>
      </c>
      <c r="H442" s="11" t="e">
        <f t="shared" si="477"/>
        <v>#REF!</v>
      </c>
      <c r="I442" s="11" t="e">
        <f t="shared" si="478"/>
        <v>#REF!</v>
      </c>
      <c r="J442" s="11" t="e">
        <f t="shared" si="479"/>
        <v>#REF!</v>
      </c>
    </row>
    <row r="443" spans="2:10" x14ac:dyDescent="0.3">
      <c r="B443" s="400" t="s">
        <v>784</v>
      </c>
      <c r="C443" s="9" t="e">
        <f>#REF!</f>
        <v>#REF!</v>
      </c>
      <c r="D443" s="19" t="s">
        <v>760</v>
      </c>
      <c r="E443" s="10" t="e">
        <f>#REF!</f>
        <v>#REF!</v>
      </c>
      <c r="F443" s="302" t="e">
        <f>#REF!</f>
        <v>#REF!</v>
      </c>
      <c r="G443" s="11" t="e">
        <f t="shared" si="476"/>
        <v>#REF!</v>
      </c>
      <c r="H443" s="11" t="e">
        <f t="shared" si="477"/>
        <v>#REF!</v>
      </c>
      <c r="I443" s="11" t="e">
        <f t="shared" si="478"/>
        <v>#REF!</v>
      </c>
      <c r="J443" s="11" t="e">
        <f t="shared" si="479"/>
        <v>#REF!</v>
      </c>
    </row>
    <row r="444" spans="2:10" x14ac:dyDescent="0.3">
      <c r="B444" s="400" t="s">
        <v>784</v>
      </c>
      <c r="C444" s="9" t="e">
        <f>#REF!</f>
        <v>#REF!</v>
      </c>
      <c r="D444" s="19" t="s">
        <v>761</v>
      </c>
      <c r="E444" s="10" t="e">
        <f>#REF!</f>
        <v>#REF!</v>
      </c>
      <c r="F444" s="302" t="e">
        <f>#REF!</f>
        <v>#REF!</v>
      </c>
      <c r="G444" s="11" t="e">
        <f t="shared" si="476"/>
        <v>#REF!</v>
      </c>
      <c r="H444" s="11" t="e">
        <f t="shared" si="477"/>
        <v>#REF!</v>
      </c>
      <c r="I444" s="11" t="e">
        <f t="shared" si="478"/>
        <v>#REF!</v>
      </c>
      <c r="J444" s="11" t="e">
        <f t="shared" si="479"/>
        <v>#REF!</v>
      </c>
    </row>
    <row r="445" spans="2:10" x14ac:dyDescent="0.3">
      <c r="B445" s="400" t="s">
        <v>784</v>
      </c>
      <c r="C445" s="9" t="e">
        <f>#REF!</f>
        <v>#REF!</v>
      </c>
      <c r="D445" s="19" t="s">
        <v>760</v>
      </c>
      <c r="E445" s="10" t="e">
        <f>#REF!</f>
        <v>#REF!</v>
      </c>
      <c r="F445" s="302" t="e">
        <f>#REF!</f>
        <v>#REF!</v>
      </c>
      <c r="G445" s="11" t="e">
        <f t="shared" si="476"/>
        <v>#REF!</v>
      </c>
      <c r="H445" s="11" t="e">
        <f t="shared" si="477"/>
        <v>#REF!</v>
      </c>
      <c r="I445" s="11" t="e">
        <f t="shared" si="478"/>
        <v>#REF!</v>
      </c>
      <c r="J445" s="11" t="e">
        <f t="shared" si="479"/>
        <v>#REF!</v>
      </c>
    </row>
    <row r="446" spans="2:10" x14ac:dyDescent="0.3">
      <c r="B446" s="400" t="s">
        <v>784</v>
      </c>
      <c r="C446" s="9" t="e">
        <f>#REF!</f>
        <v>#REF!</v>
      </c>
      <c r="D446" s="19" t="s">
        <v>760</v>
      </c>
      <c r="E446" s="10" t="e">
        <f>#REF!</f>
        <v>#REF!</v>
      </c>
      <c r="F446" s="302" t="e">
        <f>#REF!</f>
        <v>#REF!</v>
      </c>
      <c r="G446" s="11" t="e">
        <f t="shared" ref="G446" si="480">IF(AND(D446="INGENIERÍA ELÉCTRICA",F446&lt;&gt;0),E446,0)</f>
        <v>#REF!</v>
      </c>
      <c r="H446" s="11" t="e">
        <f t="shared" ref="H446" si="481">IF(AND(D446="INGENIERÍA CIVIL",F446&lt;&gt;0),E446,0)</f>
        <v>#REF!</v>
      </c>
      <c r="I446" s="11" t="e">
        <f t="shared" ref="I446" si="482">IF(AND(D446="INGENIERÍA MECÁNICA",F446&lt;&gt;0),E446,0)</f>
        <v>#REF!</v>
      </c>
      <c r="J446" s="11" t="e">
        <f t="shared" ref="J446" si="483">IF(AND(D446="LINEAS",F446&lt;&gt;0),E446,0)</f>
        <v>#REF!</v>
      </c>
    </row>
    <row r="447" spans="2:10" x14ac:dyDescent="0.3">
      <c r="B447" s="400" t="s">
        <v>1224</v>
      </c>
      <c r="C447" s="9" t="e">
        <f>#REF!</f>
        <v>#REF!</v>
      </c>
      <c r="D447" s="19" t="s">
        <v>760</v>
      </c>
      <c r="E447" s="10" t="e">
        <f>#REF!</f>
        <v>#REF!</v>
      </c>
      <c r="F447" s="302" t="e">
        <f>#REF!</f>
        <v>#REF!</v>
      </c>
      <c r="G447" s="11" t="e">
        <f t="shared" ref="G447" si="484">IF(AND(D447="INGENIERÍA ELÉCTRICA",F447&lt;&gt;0),E447,0)</f>
        <v>#REF!</v>
      </c>
      <c r="H447" s="11" t="e">
        <f t="shared" ref="H447" si="485">IF(AND(D447="INGENIERÍA CIVIL",F447&lt;&gt;0),E447,0)</f>
        <v>#REF!</v>
      </c>
      <c r="I447" s="11" t="e">
        <f t="shared" ref="I447" si="486">IF(AND(D447="INGENIERÍA MECÁNICA",F447&lt;&gt;0),E447,0)</f>
        <v>#REF!</v>
      </c>
      <c r="J447" s="11" t="e">
        <f t="shared" ref="J447" si="487">IF(AND(D447="LINEAS",F447&lt;&gt;0),E447,0)</f>
        <v>#REF!</v>
      </c>
    </row>
    <row r="448" spans="2:10" x14ac:dyDescent="0.3">
      <c r="B448" s="400" t="s">
        <v>1224</v>
      </c>
      <c r="C448" s="9" t="e">
        <f>#REF!</f>
        <v>#REF!</v>
      </c>
      <c r="D448" s="19" t="s">
        <v>762</v>
      </c>
      <c r="E448" s="10" t="e">
        <f>#REF!</f>
        <v>#REF!</v>
      </c>
      <c r="F448" s="302" t="e">
        <f>#REF!</f>
        <v>#REF!</v>
      </c>
      <c r="G448" s="11" t="e">
        <f t="shared" ref="G448:G456" si="488">IF(AND(D448="INGENIERÍA ELÉCTRICA",F448&lt;&gt;0),E448,0)</f>
        <v>#REF!</v>
      </c>
      <c r="H448" s="11" t="e">
        <f t="shared" ref="H448:H456" si="489">IF(AND(D448="INGENIERÍA CIVIL",F448&lt;&gt;0),E448,0)</f>
        <v>#REF!</v>
      </c>
      <c r="I448" s="11" t="e">
        <f t="shared" ref="I448:I456" si="490">IF(AND(D448="INGENIERÍA MECÁNICA",F448&lt;&gt;0),E448,0)</f>
        <v>#REF!</v>
      </c>
      <c r="J448" s="11" t="e">
        <f t="shared" ref="J448:J456" si="491">IF(AND(D448="LINEAS",F448&lt;&gt;0),E448,0)</f>
        <v>#REF!</v>
      </c>
    </row>
    <row r="449" spans="2:10" x14ac:dyDescent="0.3">
      <c r="B449" s="400" t="s">
        <v>1224</v>
      </c>
      <c r="C449" s="9" t="e">
        <f>#REF!</f>
        <v>#REF!</v>
      </c>
      <c r="D449" s="19" t="s">
        <v>761</v>
      </c>
      <c r="E449" s="10" t="e">
        <f>#REF!</f>
        <v>#REF!</v>
      </c>
      <c r="F449" s="302" t="e">
        <f>#REF!</f>
        <v>#REF!</v>
      </c>
      <c r="G449" s="11" t="e">
        <f t="shared" si="488"/>
        <v>#REF!</v>
      </c>
      <c r="H449" s="11" t="e">
        <f t="shared" si="489"/>
        <v>#REF!</v>
      </c>
      <c r="I449" s="11" t="e">
        <f t="shared" si="490"/>
        <v>#REF!</v>
      </c>
      <c r="J449" s="11" t="e">
        <f t="shared" si="491"/>
        <v>#REF!</v>
      </c>
    </row>
    <row r="450" spans="2:10" x14ac:dyDescent="0.3">
      <c r="B450" s="400" t="s">
        <v>1224</v>
      </c>
      <c r="C450" s="9" t="e">
        <f>#REF!</f>
        <v>#REF!</v>
      </c>
      <c r="D450" s="19" t="s">
        <v>762</v>
      </c>
      <c r="E450" s="10" t="e">
        <f>#REF!</f>
        <v>#REF!</v>
      </c>
      <c r="F450" s="302" t="e">
        <f>#REF!</f>
        <v>#REF!</v>
      </c>
      <c r="G450" s="11" t="e">
        <f t="shared" si="488"/>
        <v>#REF!</v>
      </c>
      <c r="H450" s="11" t="e">
        <f t="shared" si="489"/>
        <v>#REF!</v>
      </c>
      <c r="I450" s="11" t="e">
        <f t="shared" si="490"/>
        <v>#REF!</v>
      </c>
      <c r="J450" s="11" t="e">
        <f t="shared" si="491"/>
        <v>#REF!</v>
      </c>
    </row>
    <row r="451" spans="2:10" x14ac:dyDescent="0.3">
      <c r="B451" s="400" t="s">
        <v>1224</v>
      </c>
      <c r="C451" s="9" t="e">
        <f>#REF!</f>
        <v>#REF!</v>
      </c>
      <c r="D451" s="19" t="s">
        <v>761</v>
      </c>
      <c r="E451" s="10" t="e">
        <f>#REF!</f>
        <v>#REF!</v>
      </c>
      <c r="F451" s="302" t="e">
        <f>#REF!</f>
        <v>#REF!</v>
      </c>
      <c r="G451" s="11" t="e">
        <f t="shared" si="488"/>
        <v>#REF!</v>
      </c>
      <c r="H451" s="11" t="e">
        <f t="shared" si="489"/>
        <v>#REF!</v>
      </c>
      <c r="I451" s="11" t="e">
        <f t="shared" si="490"/>
        <v>#REF!</v>
      </c>
      <c r="J451" s="11" t="e">
        <f t="shared" si="491"/>
        <v>#REF!</v>
      </c>
    </row>
    <row r="452" spans="2:10" x14ac:dyDescent="0.3">
      <c r="B452" s="400" t="s">
        <v>1224</v>
      </c>
      <c r="C452" s="9" t="e">
        <f>#REF!</f>
        <v>#REF!</v>
      </c>
      <c r="D452" s="19" t="s">
        <v>760</v>
      </c>
      <c r="E452" s="10" t="e">
        <f>#REF!</f>
        <v>#REF!</v>
      </c>
      <c r="F452" s="302" t="e">
        <f>#REF!</f>
        <v>#REF!</v>
      </c>
      <c r="G452" s="11" t="e">
        <f t="shared" si="488"/>
        <v>#REF!</v>
      </c>
      <c r="H452" s="11" t="e">
        <f t="shared" si="489"/>
        <v>#REF!</v>
      </c>
      <c r="I452" s="11" t="e">
        <f t="shared" si="490"/>
        <v>#REF!</v>
      </c>
      <c r="J452" s="11" t="e">
        <f t="shared" si="491"/>
        <v>#REF!</v>
      </c>
    </row>
    <row r="453" spans="2:10" x14ac:dyDescent="0.3">
      <c r="B453" s="400" t="s">
        <v>1224</v>
      </c>
      <c r="C453" s="9" t="e">
        <f>#REF!</f>
        <v>#REF!</v>
      </c>
      <c r="D453" s="19" t="s">
        <v>762</v>
      </c>
      <c r="E453" s="10" t="e">
        <f>#REF!</f>
        <v>#REF!</v>
      </c>
      <c r="F453" s="302" t="e">
        <f>#REF!</f>
        <v>#REF!</v>
      </c>
      <c r="G453" s="11" t="e">
        <f t="shared" si="488"/>
        <v>#REF!</v>
      </c>
      <c r="H453" s="11" t="e">
        <f t="shared" si="489"/>
        <v>#REF!</v>
      </c>
      <c r="I453" s="11" t="e">
        <f t="shared" si="490"/>
        <v>#REF!</v>
      </c>
      <c r="J453" s="11" t="e">
        <f t="shared" si="491"/>
        <v>#REF!</v>
      </c>
    </row>
    <row r="454" spans="2:10" x14ac:dyDescent="0.3">
      <c r="B454" s="400" t="s">
        <v>1224</v>
      </c>
      <c r="C454" s="9" t="e">
        <f>#REF!</f>
        <v>#REF!</v>
      </c>
      <c r="D454" s="19" t="s">
        <v>761</v>
      </c>
      <c r="E454" s="10" t="e">
        <f>#REF!</f>
        <v>#REF!</v>
      </c>
      <c r="F454" s="302" t="e">
        <f>#REF!</f>
        <v>#REF!</v>
      </c>
      <c r="G454" s="11" t="e">
        <f t="shared" si="488"/>
        <v>#REF!</v>
      </c>
      <c r="H454" s="11" t="e">
        <f t="shared" si="489"/>
        <v>#REF!</v>
      </c>
      <c r="I454" s="11" t="e">
        <f t="shared" si="490"/>
        <v>#REF!</v>
      </c>
      <c r="J454" s="11" t="e">
        <f t="shared" si="491"/>
        <v>#REF!</v>
      </c>
    </row>
    <row r="455" spans="2:10" x14ac:dyDescent="0.3">
      <c r="B455" s="400" t="s">
        <v>1224</v>
      </c>
      <c r="C455" s="9" t="e">
        <f>#REF!</f>
        <v>#REF!</v>
      </c>
      <c r="D455" s="19" t="s">
        <v>762</v>
      </c>
      <c r="E455" s="10" t="e">
        <f>#REF!</f>
        <v>#REF!</v>
      </c>
      <c r="F455" s="302" t="e">
        <f>#REF!</f>
        <v>#REF!</v>
      </c>
      <c r="G455" s="11" t="e">
        <f t="shared" si="488"/>
        <v>#REF!</v>
      </c>
      <c r="H455" s="11" t="e">
        <f t="shared" si="489"/>
        <v>#REF!</v>
      </c>
      <c r="I455" s="11" t="e">
        <f t="shared" si="490"/>
        <v>#REF!</v>
      </c>
      <c r="J455" s="11" t="e">
        <f t="shared" si="491"/>
        <v>#REF!</v>
      </c>
    </row>
    <row r="456" spans="2:10" x14ac:dyDescent="0.3">
      <c r="B456" s="400" t="s">
        <v>1224</v>
      </c>
      <c r="C456" s="9" t="e">
        <f>#REF!</f>
        <v>#REF!</v>
      </c>
      <c r="D456" s="19" t="s">
        <v>761</v>
      </c>
      <c r="E456" s="10" t="e">
        <f>#REF!</f>
        <v>#REF!</v>
      </c>
      <c r="F456" s="302" t="e">
        <f>#REF!</f>
        <v>#REF!</v>
      </c>
      <c r="G456" s="11" t="e">
        <f t="shared" si="488"/>
        <v>#REF!</v>
      </c>
      <c r="H456" s="11" t="e">
        <f t="shared" si="489"/>
        <v>#REF!</v>
      </c>
      <c r="I456" s="11" t="e">
        <f t="shared" si="490"/>
        <v>#REF!</v>
      </c>
      <c r="J456" s="11" t="e">
        <f t="shared" si="491"/>
        <v>#REF!</v>
      </c>
    </row>
    <row r="457" spans="2:10" x14ac:dyDescent="0.3">
      <c r="B457" s="400" t="s">
        <v>785</v>
      </c>
      <c r="C457" s="9" t="str">
        <f>'OT17-199 VILLETA REP PROTEC'!C14</f>
        <v>Ingeniería mecánica (Levantamiento e ingeniería de detalle)</v>
      </c>
      <c r="D457" s="19" t="s">
        <v>762</v>
      </c>
      <c r="E457" s="10">
        <f>'OT17-199 VILLETA REP PROTEC'!O14</f>
        <v>250718</v>
      </c>
      <c r="F457" s="302">
        <f>'OT17-199 VILLETA REP PROTEC'!N14</f>
        <v>0.15</v>
      </c>
      <c r="G457" s="11">
        <f t="shared" ref="G457" si="492">IF(AND(D457="INGENIERÍA ELÉCTRICA",F457&lt;&gt;0),E457,0)</f>
        <v>0</v>
      </c>
      <c r="H457" s="11">
        <f t="shared" ref="H457" si="493">IF(AND(D457="INGENIERÍA CIVIL",F457&lt;&gt;0),E457,0)</f>
        <v>0</v>
      </c>
      <c r="I457" s="11">
        <f t="shared" ref="I457" si="494">IF(AND(D457="INGENIERÍA MECÁNICA",F457&lt;&gt;0),E457,0)</f>
        <v>250718</v>
      </c>
      <c r="J457" s="11">
        <f t="shared" ref="J457" si="495">IF(AND(D457="LINEAS",F457&lt;&gt;0),E457,0)</f>
        <v>0</v>
      </c>
    </row>
    <row r="458" spans="2:10" x14ac:dyDescent="0.3">
      <c r="B458" s="400" t="s">
        <v>785</v>
      </c>
      <c r="C458" s="9" t="str">
        <f>'OT17-199 VILLETA REP PROTEC'!C15</f>
        <v>Ingeniería eléctrica (Levantamiento e ingeniería de detalle)</v>
      </c>
      <c r="D458" s="19" t="s">
        <v>761</v>
      </c>
      <c r="E458" s="10">
        <f>'OT17-199 VILLETA REP PROTEC'!O15</f>
        <v>2804907</v>
      </c>
      <c r="F458" s="302">
        <f>'OT17-199 VILLETA REP PROTEC'!N15</f>
        <v>0.45</v>
      </c>
      <c r="G458" s="11">
        <f t="shared" ref="G458:G466" si="496">IF(AND(D458="INGENIERÍA ELÉCTRICA",F458&lt;&gt;0),E458,0)</f>
        <v>2804907</v>
      </c>
      <c r="H458" s="11">
        <f t="shared" ref="H458:H466" si="497">IF(AND(D458="INGENIERÍA CIVIL",F458&lt;&gt;0),E458,0)</f>
        <v>0</v>
      </c>
      <c r="I458" s="11">
        <f t="shared" ref="I458:I466" si="498">IF(AND(D458="INGENIERÍA MECÁNICA",F458&lt;&gt;0),E458,0)</f>
        <v>0</v>
      </c>
      <c r="J458" s="11">
        <f t="shared" ref="J458:J466" si="499">IF(AND(D458="LINEAS",F458&lt;&gt;0),E458,0)</f>
        <v>0</v>
      </c>
    </row>
    <row r="459" spans="2:10" x14ac:dyDescent="0.3">
      <c r="B459" s="400" t="s">
        <v>785</v>
      </c>
      <c r="C459" s="9" t="str">
        <f>'OT17-199 VILLETA REP PROTEC'!C17</f>
        <v>Ingeniería mecánica (Levantamiento e ingeniería de detalle)</v>
      </c>
      <c r="D459" s="19" t="s">
        <v>762</v>
      </c>
      <c r="E459" s="10">
        <f>'OT17-199 VILLETA REP PROTEC'!O17</f>
        <v>0</v>
      </c>
      <c r="F459" s="302">
        <f>'OT17-199 VILLETA REP PROTEC'!N17</f>
        <v>0</v>
      </c>
      <c r="G459" s="11">
        <f t="shared" si="496"/>
        <v>0</v>
      </c>
      <c r="H459" s="11">
        <f t="shared" si="497"/>
        <v>0</v>
      </c>
      <c r="I459" s="11">
        <f t="shared" si="498"/>
        <v>0</v>
      </c>
      <c r="J459" s="11">
        <f t="shared" si="499"/>
        <v>0</v>
      </c>
    </row>
    <row r="460" spans="2:10" x14ac:dyDescent="0.3">
      <c r="B460" s="400" t="s">
        <v>785</v>
      </c>
      <c r="C460" s="9" t="str">
        <f>'OT17-199 VILLETA REP PROTEC'!C18</f>
        <v>Ingeniería eléctrica (Levantamiento e ingeniería de detalle)</v>
      </c>
      <c r="D460" s="19" t="s">
        <v>761</v>
      </c>
      <c r="E460" s="10">
        <f>'OT17-199 VILLETA REP PROTEC'!O18</f>
        <v>1650560</v>
      </c>
      <c r="F460" s="302">
        <f>'OT17-199 VILLETA REP PROTEC'!N18</f>
        <v>0.3</v>
      </c>
      <c r="G460" s="11">
        <f t="shared" si="496"/>
        <v>1650560</v>
      </c>
      <c r="H460" s="11">
        <f t="shared" si="497"/>
        <v>0</v>
      </c>
      <c r="I460" s="11">
        <f t="shared" si="498"/>
        <v>0</v>
      </c>
      <c r="J460" s="11">
        <f t="shared" si="499"/>
        <v>0</v>
      </c>
    </row>
    <row r="461" spans="2:10" x14ac:dyDescent="0.3">
      <c r="B461" s="400" t="s">
        <v>785</v>
      </c>
      <c r="C461" s="9" t="str">
        <f>'OT17-199 VILLETA REP PROTEC'!C20</f>
        <v>Ingeniería mecánica (Levantamiento e ingeniería de detalle)</v>
      </c>
      <c r="D461" s="19" t="s">
        <v>762</v>
      </c>
      <c r="E461" s="10">
        <f>'OT17-199 VILLETA REP PROTEC'!O20</f>
        <v>0</v>
      </c>
      <c r="F461" s="302">
        <f>'OT17-199 VILLETA REP PROTEC'!N20</f>
        <v>0</v>
      </c>
      <c r="G461" s="11">
        <f t="shared" si="496"/>
        <v>0</v>
      </c>
      <c r="H461" s="11">
        <f t="shared" si="497"/>
        <v>0</v>
      </c>
      <c r="I461" s="11">
        <f t="shared" si="498"/>
        <v>0</v>
      </c>
      <c r="J461" s="11">
        <f t="shared" si="499"/>
        <v>0</v>
      </c>
    </row>
    <row r="462" spans="2:10" x14ac:dyDescent="0.3">
      <c r="B462" s="400" t="s">
        <v>785</v>
      </c>
      <c r="C462" s="9" t="str">
        <f>'OT17-199 VILLETA REP PROTEC'!C21</f>
        <v>Ingeniería eléctrica (Levantamiento e ingeniería de detalle)</v>
      </c>
      <c r="D462" s="19" t="s">
        <v>761</v>
      </c>
      <c r="E462" s="10">
        <f>'OT17-199 VILLETA REP PROTEC'!O21</f>
        <v>1650560</v>
      </c>
      <c r="F462" s="302">
        <f>'OT17-199 VILLETA REP PROTEC'!N21</f>
        <v>0.3</v>
      </c>
      <c r="G462" s="11">
        <f t="shared" si="496"/>
        <v>1650560</v>
      </c>
      <c r="H462" s="11">
        <f t="shared" si="497"/>
        <v>0</v>
      </c>
      <c r="I462" s="11">
        <f t="shared" si="498"/>
        <v>0</v>
      </c>
      <c r="J462" s="11">
        <f t="shared" si="499"/>
        <v>0</v>
      </c>
    </row>
    <row r="463" spans="2:10" x14ac:dyDescent="0.3">
      <c r="B463" s="400" t="s">
        <v>785</v>
      </c>
      <c r="C463" s="9" t="str">
        <f>'OT17-199 VILLETA REP PROTEC'!C23</f>
        <v>Ingeniería mecánica (Levantamiento e ingeniería de detalle)</v>
      </c>
      <c r="D463" s="19" t="s">
        <v>762</v>
      </c>
      <c r="E463" s="10">
        <f>'OT17-199 VILLETA REP PROTEC'!O23</f>
        <v>250718</v>
      </c>
      <c r="F463" s="302">
        <f>'OT17-199 VILLETA REP PROTEC'!N23</f>
        <v>0.15</v>
      </c>
      <c r="G463" s="11">
        <f t="shared" si="496"/>
        <v>0</v>
      </c>
      <c r="H463" s="11">
        <f t="shared" si="497"/>
        <v>0</v>
      </c>
      <c r="I463" s="11">
        <f t="shared" si="498"/>
        <v>250718</v>
      </c>
      <c r="J463" s="11">
        <f t="shared" si="499"/>
        <v>0</v>
      </c>
    </row>
    <row r="464" spans="2:10" x14ac:dyDescent="0.3">
      <c r="B464" s="400" t="s">
        <v>785</v>
      </c>
      <c r="C464" s="9" t="str">
        <f>'OT17-199 VILLETA REP PROTEC'!C24</f>
        <v>Ingeniería eléctrica (Levantamiento e ingeniería de detalle)</v>
      </c>
      <c r="D464" s="19" t="s">
        <v>761</v>
      </c>
      <c r="E464" s="10">
        <f>'OT17-199 VILLETA REP PROTEC'!O24</f>
        <v>2804907</v>
      </c>
      <c r="F464" s="302">
        <f>'OT17-199 VILLETA REP PROTEC'!N24</f>
        <v>0.45</v>
      </c>
      <c r="G464" s="11">
        <f t="shared" si="496"/>
        <v>2804907</v>
      </c>
      <c r="H464" s="11">
        <f t="shared" si="497"/>
        <v>0</v>
      </c>
      <c r="I464" s="11">
        <f t="shared" si="498"/>
        <v>0</v>
      </c>
      <c r="J464" s="11">
        <f t="shared" si="499"/>
        <v>0</v>
      </c>
    </row>
    <row r="465" spans="2:10" x14ac:dyDescent="0.3">
      <c r="B465" s="400" t="s">
        <v>785</v>
      </c>
      <c r="C465" s="9" t="str">
        <f>'OT17-199 VILLETA REP PROTEC'!C26</f>
        <v>Ingeniería mecánica (Levantamiento e ingeniería de detalle)</v>
      </c>
      <c r="D465" s="19" t="s">
        <v>762</v>
      </c>
      <c r="E465" s="10">
        <f>'OT17-199 VILLETA REP PROTEC'!O26</f>
        <v>0</v>
      </c>
      <c r="F465" s="302">
        <f>'OT17-199 VILLETA REP PROTEC'!N26</f>
        <v>0</v>
      </c>
      <c r="G465" s="11">
        <f t="shared" si="496"/>
        <v>0</v>
      </c>
      <c r="H465" s="11">
        <f t="shared" si="497"/>
        <v>0</v>
      </c>
      <c r="I465" s="11">
        <f t="shared" si="498"/>
        <v>0</v>
      </c>
      <c r="J465" s="11">
        <f t="shared" si="499"/>
        <v>0</v>
      </c>
    </row>
    <row r="466" spans="2:10" x14ac:dyDescent="0.3">
      <c r="B466" s="400" t="s">
        <v>785</v>
      </c>
      <c r="C466" s="9" t="str">
        <f>'OT17-199 VILLETA REP PROTEC'!C27</f>
        <v>Ingeniería eléctrica (Levantamiento e ingeniería de detalle)</v>
      </c>
      <c r="D466" s="19" t="s">
        <v>761</v>
      </c>
      <c r="E466" s="10">
        <f>'OT17-199 VILLETA REP PROTEC'!O27</f>
        <v>1953511</v>
      </c>
      <c r="F466" s="302">
        <f>'OT17-199 VILLETA REP PROTEC'!N27</f>
        <v>0.3</v>
      </c>
      <c r="G466" s="11">
        <f t="shared" si="496"/>
        <v>1953511</v>
      </c>
      <c r="H466" s="11">
        <f t="shared" si="497"/>
        <v>0</v>
      </c>
      <c r="I466" s="11">
        <f t="shared" si="498"/>
        <v>0</v>
      </c>
      <c r="J466" s="11">
        <f t="shared" si="499"/>
        <v>0</v>
      </c>
    </row>
    <row r="467" spans="2:10" x14ac:dyDescent="0.3">
      <c r="B467" s="400" t="s">
        <v>796</v>
      </c>
      <c r="C467" s="9" t="str">
        <f>'OT17-200 LA PAZ REP PROTEC'!C14</f>
        <v>Ingeniería mecánica (Levantamiento e ingeniería de detalle)</v>
      </c>
      <c r="D467" s="19" t="s">
        <v>762</v>
      </c>
      <c r="E467" s="10">
        <f>'OT17-200 LA PAZ REP PROTEC'!O14</f>
        <v>0</v>
      </c>
      <c r="F467" s="302">
        <f>'OT17-200 LA PAZ REP PROTEC'!N14</f>
        <v>0</v>
      </c>
      <c r="G467" s="11">
        <f t="shared" ref="G467" si="500">IF(AND(D467="INGENIERÍA ELÉCTRICA",F467&lt;&gt;0),E467,0)</f>
        <v>0</v>
      </c>
      <c r="H467" s="11">
        <f t="shared" ref="H467" si="501">IF(AND(D467="INGENIERÍA CIVIL",F467&lt;&gt;0),E467,0)</f>
        <v>0</v>
      </c>
      <c r="I467" s="11">
        <f t="shared" ref="I467" si="502">IF(AND(D467="INGENIERÍA MECÁNICA",F467&lt;&gt;0),E467,0)</f>
        <v>0</v>
      </c>
      <c r="J467" s="11">
        <f t="shared" ref="J467" si="503">IF(AND(D467="LINEAS",F467&lt;&gt;0),E467,0)</f>
        <v>0</v>
      </c>
    </row>
    <row r="468" spans="2:10" x14ac:dyDescent="0.3">
      <c r="B468" s="400" t="s">
        <v>796</v>
      </c>
      <c r="C468" s="9" t="str">
        <f>'OT17-200 LA PAZ REP PROTEC'!C15</f>
        <v>Ingeniería eléctrica (Levantamiento e ingeniería de detalle)</v>
      </c>
      <c r="D468" s="19" t="s">
        <v>761</v>
      </c>
      <c r="E468" s="10">
        <f>'OT17-200 LA PAZ REP PROTEC'!O15</f>
        <v>0</v>
      </c>
      <c r="F468" s="302">
        <f>'OT17-200 LA PAZ REP PROTEC'!N15</f>
        <v>0</v>
      </c>
      <c r="G468" s="11">
        <f t="shared" ref="G468:G476" si="504">IF(AND(D468="INGENIERÍA ELÉCTRICA",F468&lt;&gt;0),E468,0)</f>
        <v>0</v>
      </c>
      <c r="H468" s="11">
        <f t="shared" ref="H468:H476" si="505">IF(AND(D468="INGENIERÍA CIVIL",F468&lt;&gt;0),E468,0)</f>
        <v>0</v>
      </c>
      <c r="I468" s="11">
        <f t="shared" ref="I468:I476" si="506">IF(AND(D468="INGENIERÍA MECÁNICA",F468&lt;&gt;0),E468,0)</f>
        <v>0</v>
      </c>
      <c r="J468" s="11">
        <f t="shared" ref="J468:J476" si="507">IF(AND(D468="LINEAS",F468&lt;&gt;0),E468,0)</f>
        <v>0</v>
      </c>
    </row>
    <row r="469" spans="2:10" x14ac:dyDescent="0.3">
      <c r="B469" s="400" t="s">
        <v>796</v>
      </c>
      <c r="C469" s="9" t="str">
        <f>'OT17-200 LA PAZ REP PROTEC'!C17</f>
        <v>Ingeniería mecánica (Levantamiento e ingeniería de detalle)</v>
      </c>
      <c r="D469" s="19" t="s">
        <v>762</v>
      </c>
      <c r="E469" s="10">
        <f>'OT17-200 LA PAZ REP PROTEC'!O17</f>
        <v>0</v>
      </c>
      <c r="F469" s="302">
        <f>'OT17-200 LA PAZ REP PROTEC'!N17</f>
        <v>0</v>
      </c>
      <c r="G469" s="11">
        <f t="shared" si="504"/>
        <v>0</v>
      </c>
      <c r="H469" s="11">
        <f t="shared" si="505"/>
        <v>0</v>
      </c>
      <c r="I469" s="11">
        <f t="shared" si="506"/>
        <v>0</v>
      </c>
      <c r="J469" s="11">
        <f t="shared" si="507"/>
        <v>0</v>
      </c>
    </row>
    <row r="470" spans="2:10" x14ac:dyDescent="0.3">
      <c r="B470" s="400" t="s">
        <v>796</v>
      </c>
      <c r="C470" s="9" t="str">
        <f>'OT17-200 LA PAZ REP PROTEC'!C18</f>
        <v>Ingeniería eléctrica (Levantamiento e ingeniería de detalle)</v>
      </c>
      <c r="D470" s="19" t="s">
        <v>761</v>
      </c>
      <c r="E470" s="10">
        <f>'OT17-200 LA PAZ REP PROTEC'!O18</f>
        <v>4363188</v>
      </c>
      <c r="F470" s="302">
        <f>'OT17-200 LA PAZ REP PROTEC'!N18</f>
        <v>0.7</v>
      </c>
      <c r="G470" s="11">
        <f t="shared" si="504"/>
        <v>4363188</v>
      </c>
      <c r="H470" s="11">
        <f t="shared" si="505"/>
        <v>0</v>
      </c>
      <c r="I470" s="11">
        <f t="shared" si="506"/>
        <v>0</v>
      </c>
      <c r="J470" s="11">
        <f t="shared" si="507"/>
        <v>0</v>
      </c>
    </row>
    <row r="471" spans="2:10" x14ac:dyDescent="0.3">
      <c r="B471" s="400" t="s">
        <v>796</v>
      </c>
      <c r="C471" s="9" t="str">
        <f>'OT17-200 LA PAZ REP PROTEC'!C20</f>
        <v>Ingeniería mecánica (Levantamiento e ingeniería de detalle)</v>
      </c>
      <c r="D471" s="19" t="s">
        <v>762</v>
      </c>
      <c r="E471" s="10">
        <f>'OT17-200 LA PAZ REP PROTEC'!O20</f>
        <v>0</v>
      </c>
      <c r="F471" s="302">
        <f>'OT17-200 LA PAZ REP PROTEC'!N20</f>
        <v>0</v>
      </c>
      <c r="G471" s="11">
        <f t="shared" si="504"/>
        <v>0</v>
      </c>
      <c r="H471" s="11">
        <f t="shared" si="505"/>
        <v>0</v>
      </c>
      <c r="I471" s="11">
        <f t="shared" si="506"/>
        <v>0</v>
      </c>
      <c r="J471" s="11">
        <f t="shared" si="507"/>
        <v>0</v>
      </c>
    </row>
    <row r="472" spans="2:10" x14ac:dyDescent="0.3">
      <c r="B472" s="400" t="s">
        <v>796</v>
      </c>
      <c r="C472" s="9" t="str">
        <f>'OT17-200 LA PAZ REP PROTEC'!C21</f>
        <v>Ingeniería eléctrica (Levantamiento e ingeniería de detalle)</v>
      </c>
      <c r="D472" s="19" t="s">
        <v>761</v>
      </c>
      <c r="E472" s="10">
        <f>'OT17-200 LA PAZ REP PROTEC'!O21</f>
        <v>4558191</v>
      </c>
      <c r="F472" s="302">
        <f>'OT17-200 LA PAZ REP PROTEC'!N21</f>
        <v>0.7</v>
      </c>
      <c r="G472" s="11">
        <f t="shared" si="504"/>
        <v>4558191</v>
      </c>
      <c r="H472" s="11">
        <f t="shared" si="505"/>
        <v>0</v>
      </c>
      <c r="I472" s="11">
        <f t="shared" si="506"/>
        <v>0</v>
      </c>
      <c r="J472" s="11">
        <f t="shared" si="507"/>
        <v>0</v>
      </c>
    </row>
    <row r="473" spans="2:10" x14ac:dyDescent="0.3">
      <c r="B473" s="400" t="s">
        <v>796</v>
      </c>
      <c r="C473" s="9" t="str">
        <f>'OT17-200 LA PAZ REP PROTEC'!C23</f>
        <v>Ingeniería mecánica (Levantamiento e ingeniería de detalle)</v>
      </c>
      <c r="D473" s="19" t="s">
        <v>762</v>
      </c>
      <c r="E473" s="10">
        <f>'OT17-200 LA PAZ REP PROTEC'!O23</f>
        <v>0</v>
      </c>
      <c r="F473" s="302">
        <f>'OT17-200 LA PAZ REP PROTEC'!N23</f>
        <v>0</v>
      </c>
      <c r="G473" s="11">
        <f t="shared" si="504"/>
        <v>0</v>
      </c>
      <c r="H473" s="11">
        <f t="shared" si="505"/>
        <v>0</v>
      </c>
      <c r="I473" s="11">
        <f t="shared" si="506"/>
        <v>0</v>
      </c>
      <c r="J473" s="11">
        <f t="shared" si="507"/>
        <v>0</v>
      </c>
    </row>
    <row r="474" spans="2:10" x14ac:dyDescent="0.3">
      <c r="B474" s="400" t="s">
        <v>796</v>
      </c>
      <c r="C474" s="9" t="str">
        <f>'OT17-200 LA PAZ REP PROTEC'!C24</f>
        <v>Ingeniería eléctrica (Levantamiento e ingeniería de detalle)</v>
      </c>
      <c r="D474" s="19" t="s">
        <v>761</v>
      </c>
      <c r="E474" s="10">
        <f>'OT17-200 LA PAZ REP PROTEC'!O24</f>
        <v>4363188</v>
      </c>
      <c r="F474" s="302">
        <f>'OT17-200 LA PAZ REP PROTEC'!N24</f>
        <v>0.7</v>
      </c>
      <c r="G474" s="11">
        <f t="shared" si="504"/>
        <v>4363188</v>
      </c>
      <c r="H474" s="11">
        <f t="shared" si="505"/>
        <v>0</v>
      </c>
      <c r="I474" s="11">
        <f t="shared" si="506"/>
        <v>0</v>
      </c>
      <c r="J474" s="11">
        <f t="shared" si="507"/>
        <v>0</v>
      </c>
    </row>
    <row r="475" spans="2:10" x14ac:dyDescent="0.3">
      <c r="B475" s="400" t="s">
        <v>796</v>
      </c>
      <c r="C475" s="9" t="str">
        <f>'OT17-200 LA PAZ REP PROTEC'!C26</f>
        <v>Ingeniería mecánica (Levantamiento e ingeniería de detalle)</v>
      </c>
      <c r="D475" s="19" t="s">
        <v>762</v>
      </c>
      <c r="E475" s="10">
        <f>'OT17-200 LA PAZ REP PROTEC'!O26</f>
        <v>0</v>
      </c>
      <c r="F475" s="302">
        <f>'OT17-200 LA PAZ REP PROTEC'!N26</f>
        <v>0</v>
      </c>
      <c r="G475" s="11">
        <f t="shared" si="504"/>
        <v>0</v>
      </c>
      <c r="H475" s="11">
        <f t="shared" si="505"/>
        <v>0</v>
      </c>
      <c r="I475" s="11">
        <f t="shared" si="506"/>
        <v>0</v>
      </c>
      <c r="J475" s="11">
        <f t="shared" si="507"/>
        <v>0</v>
      </c>
    </row>
    <row r="476" spans="2:10" x14ac:dyDescent="0.3">
      <c r="B476" s="400" t="s">
        <v>796</v>
      </c>
      <c r="C476" s="9" t="str">
        <f>'OT17-200 LA PAZ REP PROTEC'!C27</f>
        <v>Ingeniería eléctrica (Levantamiento e ingeniería de detalle)</v>
      </c>
      <c r="D476" s="19" t="s">
        <v>761</v>
      </c>
      <c r="E476" s="10">
        <f>'OT17-200 LA PAZ REP PROTEC'!O27</f>
        <v>7361358</v>
      </c>
      <c r="F476" s="302">
        <f>'OT17-200 LA PAZ REP PROTEC'!N27</f>
        <v>0.7</v>
      </c>
      <c r="G476" s="11">
        <f t="shared" si="504"/>
        <v>7361358</v>
      </c>
      <c r="H476" s="11">
        <f t="shared" si="505"/>
        <v>0</v>
      </c>
      <c r="I476" s="11">
        <f t="shared" si="506"/>
        <v>0</v>
      </c>
      <c r="J476" s="11">
        <f t="shared" si="507"/>
        <v>0</v>
      </c>
    </row>
    <row r="477" spans="2:10" x14ac:dyDescent="0.3">
      <c r="B477" s="400" t="s">
        <v>806</v>
      </c>
      <c r="C477" s="9" t="e">
        <f>#REF!</f>
        <v>#REF!</v>
      </c>
      <c r="D477" s="19" t="s">
        <v>762</v>
      </c>
      <c r="E477" s="10" t="e">
        <f>#REF!</f>
        <v>#REF!</v>
      </c>
      <c r="F477" s="302" t="e">
        <f>#REF!</f>
        <v>#REF!</v>
      </c>
      <c r="G477" s="11" t="e">
        <f t="shared" ref="G477" si="508">IF(AND(D477="INGENIERÍA ELÉCTRICA",F477&lt;&gt;0),E477,0)</f>
        <v>#REF!</v>
      </c>
      <c r="H477" s="11" t="e">
        <f t="shared" ref="H477" si="509">IF(AND(D477="INGENIERÍA CIVIL",F477&lt;&gt;0),E477,0)</f>
        <v>#REF!</v>
      </c>
      <c r="I477" s="11" t="e">
        <f t="shared" ref="I477" si="510">IF(AND(D477="INGENIERÍA MECÁNICA",F477&lt;&gt;0),E477,0)</f>
        <v>#REF!</v>
      </c>
      <c r="J477" s="11" t="e">
        <f t="shared" ref="J477" si="511">IF(AND(D477="LINEAS",F477&lt;&gt;0),E477,0)</f>
        <v>#REF!</v>
      </c>
    </row>
    <row r="478" spans="2:10" x14ac:dyDescent="0.3">
      <c r="B478" s="400" t="s">
        <v>806</v>
      </c>
      <c r="C478" s="9" t="e">
        <f>#REF!</f>
        <v>#REF!</v>
      </c>
      <c r="D478" s="19" t="s">
        <v>761</v>
      </c>
      <c r="E478" s="10" t="e">
        <f>#REF!</f>
        <v>#REF!</v>
      </c>
      <c r="F478" s="302" t="e">
        <f>#REF!</f>
        <v>#REF!</v>
      </c>
      <c r="G478" s="11" t="e">
        <f t="shared" ref="G478:G484" si="512">IF(AND(D478="INGENIERÍA ELÉCTRICA",F478&lt;&gt;0),E478,0)</f>
        <v>#REF!</v>
      </c>
      <c r="H478" s="11" t="e">
        <f t="shared" ref="H478:H484" si="513">IF(AND(D478="INGENIERÍA CIVIL",F478&lt;&gt;0),E478,0)</f>
        <v>#REF!</v>
      </c>
      <c r="I478" s="11" t="e">
        <f t="shared" ref="I478:I484" si="514">IF(AND(D478="INGENIERÍA MECÁNICA",F478&lt;&gt;0),E478,0)</f>
        <v>#REF!</v>
      </c>
      <c r="J478" s="11" t="e">
        <f t="shared" ref="J478:J484" si="515">IF(AND(D478="LINEAS",F478&lt;&gt;0),E478,0)</f>
        <v>#REF!</v>
      </c>
    </row>
    <row r="479" spans="2:10" x14ac:dyDescent="0.3">
      <c r="B479" s="400" t="s">
        <v>806</v>
      </c>
      <c r="C479" s="9" t="e">
        <f>#REF!</f>
        <v>#REF!</v>
      </c>
      <c r="D479" s="19" t="s">
        <v>762</v>
      </c>
      <c r="E479" s="10" t="e">
        <f>#REF!</f>
        <v>#REF!</v>
      </c>
      <c r="F479" s="302" t="e">
        <f>#REF!</f>
        <v>#REF!</v>
      </c>
      <c r="G479" s="11" t="e">
        <f t="shared" si="512"/>
        <v>#REF!</v>
      </c>
      <c r="H479" s="11" t="e">
        <f t="shared" si="513"/>
        <v>#REF!</v>
      </c>
      <c r="I479" s="11" t="e">
        <f t="shared" si="514"/>
        <v>#REF!</v>
      </c>
      <c r="J479" s="11" t="e">
        <f t="shared" si="515"/>
        <v>#REF!</v>
      </c>
    </row>
    <row r="480" spans="2:10" x14ac:dyDescent="0.3">
      <c r="B480" s="400" t="s">
        <v>806</v>
      </c>
      <c r="C480" s="9" t="e">
        <f>#REF!</f>
        <v>#REF!</v>
      </c>
      <c r="D480" s="19" t="s">
        <v>761</v>
      </c>
      <c r="E480" s="10" t="e">
        <f>#REF!</f>
        <v>#REF!</v>
      </c>
      <c r="F480" s="302" t="e">
        <f>#REF!</f>
        <v>#REF!</v>
      </c>
      <c r="G480" s="11" t="e">
        <f t="shared" si="512"/>
        <v>#REF!</v>
      </c>
      <c r="H480" s="11" t="e">
        <f t="shared" si="513"/>
        <v>#REF!</v>
      </c>
      <c r="I480" s="11" t="e">
        <f t="shared" si="514"/>
        <v>#REF!</v>
      </c>
      <c r="J480" s="11" t="e">
        <f t="shared" si="515"/>
        <v>#REF!</v>
      </c>
    </row>
    <row r="481" spans="2:10" x14ac:dyDescent="0.3">
      <c r="B481" s="400" t="s">
        <v>806</v>
      </c>
      <c r="C481" s="9" t="e">
        <f>#REF!</f>
        <v>#REF!</v>
      </c>
      <c r="D481" s="19" t="s">
        <v>762</v>
      </c>
      <c r="E481" s="10" t="e">
        <f>#REF!</f>
        <v>#REF!</v>
      </c>
      <c r="F481" s="302" t="e">
        <f>#REF!</f>
        <v>#REF!</v>
      </c>
      <c r="G481" s="11" t="e">
        <f t="shared" si="512"/>
        <v>#REF!</v>
      </c>
      <c r="H481" s="11" t="e">
        <f t="shared" si="513"/>
        <v>#REF!</v>
      </c>
      <c r="I481" s="11" t="e">
        <f t="shared" si="514"/>
        <v>#REF!</v>
      </c>
      <c r="J481" s="11" t="e">
        <f t="shared" si="515"/>
        <v>#REF!</v>
      </c>
    </row>
    <row r="482" spans="2:10" x14ac:dyDescent="0.3">
      <c r="B482" s="400" t="s">
        <v>806</v>
      </c>
      <c r="C482" s="9" t="e">
        <f>#REF!</f>
        <v>#REF!</v>
      </c>
      <c r="D482" s="19" t="s">
        <v>761</v>
      </c>
      <c r="E482" s="10" t="e">
        <f>#REF!</f>
        <v>#REF!</v>
      </c>
      <c r="F482" s="302" t="e">
        <f>#REF!</f>
        <v>#REF!</v>
      </c>
      <c r="G482" s="11" t="e">
        <f t="shared" si="512"/>
        <v>#REF!</v>
      </c>
      <c r="H482" s="11" t="e">
        <f t="shared" si="513"/>
        <v>#REF!</v>
      </c>
      <c r="I482" s="11" t="e">
        <f t="shared" si="514"/>
        <v>#REF!</v>
      </c>
      <c r="J482" s="11" t="e">
        <f t="shared" si="515"/>
        <v>#REF!</v>
      </c>
    </row>
    <row r="483" spans="2:10" x14ac:dyDescent="0.3">
      <c r="B483" s="400" t="s">
        <v>806</v>
      </c>
      <c r="C483" s="9" t="e">
        <f>#REF!</f>
        <v>#REF!</v>
      </c>
      <c r="D483" s="19" t="s">
        <v>762</v>
      </c>
      <c r="E483" s="10" t="e">
        <f>#REF!</f>
        <v>#REF!</v>
      </c>
      <c r="F483" s="302" t="e">
        <f>#REF!</f>
        <v>#REF!</v>
      </c>
      <c r="G483" s="11" t="e">
        <f t="shared" si="512"/>
        <v>#REF!</v>
      </c>
      <c r="H483" s="11" t="e">
        <f t="shared" si="513"/>
        <v>#REF!</v>
      </c>
      <c r="I483" s="11" t="e">
        <f t="shared" si="514"/>
        <v>#REF!</v>
      </c>
      <c r="J483" s="11" t="e">
        <f t="shared" si="515"/>
        <v>#REF!</v>
      </c>
    </row>
    <row r="484" spans="2:10" x14ac:dyDescent="0.3">
      <c r="B484" s="400" t="s">
        <v>806</v>
      </c>
      <c r="C484" s="9" t="e">
        <f>#REF!</f>
        <v>#REF!</v>
      </c>
      <c r="D484" s="19" t="s">
        <v>761</v>
      </c>
      <c r="E484" s="10" t="e">
        <f>#REF!</f>
        <v>#REF!</v>
      </c>
      <c r="F484" s="302" t="e">
        <f>#REF!</f>
        <v>#REF!</v>
      </c>
      <c r="G484" s="11" t="e">
        <f t="shared" si="512"/>
        <v>#REF!</v>
      </c>
      <c r="H484" s="11" t="e">
        <f t="shared" si="513"/>
        <v>#REF!</v>
      </c>
      <c r="I484" s="11" t="e">
        <f t="shared" si="514"/>
        <v>#REF!</v>
      </c>
      <c r="J484" s="11" t="e">
        <f t="shared" si="515"/>
        <v>#REF!</v>
      </c>
    </row>
    <row r="485" spans="2:10" x14ac:dyDescent="0.3">
      <c r="B485" s="400" t="s">
        <v>808</v>
      </c>
      <c r="C485" s="9" t="e">
        <f>#REF!</f>
        <v>#REF!</v>
      </c>
      <c r="D485" s="19" t="s">
        <v>762</v>
      </c>
      <c r="E485" s="10" t="e">
        <f>#REF!</f>
        <v>#REF!</v>
      </c>
      <c r="F485" s="302" t="e">
        <f>#REF!</f>
        <v>#REF!</v>
      </c>
      <c r="G485" s="11" t="e">
        <f t="shared" ref="G485" si="516">IF(AND(D485="INGENIERÍA ELÉCTRICA",F485&lt;&gt;0),E485,0)</f>
        <v>#REF!</v>
      </c>
      <c r="H485" s="11" t="e">
        <f t="shared" ref="H485" si="517">IF(AND(D485="INGENIERÍA CIVIL",F485&lt;&gt;0),E485,0)</f>
        <v>#REF!</v>
      </c>
      <c r="I485" s="11" t="e">
        <f t="shared" ref="I485" si="518">IF(AND(D485="INGENIERÍA MECÁNICA",F485&lt;&gt;0),E485,0)</f>
        <v>#REF!</v>
      </c>
      <c r="J485" s="11" t="e">
        <f t="shared" ref="J485" si="519">IF(AND(D485="LINEAS",F485&lt;&gt;0),E485,0)</f>
        <v>#REF!</v>
      </c>
    </row>
    <row r="486" spans="2:10" x14ac:dyDescent="0.3">
      <c r="B486" s="400" t="s">
        <v>808</v>
      </c>
      <c r="C486" s="9" t="e">
        <f>#REF!</f>
        <v>#REF!</v>
      </c>
      <c r="D486" s="19" t="s">
        <v>761</v>
      </c>
      <c r="E486" s="10" t="e">
        <f>#REF!</f>
        <v>#REF!</v>
      </c>
      <c r="F486" s="302" t="e">
        <f>#REF!</f>
        <v>#REF!</v>
      </c>
      <c r="G486" s="11" t="e">
        <f t="shared" ref="G486:G492" si="520">IF(AND(D486="INGENIERÍA ELÉCTRICA",F486&lt;&gt;0),E486,0)</f>
        <v>#REF!</v>
      </c>
      <c r="H486" s="11" t="e">
        <f t="shared" ref="H486:H492" si="521">IF(AND(D486="INGENIERÍA CIVIL",F486&lt;&gt;0),E486,0)</f>
        <v>#REF!</v>
      </c>
      <c r="I486" s="11" t="e">
        <f t="shared" ref="I486:I492" si="522">IF(AND(D486="INGENIERÍA MECÁNICA",F486&lt;&gt;0),E486,0)</f>
        <v>#REF!</v>
      </c>
      <c r="J486" s="11" t="e">
        <f t="shared" ref="J486:J492" si="523">IF(AND(D486="LINEAS",F486&lt;&gt;0),E486,0)</f>
        <v>#REF!</v>
      </c>
    </row>
    <row r="487" spans="2:10" x14ac:dyDescent="0.3">
      <c r="B487" s="400" t="s">
        <v>808</v>
      </c>
      <c r="C487" s="9" t="e">
        <f>#REF!</f>
        <v>#REF!</v>
      </c>
      <c r="D487" s="19" t="s">
        <v>762</v>
      </c>
      <c r="E487" s="10" t="e">
        <f>#REF!</f>
        <v>#REF!</v>
      </c>
      <c r="F487" s="302" t="e">
        <f>#REF!</f>
        <v>#REF!</v>
      </c>
      <c r="G487" s="11" t="e">
        <f t="shared" si="520"/>
        <v>#REF!</v>
      </c>
      <c r="H487" s="11" t="e">
        <f t="shared" si="521"/>
        <v>#REF!</v>
      </c>
      <c r="I487" s="11" t="e">
        <f t="shared" si="522"/>
        <v>#REF!</v>
      </c>
      <c r="J487" s="11" t="e">
        <f t="shared" si="523"/>
        <v>#REF!</v>
      </c>
    </row>
    <row r="488" spans="2:10" x14ac:dyDescent="0.3">
      <c r="B488" s="400" t="s">
        <v>808</v>
      </c>
      <c r="C488" s="9" t="e">
        <f>#REF!</f>
        <v>#REF!</v>
      </c>
      <c r="D488" s="19" t="s">
        <v>761</v>
      </c>
      <c r="E488" s="10" t="e">
        <f>#REF!</f>
        <v>#REF!</v>
      </c>
      <c r="F488" s="302" t="e">
        <f>#REF!</f>
        <v>#REF!</v>
      </c>
      <c r="G488" s="11" t="e">
        <f t="shared" si="520"/>
        <v>#REF!</v>
      </c>
      <c r="H488" s="11" t="e">
        <f t="shared" si="521"/>
        <v>#REF!</v>
      </c>
      <c r="I488" s="11" t="e">
        <f t="shared" si="522"/>
        <v>#REF!</v>
      </c>
      <c r="J488" s="11" t="e">
        <f t="shared" si="523"/>
        <v>#REF!</v>
      </c>
    </row>
    <row r="489" spans="2:10" x14ac:dyDescent="0.3">
      <c r="B489" s="400" t="s">
        <v>808</v>
      </c>
      <c r="C489" s="9" t="e">
        <f>#REF!</f>
        <v>#REF!</v>
      </c>
      <c r="D489" s="19" t="s">
        <v>762</v>
      </c>
      <c r="E489" s="10" t="e">
        <f>#REF!</f>
        <v>#REF!</v>
      </c>
      <c r="F489" s="302" t="e">
        <f>#REF!</f>
        <v>#REF!</v>
      </c>
      <c r="G489" s="11" t="e">
        <f t="shared" si="520"/>
        <v>#REF!</v>
      </c>
      <c r="H489" s="11" t="e">
        <f t="shared" si="521"/>
        <v>#REF!</v>
      </c>
      <c r="I489" s="11" t="e">
        <f t="shared" si="522"/>
        <v>#REF!</v>
      </c>
      <c r="J489" s="11" t="e">
        <f t="shared" si="523"/>
        <v>#REF!</v>
      </c>
    </row>
    <row r="490" spans="2:10" x14ac:dyDescent="0.3">
      <c r="B490" s="400" t="s">
        <v>808</v>
      </c>
      <c r="C490" s="9" t="e">
        <f>#REF!</f>
        <v>#REF!</v>
      </c>
      <c r="D490" s="19" t="s">
        <v>761</v>
      </c>
      <c r="E490" s="10" t="e">
        <f>#REF!</f>
        <v>#REF!</v>
      </c>
      <c r="F490" s="302" t="e">
        <f>#REF!</f>
        <v>#REF!</v>
      </c>
      <c r="G490" s="11" t="e">
        <f t="shared" si="520"/>
        <v>#REF!</v>
      </c>
      <c r="H490" s="11" t="e">
        <f t="shared" si="521"/>
        <v>#REF!</v>
      </c>
      <c r="I490" s="11" t="e">
        <f t="shared" si="522"/>
        <v>#REF!</v>
      </c>
      <c r="J490" s="11" t="e">
        <f t="shared" si="523"/>
        <v>#REF!</v>
      </c>
    </row>
    <row r="491" spans="2:10" x14ac:dyDescent="0.3">
      <c r="B491" s="400" t="s">
        <v>808</v>
      </c>
      <c r="C491" s="9" t="e">
        <f>#REF!</f>
        <v>#REF!</v>
      </c>
      <c r="D491" s="19" t="s">
        <v>760</v>
      </c>
      <c r="E491" s="10" t="e">
        <f>#REF!</f>
        <v>#REF!</v>
      </c>
      <c r="F491" s="302" t="e">
        <f>#REF!</f>
        <v>#REF!</v>
      </c>
      <c r="G491" s="11" t="e">
        <f t="shared" si="520"/>
        <v>#REF!</v>
      </c>
      <c r="H491" s="11" t="e">
        <f t="shared" si="521"/>
        <v>#REF!</v>
      </c>
      <c r="I491" s="11" t="e">
        <f t="shared" si="522"/>
        <v>#REF!</v>
      </c>
      <c r="J491" s="11" t="e">
        <f t="shared" si="523"/>
        <v>#REF!</v>
      </c>
    </row>
    <row r="492" spans="2:10" x14ac:dyDescent="0.3">
      <c r="B492" s="400" t="s">
        <v>808</v>
      </c>
      <c r="C492" s="9" t="e">
        <f>#REF!</f>
        <v>#REF!</v>
      </c>
      <c r="D492" s="19" t="s">
        <v>761</v>
      </c>
      <c r="E492" s="10" t="e">
        <f>#REF!</f>
        <v>#REF!</v>
      </c>
      <c r="F492" s="302" t="e">
        <f>#REF!</f>
        <v>#REF!</v>
      </c>
      <c r="G492" s="11" t="e">
        <f t="shared" si="520"/>
        <v>#REF!</v>
      </c>
      <c r="H492" s="11" t="e">
        <f t="shared" si="521"/>
        <v>#REF!</v>
      </c>
      <c r="I492" s="11" t="e">
        <f t="shared" si="522"/>
        <v>#REF!</v>
      </c>
      <c r="J492" s="11" t="e">
        <f t="shared" si="523"/>
        <v>#REF!</v>
      </c>
    </row>
    <row r="493" spans="2:10" x14ac:dyDescent="0.3">
      <c r="B493" s="400" t="s">
        <v>808</v>
      </c>
      <c r="C493" s="9" t="e">
        <f>#REF!</f>
        <v>#REF!</v>
      </c>
      <c r="D493" s="19" t="s">
        <v>760</v>
      </c>
      <c r="E493" s="10" t="e">
        <f>#REF!</f>
        <v>#REF!</v>
      </c>
      <c r="F493" s="302" t="e">
        <f>#REF!</f>
        <v>#REF!</v>
      </c>
      <c r="G493" s="11" t="e">
        <f t="shared" ref="G493:G494" si="524">IF(AND(D493="INGENIERÍA ELÉCTRICA",F493&lt;&gt;0),E493,0)</f>
        <v>#REF!</v>
      </c>
      <c r="H493" s="11" t="e">
        <f t="shared" ref="H493:H494" si="525">IF(AND(D493="INGENIERÍA CIVIL",F493&lt;&gt;0),E493,0)</f>
        <v>#REF!</v>
      </c>
      <c r="I493" s="11" t="e">
        <f t="shared" ref="I493:I494" si="526">IF(AND(D493="INGENIERÍA MECÁNICA",F493&lt;&gt;0),E493,0)</f>
        <v>#REF!</v>
      </c>
      <c r="J493" s="11" t="e">
        <f t="shared" ref="J493:J494" si="527">IF(AND(D493="LINEAS",F493&lt;&gt;0),E493,0)</f>
        <v>#REF!</v>
      </c>
    </row>
    <row r="494" spans="2:10" x14ac:dyDescent="0.3">
      <c r="B494" s="400" t="s">
        <v>808</v>
      </c>
      <c r="C494" s="9" t="e">
        <f>#REF!</f>
        <v>#REF!</v>
      </c>
      <c r="D494" s="19" t="s">
        <v>760</v>
      </c>
      <c r="E494" s="10" t="e">
        <f>#REF!</f>
        <v>#REF!</v>
      </c>
      <c r="F494" s="302" t="e">
        <f>#REF!</f>
        <v>#REF!</v>
      </c>
      <c r="G494" s="11" t="e">
        <f t="shared" si="524"/>
        <v>#REF!</v>
      </c>
      <c r="H494" s="11" t="e">
        <f t="shared" si="525"/>
        <v>#REF!</v>
      </c>
      <c r="I494" s="11" t="e">
        <f t="shared" si="526"/>
        <v>#REF!</v>
      </c>
      <c r="J494" s="11" t="e">
        <f t="shared" si="527"/>
        <v>#REF!</v>
      </c>
    </row>
    <row r="495" spans="2:10" x14ac:dyDescent="0.3">
      <c r="B495" s="400" t="s">
        <v>1226</v>
      </c>
      <c r="C495" s="9" t="e">
        <f>#REF!</f>
        <v>#REF!</v>
      </c>
      <c r="D495" s="19" t="s">
        <v>762</v>
      </c>
      <c r="E495" s="10" t="e">
        <f>#REF!</f>
        <v>#REF!</v>
      </c>
      <c r="F495" s="302" t="e">
        <f>#REF!</f>
        <v>#REF!</v>
      </c>
      <c r="G495" s="11" t="e">
        <f t="shared" ref="G495" si="528">IF(AND(D495="INGENIERÍA ELÉCTRICA",F495&lt;&gt;0),E495,0)</f>
        <v>#REF!</v>
      </c>
      <c r="H495" s="11" t="e">
        <f t="shared" ref="H495" si="529">IF(AND(D495="INGENIERÍA CIVIL",F495&lt;&gt;0),E495,0)</f>
        <v>#REF!</v>
      </c>
      <c r="I495" s="11" t="e">
        <f t="shared" ref="I495" si="530">IF(AND(D495="INGENIERÍA MECÁNICA",F495&lt;&gt;0),E495,0)</f>
        <v>#REF!</v>
      </c>
      <c r="J495" s="11" t="e">
        <f t="shared" ref="J495" si="531">IF(AND(D495="LINEAS",F495&lt;&gt;0),E495,0)</f>
        <v>#REF!</v>
      </c>
    </row>
    <row r="496" spans="2:10" x14ac:dyDescent="0.3">
      <c r="B496" s="400" t="s">
        <v>1226</v>
      </c>
      <c r="C496" s="9" t="e">
        <f>#REF!</f>
        <v>#REF!</v>
      </c>
      <c r="D496" s="19" t="s">
        <v>761</v>
      </c>
      <c r="E496" s="10" t="e">
        <f>#REF!</f>
        <v>#REF!</v>
      </c>
      <c r="F496" s="302" t="e">
        <f>#REF!</f>
        <v>#REF!</v>
      </c>
      <c r="G496" s="11" t="e">
        <f t="shared" ref="G496:G504" si="532">IF(AND(D496="INGENIERÍA ELÉCTRICA",F496&lt;&gt;0),E496,0)</f>
        <v>#REF!</v>
      </c>
      <c r="H496" s="11" t="e">
        <f t="shared" ref="H496:H504" si="533">IF(AND(D496="INGENIERÍA CIVIL",F496&lt;&gt;0),E496,0)</f>
        <v>#REF!</v>
      </c>
      <c r="I496" s="11" t="e">
        <f t="shared" ref="I496:I504" si="534">IF(AND(D496="INGENIERÍA MECÁNICA",F496&lt;&gt;0),E496,0)</f>
        <v>#REF!</v>
      </c>
      <c r="J496" s="11" t="e">
        <f t="shared" ref="J496:J504" si="535">IF(AND(D496="LINEAS",F496&lt;&gt;0),E496,0)</f>
        <v>#REF!</v>
      </c>
    </row>
    <row r="497" spans="2:10" x14ac:dyDescent="0.3">
      <c r="B497" s="400" t="s">
        <v>1226</v>
      </c>
      <c r="C497" s="9" t="e">
        <f>#REF!</f>
        <v>#REF!</v>
      </c>
      <c r="D497" s="19" t="s">
        <v>762</v>
      </c>
      <c r="E497" s="10" t="e">
        <f>#REF!</f>
        <v>#REF!</v>
      </c>
      <c r="F497" s="302" t="e">
        <f>#REF!</f>
        <v>#REF!</v>
      </c>
      <c r="G497" s="11" t="e">
        <f t="shared" si="532"/>
        <v>#REF!</v>
      </c>
      <c r="H497" s="11" t="e">
        <f t="shared" si="533"/>
        <v>#REF!</v>
      </c>
      <c r="I497" s="11" t="e">
        <f t="shared" si="534"/>
        <v>#REF!</v>
      </c>
      <c r="J497" s="11" t="e">
        <f t="shared" si="535"/>
        <v>#REF!</v>
      </c>
    </row>
    <row r="498" spans="2:10" x14ac:dyDescent="0.3">
      <c r="B498" s="400" t="s">
        <v>1226</v>
      </c>
      <c r="C498" s="9" t="e">
        <f>#REF!</f>
        <v>#REF!</v>
      </c>
      <c r="D498" s="19" t="s">
        <v>761</v>
      </c>
      <c r="E498" s="10" t="e">
        <f>#REF!</f>
        <v>#REF!</v>
      </c>
      <c r="F498" s="302" t="e">
        <f>#REF!</f>
        <v>#REF!</v>
      </c>
      <c r="G498" s="11" t="e">
        <f t="shared" si="532"/>
        <v>#REF!</v>
      </c>
      <c r="H498" s="11" t="e">
        <f t="shared" si="533"/>
        <v>#REF!</v>
      </c>
      <c r="I498" s="11" t="e">
        <f t="shared" si="534"/>
        <v>#REF!</v>
      </c>
      <c r="J498" s="11" t="e">
        <f t="shared" si="535"/>
        <v>#REF!</v>
      </c>
    </row>
    <row r="499" spans="2:10" x14ac:dyDescent="0.3">
      <c r="B499" s="400" t="s">
        <v>1226</v>
      </c>
      <c r="C499" s="9" t="e">
        <f>#REF!</f>
        <v>#REF!</v>
      </c>
      <c r="D499" s="19" t="s">
        <v>762</v>
      </c>
      <c r="E499" s="10" t="e">
        <f>#REF!</f>
        <v>#REF!</v>
      </c>
      <c r="F499" s="302" t="e">
        <f>#REF!</f>
        <v>#REF!</v>
      </c>
      <c r="G499" s="11" t="e">
        <f t="shared" si="532"/>
        <v>#REF!</v>
      </c>
      <c r="H499" s="11" t="e">
        <f t="shared" si="533"/>
        <v>#REF!</v>
      </c>
      <c r="I499" s="11" t="e">
        <f t="shared" si="534"/>
        <v>#REF!</v>
      </c>
      <c r="J499" s="11" t="e">
        <f t="shared" si="535"/>
        <v>#REF!</v>
      </c>
    </row>
    <row r="500" spans="2:10" x14ac:dyDescent="0.3">
      <c r="B500" s="400" t="s">
        <v>1226</v>
      </c>
      <c r="C500" s="9" t="e">
        <f>#REF!</f>
        <v>#REF!</v>
      </c>
      <c r="D500" s="19" t="s">
        <v>761</v>
      </c>
      <c r="E500" s="10" t="e">
        <f>#REF!</f>
        <v>#REF!</v>
      </c>
      <c r="F500" s="302" t="e">
        <f>#REF!</f>
        <v>#REF!</v>
      </c>
      <c r="G500" s="11" t="e">
        <f t="shared" si="532"/>
        <v>#REF!</v>
      </c>
      <c r="H500" s="11" t="e">
        <f t="shared" si="533"/>
        <v>#REF!</v>
      </c>
      <c r="I500" s="11" t="e">
        <f t="shared" si="534"/>
        <v>#REF!</v>
      </c>
      <c r="J500" s="11" t="e">
        <f t="shared" si="535"/>
        <v>#REF!</v>
      </c>
    </row>
    <row r="501" spans="2:10" x14ac:dyDescent="0.3">
      <c r="B501" s="400" t="s">
        <v>1226</v>
      </c>
      <c r="C501" s="9" t="e">
        <f>#REF!</f>
        <v>#REF!</v>
      </c>
      <c r="D501" s="19" t="s">
        <v>760</v>
      </c>
      <c r="E501" s="10" t="e">
        <f>#REF!</f>
        <v>#REF!</v>
      </c>
      <c r="F501" s="302" t="e">
        <f>#REF!</f>
        <v>#REF!</v>
      </c>
      <c r="G501" s="11" t="e">
        <f t="shared" si="532"/>
        <v>#REF!</v>
      </c>
      <c r="H501" s="11" t="e">
        <f t="shared" si="533"/>
        <v>#REF!</v>
      </c>
      <c r="I501" s="11" t="e">
        <f t="shared" si="534"/>
        <v>#REF!</v>
      </c>
      <c r="J501" s="11" t="e">
        <f t="shared" si="535"/>
        <v>#REF!</v>
      </c>
    </row>
    <row r="502" spans="2:10" x14ac:dyDescent="0.3">
      <c r="B502" s="400" t="s">
        <v>1226</v>
      </c>
      <c r="C502" s="9" t="e">
        <f>#REF!</f>
        <v>#REF!</v>
      </c>
      <c r="D502" s="19" t="s">
        <v>761</v>
      </c>
      <c r="E502" s="10" t="e">
        <f>#REF!</f>
        <v>#REF!</v>
      </c>
      <c r="F502" s="302" t="e">
        <f>#REF!</f>
        <v>#REF!</v>
      </c>
      <c r="G502" s="11" t="e">
        <f t="shared" si="532"/>
        <v>#REF!</v>
      </c>
      <c r="H502" s="11" t="e">
        <f t="shared" si="533"/>
        <v>#REF!</v>
      </c>
      <c r="I502" s="11" t="e">
        <f t="shared" si="534"/>
        <v>#REF!</v>
      </c>
      <c r="J502" s="11" t="e">
        <f t="shared" si="535"/>
        <v>#REF!</v>
      </c>
    </row>
    <row r="503" spans="2:10" x14ac:dyDescent="0.3">
      <c r="B503" s="400" t="s">
        <v>1226</v>
      </c>
      <c r="C503" s="9" t="e">
        <f>#REF!</f>
        <v>#REF!</v>
      </c>
      <c r="D503" s="19" t="s">
        <v>760</v>
      </c>
      <c r="E503" s="10" t="e">
        <f>#REF!</f>
        <v>#REF!</v>
      </c>
      <c r="F503" s="302" t="e">
        <f>#REF!</f>
        <v>#REF!</v>
      </c>
      <c r="G503" s="11" t="e">
        <f t="shared" si="532"/>
        <v>#REF!</v>
      </c>
      <c r="H503" s="11" t="e">
        <f t="shared" si="533"/>
        <v>#REF!</v>
      </c>
      <c r="I503" s="11" t="e">
        <f t="shared" si="534"/>
        <v>#REF!</v>
      </c>
      <c r="J503" s="11" t="e">
        <f t="shared" si="535"/>
        <v>#REF!</v>
      </c>
    </row>
    <row r="504" spans="2:10" x14ac:dyDescent="0.3">
      <c r="B504" s="400" t="s">
        <v>1226</v>
      </c>
      <c r="C504" s="9" t="e">
        <f>#REF!</f>
        <v>#REF!</v>
      </c>
      <c r="D504" s="19" t="s">
        <v>760</v>
      </c>
      <c r="E504" s="10" t="e">
        <f>#REF!</f>
        <v>#REF!</v>
      </c>
      <c r="F504" s="302" t="e">
        <f>#REF!</f>
        <v>#REF!</v>
      </c>
      <c r="G504" s="11" t="e">
        <f t="shared" si="532"/>
        <v>#REF!</v>
      </c>
      <c r="H504" s="11" t="e">
        <f t="shared" si="533"/>
        <v>#REF!</v>
      </c>
      <c r="I504" s="11" t="e">
        <f t="shared" si="534"/>
        <v>#REF!</v>
      </c>
      <c r="J504" s="11" t="e">
        <f t="shared" si="535"/>
        <v>#REF!</v>
      </c>
    </row>
    <row r="505" spans="2:10" x14ac:dyDescent="0.3">
      <c r="B505" s="400" t="s">
        <v>1227</v>
      </c>
      <c r="C505" s="9" t="e">
        <f>#REF!</f>
        <v>#REF!</v>
      </c>
      <c r="D505" s="19" t="s">
        <v>762</v>
      </c>
      <c r="E505" s="10" t="e">
        <f>#REF!</f>
        <v>#REF!</v>
      </c>
      <c r="F505" s="302" t="e">
        <f>#REF!</f>
        <v>#REF!</v>
      </c>
      <c r="G505" s="11" t="e">
        <f t="shared" ref="G505" si="536">IF(AND(D505="INGENIERÍA ELÉCTRICA",F505&lt;&gt;0),E505,0)</f>
        <v>#REF!</v>
      </c>
      <c r="H505" s="11" t="e">
        <f t="shared" ref="H505" si="537">IF(AND(D505="INGENIERÍA CIVIL",F505&lt;&gt;0),E505,0)</f>
        <v>#REF!</v>
      </c>
      <c r="I505" s="11" t="e">
        <f t="shared" ref="I505" si="538">IF(AND(D505="INGENIERÍA MECÁNICA",F505&lt;&gt;0),E505,0)</f>
        <v>#REF!</v>
      </c>
      <c r="J505" s="11" t="e">
        <f t="shared" ref="J505" si="539">IF(AND(D505="LINEAS",F505&lt;&gt;0),E505,0)</f>
        <v>#REF!</v>
      </c>
    </row>
    <row r="506" spans="2:10" x14ac:dyDescent="0.3">
      <c r="B506" s="400" t="s">
        <v>1227</v>
      </c>
      <c r="C506" s="9" t="e">
        <f>#REF!</f>
        <v>#REF!</v>
      </c>
      <c r="D506" s="19" t="s">
        <v>761</v>
      </c>
      <c r="E506" s="10" t="e">
        <f>#REF!</f>
        <v>#REF!</v>
      </c>
      <c r="F506" s="302" t="e">
        <f>#REF!</f>
        <v>#REF!</v>
      </c>
      <c r="G506" s="11" t="e">
        <f t="shared" ref="G506:G511" si="540">IF(AND(D506="INGENIERÍA ELÉCTRICA",F506&lt;&gt;0),E506,0)</f>
        <v>#REF!</v>
      </c>
      <c r="H506" s="11" t="e">
        <f t="shared" ref="H506:H511" si="541">IF(AND(D506="INGENIERÍA CIVIL",F506&lt;&gt;0),E506,0)</f>
        <v>#REF!</v>
      </c>
      <c r="I506" s="11" t="e">
        <f t="shared" ref="I506:I511" si="542">IF(AND(D506="INGENIERÍA MECÁNICA",F506&lt;&gt;0),E506,0)</f>
        <v>#REF!</v>
      </c>
      <c r="J506" s="11" t="e">
        <f t="shared" ref="J506:J511" si="543">IF(AND(D506="LINEAS",F506&lt;&gt;0),E506,0)</f>
        <v>#REF!</v>
      </c>
    </row>
    <row r="507" spans="2:10" x14ac:dyDescent="0.3">
      <c r="B507" s="400" t="s">
        <v>1227</v>
      </c>
      <c r="C507" s="9" t="e">
        <f>#REF!</f>
        <v>#REF!</v>
      </c>
      <c r="D507" s="19" t="s">
        <v>762</v>
      </c>
      <c r="E507" s="10" t="e">
        <f>#REF!</f>
        <v>#REF!</v>
      </c>
      <c r="F507" s="302" t="e">
        <f>#REF!</f>
        <v>#REF!</v>
      </c>
      <c r="G507" s="11" t="e">
        <f t="shared" si="540"/>
        <v>#REF!</v>
      </c>
      <c r="H507" s="11" t="e">
        <f t="shared" si="541"/>
        <v>#REF!</v>
      </c>
      <c r="I507" s="11" t="e">
        <f t="shared" si="542"/>
        <v>#REF!</v>
      </c>
      <c r="J507" s="11" t="e">
        <f t="shared" si="543"/>
        <v>#REF!</v>
      </c>
    </row>
    <row r="508" spans="2:10" x14ac:dyDescent="0.3">
      <c r="B508" s="400" t="s">
        <v>1227</v>
      </c>
      <c r="C508" s="9" t="e">
        <f>#REF!</f>
        <v>#REF!</v>
      </c>
      <c r="D508" s="19" t="s">
        <v>761</v>
      </c>
      <c r="E508" s="10" t="e">
        <f>#REF!</f>
        <v>#REF!</v>
      </c>
      <c r="F508" s="302" t="e">
        <f>#REF!</f>
        <v>#REF!</v>
      </c>
      <c r="G508" s="11" t="e">
        <f t="shared" si="540"/>
        <v>#REF!</v>
      </c>
      <c r="H508" s="11" t="e">
        <f t="shared" si="541"/>
        <v>#REF!</v>
      </c>
      <c r="I508" s="11" t="e">
        <f t="shared" si="542"/>
        <v>#REF!</v>
      </c>
      <c r="J508" s="11" t="e">
        <f t="shared" si="543"/>
        <v>#REF!</v>
      </c>
    </row>
    <row r="509" spans="2:10" x14ac:dyDescent="0.3">
      <c r="B509" s="400" t="s">
        <v>1227</v>
      </c>
      <c r="C509" s="9" t="e">
        <f>#REF!</f>
        <v>#REF!</v>
      </c>
      <c r="D509" s="19" t="s">
        <v>760</v>
      </c>
      <c r="E509" s="10" t="e">
        <f>#REF!</f>
        <v>#REF!</v>
      </c>
      <c r="F509" s="302" t="e">
        <f>#REF!</f>
        <v>#REF!</v>
      </c>
      <c r="G509" s="11" t="e">
        <f t="shared" si="540"/>
        <v>#REF!</v>
      </c>
      <c r="H509" s="11" t="e">
        <f t="shared" si="541"/>
        <v>#REF!</v>
      </c>
      <c r="I509" s="11" t="e">
        <f t="shared" si="542"/>
        <v>#REF!</v>
      </c>
      <c r="J509" s="11" t="e">
        <f t="shared" si="543"/>
        <v>#REF!</v>
      </c>
    </row>
    <row r="510" spans="2:10" x14ac:dyDescent="0.3">
      <c r="B510" s="400" t="s">
        <v>1227</v>
      </c>
      <c r="C510" s="9" t="e">
        <f>#REF!</f>
        <v>#REF!</v>
      </c>
      <c r="D510" s="19" t="s">
        <v>761</v>
      </c>
      <c r="E510" s="10" t="e">
        <f>#REF!</f>
        <v>#REF!</v>
      </c>
      <c r="F510" s="302" t="e">
        <f>#REF!</f>
        <v>#REF!</v>
      </c>
      <c r="G510" s="11" t="e">
        <f t="shared" si="540"/>
        <v>#REF!</v>
      </c>
      <c r="H510" s="11" t="e">
        <f t="shared" si="541"/>
        <v>#REF!</v>
      </c>
      <c r="I510" s="11" t="e">
        <f t="shared" si="542"/>
        <v>#REF!</v>
      </c>
      <c r="J510" s="11" t="e">
        <f t="shared" si="543"/>
        <v>#REF!</v>
      </c>
    </row>
    <row r="511" spans="2:10" x14ac:dyDescent="0.3">
      <c r="B511" s="400" t="s">
        <v>1227</v>
      </c>
      <c r="C511" s="9" t="e">
        <f>#REF!</f>
        <v>#REF!</v>
      </c>
      <c r="D511" s="19" t="s">
        <v>760</v>
      </c>
      <c r="E511" s="10" t="e">
        <f>#REF!</f>
        <v>#REF!</v>
      </c>
      <c r="F511" s="302" t="e">
        <f>#REF!</f>
        <v>#REF!</v>
      </c>
      <c r="G511" s="11" t="e">
        <f t="shared" si="540"/>
        <v>#REF!</v>
      </c>
      <c r="H511" s="11" t="e">
        <f t="shared" si="541"/>
        <v>#REF!</v>
      </c>
      <c r="I511" s="11" t="e">
        <f t="shared" si="542"/>
        <v>#REF!</v>
      </c>
      <c r="J511" s="11" t="e">
        <f t="shared" si="543"/>
        <v>#REF!</v>
      </c>
    </row>
    <row r="512" spans="2:10" x14ac:dyDescent="0.3">
      <c r="B512" s="400" t="s">
        <v>1227</v>
      </c>
      <c r="C512" s="9" t="e">
        <f>#REF!</f>
        <v>#REF!</v>
      </c>
      <c r="D512" s="19" t="s">
        <v>760</v>
      </c>
      <c r="E512" s="10" t="e">
        <f>#REF!</f>
        <v>#REF!</v>
      </c>
      <c r="F512" s="302" t="e">
        <f>#REF!</f>
        <v>#REF!</v>
      </c>
      <c r="G512" s="11" t="e">
        <f t="shared" ref="G512" si="544">IF(AND(D512="INGENIERÍA ELÉCTRICA",F512&lt;&gt;0),E512,0)</f>
        <v>#REF!</v>
      </c>
      <c r="H512" s="11" t="e">
        <f t="shared" ref="H512" si="545">IF(AND(D512="INGENIERÍA CIVIL",F512&lt;&gt;0),E512,0)</f>
        <v>#REF!</v>
      </c>
      <c r="I512" s="11" t="e">
        <f t="shared" ref="I512" si="546">IF(AND(D512="INGENIERÍA MECÁNICA",F512&lt;&gt;0),E512,0)</f>
        <v>#REF!</v>
      </c>
      <c r="J512" s="11" t="e">
        <f t="shared" ref="J512" si="547">IF(AND(D512="LINEAS",F512&lt;&gt;0),E512,0)</f>
        <v>#REF!</v>
      </c>
    </row>
    <row r="513" spans="2:10" x14ac:dyDescent="0.3">
      <c r="B513" s="400" t="s">
        <v>661</v>
      </c>
      <c r="C513" s="9" t="e">
        <f>#REF!</f>
        <v>#REF!</v>
      </c>
      <c r="D513" s="19" t="s">
        <v>762</v>
      </c>
      <c r="E513" s="10" t="e">
        <f>#REF!</f>
        <v>#REF!</v>
      </c>
      <c r="F513" s="302" t="e">
        <f>#REF!</f>
        <v>#REF!</v>
      </c>
      <c r="G513" s="11" t="e">
        <f t="shared" ref="G513" si="548">IF(AND(D513="INGENIERÍA ELÉCTRICA",F513&lt;&gt;0),E513,0)</f>
        <v>#REF!</v>
      </c>
      <c r="H513" s="11" t="e">
        <f t="shared" ref="H513" si="549">IF(AND(D513="INGENIERÍA CIVIL",F513&lt;&gt;0),E513,0)</f>
        <v>#REF!</v>
      </c>
      <c r="I513" s="11" t="e">
        <f t="shared" ref="I513" si="550">IF(AND(D513="INGENIERÍA MECÁNICA",F513&lt;&gt;0),E513,0)</f>
        <v>#REF!</v>
      </c>
      <c r="J513" s="11" t="e">
        <f t="shared" ref="J513" si="551">IF(AND(D513="LINEAS",F513&lt;&gt;0),E513,0)</f>
        <v>#REF!</v>
      </c>
    </row>
    <row r="514" spans="2:10" x14ac:dyDescent="0.3">
      <c r="B514" s="400" t="s">
        <v>661</v>
      </c>
      <c r="C514" s="9" t="e">
        <f>#REF!</f>
        <v>#REF!</v>
      </c>
      <c r="D514" s="19" t="s">
        <v>761</v>
      </c>
      <c r="E514" s="10" t="e">
        <f>#REF!</f>
        <v>#REF!</v>
      </c>
      <c r="F514" s="302" t="e">
        <f>#REF!</f>
        <v>#REF!</v>
      </c>
      <c r="G514" s="11" t="e">
        <f t="shared" ref="G514:G519" si="552">IF(AND(D514="INGENIERÍA ELÉCTRICA",F514&lt;&gt;0),E514,0)</f>
        <v>#REF!</v>
      </c>
      <c r="H514" s="11" t="e">
        <f t="shared" ref="H514:H519" si="553">IF(AND(D514="INGENIERÍA CIVIL",F514&lt;&gt;0),E514,0)</f>
        <v>#REF!</v>
      </c>
      <c r="I514" s="11" t="e">
        <f t="shared" ref="I514:I519" si="554">IF(AND(D514="INGENIERÍA MECÁNICA",F514&lt;&gt;0),E514,0)</f>
        <v>#REF!</v>
      </c>
      <c r="J514" s="11" t="e">
        <f t="shared" ref="J514:J519" si="555">IF(AND(D514="LINEAS",F514&lt;&gt;0),E514,0)</f>
        <v>#REF!</v>
      </c>
    </row>
    <row r="515" spans="2:10" x14ac:dyDescent="0.3">
      <c r="B515" s="400" t="s">
        <v>661</v>
      </c>
      <c r="C515" s="9" t="e">
        <f>#REF!</f>
        <v>#REF!</v>
      </c>
      <c r="D515" s="19" t="s">
        <v>762</v>
      </c>
      <c r="E515" s="10" t="e">
        <f>#REF!</f>
        <v>#REF!</v>
      </c>
      <c r="F515" s="302" t="e">
        <f>#REF!</f>
        <v>#REF!</v>
      </c>
      <c r="G515" s="11" t="e">
        <f t="shared" si="552"/>
        <v>#REF!</v>
      </c>
      <c r="H515" s="11" t="e">
        <f t="shared" si="553"/>
        <v>#REF!</v>
      </c>
      <c r="I515" s="11" t="e">
        <f t="shared" si="554"/>
        <v>#REF!</v>
      </c>
      <c r="J515" s="11" t="e">
        <f t="shared" si="555"/>
        <v>#REF!</v>
      </c>
    </row>
    <row r="516" spans="2:10" x14ac:dyDescent="0.3">
      <c r="B516" s="400" t="s">
        <v>661</v>
      </c>
      <c r="C516" s="9" t="e">
        <f>#REF!</f>
        <v>#REF!</v>
      </c>
      <c r="D516" s="19" t="s">
        <v>761</v>
      </c>
      <c r="E516" s="10" t="e">
        <f>#REF!</f>
        <v>#REF!</v>
      </c>
      <c r="F516" s="302" t="e">
        <f>#REF!</f>
        <v>#REF!</v>
      </c>
      <c r="G516" s="11" t="e">
        <f t="shared" si="552"/>
        <v>#REF!</v>
      </c>
      <c r="H516" s="11" t="e">
        <f t="shared" si="553"/>
        <v>#REF!</v>
      </c>
      <c r="I516" s="11" t="e">
        <f t="shared" si="554"/>
        <v>#REF!</v>
      </c>
      <c r="J516" s="11" t="e">
        <f t="shared" si="555"/>
        <v>#REF!</v>
      </c>
    </row>
    <row r="517" spans="2:10" x14ac:dyDescent="0.3">
      <c r="B517" s="400" t="s">
        <v>661</v>
      </c>
      <c r="C517" s="9" t="e">
        <f>#REF!</f>
        <v>#REF!</v>
      </c>
      <c r="D517" s="19" t="s">
        <v>760</v>
      </c>
      <c r="E517" s="10" t="e">
        <f>#REF!</f>
        <v>#REF!</v>
      </c>
      <c r="F517" s="302" t="e">
        <f>#REF!</f>
        <v>#REF!</v>
      </c>
      <c r="G517" s="11" t="e">
        <f t="shared" si="552"/>
        <v>#REF!</v>
      </c>
      <c r="H517" s="11" t="e">
        <f t="shared" si="553"/>
        <v>#REF!</v>
      </c>
      <c r="I517" s="11" t="e">
        <f t="shared" si="554"/>
        <v>#REF!</v>
      </c>
      <c r="J517" s="11" t="e">
        <f t="shared" si="555"/>
        <v>#REF!</v>
      </c>
    </row>
    <row r="518" spans="2:10" x14ac:dyDescent="0.3">
      <c r="B518" s="400" t="s">
        <v>661</v>
      </c>
      <c r="C518" s="9" t="e">
        <f>#REF!</f>
        <v>#REF!</v>
      </c>
      <c r="D518" s="19" t="s">
        <v>761</v>
      </c>
      <c r="E518" s="10" t="e">
        <f>#REF!</f>
        <v>#REF!</v>
      </c>
      <c r="F518" s="302" t="e">
        <f>#REF!</f>
        <v>#REF!</v>
      </c>
      <c r="G518" s="11" t="e">
        <f t="shared" si="552"/>
        <v>#REF!</v>
      </c>
      <c r="H518" s="11" t="e">
        <f t="shared" si="553"/>
        <v>#REF!</v>
      </c>
      <c r="I518" s="11" t="e">
        <f t="shared" si="554"/>
        <v>#REF!</v>
      </c>
      <c r="J518" s="11" t="e">
        <f t="shared" si="555"/>
        <v>#REF!</v>
      </c>
    </row>
    <row r="519" spans="2:10" x14ac:dyDescent="0.3">
      <c r="B519" s="400" t="s">
        <v>661</v>
      </c>
      <c r="C519" s="9" t="e">
        <f>#REF!</f>
        <v>#REF!</v>
      </c>
      <c r="D519" s="19" t="s">
        <v>760</v>
      </c>
      <c r="E519" s="10" t="e">
        <f>#REF!</f>
        <v>#REF!</v>
      </c>
      <c r="F519" s="302" t="e">
        <f>#REF!</f>
        <v>#REF!</v>
      </c>
      <c r="G519" s="11" t="e">
        <f t="shared" si="552"/>
        <v>#REF!</v>
      </c>
      <c r="H519" s="11" t="e">
        <f t="shared" si="553"/>
        <v>#REF!</v>
      </c>
      <c r="I519" s="11" t="e">
        <f t="shared" si="554"/>
        <v>#REF!</v>
      </c>
      <c r="J519" s="11" t="e">
        <f t="shared" si="555"/>
        <v>#REF!</v>
      </c>
    </row>
    <row r="520" spans="2:10" x14ac:dyDescent="0.3">
      <c r="B520" s="400" t="s">
        <v>661</v>
      </c>
      <c r="C520" s="9" t="e">
        <f>#REF!</f>
        <v>#REF!</v>
      </c>
      <c r="D520" s="19" t="s">
        <v>760</v>
      </c>
      <c r="E520" s="10" t="e">
        <f>#REF!</f>
        <v>#REF!</v>
      </c>
      <c r="F520" s="302" t="e">
        <f>#REF!</f>
        <v>#REF!</v>
      </c>
      <c r="G520" s="11" t="e">
        <f t="shared" ref="G520" si="556">IF(AND(D520="INGENIERÍA ELÉCTRICA",F520&lt;&gt;0),E520,0)</f>
        <v>#REF!</v>
      </c>
      <c r="H520" s="11" t="e">
        <f t="shared" ref="H520" si="557">IF(AND(D520="INGENIERÍA CIVIL",F520&lt;&gt;0),E520,0)</f>
        <v>#REF!</v>
      </c>
      <c r="I520" s="11" t="e">
        <f t="shared" ref="I520" si="558">IF(AND(D520="INGENIERÍA MECÁNICA",F520&lt;&gt;0),E520,0)</f>
        <v>#REF!</v>
      </c>
      <c r="J520" s="11" t="e">
        <f t="shared" ref="J520" si="559">IF(AND(D520="LINEAS",F520&lt;&gt;0),E520,0)</f>
        <v>#REF!</v>
      </c>
    </row>
    <row r="521" spans="2:10" x14ac:dyDescent="0.3">
      <c r="B521" s="400" t="s">
        <v>750</v>
      </c>
      <c r="C521" s="9" t="e">
        <f>#REF!</f>
        <v>#REF!</v>
      </c>
      <c r="D521" s="19" t="s">
        <v>762</v>
      </c>
      <c r="E521" s="10" t="e">
        <f>#REF!</f>
        <v>#REF!</v>
      </c>
      <c r="F521" s="302" t="e">
        <f>#REF!</f>
        <v>#REF!</v>
      </c>
      <c r="G521" s="11" t="e">
        <f t="shared" ref="G521" si="560">IF(AND(D521="INGENIERÍA ELÉCTRICA",F521&lt;&gt;0),E521,0)</f>
        <v>#REF!</v>
      </c>
      <c r="H521" s="11" t="e">
        <f t="shared" ref="H521" si="561">IF(AND(D521="INGENIERÍA CIVIL",F521&lt;&gt;0),E521,0)</f>
        <v>#REF!</v>
      </c>
      <c r="I521" s="11" t="e">
        <f t="shared" ref="I521" si="562">IF(AND(D521="INGENIERÍA MECÁNICA",F521&lt;&gt;0),E521,0)</f>
        <v>#REF!</v>
      </c>
      <c r="J521" s="11" t="e">
        <f t="shared" ref="J521" si="563">IF(AND(D521="LINEAS",F521&lt;&gt;0),E521,0)</f>
        <v>#REF!</v>
      </c>
    </row>
    <row r="522" spans="2:10" x14ac:dyDescent="0.3">
      <c r="B522" s="400" t="s">
        <v>750</v>
      </c>
      <c r="C522" s="9" t="e">
        <f>#REF!</f>
        <v>#REF!</v>
      </c>
      <c r="D522" s="19" t="s">
        <v>761</v>
      </c>
      <c r="E522" s="10" t="e">
        <f>#REF!</f>
        <v>#REF!</v>
      </c>
      <c r="F522" s="302" t="e">
        <f>#REF!</f>
        <v>#REF!</v>
      </c>
      <c r="G522" s="11" t="e">
        <f t="shared" ref="G522:G528" si="564">IF(AND(D522="INGENIERÍA ELÉCTRICA",F522&lt;&gt;0),E522,0)</f>
        <v>#REF!</v>
      </c>
      <c r="H522" s="11" t="e">
        <f t="shared" ref="H522:H528" si="565">IF(AND(D522="INGENIERÍA CIVIL",F522&lt;&gt;0),E522,0)</f>
        <v>#REF!</v>
      </c>
      <c r="I522" s="11" t="e">
        <f t="shared" ref="I522:I528" si="566">IF(AND(D522="INGENIERÍA MECÁNICA",F522&lt;&gt;0),E522,0)</f>
        <v>#REF!</v>
      </c>
      <c r="J522" s="11" t="e">
        <f t="shared" ref="J522:J528" si="567">IF(AND(D522="LINEAS",F522&lt;&gt;0),E522,0)</f>
        <v>#REF!</v>
      </c>
    </row>
    <row r="523" spans="2:10" x14ac:dyDescent="0.3">
      <c r="B523" s="400" t="s">
        <v>750</v>
      </c>
      <c r="C523" s="9" t="e">
        <f>#REF!</f>
        <v>#REF!</v>
      </c>
      <c r="D523" s="19" t="s">
        <v>762</v>
      </c>
      <c r="E523" s="10" t="e">
        <f>#REF!</f>
        <v>#REF!</v>
      </c>
      <c r="F523" s="302" t="e">
        <f>#REF!</f>
        <v>#REF!</v>
      </c>
      <c r="G523" s="11" t="e">
        <f t="shared" si="564"/>
        <v>#REF!</v>
      </c>
      <c r="H523" s="11" t="e">
        <f t="shared" si="565"/>
        <v>#REF!</v>
      </c>
      <c r="I523" s="11" t="e">
        <f t="shared" si="566"/>
        <v>#REF!</v>
      </c>
      <c r="J523" s="11" t="e">
        <f t="shared" si="567"/>
        <v>#REF!</v>
      </c>
    </row>
    <row r="524" spans="2:10" x14ac:dyDescent="0.3">
      <c r="B524" s="400" t="s">
        <v>750</v>
      </c>
      <c r="C524" s="9" t="e">
        <f>#REF!</f>
        <v>#REF!</v>
      </c>
      <c r="D524" s="19" t="s">
        <v>761</v>
      </c>
      <c r="E524" s="10" t="e">
        <f>#REF!</f>
        <v>#REF!</v>
      </c>
      <c r="F524" s="302" t="e">
        <f>#REF!</f>
        <v>#REF!</v>
      </c>
      <c r="G524" s="11" t="e">
        <f t="shared" si="564"/>
        <v>#REF!</v>
      </c>
      <c r="H524" s="11" t="e">
        <f t="shared" si="565"/>
        <v>#REF!</v>
      </c>
      <c r="I524" s="11" t="e">
        <f t="shared" si="566"/>
        <v>#REF!</v>
      </c>
      <c r="J524" s="11" t="e">
        <f t="shared" si="567"/>
        <v>#REF!</v>
      </c>
    </row>
    <row r="525" spans="2:10" x14ac:dyDescent="0.3">
      <c r="B525" s="400" t="s">
        <v>750</v>
      </c>
      <c r="C525" s="9" t="e">
        <f>#REF!</f>
        <v>#REF!</v>
      </c>
      <c r="D525" s="19" t="s">
        <v>760</v>
      </c>
      <c r="E525" s="10" t="e">
        <f>#REF!</f>
        <v>#REF!</v>
      </c>
      <c r="F525" s="302" t="e">
        <f>#REF!</f>
        <v>#REF!</v>
      </c>
      <c r="G525" s="11" t="e">
        <f t="shared" si="564"/>
        <v>#REF!</v>
      </c>
      <c r="H525" s="11" t="e">
        <f t="shared" si="565"/>
        <v>#REF!</v>
      </c>
      <c r="I525" s="11" t="e">
        <f t="shared" si="566"/>
        <v>#REF!</v>
      </c>
      <c r="J525" s="11" t="e">
        <f t="shared" si="567"/>
        <v>#REF!</v>
      </c>
    </row>
    <row r="526" spans="2:10" x14ac:dyDescent="0.3">
      <c r="B526" s="400" t="s">
        <v>750</v>
      </c>
      <c r="C526" s="9" t="e">
        <f>#REF!</f>
        <v>#REF!</v>
      </c>
      <c r="D526" s="19" t="s">
        <v>761</v>
      </c>
      <c r="E526" s="10" t="e">
        <f>#REF!</f>
        <v>#REF!</v>
      </c>
      <c r="F526" s="302" t="e">
        <f>#REF!</f>
        <v>#REF!</v>
      </c>
      <c r="G526" s="11" t="e">
        <f t="shared" si="564"/>
        <v>#REF!</v>
      </c>
      <c r="H526" s="11" t="e">
        <f t="shared" si="565"/>
        <v>#REF!</v>
      </c>
      <c r="I526" s="11" t="e">
        <f t="shared" si="566"/>
        <v>#REF!</v>
      </c>
      <c r="J526" s="11" t="e">
        <f t="shared" si="567"/>
        <v>#REF!</v>
      </c>
    </row>
    <row r="527" spans="2:10" x14ac:dyDescent="0.3">
      <c r="B527" s="400" t="s">
        <v>750</v>
      </c>
      <c r="C527" s="9" t="e">
        <f>#REF!</f>
        <v>#REF!</v>
      </c>
      <c r="D527" s="19" t="s">
        <v>760</v>
      </c>
      <c r="E527" s="10" t="e">
        <f>#REF!</f>
        <v>#REF!</v>
      </c>
      <c r="F527" s="302" t="e">
        <f>#REF!</f>
        <v>#REF!</v>
      </c>
      <c r="G527" s="11" t="e">
        <f t="shared" si="564"/>
        <v>#REF!</v>
      </c>
      <c r="H527" s="11" t="e">
        <f t="shared" si="565"/>
        <v>#REF!</v>
      </c>
      <c r="I527" s="11" t="e">
        <f t="shared" si="566"/>
        <v>#REF!</v>
      </c>
      <c r="J527" s="11" t="e">
        <f t="shared" si="567"/>
        <v>#REF!</v>
      </c>
    </row>
    <row r="528" spans="2:10" x14ac:dyDescent="0.3">
      <c r="B528" s="400" t="s">
        <v>750</v>
      </c>
      <c r="C528" s="9" t="e">
        <f>#REF!</f>
        <v>#REF!</v>
      </c>
      <c r="D528" s="19" t="s">
        <v>760</v>
      </c>
      <c r="E528" s="10" t="e">
        <f>#REF!</f>
        <v>#REF!</v>
      </c>
      <c r="F528" s="302" t="e">
        <f>#REF!</f>
        <v>#REF!</v>
      </c>
      <c r="G528" s="11" t="e">
        <f t="shared" si="564"/>
        <v>#REF!</v>
      </c>
      <c r="H528" s="11" t="e">
        <f t="shared" si="565"/>
        <v>#REF!</v>
      </c>
      <c r="I528" s="11" t="e">
        <f t="shared" si="566"/>
        <v>#REF!</v>
      </c>
      <c r="J528" s="11" t="e">
        <f t="shared" si="567"/>
        <v>#REF!</v>
      </c>
    </row>
    <row r="529" spans="2:10" x14ac:dyDescent="0.3">
      <c r="B529" s="400" t="s">
        <v>809</v>
      </c>
      <c r="C529" s="9" t="str">
        <f>'OT17-207 INDUMIL'!C14</f>
        <v>Ingeniería civil (Levantamiento e ingeniería de detalle)</v>
      </c>
      <c r="D529" s="19" t="s">
        <v>760</v>
      </c>
      <c r="E529" s="10">
        <f>'OT17-207 INDUMIL'!R14</f>
        <v>0</v>
      </c>
      <c r="F529" s="302">
        <f>'OT17-207 INDUMIL'!Q14</f>
        <v>0</v>
      </c>
      <c r="G529" s="11">
        <f t="shared" ref="G529" si="568">IF(AND(D529="INGENIERÍA ELÉCTRICA",F529&lt;&gt;0),E529,0)</f>
        <v>0</v>
      </c>
      <c r="H529" s="11">
        <f t="shared" ref="H529" si="569">IF(AND(D529="INGENIERÍA CIVIL",F529&lt;&gt;0),E529,0)</f>
        <v>0</v>
      </c>
      <c r="I529" s="11">
        <f t="shared" ref="I529" si="570">IF(AND(D529="INGENIERÍA MECÁNICA",F529&lt;&gt;0),E529,0)</f>
        <v>0</v>
      </c>
      <c r="J529" s="11">
        <f t="shared" ref="J529" si="571">IF(AND(D529="LINEAS",F529&lt;&gt;0),E529,0)</f>
        <v>0</v>
      </c>
    </row>
    <row r="530" spans="2:10" x14ac:dyDescent="0.3">
      <c r="B530" s="400" t="s">
        <v>809</v>
      </c>
      <c r="C530" s="9" t="str">
        <f>'OT17-207 INDUMIL'!C15</f>
        <v>Ingeniería mecánica (Levantamiento e ingeniería de detalle)</v>
      </c>
      <c r="D530" s="19" t="s">
        <v>762</v>
      </c>
      <c r="E530" s="10">
        <f>'OT17-207 INDUMIL'!R15</f>
        <v>0</v>
      </c>
      <c r="F530" s="302">
        <f>'OT17-207 INDUMIL'!Q15</f>
        <v>0</v>
      </c>
      <c r="G530" s="11">
        <f t="shared" ref="G530:G535" si="572">IF(AND(D530="INGENIERÍA ELÉCTRICA",F530&lt;&gt;0),E530,0)</f>
        <v>0</v>
      </c>
      <c r="H530" s="11">
        <f t="shared" ref="H530:H535" si="573">IF(AND(D530="INGENIERÍA CIVIL",F530&lt;&gt;0),E530,0)</f>
        <v>0</v>
      </c>
      <c r="I530" s="11">
        <f t="shared" ref="I530:I535" si="574">IF(AND(D530="INGENIERÍA MECÁNICA",F530&lt;&gt;0),E530,0)</f>
        <v>0</v>
      </c>
      <c r="J530" s="11">
        <f t="shared" ref="J530:J535" si="575">IF(AND(D530="LINEAS",F530&lt;&gt;0),E530,0)</f>
        <v>0</v>
      </c>
    </row>
    <row r="531" spans="2:10" x14ac:dyDescent="0.3">
      <c r="B531" s="400" t="s">
        <v>809</v>
      </c>
      <c r="C531" s="9" t="str">
        <f>'OT17-207 INDUMIL'!C16</f>
        <v>Ingeniería eléctrica (Levantamiento e ingeniería de detalle)</v>
      </c>
      <c r="D531" s="19" t="s">
        <v>761</v>
      </c>
      <c r="E531" s="10">
        <f>'OT17-207 INDUMIL'!R16</f>
        <v>0</v>
      </c>
      <c r="F531" s="302">
        <f>'OT17-207 INDUMIL'!Q16</f>
        <v>0</v>
      </c>
      <c r="G531" s="11">
        <f t="shared" si="572"/>
        <v>0</v>
      </c>
      <c r="H531" s="11">
        <f t="shared" si="573"/>
        <v>0</v>
      </c>
      <c r="I531" s="11">
        <f t="shared" si="574"/>
        <v>0</v>
      </c>
      <c r="J531" s="11">
        <f t="shared" si="575"/>
        <v>0</v>
      </c>
    </row>
    <row r="532" spans="2:10" x14ac:dyDescent="0.3">
      <c r="B532" s="400" t="s">
        <v>809</v>
      </c>
      <c r="C532" s="9" t="str">
        <f>'OT17-207 INDUMIL'!C18</f>
        <v>Ingeniería civil (Levantamiento e ingeniería de detalle)</v>
      </c>
      <c r="D532" s="19" t="s">
        <v>760</v>
      </c>
      <c r="E532" s="10">
        <f>'OT17-207 INDUMIL'!R18</f>
        <v>0</v>
      </c>
      <c r="F532" s="302">
        <f>'OT17-207 INDUMIL'!Q18</f>
        <v>0</v>
      </c>
      <c r="G532" s="11">
        <f t="shared" si="572"/>
        <v>0</v>
      </c>
      <c r="H532" s="11">
        <f t="shared" si="573"/>
        <v>0</v>
      </c>
      <c r="I532" s="11">
        <f t="shared" si="574"/>
        <v>0</v>
      </c>
      <c r="J532" s="11">
        <f t="shared" si="575"/>
        <v>0</v>
      </c>
    </row>
    <row r="533" spans="2:10" x14ac:dyDescent="0.3">
      <c r="B533" s="400" t="s">
        <v>809</v>
      </c>
      <c r="C533" s="9" t="str">
        <f>'OT17-207 INDUMIL'!C19</f>
        <v>Ingeniería mecánica (Levantamiento e ingeniería de detalle)</v>
      </c>
      <c r="D533" s="19" t="s">
        <v>762</v>
      </c>
      <c r="E533" s="10">
        <f>'OT17-207 INDUMIL'!R19</f>
        <v>4387564</v>
      </c>
      <c r="F533" s="302">
        <f>'OT17-207 INDUMIL'!Q19</f>
        <v>1</v>
      </c>
      <c r="G533" s="11">
        <f t="shared" si="572"/>
        <v>0</v>
      </c>
      <c r="H533" s="11">
        <f t="shared" si="573"/>
        <v>0</v>
      </c>
      <c r="I533" s="11">
        <f t="shared" si="574"/>
        <v>4387564</v>
      </c>
      <c r="J533" s="11">
        <f t="shared" si="575"/>
        <v>0</v>
      </c>
    </row>
    <row r="534" spans="2:10" x14ac:dyDescent="0.3">
      <c r="B534" s="400" t="s">
        <v>809</v>
      </c>
      <c r="C534" s="9" t="str">
        <f>'OT17-207 INDUMIL'!C21</f>
        <v>Ingenierías o estudios especiales</v>
      </c>
      <c r="D534" s="19" t="s">
        <v>760</v>
      </c>
      <c r="E534" s="10">
        <f>'OT17-207 INDUMIL'!R21</f>
        <v>0</v>
      </c>
      <c r="F534" s="302">
        <f>'OT17-207 INDUMIL'!Q21</f>
        <v>0</v>
      </c>
      <c r="G534" s="11">
        <f t="shared" si="572"/>
        <v>0</v>
      </c>
      <c r="H534" s="11">
        <f t="shared" si="573"/>
        <v>0</v>
      </c>
      <c r="I534" s="11">
        <f t="shared" si="574"/>
        <v>0</v>
      </c>
      <c r="J534" s="11">
        <f t="shared" si="575"/>
        <v>0</v>
      </c>
    </row>
    <row r="535" spans="2:10" x14ac:dyDescent="0.3">
      <c r="B535" s="400" t="s">
        <v>809</v>
      </c>
      <c r="C535" s="9" t="str">
        <f>'OT17-207 INDUMIL'!C23</f>
        <v>Ingenierías o estudios especiales</v>
      </c>
      <c r="D535" s="19" t="s">
        <v>760</v>
      </c>
      <c r="E535" s="10">
        <f>'OT17-207 INDUMIL'!R23</f>
        <v>0</v>
      </c>
      <c r="F535" s="302">
        <f>'OT17-207 INDUMIL'!Q23</f>
        <v>0</v>
      </c>
      <c r="G535" s="11">
        <f t="shared" si="572"/>
        <v>0</v>
      </c>
      <c r="H535" s="11">
        <f t="shared" si="573"/>
        <v>0</v>
      </c>
      <c r="I535" s="11">
        <f t="shared" si="574"/>
        <v>0</v>
      </c>
      <c r="J535" s="11">
        <f t="shared" si="575"/>
        <v>0</v>
      </c>
    </row>
    <row r="536" spans="2:10" x14ac:dyDescent="0.3">
      <c r="B536" s="400" t="s">
        <v>809</v>
      </c>
      <c r="C536" s="9" t="str">
        <f>'OT17-207 INDUMIL'!C25</f>
        <v>Diseño civil (Levantamiento e ingeniería de detalle)</v>
      </c>
      <c r="D536" s="19" t="s">
        <v>760</v>
      </c>
      <c r="E536" s="10">
        <f>'OT17-207 INDUMIL'!R25</f>
        <v>0</v>
      </c>
      <c r="F536" s="302">
        <f>'OT17-207 INDUMIL'!Q25</f>
        <v>0</v>
      </c>
      <c r="G536" s="11">
        <f t="shared" ref="G536:G539" si="576">IF(AND(D536="INGENIERÍA ELÉCTRICA",F536&lt;&gt;0),E536,0)</f>
        <v>0</v>
      </c>
      <c r="H536" s="11">
        <f t="shared" ref="H536:H539" si="577">IF(AND(D536="INGENIERÍA CIVIL",F536&lt;&gt;0),E536,0)</f>
        <v>0</v>
      </c>
      <c r="I536" s="11">
        <f t="shared" ref="I536:I539" si="578">IF(AND(D536="INGENIERÍA MECÁNICA",F536&lt;&gt;0),E536,0)</f>
        <v>0</v>
      </c>
      <c r="J536" s="11">
        <f t="shared" ref="J536:J539" si="579">IF(AND(D536="LINEAS",F536&lt;&gt;0),E536,0)</f>
        <v>0</v>
      </c>
    </row>
    <row r="537" spans="2:10" x14ac:dyDescent="0.3">
      <c r="B537" s="400" t="s">
        <v>809</v>
      </c>
      <c r="C537" s="9" t="str">
        <f>'OT17-207 INDUMIL'!C26</f>
        <v>Ingeniería mecánica (Levantamiento e ingeniería de detalle)</v>
      </c>
      <c r="D537" s="19" t="s">
        <v>762</v>
      </c>
      <c r="E537" s="10">
        <f>'OT17-207 INDUMIL'!R26</f>
        <v>0</v>
      </c>
      <c r="F537" s="302">
        <f>'OT17-207 INDUMIL'!Q26</f>
        <v>0</v>
      </c>
      <c r="G537" s="11">
        <f t="shared" si="576"/>
        <v>0</v>
      </c>
      <c r="H537" s="11">
        <f t="shared" si="577"/>
        <v>0</v>
      </c>
      <c r="I537" s="11">
        <f t="shared" si="578"/>
        <v>0</v>
      </c>
      <c r="J537" s="11">
        <f t="shared" si="579"/>
        <v>0</v>
      </c>
    </row>
    <row r="538" spans="2:10" x14ac:dyDescent="0.3">
      <c r="B538" s="400" t="s">
        <v>809</v>
      </c>
      <c r="C538" s="9" t="str">
        <f>'OT17-207 INDUMIL'!C27</f>
        <v>Ingeniería eléctrica (Levantamiento e ingeniería de detalle)</v>
      </c>
      <c r="D538" s="19" t="s">
        <v>761</v>
      </c>
      <c r="E538" s="10">
        <f>'OT17-207 INDUMIL'!R27</f>
        <v>0</v>
      </c>
      <c r="F538" s="302">
        <f>'OT17-207 INDUMIL'!Q27</f>
        <v>0</v>
      </c>
      <c r="G538" s="11">
        <f t="shared" si="576"/>
        <v>0</v>
      </c>
      <c r="H538" s="11">
        <f t="shared" si="577"/>
        <v>0</v>
      </c>
      <c r="I538" s="11">
        <f t="shared" si="578"/>
        <v>0</v>
      </c>
      <c r="J538" s="11">
        <f t="shared" si="579"/>
        <v>0</v>
      </c>
    </row>
    <row r="539" spans="2:10" x14ac:dyDescent="0.3">
      <c r="B539" s="400" t="s">
        <v>809</v>
      </c>
      <c r="C539" s="9" t="str">
        <f>'OT17-207 INDUMIL'!C29</f>
        <v>Ingeniería mecánica (Levantamiento e ingeniería de detalle)</v>
      </c>
      <c r="D539" s="19" t="s">
        <v>762</v>
      </c>
      <c r="E539" s="10">
        <f>'OT17-207 INDUMIL'!R29</f>
        <v>0</v>
      </c>
      <c r="F539" s="302">
        <f>'OT17-207 INDUMIL'!Q29</f>
        <v>0</v>
      </c>
      <c r="G539" s="11">
        <f t="shared" si="576"/>
        <v>0</v>
      </c>
      <c r="H539" s="11">
        <f t="shared" si="577"/>
        <v>0</v>
      </c>
      <c r="I539" s="11">
        <f t="shared" si="578"/>
        <v>0</v>
      </c>
      <c r="J539" s="11">
        <f t="shared" si="579"/>
        <v>0</v>
      </c>
    </row>
    <row r="540" spans="2:10" x14ac:dyDescent="0.3">
      <c r="B540" s="400" t="s">
        <v>809</v>
      </c>
      <c r="C540" s="9" t="str">
        <f>'OT17-207 INDUMIL'!C30</f>
        <v>Ingeniería eléctrica (Levantamiento e ingeniería de detalle)</v>
      </c>
      <c r="D540" s="19" t="s">
        <v>761</v>
      </c>
      <c r="E540" s="10">
        <f>'OT17-207 INDUMIL'!R30</f>
        <v>0</v>
      </c>
      <c r="F540" s="302">
        <f>'OT17-207 INDUMIL'!Q30</f>
        <v>0</v>
      </c>
      <c r="G540" s="11">
        <f t="shared" ref="G540:G541" si="580">IF(AND(D540="INGENIERÍA ELÉCTRICA",F540&lt;&gt;0),E540,0)</f>
        <v>0</v>
      </c>
      <c r="H540" s="11">
        <f t="shared" ref="H540:H541" si="581">IF(AND(D540="INGENIERÍA CIVIL",F540&lt;&gt;0),E540,0)</f>
        <v>0</v>
      </c>
      <c r="I540" s="11">
        <f t="shared" ref="I540:I541" si="582">IF(AND(D540="INGENIERÍA MECÁNICA",F540&lt;&gt;0),E540,0)</f>
        <v>0</v>
      </c>
      <c r="J540" s="11">
        <f t="shared" ref="J540:J541" si="583">IF(AND(D540="LINEAS",F540&lt;&gt;0),E540,0)</f>
        <v>0</v>
      </c>
    </row>
    <row r="541" spans="2:10" x14ac:dyDescent="0.3">
      <c r="B541" s="400" t="s">
        <v>809</v>
      </c>
      <c r="C541" s="9" t="str">
        <f>'OT17-207 INDUMIL'!C32</f>
        <v>Ingeniería mecánica (Levantamiento e ingeniería de detalle)</v>
      </c>
      <c r="D541" s="19" t="s">
        <v>762</v>
      </c>
      <c r="E541" s="10">
        <f>'OT17-207 INDUMIL'!R32</f>
        <v>0</v>
      </c>
      <c r="F541" s="302">
        <f>'OT17-207 INDUMIL'!Q32</f>
        <v>0</v>
      </c>
      <c r="G541" s="11">
        <f t="shared" si="580"/>
        <v>0</v>
      </c>
      <c r="H541" s="11">
        <f t="shared" si="581"/>
        <v>0</v>
      </c>
      <c r="I541" s="11">
        <f t="shared" si="582"/>
        <v>0</v>
      </c>
      <c r="J541" s="11">
        <f t="shared" si="583"/>
        <v>0</v>
      </c>
    </row>
    <row r="542" spans="2:10" x14ac:dyDescent="0.3">
      <c r="B542" s="400" t="s">
        <v>809</v>
      </c>
      <c r="C542" s="9" t="str">
        <f>'OT17-207 INDUMIL'!C33</f>
        <v>Ingeniería eléctrica (Levantamiento e ingeniería de detalle)</v>
      </c>
      <c r="D542" s="19" t="s">
        <v>761</v>
      </c>
      <c r="E542" s="10">
        <f>'OT17-207 INDUMIL'!R33</f>
        <v>0</v>
      </c>
      <c r="F542" s="302">
        <f>'OT17-207 INDUMIL'!Q33</f>
        <v>0</v>
      </c>
      <c r="G542" s="11">
        <f t="shared" ref="G542" si="584">IF(AND(D542="INGENIERÍA ELÉCTRICA",F542&lt;&gt;0),E542,0)</f>
        <v>0</v>
      </c>
      <c r="H542" s="11">
        <f t="shared" ref="H542" si="585">IF(AND(D542="INGENIERÍA CIVIL",F542&lt;&gt;0),E542,0)</f>
        <v>0</v>
      </c>
      <c r="I542" s="11">
        <f t="shared" ref="I542" si="586">IF(AND(D542="INGENIERÍA MECÁNICA",F542&lt;&gt;0),E542,0)</f>
        <v>0</v>
      </c>
      <c r="J542" s="11">
        <f t="shared" ref="J542" si="587">IF(AND(D542="LINEAS",F542&lt;&gt;0),E542,0)</f>
        <v>0</v>
      </c>
    </row>
    <row r="543" spans="2:10" x14ac:dyDescent="0.3">
      <c r="B543" s="400" t="s">
        <v>1228</v>
      </c>
      <c r="C543" s="9" t="e">
        <f>#REF!</f>
        <v>#REF!</v>
      </c>
      <c r="D543" s="19" t="s">
        <v>760</v>
      </c>
      <c r="E543" s="10" t="e">
        <f>#REF!</f>
        <v>#REF!</v>
      </c>
      <c r="F543" s="302" t="e">
        <f>#REF!</f>
        <v>#REF!</v>
      </c>
      <c r="G543" s="11" t="e">
        <f t="shared" ref="G543" si="588">IF(AND(D543="INGENIERÍA ELÉCTRICA",F543&lt;&gt;0),E543,0)</f>
        <v>#REF!</v>
      </c>
      <c r="H543" s="11" t="e">
        <f t="shared" ref="H543" si="589">IF(AND(D543="INGENIERÍA CIVIL",F543&lt;&gt;0),E543,0)</f>
        <v>#REF!</v>
      </c>
      <c r="I543" s="11" t="e">
        <f t="shared" ref="I543" si="590">IF(AND(D543="INGENIERÍA MECÁNICA",F543&lt;&gt;0),E543,0)</f>
        <v>#REF!</v>
      </c>
      <c r="J543" s="11" t="e">
        <f t="shared" ref="J543" si="591">IF(AND(D543="LINEAS",F543&lt;&gt;0),E543,0)</f>
        <v>#REF!</v>
      </c>
    </row>
    <row r="544" spans="2:10" x14ac:dyDescent="0.3">
      <c r="B544" s="400" t="s">
        <v>1228</v>
      </c>
      <c r="C544" s="9" t="e">
        <f>#REF!</f>
        <v>#REF!</v>
      </c>
      <c r="D544" s="19" t="s">
        <v>762</v>
      </c>
      <c r="E544" s="10" t="e">
        <f>#REF!</f>
        <v>#REF!</v>
      </c>
      <c r="F544" s="302" t="e">
        <f>#REF!</f>
        <v>#REF!</v>
      </c>
      <c r="G544" s="11" t="e">
        <f t="shared" ref="G544:G550" si="592">IF(AND(D544="INGENIERÍA ELÉCTRICA",F544&lt;&gt;0),E544,0)</f>
        <v>#REF!</v>
      </c>
      <c r="H544" s="11" t="e">
        <f t="shared" ref="H544:H550" si="593">IF(AND(D544="INGENIERÍA CIVIL",F544&lt;&gt;0),E544,0)</f>
        <v>#REF!</v>
      </c>
      <c r="I544" s="11" t="e">
        <f t="shared" ref="I544:I550" si="594">IF(AND(D544="INGENIERÍA MECÁNICA",F544&lt;&gt;0),E544,0)</f>
        <v>#REF!</v>
      </c>
      <c r="J544" s="11" t="e">
        <f t="shared" ref="J544:J550" si="595">IF(AND(D544="LINEAS",F544&lt;&gt;0),E544,0)</f>
        <v>#REF!</v>
      </c>
    </row>
    <row r="545" spans="2:10" x14ac:dyDescent="0.3">
      <c r="B545" s="400" t="s">
        <v>1228</v>
      </c>
      <c r="C545" s="9" t="e">
        <f>#REF!</f>
        <v>#REF!</v>
      </c>
      <c r="D545" s="19" t="s">
        <v>761</v>
      </c>
      <c r="E545" s="10" t="e">
        <f>#REF!</f>
        <v>#REF!</v>
      </c>
      <c r="F545" s="302" t="e">
        <f>#REF!</f>
        <v>#REF!</v>
      </c>
      <c r="G545" s="11" t="e">
        <f t="shared" si="592"/>
        <v>#REF!</v>
      </c>
      <c r="H545" s="11" t="e">
        <f t="shared" si="593"/>
        <v>#REF!</v>
      </c>
      <c r="I545" s="11" t="e">
        <f t="shared" si="594"/>
        <v>#REF!</v>
      </c>
      <c r="J545" s="11" t="e">
        <f t="shared" si="595"/>
        <v>#REF!</v>
      </c>
    </row>
    <row r="546" spans="2:10" x14ac:dyDescent="0.3">
      <c r="B546" s="400" t="s">
        <v>1228</v>
      </c>
      <c r="C546" s="9" t="e">
        <f>#REF!</f>
        <v>#REF!</v>
      </c>
      <c r="D546" s="19" t="s">
        <v>760</v>
      </c>
      <c r="E546" s="10" t="e">
        <f>#REF!</f>
        <v>#REF!</v>
      </c>
      <c r="F546" s="302" t="e">
        <f>#REF!</f>
        <v>#REF!</v>
      </c>
      <c r="G546" s="11" t="e">
        <f t="shared" si="592"/>
        <v>#REF!</v>
      </c>
      <c r="H546" s="11" t="e">
        <f t="shared" si="593"/>
        <v>#REF!</v>
      </c>
      <c r="I546" s="11" t="e">
        <f t="shared" si="594"/>
        <v>#REF!</v>
      </c>
      <c r="J546" s="11" t="e">
        <f t="shared" si="595"/>
        <v>#REF!</v>
      </c>
    </row>
    <row r="547" spans="2:10" x14ac:dyDescent="0.3">
      <c r="B547" s="400" t="s">
        <v>1228</v>
      </c>
      <c r="C547" s="9" t="e">
        <f>#REF!</f>
        <v>#REF!</v>
      </c>
      <c r="D547" s="19" t="s">
        <v>762</v>
      </c>
      <c r="E547" s="10" t="e">
        <f>#REF!</f>
        <v>#REF!</v>
      </c>
      <c r="F547" s="302" t="e">
        <f>#REF!</f>
        <v>#REF!</v>
      </c>
      <c r="G547" s="11" t="e">
        <f t="shared" si="592"/>
        <v>#REF!</v>
      </c>
      <c r="H547" s="11" t="e">
        <f t="shared" si="593"/>
        <v>#REF!</v>
      </c>
      <c r="I547" s="11" t="e">
        <f t="shared" si="594"/>
        <v>#REF!</v>
      </c>
      <c r="J547" s="11" t="e">
        <f t="shared" si="595"/>
        <v>#REF!</v>
      </c>
    </row>
    <row r="548" spans="2:10" x14ac:dyDescent="0.3">
      <c r="B548" s="400" t="s">
        <v>1228</v>
      </c>
      <c r="C548" s="9" t="e">
        <f>#REF!</f>
        <v>#REF!</v>
      </c>
      <c r="D548" s="19" t="s">
        <v>761</v>
      </c>
      <c r="E548" s="10" t="e">
        <f>#REF!</f>
        <v>#REF!</v>
      </c>
      <c r="F548" s="302" t="e">
        <f>#REF!</f>
        <v>#REF!</v>
      </c>
      <c r="G548" s="11" t="e">
        <f t="shared" si="592"/>
        <v>#REF!</v>
      </c>
      <c r="H548" s="11" t="e">
        <f t="shared" si="593"/>
        <v>#REF!</v>
      </c>
      <c r="I548" s="11" t="e">
        <f t="shared" si="594"/>
        <v>#REF!</v>
      </c>
      <c r="J548" s="11" t="e">
        <f t="shared" si="595"/>
        <v>#REF!</v>
      </c>
    </row>
    <row r="549" spans="2:10" x14ac:dyDescent="0.3">
      <c r="B549" s="400" t="s">
        <v>1228</v>
      </c>
      <c r="C549" s="9" t="e">
        <f>#REF!</f>
        <v>#REF!</v>
      </c>
      <c r="D549" s="19" t="s">
        <v>762</v>
      </c>
      <c r="E549" s="10" t="e">
        <f>#REF!</f>
        <v>#REF!</v>
      </c>
      <c r="F549" s="302" t="e">
        <f>#REF!</f>
        <v>#REF!</v>
      </c>
      <c r="G549" s="11" t="e">
        <f t="shared" si="592"/>
        <v>#REF!</v>
      </c>
      <c r="H549" s="11" t="e">
        <f t="shared" si="593"/>
        <v>#REF!</v>
      </c>
      <c r="I549" s="11" t="e">
        <f t="shared" si="594"/>
        <v>#REF!</v>
      </c>
      <c r="J549" s="11" t="e">
        <f t="shared" si="595"/>
        <v>#REF!</v>
      </c>
    </row>
    <row r="550" spans="2:10" x14ac:dyDescent="0.3">
      <c r="B550" s="400" t="s">
        <v>1228</v>
      </c>
      <c r="C550" s="9" t="e">
        <f>#REF!</f>
        <v>#REF!</v>
      </c>
      <c r="D550" s="19" t="s">
        <v>761</v>
      </c>
      <c r="E550" s="10" t="e">
        <f>#REF!</f>
        <v>#REF!</v>
      </c>
      <c r="F550" s="302" t="e">
        <f>#REF!</f>
        <v>#REF!</v>
      </c>
      <c r="G550" s="11" t="e">
        <f t="shared" si="592"/>
        <v>#REF!</v>
      </c>
      <c r="H550" s="11" t="e">
        <f t="shared" si="593"/>
        <v>#REF!</v>
      </c>
      <c r="I550" s="11" t="e">
        <f t="shared" si="594"/>
        <v>#REF!</v>
      </c>
      <c r="J550" s="11" t="e">
        <f t="shared" si="595"/>
        <v>#REF!</v>
      </c>
    </row>
    <row r="551" spans="2:10" x14ac:dyDescent="0.3">
      <c r="B551" s="400" t="s">
        <v>1228</v>
      </c>
      <c r="C551" s="9" t="e">
        <f>#REF!</f>
        <v>#REF!</v>
      </c>
      <c r="D551" s="19" t="s">
        <v>760</v>
      </c>
      <c r="E551" s="10" t="e">
        <f>#REF!</f>
        <v>#REF!</v>
      </c>
      <c r="F551" s="302" t="e">
        <f>#REF!</f>
        <v>#REF!</v>
      </c>
      <c r="G551" s="11" t="e">
        <f t="shared" ref="G551:G554" si="596">IF(AND(D551="INGENIERÍA ELÉCTRICA",F551&lt;&gt;0),E551,0)</f>
        <v>#REF!</v>
      </c>
      <c r="H551" s="11" t="e">
        <f t="shared" ref="H551:H554" si="597">IF(AND(D551="INGENIERÍA CIVIL",F551&lt;&gt;0),E551,0)</f>
        <v>#REF!</v>
      </c>
      <c r="I551" s="11" t="e">
        <f t="shared" ref="I551:I554" si="598">IF(AND(D551="INGENIERÍA MECÁNICA",F551&lt;&gt;0),E551,0)</f>
        <v>#REF!</v>
      </c>
      <c r="J551" s="11" t="e">
        <f t="shared" ref="J551:J554" si="599">IF(AND(D551="LINEAS",F551&lt;&gt;0),E551,0)</f>
        <v>#REF!</v>
      </c>
    </row>
    <row r="552" spans="2:10" x14ac:dyDescent="0.3">
      <c r="B552" s="400" t="s">
        <v>1228</v>
      </c>
      <c r="C552" s="9" t="e">
        <f>#REF!</f>
        <v>#REF!</v>
      </c>
      <c r="D552" s="19" t="s">
        <v>762</v>
      </c>
      <c r="E552" s="10" t="e">
        <f>#REF!</f>
        <v>#REF!</v>
      </c>
      <c r="F552" s="302" t="e">
        <f>#REF!</f>
        <v>#REF!</v>
      </c>
      <c r="G552" s="11" t="e">
        <f t="shared" si="596"/>
        <v>#REF!</v>
      </c>
      <c r="H552" s="11" t="e">
        <f t="shared" si="597"/>
        <v>#REF!</v>
      </c>
      <c r="I552" s="11" t="e">
        <f t="shared" si="598"/>
        <v>#REF!</v>
      </c>
      <c r="J552" s="11" t="e">
        <f t="shared" si="599"/>
        <v>#REF!</v>
      </c>
    </row>
    <row r="553" spans="2:10" x14ac:dyDescent="0.3">
      <c r="B553" s="400" t="s">
        <v>1228</v>
      </c>
      <c r="C553" s="9" t="e">
        <f>#REF!</f>
        <v>#REF!</v>
      </c>
      <c r="D553" s="19" t="s">
        <v>761</v>
      </c>
      <c r="E553" s="10" t="e">
        <f>#REF!</f>
        <v>#REF!</v>
      </c>
      <c r="F553" s="302" t="e">
        <f>#REF!</f>
        <v>#REF!</v>
      </c>
      <c r="G553" s="11" t="e">
        <f t="shared" si="596"/>
        <v>#REF!</v>
      </c>
      <c r="H553" s="11" t="e">
        <f t="shared" si="597"/>
        <v>#REF!</v>
      </c>
      <c r="I553" s="11" t="e">
        <f t="shared" si="598"/>
        <v>#REF!</v>
      </c>
      <c r="J553" s="11" t="e">
        <f t="shared" si="599"/>
        <v>#REF!</v>
      </c>
    </row>
    <row r="554" spans="2:10" x14ac:dyDescent="0.3">
      <c r="B554" s="400" t="s">
        <v>1228</v>
      </c>
      <c r="C554" s="9" t="e">
        <f>#REF!</f>
        <v>#REF!</v>
      </c>
      <c r="D554" s="19" t="s">
        <v>760</v>
      </c>
      <c r="E554" s="10" t="e">
        <f>#REF!</f>
        <v>#REF!</v>
      </c>
      <c r="F554" s="302" t="e">
        <f>#REF!</f>
        <v>#REF!</v>
      </c>
      <c r="G554" s="11" t="e">
        <f t="shared" si="596"/>
        <v>#REF!</v>
      </c>
      <c r="H554" s="11" t="e">
        <f t="shared" si="597"/>
        <v>#REF!</v>
      </c>
      <c r="I554" s="11" t="e">
        <f t="shared" si="598"/>
        <v>#REF!</v>
      </c>
      <c r="J554" s="11" t="e">
        <f t="shared" si="599"/>
        <v>#REF!</v>
      </c>
    </row>
    <row r="555" spans="2:10" x14ac:dyDescent="0.3">
      <c r="B555" s="400" t="s">
        <v>1228</v>
      </c>
      <c r="C555" s="9" t="e">
        <f>#REF!</f>
        <v>#REF!</v>
      </c>
      <c r="D555" s="19" t="s">
        <v>762</v>
      </c>
      <c r="E555" s="10" t="e">
        <f>#REF!</f>
        <v>#REF!</v>
      </c>
      <c r="F555" s="302" t="e">
        <f>#REF!</f>
        <v>#REF!</v>
      </c>
      <c r="G555" s="11" t="e">
        <f t="shared" ref="G555:G558" si="600">IF(AND(D555="INGENIERÍA ELÉCTRICA",F555&lt;&gt;0),E555,0)</f>
        <v>#REF!</v>
      </c>
      <c r="H555" s="11" t="e">
        <f t="shared" ref="H555:H558" si="601">IF(AND(D555="INGENIERÍA CIVIL",F555&lt;&gt;0),E555,0)</f>
        <v>#REF!</v>
      </c>
      <c r="I555" s="11" t="e">
        <f t="shared" ref="I555:I558" si="602">IF(AND(D555="INGENIERÍA MECÁNICA",F555&lt;&gt;0),E555,0)</f>
        <v>#REF!</v>
      </c>
      <c r="J555" s="11" t="e">
        <f t="shared" ref="J555:J558" si="603">IF(AND(D555="LINEAS",F555&lt;&gt;0),E555,0)</f>
        <v>#REF!</v>
      </c>
    </row>
    <row r="556" spans="2:10" x14ac:dyDescent="0.3">
      <c r="B556" s="400" t="s">
        <v>1228</v>
      </c>
      <c r="C556" s="9" t="e">
        <f>#REF!</f>
        <v>#REF!</v>
      </c>
      <c r="D556" s="19" t="s">
        <v>761</v>
      </c>
      <c r="E556" s="10" t="e">
        <f>#REF!</f>
        <v>#REF!</v>
      </c>
      <c r="F556" s="302" t="e">
        <f>#REF!</f>
        <v>#REF!</v>
      </c>
      <c r="G556" s="11" t="e">
        <f t="shared" si="600"/>
        <v>#REF!</v>
      </c>
      <c r="H556" s="11" t="e">
        <f t="shared" si="601"/>
        <v>#REF!</v>
      </c>
      <c r="I556" s="11" t="e">
        <f t="shared" si="602"/>
        <v>#REF!</v>
      </c>
      <c r="J556" s="11" t="e">
        <f t="shared" si="603"/>
        <v>#REF!</v>
      </c>
    </row>
    <row r="557" spans="2:10" x14ac:dyDescent="0.3">
      <c r="B557" s="400" t="s">
        <v>1228</v>
      </c>
      <c r="C557" s="9" t="e">
        <f>#REF!</f>
        <v>#REF!</v>
      </c>
      <c r="D557" s="19" t="s">
        <v>762</v>
      </c>
      <c r="E557" s="10" t="e">
        <f>#REF!</f>
        <v>#REF!</v>
      </c>
      <c r="F557" s="302" t="e">
        <f>#REF!</f>
        <v>#REF!</v>
      </c>
      <c r="G557" s="11" t="e">
        <f t="shared" si="600"/>
        <v>#REF!</v>
      </c>
      <c r="H557" s="11" t="e">
        <f t="shared" si="601"/>
        <v>#REF!</v>
      </c>
      <c r="I557" s="11" t="e">
        <f t="shared" si="602"/>
        <v>#REF!</v>
      </c>
      <c r="J557" s="11" t="e">
        <f t="shared" si="603"/>
        <v>#REF!</v>
      </c>
    </row>
    <row r="558" spans="2:10" x14ac:dyDescent="0.3">
      <c r="B558" s="400" t="s">
        <v>1228</v>
      </c>
      <c r="C558" s="9" t="e">
        <f>#REF!</f>
        <v>#REF!</v>
      </c>
      <c r="D558" s="19" t="s">
        <v>761</v>
      </c>
      <c r="E558" s="10" t="e">
        <f>#REF!</f>
        <v>#REF!</v>
      </c>
      <c r="F558" s="302" t="e">
        <f>#REF!</f>
        <v>#REF!</v>
      </c>
      <c r="G558" s="11" t="e">
        <f t="shared" si="600"/>
        <v>#REF!</v>
      </c>
      <c r="H558" s="11" t="e">
        <f t="shared" si="601"/>
        <v>#REF!</v>
      </c>
      <c r="I558" s="11" t="e">
        <f t="shared" si="602"/>
        <v>#REF!</v>
      </c>
      <c r="J558" s="11" t="e">
        <f t="shared" si="603"/>
        <v>#REF!</v>
      </c>
    </row>
    <row r="559" spans="2:10" x14ac:dyDescent="0.3">
      <c r="B559" s="400" t="s">
        <v>1228</v>
      </c>
      <c r="C559" s="9" t="e">
        <f>#REF!</f>
        <v>#REF!</v>
      </c>
      <c r="D559" s="19" t="s">
        <v>760</v>
      </c>
      <c r="E559" s="10" t="e">
        <f>#REF!</f>
        <v>#REF!</v>
      </c>
      <c r="F559" s="302" t="e">
        <f>#REF!</f>
        <v>#REF!</v>
      </c>
      <c r="G559" s="11" t="e">
        <f t="shared" ref="G559:G561" si="604">IF(AND(D559="INGENIERÍA ELÉCTRICA",F559&lt;&gt;0),E559,0)</f>
        <v>#REF!</v>
      </c>
      <c r="H559" s="11" t="e">
        <f t="shared" ref="H559:H561" si="605">IF(AND(D559="INGENIERÍA CIVIL",F559&lt;&gt;0),E559,0)</f>
        <v>#REF!</v>
      </c>
      <c r="I559" s="11" t="e">
        <f t="shared" ref="I559:I561" si="606">IF(AND(D559="INGENIERÍA MECÁNICA",F559&lt;&gt;0),E559,0)</f>
        <v>#REF!</v>
      </c>
      <c r="J559" s="11" t="e">
        <f t="shared" ref="J559:J561" si="607">IF(AND(D559="LINEAS",F559&lt;&gt;0),E559,0)</f>
        <v>#REF!</v>
      </c>
    </row>
    <row r="560" spans="2:10" x14ac:dyDescent="0.3">
      <c r="B560" s="400" t="s">
        <v>1228</v>
      </c>
      <c r="C560" s="9" t="e">
        <f>#REF!</f>
        <v>#REF!</v>
      </c>
      <c r="D560" s="19" t="s">
        <v>762</v>
      </c>
      <c r="E560" s="10" t="e">
        <f>#REF!</f>
        <v>#REF!</v>
      </c>
      <c r="F560" s="302" t="e">
        <f>#REF!</f>
        <v>#REF!</v>
      </c>
      <c r="G560" s="11" t="e">
        <f t="shared" si="604"/>
        <v>#REF!</v>
      </c>
      <c r="H560" s="11" t="e">
        <f t="shared" si="605"/>
        <v>#REF!</v>
      </c>
      <c r="I560" s="11" t="e">
        <f t="shared" si="606"/>
        <v>#REF!</v>
      </c>
      <c r="J560" s="11" t="e">
        <f t="shared" si="607"/>
        <v>#REF!</v>
      </c>
    </row>
    <row r="561" spans="2:10" x14ac:dyDescent="0.3">
      <c r="B561" s="400" t="s">
        <v>1228</v>
      </c>
      <c r="C561" s="9" t="e">
        <f>#REF!</f>
        <v>#REF!</v>
      </c>
      <c r="D561" s="19" t="s">
        <v>761</v>
      </c>
      <c r="E561" s="10" t="e">
        <f>#REF!</f>
        <v>#REF!</v>
      </c>
      <c r="F561" s="302" t="e">
        <f>#REF!</f>
        <v>#REF!</v>
      </c>
      <c r="G561" s="11" t="e">
        <f t="shared" si="604"/>
        <v>#REF!</v>
      </c>
      <c r="H561" s="11" t="e">
        <f t="shared" si="605"/>
        <v>#REF!</v>
      </c>
      <c r="I561" s="11" t="e">
        <f t="shared" si="606"/>
        <v>#REF!</v>
      </c>
      <c r="J561" s="11" t="e">
        <f t="shared" si="607"/>
        <v>#REF!</v>
      </c>
    </row>
    <row r="562" spans="2:10" x14ac:dyDescent="0.3">
      <c r="B562" s="400" t="s">
        <v>1228</v>
      </c>
      <c r="C562" s="9" t="e">
        <f>#REF!</f>
        <v>#REF!</v>
      </c>
      <c r="D562" s="19" t="s">
        <v>760</v>
      </c>
      <c r="E562" s="10" t="e">
        <f>#REF!</f>
        <v>#REF!</v>
      </c>
      <c r="F562" s="302" t="e">
        <f>#REF!</f>
        <v>#REF!</v>
      </c>
      <c r="G562" s="11" t="e">
        <f t="shared" ref="G562:G565" si="608">IF(AND(D562="INGENIERÍA ELÉCTRICA",F562&lt;&gt;0),E562,0)</f>
        <v>#REF!</v>
      </c>
      <c r="H562" s="11" t="e">
        <f t="shared" ref="H562:H565" si="609">IF(AND(D562="INGENIERÍA CIVIL",F562&lt;&gt;0),E562,0)</f>
        <v>#REF!</v>
      </c>
      <c r="I562" s="11" t="e">
        <f t="shared" ref="I562:I565" si="610">IF(AND(D562="INGENIERÍA MECÁNICA",F562&lt;&gt;0),E562,0)</f>
        <v>#REF!</v>
      </c>
      <c r="J562" s="11" t="e">
        <f t="shared" ref="J562:J565" si="611">IF(AND(D562="LINEAS",F562&lt;&gt;0),E562,0)</f>
        <v>#REF!</v>
      </c>
    </row>
    <row r="563" spans="2:10" x14ac:dyDescent="0.3">
      <c r="B563" s="400" t="s">
        <v>1228</v>
      </c>
      <c r="C563" s="9" t="e">
        <f>#REF!</f>
        <v>#REF!</v>
      </c>
      <c r="D563" s="19" t="s">
        <v>762</v>
      </c>
      <c r="E563" s="10" t="e">
        <f>#REF!</f>
        <v>#REF!</v>
      </c>
      <c r="F563" s="302" t="e">
        <f>#REF!</f>
        <v>#REF!</v>
      </c>
      <c r="G563" s="11" t="e">
        <f t="shared" si="608"/>
        <v>#REF!</v>
      </c>
      <c r="H563" s="11" t="e">
        <f t="shared" si="609"/>
        <v>#REF!</v>
      </c>
      <c r="I563" s="11" t="e">
        <f t="shared" si="610"/>
        <v>#REF!</v>
      </c>
      <c r="J563" s="11" t="e">
        <f t="shared" si="611"/>
        <v>#REF!</v>
      </c>
    </row>
    <row r="564" spans="2:10" x14ac:dyDescent="0.3">
      <c r="B564" s="400" t="s">
        <v>1228</v>
      </c>
      <c r="C564" s="9" t="e">
        <f>#REF!</f>
        <v>#REF!</v>
      </c>
      <c r="D564" s="19" t="s">
        <v>761</v>
      </c>
      <c r="E564" s="10" t="e">
        <f>#REF!</f>
        <v>#REF!</v>
      </c>
      <c r="F564" s="302" t="e">
        <f>#REF!</f>
        <v>#REF!</v>
      </c>
      <c r="G564" s="11" t="e">
        <f t="shared" si="608"/>
        <v>#REF!</v>
      </c>
      <c r="H564" s="11" t="e">
        <f t="shared" si="609"/>
        <v>#REF!</v>
      </c>
      <c r="I564" s="11" t="e">
        <f t="shared" si="610"/>
        <v>#REF!</v>
      </c>
      <c r="J564" s="11" t="e">
        <f t="shared" si="611"/>
        <v>#REF!</v>
      </c>
    </row>
    <row r="565" spans="2:10" x14ac:dyDescent="0.3">
      <c r="B565" s="400" t="s">
        <v>1228</v>
      </c>
      <c r="C565" s="9" t="e">
        <f>#REF!</f>
        <v>#REF!</v>
      </c>
      <c r="D565" s="19" t="s">
        <v>762</v>
      </c>
      <c r="E565" s="10" t="e">
        <f>#REF!</f>
        <v>#REF!</v>
      </c>
      <c r="F565" s="302" t="e">
        <f>#REF!</f>
        <v>#REF!</v>
      </c>
      <c r="G565" s="11" t="e">
        <f t="shared" si="608"/>
        <v>#REF!</v>
      </c>
      <c r="H565" s="11" t="e">
        <f t="shared" si="609"/>
        <v>#REF!</v>
      </c>
      <c r="I565" s="11" t="e">
        <f t="shared" si="610"/>
        <v>#REF!</v>
      </c>
      <c r="J565" s="11" t="e">
        <f t="shared" si="611"/>
        <v>#REF!</v>
      </c>
    </row>
    <row r="566" spans="2:10" x14ac:dyDescent="0.3">
      <c r="B566" s="400" t="s">
        <v>1228</v>
      </c>
      <c r="C566" s="9" t="e">
        <f>#REF!</f>
        <v>#REF!</v>
      </c>
      <c r="D566" s="19" t="s">
        <v>761</v>
      </c>
      <c r="E566" s="10" t="e">
        <f>#REF!</f>
        <v>#REF!</v>
      </c>
      <c r="F566" s="302" t="e">
        <f>#REF!</f>
        <v>#REF!</v>
      </c>
      <c r="G566" s="11" t="e">
        <f t="shared" ref="G566:G569" si="612">IF(AND(D566="INGENIERÍA ELÉCTRICA",F566&lt;&gt;0),E566,0)</f>
        <v>#REF!</v>
      </c>
      <c r="H566" s="11" t="e">
        <f t="shared" ref="H566:H569" si="613">IF(AND(D566="INGENIERÍA CIVIL",F566&lt;&gt;0),E566,0)</f>
        <v>#REF!</v>
      </c>
      <c r="I566" s="11" t="e">
        <f t="shared" ref="I566:I569" si="614">IF(AND(D566="INGENIERÍA MECÁNICA",F566&lt;&gt;0),E566,0)</f>
        <v>#REF!</v>
      </c>
      <c r="J566" s="11" t="e">
        <f t="shared" ref="J566:J569" si="615">IF(AND(D566="LINEAS",F566&lt;&gt;0),E566,0)</f>
        <v>#REF!</v>
      </c>
    </row>
    <row r="567" spans="2:10" x14ac:dyDescent="0.3">
      <c r="B567" s="400" t="s">
        <v>1228</v>
      </c>
      <c r="C567" s="9" t="e">
        <f>#REF!</f>
        <v>#REF!</v>
      </c>
      <c r="D567" s="19" t="s">
        <v>760</v>
      </c>
      <c r="E567" s="10" t="e">
        <f>#REF!</f>
        <v>#REF!</v>
      </c>
      <c r="F567" s="302" t="e">
        <f>#REF!</f>
        <v>#REF!</v>
      </c>
      <c r="G567" s="11" t="e">
        <f t="shared" si="612"/>
        <v>#REF!</v>
      </c>
      <c r="H567" s="11" t="e">
        <f t="shared" si="613"/>
        <v>#REF!</v>
      </c>
      <c r="I567" s="11" t="e">
        <f t="shared" si="614"/>
        <v>#REF!</v>
      </c>
      <c r="J567" s="11" t="e">
        <f t="shared" si="615"/>
        <v>#REF!</v>
      </c>
    </row>
    <row r="568" spans="2:10" x14ac:dyDescent="0.3">
      <c r="B568" s="400" t="s">
        <v>1228</v>
      </c>
      <c r="C568" s="9" t="e">
        <f>#REF!</f>
        <v>#REF!</v>
      </c>
      <c r="D568" s="19" t="s">
        <v>762</v>
      </c>
      <c r="E568" s="10" t="e">
        <f>#REF!</f>
        <v>#REF!</v>
      </c>
      <c r="F568" s="302" t="e">
        <f>#REF!</f>
        <v>#REF!</v>
      </c>
      <c r="G568" s="11" t="e">
        <f t="shared" si="612"/>
        <v>#REF!</v>
      </c>
      <c r="H568" s="11" t="e">
        <f t="shared" si="613"/>
        <v>#REF!</v>
      </c>
      <c r="I568" s="11" t="e">
        <f t="shared" si="614"/>
        <v>#REF!</v>
      </c>
      <c r="J568" s="11" t="e">
        <f t="shared" si="615"/>
        <v>#REF!</v>
      </c>
    </row>
    <row r="569" spans="2:10" x14ac:dyDescent="0.3">
      <c r="B569" s="400" t="s">
        <v>1228</v>
      </c>
      <c r="C569" s="9" t="e">
        <f>#REF!</f>
        <v>#REF!</v>
      </c>
      <c r="D569" s="19" t="s">
        <v>761</v>
      </c>
      <c r="E569" s="10" t="e">
        <f>#REF!</f>
        <v>#REF!</v>
      </c>
      <c r="F569" s="302" t="e">
        <f>#REF!</f>
        <v>#REF!</v>
      </c>
      <c r="G569" s="11" t="e">
        <f t="shared" si="612"/>
        <v>#REF!</v>
      </c>
      <c r="H569" s="11" t="e">
        <f t="shared" si="613"/>
        <v>#REF!</v>
      </c>
      <c r="I569" s="11" t="e">
        <f t="shared" si="614"/>
        <v>#REF!</v>
      </c>
      <c r="J569" s="11" t="e">
        <f t="shared" si="615"/>
        <v>#REF!</v>
      </c>
    </row>
    <row r="570" spans="2:10" x14ac:dyDescent="0.3">
      <c r="B570" s="400" t="s">
        <v>1228</v>
      </c>
      <c r="C570" s="9" t="e">
        <f>#REF!</f>
        <v>#REF!</v>
      </c>
      <c r="D570" s="19" t="s">
        <v>760</v>
      </c>
      <c r="E570" s="10" t="e">
        <f>#REF!</f>
        <v>#REF!</v>
      </c>
      <c r="F570" s="302" t="e">
        <f>#REF!</f>
        <v>#REF!</v>
      </c>
      <c r="G570" s="11" t="e">
        <f t="shared" ref="G570:G572" si="616">IF(AND(D570="INGENIERÍA ELÉCTRICA",F570&lt;&gt;0),E570,0)</f>
        <v>#REF!</v>
      </c>
      <c r="H570" s="11" t="e">
        <f t="shared" ref="H570:H572" si="617">IF(AND(D570="INGENIERÍA CIVIL",F570&lt;&gt;0),E570,0)</f>
        <v>#REF!</v>
      </c>
      <c r="I570" s="11" t="e">
        <f t="shared" ref="I570:I572" si="618">IF(AND(D570="INGENIERÍA MECÁNICA",F570&lt;&gt;0),E570,0)</f>
        <v>#REF!</v>
      </c>
      <c r="J570" s="11" t="e">
        <f t="shared" ref="J570:J572" si="619">IF(AND(D570="LINEAS",F570&lt;&gt;0),E570,0)</f>
        <v>#REF!</v>
      </c>
    </row>
    <row r="571" spans="2:10" x14ac:dyDescent="0.3">
      <c r="B571" s="400" t="s">
        <v>1228</v>
      </c>
      <c r="C571" s="9" t="e">
        <f>#REF!</f>
        <v>#REF!</v>
      </c>
      <c r="D571" s="19" t="s">
        <v>762</v>
      </c>
      <c r="E571" s="10" t="e">
        <f>#REF!</f>
        <v>#REF!</v>
      </c>
      <c r="F571" s="302" t="e">
        <f>#REF!</f>
        <v>#REF!</v>
      </c>
      <c r="G571" s="11" t="e">
        <f t="shared" si="616"/>
        <v>#REF!</v>
      </c>
      <c r="H571" s="11" t="e">
        <f t="shared" si="617"/>
        <v>#REF!</v>
      </c>
      <c r="I571" s="11" t="e">
        <f t="shared" si="618"/>
        <v>#REF!</v>
      </c>
      <c r="J571" s="11" t="e">
        <f t="shared" si="619"/>
        <v>#REF!</v>
      </c>
    </row>
    <row r="572" spans="2:10" x14ac:dyDescent="0.3">
      <c r="B572" s="400" t="s">
        <v>1228</v>
      </c>
      <c r="C572" s="9" t="e">
        <f>#REF!</f>
        <v>#REF!</v>
      </c>
      <c r="D572" s="19" t="s">
        <v>761</v>
      </c>
      <c r="E572" s="10" t="e">
        <f>#REF!</f>
        <v>#REF!</v>
      </c>
      <c r="F572" s="302" t="e">
        <f>#REF!</f>
        <v>#REF!</v>
      </c>
      <c r="G572" s="11" t="e">
        <f t="shared" si="616"/>
        <v>#REF!</v>
      </c>
      <c r="H572" s="11" t="e">
        <f t="shared" si="617"/>
        <v>#REF!</v>
      </c>
      <c r="I572" s="11" t="e">
        <f t="shared" si="618"/>
        <v>#REF!</v>
      </c>
      <c r="J572" s="11" t="e">
        <f t="shared" si="619"/>
        <v>#REF!</v>
      </c>
    </row>
    <row r="573" spans="2:10" x14ac:dyDescent="0.3">
      <c r="B573" s="400" t="s">
        <v>1228</v>
      </c>
      <c r="C573" s="9" t="e">
        <f>#REF!</f>
        <v>#REF!</v>
      </c>
      <c r="D573" s="19" t="s">
        <v>762</v>
      </c>
      <c r="E573" s="10" t="e">
        <f>#REF!</f>
        <v>#REF!</v>
      </c>
      <c r="F573" s="302" t="e">
        <f>#REF!</f>
        <v>#REF!</v>
      </c>
      <c r="G573" s="11" t="e">
        <f t="shared" ref="G573:G576" si="620">IF(AND(D573="INGENIERÍA ELÉCTRICA",F573&lt;&gt;0),E573,0)</f>
        <v>#REF!</v>
      </c>
      <c r="H573" s="11" t="e">
        <f t="shared" ref="H573:H576" si="621">IF(AND(D573="INGENIERÍA CIVIL",F573&lt;&gt;0),E573,0)</f>
        <v>#REF!</v>
      </c>
      <c r="I573" s="11" t="e">
        <f t="shared" ref="I573:I576" si="622">IF(AND(D573="INGENIERÍA MECÁNICA",F573&lt;&gt;0),E573,0)</f>
        <v>#REF!</v>
      </c>
      <c r="J573" s="11" t="e">
        <f t="shared" ref="J573:J576" si="623">IF(AND(D573="LINEAS",F573&lt;&gt;0),E573,0)</f>
        <v>#REF!</v>
      </c>
    </row>
    <row r="574" spans="2:10" x14ac:dyDescent="0.3">
      <c r="B574" s="400" t="s">
        <v>1228</v>
      </c>
      <c r="C574" s="9" t="e">
        <f>#REF!</f>
        <v>#REF!</v>
      </c>
      <c r="D574" s="19" t="s">
        <v>761</v>
      </c>
      <c r="E574" s="10" t="e">
        <f>#REF!</f>
        <v>#REF!</v>
      </c>
      <c r="F574" s="302" t="e">
        <f>#REF!</f>
        <v>#REF!</v>
      </c>
      <c r="G574" s="11" t="e">
        <f t="shared" si="620"/>
        <v>#REF!</v>
      </c>
      <c r="H574" s="11" t="e">
        <f t="shared" si="621"/>
        <v>#REF!</v>
      </c>
      <c r="I574" s="11" t="e">
        <f t="shared" si="622"/>
        <v>#REF!</v>
      </c>
      <c r="J574" s="11" t="e">
        <f t="shared" si="623"/>
        <v>#REF!</v>
      </c>
    </row>
    <row r="575" spans="2:10" x14ac:dyDescent="0.3">
      <c r="B575" s="400" t="s">
        <v>1228</v>
      </c>
      <c r="C575" s="9" t="e">
        <f>#REF!</f>
        <v>#REF!</v>
      </c>
      <c r="D575" s="19" t="s">
        <v>760</v>
      </c>
      <c r="E575" s="10" t="e">
        <f>#REF!</f>
        <v>#REF!</v>
      </c>
      <c r="F575" s="302" t="e">
        <f>#REF!</f>
        <v>#REF!</v>
      </c>
      <c r="G575" s="11" t="e">
        <f t="shared" si="620"/>
        <v>#REF!</v>
      </c>
      <c r="H575" s="11" t="e">
        <f t="shared" si="621"/>
        <v>#REF!</v>
      </c>
      <c r="I575" s="11" t="e">
        <f t="shared" si="622"/>
        <v>#REF!</v>
      </c>
      <c r="J575" s="11" t="e">
        <f t="shared" si="623"/>
        <v>#REF!</v>
      </c>
    </row>
    <row r="576" spans="2:10" x14ac:dyDescent="0.3">
      <c r="B576" s="400" t="s">
        <v>1228</v>
      </c>
      <c r="C576" s="9" t="e">
        <f>#REF!</f>
        <v>#REF!</v>
      </c>
      <c r="D576" s="19" t="s">
        <v>762</v>
      </c>
      <c r="E576" s="10" t="e">
        <f>#REF!</f>
        <v>#REF!</v>
      </c>
      <c r="F576" s="302" t="e">
        <f>#REF!</f>
        <v>#REF!</v>
      </c>
      <c r="G576" s="11" t="e">
        <f t="shared" si="620"/>
        <v>#REF!</v>
      </c>
      <c r="H576" s="11" t="e">
        <f t="shared" si="621"/>
        <v>#REF!</v>
      </c>
      <c r="I576" s="11" t="e">
        <f t="shared" si="622"/>
        <v>#REF!</v>
      </c>
      <c r="J576" s="11" t="e">
        <f t="shared" si="623"/>
        <v>#REF!</v>
      </c>
    </row>
    <row r="577" spans="2:10" x14ac:dyDescent="0.3">
      <c r="B577" s="400" t="s">
        <v>1228</v>
      </c>
      <c r="C577" s="9" t="e">
        <f>#REF!</f>
        <v>#REF!</v>
      </c>
      <c r="D577" s="19" t="s">
        <v>761</v>
      </c>
      <c r="E577" s="10" t="e">
        <f>#REF!</f>
        <v>#REF!</v>
      </c>
      <c r="F577" s="302" t="e">
        <f>#REF!</f>
        <v>#REF!</v>
      </c>
      <c r="G577" s="11" t="e">
        <f t="shared" ref="G577:G582" si="624">IF(AND(D577="INGENIERÍA ELÉCTRICA",F577&lt;&gt;0),E577,0)</f>
        <v>#REF!</v>
      </c>
      <c r="H577" s="11" t="e">
        <f t="shared" ref="H577:H582" si="625">IF(AND(D577="INGENIERÍA CIVIL",F577&lt;&gt;0),E577,0)</f>
        <v>#REF!</v>
      </c>
      <c r="I577" s="11" t="e">
        <f t="shared" ref="I577:I582" si="626">IF(AND(D577="INGENIERÍA MECÁNICA",F577&lt;&gt;0),E577,0)</f>
        <v>#REF!</v>
      </c>
      <c r="J577" s="11" t="e">
        <f t="shared" ref="J577:J582" si="627">IF(AND(D577="LINEAS",F577&lt;&gt;0),E577,0)</f>
        <v>#REF!</v>
      </c>
    </row>
    <row r="578" spans="2:10" x14ac:dyDescent="0.3">
      <c r="B578" s="400" t="s">
        <v>1228</v>
      </c>
      <c r="C578" s="9" t="e">
        <f>#REF!</f>
        <v>#REF!</v>
      </c>
      <c r="D578" s="19" t="s">
        <v>760</v>
      </c>
      <c r="E578" s="10" t="e">
        <f>#REF!</f>
        <v>#REF!</v>
      </c>
      <c r="F578" s="302" t="e">
        <f>#REF!</f>
        <v>#REF!</v>
      </c>
      <c r="G578" s="11" t="e">
        <f t="shared" si="624"/>
        <v>#REF!</v>
      </c>
      <c r="H578" s="11" t="e">
        <f t="shared" si="625"/>
        <v>#REF!</v>
      </c>
      <c r="I578" s="11" t="e">
        <f t="shared" si="626"/>
        <v>#REF!</v>
      </c>
      <c r="J578" s="11" t="e">
        <f t="shared" si="627"/>
        <v>#REF!</v>
      </c>
    </row>
    <row r="579" spans="2:10" x14ac:dyDescent="0.3">
      <c r="B579" s="400" t="s">
        <v>1228</v>
      </c>
      <c r="C579" s="9" t="e">
        <f>#REF!</f>
        <v>#REF!</v>
      </c>
      <c r="D579" s="19" t="s">
        <v>762</v>
      </c>
      <c r="E579" s="10" t="e">
        <f>#REF!</f>
        <v>#REF!</v>
      </c>
      <c r="F579" s="302" t="e">
        <f>#REF!</f>
        <v>#REF!</v>
      </c>
      <c r="G579" s="11" t="e">
        <f t="shared" si="624"/>
        <v>#REF!</v>
      </c>
      <c r="H579" s="11" t="e">
        <f t="shared" si="625"/>
        <v>#REF!</v>
      </c>
      <c r="I579" s="11" t="e">
        <f t="shared" si="626"/>
        <v>#REF!</v>
      </c>
      <c r="J579" s="11" t="e">
        <f t="shared" si="627"/>
        <v>#REF!</v>
      </c>
    </row>
    <row r="580" spans="2:10" x14ac:dyDescent="0.3">
      <c r="B580" s="400" t="s">
        <v>1228</v>
      </c>
      <c r="C580" s="9" t="e">
        <f>#REF!</f>
        <v>#REF!</v>
      </c>
      <c r="D580" s="19" t="s">
        <v>761</v>
      </c>
      <c r="E580" s="10" t="e">
        <f>#REF!</f>
        <v>#REF!</v>
      </c>
      <c r="F580" s="302" t="e">
        <f>#REF!</f>
        <v>#REF!</v>
      </c>
      <c r="G580" s="11" t="e">
        <f t="shared" si="624"/>
        <v>#REF!</v>
      </c>
      <c r="H580" s="11" t="e">
        <f t="shared" si="625"/>
        <v>#REF!</v>
      </c>
      <c r="I580" s="11" t="e">
        <f t="shared" si="626"/>
        <v>#REF!</v>
      </c>
      <c r="J580" s="11" t="e">
        <f t="shared" si="627"/>
        <v>#REF!</v>
      </c>
    </row>
    <row r="581" spans="2:10" x14ac:dyDescent="0.3">
      <c r="B581" s="400" t="s">
        <v>1228</v>
      </c>
      <c r="C581" s="9" t="e">
        <f>#REF!</f>
        <v>#REF!</v>
      </c>
      <c r="D581" s="19" t="s">
        <v>762</v>
      </c>
      <c r="E581" s="10" t="e">
        <f>#REF!</f>
        <v>#REF!</v>
      </c>
      <c r="F581" s="302" t="e">
        <f>#REF!</f>
        <v>#REF!</v>
      </c>
      <c r="G581" s="11" t="e">
        <f t="shared" si="624"/>
        <v>#REF!</v>
      </c>
      <c r="H581" s="11" t="e">
        <f t="shared" si="625"/>
        <v>#REF!</v>
      </c>
      <c r="I581" s="11" t="e">
        <f t="shared" si="626"/>
        <v>#REF!</v>
      </c>
      <c r="J581" s="11" t="e">
        <f t="shared" si="627"/>
        <v>#REF!</v>
      </c>
    </row>
    <row r="582" spans="2:10" x14ac:dyDescent="0.3">
      <c r="B582" s="400" t="s">
        <v>1228</v>
      </c>
      <c r="C582" s="9" t="e">
        <f>#REF!</f>
        <v>#REF!</v>
      </c>
      <c r="D582" s="19" t="s">
        <v>761</v>
      </c>
      <c r="E582" s="10" t="e">
        <f>#REF!</f>
        <v>#REF!</v>
      </c>
      <c r="F582" s="302" t="e">
        <f>#REF!</f>
        <v>#REF!</v>
      </c>
      <c r="G582" s="11" t="e">
        <f t="shared" si="624"/>
        <v>#REF!</v>
      </c>
      <c r="H582" s="11" t="e">
        <f t="shared" si="625"/>
        <v>#REF!</v>
      </c>
      <c r="I582" s="11" t="e">
        <f t="shared" si="626"/>
        <v>#REF!</v>
      </c>
      <c r="J582" s="11" t="e">
        <f t="shared" si="627"/>
        <v>#REF!</v>
      </c>
    </row>
    <row r="583" spans="2:10" x14ac:dyDescent="0.3">
      <c r="B583" s="400" t="s">
        <v>810</v>
      </c>
      <c r="C583" s="9" t="e">
        <f>#REF!</f>
        <v>#REF!</v>
      </c>
      <c r="D583" s="19" t="s">
        <v>760</v>
      </c>
      <c r="E583" s="10" t="e">
        <f>#REF!</f>
        <v>#REF!</v>
      </c>
      <c r="F583" s="302" t="e">
        <f>#REF!</f>
        <v>#REF!</v>
      </c>
      <c r="G583" s="11" t="e">
        <f t="shared" ref="G583" si="628">IF(AND(D583="INGENIERÍA ELÉCTRICA",F583&lt;&gt;0),E583,0)</f>
        <v>#REF!</v>
      </c>
      <c r="H583" s="11" t="e">
        <f t="shared" ref="H583" si="629">IF(AND(D583="INGENIERÍA CIVIL",F583&lt;&gt;0),E583,0)</f>
        <v>#REF!</v>
      </c>
      <c r="I583" s="11" t="e">
        <f t="shared" ref="I583" si="630">IF(AND(D583="INGENIERÍA MECÁNICA",F583&lt;&gt;0),E583,0)</f>
        <v>#REF!</v>
      </c>
      <c r="J583" s="11" t="e">
        <f t="shared" ref="J583" si="631">IF(AND(D583="LINEAS",F583&lt;&gt;0),E583,0)</f>
        <v>#REF!</v>
      </c>
    </row>
    <row r="584" spans="2:10" x14ac:dyDescent="0.3">
      <c r="B584" s="400" t="s">
        <v>810</v>
      </c>
      <c r="C584" s="9" t="e">
        <f>#REF!</f>
        <v>#REF!</v>
      </c>
      <c r="D584" s="19" t="s">
        <v>762</v>
      </c>
      <c r="E584" s="10" t="e">
        <f>#REF!</f>
        <v>#REF!</v>
      </c>
      <c r="F584" s="302" t="e">
        <f>#REF!</f>
        <v>#REF!</v>
      </c>
      <c r="G584" s="11" t="e">
        <f t="shared" ref="G584:G592" si="632">IF(AND(D584="INGENIERÍA ELÉCTRICA",F584&lt;&gt;0),E584,0)</f>
        <v>#REF!</v>
      </c>
      <c r="H584" s="11" t="e">
        <f t="shared" ref="H584:H592" si="633">IF(AND(D584="INGENIERÍA CIVIL",F584&lt;&gt;0),E584,0)</f>
        <v>#REF!</v>
      </c>
      <c r="I584" s="11" t="e">
        <f t="shared" ref="I584:I592" si="634">IF(AND(D584="INGENIERÍA MECÁNICA",F584&lt;&gt;0),E584,0)</f>
        <v>#REF!</v>
      </c>
      <c r="J584" s="11" t="e">
        <f t="shared" ref="J584:J592" si="635">IF(AND(D584="LINEAS",F584&lt;&gt;0),E584,0)</f>
        <v>#REF!</v>
      </c>
    </row>
    <row r="585" spans="2:10" x14ac:dyDescent="0.3">
      <c r="B585" s="400" t="s">
        <v>810</v>
      </c>
      <c r="C585" s="9" t="e">
        <f>#REF!</f>
        <v>#REF!</v>
      </c>
      <c r="D585" s="19" t="s">
        <v>761</v>
      </c>
      <c r="E585" s="10" t="e">
        <f>#REF!</f>
        <v>#REF!</v>
      </c>
      <c r="F585" s="302" t="e">
        <f>#REF!</f>
        <v>#REF!</v>
      </c>
      <c r="G585" s="11" t="e">
        <f t="shared" si="632"/>
        <v>#REF!</v>
      </c>
      <c r="H585" s="11" t="e">
        <f t="shared" si="633"/>
        <v>#REF!</v>
      </c>
      <c r="I585" s="11" t="e">
        <f t="shared" si="634"/>
        <v>#REF!</v>
      </c>
      <c r="J585" s="11" t="e">
        <f t="shared" si="635"/>
        <v>#REF!</v>
      </c>
    </row>
    <row r="586" spans="2:10" x14ac:dyDescent="0.3">
      <c r="B586" s="400" t="s">
        <v>810</v>
      </c>
      <c r="C586" s="9" t="e">
        <f>#REF!</f>
        <v>#REF!</v>
      </c>
      <c r="D586" s="19" t="s">
        <v>762</v>
      </c>
      <c r="E586" s="10" t="e">
        <f>#REF!</f>
        <v>#REF!</v>
      </c>
      <c r="F586" s="302" t="e">
        <f>#REF!</f>
        <v>#REF!</v>
      </c>
      <c r="G586" s="11" t="e">
        <f t="shared" si="632"/>
        <v>#REF!</v>
      </c>
      <c r="H586" s="11" t="e">
        <f t="shared" si="633"/>
        <v>#REF!</v>
      </c>
      <c r="I586" s="11" t="e">
        <f t="shared" si="634"/>
        <v>#REF!</v>
      </c>
      <c r="J586" s="11" t="e">
        <f t="shared" si="635"/>
        <v>#REF!</v>
      </c>
    </row>
    <row r="587" spans="2:10" x14ac:dyDescent="0.3">
      <c r="B587" s="400" t="s">
        <v>810</v>
      </c>
      <c r="C587" s="9" t="e">
        <f>#REF!</f>
        <v>#REF!</v>
      </c>
      <c r="D587" s="19" t="s">
        <v>761</v>
      </c>
      <c r="E587" s="10" t="e">
        <f>#REF!</f>
        <v>#REF!</v>
      </c>
      <c r="F587" s="302" t="e">
        <f>#REF!</f>
        <v>#REF!</v>
      </c>
      <c r="G587" s="11" t="e">
        <f t="shared" si="632"/>
        <v>#REF!</v>
      </c>
      <c r="H587" s="11" t="e">
        <f t="shared" si="633"/>
        <v>#REF!</v>
      </c>
      <c r="I587" s="11" t="e">
        <f t="shared" si="634"/>
        <v>#REF!</v>
      </c>
      <c r="J587" s="11" t="e">
        <f t="shared" si="635"/>
        <v>#REF!</v>
      </c>
    </row>
    <row r="588" spans="2:10" x14ac:dyDescent="0.3">
      <c r="B588" s="400" t="s">
        <v>810</v>
      </c>
      <c r="C588" s="9" t="e">
        <f>#REF!</f>
        <v>#REF!</v>
      </c>
      <c r="D588" s="19" t="s">
        <v>760</v>
      </c>
      <c r="E588" s="10" t="e">
        <f>#REF!</f>
        <v>#REF!</v>
      </c>
      <c r="F588" s="302" t="e">
        <f>#REF!</f>
        <v>#REF!</v>
      </c>
      <c r="G588" s="11" t="e">
        <f t="shared" si="632"/>
        <v>#REF!</v>
      </c>
      <c r="H588" s="11" t="e">
        <f t="shared" si="633"/>
        <v>#REF!</v>
      </c>
      <c r="I588" s="11" t="e">
        <f t="shared" si="634"/>
        <v>#REF!</v>
      </c>
      <c r="J588" s="11" t="e">
        <f t="shared" si="635"/>
        <v>#REF!</v>
      </c>
    </row>
    <row r="589" spans="2:10" x14ac:dyDescent="0.3">
      <c r="B589" s="400" t="s">
        <v>810</v>
      </c>
      <c r="C589" s="9" t="e">
        <f>#REF!</f>
        <v>#REF!</v>
      </c>
      <c r="D589" s="19" t="s">
        <v>762</v>
      </c>
      <c r="E589" s="10" t="e">
        <f>#REF!</f>
        <v>#REF!</v>
      </c>
      <c r="F589" s="302" t="e">
        <f>#REF!</f>
        <v>#REF!</v>
      </c>
      <c r="G589" s="11" t="e">
        <f t="shared" si="632"/>
        <v>#REF!</v>
      </c>
      <c r="H589" s="11" t="e">
        <f t="shared" si="633"/>
        <v>#REF!</v>
      </c>
      <c r="I589" s="11" t="e">
        <f t="shared" si="634"/>
        <v>#REF!</v>
      </c>
      <c r="J589" s="11" t="e">
        <f t="shared" si="635"/>
        <v>#REF!</v>
      </c>
    </row>
    <row r="590" spans="2:10" x14ac:dyDescent="0.3">
      <c r="B590" s="400" t="s">
        <v>810</v>
      </c>
      <c r="C590" s="9" t="e">
        <f>#REF!</f>
        <v>#REF!</v>
      </c>
      <c r="D590" s="19" t="s">
        <v>761</v>
      </c>
      <c r="E590" s="10" t="e">
        <f>#REF!</f>
        <v>#REF!</v>
      </c>
      <c r="F590" s="302" t="e">
        <f>#REF!</f>
        <v>#REF!</v>
      </c>
      <c r="G590" s="11" t="e">
        <f t="shared" si="632"/>
        <v>#REF!</v>
      </c>
      <c r="H590" s="11" t="e">
        <f t="shared" si="633"/>
        <v>#REF!</v>
      </c>
      <c r="I590" s="11" t="e">
        <f t="shared" si="634"/>
        <v>#REF!</v>
      </c>
      <c r="J590" s="11" t="e">
        <f t="shared" si="635"/>
        <v>#REF!</v>
      </c>
    </row>
    <row r="591" spans="2:10" x14ac:dyDescent="0.3">
      <c r="B591" s="400" t="s">
        <v>810</v>
      </c>
      <c r="C591" s="9" t="e">
        <f>#REF!</f>
        <v>#REF!</v>
      </c>
      <c r="D591" s="19" t="s">
        <v>760</v>
      </c>
      <c r="E591" s="10" t="e">
        <f>#REF!</f>
        <v>#REF!</v>
      </c>
      <c r="F591" s="302" t="e">
        <f>#REF!</f>
        <v>#REF!</v>
      </c>
      <c r="G591" s="11" t="e">
        <f t="shared" si="632"/>
        <v>#REF!</v>
      </c>
      <c r="H591" s="11" t="e">
        <f t="shared" si="633"/>
        <v>#REF!</v>
      </c>
      <c r="I591" s="11" t="e">
        <f t="shared" si="634"/>
        <v>#REF!</v>
      </c>
      <c r="J591" s="11" t="e">
        <f t="shared" si="635"/>
        <v>#REF!</v>
      </c>
    </row>
    <row r="592" spans="2:10" x14ac:dyDescent="0.3">
      <c r="B592" s="400" t="s">
        <v>810</v>
      </c>
      <c r="C592" s="9" t="e">
        <f>#REF!</f>
        <v>#REF!</v>
      </c>
      <c r="D592" s="19" t="s">
        <v>762</v>
      </c>
      <c r="E592" s="10" t="e">
        <f>#REF!</f>
        <v>#REF!</v>
      </c>
      <c r="F592" s="302" t="e">
        <f>#REF!</f>
        <v>#REF!</v>
      </c>
      <c r="G592" s="11" t="e">
        <f t="shared" si="632"/>
        <v>#REF!</v>
      </c>
      <c r="H592" s="11" t="e">
        <f t="shared" si="633"/>
        <v>#REF!</v>
      </c>
      <c r="I592" s="11" t="e">
        <f t="shared" si="634"/>
        <v>#REF!</v>
      </c>
      <c r="J592" s="11" t="e">
        <f t="shared" si="635"/>
        <v>#REF!</v>
      </c>
    </row>
    <row r="593" spans="2:10" x14ac:dyDescent="0.3">
      <c r="B593" s="400" t="s">
        <v>810</v>
      </c>
      <c r="C593" s="9" t="e">
        <f>#REF!</f>
        <v>#REF!</v>
      </c>
      <c r="D593" s="19" t="s">
        <v>761</v>
      </c>
      <c r="E593" s="10" t="e">
        <f>#REF!</f>
        <v>#REF!</v>
      </c>
      <c r="F593" s="302" t="e">
        <f>#REF!</f>
        <v>#REF!</v>
      </c>
      <c r="G593" s="11" t="e">
        <f t="shared" ref="G593:G595" si="636">IF(AND(D593="INGENIERÍA ELÉCTRICA",F593&lt;&gt;0),E593,0)</f>
        <v>#REF!</v>
      </c>
      <c r="H593" s="11" t="e">
        <f t="shared" ref="H593:H595" si="637">IF(AND(D593="INGENIERÍA CIVIL",F593&lt;&gt;0),E593,0)</f>
        <v>#REF!</v>
      </c>
      <c r="I593" s="11" t="e">
        <f t="shared" ref="I593:I595" si="638">IF(AND(D593="INGENIERÍA MECÁNICA",F593&lt;&gt;0),E593,0)</f>
        <v>#REF!</v>
      </c>
      <c r="J593" s="11" t="e">
        <f t="shared" ref="J593:J595" si="639">IF(AND(D593="LINEAS",F593&lt;&gt;0),E593,0)</f>
        <v>#REF!</v>
      </c>
    </row>
    <row r="594" spans="2:10" x14ac:dyDescent="0.3">
      <c r="B594" s="400" t="s">
        <v>810</v>
      </c>
      <c r="C594" s="9" t="e">
        <f>#REF!</f>
        <v>#REF!</v>
      </c>
      <c r="D594" s="19" t="s">
        <v>760</v>
      </c>
      <c r="E594" s="10" t="e">
        <f>#REF!</f>
        <v>#REF!</v>
      </c>
      <c r="F594" s="302" t="e">
        <f>#REF!</f>
        <v>#REF!</v>
      </c>
      <c r="G594" s="11" t="e">
        <f t="shared" si="636"/>
        <v>#REF!</v>
      </c>
      <c r="H594" s="11" t="e">
        <f t="shared" si="637"/>
        <v>#REF!</v>
      </c>
      <c r="I594" s="11" t="e">
        <f t="shared" si="638"/>
        <v>#REF!</v>
      </c>
      <c r="J594" s="11" t="e">
        <f t="shared" si="639"/>
        <v>#REF!</v>
      </c>
    </row>
    <row r="595" spans="2:10" x14ac:dyDescent="0.3">
      <c r="B595" s="400" t="s">
        <v>810</v>
      </c>
      <c r="C595" s="9" t="e">
        <f>#REF!</f>
        <v>#REF!</v>
      </c>
      <c r="D595" s="19" t="s">
        <v>762</v>
      </c>
      <c r="E595" s="10" t="e">
        <f>#REF!</f>
        <v>#REF!</v>
      </c>
      <c r="F595" s="302" t="e">
        <f>#REF!</f>
        <v>#REF!</v>
      </c>
      <c r="G595" s="11" t="e">
        <f t="shared" si="636"/>
        <v>#REF!</v>
      </c>
      <c r="H595" s="11" t="e">
        <f t="shared" si="637"/>
        <v>#REF!</v>
      </c>
      <c r="I595" s="11" t="e">
        <f t="shared" si="638"/>
        <v>#REF!</v>
      </c>
      <c r="J595" s="11" t="e">
        <f t="shared" si="639"/>
        <v>#REF!</v>
      </c>
    </row>
    <row r="596" spans="2:10" x14ac:dyDescent="0.3">
      <c r="B596" s="400" t="s">
        <v>811</v>
      </c>
      <c r="C596" s="9" t="e">
        <f>#REF!</f>
        <v>#REF!</v>
      </c>
      <c r="D596" s="19" t="s">
        <v>760</v>
      </c>
      <c r="E596" s="10" t="e">
        <f>#REF!</f>
        <v>#REF!</v>
      </c>
      <c r="F596" s="302" t="e">
        <f>#REF!</f>
        <v>#REF!</v>
      </c>
      <c r="G596" s="11" t="e">
        <f t="shared" ref="G596" si="640">IF(AND(D596="INGENIERÍA ELÉCTRICA",F596&lt;&gt;0),E596,0)</f>
        <v>#REF!</v>
      </c>
      <c r="H596" s="11" t="e">
        <f t="shared" ref="H596" si="641">IF(AND(D596="INGENIERÍA CIVIL",F596&lt;&gt;0),E596,0)</f>
        <v>#REF!</v>
      </c>
      <c r="I596" s="11" t="e">
        <f t="shared" ref="I596" si="642">IF(AND(D596="INGENIERÍA MECÁNICA",F596&lt;&gt;0),E596,0)</f>
        <v>#REF!</v>
      </c>
      <c r="J596" s="11" t="e">
        <f t="shared" ref="J596" si="643">IF(AND(D596="LINEAS",F596&lt;&gt;0),E596,0)</f>
        <v>#REF!</v>
      </c>
    </row>
    <row r="597" spans="2:10" x14ac:dyDescent="0.3">
      <c r="B597" s="400" t="s">
        <v>811</v>
      </c>
      <c r="C597" s="9" t="e">
        <f>#REF!</f>
        <v>#REF!</v>
      </c>
      <c r="D597" s="19" t="s">
        <v>762</v>
      </c>
      <c r="E597" s="10" t="e">
        <f>#REF!</f>
        <v>#REF!</v>
      </c>
      <c r="F597" s="302" t="e">
        <f>#REF!</f>
        <v>#REF!</v>
      </c>
      <c r="G597" s="11" t="e">
        <f t="shared" ref="G597:G602" si="644">IF(AND(D597="INGENIERÍA ELÉCTRICA",F597&lt;&gt;0),E597,0)</f>
        <v>#REF!</v>
      </c>
      <c r="H597" s="11" t="e">
        <f t="shared" ref="H597:H602" si="645">IF(AND(D597="INGENIERÍA CIVIL",F597&lt;&gt;0),E597,0)</f>
        <v>#REF!</v>
      </c>
      <c r="I597" s="11" t="e">
        <f t="shared" ref="I597:I602" si="646">IF(AND(D597="INGENIERÍA MECÁNICA",F597&lt;&gt;0),E597,0)</f>
        <v>#REF!</v>
      </c>
      <c r="J597" s="11" t="e">
        <f t="shared" ref="J597:J602" si="647">IF(AND(D597="LINEAS",F597&lt;&gt;0),E597,0)</f>
        <v>#REF!</v>
      </c>
    </row>
    <row r="598" spans="2:10" x14ac:dyDescent="0.3">
      <c r="B598" s="400" t="s">
        <v>811</v>
      </c>
      <c r="C598" s="9" t="e">
        <f>#REF!</f>
        <v>#REF!</v>
      </c>
      <c r="D598" s="19" t="s">
        <v>761</v>
      </c>
      <c r="E598" s="10" t="e">
        <f>#REF!</f>
        <v>#REF!</v>
      </c>
      <c r="F598" s="302" t="e">
        <f>#REF!</f>
        <v>#REF!</v>
      </c>
      <c r="G598" s="11" t="e">
        <f t="shared" si="644"/>
        <v>#REF!</v>
      </c>
      <c r="H598" s="11" t="e">
        <f t="shared" si="645"/>
        <v>#REF!</v>
      </c>
      <c r="I598" s="11" t="e">
        <f t="shared" si="646"/>
        <v>#REF!</v>
      </c>
      <c r="J598" s="11" t="e">
        <f t="shared" si="647"/>
        <v>#REF!</v>
      </c>
    </row>
    <row r="599" spans="2:10" x14ac:dyDescent="0.3">
      <c r="B599" s="400" t="s">
        <v>811</v>
      </c>
      <c r="C599" s="9" t="e">
        <f>#REF!</f>
        <v>#REF!</v>
      </c>
      <c r="D599" s="19" t="s">
        <v>762</v>
      </c>
      <c r="E599" s="10" t="e">
        <f>#REF!</f>
        <v>#REF!</v>
      </c>
      <c r="F599" s="302" t="e">
        <f>#REF!</f>
        <v>#REF!</v>
      </c>
      <c r="G599" s="11" t="e">
        <f t="shared" si="644"/>
        <v>#REF!</v>
      </c>
      <c r="H599" s="11" t="e">
        <f t="shared" si="645"/>
        <v>#REF!</v>
      </c>
      <c r="I599" s="11" t="e">
        <f t="shared" si="646"/>
        <v>#REF!</v>
      </c>
      <c r="J599" s="11" t="e">
        <f t="shared" si="647"/>
        <v>#REF!</v>
      </c>
    </row>
    <row r="600" spans="2:10" x14ac:dyDescent="0.3">
      <c r="B600" s="400" t="s">
        <v>811</v>
      </c>
      <c r="C600" s="9" t="e">
        <f>#REF!</f>
        <v>#REF!</v>
      </c>
      <c r="D600" s="19" t="s">
        <v>761</v>
      </c>
      <c r="E600" s="10" t="e">
        <f>#REF!</f>
        <v>#REF!</v>
      </c>
      <c r="F600" s="302" t="e">
        <f>#REF!</f>
        <v>#REF!</v>
      </c>
      <c r="G600" s="11" t="e">
        <f t="shared" si="644"/>
        <v>#REF!</v>
      </c>
      <c r="H600" s="11" t="e">
        <f t="shared" si="645"/>
        <v>#REF!</v>
      </c>
      <c r="I600" s="11" t="e">
        <f t="shared" si="646"/>
        <v>#REF!</v>
      </c>
      <c r="J600" s="11" t="e">
        <f t="shared" si="647"/>
        <v>#REF!</v>
      </c>
    </row>
    <row r="601" spans="2:10" x14ac:dyDescent="0.3">
      <c r="B601" s="400" t="s">
        <v>811</v>
      </c>
      <c r="C601" s="9" t="e">
        <f>#REF!</f>
        <v>#REF!</v>
      </c>
      <c r="D601" s="19" t="s">
        <v>760</v>
      </c>
      <c r="E601" s="10" t="e">
        <f>#REF!</f>
        <v>#REF!</v>
      </c>
      <c r="F601" s="302" t="e">
        <f>#REF!</f>
        <v>#REF!</v>
      </c>
      <c r="G601" s="11" t="e">
        <f t="shared" si="644"/>
        <v>#REF!</v>
      </c>
      <c r="H601" s="11" t="e">
        <f t="shared" si="645"/>
        <v>#REF!</v>
      </c>
      <c r="I601" s="11" t="e">
        <f t="shared" si="646"/>
        <v>#REF!</v>
      </c>
      <c r="J601" s="11" t="e">
        <f t="shared" si="647"/>
        <v>#REF!</v>
      </c>
    </row>
    <row r="602" spans="2:10" x14ac:dyDescent="0.3">
      <c r="B602" s="400" t="s">
        <v>811</v>
      </c>
      <c r="C602" s="9" t="e">
        <f>#REF!</f>
        <v>#REF!</v>
      </c>
      <c r="D602" s="19" t="s">
        <v>762</v>
      </c>
      <c r="E602" s="10" t="e">
        <f>#REF!</f>
        <v>#REF!</v>
      </c>
      <c r="F602" s="302" t="e">
        <f>#REF!</f>
        <v>#REF!</v>
      </c>
      <c r="G602" s="11" t="e">
        <f t="shared" si="644"/>
        <v>#REF!</v>
      </c>
      <c r="H602" s="11" t="e">
        <f t="shared" si="645"/>
        <v>#REF!</v>
      </c>
      <c r="I602" s="11" t="e">
        <f t="shared" si="646"/>
        <v>#REF!</v>
      </c>
      <c r="J602" s="11" t="e">
        <f t="shared" si="647"/>
        <v>#REF!</v>
      </c>
    </row>
    <row r="603" spans="2:10" x14ac:dyDescent="0.3">
      <c r="B603" s="400" t="s">
        <v>811</v>
      </c>
      <c r="C603" s="9" t="e">
        <f>#REF!</f>
        <v>#REF!</v>
      </c>
      <c r="D603" s="19" t="s">
        <v>761</v>
      </c>
      <c r="E603" s="10" t="e">
        <f>#REF!</f>
        <v>#REF!</v>
      </c>
      <c r="F603" s="302" t="e">
        <f>#REF!</f>
        <v>#REF!</v>
      </c>
      <c r="G603" s="11" t="e">
        <f t="shared" ref="G603:G606" si="648">IF(AND(D603="INGENIERÍA ELÉCTRICA",F603&lt;&gt;0),E603,0)</f>
        <v>#REF!</v>
      </c>
      <c r="H603" s="11" t="e">
        <f t="shared" ref="H603:H606" si="649">IF(AND(D603="INGENIERÍA CIVIL",F603&lt;&gt;0),E603,0)</f>
        <v>#REF!</v>
      </c>
      <c r="I603" s="11" t="e">
        <f t="shared" ref="I603:I606" si="650">IF(AND(D603="INGENIERÍA MECÁNICA",F603&lt;&gt;0),E603,0)</f>
        <v>#REF!</v>
      </c>
      <c r="J603" s="11" t="e">
        <f t="shared" ref="J603:J606" si="651">IF(AND(D603="LINEAS",F603&lt;&gt;0),E603,0)</f>
        <v>#REF!</v>
      </c>
    </row>
    <row r="604" spans="2:10" x14ac:dyDescent="0.3">
      <c r="B604" s="400" t="s">
        <v>811</v>
      </c>
      <c r="C604" s="9" t="e">
        <f>#REF!</f>
        <v>#REF!</v>
      </c>
      <c r="D604" s="19" t="s">
        <v>760</v>
      </c>
      <c r="E604" s="10" t="e">
        <f>#REF!</f>
        <v>#REF!</v>
      </c>
      <c r="F604" s="302" t="e">
        <f>#REF!</f>
        <v>#REF!</v>
      </c>
      <c r="G604" s="11" t="e">
        <f t="shared" si="648"/>
        <v>#REF!</v>
      </c>
      <c r="H604" s="11" t="e">
        <f t="shared" si="649"/>
        <v>#REF!</v>
      </c>
      <c r="I604" s="11" t="e">
        <f t="shared" si="650"/>
        <v>#REF!</v>
      </c>
      <c r="J604" s="11" t="e">
        <f t="shared" si="651"/>
        <v>#REF!</v>
      </c>
    </row>
    <row r="605" spans="2:10" x14ac:dyDescent="0.3">
      <c r="B605" s="400" t="s">
        <v>811</v>
      </c>
      <c r="C605" s="9" t="e">
        <f>#REF!</f>
        <v>#REF!</v>
      </c>
      <c r="D605" s="19" t="s">
        <v>762</v>
      </c>
      <c r="E605" s="10" t="e">
        <f>#REF!</f>
        <v>#REF!</v>
      </c>
      <c r="F605" s="302" t="e">
        <f>#REF!</f>
        <v>#REF!</v>
      </c>
      <c r="G605" s="11" t="e">
        <f t="shared" si="648"/>
        <v>#REF!</v>
      </c>
      <c r="H605" s="11" t="e">
        <f t="shared" si="649"/>
        <v>#REF!</v>
      </c>
      <c r="I605" s="11" t="e">
        <f t="shared" si="650"/>
        <v>#REF!</v>
      </c>
      <c r="J605" s="11" t="e">
        <f t="shared" si="651"/>
        <v>#REF!</v>
      </c>
    </row>
    <row r="606" spans="2:10" x14ac:dyDescent="0.3">
      <c r="B606" s="400" t="s">
        <v>811</v>
      </c>
      <c r="C606" s="9" t="e">
        <f>#REF!</f>
        <v>#REF!</v>
      </c>
      <c r="D606" s="19" t="s">
        <v>761</v>
      </c>
      <c r="E606" s="10" t="e">
        <f>#REF!</f>
        <v>#REF!</v>
      </c>
      <c r="F606" s="302" t="e">
        <f>#REF!</f>
        <v>#REF!</v>
      </c>
      <c r="G606" s="11" t="e">
        <f t="shared" si="648"/>
        <v>#REF!</v>
      </c>
      <c r="H606" s="11" t="e">
        <f t="shared" si="649"/>
        <v>#REF!</v>
      </c>
      <c r="I606" s="11" t="e">
        <f t="shared" si="650"/>
        <v>#REF!</v>
      </c>
      <c r="J606" s="11" t="e">
        <f t="shared" si="651"/>
        <v>#REF!</v>
      </c>
    </row>
    <row r="607" spans="2:10" x14ac:dyDescent="0.3">
      <c r="B607" s="400" t="s">
        <v>751</v>
      </c>
      <c r="C607" s="9" t="e">
        <f>#REF!</f>
        <v>#REF!</v>
      </c>
      <c r="D607" s="19" t="s">
        <v>760</v>
      </c>
      <c r="E607" s="10" t="e">
        <f>#REF!</f>
        <v>#REF!</v>
      </c>
      <c r="F607" s="302" t="e">
        <f>#REF!</f>
        <v>#REF!</v>
      </c>
      <c r="G607" s="11" t="e">
        <f t="shared" ref="G607" si="652">IF(AND(D607="INGENIERÍA ELÉCTRICA",F607&lt;&gt;0),E607,0)</f>
        <v>#REF!</v>
      </c>
      <c r="H607" s="11" t="e">
        <f t="shared" ref="H607" si="653">IF(AND(D607="INGENIERÍA CIVIL",F607&lt;&gt;0),E607,0)</f>
        <v>#REF!</v>
      </c>
      <c r="I607" s="11" t="e">
        <f t="shared" ref="I607" si="654">IF(AND(D607="INGENIERÍA MECÁNICA",F607&lt;&gt;0),E607,0)</f>
        <v>#REF!</v>
      </c>
      <c r="J607" s="11" t="e">
        <f t="shared" ref="J607" si="655">IF(AND(D607="LINEAS",F607&lt;&gt;0),E607,0)</f>
        <v>#REF!</v>
      </c>
    </row>
    <row r="608" spans="2:10" x14ac:dyDescent="0.3">
      <c r="B608" s="400" t="s">
        <v>751</v>
      </c>
      <c r="C608" s="9" t="e">
        <f>#REF!</f>
        <v>#REF!</v>
      </c>
      <c r="D608" s="19" t="s">
        <v>762</v>
      </c>
      <c r="E608" s="10" t="e">
        <f>#REF!</f>
        <v>#REF!</v>
      </c>
      <c r="F608" s="302" t="e">
        <f>#REF!</f>
        <v>#REF!</v>
      </c>
      <c r="G608" s="11" t="e">
        <f t="shared" ref="G608:G615" si="656">IF(AND(D608="INGENIERÍA ELÉCTRICA",F608&lt;&gt;0),E608,0)</f>
        <v>#REF!</v>
      </c>
      <c r="H608" s="11" t="e">
        <f t="shared" ref="H608:H615" si="657">IF(AND(D608="INGENIERÍA CIVIL",F608&lt;&gt;0),E608,0)</f>
        <v>#REF!</v>
      </c>
      <c r="I608" s="11" t="e">
        <f t="shared" ref="I608:I615" si="658">IF(AND(D608="INGENIERÍA MECÁNICA",F608&lt;&gt;0),E608,0)</f>
        <v>#REF!</v>
      </c>
      <c r="J608" s="11" t="e">
        <f t="shared" ref="J608:J615" si="659">IF(AND(D608="LINEAS",F608&lt;&gt;0),E608,0)</f>
        <v>#REF!</v>
      </c>
    </row>
    <row r="609" spans="2:10" x14ac:dyDescent="0.3">
      <c r="B609" s="400" t="s">
        <v>751</v>
      </c>
      <c r="C609" s="9" t="e">
        <f>#REF!</f>
        <v>#REF!</v>
      </c>
      <c r="D609" s="19" t="s">
        <v>761</v>
      </c>
      <c r="E609" s="10" t="e">
        <f>#REF!</f>
        <v>#REF!</v>
      </c>
      <c r="F609" s="302" t="e">
        <f>#REF!</f>
        <v>#REF!</v>
      </c>
      <c r="G609" s="11" t="e">
        <f t="shared" si="656"/>
        <v>#REF!</v>
      </c>
      <c r="H609" s="11" t="e">
        <f t="shared" si="657"/>
        <v>#REF!</v>
      </c>
      <c r="I609" s="11" t="e">
        <f t="shared" si="658"/>
        <v>#REF!</v>
      </c>
      <c r="J609" s="11" t="e">
        <f t="shared" si="659"/>
        <v>#REF!</v>
      </c>
    </row>
    <row r="610" spans="2:10" x14ac:dyDescent="0.3">
      <c r="B610" s="400" t="s">
        <v>751</v>
      </c>
      <c r="C610" s="9" t="e">
        <f>#REF!</f>
        <v>#REF!</v>
      </c>
      <c r="D610" s="19" t="s">
        <v>760</v>
      </c>
      <c r="E610" s="10" t="e">
        <f>#REF!</f>
        <v>#REF!</v>
      </c>
      <c r="F610" s="302" t="e">
        <f>#REF!</f>
        <v>#REF!</v>
      </c>
      <c r="G610" s="11" t="e">
        <f t="shared" si="656"/>
        <v>#REF!</v>
      </c>
      <c r="H610" s="11" t="e">
        <f t="shared" si="657"/>
        <v>#REF!</v>
      </c>
      <c r="I610" s="11" t="e">
        <f t="shared" si="658"/>
        <v>#REF!</v>
      </c>
      <c r="J610" s="11" t="e">
        <f t="shared" si="659"/>
        <v>#REF!</v>
      </c>
    </row>
    <row r="611" spans="2:10" x14ac:dyDescent="0.3">
      <c r="B611" s="400" t="s">
        <v>751</v>
      </c>
      <c r="C611" s="9" t="e">
        <f>#REF!</f>
        <v>#REF!</v>
      </c>
      <c r="D611" s="19" t="s">
        <v>762</v>
      </c>
      <c r="E611" s="10" t="e">
        <f>#REF!</f>
        <v>#REF!</v>
      </c>
      <c r="F611" s="302" t="e">
        <f>#REF!</f>
        <v>#REF!</v>
      </c>
      <c r="G611" s="11" t="e">
        <f t="shared" si="656"/>
        <v>#REF!</v>
      </c>
      <c r="H611" s="11" t="e">
        <f t="shared" si="657"/>
        <v>#REF!</v>
      </c>
      <c r="I611" s="11" t="e">
        <f t="shared" si="658"/>
        <v>#REF!</v>
      </c>
      <c r="J611" s="11" t="e">
        <f t="shared" si="659"/>
        <v>#REF!</v>
      </c>
    </row>
    <row r="612" spans="2:10" x14ac:dyDescent="0.3">
      <c r="B612" s="400" t="s">
        <v>751</v>
      </c>
      <c r="C612" s="9" t="e">
        <f>#REF!</f>
        <v>#REF!</v>
      </c>
      <c r="D612" s="19" t="s">
        <v>761</v>
      </c>
      <c r="E612" s="10" t="e">
        <f>#REF!</f>
        <v>#REF!</v>
      </c>
      <c r="F612" s="302" t="e">
        <f>#REF!</f>
        <v>#REF!</v>
      </c>
      <c r="G612" s="11" t="e">
        <f t="shared" si="656"/>
        <v>#REF!</v>
      </c>
      <c r="H612" s="11" t="e">
        <f t="shared" si="657"/>
        <v>#REF!</v>
      </c>
      <c r="I612" s="11" t="e">
        <f t="shared" si="658"/>
        <v>#REF!</v>
      </c>
      <c r="J612" s="11" t="e">
        <f t="shared" si="659"/>
        <v>#REF!</v>
      </c>
    </row>
    <row r="613" spans="2:10" x14ac:dyDescent="0.3">
      <c r="B613" s="400" t="s">
        <v>751</v>
      </c>
      <c r="C613" s="9" t="e">
        <f>#REF!</f>
        <v>#REF!</v>
      </c>
      <c r="D613" s="19" t="s">
        <v>760</v>
      </c>
      <c r="E613" s="10" t="e">
        <f>#REF!</f>
        <v>#REF!</v>
      </c>
      <c r="F613" s="302" t="e">
        <f>#REF!</f>
        <v>#REF!</v>
      </c>
      <c r="G613" s="11" t="e">
        <f t="shared" si="656"/>
        <v>#REF!</v>
      </c>
      <c r="H613" s="11" t="e">
        <f t="shared" si="657"/>
        <v>#REF!</v>
      </c>
      <c r="I613" s="11" t="e">
        <f t="shared" si="658"/>
        <v>#REF!</v>
      </c>
      <c r="J613" s="11" t="e">
        <f t="shared" si="659"/>
        <v>#REF!</v>
      </c>
    </row>
    <row r="614" spans="2:10" x14ac:dyDescent="0.3">
      <c r="B614" s="400" t="s">
        <v>751</v>
      </c>
      <c r="C614" s="9" t="e">
        <f>#REF!</f>
        <v>#REF!</v>
      </c>
      <c r="D614" s="19" t="s">
        <v>762</v>
      </c>
      <c r="E614" s="10" t="e">
        <f>#REF!</f>
        <v>#REF!</v>
      </c>
      <c r="F614" s="302" t="e">
        <f>#REF!</f>
        <v>#REF!</v>
      </c>
      <c r="G614" s="11" t="e">
        <f t="shared" si="656"/>
        <v>#REF!</v>
      </c>
      <c r="H614" s="11" t="e">
        <f t="shared" si="657"/>
        <v>#REF!</v>
      </c>
      <c r="I614" s="11" t="e">
        <f t="shared" si="658"/>
        <v>#REF!</v>
      </c>
      <c r="J614" s="11" t="e">
        <f t="shared" si="659"/>
        <v>#REF!</v>
      </c>
    </row>
    <row r="615" spans="2:10" x14ac:dyDescent="0.3">
      <c r="B615" s="400" t="s">
        <v>751</v>
      </c>
      <c r="C615" s="9" t="e">
        <f>#REF!</f>
        <v>#REF!</v>
      </c>
      <c r="D615" s="19" t="s">
        <v>761</v>
      </c>
      <c r="E615" s="10" t="e">
        <f>#REF!</f>
        <v>#REF!</v>
      </c>
      <c r="F615" s="302" t="e">
        <f>#REF!</f>
        <v>#REF!</v>
      </c>
      <c r="G615" s="11" t="e">
        <f t="shared" si="656"/>
        <v>#REF!</v>
      </c>
      <c r="H615" s="11" t="e">
        <f t="shared" si="657"/>
        <v>#REF!</v>
      </c>
      <c r="I615" s="11" t="e">
        <f t="shared" si="658"/>
        <v>#REF!</v>
      </c>
      <c r="J615" s="11" t="e">
        <f t="shared" si="659"/>
        <v>#REF!</v>
      </c>
    </row>
    <row r="616" spans="2:10" x14ac:dyDescent="0.3">
      <c r="B616" s="400" t="s">
        <v>751</v>
      </c>
      <c r="C616" s="9" t="e">
        <f>#REF!</f>
        <v>#REF!</v>
      </c>
      <c r="D616" s="19" t="s">
        <v>762</v>
      </c>
      <c r="E616" s="10" t="e">
        <f>#REF!</f>
        <v>#REF!</v>
      </c>
      <c r="F616" s="302" t="e">
        <f>#REF!</f>
        <v>#REF!</v>
      </c>
      <c r="G616" s="11" t="e">
        <f t="shared" ref="G616:G617" si="660">IF(AND(D616="INGENIERÍA ELÉCTRICA",F616&lt;&gt;0),E616,0)</f>
        <v>#REF!</v>
      </c>
      <c r="H616" s="11" t="e">
        <f t="shared" ref="H616:H617" si="661">IF(AND(D616="INGENIERÍA CIVIL",F616&lt;&gt;0),E616,0)</f>
        <v>#REF!</v>
      </c>
      <c r="I616" s="11" t="e">
        <f t="shared" ref="I616:I617" si="662">IF(AND(D616="INGENIERÍA MECÁNICA",F616&lt;&gt;0),E616,0)</f>
        <v>#REF!</v>
      </c>
      <c r="J616" s="11" t="e">
        <f t="shared" ref="J616:J617" si="663">IF(AND(D616="LINEAS",F616&lt;&gt;0),E616,0)</f>
        <v>#REF!</v>
      </c>
    </row>
    <row r="617" spans="2:10" x14ac:dyDescent="0.3">
      <c r="B617" s="400" t="s">
        <v>751</v>
      </c>
      <c r="C617" s="9" t="e">
        <f>#REF!</f>
        <v>#REF!</v>
      </c>
      <c r="D617" s="19" t="s">
        <v>761</v>
      </c>
      <c r="E617" s="10" t="e">
        <f>#REF!</f>
        <v>#REF!</v>
      </c>
      <c r="F617" s="302" t="e">
        <f>#REF!</f>
        <v>#REF!</v>
      </c>
      <c r="G617" s="11" t="e">
        <f t="shared" si="660"/>
        <v>#REF!</v>
      </c>
      <c r="H617" s="11" t="e">
        <f t="shared" si="661"/>
        <v>#REF!</v>
      </c>
      <c r="I617" s="11" t="e">
        <f t="shared" si="662"/>
        <v>#REF!</v>
      </c>
      <c r="J617" s="11" t="e">
        <f t="shared" si="663"/>
        <v>#REF!</v>
      </c>
    </row>
    <row r="618" spans="2:10" x14ac:dyDescent="0.3">
      <c r="B618" s="400" t="s">
        <v>1229</v>
      </c>
      <c r="C618" s="9" t="e">
        <f>#REF!</f>
        <v>#REF!</v>
      </c>
      <c r="D618" s="19" t="s">
        <v>760</v>
      </c>
      <c r="E618" s="10" t="e">
        <f>#REF!</f>
        <v>#REF!</v>
      </c>
      <c r="F618" s="302" t="e">
        <f>#REF!</f>
        <v>#REF!</v>
      </c>
      <c r="G618" s="11" t="e">
        <f t="shared" ref="G618" si="664">IF(AND(D618="INGENIERÍA ELÉCTRICA",F618&lt;&gt;0),E618,0)</f>
        <v>#REF!</v>
      </c>
      <c r="H618" s="11" t="e">
        <f t="shared" ref="H618" si="665">IF(AND(D618="INGENIERÍA CIVIL",F618&lt;&gt;0),E618,0)</f>
        <v>#REF!</v>
      </c>
      <c r="I618" s="11" t="e">
        <f t="shared" ref="I618" si="666">IF(AND(D618="INGENIERÍA MECÁNICA",F618&lt;&gt;0),E618,0)</f>
        <v>#REF!</v>
      </c>
      <c r="J618" s="11" t="e">
        <f t="shared" ref="J618" si="667">IF(AND(D618="LINEAS",F618&lt;&gt;0),E618,0)</f>
        <v>#REF!</v>
      </c>
    </row>
    <row r="619" spans="2:10" x14ac:dyDescent="0.3">
      <c r="B619" s="400" t="s">
        <v>1229</v>
      </c>
      <c r="C619" s="9" t="e">
        <f>#REF!</f>
        <v>#REF!</v>
      </c>
      <c r="D619" s="19" t="s">
        <v>762</v>
      </c>
      <c r="E619" s="10" t="e">
        <f>#REF!</f>
        <v>#REF!</v>
      </c>
      <c r="F619" s="302" t="e">
        <f>#REF!</f>
        <v>#REF!</v>
      </c>
      <c r="G619" s="11" t="e">
        <f t="shared" ref="G619:G623" si="668">IF(AND(D619="INGENIERÍA ELÉCTRICA",F619&lt;&gt;0),E619,0)</f>
        <v>#REF!</v>
      </c>
      <c r="H619" s="11" t="e">
        <f t="shared" ref="H619:H623" si="669">IF(AND(D619="INGENIERÍA CIVIL",F619&lt;&gt;0),E619,0)</f>
        <v>#REF!</v>
      </c>
      <c r="I619" s="11" t="e">
        <f t="shared" ref="I619:I623" si="670">IF(AND(D619="INGENIERÍA MECÁNICA",F619&lt;&gt;0),E619,0)</f>
        <v>#REF!</v>
      </c>
      <c r="J619" s="11" t="e">
        <f t="shared" ref="J619:J623" si="671">IF(AND(D619="LINEAS",F619&lt;&gt;0),E619,0)</f>
        <v>#REF!</v>
      </c>
    </row>
    <row r="620" spans="2:10" x14ac:dyDescent="0.3">
      <c r="B620" s="400" t="s">
        <v>1229</v>
      </c>
      <c r="C620" s="9" t="e">
        <f>#REF!</f>
        <v>#REF!</v>
      </c>
      <c r="D620" s="19" t="s">
        <v>761</v>
      </c>
      <c r="E620" s="10" t="e">
        <f>#REF!</f>
        <v>#REF!</v>
      </c>
      <c r="F620" s="302" t="e">
        <f>#REF!</f>
        <v>#REF!</v>
      </c>
      <c r="G620" s="11" t="e">
        <f t="shared" si="668"/>
        <v>#REF!</v>
      </c>
      <c r="H620" s="11" t="e">
        <f t="shared" si="669"/>
        <v>#REF!</v>
      </c>
      <c r="I620" s="11" t="e">
        <f t="shared" si="670"/>
        <v>#REF!</v>
      </c>
      <c r="J620" s="11" t="e">
        <f t="shared" si="671"/>
        <v>#REF!</v>
      </c>
    </row>
    <row r="621" spans="2:10" x14ac:dyDescent="0.3">
      <c r="B621" s="400" t="s">
        <v>1229</v>
      </c>
      <c r="C621" s="9" t="e">
        <f>#REF!</f>
        <v>#REF!</v>
      </c>
      <c r="D621" s="19" t="s">
        <v>762</v>
      </c>
      <c r="E621" s="10" t="e">
        <f>#REF!</f>
        <v>#REF!</v>
      </c>
      <c r="F621" s="302" t="e">
        <f>#REF!</f>
        <v>#REF!</v>
      </c>
      <c r="G621" s="11" t="e">
        <f t="shared" si="668"/>
        <v>#REF!</v>
      </c>
      <c r="H621" s="11" t="e">
        <f t="shared" si="669"/>
        <v>#REF!</v>
      </c>
      <c r="I621" s="11" t="e">
        <f t="shared" si="670"/>
        <v>#REF!</v>
      </c>
      <c r="J621" s="11" t="e">
        <f t="shared" si="671"/>
        <v>#REF!</v>
      </c>
    </row>
    <row r="622" spans="2:10" x14ac:dyDescent="0.3">
      <c r="B622" s="400" t="s">
        <v>1229</v>
      </c>
      <c r="C622" s="9" t="e">
        <f>#REF!</f>
        <v>#REF!</v>
      </c>
      <c r="D622" s="19" t="s">
        <v>761</v>
      </c>
      <c r="E622" s="10" t="e">
        <f>#REF!</f>
        <v>#REF!</v>
      </c>
      <c r="F622" s="302" t="e">
        <f>#REF!</f>
        <v>#REF!</v>
      </c>
      <c r="G622" s="11" t="e">
        <f t="shared" si="668"/>
        <v>#REF!</v>
      </c>
      <c r="H622" s="11" t="e">
        <f t="shared" si="669"/>
        <v>#REF!</v>
      </c>
      <c r="I622" s="11" t="e">
        <f t="shared" si="670"/>
        <v>#REF!</v>
      </c>
      <c r="J622" s="11" t="e">
        <f t="shared" si="671"/>
        <v>#REF!</v>
      </c>
    </row>
    <row r="623" spans="2:10" x14ac:dyDescent="0.3">
      <c r="B623" s="400" t="s">
        <v>1229</v>
      </c>
      <c r="C623" s="9" t="e">
        <f>#REF!</f>
        <v>#REF!</v>
      </c>
      <c r="D623" s="19" t="s">
        <v>760</v>
      </c>
      <c r="E623" s="10" t="e">
        <f>#REF!</f>
        <v>#REF!</v>
      </c>
      <c r="F623" s="302" t="e">
        <f>#REF!</f>
        <v>#REF!</v>
      </c>
      <c r="G623" s="11" t="e">
        <f t="shared" si="668"/>
        <v>#REF!</v>
      </c>
      <c r="H623" s="11" t="e">
        <f t="shared" si="669"/>
        <v>#REF!</v>
      </c>
      <c r="I623" s="11" t="e">
        <f t="shared" si="670"/>
        <v>#REF!</v>
      </c>
      <c r="J623" s="11" t="e">
        <f t="shared" si="671"/>
        <v>#REF!</v>
      </c>
    </row>
    <row r="624" spans="2:10" x14ac:dyDescent="0.3">
      <c r="B624" s="400" t="s">
        <v>1229</v>
      </c>
      <c r="C624" s="9" t="e">
        <f>#REF!</f>
        <v>#REF!</v>
      </c>
      <c r="D624" s="19" t="s">
        <v>762</v>
      </c>
      <c r="E624" s="10" t="e">
        <f>#REF!</f>
        <v>#REF!</v>
      </c>
      <c r="F624" s="302" t="e">
        <f>#REF!</f>
        <v>#REF!</v>
      </c>
      <c r="G624" s="11" t="e">
        <f t="shared" ref="G624:G625" si="672">IF(AND(D624="INGENIERÍA ELÉCTRICA",F624&lt;&gt;0),E624,0)</f>
        <v>#REF!</v>
      </c>
      <c r="H624" s="11" t="e">
        <f t="shared" ref="H624:H625" si="673">IF(AND(D624="INGENIERÍA CIVIL",F624&lt;&gt;0),E624,0)</f>
        <v>#REF!</v>
      </c>
      <c r="I624" s="11" t="e">
        <f t="shared" ref="I624:I625" si="674">IF(AND(D624="INGENIERÍA MECÁNICA",F624&lt;&gt;0),E624,0)</f>
        <v>#REF!</v>
      </c>
      <c r="J624" s="11" t="e">
        <f t="shared" ref="J624:J625" si="675">IF(AND(D624="LINEAS",F624&lt;&gt;0),E624,0)</f>
        <v>#REF!</v>
      </c>
    </row>
    <row r="625" spans="2:10" x14ac:dyDescent="0.3">
      <c r="B625" s="400" t="s">
        <v>1229</v>
      </c>
      <c r="C625" s="9" t="e">
        <f>#REF!</f>
        <v>#REF!</v>
      </c>
      <c r="D625" s="19" t="s">
        <v>761</v>
      </c>
      <c r="E625" s="10" t="e">
        <f>#REF!</f>
        <v>#REF!</v>
      </c>
      <c r="F625" s="302" t="e">
        <f>#REF!</f>
        <v>#REF!</v>
      </c>
      <c r="G625" s="11" t="e">
        <f t="shared" si="672"/>
        <v>#REF!</v>
      </c>
      <c r="H625" s="11" t="e">
        <f t="shared" si="673"/>
        <v>#REF!</v>
      </c>
      <c r="I625" s="11" t="e">
        <f t="shared" si="674"/>
        <v>#REF!</v>
      </c>
      <c r="J625" s="11" t="e">
        <f t="shared" si="675"/>
        <v>#REF!</v>
      </c>
    </row>
    <row r="626" spans="2:10" x14ac:dyDescent="0.3">
      <c r="B626" s="400" t="s">
        <v>1229</v>
      </c>
      <c r="C626" s="9" t="e">
        <f>#REF!</f>
        <v>#REF!</v>
      </c>
      <c r="D626" s="19" t="s">
        <v>760</v>
      </c>
      <c r="E626" s="10" t="e">
        <f>#REF!</f>
        <v>#REF!</v>
      </c>
      <c r="F626" s="302" t="e">
        <f>#REF!</f>
        <v>#REF!</v>
      </c>
      <c r="G626" s="11" t="e">
        <f t="shared" ref="G626:G627" si="676">IF(AND(D626="INGENIERÍA ELÉCTRICA",F626&lt;&gt;0),E626,0)</f>
        <v>#REF!</v>
      </c>
      <c r="H626" s="11" t="e">
        <f t="shared" ref="H626:H627" si="677">IF(AND(D626="INGENIERÍA CIVIL",F626&lt;&gt;0),E626,0)</f>
        <v>#REF!</v>
      </c>
      <c r="I626" s="11" t="e">
        <f t="shared" ref="I626:I627" si="678">IF(AND(D626="INGENIERÍA MECÁNICA",F626&lt;&gt;0),E626,0)</f>
        <v>#REF!</v>
      </c>
      <c r="J626" s="11" t="e">
        <f t="shared" ref="J626:J627" si="679">IF(AND(D626="LINEAS",F626&lt;&gt;0),E626,0)</f>
        <v>#REF!</v>
      </c>
    </row>
    <row r="627" spans="2:10" x14ac:dyDescent="0.3">
      <c r="B627" s="400" t="s">
        <v>1229</v>
      </c>
      <c r="C627" s="9" t="e">
        <f>#REF!</f>
        <v>#REF!</v>
      </c>
      <c r="D627" s="19" t="s">
        <v>762</v>
      </c>
      <c r="E627" s="10" t="e">
        <f>#REF!</f>
        <v>#REF!</v>
      </c>
      <c r="F627" s="302" t="e">
        <f>#REF!</f>
        <v>#REF!</v>
      </c>
      <c r="G627" s="11" t="e">
        <f t="shared" si="676"/>
        <v>#REF!</v>
      </c>
      <c r="H627" s="11" t="e">
        <f t="shared" si="677"/>
        <v>#REF!</v>
      </c>
      <c r="I627" s="11" t="e">
        <f t="shared" si="678"/>
        <v>#REF!</v>
      </c>
      <c r="J627" s="11" t="e">
        <f t="shared" si="679"/>
        <v>#REF!</v>
      </c>
    </row>
    <row r="628" spans="2:10" x14ac:dyDescent="0.3">
      <c r="B628" s="400" t="s">
        <v>1229</v>
      </c>
      <c r="C628" s="9" t="e">
        <f>#REF!</f>
        <v>#REF!</v>
      </c>
      <c r="D628" s="19" t="s">
        <v>761</v>
      </c>
      <c r="E628" s="10" t="e">
        <f>#REF!</f>
        <v>#REF!</v>
      </c>
      <c r="F628" s="302" t="e">
        <f>#REF!</f>
        <v>#REF!</v>
      </c>
      <c r="G628" s="11" t="e">
        <f t="shared" ref="G628" si="680">IF(AND(D628="INGENIERÍA ELÉCTRICA",F628&lt;&gt;0),E628,0)</f>
        <v>#REF!</v>
      </c>
      <c r="H628" s="11" t="e">
        <f t="shared" ref="H628" si="681">IF(AND(D628="INGENIERÍA CIVIL",F628&lt;&gt;0),E628,0)</f>
        <v>#REF!</v>
      </c>
      <c r="I628" s="11" t="e">
        <f t="shared" ref="I628" si="682">IF(AND(D628="INGENIERÍA MECÁNICA",F628&lt;&gt;0),E628,0)</f>
        <v>#REF!</v>
      </c>
      <c r="J628" s="11" t="e">
        <f t="shared" ref="J628" si="683">IF(AND(D628="LINEAS",F628&lt;&gt;0),E628,0)</f>
        <v>#REF!</v>
      </c>
    </row>
    <row r="629" spans="2:10" x14ac:dyDescent="0.3">
      <c r="B629" s="400" t="s">
        <v>812</v>
      </c>
      <c r="C629" s="9" t="e">
        <f>#REF!</f>
        <v>#REF!</v>
      </c>
      <c r="D629" s="19" t="s">
        <v>760</v>
      </c>
      <c r="E629" s="10" t="e">
        <f>#REF!</f>
        <v>#REF!</v>
      </c>
      <c r="F629" s="302" t="e">
        <f>#REF!</f>
        <v>#REF!</v>
      </c>
      <c r="G629" s="11" t="e">
        <f t="shared" ref="G629" si="684">IF(AND(D629="INGENIERÍA ELÉCTRICA",F629&lt;&gt;0),E629,0)</f>
        <v>#REF!</v>
      </c>
      <c r="H629" s="11" t="e">
        <f t="shared" ref="H629" si="685">IF(AND(D629="INGENIERÍA CIVIL",F629&lt;&gt;0),E629,0)</f>
        <v>#REF!</v>
      </c>
      <c r="I629" s="11" t="e">
        <f t="shared" ref="I629" si="686">IF(AND(D629="INGENIERÍA MECÁNICA",F629&lt;&gt;0),E629,0)</f>
        <v>#REF!</v>
      </c>
      <c r="J629" s="11" t="e">
        <f t="shared" ref="J629" si="687">IF(AND(D629="LINEAS",F629&lt;&gt;0),E629,0)</f>
        <v>#REF!</v>
      </c>
    </row>
    <row r="630" spans="2:10" x14ac:dyDescent="0.3">
      <c r="B630" s="400" t="s">
        <v>812</v>
      </c>
      <c r="C630" s="9" t="e">
        <f>#REF!</f>
        <v>#REF!</v>
      </c>
      <c r="D630" s="19" t="s">
        <v>762</v>
      </c>
      <c r="E630" s="10" t="e">
        <f>#REF!</f>
        <v>#REF!</v>
      </c>
      <c r="F630" s="302" t="e">
        <f>#REF!</f>
        <v>#REF!</v>
      </c>
      <c r="G630" s="11" t="e">
        <f t="shared" ref="G630:G636" si="688">IF(AND(D630="INGENIERÍA ELÉCTRICA",F630&lt;&gt;0),E630,0)</f>
        <v>#REF!</v>
      </c>
      <c r="H630" s="11" t="e">
        <f t="shared" ref="H630:H636" si="689">IF(AND(D630="INGENIERÍA CIVIL",F630&lt;&gt;0),E630,0)</f>
        <v>#REF!</v>
      </c>
      <c r="I630" s="11" t="e">
        <f t="shared" ref="I630:I636" si="690">IF(AND(D630="INGENIERÍA MECÁNICA",F630&lt;&gt;0),E630,0)</f>
        <v>#REF!</v>
      </c>
      <c r="J630" s="11" t="e">
        <f t="shared" ref="J630:J636" si="691">IF(AND(D630="LINEAS",F630&lt;&gt;0),E630,0)</f>
        <v>#REF!</v>
      </c>
    </row>
    <row r="631" spans="2:10" x14ac:dyDescent="0.3">
      <c r="B631" s="400" t="s">
        <v>812</v>
      </c>
      <c r="C631" s="9" t="e">
        <f>#REF!</f>
        <v>#REF!</v>
      </c>
      <c r="D631" s="19" t="s">
        <v>761</v>
      </c>
      <c r="E631" s="10" t="e">
        <f>#REF!</f>
        <v>#REF!</v>
      </c>
      <c r="F631" s="302" t="e">
        <f>#REF!</f>
        <v>#REF!</v>
      </c>
      <c r="G631" s="11" t="e">
        <f t="shared" si="688"/>
        <v>#REF!</v>
      </c>
      <c r="H631" s="11" t="e">
        <f t="shared" si="689"/>
        <v>#REF!</v>
      </c>
      <c r="I631" s="11" t="e">
        <f t="shared" si="690"/>
        <v>#REF!</v>
      </c>
      <c r="J631" s="11" t="e">
        <f t="shared" si="691"/>
        <v>#REF!</v>
      </c>
    </row>
    <row r="632" spans="2:10" x14ac:dyDescent="0.3">
      <c r="B632" s="400" t="s">
        <v>812</v>
      </c>
      <c r="C632" s="9" t="e">
        <f>#REF!</f>
        <v>#REF!</v>
      </c>
      <c r="D632" s="19" t="s">
        <v>760</v>
      </c>
      <c r="E632" s="10" t="e">
        <f>#REF!</f>
        <v>#REF!</v>
      </c>
      <c r="F632" s="302" t="e">
        <f>#REF!</f>
        <v>#REF!</v>
      </c>
      <c r="G632" s="11" t="e">
        <f t="shared" si="688"/>
        <v>#REF!</v>
      </c>
      <c r="H632" s="11" t="e">
        <f t="shared" si="689"/>
        <v>#REF!</v>
      </c>
      <c r="I632" s="11" t="e">
        <f t="shared" si="690"/>
        <v>#REF!</v>
      </c>
      <c r="J632" s="11" t="e">
        <f t="shared" si="691"/>
        <v>#REF!</v>
      </c>
    </row>
    <row r="633" spans="2:10" x14ac:dyDescent="0.3">
      <c r="B633" s="400" t="s">
        <v>812</v>
      </c>
      <c r="C633" s="9" t="e">
        <f>#REF!</f>
        <v>#REF!</v>
      </c>
      <c r="D633" s="19" t="s">
        <v>762</v>
      </c>
      <c r="E633" s="10" t="e">
        <f>#REF!</f>
        <v>#REF!</v>
      </c>
      <c r="F633" s="302" t="e">
        <f>#REF!</f>
        <v>#REF!</v>
      </c>
      <c r="G633" s="11" t="e">
        <f t="shared" si="688"/>
        <v>#REF!</v>
      </c>
      <c r="H633" s="11" t="e">
        <f t="shared" si="689"/>
        <v>#REF!</v>
      </c>
      <c r="I633" s="11" t="e">
        <f t="shared" si="690"/>
        <v>#REF!</v>
      </c>
      <c r="J633" s="11" t="e">
        <f t="shared" si="691"/>
        <v>#REF!</v>
      </c>
    </row>
    <row r="634" spans="2:10" x14ac:dyDescent="0.3">
      <c r="B634" s="400" t="s">
        <v>812</v>
      </c>
      <c r="C634" s="9" t="e">
        <f>#REF!</f>
        <v>#REF!</v>
      </c>
      <c r="D634" s="19" t="s">
        <v>761</v>
      </c>
      <c r="E634" s="10" t="e">
        <f>#REF!</f>
        <v>#REF!</v>
      </c>
      <c r="F634" s="302" t="e">
        <f>#REF!</f>
        <v>#REF!</v>
      </c>
      <c r="G634" s="11" t="e">
        <f t="shared" si="688"/>
        <v>#REF!</v>
      </c>
      <c r="H634" s="11" t="e">
        <f t="shared" si="689"/>
        <v>#REF!</v>
      </c>
      <c r="I634" s="11" t="e">
        <f t="shared" si="690"/>
        <v>#REF!</v>
      </c>
      <c r="J634" s="11" t="e">
        <f t="shared" si="691"/>
        <v>#REF!</v>
      </c>
    </row>
    <row r="635" spans="2:10" x14ac:dyDescent="0.3">
      <c r="B635" s="400" t="s">
        <v>812</v>
      </c>
      <c r="C635" s="9" t="e">
        <f>#REF!</f>
        <v>#REF!</v>
      </c>
      <c r="D635" s="19" t="s">
        <v>760</v>
      </c>
      <c r="E635" s="10" t="e">
        <f>#REF!</f>
        <v>#REF!</v>
      </c>
      <c r="F635" s="302" t="e">
        <f>#REF!</f>
        <v>#REF!</v>
      </c>
      <c r="G635" s="11" t="e">
        <f t="shared" si="688"/>
        <v>#REF!</v>
      </c>
      <c r="H635" s="11" t="e">
        <f t="shared" si="689"/>
        <v>#REF!</v>
      </c>
      <c r="I635" s="11" t="e">
        <f t="shared" si="690"/>
        <v>#REF!</v>
      </c>
      <c r="J635" s="11" t="e">
        <f t="shared" si="691"/>
        <v>#REF!</v>
      </c>
    </row>
    <row r="636" spans="2:10" x14ac:dyDescent="0.3">
      <c r="B636" s="400" t="s">
        <v>812</v>
      </c>
      <c r="C636" s="9" t="e">
        <f>#REF!</f>
        <v>#REF!</v>
      </c>
      <c r="D636" s="19" t="s">
        <v>762</v>
      </c>
      <c r="E636" s="10" t="e">
        <f>#REF!</f>
        <v>#REF!</v>
      </c>
      <c r="F636" s="302" t="e">
        <f>#REF!</f>
        <v>#REF!</v>
      </c>
      <c r="G636" s="11" t="e">
        <f t="shared" si="688"/>
        <v>#REF!</v>
      </c>
      <c r="H636" s="11" t="e">
        <f t="shared" si="689"/>
        <v>#REF!</v>
      </c>
      <c r="I636" s="11" t="e">
        <f t="shared" si="690"/>
        <v>#REF!</v>
      </c>
      <c r="J636" s="11" t="e">
        <f t="shared" si="691"/>
        <v>#REF!</v>
      </c>
    </row>
    <row r="637" spans="2:10" x14ac:dyDescent="0.3">
      <c r="B637" s="400" t="s">
        <v>812</v>
      </c>
      <c r="C637" s="9" t="e">
        <f>#REF!</f>
        <v>#REF!</v>
      </c>
      <c r="D637" s="19" t="s">
        <v>761</v>
      </c>
      <c r="E637" s="10" t="e">
        <f>#REF!</f>
        <v>#REF!</v>
      </c>
      <c r="F637" s="302" t="e">
        <f>#REF!</f>
        <v>#REF!</v>
      </c>
      <c r="G637" s="11" t="e">
        <f t="shared" ref="G637:G639" si="692">IF(AND(D637="INGENIERÍA ELÉCTRICA",F637&lt;&gt;0),E637,0)</f>
        <v>#REF!</v>
      </c>
      <c r="H637" s="11" t="e">
        <f t="shared" ref="H637:H639" si="693">IF(AND(D637="INGENIERÍA CIVIL",F637&lt;&gt;0),E637,0)</f>
        <v>#REF!</v>
      </c>
      <c r="I637" s="11" t="e">
        <f t="shared" ref="I637:I639" si="694">IF(AND(D637="INGENIERÍA MECÁNICA",F637&lt;&gt;0),E637,0)</f>
        <v>#REF!</v>
      </c>
      <c r="J637" s="11" t="e">
        <f t="shared" ref="J637:J639" si="695">IF(AND(D637="LINEAS",F637&lt;&gt;0),E637,0)</f>
        <v>#REF!</v>
      </c>
    </row>
    <row r="638" spans="2:10" x14ac:dyDescent="0.3">
      <c r="B638" s="400" t="s">
        <v>812</v>
      </c>
      <c r="C638" s="9" t="e">
        <f>#REF!</f>
        <v>#REF!</v>
      </c>
      <c r="D638" s="19" t="s">
        <v>762</v>
      </c>
      <c r="E638" s="10" t="e">
        <f>#REF!</f>
        <v>#REF!</v>
      </c>
      <c r="F638" s="302" t="e">
        <f>#REF!</f>
        <v>#REF!</v>
      </c>
      <c r="G638" s="11" t="e">
        <f t="shared" si="692"/>
        <v>#REF!</v>
      </c>
      <c r="H638" s="11" t="e">
        <f t="shared" si="693"/>
        <v>#REF!</v>
      </c>
      <c r="I638" s="11" t="e">
        <f t="shared" si="694"/>
        <v>#REF!</v>
      </c>
      <c r="J638" s="11" t="e">
        <f t="shared" si="695"/>
        <v>#REF!</v>
      </c>
    </row>
    <row r="639" spans="2:10" x14ac:dyDescent="0.3">
      <c r="B639" s="400" t="s">
        <v>812</v>
      </c>
      <c r="C639" s="9" t="e">
        <f>#REF!</f>
        <v>#REF!</v>
      </c>
      <c r="D639" s="19" t="s">
        <v>761</v>
      </c>
      <c r="E639" s="10" t="e">
        <f>#REF!</f>
        <v>#REF!</v>
      </c>
      <c r="F639" s="302" t="e">
        <f>#REF!</f>
        <v>#REF!</v>
      </c>
      <c r="G639" s="11" t="e">
        <f t="shared" si="692"/>
        <v>#REF!</v>
      </c>
      <c r="H639" s="11" t="e">
        <f t="shared" si="693"/>
        <v>#REF!</v>
      </c>
      <c r="I639" s="11" t="e">
        <f t="shared" si="694"/>
        <v>#REF!</v>
      </c>
      <c r="J639" s="11" t="e">
        <f t="shared" si="695"/>
        <v>#REF!</v>
      </c>
    </row>
    <row r="640" spans="2:10" x14ac:dyDescent="0.3">
      <c r="B640" s="400" t="s">
        <v>1230</v>
      </c>
      <c r="C640" s="9" t="e">
        <f>#REF!</f>
        <v>#REF!</v>
      </c>
      <c r="D640" s="19" t="s">
        <v>760</v>
      </c>
      <c r="E640" s="10" t="e">
        <f>#REF!</f>
        <v>#REF!</v>
      </c>
      <c r="F640" s="302" t="e">
        <f>#REF!</f>
        <v>#REF!</v>
      </c>
      <c r="G640" s="11" t="e">
        <f t="shared" ref="G640" si="696">IF(AND(D640="INGENIERÍA ELÉCTRICA",F640&lt;&gt;0),E640,0)</f>
        <v>#REF!</v>
      </c>
      <c r="H640" s="11" t="e">
        <f t="shared" ref="H640" si="697">IF(AND(D640="INGENIERÍA CIVIL",F640&lt;&gt;0),E640,0)</f>
        <v>#REF!</v>
      </c>
      <c r="I640" s="11" t="e">
        <f t="shared" ref="I640" si="698">IF(AND(D640="INGENIERÍA MECÁNICA",F640&lt;&gt;0),E640,0)</f>
        <v>#REF!</v>
      </c>
      <c r="J640" s="11" t="e">
        <f t="shared" ref="J640" si="699">IF(AND(D640="LINEAS",F640&lt;&gt;0),E640,0)</f>
        <v>#REF!</v>
      </c>
    </row>
    <row r="641" spans="2:10" x14ac:dyDescent="0.3">
      <c r="B641" s="400" t="s">
        <v>1230</v>
      </c>
      <c r="C641" s="9" t="e">
        <f>#REF!</f>
        <v>#REF!</v>
      </c>
      <c r="D641" s="19" t="s">
        <v>762</v>
      </c>
      <c r="E641" s="10" t="e">
        <f>#REF!</f>
        <v>#REF!</v>
      </c>
      <c r="F641" s="302" t="e">
        <f>#REF!</f>
        <v>#REF!</v>
      </c>
      <c r="G641" s="11" t="e">
        <f t="shared" ref="G641:G650" si="700">IF(AND(D641="INGENIERÍA ELÉCTRICA",F641&lt;&gt;0),E641,0)</f>
        <v>#REF!</v>
      </c>
      <c r="H641" s="11" t="e">
        <f t="shared" ref="H641:H650" si="701">IF(AND(D641="INGENIERÍA CIVIL",F641&lt;&gt;0),E641,0)</f>
        <v>#REF!</v>
      </c>
      <c r="I641" s="11" t="e">
        <f t="shared" ref="I641:I650" si="702">IF(AND(D641="INGENIERÍA MECÁNICA",F641&lt;&gt;0),E641,0)</f>
        <v>#REF!</v>
      </c>
      <c r="J641" s="11" t="e">
        <f t="shared" ref="J641:J650" si="703">IF(AND(D641="LINEAS",F641&lt;&gt;0),E641,0)</f>
        <v>#REF!</v>
      </c>
    </row>
    <row r="642" spans="2:10" x14ac:dyDescent="0.3">
      <c r="B642" s="400" t="s">
        <v>1230</v>
      </c>
      <c r="C642" s="9" t="e">
        <f>#REF!</f>
        <v>#REF!</v>
      </c>
      <c r="D642" s="19" t="s">
        <v>761</v>
      </c>
      <c r="E642" s="10" t="e">
        <f>#REF!</f>
        <v>#REF!</v>
      </c>
      <c r="F642" s="302" t="e">
        <f>#REF!</f>
        <v>#REF!</v>
      </c>
      <c r="G642" s="11" t="e">
        <f t="shared" si="700"/>
        <v>#REF!</v>
      </c>
      <c r="H642" s="11" t="e">
        <f t="shared" si="701"/>
        <v>#REF!</v>
      </c>
      <c r="I642" s="11" t="e">
        <f t="shared" si="702"/>
        <v>#REF!</v>
      </c>
      <c r="J642" s="11" t="e">
        <f t="shared" si="703"/>
        <v>#REF!</v>
      </c>
    </row>
    <row r="643" spans="2:10" x14ac:dyDescent="0.3">
      <c r="B643" s="400" t="s">
        <v>1230</v>
      </c>
      <c r="C643" s="9" t="e">
        <f>#REF!</f>
        <v>#REF!</v>
      </c>
      <c r="D643" s="19" t="s">
        <v>760</v>
      </c>
      <c r="E643" s="10" t="e">
        <f>#REF!</f>
        <v>#REF!</v>
      </c>
      <c r="F643" s="302" t="e">
        <f>#REF!</f>
        <v>#REF!</v>
      </c>
      <c r="G643" s="11" t="e">
        <f t="shared" si="700"/>
        <v>#REF!</v>
      </c>
      <c r="H643" s="11" t="e">
        <f t="shared" si="701"/>
        <v>#REF!</v>
      </c>
      <c r="I643" s="11" t="e">
        <f t="shared" si="702"/>
        <v>#REF!</v>
      </c>
      <c r="J643" s="11" t="e">
        <f t="shared" si="703"/>
        <v>#REF!</v>
      </c>
    </row>
    <row r="644" spans="2:10" x14ac:dyDescent="0.3">
      <c r="B644" s="400" t="s">
        <v>1230</v>
      </c>
      <c r="C644" s="9" t="e">
        <f>#REF!</f>
        <v>#REF!</v>
      </c>
      <c r="D644" s="19" t="s">
        <v>762</v>
      </c>
      <c r="E644" s="10" t="e">
        <f>#REF!</f>
        <v>#REF!</v>
      </c>
      <c r="F644" s="302" t="e">
        <f>#REF!</f>
        <v>#REF!</v>
      </c>
      <c r="G644" s="11" t="e">
        <f t="shared" si="700"/>
        <v>#REF!</v>
      </c>
      <c r="H644" s="11" t="e">
        <f t="shared" si="701"/>
        <v>#REF!</v>
      </c>
      <c r="I644" s="11" t="e">
        <f t="shared" si="702"/>
        <v>#REF!</v>
      </c>
      <c r="J644" s="11" t="e">
        <f t="shared" si="703"/>
        <v>#REF!</v>
      </c>
    </row>
    <row r="645" spans="2:10" x14ac:dyDescent="0.3">
      <c r="B645" s="400" t="s">
        <v>1230</v>
      </c>
      <c r="C645" s="9" t="e">
        <f>#REF!</f>
        <v>#REF!</v>
      </c>
      <c r="D645" s="19" t="s">
        <v>761</v>
      </c>
      <c r="E645" s="10" t="e">
        <f>#REF!</f>
        <v>#REF!</v>
      </c>
      <c r="F645" s="302" t="e">
        <f>#REF!</f>
        <v>#REF!</v>
      </c>
      <c r="G645" s="11" t="e">
        <f t="shared" si="700"/>
        <v>#REF!</v>
      </c>
      <c r="H645" s="11" t="e">
        <f t="shared" si="701"/>
        <v>#REF!</v>
      </c>
      <c r="I645" s="11" t="e">
        <f t="shared" si="702"/>
        <v>#REF!</v>
      </c>
      <c r="J645" s="11" t="e">
        <f t="shared" si="703"/>
        <v>#REF!</v>
      </c>
    </row>
    <row r="646" spans="2:10" x14ac:dyDescent="0.3">
      <c r="B646" s="400" t="s">
        <v>1230</v>
      </c>
      <c r="C646" s="9" t="e">
        <f>#REF!</f>
        <v>#REF!</v>
      </c>
      <c r="D646" s="19" t="s">
        <v>760</v>
      </c>
      <c r="E646" s="10" t="e">
        <f>#REF!</f>
        <v>#REF!</v>
      </c>
      <c r="F646" s="302" t="e">
        <f>#REF!</f>
        <v>#REF!</v>
      </c>
      <c r="G646" s="11" t="e">
        <f t="shared" si="700"/>
        <v>#REF!</v>
      </c>
      <c r="H646" s="11" t="e">
        <f t="shared" si="701"/>
        <v>#REF!</v>
      </c>
      <c r="I646" s="11" t="e">
        <f t="shared" si="702"/>
        <v>#REF!</v>
      </c>
      <c r="J646" s="11" t="e">
        <f t="shared" si="703"/>
        <v>#REF!</v>
      </c>
    </row>
    <row r="647" spans="2:10" x14ac:dyDescent="0.3">
      <c r="B647" s="400" t="s">
        <v>1230</v>
      </c>
      <c r="C647" s="9" t="e">
        <f>#REF!</f>
        <v>#REF!</v>
      </c>
      <c r="D647" s="19" t="s">
        <v>762</v>
      </c>
      <c r="E647" s="10" t="e">
        <f>#REF!</f>
        <v>#REF!</v>
      </c>
      <c r="F647" s="302" t="e">
        <f>#REF!</f>
        <v>#REF!</v>
      </c>
      <c r="G647" s="11" t="e">
        <f t="shared" si="700"/>
        <v>#REF!</v>
      </c>
      <c r="H647" s="11" t="e">
        <f t="shared" si="701"/>
        <v>#REF!</v>
      </c>
      <c r="I647" s="11" t="e">
        <f t="shared" si="702"/>
        <v>#REF!</v>
      </c>
      <c r="J647" s="11" t="e">
        <f t="shared" si="703"/>
        <v>#REF!</v>
      </c>
    </row>
    <row r="648" spans="2:10" x14ac:dyDescent="0.3">
      <c r="B648" s="400" t="s">
        <v>1230</v>
      </c>
      <c r="C648" s="9" t="e">
        <f>#REF!</f>
        <v>#REF!</v>
      </c>
      <c r="D648" s="19" t="s">
        <v>761</v>
      </c>
      <c r="E648" s="10" t="e">
        <f>#REF!</f>
        <v>#REF!</v>
      </c>
      <c r="F648" s="302" t="e">
        <f>#REF!</f>
        <v>#REF!</v>
      </c>
      <c r="G648" s="11" t="e">
        <f t="shared" si="700"/>
        <v>#REF!</v>
      </c>
      <c r="H648" s="11" t="e">
        <f t="shared" si="701"/>
        <v>#REF!</v>
      </c>
      <c r="I648" s="11" t="e">
        <f t="shared" si="702"/>
        <v>#REF!</v>
      </c>
      <c r="J648" s="11" t="e">
        <f t="shared" si="703"/>
        <v>#REF!</v>
      </c>
    </row>
    <row r="649" spans="2:10" x14ac:dyDescent="0.3">
      <c r="B649" s="400" t="s">
        <v>1230</v>
      </c>
      <c r="C649" s="9" t="e">
        <f>#REF!</f>
        <v>#REF!</v>
      </c>
      <c r="D649" s="19" t="s">
        <v>762</v>
      </c>
      <c r="E649" s="10" t="e">
        <f>#REF!</f>
        <v>#REF!</v>
      </c>
      <c r="F649" s="302" t="e">
        <f>#REF!</f>
        <v>#REF!</v>
      </c>
      <c r="G649" s="11" t="e">
        <f t="shared" si="700"/>
        <v>#REF!</v>
      </c>
      <c r="H649" s="11" t="e">
        <f t="shared" si="701"/>
        <v>#REF!</v>
      </c>
      <c r="I649" s="11" t="e">
        <f t="shared" si="702"/>
        <v>#REF!</v>
      </c>
      <c r="J649" s="11" t="e">
        <f t="shared" si="703"/>
        <v>#REF!</v>
      </c>
    </row>
    <row r="650" spans="2:10" x14ac:dyDescent="0.3">
      <c r="B650" s="400" t="s">
        <v>1230</v>
      </c>
      <c r="C650" s="9" t="e">
        <f>#REF!</f>
        <v>#REF!</v>
      </c>
      <c r="D650" s="19" t="s">
        <v>761</v>
      </c>
      <c r="E650" s="10" t="e">
        <f>#REF!</f>
        <v>#REF!</v>
      </c>
      <c r="F650" s="302" t="e">
        <f>#REF!</f>
        <v>#REF!</v>
      </c>
      <c r="G650" s="11" t="e">
        <f t="shared" si="700"/>
        <v>#REF!</v>
      </c>
      <c r="H650" s="11" t="e">
        <f t="shared" si="701"/>
        <v>#REF!</v>
      </c>
      <c r="I650" s="11" t="e">
        <f t="shared" si="702"/>
        <v>#REF!</v>
      </c>
      <c r="J650" s="11" t="e">
        <f t="shared" si="703"/>
        <v>#REF!</v>
      </c>
    </row>
    <row r="651" spans="2:10" x14ac:dyDescent="0.3">
      <c r="B651" s="400" t="s">
        <v>1231</v>
      </c>
      <c r="C651" s="9" t="e">
        <f>#REF!</f>
        <v>#REF!</v>
      </c>
      <c r="D651" s="19" t="s">
        <v>760</v>
      </c>
      <c r="E651" s="10" t="e">
        <f>#REF!</f>
        <v>#REF!</v>
      </c>
      <c r="F651" s="302" t="e">
        <f>#REF!</f>
        <v>#REF!</v>
      </c>
      <c r="G651" s="11" t="e">
        <f t="shared" ref="G651" si="704">IF(AND(D651="INGENIERÍA ELÉCTRICA",F651&lt;&gt;0),E651,0)</f>
        <v>#REF!</v>
      </c>
      <c r="H651" s="11" t="e">
        <f t="shared" ref="H651" si="705">IF(AND(D651="INGENIERÍA CIVIL",F651&lt;&gt;0),E651,0)</f>
        <v>#REF!</v>
      </c>
      <c r="I651" s="11" t="e">
        <f t="shared" ref="I651" si="706">IF(AND(D651="INGENIERÍA MECÁNICA",F651&lt;&gt;0),E651,0)</f>
        <v>#REF!</v>
      </c>
      <c r="J651" s="11" t="e">
        <f t="shared" ref="J651" si="707">IF(AND(D651="LINEAS",F651&lt;&gt;0),E651,0)</f>
        <v>#REF!</v>
      </c>
    </row>
    <row r="652" spans="2:10" x14ac:dyDescent="0.3">
      <c r="B652" s="400" t="s">
        <v>1231</v>
      </c>
      <c r="C652" s="9" t="e">
        <f>#REF!</f>
        <v>#REF!</v>
      </c>
      <c r="D652" s="19" t="s">
        <v>762</v>
      </c>
      <c r="E652" s="10" t="e">
        <f>#REF!</f>
        <v>#REF!</v>
      </c>
      <c r="F652" s="302" t="e">
        <f>#REF!</f>
        <v>#REF!</v>
      </c>
      <c r="G652" s="11" t="e">
        <f t="shared" ref="G652:G661" si="708">IF(AND(D652="INGENIERÍA ELÉCTRICA",F652&lt;&gt;0),E652,0)</f>
        <v>#REF!</v>
      </c>
      <c r="H652" s="11" t="e">
        <f t="shared" ref="H652:H661" si="709">IF(AND(D652="INGENIERÍA CIVIL",F652&lt;&gt;0),E652,0)</f>
        <v>#REF!</v>
      </c>
      <c r="I652" s="11" t="e">
        <f t="shared" ref="I652:I661" si="710">IF(AND(D652="INGENIERÍA MECÁNICA",F652&lt;&gt;0),E652,0)</f>
        <v>#REF!</v>
      </c>
      <c r="J652" s="11" t="e">
        <f t="shared" ref="J652:J661" si="711">IF(AND(D652="LINEAS",F652&lt;&gt;0),E652,0)</f>
        <v>#REF!</v>
      </c>
    </row>
    <row r="653" spans="2:10" x14ac:dyDescent="0.3">
      <c r="B653" s="400" t="s">
        <v>1231</v>
      </c>
      <c r="C653" s="9" t="e">
        <f>#REF!</f>
        <v>#REF!</v>
      </c>
      <c r="D653" s="19" t="s">
        <v>761</v>
      </c>
      <c r="E653" s="10" t="e">
        <f>#REF!</f>
        <v>#REF!</v>
      </c>
      <c r="F653" s="302" t="e">
        <f>#REF!</f>
        <v>#REF!</v>
      </c>
      <c r="G653" s="11" t="e">
        <f t="shared" si="708"/>
        <v>#REF!</v>
      </c>
      <c r="H653" s="11" t="e">
        <f t="shared" si="709"/>
        <v>#REF!</v>
      </c>
      <c r="I653" s="11" t="e">
        <f t="shared" si="710"/>
        <v>#REF!</v>
      </c>
      <c r="J653" s="11" t="e">
        <f t="shared" si="711"/>
        <v>#REF!</v>
      </c>
    </row>
    <row r="654" spans="2:10" x14ac:dyDescent="0.3">
      <c r="B654" s="400" t="s">
        <v>1231</v>
      </c>
      <c r="C654" s="9" t="e">
        <f>#REF!</f>
        <v>#REF!</v>
      </c>
      <c r="D654" s="19" t="s">
        <v>760</v>
      </c>
      <c r="E654" s="10" t="e">
        <f>#REF!</f>
        <v>#REF!</v>
      </c>
      <c r="F654" s="302" t="e">
        <f>#REF!</f>
        <v>#REF!</v>
      </c>
      <c r="G654" s="11" t="e">
        <f t="shared" si="708"/>
        <v>#REF!</v>
      </c>
      <c r="H654" s="11" t="e">
        <f t="shared" si="709"/>
        <v>#REF!</v>
      </c>
      <c r="I654" s="11" t="e">
        <f t="shared" si="710"/>
        <v>#REF!</v>
      </c>
      <c r="J654" s="11" t="e">
        <f t="shared" si="711"/>
        <v>#REF!</v>
      </c>
    </row>
    <row r="655" spans="2:10" x14ac:dyDescent="0.3">
      <c r="B655" s="400" t="s">
        <v>1231</v>
      </c>
      <c r="C655" s="9" t="e">
        <f>#REF!</f>
        <v>#REF!</v>
      </c>
      <c r="D655" s="19" t="s">
        <v>762</v>
      </c>
      <c r="E655" s="10" t="e">
        <f>#REF!</f>
        <v>#REF!</v>
      </c>
      <c r="F655" s="302" t="e">
        <f>#REF!</f>
        <v>#REF!</v>
      </c>
      <c r="G655" s="11" t="e">
        <f t="shared" si="708"/>
        <v>#REF!</v>
      </c>
      <c r="H655" s="11" t="e">
        <f t="shared" si="709"/>
        <v>#REF!</v>
      </c>
      <c r="I655" s="11" t="e">
        <f t="shared" si="710"/>
        <v>#REF!</v>
      </c>
      <c r="J655" s="11" t="e">
        <f t="shared" si="711"/>
        <v>#REF!</v>
      </c>
    </row>
    <row r="656" spans="2:10" x14ac:dyDescent="0.3">
      <c r="B656" s="400" t="s">
        <v>1231</v>
      </c>
      <c r="C656" s="9" t="e">
        <f>#REF!</f>
        <v>#REF!</v>
      </c>
      <c r="D656" s="19" t="s">
        <v>761</v>
      </c>
      <c r="E656" s="10" t="e">
        <f>#REF!</f>
        <v>#REF!</v>
      </c>
      <c r="F656" s="302" t="e">
        <f>#REF!</f>
        <v>#REF!</v>
      </c>
      <c r="G656" s="11" t="e">
        <f t="shared" si="708"/>
        <v>#REF!</v>
      </c>
      <c r="H656" s="11" t="e">
        <f t="shared" si="709"/>
        <v>#REF!</v>
      </c>
      <c r="I656" s="11" t="e">
        <f t="shared" si="710"/>
        <v>#REF!</v>
      </c>
      <c r="J656" s="11" t="e">
        <f t="shared" si="711"/>
        <v>#REF!</v>
      </c>
    </row>
    <row r="657" spans="2:10" x14ac:dyDescent="0.3">
      <c r="B657" s="400" t="s">
        <v>1231</v>
      </c>
      <c r="C657" s="9" t="e">
        <f>#REF!</f>
        <v>#REF!</v>
      </c>
      <c r="D657" s="19" t="s">
        <v>760</v>
      </c>
      <c r="E657" s="10" t="e">
        <f>#REF!</f>
        <v>#REF!</v>
      </c>
      <c r="F657" s="302" t="e">
        <f>#REF!</f>
        <v>#REF!</v>
      </c>
      <c r="G657" s="11" t="e">
        <f t="shared" si="708"/>
        <v>#REF!</v>
      </c>
      <c r="H657" s="11" t="e">
        <f t="shared" si="709"/>
        <v>#REF!</v>
      </c>
      <c r="I657" s="11" t="e">
        <f t="shared" si="710"/>
        <v>#REF!</v>
      </c>
      <c r="J657" s="11" t="e">
        <f t="shared" si="711"/>
        <v>#REF!</v>
      </c>
    </row>
    <row r="658" spans="2:10" x14ac:dyDescent="0.3">
      <c r="B658" s="400" t="s">
        <v>1231</v>
      </c>
      <c r="C658" s="9" t="e">
        <f>#REF!</f>
        <v>#REF!</v>
      </c>
      <c r="D658" s="19" t="s">
        <v>762</v>
      </c>
      <c r="E658" s="10" t="e">
        <f>#REF!</f>
        <v>#REF!</v>
      </c>
      <c r="F658" s="302" t="e">
        <f>#REF!</f>
        <v>#REF!</v>
      </c>
      <c r="G658" s="11" t="e">
        <f t="shared" si="708"/>
        <v>#REF!</v>
      </c>
      <c r="H658" s="11" t="e">
        <f t="shared" si="709"/>
        <v>#REF!</v>
      </c>
      <c r="I658" s="11" t="e">
        <f t="shared" si="710"/>
        <v>#REF!</v>
      </c>
      <c r="J658" s="11" t="e">
        <f t="shared" si="711"/>
        <v>#REF!</v>
      </c>
    </row>
    <row r="659" spans="2:10" x14ac:dyDescent="0.3">
      <c r="B659" s="400" t="s">
        <v>1231</v>
      </c>
      <c r="C659" s="9" t="e">
        <f>#REF!</f>
        <v>#REF!</v>
      </c>
      <c r="D659" s="19" t="s">
        <v>761</v>
      </c>
      <c r="E659" s="10" t="e">
        <f>#REF!</f>
        <v>#REF!</v>
      </c>
      <c r="F659" s="302" t="e">
        <f>#REF!</f>
        <v>#REF!</v>
      </c>
      <c r="G659" s="11" t="e">
        <f t="shared" si="708"/>
        <v>#REF!</v>
      </c>
      <c r="H659" s="11" t="e">
        <f t="shared" si="709"/>
        <v>#REF!</v>
      </c>
      <c r="I659" s="11" t="e">
        <f t="shared" si="710"/>
        <v>#REF!</v>
      </c>
      <c r="J659" s="11" t="e">
        <f t="shared" si="711"/>
        <v>#REF!</v>
      </c>
    </row>
    <row r="660" spans="2:10" x14ac:dyDescent="0.3">
      <c r="B660" s="400" t="s">
        <v>1231</v>
      </c>
      <c r="C660" s="9" t="e">
        <f>#REF!</f>
        <v>#REF!</v>
      </c>
      <c r="D660" s="19" t="s">
        <v>762</v>
      </c>
      <c r="E660" s="10" t="e">
        <f>#REF!</f>
        <v>#REF!</v>
      </c>
      <c r="F660" s="302" t="e">
        <f>#REF!</f>
        <v>#REF!</v>
      </c>
      <c r="G660" s="11" t="e">
        <f t="shared" si="708"/>
        <v>#REF!</v>
      </c>
      <c r="H660" s="11" t="e">
        <f t="shared" si="709"/>
        <v>#REF!</v>
      </c>
      <c r="I660" s="11" t="e">
        <f t="shared" si="710"/>
        <v>#REF!</v>
      </c>
      <c r="J660" s="11" t="e">
        <f t="shared" si="711"/>
        <v>#REF!</v>
      </c>
    </row>
    <row r="661" spans="2:10" x14ac:dyDescent="0.3">
      <c r="B661" s="400" t="s">
        <v>1231</v>
      </c>
      <c r="C661" s="9" t="e">
        <f>#REF!</f>
        <v>#REF!</v>
      </c>
      <c r="D661" s="19" t="s">
        <v>761</v>
      </c>
      <c r="E661" s="10" t="e">
        <f>#REF!</f>
        <v>#REF!</v>
      </c>
      <c r="F661" s="302" t="e">
        <f>#REF!</f>
        <v>#REF!</v>
      </c>
      <c r="G661" s="11" t="e">
        <f t="shared" si="708"/>
        <v>#REF!</v>
      </c>
      <c r="H661" s="11" t="e">
        <f t="shared" si="709"/>
        <v>#REF!</v>
      </c>
      <c r="I661" s="11" t="e">
        <f t="shared" si="710"/>
        <v>#REF!</v>
      </c>
      <c r="J661" s="11" t="e">
        <f t="shared" si="711"/>
        <v>#REF!</v>
      </c>
    </row>
    <row r="662" spans="2:10" x14ac:dyDescent="0.3">
      <c r="B662" s="400" t="s">
        <v>752</v>
      </c>
      <c r="C662" s="9" t="str">
        <f>'OT17-225 LT DOR GUA CONEX GUAD '!C14</f>
        <v>Levantamiento topográfico</v>
      </c>
      <c r="D662" s="19" t="s">
        <v>28</v>
      </c>
      <c r="E662" s="10">
        <f>'OT17-225 LT DOR GUA CONEX GUAD '!O14</f>
        <v>0</v>
      </c>
      <c r="F662" s="302">
        <f>'OT17-225 LT DOR GUA CONEX GUAD '!N14</f>
        <v>0</v>
      </c>
      <c r="G662" s="11">
        <f t="shared" ref="G662" si="712">IF(AND(D662="INGENIERÍA ELÉCTRICA",F662&lt;&gt;0),E662,0)</f>
        <v>0</v>
      </c>
      <c r="H662" s="11">
        <f t="shared" ref="H662" si="713">IF(AND(D662="INGENIERÍA CIVIL",F662&lt;&gt;0),E662,0)</f>
        <v>0</v>
      </c>
      <c r="I662" s="11">
        <f t="shared" ref="I662" si="714">IF(AND(D662="INGENIERÍA MECÁNICA",F662&lt;&gt;0),E662,0)</f>
        <v>0</v>
      </c>
      <c r="J662" s="11">
        <f t="shared" ref="J662" si="715">IF(AND(D662="LINEAS",F662&lt;&gt;0),E662,0)</f>
        <v>0</v>
      </c>
    </row>
    <row r="663" spans="2:10" x14ac:dyDescent="0.3">
      <c r="B663" s="400" t="s">
        <v>752</v>
      </c>
      <c r="C663" s="9" t="str">
        <f>'OT17-225 LT DOR GUA CONEX GUAD '!C16</f>
        <v>Replanteo para Línea de AT</v>
      </c>
      <c r="D663" s="19" t="s">
        <v>28</v>
      </c>
      <c r="E663" s="10">
        <f>'OT17-225 LT DOR GUA CONEX GUAD '!O16</f>
        <v>0</v>
      </c>
      <c r="F663" s="302">
        <f>'OT17-225 LT DOR GUA CONEX GUAD '!N16</f>
        <v>0</v>
      </c>
      <c r="G663" s="11">
        <f t="shared" ref="G663:G667" si="716">IF(AND(D663="INGENIERÍA ELÉCTRICA",F663&lt;&gt;0),E663,0)</f>
        <v>0</v>
      </c>
      <c r="H663" s="11">
        <f t="shared" ref="H663:H667" si="717">IF(AND(D663="INGENIERÍA CIVIL",F663&lt;&gt;0),E663,0)</f>
        <v>0</v>
      </c>
      <c r="I663" s="11">
        <f t="shared" ref="I663:I667" si="718">IF(AND(D663="INGENIERÍA MECÁNICA",F663&lt;&gt;0),E663,0)</f>
        <v>0</v>
      </c>
      <c r="J663" s="11">
        <f t="shared" ref="J663:J667" si="719">IF(AND(D663="LINEAS",F663&lt;&gt;0),E663,0)</f>
        <v>0</v>
      </c>
    </row>
    <row r="664" spans="2:10" x14ac:dyDescent="0.3">
      <c r="B664" s="400" t="s">
        <v>752</v>
      </c>
      <c r="C664" s="9" t="str">
        <f>'OT17-225 LT DOR GUA CONEX GUAD '!C18</f>
        <v>Diseño de cimentación para apoyo tipo torre</v>
      </c>
      <c r="D664" s="19" t="s">
        <v>28</v>
      </c>
      <c r="E664" s="10">
        <f>'OT17-225 LT DOR GUA CONEX GUAD '!O18</f>
        <v>0</v>
      </c>
      <c r="F664" s="302">
        <f>'OT17-225 LT DOR GUA CONEX GUAD '!N18</f>
        <v>0</v>
      </c>
      <c r="G664" s="11">
        <f t="shared" si="716"/>
        <v>0</v>
      </c>
      <c r="H664" s="11">
        <f t="shared" si="717"/>
        <v>0</v>
      </c>
      <c r="I664" s="11">
        <f t="shared" si="718"/>
        <v>0</v>
      </c>
      <c r="J664" s="11">
        <f t="shared" si="719"/>
        <v>0</v>
      </c>
    </row>
    <row r="665" spans="2:10" x14ac:dyDescent="0.3">
      <c r="B665" s="400" t="s">
        <v>752</v>
      </c>
      <c r="C665" s="9" t="str">
        <f>'OT17-225 LT DOR GUA CONEX GUAD '!C20</f>
        <v>Diseño electromecánico de línea de AT</v>
      </c>
      <c r="D665" s="19" t="s">
        <v>761</v>
      </c>
      <c r="E665" s="10">
        <f>'OT17-225 LT DOR GUA CONEX GUAD '!O20</f>
        <v>0</v>
      </c>
      <c r="F665" s="302">
        <f>'OT17-225 LT DOR GUA CONEX GUAD '!N20</f>
        <v>0</v>
      </c>
      <c r="G665" s="11">
        <f t="shared" si="716"/>
        <v>0</v>
      </c>
      <c r="H665" s="11">
        <f t="shared" si="717"/>
        <v>0</v>
      </c>
      <c r="I665" s="11">
        <f t="shared" si="718"/>
        <v>0</v>
      </c>
      <c r="J665" s="11">
        <f t="shared" si="719"/>
        <v>0</v>
      </c>
    </row>
    <row r="666" spans="2:10" x14ac:dyDescent="0.3">
      <c r="B666" s="400" t="s">
        <v>752</v>
      </c>
      <c r="C666" s="9" t="str">
        <f>'OT17-225 LT DOR GUA CONEX GUAD '!C22</f>
        <v>Estudio de suelos con sondeo manual para sitios de estructuras de A.T</v>
      </c>
      <c r="D666" s="19" t="s">
        <v>28</v>
      </c>
      <c r="E666" s="10">
        <f>'OT17-225 LT DOR GUA CONEX GUAD '!O22</f>
        <v>0</v>
      </c>
      <c r="F666" s="302">
        <f>'OT17-225 LT DOR GUA CONEX GUAD '!N22</f>
        <v>0</v>
      </c>
      <c r="G666" s="11">
        <f t="shared" si="716"/>
        <v>0</v>
      </c>
      <c r="H666" s="11">
        <f t="shared" si="717"/>
        <v>0</v>
      </c>
      <c r="I666" s="11">
        <f t="shared" si="718"/>
        <v>0</v>
      </c>
      <c r="J666" s="11">
        <f t="shared" si="719"/>
        <v>0</v>
      </c>
    </row>
    <row r="667" spans="2:10" x14ac:dyDescent="0.3">
      <c r="B667" s="400" t="s">
        <v>752</v>
      </c>
      <c r="C667" s="9" t="str">
        <f>'OT17-225 LT DOR GUA CONEX GUAD '!C24</f>
        <v>Elaboración de ingenierías  o estudios especiales</v>
      </c>
      <c r="D667" s="19" t="s">
        <v>28</v>
      </c>
      <c r="E667" s="10">
        <f>'OT17-225 LT DOR GUA CONEX GUAD '!O24</f>
        <v>1703492</v>
      </c>
      <c r="F667" s="302">
        <f>'OT17-225 LT DOR GUA CONEX GUAD '!N24</f>
        <v>24.46</v>
      </c>
      <c r="G667" s="11">
        <f t="shared" si="716"/>
        <v>0</v>
      </c>
      <c r="H667" s="11">
        <f t="shared" si="717"/>
        <v>0</v>
      </c>
      <c r="I667" s="11">
        <f t="shared" si="718"/>
        <v>0</v>
      </c>
      <c r="J667" s="11">
        <f t="shared" si="719"/>
        <v>1703492</v>
      </c>
    </row>
    <row r="668" spans="2:10" x14ac:dyDescent="0.3">
      <c r="B668" s="400" t="s">
        <v>752</v>
      </c>
      <c r="C668" s="9" t="str">
        <f>'OT17-225 LT DOR GUA CONEX GUAD '!C26</f>
        <v>Diseño de cimentación Especial</v>
      </c>
      <c r="D668" s="19" t="s">
        <v>28</v>
      </c>
      <c r="E668" s="10">
        <f>'OT17-225 LT DOR GUA CONEX GUAD '!O26</f>
        <v>0</v>
      </c>
      <c r="F668" s="302">
        <f>'OT17-225 LT DOR GUA CONEX GUAD '!N26</f>
        <v>0</v>
      </c>
      <c r="G668" s="11">
        <f t="shared" ref="G668:G670" si="720">IF(AND(D668="INGENIERÍA ELÉCTRICA",F668&lt;&gt;0),E668,0)</f>
        <v>0</v>
      </c>
      <c r="H668" s="11">
        <f t="shared" ref="H668:H670" si="721">IF(AND(D668="INGENIERÍA CIVIL",F668&lt;&gt;0),E668,0)</f>
        <v>0</v>
      </c>
      <c r="I668" s="11">
        <f t="shared" ref="I668:I670" si="722">IF(AND(D668="INGENIERÍA MECÁNICA",F668&lt;&gt;0),E668,0)</f>
        <v>0</v>
      </c>
      <c r="J668" s="11">
        <f t="shared" ref="J668:J670" si="723">IF(AND(D668="LINEAS",F668&lt;&gt;0),E668,0)</f>
        <v>0</v>
      </c>
    </row>
    <row r="669" spans="2:10" x14ac:dyDescent="0.3">
      <c r="B669" s="400" t="s">
        <v>752</v>
      </c>
      <c r="C669" s="9" t="str">
        <f>'OT17-225 LT DOR GUA CONEX GUAD '!C28</f>
        <v>Replanteo para Línea de AT</v>
      </c>
      <c r="D669" s="19" t="s">
        <v>28</v>
      </c>
      <c r="E669" s="10">
        <f>'OT17-225 LT DOR GUA CONEX GUAD '!O28</f>
        <v>0</v>
      </c>
      <c r="F669" s="302">
        <f>'OT17-225 LT DOR GUA CONEX GUAD '!N28</f>
        <v>0</v>
      </c>
      <c r="G669" s="11">
        <f t="shared" si="720"/>
        <v>0</v>
      </c>
      <c r="H669" s="11">
        <f t="shared" si="721"/>
        <v>0</v>
      </c>
      <c r="I669" s="11">
        <f t="shared" si="722"/>
        <v>0</v>
      </c>
      <c r="J669" s="11">
        <f t="shared" si="723"/>
        <v>0</v>
      </c>
    </row>
    <row r="670" spans="2:10" x14ac:dyDescent="0.3">
      <c r="B670" s="400" t="s">
        <v>752</v>
      </c>
      <c r="C670" s="9" t="str">
        <f>'OT17-225 LT DOR GUA CONEX GUAD '!C30</f>
        <v>Diseño electromecánico de línea de AT</v>
      </c>
      <c r="D670" s="19" t="s">
        <v>761</v>
      </c>
      <c r="E670" s="10">
        <f>'OT17-225 LT DOR GUA CONEX GUAD '!O30</f>
        <v>0</v>
      </c>
      <c r="F670" s="302">
        <f>'OT17-225 LT DOR GUA CONEX GUAD '!N30</f>
        <v>0</v>
      </c>
      <c r="G670" s="11">
        <f t="shared" si="720"/>
        <v>0</v>
      </c>
      <c r="H670" s="11">
        <f t="shared" si="721"/>
        <v>0</v>
      </c>
      <c r="I670" s="11">
        <f t="shared" si="722"/>
        <v>0</v>
      </c>
      <c r="J670" s="11">
        <f t="shared" si="723"/>
        <v>0</v>
      </c>
    </row>
    <row r="671" spans="2:10" x14ac:dyDescent="0.3">
      <c r="B671" s="400" t="s">
        <v>752</v>
      </c>
      <c r="C671" s="9" t="str">
        <f>'OT17-225 LT DOR GUA CONEX GUAD '!C32</f>
        <v>Elaboración de ingenierías  o estudios especiales</v>
      </c>
      <c r="D671" s="19" t="s">
        <v>28</v>
      </c>
      <c r="E671" s="10">
        <f>'OT17-225 LT DOR GUA CONEX GUAD '!O32</f>
        <v>0</v>
      </c>
      <c r="F671" s="302">
        <f>'OT17-225 LT DOR GUA CONEX GUAD '!N32</f>
        <v>0</v>
      </c>
      <c r="G671" s="11">
        <f t="shared" ref="G671" si="724">IF(AND(D671="INGENIERÍA ELÉCTRICA",F671&lt;&gt;0),E671,0)</f>
        <v>0</v>
      </c>
      <c r="H671" s="11">
        <f t="shared" ref="H671" si="725">IF(AND(D671="INGENIERÍA CIVIL",F671&lt;&gt;0),E671,0)</f>
        <v>0</v>
      </c>
      <c r="I671" s="11">
        <f t="shared" ref="I671" si="726">IF(AND(D671="INGENIERÍA MECÁNICA",F671&lt;&gt;0),E671,0)</f>
        <v>0</v>
      </c>
      <c r="J671" s="11">
        <f t="shared" ref="J671" si="727">IF(AND(D671="LINEAS",F671&lt;&gt;0),E671,0)</f>
        <v>0</v>
      </c>
    </row>
    <row r="672" spans="2:10" x14ac:dyDescent="0.3">
      <c r="B672" s="400" t="s">
        <v>816</v>
      </c>
      <c r="C672" s="9" t="e">
        <f>#REF!</f>
        <v>#REF!</v>
      </c>
      <c r="D672" s="19" t="s">
        <v>760</v>
      </c>
      <c r="E672" s="10" t="e">
        <f>#REF!</f>
        <v>#REF!</v>
      </c>
      <c r="F672" s="302" t="e">
        <f>#REF!</f>
        <v>#REF!</v>
      </c>
      <c r="G672" s="11" t="e">
        <f t="shared" ref="G672" si="728">IF(AND(D672="INGENIERÍA ELÉCTRICA",F672&lt;&gt;0),E672,0)</f>
        <v>#REF!</v>
      </c>
      <c r="H672" s="11" t="e">
        <f t="shared" ref="H672" si="729">IF(AND(D672="INGENIERÍA CIVIL",F672&lt;&gt;0),E672,0)</f>
        <v>#REF!</v>
      </c>
      <c r="I672" s="11" t="e">
        <f t="shared" ref="I672" si="730">IF(AND(D672="INGENIERÍA MECÁNICA",F672&lt;&gt;0),E672,0)</f>
        <v>#REF!</v>
      </c>
      <c r="J672" s="11" t="e">
        <f t="shared" ref="J672" si="731">IF(AND(D672="LINEAS",F672&lt;&gt;0),E672,0)</f>
        <v>#REF!</v>
      </c>
    </row>
    <row r="673" spans="2:10" x14ac:dyDescent="0.3">
      <c r="B673" s="400" t="s">
        <v>816</v>
      </c>
      <c r="C673" s="9" t="e">
        <f>#REF!</f>
        <v>#REF!</v>
      </c>
      <c r="D673" s="19" t="s">
        <v>760</v>
      </c>
      <c r="E673" s="10" t="e">
        <f>#REF!</f>
        <v>#REF!</v>
      </c>
      <c r="F673" s="302" t="e">
        <f>#REF!</f>
        <v>#REF!</v>
      </c>
      <c r="G673" s="11" t="e">
        <f t="shared" ref="G673:G678" si="732">IF(AND(D673="INGENIERÍA ELÉCTRICA",F673&lt;&gt;0),E673,0)</f>
        <v>#REF!</v>
      </c>
      <c r="H673" s="11" t="e">
        <f t="shared" ref="H673:H678" si="733">IF(AND(D673="INGENIERÍA CIVIL",F673&lt;&gt;0),E673,0)</f>
        <v>#REF!</v>
      </c>
      <c r="I673" s="11" t="e">
        <f t="shared" ref="I673:I678" si="734">IF(AND(D673="INGENIERÍA MECÁNICA",F673&lt;&gt;0),E673,0)</f>
        <v>#REF!</v>
      </c>
      <c r="J673" s="11" t="e">
        <f t="shared" ref="J673:J678" si="735">IF(AND(D673="LINEAS",F673&lt;&gt;0),E673,0)</f>
        <v>#REF!</v>
      </c>
    </row>
    <row r="674" spans="2:10" x14ac:dyDescent="0.3">
      <c r="B674" s="400" t="s">
        <v>816</v>
      </c>
      <c r="C674" s="9" t="e">
        <f>#REF!</f>
        <v>#REF!</v>
      </c>
      <c r="D674" s="19" t="s">
        <v>761</v>
      </c>
      <c r="E674" s="10" t="e">
        <f>#REF!</f>
        <v>#REF!</v>
      </c>
      <c r="F674" s="302" t="e">
        <f>#REF!</f>
        <v>#REF!</v>
      </c>
      <c r="G674" s="11" t="e">
        <f t="shared" si="732"/>
        <v>#REF!</v>
      </c>
      <c r="H674" s="11" t="e">
        <f t="shared" si="733"/>
        <v>#REF!</v>
      </c>
      <c r="I674" s="11" t="e">
        <f t="shared" si="734"/>
        <v>#REF!</v>
      </c>
      <c r="J674" s="11" t="e">
        <f t="shared" si="735"/>
        <v>#REF!</v>
      </c>
    </row>
    <row r="675" spans="2:10" x14ac:dyDescent="0.3">
      <c r="B675" s="400" t="s">
        <v>816</v>
      </c>
      <c r="C675" s="9" t="e">
        <f>#REF!</f>
        <v>#REF!</v>
      </c>
      <c r="D675" s="19" t="s">
        <v>760</v>
      </c>
      <c r="E675" s="10" t="e">
        <f>#REF!</f>
        <v>#REF!</v>
      </c>
      <c r="F675" s="302" t="e">
        <f>#REF!</f>
        <v>#REF!</v>
      </c>
      <c r="G675" s="11" t="e">
        <f t="shared" si="732"/>
        <v>#REF!</v>
      </c>
      <c r="H675" s="11" t="e">
        <f t="shared" si="733"/>
        <v>#REF!</v>
      </c>
      <c r="I675" s="11" t="e">
        <f t="shared" si="734"/>
        <v>#REF!</v>
      </c>
      <c r="J675" s="11" t="e">
        <f t="shared" si="735"/>
        <v>#REF!</v>
      </c>
    </row>
    <row r="676" spans="2:10" x14ac:dyDescent="0.3">
      <c r="B676" s="400" t="s">
        <v>816</v>
      </c>
      <c r="C676" s="9" t="e">
        <f>#REF!</f>
        <v>#REF!</v>
      </c>
      <c r="D676" s="19" t="s">
        <v>760</v>
      </c>
      <c r="E676" s="10" t="e">
        <f>#REF!</f>
        <v>#REF!</v>
      </c>
      <c r="F676" s="302" t="e">
        <f>#REF!</f>
        <v>#REF!</v>
      </c>
      <c r="G676" s="11" t="e">
        <f t="shared" si="732"/>
        <v>#REF!</v>
      </c>
      <c r="H676" s="11" t="e">
        <f t="shared" si="733"/>
        <v>#REF!</v>
      </c>
      <c r="I676" s="11" t="e">
        <f t="shared" si="734"/>
        <v>#REF!</v>
      </c>
      <c r="J676" s="11" t="e">
        <f t="shared" si="735"/>
        <v>#REF!</v>
      </c>
    </row>
    <row r="677" spans="2:10" x14ac:dyDescent="0.3">
      <c r="B677" s="400" t="s">
        <v>816</v>
      </c>
      <c r="C677" s="9" t="e">
        <f>#REF!</f>
        <v>#REF!</v>
      </c>
      <c r="D677" s="19" t="s">
        <v>760</v>
      </c>
      <c r="E677" s="10" t="e">
        <f>#REF!</f>
        <v>#REF!</v>
      </c>
      <c r="F677" s="302" t="e">
        <f>#REF!</f>
        <v>#REF!</v>
      </c>
      <c r="G677" s="11" t="e">
        <f t="shared" si="732"/>
        <v>#REF!</v>
      </c>
      <c r="H677" s="11" t="e">
        <f t="shared" si="733"/>
        <v>#REF!</v>
      </c>
      <c r="I677" s="11" t="e">
        <f t="shared" si="734"/>
        <v>#REF!</v>
      </c>
      <c r="J677" s="11" t="e">
        <f t="shared" si="735"/>
        <v>#REF!</v>
      </c>
    </row>
    <row r="678" spans="2:10" x14ac:dyDescent="0.3">
      <c r="B678" s="400" t="s">
        <v>816</v>
      </c>
      <c r="C678" s="9" t="e">
        <f>#REF!</f>
        <v>#REF!</v>
      </c>
      <c r="D678" s="19" t="s">
        <v>760</v>
      </c>
      <c r="E678" s="10" t="e">
        <f>#REF!</f>
        <v>#REF!</v>
      </c>
      <c r="F678" s="302" t="e">
        <f>#REF!</f>
        <v>#REF!</v>
      </c>
      <c r="G678" s="11" t="e">
        <f t="shared" si="732"/>
        <v>#REF!</v>
      </c>
      <c r="H678" s="11" t="e">
        <f t="shared" si="733"/>
        <v>#REF!</v>
      </c>
      <c r="I678" s="11" t="e">
        <f t="shared" si="734"/>
        <v>#REF!</v>
      </c>
      <c r="J678" s="11" t="e">
        <f t="shared" si="735"/>
        <v>#REF!</v>
      </c>
    </row>
    <row r="679" spans="2:10" x14ac:dyDescent="0.3">
      <c r="B679" s="400" t="s">
        <v>816</v>
      </c>
      <c r="C679" s="9" t="e">
        <f>#REF!</f>
        <v>#REF!</v>
      </c>
      <c r="D679" s="19" t="s">
        <v>761</v>
      </c>
      <c r="E679" s="10" t="e">
        <f>#REF!</f>
        <v>#REF!</v>
      </c>
      <c r="F679" s="302" t="e">
        <f>#REF!</f>
        <v>#REF!</v>
      </c>
      <c r="G679" s="11" t="e">
        <f t="shared" ref="G679:G681" si="736">IF(AND(D679="INGENIERÍA ELÉCTRICA",F679&lt;&gt;0),E679,0)</f>
        <v>#REF!</v>
      </c>
      <c r="H679" s="11" t="e">
        <f t="shared" ref="H679:H681" si="737">IF(AND(D679="INGENIERÍA CIVIL",F679&lt;&gt;0),E679,0)</f>
        <v>#REF!</v>
      </c>
      <c r="I679" s="11" t="e">
        <f t="shared" ref="I679:I681" si="738">IF(AND(D679="INGENIERÍA MECÁNICA",F679&lt;&gt;0),E679,0)</f>
        <v>#REF!</v>
      </c>
      <c r="J679" s="11" t="e">
        <f t="shared" ref="J679:J681" si="739">IF(AND(D679="LINEAS",F679&lt;&gt;0),E679,0)</f>
        <v>#REF!</v>
      </c>
    </row>
    <row r="680" spans="2:10" x14ac:dyDescent="0.3">
      <c r="B680" s="400" t="s">
        <v>816</v>
      </c>
      <c r="C680" s="9" t="e">
        <f>#REF!</f>
        <v>#REF!</v>
      </c>
      <c r="D680" s="19" t="s">
        <v>760</v>
      </c>
      <c r="E680" s="10" t="e">
        <f>#REF!</f>
        <v>#REF!</v>
      </c>
      <c r="F680" s="302" t="e">
        <f>#REF!</f>
        <v>#REF!</v>
      </c>
      <c r="G680" s="11" t="e">
        <f t="shared" si="736"/>
        <v>#REF!</v>
      </c>
      <c r="H680" s="11" t="e">
        <f t="shared" si="737"/>
        <v>#REF!</v>
      </c>
      <c r="I680" s="11" t="e">
        <f t="shared" si="738"/>
        <v>#REF!</v>
      </c>
      <c r="J680" s="11" t="e">
        <f t="shared" si="739"/>
        <v>#REF!</v>
      </c>
    </row>
    <row r="681" spans="2:10" x14ac:dyDescent="0.3">
      <c r="B681" s="400" t="s">
        <v>816</v>
      </c>
      <c r="C681" s="9" t="e">
        <f>#REF!</f>
        <v>#REF!</v>
      </c>
      <c r="D681" s="19" t="s">
        <v>761</v>
      </c>
      <c r="E681" s="10" t="e">
        <f>#REF!</f>
        <v>#REF!</v>
      </c>
      <c r="F681" s="302" t="e">
        <f>#REF!</f>
        <v>#REF!</v>
      </c>
      <c r="G681" s="11" t="e">
        <f t="shared" si="736"/>
        <v>#REF!</v>
      </c>
      <c r="H681" s="11" t="e">
        <f t="shared" si="737"/>
        <v>#REF!</v>
      </c>
      <c r="I681" s="11" t="e">
        <f t="shared" si="738"/>
        <v>#REF!</v>
      </c>
      <c r="J681" s="11" t="e">
        <f t="shared" si="739"/>
        <v>#REF!</v>
      </c>
    </row>
    <row r="682" spans="2:10" x14ac:dyDescent="0.3">
      <c r="B682" s="400" t="s">
        <v>816</v>
      </c>
      <c r="C682" s="9" t="e">
        <f>#REF!</f>
        <v>#REF!</v>
      </c>
      <c r="D682" s="19" t="s">
        <v>760</v>
      </c>
      <c r="E682" s="10" t="e">
        <f>#REF!</f>
        <v>#REF!</v>
      </c>
      <c r="F682" s="302" t="e">
        <f>#REF!</f>
        <v>#REF!</v>
      </c>
      <c r="G682" s="11" t="e">
        <f t="shared" ref="G682" si="740">IF(AND(D682="INGENIERÍA ELÉCTRICA",F682&lt;&gt;0),E682,0)</f>
        <v>#REF!</v>
      </c>
      <c r="H682" s="11" t="e">
        <f t="shared" ref="H682" si="741">IF(AND(D682="INGENIERÍA CIVIL",F682&lt;&gt;0),E682,0)</f>
        <v>#REF!</v>
      </c>
      <c r="I682" s="11" t="e">
        <f t="shared" ref="I682" si="742">IF(AND(D682="INGENIERÍA MECÁNICA",F682&lt;&gt;0),E682,0)</f>
        <v>#REF!</v>
      </c>
      <c r="J682" s="11" t="e">
        <f t="shared" ref="J682" si="743">IF(AND(D682="LINEAS",F682&lt;&gt;0),E682,0)</f>
        <v>#REF!</v>
      </c>
    </row>
    <row r="683" spans="2:10" x14ac:dyDescent="0.3">
      <c r="B683" s="400" t="s">
        <v>817</v>
      </c>
      <c r="C683" s="9" t="str">
        <f>'OT17-227 BACATÁ VALIDA DISEÑO'!C14</f>
        <v>Ingeniería civil (Levantamiento e ingeniería de detalle)</v>
      </c>
      <c r="D683" s="19" t="s">
        <v>760</v>
      </c>
      <c r="E683" s="10">
        <f>'OT17-227 BACATÁ VALIDA DISEÑO'!O14</f>
        <v>3319924</v>
      </c>
      <c r="F683" s="302">
        <f>'OT17-227 BACATÁ VALIDA DISEÑO'!N14</f>
        <v>0.42</v>
      </c>
      <c r="G683" s="11">
        <f t="shared" ref="G683" si="744">IF(AND(D683="INGENIERÍA ELÉCTRICA",F683&lt;&gt;0),E683,0)</f>
        <v>0</v>
      </c>
      <c r="H683" s="11">
        <f t="shared" ref="H683" si="745">IF(AND(D683="INGENIERÍA CIVIL",F683&lt;&gt;0),E683,0)</f>
        <v>3319924</v>
      </c>
      <c r="I683" s="11">
        <f t="shared" ref="I683" si="746">IF(AND(D683="INGENIERÍA MECÁNICA",F683&lt;&gt;0),E683,0)</f>
        <v>0</v>
      </c>
      <c r="J683" s="11">
        <f t="shared" ref="J683" si="747">IF(AND(D683="LINEAS",F683&lt;&gt;0),E683,0)</f>
        <v>0</v>
      </c>
    </row>
    <row r="684" spans="2:10" x14ac:dyDescent="0.3">
      <c r="B684" s="400" t="s">
        <v>817</v>
      </c>
      <c r="C684" s="9" t="str">
        <f>'OT17-227 BACATÁ VALIDA DISEÑO'!C15</f>
        <v>Ingeniería mecánica (Levantamiento e ingeniería de detalle)</v>
      </c>
      <c r="D684" s="19" t="s">
        <v>762</v>
      </c>
      <c r="E684" s="10">
        <f>'OT17-227 BACATÁ VALIDA DISEÑO'!O15</f>
        <v>0</v>
      </c>
      <c r="F684" s="302">
        <f>'OT17-227 BACATÁ VALIDA DISEÑO'!N15</f>
        <v>0</v>
      </c>
      <c r="G684" s="11">
        <f t="shared" ref="G684:G685" si="748">IF(AND(D684="INGENIERÍA ELÉCTRICA",F684&lt;&gt;0),E684,0)</f>
        <v>0</v>
      </c>
      <c r="H684" s="11">
        <f t="shared" ref="H684:H685" si="749">IF(AND(D684="INGENIERÍA CIVIL",F684&lt;&gt;0),E684,0)</f>
        <v>0</v>
      </c>
      <c r="I684" s="11">
        <f t="shared" ref="I684:I685" si="750">IF(AND(D684="INGENIERÍA MECÁNICA",F684&lt;&gt;0),E684,0)</f>
        <v>0</v>
      </c>
      <c r="J684" s="11">
        <f t="shared" ref="J684:J685" si="751">IF(AND(D684="LINEAS",F684&lt;&gt;0),E684,0)</f>
        <v>0</v>
      </c>
    </row>
    <row r="685" spans="2:10" x14ac:dyDescent="0.3">
      <c r="B685" s="400" t="s">
        <v>817</v>
      </c>
      <c r="C685" s="9" t="str">
        <f>'OT17-227 BACATÁ VALIDA DISEÑO'!C16</f>
        <v>Ingeniería eléctrica (Levantamiento e ingeniería de detalle)</v>
      </c>
      <c r="D685" s="19" t="s">
        <v>761</v>
      </c>
      <c r="E685" s="10">
        <f>'OT17-227 BACATÁ VALIDA DISEÑO'!O16</f>
        <v>0</v>
      </c>
      <c r="F685" s="302">
        <f>'OT17-227 BACATÁ VALIDA DISEÑO'!N16</f>
        <v>0</v>
      </c>
      <c r="G685" s="11">
        <f t="shared" si="748"/>
        <v>0</v>
      </c>
      <c r="H685" s="11">
        <f t="shared" si="749"/>
        <v>0</v>
      </c>
      <c r="I685" s="11">
        <f t="shared" si="750"/>
        <v>0</v>
      </c>
      <c r="J685" s="11">
        <f t="shared" si="751"/>
        <v>0</v>
      </c>
    </row>
    <row r="686" spans="2:10" x14ac:dyDescent="0.3">
      <c r="B686" s="400" t="s">
        <v>512</v>
      </c>
      <c r="C686" s="9" t="e">
        <f>#REF!</f>
        <v>#REF!</v>
      </c>
      <c r="D686" s="19" t="s">
        <v>28</v>
      </c>
      <c r="E686" s="10" t="e">
        <f>#REF!</f>
        <v>#REF!</v>
      </c>
      <c r="F686" s="302" t="e">
        <f>#REF!</f>
        <v>#REF!</v>
      </c>
      <c r="G686" s="11" t="e">
        <f t="shared" ref="G686" si="752">IF(AND(D686="INGENIERÍA ELÉCTRICA",F686&lt;&gt;0),E686,0)</f>
        <v>#REF!</v>
      </c>
      <c r="H686" s="11" t="e">
        <f t="shared" ref="H686" si="753">IF(AND(D686="INGENIERÍA CIVIL",F686&lt;&gt;0),E686,0)</f>
        <v>#REF!</v>
      </c>
      <c r="I686" s="11" t="e">
        <f t="shared" ref="I686" si="754">IF(AND(D686="INGENIERÍA MECÁNICA",F686&lt;&gt;0),E686,0)</f>
        <v>#REF!</v>
      </c>
      <c r="J686" s="11" t="e">
        <f t="shared" ref="J686" si="755">IF(AND(D686="LINEAS",F686&lt;&gt;0),E686,0)</f>
        <v>#REF!</v>
      </c>
    </row>
    <row r="687" spans="2:10" x14ac:dyDescent="0.3">
      <c r="B687" s="400" t="s">
        <v>512</v>
      </c>
      <c r="C687" s="9" t="e">
        <f>#REF!</f>
        <v>#REF!</v>
      </c>
      <c r="D687" s="19" t="s">
        <v>28</v>
      </c>
      <c r="E687" s="10" t="e">
        <f>#REF!</f>
        <v>#REF!</v>
      </c>
      <c r="F687" s="302" t="e">
        <f>#REF!</f>
        <v>#REF!</v>
      </c>
      <c r="G687" s="11" t="e">
        <f t="shared" ref="G687:G691" si="756">IF(AND(D687="INGENIERÍA ELÉCTRICA",F687&lt;&gt;0),E687,0)</f>
        <v>#REF!</v>
      </c>
      <c r="H687" s="11" t="e">
        <f t="shared" ref="H687:H691" si="757">IF(AND(D687="INGENIERÍA CIVIL",F687&lt;&gt;0),E687,0)</f>
        <v>#REF!</v>
      </c>
      <c r="I687" s="11" t="e">
        <f t="shared" ref="I687:I691" si="758">IF(AND(D687="INGENIERÍA MECÁNICA",F687&lt;&gt;0),E687,0)</f>
        <v>#REF!</v>
      </c>
      <c r="J687" s="11" t="e">
        <f t="shared" ref="J687:J691" si="759">IF(AND(D687="LINEAS",F687&lt;&gt;0),E687,0)</f>
        <v>#REF!</v>
      </c>
    </row>
    <row r="688" spans="2:10" x14ac:dyDescent="0.3">
      <c r="B688" s="400" t="s">
        <v>512</v>
      </c>
      <c r="C688" s="9" t="e">
        <f>#REF!</f>
        <v>#REF!</v>
      </c>
      <c r="D688" s="19" t="s">
        <v>761</v>
      </c>
      <c r="E688" s="10" t="e">
        <f>#REF!</f>
        <v>#REF!</v>
      </c>
      <c r="F688" s="302" t="e">
        <f>#REF!</f>
        <v>#REF!</v>
      </c>
      <c r="G688" s="11" t="e">
        <f t="shared" si="756"/>
        <v>#REF!</v>
      </c>
      <c r="H688" s="11" t="e">
        <f t="shared" si="757"/>
        <v>#REF!</v>
      </c>
      <c r="I688" s="11" t="e">
        <f t="shared" si="758"/>
        <v>#REF!</v>
      </c>
      <c r="J688" s="11" t="e">
        <f t="shared" si="759"/>
        <v>#REF!</v>
      </c>
    </row>
    <row r="689" spans="2:10" x14ac:dyDescent="0.3">
      <c r="B689" s="400" t="s">
        <v>512</v>
      </c>
      <c r="C689" s="9" t="e">
        <f>#REF!</f>
        <v>#REF!</v>
      </c>
      <c r="D689" s="19" t="s">
        <v>28</v>
      </c>
      <c r="E689" s="10" t="e">
        <f>#REF!</f>
        <v>#REF!</v>
      </c>
      <c r="F689" s="302" t="e">
        <f>#REF!</f>
        <v>#REF!</v>
      </c>
      <c r="G689" s="11" t="e">
        <f t="shared" si="756"/>
        <v>#REF!</v>
      </c>
      <c r="H689" s="11" t="e">
        <f t="shared" si="757"/>
        <v>#REF!</v>
      </c>
      <c r="I689" s="11" t="e">
        <f t="shared" si="758"/>
        <v>#REF!</v>
      </c>
      <c r="J689" s="11" t="e">
        <f t="shared" si="759"/>
        <v>#REF!</v>
      </c>
    </row>
    <row r="690" spans="2:10" x14ac:dyDescent="0.3">
      <c r="B690" s="400" t="s">
        <v>512</v>
      </c>
      <c r="C690" s="9" t="e">
        <f>#REF!</f>
        <v>#REF!</v>
      </c>
      <c r="D690" s="19" t="s">
        <v>28</v>
      </c>
      <c r="E690" s="10" t="e">
        <f>#REF!</f>
        <v>#REF!</v>
      </c>
      <c r="F690" s="302" t="e">
        <f>#REF!</f>
        <v>#REF!</v>
      </c>
      <c r="G690" s="11" t="e">
        <f t="shared" si="756"/>
        <v>#REF!</v>
      </c>
      <c r="H690" s="11" t="e">
        <f t="shared" si="757"/>
        <v>#REF!</v>
      </c>
      <c r="I690" s="11" t="e">
        <f t="shared" si="758"/>
        <v>#REF!</v>
      </c>
      <c r="J690" s="11" t="e">
        <f t="shared" si="759"/>
        <v>#REF!</v>
      </c>
    </row>
    <row r="691" spans="2:10" x14ac:dyDescent="0.3">
      <c r="B691" s="400" t="s">
        <v>512</v>
      </c>
      <c r="C691" s="9" t="e">
        <f>#REF!</f>
        <v>#REF!</v>
      </c>
      <c r="D691" s="19" t="s">
        <v>28</v>
      </c>
      <c r="E691" s="10" t="e">
        <f>#REF!</f>
        <v>#REF!</v>
      </c>
      <c r="F691" s="302" t="e">
        <f>#REF!</f>
        <v>#REF!</v>
      </c>
      <c r="G691" s="11" t="e">
        <f t="shared" si="756"/>
        <v>#REF!</v>
      </c>
      <c r="H691" s="11" t="e">
        <f t="shared" si="757"/>
        <v>#REF!</v>
      </c>
      <c r="I691" s="11" t="e">
        <f t="shared" si="758"/>
        <v>#REF!</v>
      </c>
      <c r="J691" s="11" t="e">
        <f t="shared" si="759"/>
        <v>#REF!</v>
      </c>
    </row>
    <row r="692" spans="2:10" x14ac:dyDescent="0.3">
      <c r="B692" s="400" t="s">
        <v>1232</v>
      </c>
      <c r="C692" s="9" t="e">
        <f>#REF!</f>
        <v>#REF!</v>
      </c>
      <c r="D692" s="19" t="s">
        <v>760</v>
      </c>
      <c r="E692" s="10" t="e">
        <f>#REF!</f>
        <v>#REF!</v>
      </c>
      <c r="F692" s="302" t="e">
        <f>#REF!</f>
        <v>#REF!</v>
      </c>
      <c r="G692" s="11" t="e">
        <f t="shared" ref="G692" si="760">IF(AND(D692="INGENIERÍA ELÉCTRICA",F692&lt;&gt;0),E692,0)</f>
        <v>#REF!</v>
      </c>
      <c r="H692" s="11" t="e">
        <f t="shared" ref="H692" si="761">IF(AND(D692="INGENIERÍA CIVIL",F692&lt;&gt;0),E692,0)</f>
        <v>#REF!</v>
      </c>
      <c r="I692" s="11" t="e">
        <f t="shared" ref="I692" si="762">IF(AND(D692="INGENIERÍA MECÁNICA",F692&lt;&gt;0),E692,0)</f>
        <v>#REF!</v>
      </c>
      <c r="J692" s="11" t="e">
        <f t="shared" ref="J692" si="763">IF(AND(D692="LINEAS",F692&lt;&gt;0),E692,0)</f>
        <v>#REF!</v>
      </c>
    </row>
    <row r="693" spans="2:10" x14ac:dyDescent="0.3">
      <c r="B693" s="400" t="s">
        <v>1232</v>
      </c>
      <c r="C693" s="9" t="e">
        <f>#REF!</f>
        <v>#REF!</v>
      </c>
      <c r="D693" s="19" t="s">
        <v>762</v>
      </c>
      <c r="E693" s="10" t="e">
        <f>#REF!</f>
        <v>#REF!</v>
      </c>
      <c r="F693" s="302" t="e">
        <f>#REF!</f>
        <v>#REF!</v>
      </c>
      <c r="G693" s="11" t="e">
        <f t="shared" ref="G693:G699" si="764">IF(AND(D693="INGENIERÍA ELÉCTRICA",F693&lt;&gt;0),E693,0)</f>
        <v>#REF!</v>
      </c>
      <c r="H693" s="11" t="e">
        <f t="shared" ref="H693:H699" si="765">IF(AND(D693="INGENIERÍA CIVIL",F693&lt;&gt;0),E693,0)</f>
        <v>#REF!</v>
      </c>
      <c r="I693" s="11" t="e">
        <f t="shared" ref="I693:I699" si="766">IF(AND(D693="INGENIERÍA MECÁNICA",F693&lt;&gt;0),E693,0)</f>
        <v>#REF!</v>
      </c>
      <c r="J693" s="11" t="e">
        <f t="shared" ref="J693:J699" si="767">IF(AND(D693="LINEAS",F693&lt;&gt;0),E693,0)</f>
        <v>#REF!</v>
      </c>
    </row>
    <row r="694" spans="2:10" x14ac:dyDescent="0.3">
      <c r="B694" s="400" t="s">
        <v>1232</v>
      </c>
      <c r="C694" s="9" t="e">
        <f>#REF!</f>
        <v>#REF!</v>
      </c>
      <c r="D694" s="19" t="s">
        <v>761</v>
      </c>
      <c r="E694" s="10" t="e">
        <f>#REF!</f>
        <v>#REF!</v>
      </c>
      <c r="F694" s="302" t="e">
        <f>#REF!</f>
        <v>#REF!</v>
      </c>
      <c r="G694" s="11" t="e">
        <f t="shared" si="764"/>
        <v>#REF!</v>
      </c>
      <c r="H694" s="11" t="e">
        <f t="shared" si="765"/>
        <v>#REF!</v>
      </c>
      <c r="I694" s="11" t="e">
        <f t="shared" si="766"/>
        <v>#REF!</v>
      </c>
      <c r="J694" s="11" t="e">
        <f t="shared" si="767"/>
        <v>#REF!</v>
      </c>
    </row>
    <row r="695" spans="2:10" x14ac:dyDescent="0.3">
      <c r="B695" s="400" t="s">
        <v>1232</v>
      </c>
      <c r="C695" s="9" t="e">
        <f>#REF!</f>
        <v>#REF!</v>
      </c>
      <c r="D695" s="19" t="s">
        <v>760</v>
      </c>
      <c r="E695" s="10" t="e">
        <f>#REF!</f>
        <v>#REF!</v>
      </c>
      <c r="F695" s="302" t="e">
        <f>#REF!</f>
        <v>#REF!</v>
      </c>
      <c r="G695" s="11" t="e">
        <f t="shared" si="764"/>
        <v>#REF!</v>
      </c>
      <c r="H695" s="11" t="e">
        <f t="shared" si="765"/>
        <v>#REF!</v>
      </c>
      <c r="I695" s="11" t="e">
        <f t="shared" si="766"/>
        <v>#REF!</v>
      </c>
      <c r="J695" s="11" t="e">
        <f t="shared" si="767"/>
        <v>#REF!</v>
      </c>
    </row>
    <row r="696" spans="2:10" x14ac:dyDescent="0.3">
      <c r="B696" s="400" t="s">
        <v>1232</v>
      </c>
      <c r="C696" s="9" t="e">
        <f>#REF!</f>
        <v>#REF!</v>
      </c>
      <c r="D696" s="19" t="s">
        <v>762</v>
      </c>
      <c r="E696" s="10" t="e">
        <f>#REF!</f>
        <v>#REF!</v>
      </c>
      <c r="F696" s="302" t="e">
        <f>#REF!</f>
        <v>#REF!</v>
      </c>
      <c r="G696" s="11" t="e">
        <f t="shared" si="764"/>
        <v>#REF!</v>
      </c>
      <c r="H696" s="11" t="e">
        <f t="shared" si="765"/>
        <v>#REF!</v>
      </c>
      <c r="I696" s="11" t="e">
        <f t="shared" si="766"/>
        <v>#REF!</v>
      </c>
      <c r="J696" s="11" t="e">
        <f t="shared" si="767"/>
        <v>#REF!</v>
      </c>
    </row>
    <row r="697" spans="2:10" x14ac:dyDescent="0.3">
      <c r="B697" s="400" t="s">
        <v>1232</v>
      </c>
      <c r="C697" s="9" t="e">
        <f>#REF!</f>
        <v>#REF!</v>
      </c>
      <c r="D697" s="19" t="s">
        <v>761</v>
      </c>
      <c r="E697" s="10" t="e">
        <f>#REF!</f>
        <v>#REF!</v>
      </c>
      <c r="F697" s="302" t="e">
        <f>#REF!</f>
        <v>#REF!</v>
      </c>
      <c r="G697" s="11" t="e">
        <f t="shared" si="764"/>
        <v>#REF!</v>
      </c>
      <c r="H697" s="11" t="e">
        <f t="shared" si="765"/>
        <v>#REF!</v>
      </c>
      <c r="I697" s="11" t="e">
        <f t="shared" si="766"/>
        <v>#REF!</v>
      </c>
      <c r="J697" s="11" t="e">
        <f t="shared" si="767"/>
        <v>#REF!</v>
      </c>
    </row>
    <row r="698" spans="2:10" x14ac:dyDescent="0.3">
      <c r="B698" s="400" t="s">
        <v>1232</v>
      </c>
      <c r="C698" s="9" t="e">
        <f>#REF!</f>
        <v>#REF!</v>
      </c>
      <c r="D698" s="19" t="s">
        <v>762</v>
      </c>
      <c r="E698" s="10" t="e">
        <f>#REF!</f>
        <v>#REF!</v>
      </c>
      <c r="F698" s="302" t="e">
        <f>#REF!</f>
        <v>#REF!</v>
      </c>
      <c r="G698" s="11" t="e">
        <f t="shared" si="764"/>
        <v>#REF!</v>
      </c>
      <c r="H698" s="11" t="e">
        <f t="shared" si="765"/>
        <v>#REF!</v>
      </c>
      <c r="I698" s="11" t="e">
        <f t="shared" si="766"/>
        <v>#REF!</v>
      </c>
      <c r="J698" s="11" t="e">
        <f t="shared" si="767"/>
        <v>#REF!</v>
      </c>
    </row>
    <row r="699" spans="2:10" x14ac:dyDescent="0.3">
      <c r="B699" s="400" t="s">
        <v>1232</v>
      </c>
      <c r="C699" s="9" t="e">
        <f>#REF!</f>
        <v>#REF!</v>
      </c>
      <c r="D699" s="19" t="s">
        <v>761</v>
      </c>
      <c r="E699" s="10" t="e">
        <f>#REF!</f>
        <v>#REF!</v>
      </c>
      <c r="F699" s="302" t="e">
        <f>#REF!</f>
        <v>#REF!</v>
      </c>
      <c r="G699" s="11" t="e">
        <f t="shared" si="764"/>
        <v>#REF!</v>
      </c>
      <c r="H699" s="11" t="e">
        <f t="shared" si="765"/>
        <v>#REF!</v>
      </c>
      <c r="I699" s="11" t="e">
        <f t="shared" si="766"/>
        <v>#REF!</v>
      </c>
      <c r="J699" s="11" t="e">
        <f t="shared" si="767"/>
        <v>#REF!</v>
      </c>
    </row>
    <row r="700" spans="2:10" x14ac:dyDescent="0.3">
      <c r="B700" s="400" t="s">
        <v>510</v>
      </c>
      <c r="C700" s="9" t="e">
        <f>#REF!</f>
        <v>#REF!</v>
      </c>
      <c r="D700" s="19" t="s">
        <v>760</v>
      </c>
      <c r="E700" s="10" t="e">
        <f>#REF!</f>
        <v>#REF!</v>
      </c>
      <c r="F700" s="302" t="e">
        <f>#REF!</f>
        <v>#REF!</v>
      </c>
      <c r="G700" s="11" t="e">
        <f t="shared" ref="G700" si="768">IF(AND(D700="INGENIERÍA ELÉCTRICA",F700&lt;&gt;0),E700,0)</f>
        <v>#REF!</v>
      </c>
      <c r="H700" s="11" t="e">
        <f t="shared" ref="H700" si="769">IF(AND(D700="INGENIERÍA CIVIL",F700&lt;&gt;0),E700,0)</f>
        <v>#REF!</v>
      </c>
      <c r="I700" s="11" t="e">
        <f t="shared" ref="I700" si="770">IF(AND(D700="INGENIERÍA MECÁNICA",F700&lt;&gt;0),E700,0)</f>
        <v>#REF!</v>
      </c>
      <c r="J700" s="11" t="e">
        <f t="shared" ref="J700" si="771">IF(AND(D700="LINEAS",F700&lt;&gt;0),E700,0)</f>
        <v>#REF!</v>
      </c>
    </row>
    <row r="701" spans="2:10" x14ac:dyDescent="0.3">
      <c r="B701" s="400" t="s">
        <v>510</v>
      </c>
      <c r="C701" s="9" t="e">
        <f>#REF!</f>
        <v>#REF!</v>
      </c>
      <c r="D701" s="19" t="s">
        <v>762</v>
      </c>
      <c r="E701" s="10" t="e">
        <f>#REF!</f>
        <v>#REF!</v>
      </c>
      <c r="F701" s="302" t="e">
        <f>#REF!</f>
        <v>#REF!</v>
      </c>
      <c r="G701" s="11" t="e">
        <f t="shared" ref="G701:G710" si="772">IF(AND(D701="INGENIERÍA ELÉCTRICA",F701&lt;&gt;0),E701,0)</f>
        <v>#REF!</v>
      </c>
      <c r="H701" s="11" t="e">
        <f t="shared" ref="H701:H710" si="773">IF(AND(D701="INGENIERÍA CIVIL",F701&lt;&gt;0),E701,0)</f>
        <v>#REF!</v>
      </c>
      <c r="I701" s="11" t="e">
        <f t="shared" ref="I701:I710" si="774">IF(AND(D701="INGENIERÍA MECÁNICA",F701&lt;&gt;0),E701,0)</f>
        <v>#REF!</v>
      </c>
      <c r="J701" s="11" t="e">
        <f t="shared" ref="J701:J710" si="775">IF(AND(D701="LINEAS",F701&lt;&gt;0),E701,0)</f>
        <v>#REF!</v>
      </c>
    </row>
    <row r="702" spans="2:10" x14ac:dyDescent="0.3">
      <c r="B702" s="400" t="s">
        <v>510</v>
      </c>
      <c r="C702" s="9" t="e">
        <f>#REF!</f>
        <v>#REF!</v>
      </c>
      <c r="D702" s="19" t="s">
        <v>761</v>
      </c>
      <c r="E702" s="10" t="e">
        <f>#REF!</f>
        <v>#REF!</v>
      </c>
      <c r="F702" s="302" t="e">
        <f>#REF!</f>
        <v>#REF!</v>
      </c>
      <c r="G702" s="11" t="e">
        <f t="shared" si="772"/>
        <v>#REF!</v>
      </c>
      <c r="H702" s="11" t="e">
        <f t="shared" si="773"/>
        <v>#REF!</v>
      </c>
      <c r="I702" s="11" t="e">
        <f t="shared" si="774"/>
        <v>#REF!</v>
      </c>
      <c r="J702" s="11" t="e">
        <f t="shared" si="775"/>
        <v>#REF!</v>
      </c>
    </row>
    <row r="703" spans="2:10" x14ac:dyDescent="0.3">
      <c r="B703" s="400" t="s">
        <v>510</v>
      </c>
      <c r="C703" s="9" t="e">
        <f>#REF!</f>
        <v>#REF!</v>
      </c>
      <c r="D703" s="19" t="s">
        <v>762</v>
      </c>
      <c r="E703" s="10" t="e">
        <f>#REF!</f>
        <v>#REF!</v>
      </c>
      <c r="F703" s="302" t="e">
        <f>#REF!</f>
        <v>#REF!</v>
      </c>
      <c r="G703" s="11" t="e">
        <f t="shared" si="772"/>
        <v>#REF!</v>
      </c>
      <c r="H703" s="11" t="e">
        <f t="shared" si="773"/>
        <v>#REF!</v>
      </c>
      <c r="I703" s="11" t="e">
        <f t="shared" si="774"/>
        <v>#REF!</v>
      </c>
      <c r="J703" s="11" t="e">
        <f t="shared" si="775"/>
        <v>#REF!</v>
      </c>
    </row>
    <row r="704" spans="2:10" x14ac:dyDescent="0.3">
      <c r="B704" s="400" t="s">
        <v>510</v>
      </c>
      <c r="C704" s="9" t="e">
        <f>#REF!</f>
        <v>#REF!</v>
      </c>
      <c r="D704" s="19" t="s">
        <v>761</v>
      </c>
      <c r="E704" s="10" t="e">
        <f>#REF!</f>
        <v>#REF!</v>
      </c>
      <c r="F704" s="302" t="e">
        <f>#REF!</f>
        <v>#REF!</v>
      </c>
      <c r="G704" s="11" t="e">
        <f t="shared" si="772"/>
        <v>#REF!</v>
      </c>
      <c r="H704" s="11" t="e">
        <f t="shared" si="773"/>
        <v>#REF!</v>
      </c>
      <c r="I704" s="11" t="e">
        <f t="shared" si="774"/>
        <v>#REF!</v>
      </c>
      <c r="J704" s="11" t="e">
        <f t="shared" si="775"/>
        <v>#REF!</v>
      </c>
    </row>
    <row r="705" spans="2:10" x14ac:dyDescent="0.3">
      <c r="B705" s="400" t="s">
        <v>510</v>
      </c>
      <c r="C705" s="9" t="e">
        <f>#REF!</f>
        <v>#REF!</v>
      </c>
      <c r="D705" s="19" t="s">
        <v>762</v>
      </c>
      <c r="E705" s="10" t="e">
        <f>#REF!</f>
        <v>#REF!</v>
      </c>
      <c r="F705" s="302" t="e">
        <f>#REF!</f>
        <v>#REF!</v>
      </c>
      <c r="G705" s="11" t="e">
        <f t="shared" si="772"/>
        <v>#REF!</v>
      </c>
      <c r="H705" s="11" t="e">
        <f t="shared" si="773"/>
        <v>#REF!</v>
      </c>
      <c r="I705" s="11" t="e">
        <f t="shared" si="774"/>
        <v>#REF!</v>
      </c>
      <c r="J705" s="11" t="e">
        <f t="shared" si="775"/>
        <v>#REF!</v>
      </c>
    </row>
    <row r="706" spans="2:10" x14ac:dyDescent="0.3">
      <c r="B706" s="400" t="s">
        <v>510</v>
      </c>
      <c r="C706" s="9" t="e">
        <f>#REF!</f>
        <v>#REF!</v>
      </c>
      <c r="D706" s="19" t="s">
        <v>761</v>
      </c>
      <c r="E706" s="10" t="e">
        <f>#REF!</f>
        <v>#REF!</v>
      </c>
      <c r="F706" s="302" t="e">
        <f>#REF!</f>
        <v>#REF!</v>
      </c>
      <c r="G706" s="11" t="e">
        <f t="shared" si="772"/>
        <v>#REF!</v>
      </c>
      <c r="H706" s="11" t="e">
        <f t="shared" si="773"/>
        <v>#REF!</v>
      </c>
      <c r="I706" s="11" t="e">
        <f t="shared" si="774"/>
        <v>#REF!</v>
      </c>
      <c r="J706" s="11" t="e">
        <f t="shared" si="775"/>
        <v>#REF!</v>
      </c>
    </row>
    <row r="707" spans="2:10" x14ac:dyDescent="0.3">
      <c r="B707" s="400" t="s">
        <v>510</v>
      </c>
      <c r="C707" s="9" t="e">
        <f>#REF!</f>
        <v>#REF!</v>
      </c>
      <c r="D707" s="19" t="s">
        <v>762</v>
      </c>
      <c r="E707" s="10" t="e">
        <f>#REF!</f>
        <v>#REF!</v>
      </c>
      <c r="F707" s="302" t="e">
        <f>#REF!</f>
        <v>#REF!</v>
      </c>
      <c r="G707" s="11" t="e">
        <f t="shared" si="772"/>
        <v>#REF!</v>
      </c>
      <c r="H707" s="11" t="e">
        <f t="shared" si="773"/>
        <v>#REF!</v>
      </c>
      <c r="I707" s="11" t="e">
        <f t="shared" si="774"/>
        <v>#REF!</v>
      </c>
      <c r="J707" s="11" t="e">
        <f t="shared" si="775"/>
        <v>#REF!</v>
      </c>
    </row>
    <row r="708" spans="2:10" x14ac:dyDescent="0.3">
      <c r="B708" s="400" t="s">
        <v>510</v>
      </c>
      <c r="C708" s="9" t="e">
        <f>#REF!</f>
        <v>#REF!</v>
      </c>
      <c r="D708" s="19" t="s">
        <v>761</v>
      </c>
      <c r="E708" s="10" t="e">
        <f>#REF!</f>
        <v>#REF!</v>
      </c>
      <c r="F708" s="302" t="e">
        <f>#REF!</f>
        <v>#REF!</v>
      </c>
      <c r="G708" s="11" t="e">
        <f t="shared" si="772"/>
        <v>#REF!</v>
      </c>
      <c r="H708" s="11" t="e">
        <f t="shared" si="773"/>
        <v>#REF!</v>
      </c>
      <c r="I708" s="11" t="e">
        <f t="shared" si="774"/>
        <v>#REF!</v>
      </c>
      <c r="J708" s="11" t="e">
        <f t="shared" si="775"/>
        <v>#REF!</v>
      </c>
    </row>
    <row r="709" spans="2:10" x14ac:dyDescent="0.3">
      <c r="B709" s="400" t="s">
        <v>510</v>
      </c>
      <c r="C709" s="9" t="e">
        <f>#REF!</f>
        <v>#REF!</v>
      </c>
      <c r="D709" s="19" t="s">
        <v>762</v>
      </c>
      <c r="E709" s="10" t="e">
        <f>#REF!</f>
        <v>#REF!</v>
      </c>
      <c r="F709" s="302" t="e">
        <f>#REF!</f>
        <v>#REF!</v>
      </c>
      <c r="G709" s="11" t="e">
        <f t="shared" si="772"/>
        <v>#REF!</v>
      </c>
      <c r="H709" s="11" t="e">
        <f t="shared" si="773"/>
        <v>#REF!</v>
      </c>
      <c r="I709" s="11" t="e">
        <f t="shared" si="774"/>
        <v>#REF!</v>
      </c>
      <c r="J709" s="11" t="e">
        <f t="shared" si="775"/>
        <v>#REF!</v>
      </c>
    </row>
    <row r="710" spans="2:10" x14ac:dyDescent="0.3">
      <c r="B710" s="400" t="s">
        <v>510</v>
      </c>
      <c r="C710" s="9" t="e">
        <f>#REF!</f>
        <v>#REF!</v>
      </c>
      <c r="D710" s="19" t="s">
        <v>761</v>
      </c>
      <c r="E710" s="10" t="e">
        <f>#REF!</f>
        <v>#REF!</v>
      </c>
      <c r="F710" s="302" t="e">
        <f>#REF!</f>
        <v>#REF!</v>
      </c>
      <c r="G710" s="11" t="e">
        <f t="shared" si="772"/>
        <v>#REF!</v>
      </c>
      <c r="H710" s="11" t="e">
        <f t="shared" si="773"/>
        <v>#REF!</v>
      </c>
      <c r="I710" s="11" t="e">
        <f t="shared" si="774"/>
        <v>#REF!</v>
      </c>
      <c r="J710" s="11" t="e">
        <f t="shared" si="775"/>
        <v>#REF!</v>
      </c>
    </row>
    <row r="711" spans="2:10" x14ac:dyDescent="0.3">
      <c r="B711" s="400" t="s">
        <v>510</v>
      </c>
      <c r="C711" s="9" t="e">
        <f>#REF!</f>
        <v>#REF!</v>
      </c>
      <c r="D711" s="19" t="s">
        <v>760</v>
      </c>
      <c r="E711" s="10" t="e">
        <f>#REF!</f>
        <v>#REF!</v>
      </c>
      <c r="F711" s="302" t="e">
        <f>#REF!</f>
        <v>#REF!</v>
      </c>
      <c r="G711" s="11" t="e">
        <f t="shared" ref="G711:G714" si="776">IF(AND(D711="INGENIERÍA ELÉCTRICA",F711&lt;&gt;0),E711,0)</f>
        <v>#REF!</v>
      </c>
      <c r="H711" s="11" t="e">
        <f t="shared" ref="H711:H714" si="777">IF(AND(D711="INGENIERÍA CIVIL",F711&lt;&gt;0),E711,0)</f>
        <v>#REF!</v>
      </c>
      <c r="I711" s="11" t="e">
        <f t="shared" ref="I711:I714" si="778">IF(AND(D711="INGENIERÍA MECÁNICA",F711&lt;&gt;0),E711,0)</f>
        <v>#REF!</v>
      </c>
      <c r="J711" s="11" t="e">
        <f t="shared" ref="J711:J714" si="779">IF(AND(D711="LINEAS",F711&lt;&gt;0),E711,0)</f>
        <v>#REF!</v>
      </c>
    </row>
    <row r="712" spans="2:10" x14ac:dyDescent="0.3">
      <c r="B712" s="400" t="s">
        <v>510</v>
      </c>
      <c r="C712" s="9" t="e">
        <f>#REF!</f>
        <v>#REF!</v>
      </c>
      <c r="D712" s="19" t="s">
        <v>762</v>
      </c>
      <c r="E712" s="10" t="e">
        <f>#REF!</f>
        <v>#REF!</v>
      </c>
      <c r="F712" s="302" t="e">
        <f>#REF!</f>
        <v>#REF!</v>
      </c>
      <c r="G712" s="11" t="e">
        <f t="shared" si="776"/>
        <v>#REF!</v>
      </c>
      <c r="H712" s="11" t="e">
        <f t="shared" si="777"/>
        <v>#REF!</v>
      </c>
      <c r="I712" s="11" t="e">
        <f t="shared" si="778"/>
        <v>#REF!</v>
      </c>
      <c r="J712" s="11" t="e">
        <f t="shared" si="779"/>
        <v>#REF!</v>
      </c>
    </row>
    <row r="713" spans="2:10" x14ac:dyDescent="0.3">
      <c r="B713" s="400" t="s">
        <v>510</v>
      </c>
      <c r="C713" s="9" t="e">
        <f>#REF!</f>
        <v>#REF!</v>
      </c>
      <c r="D713" s="19" t="s">
        <v>760</v>
      </c>
      <c r="E713" s="10" t="e">
        <f>#REF!</f>
        <v>#REF!</v>
      </c>
      <c r="F713" s="302" t="e">
        <f>#REF!</f>
        <v>#REF!</v>
      </c>
      <c r="G713" s="11" t="e">
        <f t="shared" si="776"/>
        <v>#REF!</v>
      </c>
      <c r="H713" s="11" t="e">
        <f t="shared" si="777"/>
        <v>#REF!</v>
      </c>
      <c r="I713" s="11" t="e">
        <f t="shared" si="778"/>
        <v>#REF!</v>
      </c>
      <c r="J713" s="11" t="e">
        <f t="shared" si="779"/>
        <v>#REF!</v>
      </c>
    </row>
    <row r="714" spans="2:10" x14ac:dyDescent="0.3">
      <c r="B714" s="400" t="s">
        <v>510</v>
      </c>
      <c r="C714" s="9" t="e">
        <f>#REF!</f>
        <v>#REF!</v>
      </c>
      <c r="D714" s="19" t="s">
        <v>762</v>
      </c>
      <c r="E714" s="10" t="e">
        <f>#REF!</f>
        <v>#REF!</v>
      </c>
      <c r="F714" s="302" t="e">
        <f>#REF!</f>
        <v>#REF!</v>
      </c>
      <c r="G714" s="11" t="e">
        <f t="shared" si="776"/>
        <v>#REF!</v>
      </c>
      <c r="H714" s="11" t="e">
        <f t="shared" si="777"/>
        <v>#REF!</v>
      </c>
      <c r="I714" s="11" t="e">
        <f t="shared" si="778"/>
        <v>#REF!</v>
      </c>
      <c r="J714" s="11" t="e">
        <f t="shared" si="779"/>
        <v>#REF!</v>
      </c>
    </row>
    <row r="715" spans="2:10" x14ac:dyDescent="0.3">
      <c r="B715" s="400" t="s">
        <v>510</v>
      </c>
      <c r="C715" s="9" t="e">
        <f>#REF!</f>
        <v>#REF!</v>
      </c>
      <c r="D715" s="19" t="s">
        <v>761</v>
      </c>
      <c r="E715" s="10" t="e">
        <f>#REF!</f>
        <v>#REF!</v>
      </c>
      <c r="F715" s="302" t="e">
        <f>#REF!</f>
        <v>#REF!</v>
      </c>
      <c r="G715" s="11" t="e">
        <f t="shared" ref="G715:G716" si="780">IF(AND(D715="INGENIERÍA ELÉCTRICA",F715&lt;&gt;0),E715,0)</f>
        <v>#REF!</v>
      </c>
      <c r="H715" s="11" t="e">
        <f t="shared" ref="H715:H716" si="781">IF(AND(D715="INGENIERÍA CIVIL",F715&lt;&gt;0),E715,0)</f>
        <v>#REF!</v>
      </c>
      <c r="I715" s="11" t="e">
        <f t="shared" ref="I715:I716" si="782">IF(AND(D715="INGENIERÍA MECÁNICA",F715&lt;&gt;0),E715,0)</f>
        <v>#REF!</v>
      </c>
      <c r="J715" s="11" t="e">
        <f t="shared" ref="J715:J716" si="783">IF(AND(D715="LINEAS",F715&lt;&gt;0),E715,0)</f>
        <v>#REF!</v>
      </c>
    </row>
    <row r="716" spans="2:10" x14ac:dyDescent="0.3">
      <c r="B716" s="400" t="s">
        <v>510</v>
      </c>
      <c r="C716" s="9" t="e">
        <f>#REF!</f>
        <v>#REF!</v>
      </c>
      <c r="D716" s="19" t="s">
        <v>762</v>
      </c>
      <c r="E716" s="10" t="e">
        <f>#REF!</f>
        <v>#REF!</v>
      </c>
      <c r="F716" s="302" t="e">
        <f>#REF!</f>
        <v>#REF!</v>
      </c>
      <c r="G716" s="11" t="e">
        <f t="shared" si="780"/>
        <v>#REF!</v>
      </c>
      <c r="H716" s="11" t="e">
        <f t="shared" si="781"/>
        <v>#REF!</v>
      </c>
      <c r="I716" s="11" t="e">
        <f t="shared" si="782"/>
        <v>#REF!</v>
      </c>
      <c r="J716" s="11" t="e">
        <f t="shared" si="783"/>
        <v>#REF!</v>
      </c>
    </row>
    <row r="717" spans="2:10" x14ac:dyDescent="0.3">
      <c r="B717" s="400" t="s">
        <v>510</v>
      </c>
      <c r="C717" s="9" t="e">
        <f>#REF!</f>
        <v>#REF!</v>
      </c>
      <c r="D717" s="19" t="s">
        <v>761</v>
      </c>
      <c r="E717" s="10" t="e">
        <f>#REF!</f>
        <v>#REF!</v>
      </c>
      <c r="F717" s="302" t="e">
        <f>#REF!</f>
        <v>#REF!</v>
      </c>
      <c r="G717" s="11" t="e">
        <f t="shared" ref="G717:G718" si="784">IF(AND(D717="INGENIERÍA ELÉCTRICA",F717&lt;&gt;0),E717,0)</f>
        <v>#REF!</v>
      </c>
      <c r="H717" s="11" t="e">
        <f t="shared" ref="H717:H718" si="785">IF(AND(D717="INGENIERÍA CIVIL",F717&lt;&gt;0),E717,0)</f>
        <v>#REF!</v>
      </c>
      <c r="I717" s="11" t="e">
        <f t="shared" ref="I717:I718" si="786">IF(AND(D717="INGENIERÍA MECÁNICA",F717&lt;&gt;0),E717,0)</f>
        <v>#REF!</v>
      </c>
      <c r="J717" s="11" t="e">
        <f t="shared" ref="J717:J718" si="787">IF(AND(D717="LINEAS",F717&lt;&gt;0),E717,0)</f>
        <v>#REF!</v>
      </c>
    </row>
    <row r="718" spans="2:10" x14ac:dyDescent="0.3">
      <c r="B718" s="400" t="s">
        <v>510</v>
      </c>
      <c r="C718" s="9" t="e">
        <f>#REF!</f>
        <v>#REF!</v>
      </c>
      <c r="D718" s="19" t="s">
        <v>760</v>
      </c>
      <c r="E718" s="10" t="e">
        <f>#REF!</f>
        <v>#REF!</v>
      </c>
      <c r="F718" s="302" t="e">
        <f>#REF!</f>
        <v>#REF!</v>
      </c>
      <c r="G718" s="11" t="e">
        <f t="shared" si="784"/>
        <v>#REF!</v>
      </c>
      <c r="H718" s="11" t="e">
        <f t="shared" si="785"/>
        <v>#REF!</v>
      </c>
      <c r="I718" s="11" t="e">
        <f t="shared" si="786"/>
        <v>#REF!</v>
      </c>
      <c r="J718" s="11" t="e">
        <f t="shared" si="787"/>
        <v>#REF!</v>
      </c>
    </row>
    <row r="719" spans="2:10" x14ac:dyDescent="0.3">
      <c r="B719" s="400" t="s">
        <v>510</v>
      </c>
      <c r="C719" s="9" t="e">
        <f>#REF!</f>
        <v>#REF!</v>
      </c>
      <c r="D719" s="19" t="s">
        <v>762</v>
      </c>
      <c r="E719" s="10" t="e">
        <f>#REF!</f>
        <v>#REF!</v>
      </c>
      <c r="F719" s="302" t="e">
        <f>#REF!</f>
        <v>#REF!</v>
      </c>
      <c r="G719" s="11" t="e">
        <f t="shared" ref="G719:G722" si="788">IF(AND(D719="INGENIERÍA ELÉCTRICA",F719&lt;&gt;0),E719,0)</f>
        <v>#REF!</v>
      </c>
      <c r="H719" s="11" t="e">
        <f t="shared" ref="H719:H722" si="789">IF(AND(D719="INGENIERÍA CIVIL",F719&lt;&gt;0),E719,0)</f>
        <v>#REF!</v>
      </c>
      <c r="I719" s="11" t="e">
        <f t="shared" ref="I719:I722" si="790">IF(AND(D719="INGENIERÍA MECÁNICA",F719&lt;&gt;0),E719,0)</f>
        <v>#REF!</v>
      </c>
      <c r="J719" s="11" t="e">
        <f t="shared" ref="J719:J722" si="791">IF(AND(D719="LINEAS",F719&lt;&gt;0),E719,0)</f>
        <v>#REF!</v>
      </c>
    </row>
    <row r="720" spans="2:10" x14ac:dyDescent="0.3">
      <c r="B720" s="400" t="s">
        <v>510</v>
      </c>
      <c r="C720" s="9" t="e">
        <f>#REF!</f>
        <v>#REF!</v>
      </c>
      <c r="D720" s="19" t="s">
        <v>761</v>
      </c>
      <c r="E720" s="10" t="e">
        <f>#REF!</f>
        <v>#REF!</v>
      </c>
      <c r="F720" s="302" t="e">
        <f>#REF!</f>
        <v>#REF!</v>
      </c>
      <c r="G720" s="11" t="e">
        <f t="shared" si="788"/>
        <v>#REF!</v>
      </c>
      <c r="H720" s="11" t="e">
        <f t="shared" si="789"/>
        <v>#REF!</v>
      </c>
      <c r="I720" s="11" t="e">
        <f t="shared" si="790"/>
        <v>#REF!</v>
      </c>
      <c r="J720" s="11" t="e">
        <f t="shared" si="791"/>
        <v>#REF!</v>
      </c>
    </row>
    <row r="721" spans="2:10" x14ac:dyDescent="0.3">
      <c r="B721" s="400" t="s">
        <v>510</v>
      </c>
      <c r="C721" s="9" t="e">
        <f>#REF!</f>
        <v>#REF!</v>
      </c>
      <c r="D721" s="19" t="s">
        <v>762</v>
      </c>
      <c r="E721" s="10" t="e">
        <f>#REF!</f>
        <v>#REF!</v>
      </c>
      <c r="F721" s="302" t="e">
        <f>#REF!</f>
        <v>#REF!</v>
      </c>
      <c r="G721" s="11" t="e">
        <f t="shared" si="788"/>
        <v>#REF!</v>
      </c>
      <c r="H721" s="11" t="e">
        <f t="shared" si="789"/>
        <v>#REF!</v>
      </c>
      <c r="I721" s="11" t="e">
        <f t="shared" si="790"/>
        <v>#REF!</v>
      </c>
      <c r="J721" s="11" t="e">
        <f t="shared" si="791"/>
        <v>#REF!</v>
      </c>
    </row>
    <row r="722" spans="2:10" x14ac:dyDescent="0.3">
      <c r="B722" s="400" t="s">
        <v>510</v>
      </c>
      <c r="C722" s="9" t="e">
        <f>#REF!</f>
        <v>#REF!</v>
      </c>
      <c r="D722" s="19" t="s">
        <v>761</v>
      </c>
      <c r="E722" s="10" t="e">
        <f>#REF!</f>
        <v>#REF!</v>
      </c>
      <c r="F722" s="302" t="e">
        <f>#REF!</f>
        <v>#REF!</v>
      </c>
      <c r="G722" s="11" t="e">
        <f t="shared" si="788"/>
        <v>#REF!</v>
      </c>
      <c r="H722" s="11" t="e">
        <f t="shared" si="789"/>
        <v>#REF!</v>
      </c>
      <c r="I722" s="11" t="e">
        <f t="shared" si="790"/>
        <v>#REF!</v>
      </c>
      <c r="J722" s="11" t="e">
        <f t="shared" si="791"/>
        <v>#REF!</v>
      </c>
    </row>
    <row r="723" spans="2:10" x14ac:dyDescent="0.3">
      <c r="B723" s="400" t="s">
        <v>1233</v>
      </c>
      <c r="C723" s="9" t="e">
        <f>#REF!</f>
        <v>#REF!</v>
      </c>
      <c r="D723" s="19" t="s">
        <v>760</v>
      </c>
      <c r="E723" s="10" t="e">
        <f>#REF!</f>
        <v>#REF!</v>
      </c>
      <c r="F723" s="302" t="e">
        <f>#REF!</f>
        <v>#REF!</v>
      </c>
      <c r="G723" s="11" t="e">
        <f t="shared" ref="G723" si="792">IF(AND(D723="INGENIERÍA ELÉCTRICA",F723&lt;&gt;0),E723,0)</f>
        <v>#REF!</v>
      </c>
      <c r="H723" s="11" t="e">
        <f t="shared" ref="H723" si="793">IF(AND(D723="INGENIERÍA CIVIL",F723&lt;&gt;0),E723,0)</f>
        <v>#REF!</v>
      </c>
      <c r="I723" s="11" t="e">
        <f t="shared" ref="I723" si="794">IF(AND(D723="INGENIERÍA MECÁNICA",F723&lt;&gt;0),E723,0)</f>
        <v>#REF!</v>
      </c>
      <c r="J723" s="11" t="e">
        <f t="shared" ref="J723" si="795">IF(AND(D723="LINEAS",F723&lt;&gt;0),E723,0)</f>
        <v>#REF!</v>
      </c>
    </row>
    <row r="724" spans="2:10" x14ac:dyDescent="0.3">
      <c r="B724" s="400" t="s">
        <v>1233</v>
      </c>
      <c r="C724" s="9" t="e">
        <f>#REF!</f>
        <v>#REF!</v>
      </c>
      <c r="D724" s="19" t="s">
        <v>762</v>
      </c>
      <c r="E724" s="10" t="e">
        <f>#REF!</f>
        <v>#REF!</v>
      </c>
      <c r="F724" s="302" t="e">
        <f>#REF!</f>
        <v>#REF!</v>
      </c>
      <c r="G724" s="11" t="e">
        <f t="shared" ref="G724:G728" si="796">IF(AND(D724="INGENIERÍA ELÉCTRICA",F724&lt;&gt;0),E724,0)</f>
        <v>#REF!</v>
      </c>
      <c r="H724" s="11" t="e">
        <f t="shared" ref="H724:H728" si="797">IF(AND(D724="INGENIERÍA CIVIL",F724&lt;&gt;0),E724,0)</f>
        <v>#REF!</v>
      </c>
      <c r="I724" s="11" t="e">
        <f t="shared" ref="I724:I728" si="798">IF(AND(D724="INGENIERÍA MECÁNICA",F724&lt;&gt;0),E724,0)</f>
        <v>#REF!</v>
      </c>
      <c r="J724" s="11" t="e">
        <f t="shared" ref="J724:J728" si="799">IF(AND(D724="LINEAS",F724&lt;&gt;0),E724,0)</f>
        <v>#REF!</v>
      </c>
    </row>
    <row r="725" spans="2:10" x14ac:dyDescent="0.3">
      <c r="B725" s="400" t="s">
        <v>1233</v>
      </c>
      <c r="C725" s="9" t="e">
        <f>#REF!</f>
        <v>#REF!</v>
      </c>
      <c r="D725" s="19" t="s">
        <v>761</v>
      </c>
      <c r="E725" s="10" t="e">
        <f>#REF!</f>
        <v>#REF!</v>
      </c>
      <c r="F725" s="302" t="e">
        <f>#REF!</f>
        <v>#REF!</v>
      </c>
      <c r="G725" s="11" t="e">
        <f t="shared" si="796"/>
        <v>#REF!</v>
      </c>
      <c r="H725" s="11" t="e">
        <f t="shared" si="797"/>
        <v>#REF!</v>
      </c>
      <c r="I725" s="11" t="e">
        <f t="shared" si="798"/>
        <v>#REF!</v>
      </c>
      <c r="J725" s="11" t="e">
        <f t="shared" si="799"/>
        <v>#REF!</v>
      </c>
    </row>
    <row r="726" spans="2:10" x14ac:dyDescent="0.3">
      <c r="B726" s="400" t="s">
        <v>1233</v>
      </c>
      <c r="C726" s="9" t="e">
        <f>#REF!</f>
        <v>#REF!</v>
      </c>
      <c r="D726" s="19" t="s">
        <v>762</v>
      </c>
      <c r="E726" s="10" t="e">
        <f>#REF!</f>
        <v>#REF!</v>
      </c>
      <c r="F726" s="302" t="e">
        <f>#REF!</f>
        <v>#REF!</v>
      </c>
      <c r="G726" s="11" t="e">
        <f t="shared" si="796"/>
        <v>#REF!</v>
      </c>
      <c r="H726" s="11" t="e">
        <f t="shared" si="797"/>
        <v>#REF!</v>
      </c>
      <c r="I726" s="11" t="e">
        <f t="shared" si="798"/>
        <v>#REF!</v>
      </c>
      <c r="J726" s="11" t="e">
        <f t="shared" si="799"/>
        <v>#REF!</v>
      </c>
    </row>
    <row r="727" spans="2:10" x14ac:dyDescent="0.3">
      <c r="B727" s="400" t="s">
        <v>1233</v>
      </c>
      <c r="C727" s="9" t="e">
        <f>#REF!</f>
        <v>#REF!</v>
      </c>
      <c r="D727" s="19" t="s">
        <v>761</v>
      </c>
      <c r="E727" s="10" t="e">
        <f>#REF!</f>
        <v>#REF!</v>
      </c>
      <c r="F727" s="302" t="e">
        <f>#REF!</f>
        <v>#REF!</v>
      </c>
      <c r="G727" s="11" t="e">
        <f t="shared" si="796"/>
        <v>#REF!</v>
      </c>
      <c r="H727" s="11" t="e">
        <f t="shared" si="797"/>
        <v>#REF!</v>
      </c>
      <c r="I727" s="11" t="e">
        <f t="shared" si="798"/>
        <v>#REF!</v>
      </c>
      <c r="J727" s="11" t="e">
        <f t="shared" si="799"/>
        <v>#REF!</v>
      </c>
    </row>
    <row r="728" spans="2:10" x14ac:dyDescent="0.3">
      <c r="B728" s="400" t="s">
        <v>1233</v>
      </c>
      <c r="C728" s="9" t="e">
        <f>#REF!</f>
        <v>#REF!</v>
      </c>
      <c r="D728" s="19" t="s">
        <v>760</v>
      </c>
      <c r="E728" s="10" t="e">
        <f>#REF!</f>
        <v>#REF!</v>
      </c>
      <c r="F728" s="302" t="e">
        <f>#REF!</f>
        <v>#REF!</v>
      </c>
      <c r="G728" s="11" t="e">
        <f t="shared" si="796"/>
        <v>#REF!</v>
      </c>
      <c r="H728" s="11" t="e">
        <f t="shared" si="797"/>
        <v>#REF!</v>
      </c>
      <c r="I728" s="11" t="e">
        <f t="shared" si="798"/>
        <v>#REF!</v>
      </c>
      <c r="J728" s="11" t="e">
        <f t="shared" si="799"/>
        <v>#REF!</v>
      </c>
    </row>
    <row r="729" spans="2:10" x14ac:dyDescent="0.3">
      <c r="B729" s="400" t="s">
        <v>1233</v>
      </c>
      <c r="C729" s="9" t="e">
        <f>#REF!</f>
        <v>#REF!</v>
      </c>
      <c r="D729" s="19" t="s">
        <v>762</v>
      </c>
      <c r="E729" s="10" t="e">
        <f>#REF!</f>
        <v>#REF!</v>
      </c>
      <c r="F729" s="302" t="e">
        <f>#REF!</f>
        <v>#REF!</v>
      </c>
      <c r="G729" s="11" t="e">
        <f t="shared" ref="G729:G732" si="800">IF(AND(D729="INGENIERÍA ELÉCTRICA",F729&lt;&gt;0),E729,0)</f>
        <v>#REF!</v>
      </c>
      <c r="H729" s="11" t="e">
        <f t="shared" ref="H729:H732" si="801">IF(AND(D729="INGENIERÍA CIVIL",F729&lt;&gt;0),E729,0)</f>
        <v>#REF!</v>
      </c>
      <c r="I729" s="11" t="e">
        <f t="shared" ref="I729:I732" si="802">IF(AND(D729="INGENIERÍA MECÁNICA",F729&lt;&gt;0),E729,0)</f>
        <v>#REF!</v>
      </c>
      <c r="J729" s="11" t="e">
        <f t="shared" ref="J729:J732" si="803">IF(AND(D729="LINEAS",F729&lt;&gt;0),E729,0)</f>
        <v>#REF!</v>
      </c>
    </row>
    <row r="730" spans="2:10" x14ac:dyDescent="0.3">
      <c r="B730" s="400" t="s">
        <v>1233</v>
      </c>
      <c r="C730" s="9" t="e">
        <f>#REF!</f>
        <v>#REF!</v>
      </c>
      <c r="D730" s="19" t="s">
        <v>761</v>
      </c>
      <c r="E730" s="10" t="e">
        <f>#REF!</f>
        <v>#REF!</v>
      </c>
      <c r="F730" s="302" t="e">
        <f>#REF!</f>
        <v>#REF!</v>
      </c>
      <c r="G730" s="11" t="e">
        <f t="shared" si="800"/>
        <v>#REF!</v>
      </c>
      <c r="H730" s="11" t="e">
        <f t="shared" si="801"/>
        <v>#REF!</v>
      </c>
      <c r="I730" s="11" t="e">
        <f t="shared" si="802"/>
        <v>#REF!</v>
      </c>
      <c r="J730" s="11" t="e">
        <f t="shared" si="803"/>
        <v>#REF!</v>
      </c>
    </row>
    <row r="731" spans="2:10" x14ac:dyDescent="0.3">
      <c r="B731" s="400" t="s">
        <v>1233</v>
      </c>
      <c r="C731" s="9" t="e">
        <f>#REF!</f>
        <v>#REF!</v>
      </c>
      <c r="D731" s="19" t="s">
        <v>762</v>
      </c>
      <c r="E731" s="10" t="e">
        <f>#REF!</f>
        <v>#REF!</v>
      </c>
      <c r="F731" s="302" t="e">
        <f>#REF!</f>
        <v>#REF!</v>
      </c>
      <c r="G731" s="11" t="e">
        <f t="shared" si="800"/>
        <v>#REF!</v>
      </c>
      <c r="H731" s="11" t="e">
        <f t="shared" si="801"/>
        <v>#REF!</v>
      </c>
      <c r="I731" s="11" t="e">
        <f t="shared" si="802"/>
        <v>#REF!</v>
      </c>
      <c r="J731" s="11" t="e">
        <f t="shared" si="803"/>
        <v>#REF!</v>
      </c>
    </row>
    <row r="732" spans="2:10" x14ac:dyDescent="0.3">
      <c r="B732" s="400" t="s">
        <v>1233</v>
      </c>
      <c r="C732" s="9" t="e">
        <f>#REF!</f>
        <v>#REF!</v>
      </c>
      <c r="D732" s="19" t="s">
        <v>761</v>
      </c>
      <c r="E732" s="10" t="e">
        <f>#REF!</f>
        <v>#REF!</v>
      </c>
      <c r="F732" s="302" t="e">
        <f>#REF!</f>
        <v>#REF!</v>
      </c>
      <c r="G732" s="11" t="e">
        <f t="shared" si="800"/>
        <v>#REF!</v>
      </c>
      <c r="H732" s="11" t="e">
        <f t="shared" si="801"/>
        <v>#REF!</v>
      </c>
      <c r="I732" s="11" t="e">
        <f t="shared" si="802"/>
        <v>#REF!</v>
      </c>
      <c r="J732" s="11" t="e">
        <f t="shared" si="803"/>
        <v>#REF!</v>
      </c>
    </row>
    <row r="733" spans="2:10" x14ac:dyDescent="0.3">
      <c r="B733" s="400" t="s">
        <v>1233</v>
      </c>
      <c r="C733" s="9" t="e">
        <f>#REF!</f>
        <v>#REF!</v>
      </c>
      <c r="D733" s="19" t="s">
        <v>760</v>
      </c>
      <c r="E733" s="10" t="e">
        <f>#REF!</f>
        <v>#REF!</v>
      </c>
      <c r="F733" s="302" t="e">
        <f>#REF!</f>
        <v>#REF!</v>
      </c>
      <c r="G733" s="11" t="e">
        <f t="shared" ref="G733:G736" si="804">IF(AND(D733="INGENIERÍA ELÉCTRICA",F733&lt;&gt;0),E733,0)</f>
        <v>#REF!</v>
      </c>
      <c r="H733" s="11" t="e">
        <f t="shared" ref="H733:H736" si="805">IF(AND(D733="INGENIERÍA CIVIL",F733&lt;&gt;0),E733,0)</f>
        <v>#REF!</v>
      </c>
      <c r="I733" s="11" t="e">
        <f t="shared" ref="I733:I736" si="806">IF(AND(D733="INGENIERÍA MECÁNICA",F733&lt;&gt;0),E733,0)</f>
        <v>#REF!</v>
      </c>
      <c r="J733" s="11" t="e">
        <f t="shared" ref="J733:J736" si="807">IF(AND(D733="LINEAS",F733&lt;&gt;0),E733,0)</f>
        <v>#REF!</v>
      </c>
    </row>
    <row r="734" spans="2:10" x14ac:dyDescent="0.3">
      <c r="B734" s="400" t="s">
        <v>1233</v>
      </c>
      <c r="C734" s="9" t="e">
        <f>#REF!</f>
        <v>#REF!</v>
      </c>
      <c r="D734" s="19" t="s">
        <v>762</v>
      </c>
      <c r="E734" s="10" t="e">
        <f>#REF!</f>
        <v>#REF!</v>
      </c>
      <c r="F734" s="302" t="e">
        <f>#REF!</f>
        <v>#REF!</v>
      </c>
      <c r="G734" s="11" t="e">
        <f t="shared" si="804"/>
        <v>#REF!</v>
      </c>
      <c r="H734" s="11" t="e">
        <f t="shared" si="805"/>
        <v>#REF!</v>
      </c>
      <c r="I734" s="11" t="e">
        <f t="shared" si="806"/>
        <v>#REF!</v>
      </c>
      <c r="J734" s="11" t="e">
        <f t="shared" si="807"/>
        <v>#REF!</v>
      </c>
    </row>
    <row r="735" spans="2:10" x14ac:dyDescent="0.3">
      <c r="B735" s="400" t="s">
        <v>1233</v>
      </c>
      <c r="C735" s="9" t="e">
        <f>#REF!</f>
        <v>#REF!</v>
      </c>
      <c r="D735" s="19" t="s">
        <v>761</v>
      </c>
      <c r="E735" s="10" t="e">
        <f>#REF!</f>
        <v>#REF!</v>
      </c>
      <c r="F735" s="302" t="e">
        <f>#REF!</f>
        <v>#REF!</v>
      </c>
      <c r="G735" s="11" t="e">
        <f t="shared" si="804"/>
        <v>#REF!</v>
      </c>
      <c r="H735" s="11" t="e">
        <f t="shared" si="805"/>
        <v>#REF!</v>
      </c>
      <c r="I735" s="11" t="e">
        <f t="shared" si="806"/>
        <v>#REF!</v>
      </c>
      <c r="J735" s="11" t="e">
        <f t="shared" si="807"/>
        <v>#REF!</v>
      </c>
    </row>
    <row r="736" spans="2:10" x14ac:dyDescent="0.3">
      <c r="B736" s="400" t="s">
        <v>1233</v>
      </c>
      <c r="C736" s="9" t="e">
        <f>#REF!</f>
        <v>#REF!</v>
      </c>
      <c r="D736" s="19" t="s">
        <v>762</v>
      </c>
      <c r="E736" s="10" t="e">
        <f>#REF!</f>
        <v>#REF!</v>
      </c>
      <c r="F736" s="302" t="e">
        <f>#REF!</f>
        <v>#REF!</v>
      </c>
      <c r="G736" s="11" t="e">
        <f t="shared" si="804"/>
        <v>#REF!</v>
      </c>
      <c r="H736" s="11" t="e">
        <f t="shared" si="805"/>
        <v>#REF!</v>
      </c>
      <c r="I736" s="11" t="e">
        <f t="shared" si="806"/>
        <v>#REF!</v>
      </c>
      <c r="J736" s="11" t="e">
        <f t="shared" si="807"/>
        <v>#REF!</v>
      </c>
    </row>
    <row r="737" spans="2:10" x14ac:dyDescent="0.3">
      <c r="B737" s="400" t="s">
        <v>1233</v>
      </c>
      <c r="C737" s="9" t="e">
        <f>#REF!</f>
        <v>#REF!</v>
      </c>
      <c r="D737" s="19" t="s">
        <v>761</v>
      </c>
      <c r="E737" s="10" t="e">
        <f>#REF!</f>
        <v>#REF!</v>
      </c>
      <c r="F737" s="302" t="e">
        <f>#REF!</f>
        <v>#REF!</v>
      </c>
      <c r="G737" s="11" t="e">
        <f t="shared" ref="G737" si="808">IF(AND(D737="INGENIERÍA ELÉCTRICA",F737&lt;&gt;0),E737,0)</f>
        <v>#REF!</v>
      </c>
      <c r="H737" s="11" t="e">
        <f t="shared" ref="H737" si="809">IF(AND(D737="INGENIERÍA CIVIL",F737&lt;&gt;0),E737,0)</f>
        <v>#REF!</v>
      </c>
      <c r="I737" s="11" t="e">
        <f t="shared" ref="I737" si="810">IF(AND(D737="INGENIERÍA MECÁNICA",F737&lt;&gt;0),E737,0)</f>
        <v>#REF!</v>
      </c>
      <c r="J737" s="11" t="e">
        <f t="shared" ref="J737" si="811">IF(AND(D737="LINEAS",F737&lt;&gt;0),E737,0)</f>
        <v>#REF!</v>
      </c>
    </row>
    <row r="738" spans="2:10" x14ac:dyDescent="0.3">
      <c r="B738" s="400" t="s">
        <v>1234</v>
      </c>
      <c r="C738" s="9" t="e">
        <f>#REF!</f>
        <v>#REF!</v>
      </c>
      <c r="D738" s="19" t="s">
        <v>760</v>
      </c>
      <c r="E738" s="10" t="e">
        <f>#REF!</f>
        <v>#REF!</v>
      </c>
      <c r="F738" s="302" t="e">
        <f>#REF!</f>
        <v>#REF!</v>
      </c>
      <c r="G738" s="11" t="e">
        <f t="shared" ref="G738" si="812">IF(AND(D738="INGENIERÍA ELÉCTRICA",F738&lt;&gt;0),E738,0)</f>
        <v>#REF!</v>
      </c>
      <c r="H738" s="11" t="e">
        <f t="shared" ref="H738" si="813">IF(AND(D738="INGENIERÍA CIVIL",F738&lt;&gt;0),E738,0)</f>
        <v>#REF!</v>
      </c>
      <c r="I738" s="11" t="e">
        <f t="shared" ref="I738" si="814">IF(AND(D738="INGENIERÍA MECÁNICA",F738&lt;&gt;0),E738,0)</f>
        <v>#REF!</v>
      </c>
      <c r="J738" s="11" t="e">
        <f t="shared" ref="J738" si="815">IF(AND(D738="LINEAS",F738&lt;&gt;0),E738,0)</f>
        <v>#REF!</v>
      </c>
    </row>
    <row r="739" spans="2:10" x14ac:dyDescent="0.3">
      <c r="B739" s="400" t="s">
        <v>1234</v>
      </c>
      <c r="C739" s="9" t="e">
        <f>#REF!</f>
        <v>#REF!</v>
      </c>
      <c r="D739" s="19" t="s">
        <v>762</v>
      </c>
      <c r="E739" s="10" t="e">
        <f>#REF!</f>
        <v>#REF!</v>
      </c>
      <c r="F739" s="302" t="e">
        <f>#REF!</f>
        <v>#REF!</v>
      </c>
      <c r="G739" s="11" t="e">
        <f t="shared" ref="G739:G744" si="816">IF(AND(D739="INGENIERÍA ELÉCTRICA",F739&lt;&gt;0),E739,0)</f>
        <v>#REF!</v>
      </c>
      <c r="H739" s="11" t="e">
        <f t="shared" ref="H739:H744" si="817">IF(AND(D739="INGENIERÍA CIVIL",F739&lt;&gt;0),E739,0)</f>
        <v>#REF!</v>
      </c>
      <c r="I739" s="11" t="e">
        <f t="shared" ref="I739:I744" si="818">IF(AND(D739="INGENIERÍA MECÁNICA",F739&lt;&gt;0),E739,0)</f>
        <v>#REF!</v>
      </c>
      <c r="J739" s="11" t="e">
        <f t="shared" ref="J739:J744" si="819">IF(AND(D739="LINEAS",F739&lt;&gt;0),E739,0)</f>
        <v>#REF!</v>
      </c>
    </row>
    <row r="740" spans="2:10" x14ac:dyDescent="0.3">
      <c r="B740" s="400" t="s">
        <v>1234</v>
      </c>
      <c r="C740" s="9" t="e">
        <f>#REF!</f>
        <v>#REF!</v>
      </c>
      <c r="D740" s="19" t="s">
        <v>761</v>
      </c>
      <c r="E740" s="10" t="e">
        <f>#REF!</f>
        <v>#REF!</v>
      </c>
      <c r="F740" s="302" t="e">
        <f>#REF!</f>
        <v>#REF!</v>
      </c>
      <c r="G740" s="11" t="e">
        <f t="shared" si="816"/>
        <v>#REF!</v>
      </c>
      <c r="H740" s="11" t="e">
        <f t="shared" si="817"/>
        <v>#REF!</v>
      </c>
      <c r="I740" s="11" t="e">
        <f t="shared" si="818"/>
        <v>#REF!</v>
      </c>
      <c r="J740" s="11" t="e">
        <f t="shared" si="819"/>
        <v>#REF!</v>
      </c>
    </row>
    <row r="741" spans="2:10" x14ac:dyDescent="0.3">
      <c r="B741" s="400" t="s">
        <v>1234</v>
      </c>
      <c r="C741" s="9" t="e">
        <f>#REF!</f>
        <v>#REF!</v>
      </c>
      <c r="D741" s="19" t="s">
        <v>762</v>
      </c>
      <c r="E741" s="10" t="e">
        <f>#REF!</f>
        <v>#REF!</v>
      </c>
      <c r="F741" s="302" t="e">
        <f>#REF!</f>
        <v>#REF!</v>
      </c>
      <c r="G741" s="11" t="e">
        <f t="shared" si="816"/>
        <v>#REF!</v>
      </c>
      <c r="H741" s="11" t="e">
        <f t="shared" si="817"/>
        <v>#REF!</v>
      </c>
      <c r="I741" s="11" t="e">
        <f t="shared" si="818"/>
        <v>#REF!</v>
      </c>
      <c r="J741" s="11" t="e">
        <f t="shared" si="819"/>
        <v>#REF!</v>
      </c>
    </row>
    <row r="742" spans="2:10" x14ac:dyDescent="0.3">
      <c r="B742" s="400" t="s">
        <v>1234</v>
      </c>
      <c r="C742" s="9" t="e">
        <f>#REF!</f>
        <v>#REF!</v>
      </c>
      <c r="D742" s="19" t="s">
        <v>761</v>
      </c>
      <c r="E742" s="10" t="e">
        <f>#REF!</f>
        <v>#REF!</v>
      </c>
      <c r="F742" s="302" t="e">
        <f>#REF!</f>
        <v>#REF!</v>
      </c>
      <c r="G742" s="11" t="e">
        <f t="shared" si="816"/>
        <v>#REF!</v>
      </c>
      <c r="H742" s="11" t="e">
        <f t="shared" si="817"/>
        <v>#REF!</v>
      </c>
      <c r="I742" s="11" t="e">
        <f t="shared" si="818"/>
        <v>#REF!</v>
      </c>
      <c r="J742" s="11" t="e">
        <f t="shared" si="819"/>
        <v>#REF!</v>
      </c>
    </row>
    <row r="743" spans="2:10" x14ac:dyDescent="0.3">
      <c r="B743" s="400" t="s">
        <v>1234</v>
      </c>
      <c r="C743" s="9" t="e">
        <f>#REF!</f>
        <v>#REF!</v>
      </c>
      <c r="D743" s="19" t="s">
        <v>760</v>
      </c>
      <c r="E743" s="10" t="e">
        <f>#REF!</f>
        <v>#REF!</v>
      </c>
      <c r="F743" s="302" t="e">
        <f>#REF!</f>
        <v>#REF!</v>
      </c>
      <c r="G743" s="11" t="e">
        <f t="shared" si="816"/>
        <v>#REF!</v>
      </c>
      <c r="H743" s="11" t="e">
        <f t="shared" si="817"/>
        <v>#REF!</v>
      </c>
      <c r="I743" s="11" t="e">
        <f t="shared" si="818"/>
        <v>#REF!</v>
      </c>
      <c r="J743" s="11" t="e">
        <f t="shared" si="819"/>
        <v>#REF!</v>
      </c>
    </row>
    <row r="744" spans="2:10" x14ac:dyDescent="0.3">
      <c r="B744" s="400" t="s">
        <v>1234</v>
      </c>
      <c r="C744" s="9" t="e">
        <f>#REF!</f>
        <v>#REF!</v>
      </c>
      <c r="D744" s="19" t="s">
        <v>762</v>
      </c>
      <c r="E744" s="10" t="e">
        <f>#REF!</f>
        <v>#REF!</v>
      </c>
      <c r="F744" s="302" t="e">
        <f>#REF!</f>
        <v>#REF!</v>
      </c>
      <c r="G744" s="11" t="e">
        <f t="shared" si="816"/>
        <v>#REF!</v>
      </c>
      <c r="H744" s="11" t="e">
        <f t="shared" si="817"/>
        <v>#REF!</v>
      </c>
      <c r="I744" s="11" t="e">
        <f t="shared" si="818"/>
        <v>#REF!</v>
      </c>
      <c r="J744" s="11" t="e">
        <f t="shared" si="819"/>
        <v>#REF!</v>
      </c>
    </row>
    <row r="745" spans="2:10" x14ac:dyDescent="0.3">
      <c r="B745" s="400" t="s">
        <v>1234</v>
      </c>
      <c r="C745" s="9" t="e">
        <f>#REF!</f>
        <v>#REF!</v>
      </c>
      <c r="D745" s="19" t="s">
        <v>761</v>
      </c>
      <c r="E745" s="10" t="e">
        <f>#REF!</f>
        <v>#REF!</v>
      </c>
      <c r="F745" s="302" t="e">
        <f>#REF!</f>
        <v>#REF!</v>
      </c>
      <c r="G745" s="11" t="e">
        <f t="shared" ref="G745:G747" si="820">IF(AND(D745="INGENIERÍA ELÉCTRICA",F745&lt;&gt;0),E745,0)</f>
        <v>#REF!</v>
      </c>
      <c r="H745" s="11" t="e">
        <f t="shared" ref="H745:H747" si="821">IF(AND(D745="INGENIERÍA CIVIL",F745&lt;&gt;0),E745,0)</f>
        <v>#REF!</v>
      </c>
      <c r="I745" s="11" t="e">
        <f t="shared" ref="I745:I747" si="822">IF(AND(D745="INGENIERÍA MECÁNICA",F745&lt;&gt;0),E745,0)</f>
        <v>#REF!</v>
      </c>
      <c r="J745" s="11" t="e">
        <f t="shared" ref="J745:J747" si="823">IF(AND(D745="LINEAS",F745&lt;&gt;0),E745,0)</f>
        <v>#REF!</v>
      </c>
    </row>
    <row r="746" spans="2:10" x14ac:dyDescent="0.3">
      <c r="B746" s="400" t="s">
        <v>1234</v>
      </c>
      <c r="C746" s="9" t="e">
        <f>#REF!</f>
        <v>#REF!</v>
      </c>
      <c r="D746" s="19" t="s">
        <v>762</v>
      </c>
      <c r="E746" s="10" t="e">
        <f>#REF!</f>
        <v>#REF!</v>
      </c>
      <c r="F746" s="302" t="e">
        <f>#REF!</f>
        <v>#REF!</v>
      </c>
      <c r="G746" s="11" t="e">
        <f t="shared" si="820"/>
        <v>#REF!</v>
      </c>
      <c r="H746" s="11" t="e">
        <f t="shared" si="821"/>
        <v>#REF!</v>
      </c>
      <c r="I746" s="11" t="e">
        <f t="shared" si="822"/>
        <v>#REF!</v>
      </c>
      <c r="J746" s="11" t="e">
        <f t="shared" si="823"/>
        <v>#REF!</v>
      </c>
    </row>
    <row r="747" spans="2:10" x14ac:dyDescent="0.3">
      <c r="B747" s="400" t="s">
        <v>1234</v>
      </c>
      <c r="C747" s="9" t="e">
        <f>#REF!</f>
        <v>#REF!</v>
      </c>
      <c r="D747" s="19" t="s">
        <v>761</v>
      </c>
      <c r="E747" s="10" t="e">
        <f>#REF!</f>
        <v>#REF!</v>
      </c>
      <c r="F747" s="302" t="e">
        <f>#REF!</f>
        <v>#REF!</v>
      </c>
      <c r="G747" s="11" t="e">
        <f t="shared" si="820"/>
        <v>#REF!</v>
      </c>
      <c r="H747" s="11" t="e">
        <f t="shared" si="821"/>
        <v>#REF!</v>
      </c>
      <c r="I747" s="11" t="e">
        <f t="shared" si="822"/>
        <v>#REF!</v>
      </c>
      <c r="J747" s="11" t="e">
        <f t="shared" si="823"/>
        <v>#REF!</v>
      </c>
    </row>
    <row r="748" spans="2:10" x14ac:dyDescent="0.3">
      <c r="B748" s="400" t="s">
        <v>1234</v>
      </c>
      <c r="C748" s="9" t="e">
        <f>#REF!</f>
        <v>#REF!</v>
      </c>
      <c r="D748" s="19" t="s">
        <v>760</v>
      </c>
      <c r="E748" s="10" t="e">
        <f>#REF!</f>
        <v>#REF!</v>
      </c>
      <c r="F748" s="302" t="e">
        <f>#REF!</f>
        <v>#REF!</v>
      </c>
      <c r="G748" s="11" t="e">
        <f t="shared" ref="G748:G750" si="824">IF(AND(D748="INGENIERÍA ELÉCTRICA",F748&lt;&gt;0),E748,0)</f>
        <v>#REF!</v>
      </c>
      <c r="H748" s="11" t="e">
        <f t="shared" ref="H748:H750" si="825">IF(AND(D748="INGENIERÍA CIVIL",F748&lt;&gt;0),E748,0)</f>
        <v>#REF!</v>
      </c>
      <c r="I748" s="11" t="e">
        <f t="shared" ref="I748:I750" si="826">IF(AND(D748="INGENIERÍA MECÁNICA",F748&lt;&gt;0),E748,0)</f>
        <v>#REF!</v>
      </c>
      <c r="J748" s="11" t="e">
        <f t="shared" ref="J748:J750" si="827">IF(AND(D748="LINEAS",F748&lt;&gt;0),E748,0)</f>
        <v>#REF!</v>
      </c>
    </row>
    <row r="749" spans="2:10" x14ac:dyDescent="0.3">
      <c r="B749" s="400" t="s">
        <v>1234</v>
      </c>
      <c r="C749" s="9" t="e">
        <f>#REF!</f>
        <v>#REF!</v>
      </c>
      <c r="D749" s="19" t="s">
        <v>762</v>
      </c>
      <c r="E749" s="10" t="e">
        <f>#REF!</f>
        <v>#REF!</v>
      </c>
      <c r="F749" s="302" t="e">
        <f>#REF!</f>
        <v>#REF!</v>
      </c>
      <c r="G749" s="11" t="e">
        <f t="shared" si="824"/>
        <v>#REF!</v>
      </c>
      <c r="H749" s="11" t="e">
        <f t="shared" si="825"/>
        <v>#REF!</v>
      </c>
      <c r="I749" s="11" t="e">
        <f t="shared" si="826"/>
        <v>#REF!</v>
      </c>
      <c r="J749" s="11" t="e">
        <f t="shared" si="827"/>
        <v>#REF!</v>
      </c>
    </row>
    <row r="750" spans="2:10" x14ac:dyDescent="0.3">
      <c r="B750" s="400" t="s">
        <v>1234</v>
      </c>
      <c r="C750" s="9" t="e">
        <f>#REF!</f>
        <v>#REF!</v>
      </c>
      <c r="D750" s="19" t="s">
        <v>761</v>
      </c>
      <c r="E750" s="10" t="e">
        <f>#REF!</f>
        <v>#REF!</v>
      </c>
      <c r="F750" s="302" t="e">
        <f>#REF!</f>
        <v>#REF!</v>
      </c>
      <c r="G750" s="11" t="e">
        <f t="shared" si="824"/>
        <v>#REF!</v>
      </c>
      <c r="H750" s="11" t="e">
        <f t="shared" si="825"/>
        <v>#REF!</v>
      </c>
      <c r="I750" s="11" t="e">
        <f t="shared" si="826"/>
        <v>#REF!</v>
      </c>
      <c r="J750" s="11" t="e">
        <f t="shared" si="827"/>
        <v>#REF!</v>
      </c>
    </row>
    <row r="751" spans="2:10" x14ac:dyDescent="0.3">
      <c r="B751" s="400" t="s">
        <v>1234</v>
      </c>
      <c r="C751" s="9" t="e">
        <f>#REF!</f>
        <v>#REF!</v>
      </c>
      <c r="D751" s="19" t="s">
        <v>762</v>
      </c>
      <c r="E751" s="10" t="e">
        <f>#REF!</f>
        <v>#REF!</v>
      </c>
      <c r="F751" s="302" t="e">
        <f>#REF!</f>
        <v>#REF!</v>
      </c>
      <c r="G751" s="11" t="e">
        <f t="shared" ref="G751:G754" si="828">IF(AND(D751="INGENIERÍA ELÉCTRICA",F751&lt;&gt;0),E751,0)</f>
        <v>#REF!</v>
      </c>
      <c r="H751" s="11" t="e">
        <f t="shared" ref="H751:H754" si="829">IF(AND(D751="INGENIERÍA CIVIL",F751&lt;&gt;0),E751,0)</f>
        <v>#REF!</v>
      </c>
      <c r="I751" s="11" t="e">
        <f t="shared" ref="I751:I754" si="830">IF(AND(D751="INGENIERÍA MECÁNICA",F751&lt;&gt;0),E751,0)</f>
        <v>#REF!</v>
      </c>
      <c r="J751" s="11" t="e">
        <f t="shared" ref="J751:J754" si="831">IF(AND(D751="LINEAS",F751&lt;&gt;0),E751,0)</f>
        <v>#REF!</v>
      </c>
    </row>
    <row r="752" spans="2:10" x14ac:dyDescent="0.3">
      <c r="B752" s="400" t="s">
        <v>1234</v>
      </c>
      <c r="C752" s="9" t="e">
        <f>#REF!</f>
        <v>#REF!</v>
      </c>
      <c r="D752" s="19" t="s">
        <v>761</v>
      </c>
      <c r="E752" s="10" t="e">
        <f>#REF!</f>
        <v>#REF!</v>
      </c>
      <c r="F752" s="302" t="e">
        <f>#REF!</f>
        <v>#REF!</v>
      </c>
      <c r="G752" s="11" t="e">
        <f t="shared" si="828"/>
        <v>#REF!</v>
      </c>
      <c r="H752" s="11" t="e">
        <f t="shared" si="829"/>
        <v>#REF!</v>
      </c>
      <c r="I752" s="11" t="e">
        <f t="shared" si="830"/>
        <v>#REF!</v>
      </c>
      <c r="J752" s="11" t="e">
        <f t="shared" si="831"/>
        <v>#REF!</v>
      </c>
    </row>
    <row r="753" spans="2:10" x14ac:dyDescent="0.3">
      <c r="B753" s="400" t="s">
        <v>1234</v>
      </c>
      <c r="C753" s="9" t="e">
        <f>#REF!</f>
        <v>#REF!</v>
      </c>
      <c r="D753" s="19" t="s">
        <v>760</v>
      </c>
      <c r="E753" s="10" t="e">
        <f>#REF!</f>
        <v>#REF!</v>
      </c>
      <c r="F753" s="302" t="e">
        <f>#REF!</f>
        <v>#REF!</v>
      </c>
      <c r="G753" s="11" t="e">
        <f t="shared" si="828"/>
        <v>#REF!</v>
      </c>
      <c r="H753" s="11" t="e">
        <f t="shared" si="829"/>
        <v>#REF!</v>
      </c>
      <c r="I753" s="11" t="e">
        <f t="shared" si="830"/>
        <v>#REF!</v>
      </c>
      <c r="J753" s="11" t="e">
        <f t="shared" si="831"/>
        <v>#REF!</v>
      </c>
    </row>
    <row r="754" spans="2:10" x14ac:dyDescent="0.3">
      <c r="B754" s="400" t="s">
        <v>1234</v>
      </c>
      <c r="C754" s="9" t="e">
        <f>#REF!</f>
        <v>#REF!</v>
      </c>
      <c r="D754" s="19" t="s">
        <v>762</v>
      </c>
      <c r="E754" s="10" t="e">
        <f>#REF!</f>
        <v>#REF!</v>
      </c>
      <c r="F754" s="302" t="e">
        <f>#REF!</f>
        <v>#REF!</v>
      </c>
      <c r="G754" s="11" t="e">
        <f t="shared" si="828"/>
        <v>#REF!</v>
      </c>
      <c r="H754" s="11" t="e">
        <f t="shared" si="829"/>
        <v>#REF!</v>
      </c>
      <c r="I754" s="11" t="e">
        <f t="shared" si="830"/>
        <v>#REF!</v>
      </c>
      <c r="J754" s="11" t="e">
        <f t="shared" si="831"/>
        <v>#REF!</v>
      </c>
    </row>
    <row r="755" spans="2:10" x14ac:dyDescent="0.3">
      <c r="B755" s="400" t="s">
        <v>1234</v>
      </c>
      <c r="C755" s="9" t="e">
        <f>#REF!</f>
        <v>#REF!</v>
      </c>
      <c r="D755" s="19" t="s">
        <v>761</v>
      </c>
      <c r="E755" s="10" t="e">
        <f>#REF!</f>
        <v>#REF!</v>
      </c>
      <c r="F755" s="302" t="e">
        <f>#REF!</f>
        <v>#REF!</v>
      </c>
      <c r="G755" s="11" t="e">
        <f t="shared" ref="G755:G756" si="832">IF(AND(D755="INGENIERÍA ELÉCTRICA",F755&lt;&gt;0),E755,0)</f>
        <v>#REF!</v>
      </c>
      <c r="H755" s="11" t="e">
        <f t="shared" ref="H755:H756" si="833">IF(AND(D755="INGENIERÍA CIVIL",F755&lt;&gt;0),E755,0)</f>
        <v>#REF!</v>
      </c>
      <c r="I755" s="11" t="e">
        <f t="shared" ref="I755:I756" si="834">IF(AND(D755="INGENIERÍA MECÁNICA",F755&lt;&gt;0),E755,0)</f>
        <v>#REF!</v>
      </c>
      <c r="J755" s="11" t="e">
        <f t="shared" ref="J755:J756" si="835">IF(AND(D755="LINEAS",F755&lt;&gt;0),E755,0)</f>
        <v>#REF!</v>
      </c>
    </row>
    <row r="756" spans="2:10" x14ac:dyDescent="0.3">
      <c r="B756" s="400" t="s">
        <v>1234</v>
      </c>
      <c r="C756" s="9" t="e">
        <f>#REF!</f>
        <v>#REF!</v>
      </c>
      <c r="D756" s="19" t="s">
        <v>762</v>
      </c>
      <c r="E756" s="10" t="e">
        <f>#REF!</f>
        <v>#REF!</v>
      </c>
      <c r="F756" s="302" t="e">
        <f>#REF!</f>
        <v>#REF!</v>
      </c>
      <c r="G756" s="11" t="e">
        <f t="shared" si="832"/>
        <v>#REF!</v>
      </c>
      <c r="H756" s="11" t="e">
        <f t="shared" si="833"/>
        <v>#REF!</v>
      </c>
      <c r="I756" s="11" t="e">
        <f t="shared" si="834"/>
        <v>#REF!</v>
      </c>
      <c r="J756" s="11" t="e">
        <f t="shared" si="835"/>
        <v>#REF!</v>
      </c>
    </row>
    <row r="757" spans="2:10" x14ac:dyDescent="0.3">
      <c r="B757" s="400" t="s">
        <v>1234</v>
      </c>
      <c r="C757" s="9" t="e">
        <f>#REF!</f>
        <v>#REF!</v>
      </c>
      <c r="D757" s="19" t="s">
        <v>761</v>
      </c>
      <c r="E757" s="10" t="e">
        <f>#REF!</f>
        <v>#REF!</v>
      </c>
      <c r="F757" s="302" t="e">
        <f>#REF!</f>
        <v>#REF!</v>
      </c>
      <c r="G757" s="11" t="e">
        <f t="shared" ref="G757" si="836">IF(AND(D757="INGENIERÍA ELÉCTRICA",F757&lt;&gt;0),E757,0)</f>
        <v>#REF!</v>
      </c>
      <c r="H757" s="11" t="e">
        <f t="shared" ref="H757" si="837">IF(AND(D757="INGENIERÍA CIVIL",F757&lt;&gt;0),E757,0)</f>
        <v>#REF!</v>
      </c>
      <c r="I757" s="11" t="e">
        <f t="shared" ref="I757" si="838">IF(AND(D757="INGENIERÍA MECÁNICA",F757&lt;&gt;0),E757,0)</f>
        <v>#REF!</v>
      </c>
      <c r="J757" s="11" t="e">
        <f t="shared" ref="J757" si="839">IF(AND(D757="LINEAS",F757&lt;&gt;0),E757,0)</f>
        <v>#REF!</v>
      </c>
    </row>
    <row r="758" spans="2:10" x14ac:dyDescent="0.3">
      <c r="B758" s="400" t="s">
        <v>662</v>
      </c>
      <c r="C758" s="9" t="e">
        <f>#REF!</f>
        <v>#REF!</v>
      </c>
      <c r="D758" s="19" t="s">
        <v>762</v>
      </c>
      <c r="E758" s="10" t="e">
        <f>#REF!</f>
        <v>#REF!</v>
      </c>
      <c r="F758" s="302" t="e">
        <f>#REF!</f>
        <v>#REF!</v>
      </c>
      <c r="G758" s="11" t="e">
        <f t="shared" ref="G758" si="840">IF(AND(D758="INGENIERÍA ELÉCTRICA",F758&lt;&gt;0),E758,0)</f>
        <v>#REF!</v>
      </c>
      <c r="H758" s="11" t="e">
        <f t="shared" ref="H758" si="841">IF(AND(D758="INGENIERÍA CIVIL",F758&lt;&gt;0),E758,0)</f>
        <v>#REF!</v>
      </c>
      <c r="I758" s="11" t="e">
        <f t="shared" ref="I758" si="842">IF(AND(D758="INGENIERÍA MECÁNICA",F758&lt;&gt;0),E758,0)</f>
        <v>#REF!</v>
      </c>
      <c r="J758" s="11" t="e">
        <f t="shared" ref="J758" si="843">IF(AND(D758="LINEAS",F758&lt;&gt;0),E758,0)</f>
        <v>#REF!</v>
      </c>
    </row>
    <row r="759" spans="2:10" x14ac:dyDescent="0.3">
      <c r="B759" s="400" t="s">
        <v>662</v>
      </c>
      <c r="C759" s="9" t="e">
        <f>#REF!</f>
        <v>#REF!</v>
      </c>
      <c r="D759" s="19" t="s">
        <v>761</v>
      </c>
      <c r="E759" s="10" t="e">
        <f>#REF!</f>
        <v>#REF!</v>
      </c>
      <c r="F759" s="302" t="e">
        <f>#REF!</f>
        <v>#REF!</v>
      </c>
      <c r="G759" s="11" t="e">
        <f t="shared" ref="G759:G768" si="844">IF(AND(D759="INGENIERÍA ELÉCTRICA",F759&lt;&gt;0),E759,0)</f>
        <v>#REF!</v>
      </c>
      <c r="H759" s="11" t="e">
        <f t="shared" ref="H759:H768" si="845">IF(AND(D759="INGENIERÍA CIVIL",F759&lt;&gt;0),E759,0)</f>
        <v>#REF!</v>
      </c>
      <c r="I759" s="11" t="e">
        <f t="shared" ref="I759:I768" si="846">IF(AND(D759="INGENIERÍA MECÁNICA",F759&lt;&gt;0),E759,0)</f>
        <v>#REF!</v>
      </c>
      <c r="J759" s="11" t="e">
        <f t="shared" ref="J759:J768" si="847">IF(AND(D759="LINEAS",F759&lt;&gt;0),E759,0)</f>
        <v>#REF!</v>
      </c>
    </row>
    <row r="760" spans="2:10" x14ac:dyDescent="0.3">
      <c r="B760" s="400" t="s">
        <v>662</v>
      </c>
      <c r="C760" s="9" t="e">
        <f>#REF!</f>
        <v>#REF!</v>
      </c>
      <c r="D760" s="19" t="s">
        <v>762</v>
      </c>
      <c r="E760" s="10" t="e">
        <f>#REF!</f>
        <v>#REF!</v>
      </c>
      <c r="F760" s="302" t="e">
        <f>#REF!</f>
        <v>#REF!</v>
      </c>
      <c r="G760" s="11" t="e">
        <f t="shared" si="844"/>
        <v>#REF!</v>
      </c>
      <c r="H760" s="11" t="e">
        <f t="shared" si="845"/>
        <v>#REF!</v>
      </c>
      <c r="I760" s="11" t="e">
        <f t="shared" si="846"/>
        <v>#REF!</v>
      </c>
      <c r="J760" s="11" t="e">
        <f t="shared" si="847"/>
        <v>#REF!</v>
      </c>
    </row>
    <row r="761" spans="2:10" x14ac:dyDescent="0.3">
      <c r="B761" s="400" t="s">
        <v>662</v>
      </c>
      <c r="C761" s="9" t="e">
        <f>#REF!</f>
        <v>#REF!</v>
      </c>
      <c r="D761" s="19" t="s">
        <v>761</v>
      </c>
      <c r="E761" s="10" t="e">
        <f>#REF!</f>
        <v>#REF!</v>
      </c>
      <c r="F761" s="302" t="e">
        <f>#REF!</f>
        <v>#REF!</v>
      </c>
      <c r="G761" s="11" t="e">
        <f t="shared" si="844"/>
        <v>#REF!</v>
      </c>
      <c r="H761" s="11" t="e">
        <f t="shared" si="845"/>
        <v>#REF!</v>
      </c>
      <c r="I761" s="11" t="e">
        <f t="shared" si="846"/>
        <v>#REF!</v>
      </c>
      <c r="J761" s="11" t="e">
        <f t="shared" si="847"/>
        <v>#REF!</v>
      </c>
    </row>
    <row r="762" spans="2:10" x14ac:dyDescent="0.3">
      <c r="B762" s="400" t="s">
        <v>662</v>
      </c>
      <c r="C762" s="9" t="e">
        <f>#REF!</f>
        <v>#REF!</v>
      </c>
      <c r="D762" s="19" t="s">
        <v>760</v>
      </c>
      <c r="E762" s="10" t="e">
        <f>#REF!</f>
        <v>#REF!</v>
      </c>
      <c r="F762" s="302" t="e">
        <f>#REF!</f>
        <v>#REF!</v>
      </c>
      <c r="G762" s="11" t="e">
        <f t="shared" si="844"/>
        <v>#REF!</v>
      </c>
      <c r="H762" s="11" t="e">
        <f t="shared" si="845"/>
        <v>#REF!</v>
      </c>
      <c r="I762" s="11" t="e">
        <f t="shared" si="846"/>
        <v>#REF!</v>
      </c>
      <c r="J762" s="11" t="e">
        <f t="shared" si="847"/>
        <v>#REF!</v>
      </c>
    </row>
    <row r="763" spans="2:10" x14ac:dyDescent="0.3">
      <c r="B763" s="400" t="s">
        <v>662</v>
      </c>
      <c r="C763" s="9" t="e">
        <f>#REF!</f>
        <v>#REF!</v>
      </c>
      <c r="D763" s="19" t="s">
        <v>762</v>
      </c>
      <c r="E763" s="10" t="e">
        <f>#REF!</f>
        <v>#REF!</v>
      </c>
      <c r="F763" s="302" t="e">
        <f>#REF!</f>
        <v>#REF!</v>
      </c>
      <c r="G763" s="11" t="e">
        <f t="shared" si="844"/>
        <v>#REF!</v>
      </c>
      <c r="H763" s="11" t="e">
        <f t="shared" si="845"/>
        <v>#REF!</v>
      </c>
      <c r="I763" s="11" t="e">
        <f t="shared" si="846"/>
        <v>#REF!</v>
      </c>
      <c r="J763" s="11" t="e">
        <f t="shared" si="847"/>
        <v>#REF!</v>
      </c>
    </row>
    <row r="764" spans="2:10" x14ac:dyDescent="0.3">
      <c r="B764" s="400" t="s">
        <v>662</v>
      </c>
      <c r="C764" s="9" t="e">
        <f>#REF!</f>
        <v>#REF!</v>
      </c>
      <c r="D764" s="19" t="s">
        <v>761</v>
      </c>
      <c r="E764" s="10" t="e">
        <f>#REF!</f>
        <v>#REF!</v>
      </c>
      <c r="F764" s="302" t="e">
        <f>#REF!</f>
        <v>#REF!</v>
      </c>
      <c r="G764" s="11" t="e">
        <f t="shared" si="844"/>
        <v>#REF!</v>
      </c>
      <c r="H764" s="11" t="e">
        <f t="shared" si="845"/>
        <v>#REF!</v>
      </c>
      <c r="I764" s="11" t="e">
        <f t="shared" si="846"/>
        <v>#REF!</v>
      </c>
      <c r="J764" s="11" t="e">
        <f t="shared" si="847"/>
        <v>#REF!</v>
      </c>
    </row>
    <row r="765" spans="2:10" x14ac:dyDescent="0.3">
      <c r="B765" s="400" t="s">
        <v>662</v>
      </c>
      <c r="C765" s="9" t="e">
        <f>#REF!</f>
        <v>#REF!</v>
      </c>
      <c r="D765" s="19" t="s">
        <v>762</v>
      </c>
      <c r="E765" s="10" t="e">
        <f>#REF!</f>
        <v>#REF!</v>
      </c>
      <c r="F765" s="302" t="e">
        <f>#REF!</f>
        <v>#REF!</v>
      </c>
      <c r="G765" s="11" t="e">
        <f t="shared" si="844"/>
        <v>#REF!</v>
      </c>
      <c r="H765" s="11" t="e">
        <f t="shared" si="845"/>
        <v>#REF!</v>
      </c>
      <c r="I765" s="11" t="e">
        <f t="shared" si="846"/>
        <v>#REF!</v>
      </c>
      <c r="J765" s="11" t="e">
        <f t="shared" si="847"/>
        <v>#REF!</v>
      </c>
    </row>
    <row r="766" spans="2:10" x14ac:dyDescent="0.3">
      <c r="B766" s="400" t="s">
        <v>662</v>
      </c>
      <c r="C766" s="9" t="e">
        <f>#REF!</f>
        <v>#REF!</v>
      </c>
      <c r="D766" s="19" t="s">
        <v>761</v>
      </c>
      <c r="E766" s="10" t="e">
        <f>#REF!</f>
        <v>#REF!</v>
      </c>
      <c r="F766" s="302" t="e">
        <f>#REF!</f>
        <v>#REF!</v>
      </c>
      <c r="G766" s="11" t="e">
        <f t="shared" si="844"/>
        <v>#REF!</v>
      </c>
      <c r="H766" s="11" t="e">
        <f t="shared" si="845"/>
        <v>#REF!</v>
      </c>
      <c r="I766" s="11" t="e">
        <f t="shared" si="846"/>
        <v>#REF!</v>
      </c>
      <c r="J766" s="11" t="e">
        <f t="shared" si="847"/>
        <v>#REF!</v>
      </c>
    </row>
    <row r="767" spans="2:10" x14ac:dyDescent="0.3">
      <c r="B767" s="400" t="s">
        <v>662</v>
      </c>
      <c r="C767" s="9" t="e">
        <f>#REF!</f>
        <v>#REF!</v>
      </c>
      <c r="D767" s="19" t="s">
        <v>762</v>
      </c>
      <c r="E767" s="10" t="e">
        <f>#REF!</f>
        <v>#REF!</v>
      </c>
      <c r="F767" s="302" t="e">
        <f>#REF!</f>
        <v>#REF!</v>
      </c>
      <c r="G767" s="11" t="e">
        <f t="shared" si="844"/>
        <v>#REF!</v>
      </c>
      <c r="H767" s="11" t="e">
        <f t="shared" si="845"/>
        <v>#REF!</v>
      </c>
      <c r="I767" s="11" t="e">
        <f t="shared" si="846"/>
        <v>#REF!</v>
      </c>
      <c r="J767" s="11" t="e">
        <f t="shared" si="847"/>
        <v>#REF!</v>
      </c>
    </row>
    <row r="768" spans="2:10" x14ac:dyDescent="0.3">
      <c r="B768" s="400" t="s">
        <v>662</v>
      </c>
      <c r="C768" s="9" t="e">
        <f>#REF!</f>
        <v>#REF!</v>
      </c>
      <c r="D768" s="19" t="s">
        <v>761</v>
      </c>
      <c r="E768" s="10" t="e">
        <f>#REF!</f>
        <v>#REF!</v>
      </c>
      <c r="F768" s="302" t="e">
        <f>#REF!</f>
        <v>#REF!</v>
      </c>
      <c r="G768" s="11" t="e">
        <f t="shared" si="844"/>
        <v>#REF!</v>
      </c>
      <c r="H768" s="11" t="e">
        <f t="shared" si="845"/>
        <v>#REF!</v>
      </c>
      <c r="I768" s="11" t="e">
        <f t="shared" si="846"/>
        <v>#REF!</v>
      </c>
      <c r="J768" s="11" t="e">
        <f t="shared" si="847"/>
        <v>#REF!</v>
      </c>
    </row>
    <row r="769" spans="2:10" x14ac:dyDescent="0.3">
      <c r="B769" s="400" t="s">
        <v>662</v>
      </c>
      <c r="C769" s="9" t="e">
        <f>#REF!</f>
        <v>#REF!</v>
      </c>
      <c r="D769" s="19" t="s">
        <v>762</v>
      </c>
      <c r="E769" s="10" t="e">
        <f>#REF!</f>
        <v>#REF!</v>
      </c>
      <c r="F769" s="302" t="e">
        <f>#REF!</f>
        <v>#REF!</v>
      </c>
      <c r="G769" s="11" t="e">
        <f t="shared" ref="G769:G774" si="848">IF(AND(D769="INGENIERÍA ELÉCTRICA",F769&lt;&gt;0),E769,0)</f>
        <v>#REF!</v>
      </c>
      <c r="H769" s="11" t="e">
        <f t="shared" ref="H769:H774" si="849">IF(AND(D769="INGENIERÍA CIVIL",F769&lt;&gt;0),E769,0)</f>
        <v>#REF!</v>
      </c>
      <c r="I769" s="11" t="e">
        <f t="shared" ref="I769:I774" si="850">IF(AND(D769="INGENIERÍA MECÁNICA",F769&lt;&gt;0),E769,0)</f>
        <v>#REF!</v>
      </c>
      <c r="J769" s="11" t="e">
        <f t="shared" ref="J769:J774" si="851">IF(AND(D769="LINEAS",F769&lt;&gt;0),E769,0)</f>
        <v>#REF!</v>
      </c>
    </row>
    <row r="770" spans="2:10" x14ac:dyDescent="0.3">
      <c r="B770" s="400" t="s">
        <v>662</v>
      </c>
      <c r="C770" s="9" t="e">
        <f>#REF!</f>
        <v>#REF!</v>
      </c>
      <c r="D770" s="19" t="s">
        <v>761</v>
      </c>
      <c r="E770" s="10" t="e">
        <f>#REF!</f>
        <v>#REF!</v>
      </c>
      <c r="F770" s="302" t="e">
        <f>#REF!</f>
        <v>#REF!</v>
      </c>
      <c r="G770" s="11" t="e">
        <f t="shared" si="848"/>
        <v>#REF!</v>
      </c>
      <c r="H770" s="11" t="e">
        <f t="shared" si="849"/>
        <v>#REF!</v>
      </c>
      <c r="I770" s="11" t="e">
        <f t="shared" si="850"/>
        <v>#REF!</v>
      </c>
      <c r="J770" s="11" t="e">
        <f t="shared" si="851"/>
        <v>#REF!</v>
      </c>
    </row>
    <row r="771" spans="2:10" x14ac:dyDescent="0.3">
      <c r="B771" s="400" t="s">
        <v>662</v>
      </c>
      <c r="C771" s="9" t="e">
        <f>#REF!</f>
        <v>#REF!</v>
      </c>
      <c r="D771" s="19" t="s">
        <v>762</v>
      </c>
      <c r="E771" s="10" t="e">
        <f>#REF!</f>
        <v>#REF!</v>
      </c>
      <c r="F771" s="302" t="e">
        <f>#REF!</f>
        <v>#REF!</v>
      </c>
      <c r="G771" s="11" t="e">
        <f t="shared" si="848"/>
        <v>#REF!</v>
      </c>
      <c r="H771" s="11" t="e">
        <f t="shared" si="849"/>
        <v>#REF!</v>
      </c>
      <c r="I771" s="11" t="e">
        <f t="shared" si="850"/>
        <v>#REF!</v>
      </c>
      <c r="J771" s="11" t="e">
        <f t="shared" si="851"/>
        <v>#REF!</v>
      </c>
    </row>
    <row r="772" spans="2:10" x14ac:dyDescent="0.3">
      <c r="B772" s="400" t="s">
        <v>662</v>
      </c>
      <c r="C772" s="9" t="e">
        <f>#REF!</f>
        <v>#REF!</v>
      </c>
      <c r="D772" s="19" t="s">
        <v>761</v>
      </c>
      <c r="E772" s="10" t="e">
        <f>#REF!</f>
        <v>#REF!</v>
      </c>
      <c r="F772" s="302" t="e">
        <f>#REF!</f>
        <v>#REF!</v>
      </c>
      <c r="G772" s="11" t="e">
        <f t="shared" si="848"/>
        <v>#REF!</v>
      </c>
      <c r="H772" s="11" t="e">
        <f t="shared" si="849"/>
        <v>#REF!</v>
      </c>
      <c r="I772" s="11" t="e">
        <f t="shared" si="850"/>
        <v>#REF!</v>
      </c>
      <c r="J772" s="11" t="e">
        <f t="shared" si="851"/>
        <v>#REF!</v>
      </c>
    </row>
    <row r="773" spans="2:10" x14ac:dyDescent="0.3">
      <c r="B773" s="400" t="s">
        <v>662</v>
      </c>
      <c r="C773" s="9" t="e">
        <f>#REF!</f>
        <v>#REF!</v>
      </c>
      <c r="D773" s="19" t="s">
        <v>762</v>
      </c>
      <c r="E773" s="10" t="e">
        <f>#REF!</f>
        <v>#REF!</v>
      </c>
      <c r="F773" s="302" t="e">
        <f>#REF!</f>
        <v>#REF!</v>
      </c>
      <c r="G773" s="11" t="e">
        <f t="shared" si="848"/>
        <v>#REF!</v>
      </c>
      <c r="H773" s="11" t="e">
        <f t="shared" si="849"/>
        <v>#REF!</v>
      </c>
      <c r="I773" s="11" t="e">
        <f t="shared" si="850"/>
        <v>#REF!</v>
      </c>
      <c r="J773" s="11" t="e">
        <f t="shared" si="851"/>
        <v>#REF!</v>
      </c>
    </row>
    <row r="774" spans="2:10" x14ac:dyDescent="0.3">
      <c r="B774" s="400" t="s">
        <v>662</v>
      </c>
      <c r="C774" s="9" t="e">
        <f>#REF!</f>
        <v>#REF!</v>
      </c>
      <c r="D774" s="19" t="s">
        <v>761</v>
      </c>
      <c r="E774" s="10" t="e">
        <f>#REF!</f>
        <v>#REF!</v>
      </c>
      <c r="F774" s="302" t="e">
        <f>#REF!</f>
        <v>#REF!</v>
      </c>
      <c r="G774" s="11" t="e">
        <f t="shared" si="848"/>
        <v>#REF!</v>
      </c>
      <c r="H774" s="11" t="e">
        <f t="shared" si="849"/>
        <v>#REF!</v>
      </c>
      <c r="I774" s="11" t="e">
        <f t="shared" si="850"/>
        <v>#REF!</v>
      </c>
      <c r="J774" s="11" t="e">
        <f t="shared" si="851"/>
        <v>#REF!</v>
      </c>
    </row>
    <row r="775" spans="2:10" x14ac:dyDescent="0.3">
      <c r="B775" s="400" t="s">
        <v>662</v>
      </c>
      <c r="C775" s="9" t="e">
        <f>#REF!</f>
        <v>#REF!</v>
      </c>
      <c r="D775" s="19" t="s">
        <v>760</v>
      </c>
      <c r="E775" s="10" t="e">
        <f>#REF!</f>
        <v>#REF!</v>
      </c>
      <c r="F775" s="302" t="e">
        <f>#REF!</f>
        <v>#REF!</v>
      </c>
      <c r="G775" s="11" t="e">
        <f t="shared" ref="G775:G777" si="852">IF(AND(D775="INGENIERÍA ELÉCTRICA",F775&lt;&gt;0),E775,0)</f>
        <v>#REF!</v>
      </c>
      <c r="H775" s="11" t="e">
        <f t="shared" ref="H775:H777" si="853">IF(AND(D775="INGENIERÍA CIVIL",F775&lt;&gt;0),E775,0)</f>
        <v>#REF!</v>
      </c>
      <c r="I775" s="11" t="e">
        <f t="shared" ref="I775:I777" si="854">IF(AND(D775="INGENIERÍA MECÁNICA",F775&lt;&gt;0),E775,0)</f>
        <v>#REF!</v>
      </c>
      <c r="J775" s="11" t="e">
        <f t="shared" ref="J775:J777" si="855">IF(AND(D775="LINEAS",F775&lt;&gt;0),E775,0)</f>
        <v>#REF!</v>
      </c>
    </row>
    <row r="776" spans="2:10" x14ac:dyDescent="0.3">
      <c r="B776" s="400" t="s">
        <v>662</v>
      </c>
      <c r="C776" s="9" t="e">
        <f>#REF!</f>
        <v>#REF!</v>
      </c>
      <c r="D776" s="19" t="s">
        <v>762</v>
      </c>
      <c r="E776" s="10" t="e">
        <f>#REF!</f>
        <v>#REF!</v>
      </c>
      <c r="F776" s="302" t="e">
        <f>#REF!</f>
        <v>#REF!</v>
      </c>
      <c r="G776" s="11" t="e">
        <f t="shared" si="852"/>
        <v>#REF!</v>
      </c>
      <c r="H776" s="11" t="e">
        <f t="shared" si="853"/>
        <v>#REF!</v>
      </c>
      <c r="I776" s="11" t="e">
        <f t="shared" si="854"/>
        <v>#REF!</v>
      </c>
      <c r="J776" s="11" t="e">
        <f t="shared" si="855"/>
        <v>#REF!</v>
      </c>
    </row>
    <row r="777" spans="2:10" x14ac:dyDescent="0.3">
      <c r="B777" s="400" t="s">
        <v>662</v>
      </c>
      <c r="C777" s="9" t="e">
        <f>#REF!</f>
        <v>#REF!</v>
      </c>
      <c r="D777" s="19" t="s">
        <v>760</v>
      </c>
      <c r="E777" s="10" t="e">
        <f>#REF!</f>
        <v>#REF!</v>
      </c>
      <c r="F777" s="302" t="e">
        <f>#REF!</f>
        <v>#REF!</v>
      </c>
      <c r="G777" s="11" t="e">
        <f t="shared" si="852"/>
        <v>#REF!</v>
      </c>
      <c r="H777" s="11" t="e">
        <f t="shared" si="853"/>
        <v>#REF!</v>
      </c>
      <c r="I777" s="11" t="e">
        <f t="shared" si="854"/>
        <v>#REF!</v>
      </c>
      <c r="J777" s="11" t="e">
        <f t="shared" si="855"/>
        <v>#REF!</v>
      </c>
    </row>
    <row r="778" spans="2:10" x14ac:dyDescent="0.3">
      <c r="B778" s="400" t="s">
        <v>662</v>
      </c>
      <c r="C778" s="9" t="e">
        <f>#REF!</f>
        <v>#REF!</v>
      </c>
      <c r="D778" s="19" t="s">
        <v>760</v>
      </c>
      <c r="E778" s="10" t="e">
        <f>#REF!</f>
        <v>#REF!</v>
      </c>
      <c r="F778" s="302" t="e">
        <f>#REF!</f>
        <v>#REF!</v>
      </c>
      <c r="G778" s="11" t="e">
        <f t="shared" ref="G778:G782" si="856">IF(AND(D778="INGENIERÍA ELÉCTRICA",F778&lt;&gt;0),E778,0)</f>
        <v>#REF!</v>
      </c>
      <c r="H778" s="11" t="e">
        <f t="shared" ref="H778:H782" si="857">IF(AND(D778="INGENIERÍA CIVIL",F778&lt;&gt;0),E778,0)</f>
        <v>#REF!</v>
      </c>
      <c r="I778" s="11" t="e">
        <f t="shared" ref="I778:I782" si="858">IF(AND(D778="INGENIERÍA MECÁNICA",F778&lt;&gt;0),E778,0)</f>
        <v>#REF!</v>
      </c>
      <c r="J778" s="11" t="e">
        <f t="shared" ref="J778:J782" si="859">IF(AND(D778="LINEAS",F778&lt;&gt;0),E778,0)</f>
        <v>#REF!</v>
      </c>
    </row>
    <row r="779" spans="2:10" x14ac:dyDescent="0.3">
      <c r="B779" s="400" t="s">
        <v>662</v>
      </c>
      <c r="C779" s="9" t="e">
        <f>#REF!</f>
        <v>#REF!</v>
      </c>
      <c r="D779" s="19" t="s">
        <v>762</v>
      </c>
      <c r="E779" s="10" t="e">
        <f>#REF!</f>
        <v>#REF!</v>
      </c>
      <c r="F779" s="302" t="e">
        <f>#REF!</f>
        <v>#REF!</v>
      </c>
      <c r="G779" s="11" t="e">
        <f t="shared" si="856"/>
        <v>#REF!</v>
      </c>
      <c r="H779" s="11" t="e">
        <f t="shared" si="857"/>
        <v>#REF!</v>
      </c>
      <c r="I779" s="11" t="e">
        <f t="shared" si="858"/>
        <v>#REF!</v>
      </c>
      <c r="J779" s="11" t="e">
        <f t="shared" si="859"/>
        <v>#REF!</v>
      </c>
    </row>
    <row r="780" spans="2:10" x14ac:dyDescent="0.3">
      <c r="B780" s="400" t="s">
        <v>662</v>
      </c>
      <c r="C780" s="9" t="e">
        <f>#REF!</f>
        <v>#REF!</v>
      </c>
      <c r="D780" s="19" t="s">
        <v>761</v>
      </c>
      <c r="E780" s="10" t="e">
        <f>#REF!</f>
        <v>#REF!</v>
      </c>
      <c r="F780" s="302" t="e">
        <f>#REF!</f>
        <v>#REF!</v>
      </c>
      <c r="G780" s="11" t="e">
        <f t="shared" si="856"/>
        <v>#REF!</v>
      </c>
      <c r="H780" s="11" t="e">
        <f t="shared" si="857"/>
        <v>#REF!</v>
      </c>
      <c r="I780" s="11" t="e">
        <f t="shared" si="858"/>
        <v>#REF!</v>
      </c>
      <c r="J780" s="11" t="e">
        <f t="shared" si="859"/>
        <v>#REF!</v>
      </c>
    </row>
    <row r="781" spans="2:10" x14ac:dyDescent="0.3">
      <c r="B781" s="400" t="s">
        <v>662</v>
      </c>
      <c r="C781" s="9" t="e">
        <f>#REF!</f>
        <v>#REF!</v>
      </c>
      <c r="D781" s="19" t="s">
        <v>762</v>
      </c>
      <c r="E781" s="10" t="e">
        <f>#REF!</f>
        <v>#REF!</v>
      </c>
      <c r="F781" s="302" t="e">
        <f>#REF!</f>
        <v>#REF!</v>
      </c>
      <c r="G781" s="11" t="e">
        <f t="shared" si="856"/>
        <v>#REF!</v>
      </c>
      <c r="H781" s="11" t="e">
        <f t="shared" si="857"/>
        <v>#REF!</v>
      </c>
      <c r="I781" s="11" t="e">
        <f t="shared" si="858"/>
        <v>#REF!</v>
      </c>
      <c r="J781" s="11" t="e">
        <f t="shared" si="859"/>
        <v>#REF!</v>
      </c>
    </row>
    <row r="782" spans="2:10" x14ac:dyDescent="0.3">
      <c r="B782" s="400" t="s">
        <v>662</v>
      </c>
      <c r="C782" s="9" t="e">
        <f>#REF!</f>
        <v>#REF!</v>
      </c>
      <c r="D782" s="19" t="s">
        <v>761</v>
      </c>
      <c r="E782" s="10" t="e">
        <f>#REF!</f>
        <v>#REF!</v>
      </c>
      <c r="F782" s="302" t="e">
        <f>#REF!</f>
        <v>#REF!</v>
      </c>
      <c r="G782" s="11" t="e">
        <f t="shared" si="856"/>
        <v>#REF!</v>
      </c>
      <c r="H782" s="11" t="e">
        <f t="shared" si="857"/>
        <v>#REF!</v>
      </c>
      <c r="I782" s="11" t="e">
        <f t="shared" si="858"/>
        <v>#REF!</v>
      </c>
      <c r="J782" s="11" t="e">
        <f t="shared" si="859"/>
        <v>#REF!</v>
      </c>
    </row>
    <row r="783" spans="2:10" x14ac:dyDescent="0.3">
      <c r="B783" s="400" t="s">
        <v>662</v>
      </c>
      <c r="C783" s="9" t="e">
        <f>#REF!</f>
        <v>#REF!</v>
      </c>
      <c r="D783" s="19" t="s">
        <v>760</v>
      </c>
      <c r="E783" s="10" t="e">
        <f>#REF!</f>
        <v>#REF!</v>
      </c>
      <c r="F783" s="302" t="e">
        <f>#REF!</f>
        <v>#REF!</v>
      </c>
      <c r="G783" s="11" t="e">
        <f t="shared" ref="G783:G785" si="860">IF(AND(D783="INGENIERÍA ELÉCTRICA",F783&lt;&gt;0),E783,0)</f>
        <v>#REF!</v>
      </c>
      <c r="H783" s="11" t="e">
        <f t="shared" ref="H783:H785" si="861">IF(AND(D783="INGENIERÍA CIVIL",F783&lt;&gt;0),E783,0)</f>
        <v>#REF!</v>
      </c>
      <c r="I783" s="11" t="e">
        <f t="shared" ref="I783:I785" si="862">IF(AND(D783="INGENIERÍA MECÁNICA",F783&lt;&gt;0),E783,0)</f>
        <v>#REF!</v>
      </c>
      <c r="J783" s="11" t="e">
        <f t="shared" ref="J783:J785" si="863">IF(AND(D783="LINEAS",F783&lt;&gt;0),E783,0)</f>
        <v>#REF!</v>
      </c>
    </row>
    <row r="784" spans="2:10" x14ac:dyDescent="0.3">
      <c r="B784" s="400" t="s">
        <v>662</v>
      </c>
      <c r="C784" s="9" t="e">
        <f>#REF!</f>
        <v>#REF!</v>
      </c>
      <c r="D784" s="19" t="s">
        <v>762</v>
      </c>
      <c r="E784" s="10" t="e">
        <f>#REF!</f>
        <v>#REF!</v>
      </c>
      <c r="F784" s="302" t="e">
        <f>#REF!</f>
        <v>#REF!</v>
      </c>
      <c r="G784" s="11" t="e">
        <f t="shared" si="860"/>
        <v>#REF!</v>
      </c>
      <c r="H784" s="11" t="e">
        <f t="shared" si="861"/>
        <v>#REF!</v>
      </c>
      <c r="I784" s="11" t="e">
        <f t="shared" si="862"/>
        <v>#REF!</v>
      </c>
      <c r="J784" s="11" t="e">
        <f t="shared" si="863"/>
        <v>#REF!</v>
      </c>
    </row>
    <row r="785" spans="2:10" x14ac:dyDescent="0.3">
      <c r="B785" s="400" t="s">
        <v>662</v>
      </c>
      <c r="C785" s="9" t="e">
        <f>#REF!</f>
        <v>#REF!</v>
      </c>
      <c r="D785" s="19" t="s">
        <v>761</v>
      </c>
      <c r="E785" s="10" t="e">
        <f>#REF!</f>
        <v>#REF!</v>
      </c>
      <c r="F785" s="302" t="e">
        <f>#REF!</f>
        <v>#REF!</v>
      </c>
      <c r="G785" s="11" t="e">
        <f t="shared" si="860"/>
        <v>#REF!</v>
      </c>
      <c r="H785" s="11" t="e">
        <f t="shared" si="861"/>
        <v>#REF!</v>
      </c>
      <c r="I785" s="11" t="e">
        <f t="shared" si="862"/>
        <v>#REF!</v>
      </c>
      <c r="J785" s="11" t="e">
        <f t="shared" si="863"/>
        <v>#REF!</v>
      </c>
    </row>
    <row r="786" spans="2:10" x14ac:dyDescent="0.3">
      <c r="B786" s="400" t="s">
        <v>662</v>
      </c>
      <c r="C786" s="9" t="e">
        <f>#REF!</f>
        <v>#REF!</v>
      </c>
      <c r="D786" s="19" t="s">
        <v>762</v>
      </c>
      <c r="E786" s="10" t="e">
        <f>#REF!</f>
        <v>#REF!</v>
      </c>
      <c r="F786" s="302" t="e">
        <f>#REF!</f>
        <v>#REF!</v>
      </c>
      <c r="G786" s="11" t="e">
        <f t="shared" ref="G786:G787" si="864">IF(AND(D786="INGENIERÍA ELÉCTRICA",F786&lt;&gt;0),E786,0)</f>
        <v>#REF!</v>
      </c>
      <c r="H786" s="11" t="e">
        <f t="shared" ref="H786:H787" si="865">IF(AND(D786="INGENIERÍA CIVIL",F786&lt;&gt;0),E786,0)</f>
        <v>#REF!</v>
      </c>
      <c r="I786" s="11" t="e">
        <f t="shared" ref="I786:I787" si="866">IF(AND(D786="INGENIERÍA MECÁNICA",F786&lt;&gt;0),E786,0)</f>
        <v>#REF!</v>
      </c>
      <c r="J786" s="11" t="e">
        <f t="shared" ref="J786:J787" si="867">IF(AND(D786="LINEAS",F786&lt;&gt;0),E786,0)</f>
        <v>#REF!</v>
      </c>
    </row>
    <row r="787" spans="2:10" x14ac:dyDescent="0.3">
      <c r="B787" s="400" t="s">
        <v>662</v>
      </c>
      <c r="C787" s="9" t="e">
        <f>#REF!</f>
        <v>#REF!</v>
      </c>
      <c r="D787" s="19" t="s">
        <v>761</v>
      </c>
      <c r="E787" s="10" t="e">
        <f>#REF!</f>
        <v>#REF!</v>
      </c>
      <c r="F787" s="302" t="e">
        <f>#REF!</f>
        <v>#REF!</v>
      </c>
      <c r="G787" s="11" t="e">
        <f t="shared" si="864"/>
        <v>#REF!</v>
      </c>
      <c r="H787" s="11" t="e">
        <f t="shared" si="865"/>
        <v>#REF!</v>
      </c>
      <c r="I787" s="11" t="e">
        <f t="shared" si="866"/>
        <v>#REF!</v>
      </c>
      <c r="J787" s="11" t="e">
        <f t="shared" si="867"/>
        <v>#REF!</v>
      </c>
    </row>
    <row r="788" spans="2:10" x14ac:dyDescent="0.3">
      <c r="B788" s="400" t="s">
        <v>755</v>
      </c>
      <c r="C788" s="9" t="e">
        <f>#REF!</f>
        <v>#REF!</v>
      </c>
      <c r="D788" s="19" t="s">
        <v>28</v>
      </c>
      <c r="E788" s="10" t="e">
        <f>#REF!</f>
        <v>#REF!</v>
      </c>
      <c r="F788" s="302" t="e">
        <f>#REF!</f>
        <v>#REF!</v>
      </c>
      <c r="G788" s="11" t="e">
        <f t="shared" ref="G788" si="868">IF(AND(D788="INGENIERÍA ELÉCTRICA",F788&lt;&gt;0),E788,0)</f>
        <v>#REF!</v>
      </c>
      <c r="H788" s="11" t="e">
        <f t="shared" ref="H788" si="869">IF(AND(D788="INGENIERÍA CIVIL",F788&lt;&gt;0),E788,0)</f>
        <v>#REF!</v>
      </c>
      <c r="I788" s="11" t="e">
        <f t="shared" ref="I788" si="870">IF(AND(D788="INGENIERÍA MECÁNICA",F788&lt;&gt;0),E788,0)</f>
        <v>#REF!</v>
      </c>
      <c r="J788" s="11" t="e">
        <f t="shared" ref="J788" si="871">IF(AND(D788="LINEAS",F788&lt;&gt;0),E788,0)</f>
        <v>#REF!</v>
      </c>
    </row>
    <row r="789" spans="2:10" x14ac:dyDescent="0.3">
      <c r="B789" s="400" t="s">
        <v>755</v>
      </c>
      <c r="C789" s="9" t="e">
        <f>#REF!</f>
        <v>#REF!</v>
      </c>
      <c r="D789" s="19" t="s">
        <v>28</v>
      </c>
      <c r="E789" s="10" t="e">
        <f>#REF!</f>
        <v>#REF!</v>
      </c>
      <c r="F789" s="302" t="e">
        <f>#REF!</f>
        <v>#REF!</v>
      </c>
      <c r="G789" s="11" t="e">
        <f t="shared" ref="G789:G791" si="872">IF(AND(D789="INGENIERÍA ELÉCTRICA",F789&lt;&gt;0),E789,0)</f>
        <v>#REF!</v>
      </c>
      <c r="H789" s="11" t="e">
        <f t="shared" ref="H789:H791" si="873">IF(AND(D789="INGENIERÍA CIVIL",F789&lt;&gt;0),E789,0)</f>
        <v>#REF!</v>
      </c>
      <c r="I789" s="11" t="e">
        <f t="shared" ref="I789:I791" si="874">IF(AND(D789="INGENIERÍA MECÁNICA",F789&lt;&gt;0),E789,0)</f>
        <v>#REF!</v>
      </c>
      <c r="J789" s="11" t="e">
        <f t="shared" ref="J789:J791" si="875">IF(AND(D789="LINEAS",F789&lt;&gt;0),E789,0)</f>
        <v>#REF!</v>
      </c>
    </row>
    <row r="790" spans="2:10" x14ac:dyDescent="0.3">
      <c r="B790" s="400" t="s">
        <v>755</v>
      </c>
      <c r="C790" s="9" t="e">
        <f>#REF!</f>
        <v>#REF!</v>
      </c>
      <c r="D790" s="19" t="s">
        <v>28</v>
      </c>
      <c r="E790" s="10" t="e">
        <f>#REF!</f>
        <v>#REF!</v>
      </c>
      <c r="F790" s="302" t="e">
        <f>#REF!</f>
        <v>#REF!</v>
      </c>
      <c r="G790" s="11" t="e">
        <f t="shared" si="872"/>
        <v>#REF!</v>
      </c>
      <c r="H790" s="11" t="e">
        <f t="shared" si="873"/>
        <v>#REF!</v>
      </c>
      <c r="I790" s="11" t="e">
        <f t="shared" si="874"/>
        <v>#REF!</v>
      </c>
      <c r="J790" s="11" t="e">
        <f t="shared" si="875"/>
        <v>#REF!</v>
      </c>
    </row>
    <row r="791" spans="2:10" x14ac:dyDescent="0.3">
      <c r="B791" s="400" t="s">
        <v>755</v>
      </c>
      <c r="C791" s="9" t="e">
        <f>#REF!</f>
        <v>#REF!</v>
      </c>
      <c r="D791" s="19" t="s">
        <v>761</v>
      </c>
      <c r="E791" s="10" t="e">
        <f>#REF!</f>
        <v>#REF!</v>
      </c>
      <c r="F791" s="302" t="e">
        <f>#REF!</f>
        <v>#REF!</v>
      </c>
      <c r="G791" s="11" t="e">
        <f t="shared" si="872"/>
        <v>#REF!</v>
      </c>
      <c r="H791" s="11" t="e">
        <f t="shared" si="873"/>
        <v>#REF!</v>
      </c>
      <c r="I791" s="11" t="e">
        <f t="shared" si="874"/>
        <v>#REF!</v>
      </c>
      <c r="J791" s="11" t="e">
        <f t="shared" si="875"/>
        <v>#REF!</v>
      </c>
    </row>
    <row r="792" spans="2:10" x14ac:dyDescent="0.3">
      <c r="B792" s="400" t="s">
        <v>1235</v>
      </c>
      <c r="C792" s="9" t="e">
        <f>#REF!</f>
        <v>#REF!</v>
      </c>
      <c r="D792" s="19" t="s">
        <v>760</v>
      </c>
      <c r="E792" s="10" t="e">
        <f>#REF!</f>
        <v>#REF!</v>
      </c>
      <c r="F792" s="302" t="e">
        <f>#REF!</f>
        <v>#REF!</v>
      </c>
      <c r="G792" s="11" t="e">
        <f t="shared" ref="G792" si="876">IF(AND(D792="INGENIERÍA ELÉCTRICA",F792&lt;&gt;0),E792,0)</f>
        <v>#REF!</v>
      </c>
      <c r="H792" s="11" t="e">
        <f t="shared" ref="H792" si="877">IF(AND(D792="INGENIERÍA CIVIL",F792&lt;&gt;0),E792,0)</f>
        <v>#REF!</v>
      </c>
      <c r="I792" s="11" t="e">
        <f t="shared" ref="I792" si="878">IF(AND(D792="INGENIERÍA MECÁNICA",F792&lt;&gt;0),E792,0)</f>
        <v>#REF!</v>
      </c>
      <c r="J792" s="11" t="e">
        <f t="shared" ref="J792" si="879">IF(AND(D792="LINEAS",F792&lt;&gt;0),E792,0)</f>
        <v>#REF!</v>
      </c>
    </row>
    <row r="793" spans="2:10" x14ac:dyDescent="0.3">
      <c r="B793" s="400" t="s">
        <v>1237</v>
      </c>
      <c r="C793" s="9" t="str">
        <f>'OT17-243 VICTORIA 34,5 kV'!C14</f>
        <v>Ingeniería civil (Levantamiento e ingeniería de detalle)</v>
      </c>
      <c r="D793" s="19" t="s">
        <v>760</v>
      </c>
      <c r="E793" s="10">
        <f>'OT17-243 VICTORIA 34,5 kV'!L14</f>
        <v>1378949</v>
      </c>
      <c r="F793" s="302">
        <f>'OT17-243 VICTORIA 34,5 kV'!K14</f>
        <v>0.3</v>
      </c>
      <c r="G793" s="11">
        <f t="shared" ref="G793" si="880">IF(AND(D793="INGENIERÍA ELÉCTRICA",F793&lt;&gt;0),E793,0)</f>
        <v>0</v>
      </c>
      <c r="H793" s="11">
        <f t="shared" ref="H793" si="881">IF(AND(D793="INGENIERÍA CIVIL",F793&lt;&gt;0),E793,0)</f>
        <v>1378949</v>
      </c>
      <c r="I793" s="11">
        <f t="shared" ref="I793" si="882">IF(AND(D793="INGENIERÍA MECÁNICA",F793&lt;&gt;0),E793,0)</f>
        <v>0</v>
      </c>
      <c r="J793" s="11">
        <f t="shared" ref="J793" si="883">IF(AND(D793="LINEAS",F793&lt;&gt;0),E793,0)</f>
        <v>0</v>
      </c>
    </row>
    <row r="794" spans="2:10" x14ac:dyDescent="0.3">
      <c r="B794" s="400" t="s">
        <v>1237</v>
      </c>
      <c r="C794" s="9" t="str">
        <f>'OT17-243 VICTORIA 34,5 kV'!C15</f>
        <v>Ingeniería mecánica (Levantamiento e ingeniería de detalle)</v>
      </c>
      <c r="D794" s="19" t="s">
        <v>762</v>
      </c>
      <c r="E794" s="10">
        <f>'OT17-243 VICTORIA 34,5 kV'!L15</f>
        <v>1316269</v>
      </c>
      <c r="F794" s="302">
        <f>'OT17-243 VICTORIA 34,5 kV'!K15</f>
        <v>0.3</v>
      </c>
      <c r="G794" s="11">
        <f t="shared" ref="G794:G800" si="884">IF(AND(D794="INGENIERÍA ELÉCTRICA",F794&lt;&gt;0),E794,0)</f>
        <v>0</v>
      </c>
      <c r="H794" s="11">
        <f t="shared" ref="H794:H800" si="885">IF(AND(D794="INGENIERÍA CIVIL",F794&lt;&gt;0),E794,0)</f>
        <v>0</v>
      </c>
      <c r="I794" s="11">
        <f t="shared" ref="I794:I800" si="886">IF(AND(D794="INGENIERÍA MECÁNICA",F794&lt;&gt;0),E794,0)</f>
        <v>1316269</v>
      </c>
      <c r="J794" s="11">
        <f t="shared" ref="J794:J800" si="887">IF(AND(D794="LINEAS",F794&lt;&gt;0),E794,0)</f>
        <v>0</v>
      </c>
    </row>
    <row r="795" spans="2:10" x14ac:dyDescent="0.3">
      <c r="B795" s="400" t="s">
        <v>1237</v>
      </c>
      <c r="C795" s="9" t="str">
        <f>'OT17-243 VICTORIA 34,5 kV'!C17</f>
        <v>Ingeniería civil (Levantamiento e ingeniería de detalle)</v>
      </c>
      <c r="D795" s="19" t="s">
        <v>760</v>
      </c>
      <c r="E795" s="10">
        <f>'OT17-243 VICTORIA 34,5 kV'!L17</f>
        <v>1274483</v>
      </c>
      <c r="F795" s="302">
        <f>'OT17-243 VICTORIA 34,5 kV'!K17</f>
        <v>0.3</v>
      </c>
      <c r="G795" s="11">
        <f t="shared" si="884"/>
        <v>0</v>
      </c>
      <c r="H795" s="11">
        <f t="shared" si="885"/>
        <v>1274483</v>
      </c>
      <c r="I795" s="11">
        <f t="shared" si="886"/>
        <v>0</v>
      </c>
      <c r="J795" s="11">
        <f t="shared" si="887"/>
        <v>0</v>
      </c>
    </row>
    <row r="796" spans="2:10" x14ac:dyDescent="0.3">
      <c r="B796" s="400" t="s">
        <v>1237</v>
      </c>
      <c r="C796" s="9" t="str">
        <f>'OT17-243 VICTORIA 34,5 kV'!C18</f>
        <v>Ingeniería mecánica (Levantamiento e ingeniería de detalle)</v>
      </c>
      <c r="D796" s="19" t="s">
        <v>762</v>
      </c>
      <c r="E796" s="10">
        <f>'OT17-243 VICTORIA 34,5 kV'!L18</f>
        <v>1807259</v>
      </c>
      <c r="F796" s="302">
        <f>'OT17-243 VICTORIA 34,5 kV'!K18</f>
        <v>0.3</v>
      </c>
      <c r="G796" s="11">
        <f t="shared" si="884"/>
        <v>0</v>
      </c>
      <c r="H796" s="11">
        <f t="shared" si="885"/>
        <v>0</v>
      </c>
      <c r="I796" s="11">
        <f t="shared" si="886"/>
        <v>1807259</v>
      </c>
      <c r="J796" s="11">
        <f t="shared" si="887"/>
        <v>0</v>
      </c>
    </row>
    <row r="797" spans="2:10" x14ac:dyDescent="0.3">
      <c r="B797" s="400" t="s">
        <v>1237</v>
      </c>
      <c r="C797" s="9" t="str">
        <f>'OT17-243 VICTORIA 34,5 kV'!C19</f>
        <v>Ingeniería eléctrica (Levantamiento e ingeniería de detalle)</v>
      </c>
      <c r="D797" s="19" t="s">
        <v>761</v>
      </c>
      <c r="E797" s="10">
        <f>'OT17-243 VICTORIA 34,5 kV'!L19</f>
        <v>9541211</v>
      </c>
      <c r="F797" s="302">
        <f>'OT17-243 VICTORIA 34,5 kV'!K19</f>
        <v>1</v>
      </c>
      <c r="G797" s="11">
        <f t="shared" si="884"/>
        <v>9541211</v>
      </c>
      <c r="H797" s="11">
        <f t="shared" si="885"/>
        <v>0</v>
      </c>
      <c r="I797" s="11">
        <f t="shared" si="886"/>
        <v>0</v>
      </c>
      <c r="J797" s="11">
        <f t="shared" si="887"/>
        <v>0</v>
      </c>
    </row>
    <row r="798" spans="2:10" x14ac:dyDescent="0.3">
      <c r="B798" s="400" t="s">
        <v>1237</v>
      </c>
      <c r="C798" s="9" t="str">
        <f>'OT17-243 VICTORIA 34,5 kV'!C21</f>
        <v>Ingeniería civil (Levantamiento e ingeniería de detalle)</v>
      </c>
      <c r="D798" s="19" t="s">
        <v>760</v>
      </c>
      <c r="E798" s="10">
        <f>'OT17-243 VICTORIA 34,5 kV'!L21</f>
        <v>1274483</v>
      </c>
      <c r="F798" s="302">
        <f>'OT17-243 VICTORIA 34,5 kV'!K21</f>
        <v>0.3</v>
      </c>
      <c r="G798" s="11">
        <f t="shared" si="884"/>
        <v>0</v>
      </c>
      <c r="H798" s="11">
        <f t="shared" si="885"/>
        <v>1274483</v>
      </c>
      <c r="I798" s="11">
        <f t="shared" si="886"/>
        <v>0</v>
      </c>
      <c r="J798" s="11">
        <f t="shared" si="887"/>
        <v>0</v>
      </c>
    </row>
    <row r="799" spans="2:10" x14ac:dyDescent="0.3">
      <c r="B799" s="400" t="s">
        <v>1237</v>
      </c>
      <c r="C799" s="9" t="str">
        <f>'OT17-243 VICTORIA 34,5 kV'!C22</f>
        <v>Ingeniería mecánica (Levantamiento e ingeniería de detalle)</v>
      </c>
      <c r="D799" s="19" t="s">
        <v>762</v>
      </c>
      <c r="E799" s="10">
        <f>'OT17-243 VICTORIA 34,5 kV'!L22</f>
        <v>1807259</v>
      </c>
      <c r="F799" s="302">
        <f>'OT17-243 VICTORIA 34,5 kV'!K22</f>
        <v>0.3</v>
      </c>
      <c r="G799" s="11">
        <f t="shared" si="884"/>
        <v>0</v>
      </c>
      <c r="H799" s="11">
        <f t="shared" si="885"/>
        <v>0</v>
      </c>
      <c r="I799" s="11">
        <f t="shared" si="886"/>
        <v>1807259</v>
      </c>
      <c r="J799" s="11">
        <f t="shared" si="887"/>
        <v>0</v>
      </c>
    </row>
    <row r="800" spans="2:10" x14ac:dyDescent="0.3">
      <c r="B800" s="400" t="s">
        <v>1237</v>
      </c>
      <c r="C800" s="9" t="str">
        <f>'OT17-243 VICTORIA 34,5 kV'!C23</f>
        <v>Ingeniería eléctrica (Levantamiento e ingeniería de detalle)</v>
      </c>
      <c r="D800" s="19" t="s">
        <v>761</v>
      </c>
      <c r="E800" s="10">
        <f>'OT17-243 VICTORIA 34,5 kV'!L23</f>
        <v>4866018</v>
      </c>
      <c r="F800" s="302">
        <f>'OT17-243 VICTORIA 34,5 kV'!K23</f>
        <v>0.51</v>
      </c>
      <c r="G800" s="11">
        <f t="shared" si="884"/>
        <v>4866018</v>
      </c>
      <c r="H800" s="11">
        <f t="shared" si="885"/>
        <v>0</v>
      </c>
      <c r="I800" s="11">
        <f t="shared" si="886"/>
        <v>0</v>
      </c>
      <c r="J800" s="11">
        <f t="shared" si="887"/>
        <v>0</v>
      </c>
    </row>
    <row r="801" spans="2:10" x14ac:dyDescent="0.3">
      <c r="B801" s="400" t="s">
        <v>1237</v>
      </c>
      <c r="C801" s="9" t="str">
        <f>'OT17-243 VICTORIA 34,5 kV'!C25</f>
        <v>Diseño civil (Levantamiento e ingeniería de detalle)</v>
      </c>
      <c r="D801" s="19" t="s">
        <v>760</v>
      </c>
      <c r="E801" s="10">
        <f>'OT17-243 VICTORIA 34,5 kV'!L25</f>
        <v>2371374</v>
      </c>
      <c r="F801" s="302">
        <f>'OT17-243 VICTORIA 34,5 kV'!K25</f>
        <v>0.3</v>
      </c>
      <c r="G801" s="11">
        <f t="shared" ref="G801:G806" si="888">IF(AND(D801="INGENIERÍA ELÉCTRICA",F801&lt;&gt;0),E801,0)</f>
        <v>0</v>
      </c>
      <c r="H801" s="11">
        <f t="shared" ref="H801:H806" si="889">IF(AND(D801="INGENIERÍA CIVIL",F801&lt;&gt;0),E801,0)</f>
        <v>2371374</v>
      </c>
      <c r="I801" s="11">
        <f t="shared" ref="I801:I806" si="890">IF(AND(D801="INGENIERÍA MECÁNICA",F801&lt;&gt;0),E801,0)</f>
        <v>0</v>
      </c>
      <c r="J801" s="11">
        <f t="shared" ref="J801:J806" si="891">IF(AND(D801="LINEAS",F801&lt;&gt;0),E801,0)</f>
        <v>0</v>
      </c>
    </row>
    <row r="802" spans="2:10" x14ac:dyDescent="0.3">
      <c r="B802" s="400" t="s">
        <v>1237</v>
      </c>
      <c r="C802" s="9" t="str">
        <f>'OT17-243 VICTORIA 34,5 kV'!C26</f>
        <v>Ingeniería mecánica (Levantamiento e ingeniería de detalle)</v>
      </c>
      <c r="D802" s="19" t="s">
        <v>762</v>
      </c>
      <c r="E802" s="10">
        <f>'OT17-243 VICTORIA 34,5 kV'!L26</f>
        <v>1504308</v>
      </c>
      <c r="F802" s="302">
        <f>'OT17-243 VICTORIA 34,5 kV'!K26</f>
        <v>0.3</v>
      </c>
      <c r="G802" s="11">
        <f t="shared" si="888"/>
        <v>0</v>
      </c>
      <c r="H802" s="11">
        <f t="shared" si="889"/>
        <v>0</v>
      </c>
      <c r="I802" s="11">
        <f t="shared" si="890"/>
        <v>1504308</v>
      </c>
      <c r="J802" s="11">
        <f t="shared" si="891"/>
        <v>0</v>
      </c>
    </row>
    <row r="803" spans="2:10" x14ac:dyDescent="0.3">
      <c r="B803" s="400" t="s">
        <v>1237</v>
      </c>
      <c r="C803" s="9" t="str">
        <f>'OT17-243 VICTORIA 34,5 kV'!C27</f>
        <v>Ingeniería eléctrica (Levantamiento e ingeniería de detalle)</v>
      </c>
      <c r="D803" s="19" t="s">
        <v>761</v>
      </c>
      <c r="E803" s="10">
        <f>'OT17-243 VICTORIA 34,5 kV'!L27</f>
        <v>1284929</v>
      </c>
      <c r="F803" s="302">
        <f>'OT17-243 VICTORIA 34,5 kV'!K27</f>
        <v>0.3</v>
      </c>
      <c r="G803" s="11">
        <f t="shared" si="888"/>
        <v>1284929</v>
      </c>
      <c r="H803" s="11">
        <f t="shared" si="889"/>
        <v>0</v>
      </c>
      <c r="I803" s="11">
        <f t="shared" si="890"/>
        <v>0</v>
      </c>
      <c r="J803" s="11">
        <f t="shared" si="891"/>
        <v>0</v>
      </c>
    </row>
    <row r="804" spans="2:10" x14ac:dyDescent="0.3">
      <c r="B804" s="400" t="s">
        <v>1237</v>
      </c>
      <c r="C804" s="9" t="str">
        <f>'OT17-243 VICTORIA 34,5 kV'!C29</f>
        <v>Ingeniería civil (Levantamiento e ingeniería de detalle)</v>
      </c>
      <c r="D804" s="19" t="s">
        <v>760</v>
      </c>
      <c r="E804" s="10">
        <f>'OT17-243 VICTORIA 34,5 kV'!L29</f>
        <v>449203</v>
      </c>
      <c r="F804" s="302">
        <f>'OT17-243 VICTORIA 34,5 kV'!K29</f>
        <v>0.3</v>
      </c>
      <c r="G804" s="11">
        <f t="shared" si="888"/>
        <v>0</v>
      </c>
      <c r="H804" s="11">
        <f t="shared" si="889"/>
        <v>449203</v>
      </c>
      <c r="I804" s="11">
        <f t="shared" si="890"/>
        <v>0</v>
      </c>
      <c r="J804" s="11">
        <f t="shared" si="891"/>
        <v>0</v>
      </c>
    </row>
    <row r="805" spans="2:10" x14ac:dyDescent="0.3">
      <c r="B805" s="400" t="s">
        <v>1237</v>
      </c>
      <c r="C805" s="9" t="str">
        <f>'OT17-243 VICTORIA 34,5 kV'!C30</f>
        <v>Ingeniería mecánica (Levantamiento e ingeniería de detalle)</v>
      </c>
      <c r="D805" s="19" t="s">
        <v>762</v>
      </c>
      <c r="E805" s="10">
        <f>'OT17-243 VICTORIA 34,5 kV'!L30</f>
        <v>940192</v>
      </c>
      <c r="F805" s="302">
        <f>'OT17-243 VICTORIA 34,5 kV'!K30</f>
        <v>0.3</v>
      </c>
      <c r="G805" s="11">
        <f t="shared" si="888"/>
        <v>0</v>
      </c>
      <c r="H805" s="11">
        <f t="shared" si="889"/>
        <v>0</v>
      </c>
      <c r="I805" s="11">
        <f t="shared" si="890"/>
        <v>940192</v>
      </c>
      <c r="J805" s="11">
        <f t="shared" si="891"/>
        <v>0</v>
      </c>
    </row>
    <row r="806" spans="2:10" x14ac:dyDescent="0.3">
      <c r="B806" s="400" t="s">
        <v>1237</v>
      </c>
      <c r="C806" s="9" t="str">
        <f>'OT17-243 VICTORIA 34,5 kV'!C31</f>
        <v>Ingeniería eléctrica (Levantamiento e ingeniería de detalle)</v>
      </c>
      <c r="D806" s="19" t="s">
        <v>761</v>
      </c>
      <c r="E806" s="10">
        <f>'OT17-243 VICTORIA 34,5 kV'!L31</f>
        <v>0</v>
      </c>
      <c r="F806" s="302">
        <f>'OT17-243 VICTORIA 34,5 kV'!K31</f>
        <v>0</v>
      </c>
      <c r="G806" s="11">
        <f t="shared" si="888"/>
        <v>0</v>
      </c>
      <c r="H806" s="11">
        <f t="shared" si="889"/>
        <v>0</v>
      </c>
      <c r="I806" s="11">
        <f t="shared" si="890"/>
        <v>0</v>
      </c>
      <c r="J806" s="11">
        <f t="shared" si="891"/>
        <v>0</v>
      </c>
    </row>
    <row r="807" spans="2:10" x14ac:dyDescent="0.3">
      <c r="B807" s="400" t="s">
        <v>1237</v>
      </c>
      <c r="C807" s="9" t="str">
        <f>'OT17-243 VICTORIA 34,5 kV'!C33</f>
        <v>Ingeniería civil (Levantamiento e ingeniería de detalle)</v>
      </c>
      <c r="D807" s="19" t="s">
        <v>760</v>
      </c>
      <c r="E807" s="10">
        <f>'OT17-243 VICTORIA 34,5 kV'!L33</f>
        <v>1274483</v>
      </c>
      <c r="F807" s="302">
        <f>'OT17-243 VICTORIA 34,5 kV'!K33</f>
        <v>0.3</v>
      </c>
      <c r="G807" s="11">
        <f t="shared" ref="G807:G810" si="892">IF(AND(D807="INGENIERÍA ELÉCTRICA",F807&lt;&gt;0),E807,0)</f>
        <v>0</v>
      </c>
      <c r="H807" s="11">
        <f t="shared" ref="H807:H810" si="893">IF(AND(D807="INGENIERÍA CIVIL",F807&lt;&gt;0),E807,0)</f>
        <v>1274483</v>
      </c>
      <c r="I807" s="11">
        <f t="shared" ref="I807:I810" si="894">IF(AND(D807="INGENIERÍA MECÁNICA",F807&lt;&gt;0),E807,0)</f>
        <v>0</v>
      </c>
      <c r="J807" s="11">
        <f t="shared" ref="J807:J810" si="895">IF(AND(D807="LINEAS",F807&lt;&gt;0),E807,0)</f>
        <v>0</v>
      </c>
    </row>
    <row r="808" spans="2:10" x14ac:dyDescent="0.3">
      <c r="B808" s="400" t="s">
        <v>1237</v>
      </c>
      <c r="C808" s="9" t="str">
        <f>'OT17-243 VICTORIA 34,5 kV'!C34</f>
        <v>Ingeniería mecánica (Levantamiento e ingeniería de detalle)</v>
      </c>
      <c r="D808" s="19" t="s">
        <v>762</v>
      </c>
      <c r="E808" s="10">
        <f>'OT17-243 VICTORIA 34,5 kV'!L34</f>
        <v>1807259</v>
      </c>
      <c r="F808" s="302">
        <f>'OT17-243 VICTORIA 34,5 kV'!K34</f>
        <v>0.3</v>
      </c>
      <c r="G808" s="11">
        <f t="shared" si="892"/>
        <v>0</v>
      </c>
      <c r="H808" s="11">
        <f t="shared" si="893"/>
        <v>0</v>
      </c>
      <c r="I808" s="11">
        <f t="shared" si="894"/>
        <v>1807259</v>
      </c>
      <c r="J808" s="11">
        <f t="shared" si="895"/>
        <v>0</v>
      </c>
    </row>
    <row r="809" spans="2:10" x14ac:dyDescent="0.3">
      <c r="B809" s="400" t="s">
        <v>1237</v>
      </c>
      <c r="C809" s="9" t="str">
        <f>'OT17-243 VICTORIA 34,5 kV'!C35</f>
        <v>Ingeniería eléctrica (Levantamiento e ingeniería de detalle)</v>
      </c>
      <c r="D809" s="19" t="s">
        <v>761</v>
      </c>
      <c r="E809" s="10">
        <f>'OT17-243 VICTORIA 34,5 kV'!L35</f>
        <v>2862363</v>
      </c>
      <c r="F809" s="302">
        <f>'OT17-243 VICTORIA 34,5 kV'!K35</f>
        <v>0.3</v>
      </c>
      <c r="G809" s="11">
        <f t="shared" si="892"/>
        <v>2862363</v>
      </c>
      <c r="H809" s="11">
        <f t="shared" si="893"/>
        <v>0</v>
      </c>
      <c r="I809" s="11">
        <f t="shared" si="894"/>
        <v>0</v>
      </c>
      <c r="J809" s="11">
        <f t="shared" si="895"/>
        <v>0</v>
      </c>
    </row>
    <row r="810" spans="2:10" x14ac:dyDescent="0.3">
      <c r="B810" s="400" t="s">
        <v>1237</v>
      </c>
      <c r="C810" s="9" t="str">
        <f>'OT17-243 VICTORIA 34,5 kV'!C37</f>
        <v>Ingeniería civil y mecánica (Levantamiento e ingeniería de detalle)</v>
      </c>
      <c r="D810" s="19" t="s">
        <v>760</v>
      </c>
      <c r="E810" s="10">
        <f>'OT17-243 VICTORIA 34,5 kV'!L37</f>
        <v>574562</v>
      </c>
      <c r="F810" s="302">
        <f>'OT17-243 VICTORIA 34,5 kV'!K37</f>
        <v>0.3</v>
      </c>
      <c r="G810" s="11">
        <f t="shared" si="892"/>
        <v>0</v>
      </c>
      <c r="H810" s="11">
        <f t="shared" si="893"/>
        <v>574562</v>
      </c>
      <c r="I810" s="11">
        <f t="shared" si="894"/>
        <v>0</v>
      </c>
      <c r="J810" s="11">
        <f t="shared" si="895"/>
        <v>0</v>
      </c>
    </row>
    <row r="811" spans="2:10" x14ac:dyDescent="0.3">
      <c r="B811" s="400" t="s">
        <v>1237</v>
      </c>
      <c r="C811" s="9" t="str">
        <f>'OT17-243 VICTORIA 34,5 kV'!C38</f>
        <v>Ingeniería eléctrica (Levantamiento e ingeniería de detalle)</v>
      </c>
      <c r="D811" s="19" t="s">
        <v>761</v>
      </c>
      <c r="E811" s="10">
        <f>'OT17-243 VICTORIA 34,5 kV'!L38</f>
        <v>0</v>
      </c>
      <c r="F811" s="302">
        <f>'OT17-243 VICTORIA 34,5 kV'!K38</f>
        <v>0</v>
      </c>
      <c r="G811" s="11">
        <f t="shared" ref="G811:G813" si="896">IF(AND(D811="INGENIERÍA ELÉCTRICA",F811&lt;&gt;0),E811,0)</f>
        <v>0</v>
      </c>
      <c r="H811" s="11">
        <f t="shared" ref="H811:H813" si="897">IF(AND(D811="INGENIERÍA CIVIL",F811&lt;&gt;0),E811,0)</f>
        <v>0</v>
      </c>
      <c r="I811" s="11">
        <f t="shared" ref="I811:I813" si="898">IF(AND(D811="INGENIERÍA MECÁNICA",F811&lt;&gt;0),E811,0)</f>
        <v>0</v>
      </c>
      <c r="J811" s="11">
        <f t="shared" ref="J811:J813" si="899">IF(AND(D811="LINEAS",F811&lt;&gt;0),E811,0)</f>
        <v>0</v>
      </c>
    </row>
    <row r="812" spans="2:10" x14ac:dyDescent="0.3">
      <c r="B812" s="400" t="s">
        <v>1237</v>
      </c>
      <c r="C812" s="9" t="str">
        <f>'OT17-243 VICTORIA 34,5 kV'!C40</f>
        <v>Ingeniería civil y mecánico (Levantamiento e ingeniería de detalle)</v>
      </c>
      <c r="D812" s="19" t="s">
        <v>760</v>
      </c>
      <c r="E812" s="10">
        <f>'OT17-243 VICTORIA 34,5 kV'!L40</f>
        <v>919299</v>
      </c>
      <c r="F812" s="302">
        <f>'OT17-243 VICTORIA 34,5 kV'!K40</f>
        <v>0.3</v>
      </c>
      <c r="G812" s="11">
        <f t="shared" si="896"/>
        <v>0</v>
      </c>
      <c r="H812" s="11">
        <f t="shared" si="897"/>
        <v>919299</v>
      </c>
      <c r="I812" s="11">
        <f t="shared" si="898"/>
        <v>0</v>
      </c>
      <c r="J812" s="11">
        <f t="shared" si="899"/>
        <v>0</v>
      </c>
    </row>
    <row r="813" spans="2:10" x14ac:dyDescent="0.3">
      <c r="B813" s="400" t="s">
        <v>1237</v>
      </c>
      <c r="C813" s="9" t="str">
        <f>'OT17-243 VICTORIA 34,5 kV'!C41</f>
        <v>Ingeniería eléctrica (Levantamiento e ingeniería de detalle)</v>
      </c>
      <c r="D813" s="19" t="s">
        <v>761</v>
      </c>
      <c r="E813" s="10">
        <f>'OT17-243 VICTORIA 34,5 kV'!L41</f>
        <v>0</v>
      </c>
      <c r="F813" s="302">
        <f>'OT17-243 VICTORIA 34,5 kV'!K41</f>
        <v>0</v>
      </c>
      <c r="G813" s="11">
        <f t="shared" si="896"/>
        <v>0</v>
      </c>
      <c r="H813" s="11">
        <f t="shared" si="897"/>
        <v>0</v>
      </c>
      <c r="I813" s="11">
        <f t="shared" si="898"/>
        <v>0</v>
      </c>
      <c r="J813" s="11">
        <f t="shared" si="899"/>
        <v>0</v>
      </c>
    </row>
    <row r="814" spans="2:10" x14ac:dyDescent="0.3">
      <c r="B814" s="400" t="s">
        <v>1238</v>
      </c>
      <c r="C814" s="9" t="e">
        <f>#REF!</f>
        <v>#REF!</v>
      </c>
      <c r="D814" s="19" t="s">
        <v>760</v>
      </c>
      <c r="E814" s="10" t="e">
        <f>#REF!</f>
        <v>#REF!</v>
      </c>
      <c r="F814" s="302" t="e">
        <f>#REF!</f>
        <v>#REF!</v>
      </c>
      <c r="G814" s="11" t="e">
        <f t="shared" ref="G814" si="900">IF(AND(D814="INGENIERÍA ELÉCTRICA",F814&lt;&gt;0),E814,0)</f>
        <v>#REF!</v>
      </c>
      <c r="H814" s="11" t="e">
        <f t="shared" ref="H814" si="901">IF(AND(D814="INGENIERÍA CIVIL",F814&lt;&gt;0),E814,0)</f>
        <v>#REF!</v>
      </c>
      <c r="I814" s="11" t="e">
        <f t="shared" ref="I814" si="902">IF(AND(D814="INGENIERÍA MECÁNICA",F814&lt;&gt;0),E814,0)</f>
        <v>#REF!</v>
      </c>
      <c r="J814" s="11" t="e">
        <f t="shared" ref="J814" si="903">IF(AND(D814="LINEAS",F814&lt;&gt;0),E814,0)</f>
        <v>#REF!</v>
      </c>
    </row>
    <row r="815" spans="2:10" x14ac:dyDescent="0.3">
      <c r="B815" s="400" t="s">
        <v>1238</v>
      </c>
      <c r="C815" s="9" t="e">
        <f>#REF!</f>
        <v>#REF!</v>
      </c>
      <c r="D815" s="19" t="s">
        <v>760</v>
      </c>
      <c r="E815" s="10" t="e">
        <f>#REF!</f>
        <v>#REF!</v>
      </c>
      <c r="F815" s="302" t="e">
        <f>#REF!</f>
        <v>#REF!</v>
      </c>
      <c r="G815" s="11" t="e">
        <f t="shared" ref="G815:G819" si="904">IF(AND(D815="INGENIERÍA ELÉCTRICA",F815&lt;&gt;0),E815,0)</f>
        <v>#REF!</v>
      </c>
      <c r="H815" s="11" t="e">
        <f t="shared" ref="H815:H819" si="905">IF(AND(D815="INGENIERÍA CIVIL",F815&lt;&gt;0),E815,0)</f>
        <v>#REF!</v>
      </c>
      <c r="I815" s="11" t="e">
        <f t="shared" ref="I815:I819" si="906">IF(AND(D815="INGENIERÍA MECÁNICA",F815&lt;&gt;0),E815,0)</f>
        <v>#REF!</v>
      </c>
      <c r="J815" s="11" t="e">
        <f t="shared" ref="J815:J819" si="907">IF(AND(D815="LINEAS",F815&lt;&gt;0),E815,0)</f>
        <v>#REF!</v>
      </c>
    </row>
    <row r="816" spans="2:10" x14ac:dyDescent="0.3">
      <c r="B816" s="400" t="s">
        <v>1238</v>
      </c>
      <c r="C816" s="9" t="e">
        <f>#REF!</f>
        <v>#REF!</v>
      </c>
      <c r="D816" s="9" t="s">
        <v>761</v>
      </c>
      <c r="E816" s="10" t="e">
        <f>#REF!</f>
        <v>#REF!</v>
      </c>
      <c r="F816" s="302" t="e">
        <f>#REF!</f>
        <v>#REF!</v>
      </c>
      <c r="G816" s="11" t="e">
        <f t="shared" si="904"/>
        <v>#REF!</v>
      </c>
      <c r="H816" s="11" t="e">
        <f t="shared" si="905"/>
        <v>#REF!</v>
      </c>
      <c r="I816" s="11" t="e">
        <f t="shared" si="906"/>
        <v>#REF!</v>
      </c>
      <c r="J816" s="11" t="e">
        <f t="shared" si="907"/>
        <v>#REF!</v>
      </c>
    </row>
    <row r="817" spans="2:10" x14ac:dyDescent="0.3">
      <c r="B817" s="400" t="s">
        <v>1238</v>
      </c>
      <c r="C817" s="9" t="e">
        <f>#REF!</f>
        <v>#REF!</v>
      </c>
      <c r="D817" s="19" t="s">
        <v>760</v>
      </c>
      <c r="E817" s="10" t="e">
        <f>#REF!</f>
        <v>#REF!</v>
      </c>
      <c r="F817" s="302" t="e">
        <f>#REF!</f>
        <v>#REF!</v>
      </c>
      <c r="G817" s="11" t="e">
        <f t="shared" si="904"/>
        <v>#REF!</v>
      </c>
      <c r="H817" s="11" t="e">
        <f t="shared" si="905"/>
        <v>#REF!</v>
      </c>
      <c r="I817" s="11" t="e">
        <f t="shared" si="906"/>
        <v>#REF!</v>
      </c>
      <c r="J817" s="11" t="e">
        <f t="shared" si="907"/>
        <v>#REF!</v>
      </c>
    </row>
    <row r="818" spans="2:10" x14ac:dyDescent="0.3">
      <c r="B818" s="400" t="s">
        <v>1238</v>
      </c>
      <c r="C818" s="9" t="e">
        <f>#REF!</f>
        <v>#REF!</v>
      </c>
      <c r="D818" s="19" t="s">
        <v>760</v>
      </c>
      <c r="E818" s="10" t="e">
        <f>#REF!</f>
        <v>#REF!</v>
      </c>
      <c r="F818" s="302" t="e">
        <f>#REF!</f>
        <v>#REF!</v>
      </c>
      <c r="G818" s="11" t="e">
        <f t="shared" si="904"/>
        <v>#REF!</v>
      </c>
      <c r="H818" s="11" t="e">
        <f t="shared" si="905"/>
        <v>#REF!</v>
      </c>
      <c r="I818" s="11" t="e">
        <f t="shared" si="906"/>
        <v>#REF!</v>
      </c>
      <c r="J818" s="11" t="e">
        <f t="shared" si="907"/>
        <v>#REF!</v>
      </c>
    </row>
    <row r="819" spans="2:10" x14ac:dyDescent="0.3">
      <c r="B819" s="400" t="s">
        <v>1238</v>
      </c>
      <c r="C819" s="9" t="e">
        <f>#REF!</f>
        <v>#REF!</v>
      </c>
      <c r="D819" s="19" t="s">
        <v>760</v>
      </c>
      <c r="E819" s="10" t="e">
        <f>#REF!</f>
        <v>#REF!</v>
      </c>
      <c r="F819" s="302" t="e">
        <f>#REF!</f>
        <v>#REF!</v>
      </c>
      <c r="G819" s="11" t="e">
        <f t="shared" si="904"/>
        <v>#REF!</v>
      </c>
      <c r="H819" s="11" t="e">
        <f t="shared" si="905"/>
        <v>#REF!</v>
      </c>
      <c r="I819" s="11" t="e">
        <f t="shared" si="906"/>
        <v>#REF!</v>
      </c>
      <c r="J819" s="11" t="e">
        <f t="shared" si="907"/>
        <v>#REF!</v>
      </c>
    </row>
    <row r="820" spans="2:10" x14ac:dyDescent="0.3">
      <c r="B820" s="400" t="s">
        <v>1239</v>
      </c>
      <c r="C820" s="9" t="e">
        <f>#REF!</f>
        <v>#REF!</v>
      </c>
      <c r="D820" s="19" t="s">
        <v>762</v>
      </c>
      <c r="E820" s="10" t="e">
        <f>#REF!</f>
        <v>#REF!</v>
      </c>
      <c r="F820" s="302" t="e">
        <f>#REF!</f>
        <v>#REF!</v>
      </c>
      <c r="G820" s="11" t="e">
        <f t="shared" ref="G820" si="908">IF(AND(D820="INGENIERÍA ELÉCTRICA",F820&lt;&gt;0),E820,0)</f>
        <v>#REF!</v>
      </c>
      <c r="H820" s="11" t="e">
        <f t="shared" ref="H820" si="909">IF(AND(D820="INGENIERÍA CIVIL",F820&lt;&gt;0),E820,0)</f>
        <v>#REF!</v>
      </c>
      <c r="I820" s="11" t="e">
        <f t="shared" ref="I820" si="910">IF(AND(D820="INGENIERÍA MECÁNICA",F820&lt;&gt;0),E820,0)</f>
        <v>#REF!</v>
      </c>
      <c r="J820" s="11" t="e">
        <f t="shared" ref="J820" si="911">IF(AND(D820="LINEAS",F820&lt;&gt;0),E820,0)</f>
        <v>#REF!</v>
      </c>
    </row>
    <row r="821" spans="2:10" x14ac:dyDescent="0.3">
      <c r="B821" s="400" t="s">
        <v>1239</v>
      </c>
      <c r="C821" s="9" t="e">
        <f>#REF!</f>
        <v>#REF!</v>
      </c>
      <c r="D821" s="19" t="s">
        <v>761</v>
      </c>
      <c r="E821" s="10" t="e">
        <f>#REF!</f>
        <v>#REF!</v>
      </c>
      <c r="F821" s="302" t="e">
        <f>#REF!</f>
        <v>#REF!</v>
      </c>
      <c r="G821" s="11" t="e">
        <f t="shared" ref="G821:G826" si="912">IF(AND(D821="INGENIERÍA ELÉCTRICA",F821&lt;&gt;0),E821,0)</f>
        <v>#REF!</v>
      </c>
      <c r="H821" s="11" t="e">
        <f t="shared" ref="H821:H826" si="913">IF(AND(D821="INGENIERÍA CIVIL",F821&lt;&gt;0),E821,0)</f>
        <v>#REF!</v>
      </c>
      <c r="I821" s="11" t="e">
        <f t="shared" ref="I821:I826" si="914">IF(AND(D821="INGENIERÍA MECÁNICA",F821&lt;&gt;0),E821,0)</f>
        <v>#REF!</v>
      </c>
      <c r="J821" s="11" t="e">
        <f t="shared" ref="J821:J826" si="915">IF(AND(D821="LINEAS",F821&lt;&gt;0),E821,0)</f>
        <v>#REF!</v>
      </c>
    </row>
    <row r="822" spans="2:10" x14ac:dyDescent="0.3">
      <c r="B822" s="400" t="s">
        <v>1239</v>
      </c>
      <c r="C822" s="9" t="e">
        <f>#REF!</f>
        <v>#REF!</v>
      </c>
      <c r="D822" s="19" t="s">
        <v>762</v>
      </c>
      <c r="E822" s="10" t="e">
        <f>#REF!</f>
        <v>#REF!</v>
      </c>
      <c r="F822" s="302" t="e">
        <f>#REF!</f>
        <v>#REF!</v>
      </c>
      <c r="G822" s="11" t="e">
        <f t="shared" si="912"/>
        <v>#REF!</v>
      </c>
      <c r="H822" s="11" t="e">
        <f t="shared" si="913"/>
        <v>#REF!</v>
      </c>
      <c r="I822" s="11" t="e">
        <f t="shared" si="914"/>
        <v>#REF!</v>
      </c>
      <c r="J822" s="11" t="e">
        <f t="shared" si="915"/>
        <v>#REF!</v>
      </c>
    </row>
    <row r="823" spans="2:10" x14ac:dyDescent="0.3">
      <c r="B823" s="400" t="s">
        <v>1239</v>
      </c>
      <c r="C823" s="9" t="e">
        <f>#REF!</f>
        <v>#REF!</v>
      </c>
      <c r="D823" s="19" t="s">
        <v>761</v>
      </c>
      <c r="E823" s="10" t="e">
        <f>#REF!</f>
        <v>#REF!</v>
      </c>
      <c r="F823" s="302" t="e">
        <f>#REF!</f>
        <v>#REF!</v>
      </c>
      <c r="G823" s="11" t="e">
        <f t="shared" si="912"/>
        <v>#REF!</v>
      </c>
      <c r="H823" s="11" t="e">
        <f t="shared" si="913"/>
        <v>#REF!</v>
      </c>
      <c r="I823" s="11" t="e">
        <f t="shared" si="914"/>
        <v>#REF!</v>
      </c>
      <c r="J823" s="11" t="e">
        <f t="shared" si="915"/>
        <v>#REF!</v>
      </c>
    </row>
    <row r="824" spans="2:10" x14ac:dyDescent="0.3">
      <c r="B824" s="400" t="s">
        <v>1239</v>
      </c>
      <c r="C824" s="9" t="e">
        <f>#REF!</f>
        <v>#REF!</v>
      </c>
      <c r="D824" s="19" t="s">
        <v>760</v>
      </c>
      <c r="E824" s="10" t="e">
        <f>#REF!</f>
        <v>#REF!</v>
      </c>
      <c r="F824" s="302" t="e">
        <f>#REF!</f>
        <v>#REF!</v>
      </c>
      <c r="G824" s="11" t="e">
        <f t="shared" si="912"/>
        <v>#REF!</v>
      </c>
      <c r="H824" s="11" t="e">
        <f t="shared" si="913"/>
        <v>#REF!</v>
      </c>
      <c r="I824" s="11" t="e">
        <f t="shared" si="914"/>
        <v>#REF!</v>
      </c>
      <c r="J824" s="11" t="e">
        <f t="shared" si="915"/>
        <v>#REF!</v>
      </c>
    </row>
    <row r="825" spans="2:10" x14ac:dyDescent="0.3">
      <c r="B825" s="400" t="s">
        <v>1239</v>
      </c>
      <c r="C825" s="9" t="e">
        <f>#REF!</f>
        <v>#REF!</v>
      </c>
      <c r="D825" s="19" t="s">
        <v>761</v>
      </c>
      <c r="E825" s="10" t="e">
        <f>#REF!</f>
        <v>#REF!</v>
      </c>
      <c r="F825" s="302" t="e">
        <f>#REF!</f>
        <v>#REF!</v>
      </c>
      <c r="G825" s="11" t="e">
        <f t="shared" si="912"/>
        <v>#REF!</v>
      </c>
      <c r="H825" s="11" t="e">
        <f t="shared" si="913"/>
        <v>#REF!</v>
      </c>
      <c r="I825" s="11" t="e">
        <f t="shared" si="914"/>
        <v>#REF!</v>
      </c>
      <c r="J825" s="11" t="e">
        <f t="shared" si="915"/>
        <v>#REF!</v>
      </c>
    </row>
    <row r="826" spans="2:10" x14ac:dyDescent="0.3">
      <c r="B826" s="400" t="s">
        <v>1239</v>
      </c>
      <c r="C826" s="9" t="e">
        <f>#REF!</f>
        <v>#REF!</v>
      </c>
      <c r="D826" s="19" t="s">
        <v>760</v>
      </c>
      <c r="E826" s="10" t="e">
        <f>#REF!</f>
        <v>#REF!</v>
      </c>
      <c r="F826" s="302" t="e">
        <f>#REF!</f>
        <v>#REF!</v>
      </c>
      <c r="G826" s="11" t="e">
        <f t="shared" si="912"/>
        <v>#REF!</v>
      </c>
      <c r="H826" s="11" t="e">
        <f t="shared" si="913"/>
        <v>#REF!</v>
      </c>
      <c r="I826" s="11" t="e">
        <f t="shared" si="914"/>
        <v>#REF!</v>
      </c>
      <c r="J826" s="11" t="e">
        <f t="shared" si="915"/>
        <v>#REF!</v>
      </c>
    </row>
    <row r="827" spans="2:10" x14ac:dyDescent="0.3">
      <c r="B827" s="400" t="s">
        <v>1239</v>
      </c>
      <c r="C827" s="9" t="e">
        <f>#REF!</f>
        <v>#REF!</v>
      </c>
      <c r="D827" s="19" t="s">
        <v>760</v>
      </c>
      <c r="E827" s="10" t="e">
        <f>#REF!</f>
        <v>#REF!</v>
      </c>
      <c r="F827" s="302" t="e">
        <f>#REF!</f>
        <v>#REF!</v>
      </c>
      <c r="G827" s="11" t="e">
        <f t="shared" ref="G827" si="916">IF(AND(D827="INGENIERÍA ELÉCTRICA",F827&lt;&gt;0),E827,0)</f>
        <v>#REF!</v>
      </c>
      <c r="H827" s="11" t="e">
        <f t="shared" ref="H827" si="917">IF(AND(D827="INGENIERÍA CIVIL",F827&lt;&gt;0),E827,0)</f>
        <v>#REF!</v>
      </c>
      <c r="I827" s="11" t="e">
        <f t="shared" ref="I827" si="918">IF(AND(D827="INGENIERÍA MECÁNICA",F827&lt;&gt;0),E827,0)</f>
        <v>#REF!</v>
      </c>
      <c r="J827" s="11" t="e">
        <f t="shared" ref="J827" si="919">IF(AND(D827="LINEAS",F827&lt;&gt;0),E827,0)</f>
        <v>#REF!</v>
      </c>
    </row>
    <row r="828" spans="2:10" x14ac:dyDescent="0.3">
      <c r="B828" s="400" t="s">
        <v>1240</v>
      </c>
      <c r="C828" s="9" t="e">
        <f>#REF!</f>
        <v>#REF!</v>
      </c>
      <c r="D828" s="19" t="s">
        <v>762</v>
      </c>
      <c r="E828" s="10" t="e">
        <f>#REF!</f>
        <v>#REF!</v>
      </c>
      <c r="F828" s="302" t="e">
        <f>#REF!</f>
        <v>#REF!</v>
      </c>
      <c r="G828" s="11" t="e">
        <f t="shared" ref="G828" si="920">IF(AND(D828="INGENIERÍA ELÉCTRICA",F828&lt;&gt;0),E828,0)</f>
        <v>#REF!</v>
      </c>
      <c r="H828" s="11" t="e">
        <f t="shared" ref="H828" si="921">IF(AND(D828="INGENIERÍA CIVIL",F828&lt;&gt;0),E828,0)</f>
        <v>#REF!</v>
      </c>
      <c r="I828" s="11" t="e">
        <f t="shared" ref="I828" si="922">IF(AND(D828="INGENIERÍA MECÁNICA",F828&lt;&gt;0),E828,0)</f>
        <v>#REF!</v>
      </c>
      <c r="J828" s="11" t="e">
        <f t="shared" ref="J828" si="923">IF(AND(D828="LINEAS",F828&lt;&gt;0),E828,0)</f>
        <v>#REF!</v>
      </c>
    </row>
    <row r="829" spans="2:10" x14ac:dyDescent="0.3">
      <c r="B829" s="400" t="s">
        <v>1240</v>
      </c>
      <c r="C829" s="9" t="e">
        <f>#REF!</f>
        <v>#REF!</v>
      </c>
      <c r="D829" s="19" t="s">
        <v>761</v>
      </c>
      <c r="E829" s="10" t="e">
        <f>#REF!</f>
        <v>#REF!</v>
      </c>
      <c r="F829" s="302" t="e">
        <f>#REF!</f>
        <v>#REF!</v>
      </c>
      <c r="G829" s="11" t="e">
        <f t="shared" ref="G829:G834" si="924">IF(AND(D829="INGENIERÍA ELÉCTRICA",F829&lt;&gt;0),E829,0)</f>
        <v>#REF!</v>
      </c>
      <c r="H829" s="11" t="e">
        <f t="shared" ref="H829:H834" si="925">IF(AND(D829="INGENIERÍA CIVIL",F829&lt;&gt;0),E829,0)</f>
        <v>#REF!</v>
      </c>
      <c r="I829" s="11" t="e">
        <f t="shared" ref="I829:I834" si="926">IF(AND(D829="INGENIERÍA MECÁNICA",F829&lt;&gt;0),E829,0)</f>
        <v>#REF!</v>
      </c>
      <c r="J829" s="11" t="e">
        <f t="shared" ref="J829:J834" si="927">IF(AND(D829="LINEAS",F829&lt;&gt;0),E829,0)</f>
        <v>#REF!</v>
      </c>
    </row>
    <row r="830" spans="2:10" x14ac:dyDescent="0.3">
      <c r="B830" s="400" t="s">
        <v>1240</v>
      </c>
      <c r="C830" s="9" t="e">
        <f>#REF!</f>
        <v>#REF!</v>
      </c>
      <c r="D830" s="19" t="s">
        <v>762</v>
      </c>
      <c r="E830" s="10" t="e">
        <f>#REF!</f>
        <v>#REF!</v>
      </c>
      <c r="F830" s="302" t="e">
        <f>#REF!</f>
        <v>#REF!</v>
      </c>
      <c r="G830" s="11" t="e">
        <f t="shared" si="924"/>
        <v>#REF!</v>
      </c>
      <c r="H830" s="11" t="e">
        <f t="shared" si="925"/>
        <v>#REF!</v>
      </c>
      <c r="I830" s="11" t="e">
        <f t="shared" si="926"/>
        <v>#REF!</v>
      </c>
      <c r="J830" s="11" t="e">
        <f t="shared" si="927"/>
        <v>#REF!</v>
      </c>
    </row>
    <row r="831" spans="2:10" x14ac:dyDescent="0.3">
      <c r="B831" s="400" t="s">
        <v>1240</v>
      </c>
      <c r="C831" s="9" t="e">
        <f>#REF!</f>
        <v>#REF!</v>
      </c>
      <c r="D831" s="19" t="s">
        <v>761</v>
      </c>
      <c r="E831" s="10" t="e">
        <f>#REF!</f>
        <v>#REF!</v>
      </c>
      <c r="F831" s="302" t="e">
        <f>#REF!</f>
        <v>#REF!</v>
      </c>
      <c r="G831" s="11" t="e">
        <f t="shared" si="924"/>
        <v>#REF!</v>
      </c>
      <c r="H831" s="11" t="e">
        <f t="shared" si="925"/>
        <v>#REF!</v>
      </c>
      <c r="I831" s="11" t="e">
        <f t="shared" si="926"/>
        <v>#REF!</v>
      </c>
      <c r="J831" s="11" t="e">
        <f t="shared" si="927"/>
        <v>#REF!</v>
      </c>
    </row>
    <row r="832" spans="2:10" x14ac:dyDescent="0.3">
      <c r="B832" s="400" t="s">
        <v>1240</v>
      </c>
      <c r="C832" s="9" t="e">
        <f>#REF!</f>
        <v>#REF!</v>
      </c>
      <c r="D832" s="19" t="s">
        <v>762</v>
      </c>
      <c r="E832" s="10" t="e">
        <f>#REF!</f>
        <v>#REF!</v>
      </c>
      <c r="F832" s="302" t="e">
        <f>#REF!</f>
        <v>#REF!</v>
      </c>
      <c r="G832" s="11" t="e">
        <f t="shared" si="924"/>
        <v>#REF!</v>
      </c>
      <c r="H832" s="11" t="e">
        <f t="shared" si="925"/>
        <v>#REF!</v>
      </c>
      <c r="I832" s="11" t="e">
        <f t="shared" si="926"/>
        <v>#REF!</v>
      </c>
      <c r="J832" s="11" t="e">
        <f t="shared" si="927"/>
        <v>#REF!</v>
      </c>
    </row>
    <row r="833" spans="2:10" x14ac:dyDescent="0.3">
      <c r="B833" s="400" t="s">
        <v>1240</v>
      </c>
      <c r="C833" s="9" t="e">
        <f>#REF!</f>
        <v>#REF!</v>
      </c>
      <c r="D833" s="19" t="s">
        <v>761</v>
      </c>
      <c r="E833" s="10" t="e">
        <f>#REF!</f>
        <v>#REF!</v>
      </c>
      <c r="F833" s="302" t="e">
        <f>#REF!</f>
        <v>#REF!</v>
      </c>
      <c r="G833" s="11" t="e">
        <f t="shared" si="924"/>
        <v>#REF!</v>
      </c>
      <c r="H833" s="11" t="e">
        <f t="shared" si="925"/>
        <v>#REF!</v>
      </c>
      <c r="I833" s="11" t="e">
        <f t="shared" si="926"/>
        <v>#REF!</v>
      </c>
      <c r="J833" s="11" t="e">
        <f t="shared" si="927"/>
        <v>#REF!</v>
      </c>
    </row>
    <row r="834" spans="2:10" x14ac:dyDescent="0.3">
      <c r="B834" s="400" t="s">
        <v>1240</v>
      </c>
      <c r="C834" s="9" t="e">
        <f>#REF!</f>
        <v>#REF!</v>
      </c>
      <c r="D834" s="19" t="s">
        <v>760</v>
      </c>
      <c r="E834" s="10" t="e">
        <f>#REF!</f>
        <v>#REF!</v>
      </c>
      <c r="F834" s="302" t="e">
        <f>#REF!</f>
        <v>#REF!</v>
      </c>
      <c r="G834" s="11" t="e">
        <f t="shared" si="924"/>
        <v>#REF!</v>
      </c>
      <c r="H834" s="11" t="e">
        <f t="shared" si="925"/>
        <v>#REF!</v>
      </c>
      <c r="I834" s="11" t="e">
        <f t="shared" si="926"/>
        <v>#REF!</v>
      </c>
      <c r="J834" s="11" t="e">
        <f t="shared" si="927"/>
        <v>#REF!</v>
      </c>
    </row>
    <row r="835" spans="2:10" x14ac:dyDescent="0.3">
      <c r="B835" s="400" t="s">
        <v>1240</v>
      </c>
      <c r="C835" s="9" t="e">
        <f>#REF!</f>
        <v>#REF!</v>
      </c>
      <c r="D835" s="19" t="s">
        <v>761</v>
      </c>
      <c r="E835" s="10" t="e">
        <f>#REF!</f>
        <v>#REF!</v>
      </c>
      <c r="F835" s="302" t="e">
        <f>#REF!</f>
        <v>#REF!</v>
      </c>
      <c r="G835" s="11" t="e">
        <f t="shared" ref="G835:G837" si="928">IF(AND(D835="INGENIERÍA ELÉCTRICA",F835&lt;&gt;0),E835,0)</f>
        <v>#REF!</v>
      </c>
      <c r="H835" s="11" t="e">
        <f t="shared" ref="H835:H837" si="929">IF(AND(D835="INGENIERÍA CIVIL",F835&lt;&gt;0),E835,0)</f>
        <v>#REF!</v>
      </c>
      <c r="I835" s="11" t="e">
        <f t="shared" ref="I835:I837" si="930">IF(AND(D835="INGENIERÍA MECÁNICA",F835&lt;&gt;0),E835,0)</f>
        <v>#REF!</v>
      </c>
      <c r="J835" s="11" t="e">
        <f t="shared" ref="J835:J837" si="931">IF(AND(D835="LINEAS",F835&lt;&gt;0),E835,0)</f>
        <v>#REF!</v>
      </c>
    </row>
    <row r="836" spans="2:10" x14ac:dyDescent="0.3">
      <c r="B836" s="400" t="s">
        <v>1240</v>
      </c>
      <c r="C836" s="9" t="e">
        <f>#REF!</f>
        <v>#REF!</v>
      </c>
      <c r="D836" s="19" t="s">
        <v>760</v>
      </c>
      <c r="E836" s="10" t="e">
        <f>#REF!</f>
        <v>#REF!</v>
      </c>
      <c r="F836" s="302" t="e">
        <f>#REF!</f>
        <v>#REF!</v>
      </c>
      <c r="G836" s="11" t="e">
        <f t="shared" si="928"/>
        <v>#REF!</v>
      </c>
      <c r="H836" s="11" t="e">
        <f t="shared" si="929"/>
        <v>#REF!</v>
      </c>
      <c r="I836" s="11" t="e">
        <f t="shared" si="930"/>
        <v>#REF!</v>
      </c>
      <c r="J836" s="11" t="e">
        <f t="shared" si="931"/>
        <v>#REF!</v>
      </c>
    </row>
    <row r="837" spans="2:10" x14ac:dyDescent="0.3">
      <c r="B837" s="400" t="s">
        <v>1240</v>
      </c>
      <c r="C837" s="9" t="e">
        <f>#REF!</f>
        <v>#REF!</v>
      </c>
      <c r="D837" s="19" t="s">
        <v>760</v>
      </c>
      <c r="E837" s="10" t="e">
        <f>#REF!</f>
        <v>#REF!</v>
      </c>
      <c r="F837" s="302" t="e">
        <f>#REF!</f>
        <v>#REF!</v>
      </c>
      <c r="G837" s="11" t="e">
        <f t="shared" si="928"/>
        <v>#REF!</v>
      </c>
      <c r="H837" s="11" t="e">
        <f t="shared" si="929"/>
        <v>#REF!</v>
      </c>
      <c r="I837" s="11" t="e">
        <f t="shared" si="930"/>
        <v>#REF!</v>
      </c>
      <c r="J837" s="11" t="e">
        <f t="shared" si="931"/>
        <v>#REF!</v>
      </c>
    </row>
    <row r="838" spans="2:10" x14ac:dyDescent="0.3">
      <c r="B838" s="400" t="s">
        <v>1241</v>
      </c>
      <c r="C838" s="9" t="e">
        <f>#REF!</f>
        <v>#REF!</v>
      </c>
      <c r="D838" s="19" t="s">
        <v>762</v>
      </c>
      <c r="E838" s="10" t="e">
        <f>#REF!</f>
        <v>#REF!</v>
      </c>
      <c r="F838" s="302" t="e">
        <f>#REF!</f>
        <v>#REF!</v>
      </c>
      <c r="G838" s="11" t="e">
        <f t="shared" ref="G838" si="932">IF(AND(D838="INGENIERÍA ELÉCTRICA",F838&lt;&gt;0),E838,0)</f>
        <v>#REF!</v>
      </c>
      <c r="H838" s="11" t="e">
        <f t="shared" ref="H838" si="933">IF(AND(D838="INGENIERÍA CIVIL",F838&lt;&gt;0),E838,0)</f>
        <v>#REF!</v>
      </c>
      <c r="I838" s="11" t="e">
        <f t="shared" ref="I838" si="934">IF(AND(D838="INGENIERÍA MECÁNICA",F838&lt;&gt;0),E838,0)</f>
        <v>#REF!</v>
      </c>
      <c r="J838" s="11" t="e">
        <f t="shared" ref="J838" si="935">IF(AND(D838="LINEAS",F838&lt;&gt;0),E838,0)</f>
        <v>#REF!</v>
      </c>
    </row>
    <row r="839" spans="2:10" x14ac:dyDescent="0.3">
      <c r="B839" s="400" t="s">
        <v>1241</v>
      </c>
      <c r="C839" s="9" t="e">
        <f>#REF!</f>
        <v>#REF!</v>
      </c>
      <c r="D839" s="19" t="s">
        <v>761</v>
      </c>
      <c r="E839" s="10" t="e">
        <f>#REF!</f>
        <v>#REF!</v>
      </c>
      <c r="F839" s="302" t="e">
        <f>#REF!</f>
        <v>#REF!</v>
      </c>
      <c r="G839" s="11" t="e">
        <f t="shared" ref="G839:G844" si="936">IF(AND(D839="INGENIERÍA ELÉCTRICA",F839&lt;&gt;0),E839,0)</f>
        <v>#REF!</v>
      </c>
      <c r="H839" s="11" t="e">
        <f t="shared" ref="H839:H844" si="937">IF(AND(D839="INGENIERÍA CIVIL",F839&lt;&gt;0),E839,0)</f>
        <v>#REF!</v>
      </c>
      <c r="I839" s="11" t="e">
        <f t="shared" ref="I839:I844" si="938">IF(AND(D839="INGENIERÍA MECÁNICA",F839&lt;&gt;0),E839,0)</f>
        <v>#REF!</v>
      </c>
      <c r="J839" s="11" t="e">
        <f t="shared" ref="J839:J844" si="939">IF(AND(D839="LINEAS",F839&lt;&gt;0),E839,0)</f>
        <v>#REF!</v>
      </c>
    </row>
    <row r="840" spans="2:10" x14ac:dyDescent="0.3">
      <c r="B840" s="400" t="s">
        <v>1241</v>
      </c>
      <c r="C840" s="9" t="e">
        <f>#REF!</f>
        <v>#REF!</v>
      </c>
      <c r="D840" s="19" t="s">
        <v>762</v>
      </c>
      <c r="E840" s="10" t="e">
        <f>#REF!</f>
        <v>#REF!</v>
      </c>
      <c r="F840" s="302" t="e">
        <f>#REF!</f>
        <v>#REF!</v>
      </c>
      <c r="G840" s="11" t="e">
        <f t="shared" si="936"/>
        <v>#REF!</v>
      </c>
      <c r="H840" s="11" t="e">
        <f t="shared" si="937"/>
        <v>#REF!</v>
      </c>
      <c r="I840" s="11" t="e">
        <f t="shared" si="938"/>
        <v>#REF!</v>
      </c>
      <c r="J840" s="11" t="e">
        <f t="shared" si="939"/>
        <v>#REF!</v>
      </c>
    </row>
    <row r="841" spans="2:10" x14ac:dyDescent="0.3">
      <c r="B841" s="400" t="s">
        <v>1241</v>
      </c>
      <c r="C841" s="9" t="e">
        <f>#REF!</f>
        <v>#REF!</v>
      </c>
      <c r="D841" s="19" t="s">
        <v>761</v>
      </c>
      <c r="E841" s="10" t="e">
        <f>#REF!</f>
        <v>#REF!</v>
      </c>
      <c r="F841" s="302" t="e">
        <f>#REF!</f>
        <v>#REF!</v>
      </c>
      <c r="G841" s="11" t="e">
        <f t="shared" si="936"/>
        <v>#REF!</v>
      </c>
      <c r="H841" s="11" t="e">
        <f t="shared" si="937"/>
        <v>#REF!</v>
      </c>
      <c r="I841" s="11" t="e">
        <f t="shared" si="938"/>
        <v>#REF!</v>
      </c>
      <c r="J841" s="11" t="e">
        <f t="shared" si="939"/>
        <v>#REF!</v>
      </c>
    </row>
    <row r="842" spans="2:10" x14ac:dyDescent="0.3">
      <c r="B842" s="400" t="s">
        <v>1241</v>
      </c>
      <c r="C842" s="9" t="e">
        <f>#REF!</f>
        <v>#REF!</v>
      </c>
      <c r="D842" s="19" t="s">
        <v>762</v>
      </c>
      <c r="E842" s="10" t="e">
        <f>#REF!</f>
        <v>#REF!</v>
      </c>
      <c r="F842" s="302" t="e">
        <f>#REF!</f>
        <v>#REF!</v>
      </c>
      <c r="G842" s="11" t="e">
        <f t="shared" si="936"/>
        <v>#REF!</v>
      </c>
      <c r="H842" s="11" t="e">
        <f t="shared" si="937"/>
        <v>#REF!</v>
      </c>
      <c r="I842" s="11" t="e">
        <f t="shared" si="938"/>
        <v>#REF!</v>
      </c>
      <c r="J842" s="11" t="e">
        <f t="shared" si="939"/>
        <v>#REF!</v>
      </c>
    </row>
    <row r="843" spans="2:10" x14ac:dyDescent="0.3">
      <c r="B843" s="400" t="s">
        <v>1241</v>
      </c>
      <c r="C843" s="9" t="e">
        <f>#REF!</f>
        <v>#REF!</v>
      </c>
      <c r="D843" s="19" t="s">
        <v>761</v>
      </c>
      <c r="E843" s="10" t="e">
        <f>#REF!</f>
        <v>#REF!</v>
      </c>
      <c r="F843" s="302" t="e">
        <f>#REF!</f>
        <v>#REF!</v>
      </c>
      <c r="G843" s="11" t="e">
        <f t="shared" si="936"/>
        <v>#REF!</v>
      </c>
      <c r="H843" s="11" t="e">
        <f t="shared" si="937"/>
        <v>#REF!</v>
      </c>
      <c r="I843" s="11" t="e">
        <f t="shared" si="938"/>
        <v>#REF!</v>
      </c>
      <c r="J843" s="11" t="e">
        <f t="shared" si="939"/>
        <v>#REF!</v>
      </c>
    </row>
    <row r="844" spans="2:10" x14ac:dyDescent="0.3">
      <c r="B844" s="400" t="s">
        <v>1241</v>
      </c>
      <c r="C844" s="9" t="e">
        <f>#REF!</f>
        <v>#REF!</v>
      </c>
      <c r="D844" s="19" t="s">
        <v>762</v>
      </c>
      <c r="E844" s="10" t="e">
        <f>#REF!</f>
        <v>#REF!</v>
      </c>
      <c r="F844" s="302" t="e">
        <f>#REF!</f>
        <v>#REF!</v>
      </c>
      <c r="G844" s="11" t="e">
        <f t="shared" si="936"/>
        <v>#REF!</v>
      </c>
      <c r="H844" s="11" t="e">
        <f t="shared" si="937"/>
        <v>#REF!</v>
      </c>
      <c r="I844" s="11" t="e">
        <f t="shared" si="938"/>
        <v>#REF!</v>
      </c>
      <c r="J844" s="11" t="e">
        <f t="shared" si="939"/>
        <v>#REF!</v>
      </c>
    </row>
    <row r="845" spans="2:10" x14ac:dyDescent="0.3">
      <c r="B845" s="400" t="s">
        <v>1241</v>
      </c>
      <c r="C845" s="9" t="e">
        <f>#REF!</f>
        <v>#REF!</v>
      </c>
      <c r="D845" s="19" t="s">
        <v>761</v>
      </c>
      <c r="E845" s="10" t="e">
        <f>#REF!</f>
        <v>#REF!</v>
      </c>
      <c r="F845" s="302" t="e">
        <f>#REF!</f>
        <v>#REF!</v>
      </c>
      <c r="G845" s="11" t="e">
        <f t="shared" ref="G845:G848" si="940">IF(AND(D845="INGENIERÍA ELÉCTRICA",F845&lt;&gt;0),E845,0)</f>
        <v>#REF!</v>
      </c>
      <c r="H845" s="11" t="e">
        <f t="shared" ref="H845:H848" si="941">IF(AND(D845="INGENIERÍA CIVIL",F845&lt;&gt;0),E845,0)</f>
        <v>#REF!</v>
      </c>
      <c r="I845" s="11" t="e">
        <f t="shared" ref="I845:I848" si="942">IF(AND(D845="INGENIERÍA MECÁNICA",F845&lt;&gt;0),E845,0)</f>
        <v>#REF!</v>
      </c>
      <c r="J845" s="11" t="e">
        <f t="shared" ref="J845:J848" si="943">IF(AND(D845="LINEAS",F845&lt;&gt;0),E845,0)</f>
        <v>#REF!</v>
      </c>
    </row>
    <row r="846" spans="2:10" x14ac:dyDescent="0.3">
      <c r="B846" s="400" t="s">
        <v>1241</v>
      </c>
      <c r="C846" s="9" t="e">
        <f>#REF!</f>
        <v>#REF!</v>
      </c>
      <c r="D846" s="19" t="s">
        <v>760</v>
      </c>
      <c r="E846" s="10" t="e">
        <f>#REF!</f>
        <v>#REF!</v>
      </c>
      <c r="F846" s="302" t="e">
        <f>#REF!</f>
        <v>#REF!</v>
      </c>
      <c r="G846" s="11" t="e">
        <f t="shared" si="940"/>
        <v>#REF!</v>
      </c>
      <c r="H846" s="11" t="e">
        <f t="shared" si="941"/>
        <v>#REF!</v>
      </c>
      <c r="I846" s="11" t="e">
        <f t="shared" si="942"/>
        <v>#REF!</v>
      </c>
      <c r="J846" s="11" t="e">
        <f t="shared" si="943"/>
        <v>#REF!</v>
      </c>
    </row>
    <row r="847" spans="2:10" x14ac:dyDescent="0.3">
      <c r="B847" s="400" t="s">
        <v>1241</v>
      </c>
      <c r="C847" s="9" t="e">
        <f>#REF!</f>
        <v>#REF!</v>
      </c>
      <c r="D847" s="19" t="s">
        <v>761</v>
      </c>
      <c r="E847" s="10" t="e">
        <f>#REF!</f>
        <v>#REF!</v>
      </c>
      <c r="F847" s="302" t="e">
        <f>#REF!</f>
        <v>#REF!</v>
      </c>
      <c r="G847" s="11" t="e">
        <f t="shared" si="940"/>
        <v>#REF!</v>
      </c>
      <c r="H847" s="11" t="e">
        <f t="shared" si="941"/>
        <v>#REF!</v>
      </c>
      <c r="I847" s="11" t="e">
        <f t="shared" si="942"/>
        <v>#REF!</v>
      </c>
      <c r="J847" s="11" t="e">
        <f t="shared" si="943"/>
        <v>#REF!</v>
      </c>
    </row>
    <row r="848" spans="2:10" x14ac:dyDescent="0.3">
      <c r="B848" s="400" t="s">
        <v>1241</v>
      </c>
      <c r="C848" s="9" t="e">
        <f>#REF!</f>
        <v>#REF!</v>
      </c>
      <c r="D848" s="19" t="s">
        <v>760</v>
      </c>
      <c r="E848" s="10" t="e">
        <f>#REF!</f>
        <v>#REF!</v>
      </c>
      <c r="F848" s="302" t="e">
        <f>#REF!</f>
        <v>#REF!</v>
      </c>
      <c r="G848" s="11" t="e">
        <f t="shared" si="940"/>
        <v>#REF!</v>
      </c>
      <c r="H848" s="11" t="e">
        <f t="shared" si="941"/>
        <v>#REF!</v>
      </c>
      <c r="I848" s="11" t="e">
        <f t="shared" si="942"/>
        <v>#REF!</v>
      </c>
      <c r="J848" s="11" t="e">
        <f t="shared" si="943"/>
        <v>#REF!</v>
      </c>
    </row>
    <row r="849" spans="2:10" x14ac:dyDescent="0.3">
      <c r="B849" s="400" t="s">
        <v>1241</v>
      </c>
      <c r="C849" s="9" t="e">
        <f>#REF!</f>
        <v>#REF!</v>
      </c>
      <c r="D849" s="19" t="s">
        <v>760</v>
      </c>
      <c r="E849" s="10" t="e">
        <f>#REF!</f>
        <v>#REF!</v>
      </c>
      <c r="F849" s="302" t="e">
        <f>#REF!</f>
        <v>#REF!</v>
      </c>
      <c r="G849" s="11" t="e">
        <f t="shared" ref="G849" si="944">IF(AND(D849="INGENIERÍA ELÉCTRICA",F849&lt;&gt;0),E849,0)</f>
        <v>#REF!</v>
      </c>
      <c r="H849" s="11" t="e">
        <f t="shared" ref="H849" si="945">IF(AND(D849="INGENIERÍA CIVIL",F849&lt;&gt;0),E849,0)</f>
        <v>#REF!</v>
      </c>
      <c r="I849" s="11" t="e">
        <f t="shared" ref="I849" si="946">IF(AND(D849="INGENIERÍA MECÁNICA",F849&lt;&gt;0),E849,0)</f>
        <v>#REF!</v>
      </c>
      <c r="J849" s="11" t="e">
        <f t="shared" ref="J849" si="947">IF(AND(D849="LINEAS",F849&lt;&gt;0),E849,0)</f>
        <v>#REF!</v>
      </c>
    </row>
    <row r="850" spans="2:10" x14ac:dyDescent="0.3">
      <c r="B850" s="400" t="s">
        <v>1242</v>
      </c>
      <c r="C850" s="9" t="e">
        <f>#REF!</f>
        <v>#REF!</v>
      </c>
      <c r="D850" s="19" t="s">
        <v>762</v>
      </c>
      <c r="E850" s="10" t="e">
        <f>#REF!</f>
        <v>#REF!</v>
      </c>
      <c r="F850" s="302" t="e">
        <f>#REF!</f>
        <v>#REF!</v>
      </c>
      <c r="G850" s="11" t="e">
        <f t="shared" ref="G850" si="948">IF(AND(D850="INGENIERÍA ELÉCTRICA",F850&lt;&gt;0),E850,0)</f>
        <v>#REF!</v>
      </c>
      <c r="H850" s="11" t="e">
        <f t="shared" ref="H850" si="949">IF(AND(D850="INGENIERÍA CIVIL",F850&lt;&gt;0),E850,0)</f>
        <v>#REF!</v>
      </c>
      <c r="I850" s="11" t="e">
        <f t="shared" ref="I850" si="950">IF(AND(D850="INGENIERÍA MECÁNICA",F850&lt;&gt;0),E850,0)</f>
        <v>#REF!</v>
      </c>
      <c r="J850" s="11" t="e">
        <f t="shared" ref="J850" si="951">IF(AND(D850="LINEAS",F850&lt;&gt;0),E850,0)</f>
        <v>#REF!</v>
      </c>
    </row>
    <row r="851" spans="2:10" x14ac:dyDescent="0.3">
      <c r="B851" s="400" t="s">
        <v>1242</v>
      </c>
      <c r="C851" s="9" t="e">
        <f>#REF!</f>
        <v>#REF!</v>
      </c>
      <c r="D851" s="19" t="s">
        <v>761</v>
      </c>
      <c r="E851" s="10" t="e">
        <f>#REF!</f>
        <v>#REF!</v>
      </c>
      <c r="F851" s="302" t="e">
        <f>#REF!</f>
        <v>#REF!</v>
      </c>
      <c r="G851" s="11" t="e">
        <f t="shared" ref="G851:G855" si="952">IF(AND(D851="INGENIERÍA ELÉCTRICA",F851&lt;&gt;0),E851,0)</f>
        <v>#REF!</v>
      </c>
      <c r="H851" s="11" t="e">
        <f t="shared" ref="H851:H855" si="953">IF(AND(D851="INGENIERÍA CIVIL",F851&lt;&gt;0),E851,0)</f>
        <v>#REF!</v>
      </c>
      <c r="I851" s="11" t="e">
        <f t="shared" ref="I851:I855" si="954">IF(AND(D851="INGENIERÍA MECÁNICA",F851&lt;&gt;0),E851,0)</f>
        <v>#REF!</v>
      </c>
      <c r="J851" s="11" t="e">
        <f t="shared" ref="J851:J855" si="955">IF(AND(D851="LINEAS",F851&lt;&gt;0),E851,0)</f>
        <v>#REF!</v>
      </c>
    </row>
    <row r="852" spans="2:10" x14ac:dyDescent="0.3">
      <c r="B852" s="400" t="s">
        <v>1242</v>
      </c>
      <c r="C852" s="9" t="e">
        <f>#REF!</f>
        <v>#REF!</v>
      </c>
      <c r="D852" s="19" t="s">
        <v>762</v>
      </c>
      <c r="E852" s="10" t="e">
        <f>#REF!</f>
        <v>#REF!</v>
      </c>
      <c r="F852" s="302" t="e">
        <f>#REF!</f>
        <v>#REF!</v>
      </c>
      <c r="G852" s="11" t="e">
        <f t="shared" si="952"/>
        <v>#REF!</v>
      </c>
      <c r="H852" s="11" t="e">
        <f t="shared" si="953"/>
        <v>#REF!</v>
      </c>
      <c r="I852" s="11" t="e">
        <f t="shared" si="954"/>
        <v>#REF!</v>
      </c>
      <c r="J852" s="11" t="e">
        <f t="shared" si="955"/>
        <v>#REF!</v>
      </c>
    </row>
    <row r="853" spans="2:10" x14ac:dyDescent="0.3">
      <c r="B853" s="400" t="s">
        <v>1242</v>
      </c>
      <c r="C853" s="9" t="e">
        <f>#REF!</f>
        <v>#REF!</v>
      </c>
      <c r="D853" s="19" t="s">
        <v>761</v>
      </c>
      <c r="E853" s="10" t="e">
        <f>#REF!</f>
        <v>#REF!</v>
      </c>
      <c r="F853" s="302" t="e">
        <f>#REF!</f>
        <v>#REF!</v>
      </c>
      <c r="G853" s="11" t="e">
        <f t="shared" si="952"/>
        <v>#REF!</v>
      </c>
      <c r="H853" s="11" t="e">
        <f t="shared" si="953"/>
        <v>#REF!</v>
      </c>
      <c r="I853" s="11" t="e">
        <f t="shared" si="954"/>
        <v>#REF!</v>
      </c>
      <c r="J853" s="11" t="e">
        <f t="shared" si="955"/>
        <v>#REF!</v>
      </c>
    </row>
    <row r="854" spans="2:10" x14ac:dyDescent="0.3">
      <c r="B854" s="400" t="s">
        <v>1242</v>
      </c>
      <c r="C854" s="9" t="e">
        <f>#REF!</f>
        <v>#REF!</v>
      </c>
      <c r="D854" s="19" t="s">
        <v>762</v>
      </c>
      <c r="E854" s="10" t="e">
        <f>#REF!</f>
        <v>#REF!</v>
      </c>
      <c r="F854" s="302" t="e">
        <f>#REF!</f>
        <v>#REF!</v>
      </c>
      <c r="G854" s="11" t="e">
        <f t="shared" si="952"/>
        <v>#REF!</v>
      </c>
      <c r="H854" s="11" t="e">
        <f t="shared" si="953"/>
        <v>#REF!</v>
      </c>
      <c r="I854" s="11" t="e">
        <f t="shared" si="954"/>
        <v>#REF!</v>
      </c>
      <c r="J854" s="11" t="e">
        <f t="shared" si="955"/>
        <v>#REF!</v>
      </c>
    </row>
    <row r="855" spans="2:10" x14ac:dyDescent="0.3">
      <c r="B855" s="400" t="s">
        <v>1242</v>
      </c>
      <c r="C855" s="9" t="e">
        <f>#REF!</f>
        <v>#REF!</v>
      </c>
      <c r="D855" s="19" t="s">
        <v>761</v>
      </c>
      <c r="E855" s="10" t="e">
        <f>#REF!</f>
        <v>#REF!</v>
      </c>
      <c r="F855" s="302" t="e">
        <f>#REF!</f>
        <v>#REF!</v>
      </c>
      <c r="G855" s="11" t="e">
        <f t="shared" si="952"/>
        <v>#REF!</v>
      </c>
      <c r="H855" s="11" t="e">
        <f t="shared" si="953"/>
        <v>#REF!</v>
      </c>
      <c r="I855" s="11" t="e">
        <f t="shared" si="954"/>
        <v>#REF!</v>
      </c>
      <c r="J855" s="11" t="e">
        <f t="shared" si="955"/>
        <v>#REF!</v>
      </c>
    </row>
    <row r="856" spans="2:10" x14ac:dyDescent="0.3">
      <c r="B856" s="400" t="s">
        <v>1242</v>
      </c>
      <c r="C856" s="9" t="e">
        <f>#REF!</f>
        <v>#REF!</v>
      </c>
      <c r="D856" s="19" t="s">
        <v>760</v>
      </c>
      <c r="E856" s="10" t="e">
        <f>#REF!</f>
        <v>#REF!</v>
      </c>
      <c r="F856" s="302" t="e">
        <f>#REF!</f>
        <v>#REF!</v>
      </c>
      <c r="G856" s="11" t="e">
        <f t="shared" ref="G856:G859" si="956">IF(AND(D856="INGENIERÍA ELÉCTRICA",F856&lt;&gt;0),E856,0)</f>
        <v>#REF!</v>
      </c>
      <c r="H856" s="11" t="e">
        <f t="shared" ref="H856:H859" si="957">IF(AND(D856="INGENIERÍA CIVIL",F856&lt;&gt;0),E856,0)</f>
        <v>#REF!</v>
      </c>
      <c r="I856" s="11" t="e">
        <f t="shared" ref="I856:I859" si="958">IF(AND(D856="INGENIERÍA MECÁNICA",F856&lt;&gt;0),E856,0)</f>
        <v>#REF!</v>
      </c>
      <c r="J856" s="11" t="e">
        <f t="shared" ref="J856:J859" si="959">IF(AND(D856="LINEAS",F856&lt;&gt;0),E856,0)</f>
        <v>#REF!</v>
      </c>
    </row>
    <row r="857" spans="2:10" x14ac:dyDescent="0.3">
      <c r="B857" s="400" t="s">
        <v>1242</v>
      </c>
      <c r="C857" s="9" t="e">
        <f>#REF!</f>
        <v>#REF!</v>
      </c>
      <c r="D857" s="19" t="s">
        <v>761</v>
      </c>
      <c r="E857" s="10" t="e">
        <f>#REF!</f>
        <v>#REF!</v>
      </c>
      <c r="F857" s="302" t="e">
        <f>#REF!</f>
        <v>#REF!</v>
      </c>
      <c r="G857" s="11" t="e">
        <f t="shared" si="956"/>
        <v>#REF!</v>
      </c>
      <c r="H857" s="11" t="e">
        <f t="shared" si="957"/>
        <v>#REF!</v>
      </c>
      <c r="I857" s="11" t="e">
        <f t="shared" si="958"/>
        <v>#REF!</v>
      </c>
      <c r="J857" s="11" t="e">
        <f t="shared" si="959"/>
        <v>#REF!</v>
      </c>
    </row>
    <row r="858" spans="2:10" x14ac:dyDescent="0.3">
      <c r="B858" s="400" t="s">
        <v>1242</v>
      </c>
      <c r="C858" s="9" t="e">
        <f>#REF!</f>
        <v>#REF!</v>
      </c>
      <c r="D858" s="19" t="s">
        <v>760</v>
      </c>
      <c r="E858" s="10" t="e">
        <f>#REF!</f>
        <v>#REF!</v>
      </c>
      <c r="F858" s="302" t="e">
        <f>#REF!</f>
        <v>#REF!</v>
      </c>
      <c r="G858" s="11" t="e">
        <f t="shared" si="956"/>
        <v>#REF!</v>
      </c>
      <c r="H858" s="11" t="e">
        <f t="shared" si="957"/>
        <v>#REF!</v>
      </c>
      <c r="I858" s="11" t="e">
        <f t="shared" si="958"/>
        <v>#REF!</v>
      </c>
      <c r="J858" s="11" t="e">
        <f t="shared" si="959"/>
        <v>#REF!</v>
      </c>
    </row>
    <row r="859" spans="2:10" x14ac:dyDescent="0.3">
      <c r="B859" s="400" t="s">
        <v>1242</v>
      </c>
      <c r="C859" s="9" t="e">
        <f>#REF!</f>
        <v>#REF!</v>
      </c>
      <c r="D859" s="19" t="s">
        <v>760</v>
      </c>
      <c r="E859" s="10" t="e">
        <f>#REF!</f>
        <v>#REF!</v>
      </c>
      <c r="F859" s="302" t="e">
        <f>#REF!</f>
        <v>#REF!</v>
      </c>
      <c r="G859" s="11" t="e">
        <f t="shared" si="956"/>
        <v>#REF!</v>
      </c>
      <c r="H859" s="11" t="e">
        <f t="shared" si="957"/>
        <v>#REF!</v>
      </c>
      <c r="I859" s="11" t="e">
        <f t="shared" si="958"/>
        <v>#REF!</v>
      </c>
      <c r="J859" s="11" t="e">
        <f t="shared" si="959"/>
        <v>#REF!</v>
      </c>
    </row>
    <row r="860" spans="2:10" x14ac:dyDescent="0.3">
      <c r="B860" s="400" t="s">
        <v>1243</v>
      </c>
      <c r="C860" s="9" t="str">
        <f>'OT17-265 CHARQUITO ADIC'!C14</f>
        <v>Ingeniería civil (Levantamiento e ingeniería de detalle)</v>
      </c>
      <c r="D860" s="19" t="s">
        <v>760</v>
      </c>
      <c r="E860" s="10">
        <f>'OT17-265 CHARQUITO ADIC'!J14</f>
        <v>0</v>
      </c>
      <c r="F860" s="302">
        <f>'OT17-265 CHARQUITO ADIC'!I14</f>
        <v>0</v>
      </c>
      <c r="G860" s="11">
        <f t="shared" ref="G860" si="960">IF(AND(D860="INGENIERÍA ELÉCTRICA",F860&lt;&gt;0),E860,0)</f>
        <v>0</v>
      </c>
      <c r="H860" s="11">
        <f t="shared" ref="H860" si="961">IF(AND(D860="INGENIERÍA CIVIL",F860&lt;&gt;0),E860,0)</f>
        <v>0</v>
      </c>
      <c r="I860" s="11">
        <f t="shared" ref="I860" si="962">IF(AND(D860="INGENIERÍA MECÁNICA",F860&lt;&gt;0),E860,0)</f>
        <v>0</v>
      </c>
      <c r="J860" s="11">
        <f t="shared" ref="J860" si="963">IF(AND(D860="LINEAS",F860&lt;&gt;0),E860,0)</f>
        <v>0</v>
      </c>
    </row>
    <row r="861" spans="2:10" x14ac:dyDescent="0.3">
      <c r="B861" s="400" t="s">
        <v>1243</v>
      </c>
      <c r="C861" s="9" t="str">
        <f>'OT17-265 CHARQUITO ADIC'!C15</f>
        <v>Ingeniería mecánica (Levantamiento e ingeniería de detalle)</v>
      </c>
      <c r="D861" s="19" t="s">
        <v>762</v>
      </c>
      <c r="E861" s="10">
        <f>'OT17-265 CHARQUITO ADIC'!J15</f>
        <v>0</v>
      </c>
      <c r="F861" s="302">
        <f>'OT17-265 CHARQUITO ADIC'!I15</f>
        <v>0</v>
      </c>
      <c r="G861" s="11">
        <f t="shared" ref="G861:G865" si="964">IF(AND(D861="INGENIERÍA ELÉCTRICA",F861&lt;&gt;0),E861,0)</f>
        <v>0</v>
      </c>
      <c r="H861" s="11">
        <f t="shared" ref="H861:H865" si="965">IF(AND(D861="INGENIERÍA CIVIL",F861&lt;&gt;0),E861,0)</f>
        <v>0</v>
      </c>
      <c r="I861" s="11">
        <f t="shared" ref="I861:I865" si="966">IF(AND(D861="INGENIERÍA MECÁNICA",F861&lt;&gt;0),E861,0)</f>
        <v>0</v>
      </c>
      <c r="J861" s="11">
        <f t="shared" ref="J861:J865" si="967">IF(AND(D861="LINEAS",F861&lt;&gt;0),E861,0)</f>
        <v>0</v>
      </c>
    </row>
    <row r="862" spans="2:10" x14ac:dyDescent="0.3">
      <c r="B862" s="400" t="s">
        <v>1243</v>
      </c>
      <c r="C862" s="9" t="str">
        <f>'OT17-265 CHARQUITO ADIC'!C17</f>
        <v>Ingeniería civil (Levantamiento e ingeniería de detalle)</v>
      </c>
      <c r="D862" s="19" t="s">
        <v>760</v>
      </c>
      <c r="E862" s="10">
        <f>'OT17-265 CHARQUITO ADIC'!J17</f>
        <v>0</v>
      </c>
      <c r="F862" s="302">
        <f>'OT17-265 CHARQUITO ADIC'!I17</f>
        <v>0</v>
      </c>
      <c r="G862" s="11">
        <f t="shared" si="964"/>
        <v>0</v>
      </c>
      <c r="H862" s="11">
        <f t="shared" si="965"/>
        <v>0</v>
      </c>
      <c r="I862" s="11">
        <f t="shared" si="966"/>
        <v>0</v>
      </c>
      <c r="J862" s="11">
        <f t="shared" si="967"/>
        <v>0</v>
      </c>
    </row>
    <row r="863" spans="2:10" x14ac:dyDescent="0.3">
      <c r="B863" s="400" t="s">
        <v>1243</v>
      </c>
      <c r="C863" s="9" t="str">
        <f>'OT17-265 CHARQUITO ADIC'!C18</f>
        <v>Ingeniería mecánica (Levantamiento e ingeniería de detalle)</v>
      </c>
      <c r="D863" s="19" t="s">
        <v>762</v>
      </c>
      <c r="E863" s="10">
        <f>'OT17-265 CHARQUITO ADIC'!J18</f>
        <v>0</v>
      </c>
      <c r="F863" s="302">
        <f>'OT17-265 CHARQUITO ADIC'!I18</f>
        <v>0</v>
      </c>
      <c r="G863" s="11">
        <f t="shared" si="964"/>
        <v>0</v>
      </c>
      <c r="H863" s="11">
        <f t="shared" si="965"/>
        <v>0</v>
      </c>
      <c r="I863" s="11">
        <f t="shared" si="966"/>
        <v>0</v>
      </c>
      <c r="J863" s="11">
        <f t="shared" si="967"/>
        <v>0</v>
      </c>
    </row>
    <row r="864" spans="2:10" x14ac:dyDescent="0.3">
      <c r="B864" s="400" t="s">
        <v>1243</v>
      </c>
      <c r="C864" s="9" t="str">
        <f>'OT17-265 CHARQUITO ADIC'!C20</f>
        <v>Ingeniería eléctrica (Levantamiento e ingeniería de detalle)</v>
      </c>
      <c r="D864" s="19" t="s">
        <v>761</v>
      </c>
      <c r="E864" s="10">
        <f>'OT17-265 CHARQUITO ADIC'!J20</f>
        <v>4004523</v>
      </c>
      <c r="F864" s="302">
        <f>'OT17-265 CHARQUITO ADIC'!I20</f>
        <v>0.5</v>
      </c>
      <c r="G864" s="11">
        <f t="shared" si="964"/>
        <v>4004523</v>
      </c>
      <c r="H864" s="11">
        <f t="shared" si="965"/>
        <v>0</v>
      </c>
      <c r="I864" s="11">
        <f t="shared" si="966"/>
        <v>0</v>
      </c>
      <c r="J864" s="11">
        <f t="shared" si="967"/>
        <v>0</v>
      </c>
    </row>
    <row r="865" spans="2:10" x14ac:dyDescent="0.3">
      <c r="B865" s="400" t="s">
        <v>1243</v>
      </c>
      <c r="C865" s="9" t="str">
        <f>'OT17-265 CHARQUITO ADIC'!C22</f>
        <v>Ingenierías o estudios especiales</v>
      </c>
      <c r="D865" s="19" t="s">
        <v>760</v>
      </c>
      <c r="E865" s="10">
        <f>'OT17-265 CHARQUITO ADIC'!J22</f>
        <v>0</v>
      </c>
      <c r="F865" s="302">
        <f>'OT17-265 CHARQUITO ADIC'!I22</f>
        <v>0</v>
      </c>
      <c r="G865" s="11">
        <f t="shared" si="964"/>
        <v>0</v>
      </c>
      <c r="H865" s="11">
        <f t="shared" si="965"/>
        <v>0</v>
      </c>
      <c r="I865" s="11">
        <f t="shared" si="966"/>
        <v>0</v>
      </c>
      <c r="J865" s="11">
        <f t="shared" si="967"/>
        <v>0</v>
      </c>
    </row>
    <row r="866" spans="2:10" x14ac:dyDescent="0.3">
      <c r="B866" s="400" t="s">
        <v>1243</v>
      </c>
      <c r="C866" s="9" t="str">
        <f>'OT17-265 CHARQUITO ADIC'!C24</f>
        <v>Ingeniería civil y electromecánica (Levantamiento e ingeniería de detalle)</v>
      </c>
      <c r="D866" s="19" t="s">
        <v>760</v>
      </c>
      <c r="E866" s="10">
        <f>'OT17-265 CHARQUITO ADIC'!J24</f>
        <v>4039345</v>
      </c>
      <c r="F866" s="302">
        <f>'OT17-265 CHARQUITO ADIC'!I24</f>
        <v>1</v>
      </c>
      <c r="G866" s="11">
        <f t="shared" ref="G866:G867" si="968">IF(AND(D866="INGENIERÍA ELÉCTRICA",F866&lt;&gt;0),E866,0)</f>
        <v>0</v>
      </c>
      <c r="H866" s="11">
        <f t="shared" ref="H866:H867" si="969">IF(AND(D866="INGENIERÍA CIVIL",F866&lt;&gt;0),E866,0)</f>
        <v>4039345</v>
      </c>
      <c r="I866" s="11">
        <f t="shared" ref="I866:I867" si="970">IF(AND(D866="INGENIERÍA MECÁNICA",F866&lt;&gt;0),E866,0)</f>
        <v>0</v>
      </c>
      <c r="J866" s="11">
        <f t="shared" ref="J866:J867" si="971">IF(AND(D866="LINEAS",F866&lt;&gt;0),E866,0)</f>
        <v>0</v>
      </c>
    </row>
    <row r="867" spans="2:10" x14ac:dyDescent="0.3">
      <c r="B867" s="400" t="s">
        <v>1243</v>
      </c>
      <c r="C867" s="9" t="str">
        <f>'OT17-265 CHARQUITO ADIC'!C26</f>
        <v>Ingeniería civil y electromecánica (Levantamiento e ingeniería de detalle)</v>
      </c>
      <c r="D867" s="19" t="s">
        <v>760</v>
      </c>
      <c r="E867" s="10">
        <f>'OT17-265 CHARQUITO ADIC'!J26</f>
        <v>0</v>
      </c>
      <c r="F867" s="302">
        <f>'OT17-265 CHARQUITO ADIC'!I26</f>
        <v>0</v>
      </c>
      <c r="G867" s="11">
        <f t="shared" si="968"/>
        <v>0</v>
      </c>
      <c r="H867" s="11">
        <f t="shared" si="969"/>
        <v>0</v>
      </c>
      <c r="I867" s="11">
        <f t="shared" si="970"/>
        <v>0</v>
      </c>
      <c r="J867" s="11">
        <f t="shared" si="971"/>
        <v>0</v>
      </c>
    </row>
    <row r="868" spans="2:10" x14ac:dyDescent="0.3">
      <c r="B868" s="400" t="s">
        <v>1243</v>
      </c>
      <c r="C868" s="9" t="str">
        <f>'OT17-265 CHARQUITO ADIC'!C28</f>
        <v>Ingeniería civil  (Levantamiento e ingeniería de detalle)</v>
      </c>
      <c r="D868" s="19" t="s">
        <v>760</v>
      </c>
      <c r="E868" s="10">
        <f>'OT17-265 CHARQUITO ADIC'!J28</f>
        <v>0</v>
      </c>
      <c r="F868" s="302">
        <f>'OT17-265 CHARQUITO ADIC'!I28</f>
        <v>0</v>
      </c>
      <c r="G868" s="11">
        <f t="shared" ref="G868" si="972">IF(AND(D868="INGENIERÍA ELÉCTRICA",F868&lt;&gt;0),E868,0)</f>
        <v>0</v>
      </c>
      <c r="H868" s="11">
        <f t="shared" ref="H868" si="973">IF(AND(D868="INGENIERÍA CIVIL",F868&lt;&gt;0),E868,0)</f>
        <v>0</v>
      </c>
      <c r="I868" s="11">
        <f t="shared" ref="I868" si="974">IF(AND(D868="INGENIERÍA MECÁNICA",F868&lt;&gt;0),E868,0)</f>
        <v>0</v>
      </c>
      <c r="J868" s="11">
        <f t="shared" ref="J868" si="975">IF(AND(D868="LINEAS",F868&lt;&gt;0),E868,0)</f>
        <v>0</v>
      </c>
    </row>
    <row r="869" spans="2:10" x14ac:dyDescent="0.3">
      <c r="B869" s="400" t="s">
        <v>1244</v>
      </c>
      <c r="C869" s="9" t="e">
        <f>#REF!</f>
        <v>#REF!</v>
      </c>
      <c r="D869" s="19" t="s">
        <v>760</v>
      </c>
      <c r="E869" s="10" t="e">
        <f>#REF!</f>
        <v>#REF!</v>
      </c>
      <c r="F869" s="302" t="e">
        <f>#REF!</f>
        <v>#REF!</v>
      </c>
      <c r="G869" s="11" t="e">
        <f t="shared" ref="G869" si="976">IF(AND(D869="INGENIERÍA ELÉCTRICA",F869&lt;&gt;0),E869,0)</f>
        <v>#REF!</v>
      </c>
      <c r="H869" s="11" t="e">
        <f t="shared" ref="H869" si="977">IF(AND(D869="INGENIERÍA CIVIL",F869&lt;&gt;0),E869,0)</f>
        <v>#REF!</v>
      </c>
      <c r="I869" s="11" t="e">
        <f t="shared" ref="I869" si="978">IF(AND(D869="INGENIERÍA MECÁNICA",F869&lt;&gt;0),E869,0)</f>
        <v>#REF!</v>
      </c>
      <c r="J869" s="11" t="e">
        <f t="shared" ref="J869" si="979">IF(AND(D869="LINEAS",F869&lt;&gt;0),E869,0)</f>
        <v>#REF!</v>
      </c>
    </row>
    <row r="870" spans="2:10" x14ac:dyDescent="0.3">
      <c r="B870" s="400" t="s">
        <v>1244</v>
      </c>
      <c r="C870" s="9" t="e">
        <f>#REF!</f>
        <v>#REF!</v>
      </c>
      <c r="D870" s="19" t="s">
        <v>761</v>
      </c>
      <c r="E870" s="10" t="e">
        <f>#REF!</f>
        <v>#REF!</v>
      </c>
      <c r="F870" s="302" t="e">
        <f>#REF!</f>
        <v>#REF!</v>
      </c>
      <c r="G870" s="11" t="e">
        <f t="shared" ref="G870" si="980">IF(AND(D870="INGENIERÍA ELÉCTRICA",F870&lt;&gt;0),E870,0)</f>
        <v>#REF!</v>
      </c>
      <c r="H870" s="11" t="e">
        <f t="shared" ref="H870" si="981">IF(AND(D870="INGENIERÍA CIVIL",F870&lt;&gt;0),E870,0)</f>
        <v>#REF!</v>
      </c>
      <c r="I870" s="11" t="e">
        <f t="shared" ref="I870" si="982">IF(AND(D870="INGENIERÍA MECÁNICA",F870&lt;&gt;0),E870,0)</f>
        <v>#REF!</v>
      </c>
      <c r="J870" s="11" t="e">
        <f t="shared" ref="J870" si="983">IF(AND(D870="LINEAS",F870&lt;&gt;0),E870,0)</f>
        <v>#REF!</v>
      </c>
    </row>
    <row r="871" spans="2:10" x14ac:dyDescent="0.3">
      <c r="B871" s="400" t="s">
        <v>1245</v>
      </c>
      <c r="C871" s="9" t="str">
        <f>'OT17-269 ESPERANZA'!C14</f>
        <v>Ingeniería civil y mecánico (Levantamiento e ingeniería de detalle)</v>
      </c>
      <c r="D871" s="19" t="s">
        <v>760</v>
      </c>
      <c r="E871" s="10">
        <f>'OT17-269 ESPERANZA'!L14</f>
        <v>2108469</v>
      </c>
      <c r="F871" s="302">
        <f>'OT17-269 ESPERANZA'!K14</f>
        <v>0.35</v>
      </c>
      <c r="G871" s="11">
        <f t="shared" ref="G871" si="984">IF(AND(D871="INGENIERÍA ELÉCTRICA",F871&lt;&gt;0),E871,0)</f>
        <v>0</v>
      </c>
      <c r="H871" s="11">
        <f t="shared" ref="H871" si="985">IF(AND(D871="INGENIERÍA CIVIL",F871&lt;&gt;0),E871,0)</f>
        <v>2108469</v>
      </c>
      <c r="I871" s="11">
        <f t="shared" ref="I871" si="986">IF(AND(D871="INGENIERÍA MECÁNICA",F871&lt;&gt;0),E871,0)</f>
        <v>0</v>
      </c>
      <c r="J871" s="11">
        <f t="shared" ref="J871" si="987">IF(AND(D871="LINEAS",F871&lt;&gt;0),E871,0)</f>
        <v>0</v>
      </c>
    </row>
    <row r="872" spans="2:10" x14ac:dyDescent="0.3">
      <c r="B872" s="400" t="s">
        <v>1245</v>
      </c>
      <c r="C872" s="9" t="str">
        <f>'OT17-269 ESPERANZA'!C15</f>
        <v>Ingeniería eléctrica (Levantamiento e ingeniería de detalle)</v>
      </c>
      <c r="D872" s="19" t="s">
        <v>761</v>
      </c>
      <c r="E872" s="10">
        <f>'OT17-269 ESPERANZA'!L15</f>
        <v>4323144</v>
      </c>
      <c r="F872" s="302">
        <f>'OT17-269 ESPERANZA'!K15</f>
        <v>0.65</v>
      </c>
      <c r="G872" s="11">
        <f t="shared" ref="G872" si="988">IF(AND(D872="INGENIERÍA ELÉCTRICA",F872&lt;&gt;0),E872,0)</f>
        <v>4323144</v>
      </c>
      <c r="H872" s="11">
        <f t="shared" ref="H872" si="989">IF(AND(D872="INGENIERÍA CIVIL",F872&lt;&gt;0),E872,0)</f>
        <v>0</v>
      </c>
      <c r="I872" s="11">
        <f t="shared" ref="I872" si="990">IF(AND(D872="INGENIERÍA MECÁNICA",F872&lt;&gt;0),E872,0)</f>
        <v>0</v>
      </c>
      <c r="J872" s="11">
        <f t="shared" ref="J872" si="991">IF(AND(D872="LINEAS",F872&lt;&gt;0),E872,0)</f>
        <v>0</v>
      </c>
    </row>
    <row r="873" spans="2:10" x14ac:dyDescent="0.3">
      <c r="B873" s="400" t="s">
        <v>1246</v>
      </c>
      <c r="C873" s="9" t="str">
        <f>'OT17-270 JURATENA'!C14</f>
        <v>Ingeniería civil y mecánico (Levantamiento e ingeniería de detalle)</v>
      </c>
      <c r="D873" s="19" t="s">
        <v>760</v>
      </c>
      <c r="E873" s="10">
        <f>'OT17-270 JURATENA'!L14</f>
        <v>2108469</v>
      </c>
      <c r="F873" s="302">
        <f>'OT17-270 JURATENA'!K14</f>
        <v>0.35</v>
      </c>
      <c r="G873" s="11">
        <f t="shared" ref="G873" si="992">IF(AND(D873="INGENIERÍA ELÉCTRICA",F873&lt;&gt;0),E873,0)</f>
        <v>0</v>
      </c>
      <c r="H873" s="11">
        <f t="shared" ref="H873" si="993">IF(AND(D873="INGENIERÍA CIVIL",F873&lt;&gt;0),E873,0)</f>
        <v>2108469</v>
      </c>
      <c r="I873" s="11">
        <f t="shared" ref="I873" si="994">IF(AND(D873="INGENIERÍA MECÁNICA",F873&lt;&gt;0),E873,0)</f>
        <v>0</v>
      </c>
      <c r="J873" s="11">
        <f t="shared" ref="J873" si="995">IF(AND(D873="LINEAS",F873&lt;&gt;0),E873,0)</f>
        <v>0</v>
      </c>
    </row>
    <row r="874" spans="2:10" x14ac:dyDescent="0.3">
      <c r="B874" s="400" t="s">
        <v>1246</v>
      </c>
      <c r="C874" s="9" t="str">
        <f>'OT17-270 JURATENA'!C15</f>
        <v>Ingeniería eléctrica (Levantamiento e ingeniería de detalle)</v>
      </c>
      <c r="D874" s="19" t="s">
        <v>761</v>
      </c>
      <c r="E874" s="10">
        <f>'OT17-270 JURATENA'!L15</f>
        <v>4323144</v>
      </c>
      <c r="F874" s="302">
        <f>'OT17-270 JURATENA'!K15</f>
        <v>0.65</v>
      </c>
      <c r="G874" s="11">
        <f t="shared" ref="G874" si="996">IF(AND(D874="INGENIERÍA ELÉCTRICA",F874&lt;&gt;0),E874,0)</f>
        <v>4323144</v>
      </c>
      <c r="H874" s="11">
        <f t="shared" ref="H874" si="997">IF(AND(D874="INGENIERÍA CIVIL",F874&lt;&gt;0),E874,0)</f>
        <v>0</v>
      </c>
      <c r="I874" s="11">
        <f t="shared" ref="I874" si="998">IF(AND(D874="INGENIERÍA MECÁNICA",F874&lt;&gt;0),E874,0)</f>
        <v>0</v>
      </c>
      <c r="J874" s="11">
        <f t="shared" ref="J874" si="999">IF(AND(D874="LINEAS",F874&lt;&gt;0),E874,0)</f>
        <v>0</v>
      </c>
    </row>
    <row r="875" spans="2:10" x14ac:dyDescent="0.3">
      <c r="B875" s="400" t="s">
        <v>853</v>
      </c>
      <c r="C875" s="9" t="e">
        <f>#REF!</f>
        <v>#REF!</v>
      </c>
      <c r="D875" s="19" t="s">
        <v>762</v>
      </c>
      <c r="E875" s="10" t="e">
        <f>#REF!</f>
        <v>#REF!</v>
      </c>
      <c r="F875" s="302" t="e">
        <f>#REF!</f>
        <v>#REF!</v>
      </c>
      <c r="G875" s="11" t="e">
        <f t="shared" ref="G875" si="1000">IF(AND(D875="INGENIERÍA ELÉCTRICA",F875&lt;&gt;0),E875,0)</f>
        <v>#REF!</v>
      </c>
      <c r="H875" s="11" t="e">
        <f t="shared" ref="H875" si="1001">IF(AND(D875="INGENIERÍA CIVIL",F875&lt;&gt;0),E875,0)</f>
        <v>#REF!</v>
      </c>
      <c r="I875" s="11" t="e">
        <f t="shared" ref="I875" si="1002">IF(AND(D875="INGENIERÍA MECÁNICA",F875&lt;&gt;0),E875,0)</f>
        <v>#REF!</v>
      </c>
      <c r="J875" s="11" t="e">
        <f t="shared" ref="J875" si="1003">IF(AND(D875="LINEAS",F875&lt;&gt;0),E875,0)</f>
        <v>#REF!</v>
      </c>
    </row>
    <row r="876" spans="2:10" x14ac:dyDescent="0.3">
      <c r="B876" s="400" t="s">
        <v>853</v>
      </c>
      <c r="C876" s="9" t="e">
        <f>#REF!</f>
        <v>#REF!</v>
      </c>
      <c r="D876" s="19" t="s">
        <v>761</v>
      </c>
      <c r="E876" s="10" t="e">
        <f>#REF!</f>
        <v>#REF!</v>
      </c>
      <c r="F876" s="302" t="e">
        <f>#REF!</f>
        <v>#REF!</v>
      </c>
      <c r="G876" s="11" t="e">
        <f t="shared" ref="G876:G880" si="1004">IF(AND(D876="INGENIERÍA ELÉCTRICA",F876&lt;&gt;0),E876,0)</f>
        <v>#REF!</v>
      </c>
      <c r="H876" s="11" t="e">
        <f t="shared" ref="H876:H880" si="1005">IF(AND(D876="INGENIERÍA CIVIL",F876&lt;&gt;0),E876,0)</f>
        <v>#REF!</v>
      </c>
      <c r="I876" s="11" t="e">
        <f t="shared" ref="I876:I880" si="1006">IF(AND(D876="INGENIERÍA MECÁNICA",F876&lt;&gt;0),E876,0)</f>
        <v>#REF!</v>
      </c>
      <c r="J876" s="11" t="e">
        <f t="shared" ref="J876:J880" si="1007">IF(AND(D876="LINEAS",F876&lt;&gt;0),E876,0)</f>
        <v>#REF!</v>
      </c>
    </row>
    <row r="877" spans="2:10" x14ac:dyDescent="0.3">
      <c r="B877" s="400" t="s">
        <v>853</v>
      </c>
      <c r="C877" s="9" t="e">
        <f>#REF!</f>
        <v>#REF!</v>
      </c>
      <c r="D877" s="19" t="s">
        <v>760</v>
      </c>
      <c r="E877" s="10" t="e">
        <f>#REF!</f>
        <v>#REF!</v>
      </c>
      <c r="F877" s="302" t="e">
        <f>#REF!</f>
        <v>#REF!</v>
      </c>
      <c r="G877" s="11" t="e">
        <f t="shared" si="1004"/>
        <v>#REF!</v>
      </c>
      <c r="H877" s="11" t="e">
        <f t="shared" si="1005"/>
        <v>#REF!</v>
      </c>
      <c r="I877" s="11" t="e">
        <f t="shared" si="1006"/>
        <v>#REF!</v>
      </c>
      <c r="J877" s="11" t="e">
        <f t="shared" si="1007"/>
        <v>#REF!</v>
      </c>
    </row>
    <row r="878" spans="2:10" x14ac:dyDescent="0.3">
      <c r="B878" s="400" t="s">
        <v>853</v>
      </c>
      <c r="C878" s="9" t="e">
        <f>#REF!</f>
        <v>#REF!</v>
      </c>
      <c r="D878" s="19" t="s">
        <v>761</v>
      </c>
      <c r="E878" s="10" t="e">
        <f>#REF!</f>
        <v>#REF!</v>
      </c>
      <c r="F878" s="302" t="e">
        <f>#REF!</f>
        <v>#REF!</v>
      </c>
      <c r="G878" s="11" t="e">
        <f t="shared" si="1004"/>
        <v>#REF!</v>
      </c>
      <c r="H878" s="11" t="e">
        <f t="shared" si="1005"/>
        <v>#REF!</v>
      </c>
      <c r="I878" s="11" t="e">
        <f t="shared" si="1006"/>
        <v>#REF!</v>
      </c>
      <c r="J878" s="11" t="e">
        <f t="shared" si="1007"/>
        <v>#REF!</v>
      </c>
    </row>
    <row r="879" spans="2:10" x14ac:dyDescent="0.3">
      <c r="B879" s="400" t="s">
        <v>853</v>
      </c>
      <c r="C879" s="9" t="e">
        <f>#REF!</f>
        <v>#REF!</v>
      </c>
      <c r="D879" s="19" t="s">
        <v>760</v>
      </c>
      <c r="E879" s="10" t="e">
        <f>#REF!</f>
        <v>#REF!</v>
      </c>
      <c r="F879" s="302" t="e">
        <f>#REF!</f>
        <v>#REF!</v>
      </c>
      <c r="G879" s="11" t="e">
        <f t="shared" si="1004"/>
        <v>#REF!</v>
      </c>
      <c r="H879" s="11" t="e">
        <f t="shared" si="1005"/>
        <v>#REF!</v>
      </c>
      <c r="I879" s="11" t="e">
        <f t="shared" si="1006"/>
        <v>#REF!</v>
      </c>
      <c r="J879" s="11" t="e">
        <f t="shared" si="1007"/>
        <v>#REF!</v>
      </c>
    </row>
    <row r="880" spans="2:10" x14ac:dyDescent="0.3">
      <c r="B880" s="400" t="s">
        <v>853</v>
      </c>
      <c r="C880" s="9" t="e">
        <f>#REF!</f>
        <v>#REF!</v>
      </c>
      <c r="D880" s="19" t="s">
        <v>760</v>
      </c>
      <c r="E880" s="10" t="e">
        <f>#REF!</f>
        <v>#REF!</v>
      </c>
      <c r="F880" s="302" t="e">
        <f>#REF!</f>
        <v>#REF!</v>
      </c>
      <c r="G880" s="11" t="e">
        <f t="shared" si="1004"/>
        <v>#REF!</v>
      </c>
      <c r="H880" s="11" t="e">
        <f t="shared" si="1005"/>
        <v>#REF!</v>
      </c>
      <c r="I880" s="11" t="e">
        <f t="shared" si="1006"/>
        <v>#REF!</v>
      </c>
      <c r="J880" s="11" t="e">
        <f t="shared" si="1007"/>
        <v>#REF!</v>
      </c>
    </row>
    <row r="881" spans="2:10" x14ac:dyDescent="0.3">
      <c r="B881" s="400" t="s">
        <v>1247</v>
      </c>
      <c r="C881" s="9" t="e">
        <f>#REF!</f>
        <v>#REF!</v>
      </c>
      <c r="D881" s="19" t="s">
        <v>762</v>
      </c>
      <c r="E881" s="10" t="e">
        <f>#REF!</f>
        <v>#REF!</v>
      </c>
      <c r="F881" s="302" t="e">
        <f>#REF!</f>
        <v>#REF!</v>
      </c>
      <c r="G881" s="11" t="e">
        <f t="shared" ref="G881" si="1008">IF(AND(D881="INGENIERÍA ELÉCTRICA",F881&lt;&gt;0),E881,0)</f>
        <v>#REF!</v>
      </c>
      <c r="H881" s="11" t="e">
        <f t="shared" ref="H881" si="1009">IF(AND(D881="INGENIERÍA CIVIL",F881&lt;&gt;0),E881,0)</f>
        <v>#REF!</v>
      </c>
      <c r="I881" s="11" t="e">
        <f t="shared" ref="I881" si="1010">IF(AND(D881="INGENIERÍA MECÁNICA",F881&lt;&gt;0),E881,0)</f>
        <v>#REF!</v>
      </c>
      <c r="J881" s="11" t="e">
        <f t="shared" ref="J881" si="1011">IF(AND(D881="LINEAS",F881&lt;&gt;0),E881,0)</f>
        <v>#REF!</v>
      </c>
    </row>
    <row r="882" spans="2:10" x14ac:dyDescent="0.3">
      <c r="B882" s="400" t="s">
        <v>1247</v>
      </c>
      <c r="C882" s="9" t="e">
        <f>#REF!</f>
        <v>#REF!</v>
      </c>
      <c r="D882" s="19" t="s">
        <v>761</v>
      </c>
      <c r="E882" s="10" t="e">
        <f>#REF!</f>
        <v>#REF!</v>
      </c>
      <c r="F882" s="302" t="e">
        <f>#REF!</f>
        <v>#REF!</v>
      </c>
      <c r="G882" s="11" t="e">
        <f t="shared" ref="G882:G890" si="1012">IF(AND(D882="INGENIERÍA ELÉCTRICA",F882&lt;&gt;0),E882,0)</f>
        <v>#REF!</v>
      </c>
      <c r="H882" s="11" t="e">
        <f t="shared" ref="H882:H890" si="1013">IF(AND(D882="INGENIERÍA CIVIL",F882&lt;&gt;0),E882,0)</f>
        <v>#REF!</v>
      </c>
      <c r="I882" s="11" t="e">
        <f t="shared" ref="I882:I890" si="1014">IF(AND(D882="INGENIERÍA MECÁNICA",F882&lt;&gt;0),E882,0)</f>
        <v>#REF!</v>
      </c>
      <c r="J882" s="11" t="e">
        <f t="shared" ref="J882:J890" si="1015">IF(AND(D882="LINEAS",F882&lt;&gt;0),E882,0)</f>
        <v>#REF!</v>
      </c>
    </row>
    <row r="883" spans="2:10" x14ac:dyDescent="0.3">
      <c r="B883" s="400" t="s">
        <v>1247</v>
      </c>
      <c r="C883" s="9" t="e">
        <f>#REF!</f>
        <v>#REF!</v>
      </c>
      <c r="D883" s="19" t="s">
        <v>762</v>
      </c>
      <c r="E883" s="10" t="e">
        <f>#REF!</f>
        <v>#REF!</v>
      </c>
      <c r="F883" s="302" t="e">
        <f>#REF!</f>
        <v>#REF!</v>
      </c>
      <c r="G883" s="11" t="e">
        <f t="shared" si="1012"/>
        <v>#REF!</v>
      </c>
      <c r="H883" s="11" t="e">
        <f t="shared" si="1013"/>
        <v>#REF!</v>
      </c>
      <c r="I883" s="11" t="e">
        <f t="shared" si="1014"/>
        <v>#REF!</v>
      </c>
      <c r="J883" s="11" t="e">
        <f t="shared" si="1015"/>
        <v>#REF!</v>
      </c>
    </row>
    <row r="884" spans="2:10" x14ac:dyDescent="0.3">
      <c r="B884" s="400" t="s">
        <v>1247</v>
      </c>
      <c r="C884" s="9" t="e">
        <f>#REF!</f>
        <v>#REF!</v>
      </c>
      <c r="D884" s="19" t="s">
        <v>761</v>
      </c>
      <c r="E884" s="10" t="e">
        <f>#REF!</f>
        <v>#REF!</v>
      </c>
      <c r="F884" s="302" t="e">
        <f>#REF!</f>
        <v>#REF!</v>
      </c>
      <c r="G884" s="11" t="e">
        <f t="shared" si="1012"/>
        <v>#REF!</v>
      </c>
      <c r="H884" s="11" t="e">
        <f t="shared" si="1013"/>
        <v>#REF!</v>
      </c>
      <c r="I884" s="11" t="e">
        <f t="shared" si="1014"/>
        <v>#REF!</v>
      </c>
      <c r="J884" s="11" t="e">
        <f t="shared" si="1015"/>
        <v>#REF!</v>
      </c>
    </row>
    <row r="885" spans="2:10" x14ac:dyDescent="0.3">
      <c r="B885" s="400" t="s">
        <v>1247</v>
      </c>
      <c r="C885" s="9" t="e">
        <f>#REF!</f>
        <v>#REF!</v>
      </c>
      <c r="D885" s="19" t="s">
        <v>762</v>
      </c>
      <c r="E885" s="10" t="e">
        <f>#REF!</f>
        <v>#REF!</v>
      </c>
      <c r="F885" s="302" t="e">
        <f>#REF!</f>
        <v>#REF!</v>
      </c>
      <c r="G885" s="11" t="e">
        <f t="shared" si="1012"/>
        <v>#REF!</v>
      </c>
      <c r="H885" s="11" t="e">
        <f t="shared" si="1013"/>
        <v>#REF!</v>
      </c>
      <c r="I885" s="11" t="e">
        <f t="shared" si="1014"/>
        <v>#REF!</v>
      </c>
      <c r="J885" s="11" t="e">
        <f t="shared" si="1015"/>
        <v>#REF!</v>
      </c>
    </row>
    <row r="886" spans="2:10" x14ac:dyDescent="0.3">
      <c r="B886" s="400" t="s">
        <v>1247</v>
      </c>
      <c r="C886" s="9" t="e">
        <f>#REF!</f>
        <v>#REF!</v>
      </c>
      <c r="D886" s="19" t="s">
        <v>761</v>
      </c>
      <c r="E886" s="10" t="e">
        <f>#REF!</f>
        <v>#REF!</v>
      </c>
      <c r="F886" s="302" t="e">
        <f>#REF!</f>
        <v>#REF!</v>
      </c>
      <c r="G886" s="11" t="e">
        <f t="shared" si="1012"/>
        <v>#REF!</v>
      </c>
      <c r="H886" s="11" t="e">
        <f t="shared" si="1013"/>
        <v>#REF!</v>
      </c>
      <c r="I886" s="11" t="e">
        <f t="shared" si="1014"/>
        <v>#REF!</v>
      </c>
      <c r="J886" s="11" t="e">
        <f t="shared" si="1015"/>
        <v>#REF!</v>
      </c>
    </row>
    <row r="887" spans="2:10" x14ac:dyDescent="0.3">
      <c r="B887" s="400" t="s">
        <v>1247</v>
      </c>
      <c r="C887" s="9" t="e">
        <f>#REF!</f>
        <v>#REF!</v>
      </c>
      <c r="D887" s="19" t="s">
        <v>760</v>
      </c>
      <c r="E887" s="10" t="e">
        <f>#REF!</f>
        <v>#REF!</v>
      </c>
      <c r="F887" s="302" t="e">
        <f>#REF!</f>
        <v>#REF!</v>
      </c>
      <c r="G887" s="11" t="e">
        <f t="shared" si="1012"/>
        <v>#REF!</v>
      </c>
      <c r="H887" s="11" t="e">
        <f t="shared" si="1013"/>
        <v>#REF!</v>
      </c>
      <c r="I887" s="11" t="e">
        <f t="shared" si="1014"/>
        <v>#REF!</v>
      </c>
      <c r="J887" s="11" t="e">
        <f t="shared" si="1015"/>
        <v>#REF!</v>
      </c>
    </row>
    <row r="888" spans="2:10" x14ac:dyDescent="0.3">
      <c r="B888" s="400" t="s">
        <v>1247</v>
      </c>
      <c r="C888" s="9" t="e">
        <f>#REF!</f>
        <v>#REF!</v>
      </c>
      <c r="D888" s="19" t="s">
        <v>761</v>
      </c>
      <c r="E888" s="10" t="e">
        <f>#REF!</f>
        <v>#REF!</v>
      </c>
      <c r="F888" s="302" t="e">
        <f>#REF!</f>
        <v>#REF!</v>
      </c>
      <c r="G888" s="11" t="e">
        <f t="shared" si="1012"/>
        <v>#REF!</v>
      </c>
      <c r="H888" s="11" t="e">
        <f t="shared" si="1013"/>
        <v>#REF!</v>
      </c>
      <c r="I888" s="11" t="e">
        <f t="shared" si="1014"/>
        <v>#REF!</v>
      </c>
      <c r="J888" s="11" t="e">
        <f t="shared" si="1015"/>
        <v>#REF!</v>
      </c>
    </row>
    <row r="889" spans="2:10" x14ac:dyDescent="0.3">
      <c r="B889" s="400" t="s">
        <v>1247</v>
      </c>
      <c r="C889" s="9" t="e">
        <f>#REF!</f>
        <v>#REF!</v>
      </c>
      <c r="D889" s="19" t="s">
        <v>760</v>
      </c>
      <c r="E889" s="10" t="e">
        <f>#REF!</f>
        <v>#REF!</v>
      </c>
      <c r="F889" s="302" t="e">
        <f>#REF!</f>
        <v>#REF!</v>
      </c>
      <c r="G889" s="11" t="e">
        <f t="shared" si="1012"/>
        <v>#REF!</v>
      </c>
      <c r="H889" s="11" t="e">
        <f t="shared" si="1013"/>
        <v>#REF!</v>
      </c>
      <c r="I889" s="11" t="e">
        <f t="shared" si="1014"/>
        <v>#REF!</v>
      </c>
      <c r="J889" s="11" t="e">
        <f t="shared" si="1015"/>
        <v>#REF!</v>
      </c>
    </row>
    <row r="890" spans="2:10" x14ac:dyDescent="0.3">
      <c r="B890" s="400" t="s">
        <v>1247</v>
      </c>
      <c r="C890" s="9" t="e">
        <f>#REF!</f>
        <v>#REF!</v>
      </c>
      <c r="D890" s="19" t="s">
        <v>760</v>
      </c>
      <c r="E890" s="10" t="e">
        <f>#REF!</f>
        <v>#REF!</v>
      </c>
      <c r="F890" s="302" t="e">
        <f>#REF!</f>
        <v>#REF!</v>
      </c>
      <c r="G890" s="11" t="e">
        <f t="shared" si="1012"/>
        <v>#REF!</v>
      </c>
      <c r="H890" s="11" t="e">
        <f t="shared" si="1013"/>
        <v>#REF!</v>
      </c>
      <c r="I890" s="11" t="e">
        <f t="shared" si="1014"/>
        <v>#REF!</v>
      </c>
      <c r="J890" s="11" t="e">
        <f t="shared" si="1015"/>
        <v>#REF!</v>
      </c>
    </row>
    <row r="891" spans="2:10" x14ac:dyDescent="0.3">
      <c r="B891" s="400" t="s">
        <v>1248</v>
      </c>
      <c r="C891" s="9" t="e">
        <f>#REF!</f>
        <v>#REF!</v>
      </c>
      <c r="D891" s="19" t="s">
        <v>762</v>
      </c>
      <c r="E891" s="10" t="e">
        <f>#REF!</f>
        <v>#REF!</v>
      </c>
      <c r="F891" s="302" t="e">
        <f>#REF!</f>
        <v>#REF!</v>
      </c>
      <c r="G891" s="11" t="e">
        <f t="shared" ref="G891" si="1016">IF(AND(D891="INGENIERÍA ELÉCTRICA",F891&lt;&gt;0),E891,0)</f>
        <v>#REF!</v>
      </c>
      <c r="H891" s="11" t="e">
        <f t="shared" ref="H891" si="1017">IF(AND(D891="INGENIERÍA CIVIL",F891&lt;&gt;0),E891,0)</f>
        <v>#REF!</v>
      </c>
      <c r="I891" s="11" t="e">
        <f t="shared" ref="I891" si="1018">IF(AND(D891="INGENIERÍA MECÁNICA",F891&lt;&gt;0),E891,0)</f>
        <v>#REF!</v>
      </c>
      <c r="J891" s="11" t="e">
        <f t="shared" ref="J891" si="1019">IF(AND(D891="LINEAS",F891&lt;&gt;0),E891,0)</f>
        <v>#REF!</v>
      </c>
    </row>
    <row r="892" spans="2:10" x14ac:dyDescent="0.3">
      <c r="B892" s="400" t="s">
        <v>1248</v>
      </c>
      <c r="C892" s="9" t="e">
        <f>#REF!</f>
        <v>#REF!</v>
      </c>
      <c r="D892" s="19" t="s">
        <v>761</v>
      </c>
      <c r="E892" s="10" t="e">
        <f>#REF!</f>
        <v>#REF!</v>
      </c>
      <c r="F892" s="302" t="e">
        <f>#REF!</f>
        <v>#REF!</v>
      </c>
      <c r="G892" s="11" t="e">
        <f t="shared" ref="G892:G897" si="1020">IF(AND(D892="INGENIERÍA ELÉCTRICA",F892&lt;&gt;0),E892,0)</f>
        <v>#REF!</v>
      </c>
      <c r="H892" s="11" t="e">
        <f t="shared" ref="H892:H897" si="1021">IF(AND(D892="INGENIERÍA CIVIL",F892&lt;&gt;0),E892,0)</f>
        <v>#REF!</v>
      </c>
      <c r="I892" s="11" t="e">
        <f t="shared" ref="I892:I897" si="1022">IF(AND(D892="INGENIERÍA MECÁNICA",F892&lt;&gt;0),E892,0)</f>
        <v>#REF!</v>
      </c>
      <c r="J892" s="11" t="e">
        <f t="shared" ref="J892:J897" si="1023">IF(AND(D892="LINEAS",F892&lt;&gt;0),E892,0)</f>
        <v>#REF!</v>
      </c>
    </row>
    <row r="893" spans="2:10" x14ac:dyDescent="0.3">
      <c r="B893" s="400" t="s">
        <v>1248</v>
      </c>
      <c r="C893" s="9" t="e">
        <f>#REF!</f>
        <v>#REF!</v>
      </c>
      <c r="D893" s="19" t="s">
        <v>762</v>
      </c>
      <c r="E893" s="10" t="e">
        <f>#REF!</f>
        <v>#REF!</v>
      </c>
      <c r="F893" s="302" t="e">
        <f>#REF!</f>
        <v>#REF!</v>
      </c>
      <c r="G893" s="11" t="e">
        <f t="shared" si="1020"/>
        <v>#REF!</v>
      </c>
      <c r="H893" s="11" t="e">
        <f t="shared" si="1021"/>
        <v>#REF!</v>
      </c>
      <c r="I893" s="11" t="e">
        <f t="shared" si="1022"/>
        <v>#REF!</v>
      </c>
      <c r="J893" s="11" t="e">
        <f t="shared" si="1023"/>
        <v>#REF!</v>
      </c>
    </row>
    <row r="894" spans="2:10" x14ac:dyDescent="0.3">
      <c r="B894" s="400" t="s">
        <v>1248</v>
      </c>
      <c r="C894" s="9" t="e">
        <f>#REF!</f>
        <v>#REF!</v>
      </c>
      <c r="D894" s="19" t="s">
        <v>761</v>
      </c>
      <c r="E894" s="10" t="e">
        <f>#REF!</f>
        <v>#REF!</v>
      </c>
      <c r="F894" s="302" t="e">
        <f>#REF!</f>
        <v>#REF!</v>
      </c>
      <c r="G894" s="11" t="e">
        <f t="shared" si="1020"/>
        <v>#REF!</v>
      </c>
      <c r="H894" s="11" t="e">
        <f t="shared" si="1021"/>
        <v>#REF!</v>
      </c>
      <c r="I894" s="11" t="e">
        <f t="shared" si="1022"/>
        <v>#REF!</v>
      </c>
      <c r="J894" s="11" t="e">
        <f t="shared" si="1023"/>
        <v>#REF!</v>
      </c>
    </row>
    <row r="895" spans="2:10" x14ac:dyDescent="0.3">
      <c r="B895" s="400" t="s">
        <v>1248</v>
      </c>
      <c r="C895" s="9" t="e">
        <f>#REF!</f>
        <v>#REF!</v>
      </c>
      <c r="D895" s="19" t="s">
        <v>760</v>
      </c>
      <c r="E895" s="10" t="e">
        <f>#REF!</f>
        <v>#REF!</v>
      </c>
      <c r="F895" s="302" t="e">
        <f>#REF!</f>
        <v>#REF!</v>
      </c>
      <c r="G895" s="11" t="e">
        <f t="shared" si="1020"/>
        <v>#REF!</v>
      </c>
      <c r="H895" s="11" t="e">
        <f t="shared" si="1021"/>
        <v>#REF!</v>
      </c>
      <c r="I895" s="11" t="e">
        <f t="shared" si="1022"/>
        <v>#REF!</v>
      </c>
      <c r="J895" s="11" t="e">
        <f t="shared" si="1023"/>
        <v>#REF!</v>
      </c>
    </row>
    <row r="896" spans="2:10" x14ac:dyDescent="0.3">
      <c r="B896" s="400" t="s">
        <v>1248</v>
      </c>
      <c r="C896" s="9" t="e">
        <f>#REF!</f>
        <v>#REF!</v>
      </c>
      <c r="D896" s="19" t="s">
        <v>761</v>
      </c>
      <c r="E896" s="10" t="e">
        <f>#REF!</f>
        <v>#REF!</v>
      </c>
      <c r="F896" s="302" t="e">
        <f>#REF!</f>
        <v>#REF!</v>
      </c>
      <c r="G896" s="11" t="e">
        <f t="shared" si="1020"/>
        <v>#REF!</v>
      </c>
      <c r="H896" s="11" t="e">
        <f t="shared" si="1021"/>
        <v>#REF!</v>
      </c>
      <c r="I896" s="11" t="e">
        <f t="shared" si="1022"/>
        <v>#REF!</v>
      </c>
      <c r="J896" s="11" t="e">
        <f t="shared" si="1023"/>
        <v>#REF!</v>
      </c>
    </row>
    <row r="897" spans="2:10" x14ac:dyDescent="0.3">
      <c r="B897" s="400" t="s">
        <v>1248</v>
      </c>
      <c r="C897" s="9" t="e">
        <f>#REF!</f>
        <v>#REF!</v>
      </c>
      <c r="D897" s="19" t="s">
        <v>760</v>
      </c>
      <c r="E897" s="10" t="e">
        <f>#REF!</f>
        <v>#REF!</v>
      </c>
      <c r="F897" s="302" t="e">
        <f>#REF!</f>
        <v>#REF!</v>
      </c>
      <c r="G897" s="11" t="e">
        <f t="shared" si="1020"/>
        <v>#REF!</v>
      </c>
      <c r="H897" s="11" t="e">
        <f t="shared" si="1021"/>
        <v>#REF!</v>
      </c>
      <c r="I897" s="11" t="e">
        <f t="shared" si="1022"/>
        <v>#REF!</v>
      </c>
      <c r="J897" s="11" t="e">
        <f t="shared" si="1023"/>
        <v>#REF!</v>
      </c>
    </row>
    <row r="898" spans="2:10" x14ac:dyDescent="0.3">
      <c r="B898" s="400" t="s">
        <v>1248</v>
      </c>
      <c r="C898" s="9" t="e">
        <f>#REF!</f>
        <v>#REF!</v>
      </c>
      <c r="D898" s="19" t="s">
        <v>760</v>
      </c>
      <c r="E898" s="10" t="e">
        <f>#REF!</f>
        <v>#REF!</v>
      </c>
      <c r="F898" s="302" t="e">
        <f>#REF!</f>
        <v>#REF!</v>
      </c>
      <c r="G898" s="11" t="e">
        <f t="shared" ref="G898" si="1024">IF(AND(D898="INGENIERÍA ELÉCTRICA",F898&lt;&gt;0),E898,0)</f>
        <v>#REF!</v>
      </c>
      <c r="H898" s="11" t="e">
        <f t="shared" ref="H898" si="1025">IF(AND(D898="INGENIERÍA CIVIL",F898&lt;&gt;0),E898,0)</f>
        <v>#REF!</v>
      </c>
      <c r="I898" s="11" t="e">
        <f t="shared" ref="I898" si="1026">IF(AND(D898="INGENIERÍA MECÁNICA",F898&lt;&gt;0),E898,0)</f>
        <v>#REF!</v>
      </c>
      <c r="J898" s="11" t="e">
        <f t="shared" ref="J898" si="1027">IF(AND(D898="LINEAS",F898&lt;&gt;0),E898,0)</f>
        <v>#REF!</v>
      </c>
    </row>
    <row r="899" spans="2:10" x14ac:dyDescent="0.3">
      <c r="B899" s="400" t="s">
        <v>1249</v>
      </c>
      <c r="C899" s="9" t="e">
        <f>#REF!</f>
        <v>#REF!</v>
      </c>
      <c r="D899" s="19" t="s">
        <v>762</v>
      </c>
      <c r="E899" s="10" t="e">
        <f>#REF!</f>
        <v>#REF!</v>
      </c>
      <c r="F899" s="302" t="e">
        <f>#REF!</f>
        <v>#REF!</v>
      </c>
      <c r="G899" s="11" t="e">
        <f t="shared" ref="G899" si="1028">IF(AND(D899="INGENIERÍA ELÉCTRICA",F899&lt;&gt;0),E899,0)</f>
        <v>#REF!</v>
      </c>
      <c r="H899" s="11" t="e">
        <f t="shared" ref="H899" si="1029">IF(AND(D899="INGENIERÍA CIVIL",F899&lt;&gt;0),E899,0)</f>
        <v>#REF!</v>
      </c>
      <c r="I899" s="11" t="e">
        <f t="shared" ref="I899" si="1030">IF(AND(D899="INGENIERÍA MECÁNICA",F899&lt;&gt;0),E899,0)</f>
        <v>#REF!</v>
      </c>
      <c r="J899" s="11" t="e">
        <f t="shared" ref="J899" si="1031">IF(AND(D899="LINEAS",F899&lt;&gt;0),E899,0)</f>
        <v>#REF!</v>
      </c>
    </row>
    <row r="900" spans="2:10" x14ac:dyDescent="0.3">
      <c r="B900" s="400" t="s">
        <v>1249</v>
      </c>
      <c r="C900" s="9" t="e">
        <f>#REF!</f>
        <v>#REF!</v>
      </c>
      <c r="D900" s="19" t="s">
        <v>761</v>
      </c>
      <c r="E900" s="10" t="e">
        <f>#REF!</f>
        <v>#REF!</v>
      </c>
      <c r="F900" s="302" t="e">
        <f>#REF!</f>
        <v>#REF!</v>
      </c>
      <c r="G900" s="11" t="e">
        <f t="shared" ref="G900:G907" si="1032">IF(AND(D900="INGENIERÍA ELÉCTRICA",F900&lt;&gt;0),E900,0)</f>
        <v>#REF!</v>
      </c>
      <c r="H900" s="11" t="e">
        <f t="shared" ref="H900:H907" si="1033">IF(AND(D900="INGENIERÍA CIVIL",F900&lt;&gt;0),E900,0)</f>
        <v>#REF!</v>
      </c>
      <c r="I900" s="11" t="e">
        <f t="shared" ref="I900:I907" si="1034">IF(AND(D900="INGENIERÍA MECÁNICA",F900&lt;&gt;0),E900,0)</f>
        <v>#REF!</v>
      </c>
      <c r="J900" s="11" t="e">
        <f t="shared" ref="J900:J907" si="1035">IF(AND(D900="LINEAS",F900&lt;&gt;0),E900,0)</f>
        <v>#REF!</v>
      </c>
    </row>
    <row r="901" spans="2:10" x14ac:dyDescent="0.3">
      <c r="B901" s="400" t="s">
        <v>1249</v>
      </c>
      <c r="C901" s="9" t="e">
        <f>#REF!</f>
        <v>#REF!</v>
      </c>
      <c r="D901" s="19" t="s">
        <v>762</v>
      </c>
      <c r="E901" s="10" t="e">
        <f>#REF!</f>
        <v>#REF!</v>
      </c>
      <c r="F901" s="302" t="e">
        <f>#REF!</f>
        <v>#REF!</v>
      </c>
      <c r="G901" s="11" t="e">
        <f t="shared" si="1032"/>
        <v>#REF!</v>
      </c>
      <c r="H901" s="11" t="e">
        <f t="shared" si="1033"/>
        <v>#REF!</v>
      </c>
      <c r="I901" s="11" t="e">
        <f t="shared" si="1034"/>
        <v>#REF!</v>
      </c>
      <c r="J901" s="11" t="e">
        <f t="shared" si="1035"/>
        <v>#REF!</v>
      </c>
    </row>
    <row r="902" spans="2:10" x14ac:dyDescent="0.3">
      <c r="B902" s="400" t="s">
        <v>1249</v>
      </c>
      <c r="C902" s="9" t="e">
        <f>#REF!</f>
        <v>#REF!</v>
      </c>
      <c r="D902" s="19" t="s">
        <v>761</v>
      </c>
      <c r="E902" s="10" t="e">
        <f>#REF!</f>
        <v>#REF!</v>
      </c>
      <c r="F902" s="302" t="e">
        <f>#REF!</f>
        <v>#REF!</v>
      </c>
      <c r="G902" s="11" t="e">
        <f t="shared" si="1032"/>
        <v>#REF!</v>
      </c>
      <c r="H902" s="11" t="e">
        <f t="shared" si="1033"/>
        <v>#REF!</v>
      </c>
      <c r="I902" s="11" t="e">
        <f t="shared" si="1034"/>
        <v>#REF!</v>
      </c>
      <c r="J902" s="11" t="e">
        <f t="shared" si="1035"/>
        <v>#REF!</v>
      </c>
    </row>
    <row r="903" spans="2:10" x14ac:dyDescent="0.3">
      <c r="B903" s="400" t="s">
        <v>1249</v>
      </c>
      <c r="C903" s="9" t="e">
        <f>#REF!</f>
        <v>#REF!</v>
      </c>
      <c r="D903" s="19" t="s">
        <v>762</v>
      </c>
      <c r="E903" s="10" t="e">
        <f>#REF!</f>
        <v>#REF!</v>
      </c>
      <c r="F903" s="302" t="e">
        <f>#REF!</f>
        <v>#REF!</v>
      </c>
      <c r="G903" s="11" t="e">
        <f t="shared" si="1032"/>
        <v>#REF!</v>
      </c>
      <c r="H903" s="11" t="e">
        <f t="shared" si="1033"/>
        <v>#REF!</v>
      </c>
      <c r="I903" s="11" t="e">
        <f t="shared" si="1034"/>
        <v>#REF!</v>
      </c>
      <c r="J903" s="11" t="e">
        <f t="shared" si="1035"/>
        <v>#REF!</v>
      </c>
    </row>
    <row r="904" spans="2:10" x14ac:dyDescent="0.3">
      <c r="B904" s="400" t="s">
        <v>1249</v>
      </c>
      <c r="C904" s="9" t="e">
        <f>#REF!</f>
        <v>#REF!</v>
      </c>
      <c r="D904" s="19" t="s">
        <v>761</v>
      </c>
      <c r="E904" s="10" t="e">
        <f>#REF!</f>
        <v>#REF!</v>
      </c>
      <c r="F904" s="302" t="e">
        <f>#REF!</f>
        <v>#REF!</v>
      </c>
      <c r="G904" s="11" t="e">
        <f t="shared" si="1032"/>
        <v>#REF!</v>
      </c>
      <c r="H904" s="11" t="e">
        <f t="shared" si="1033"/>
        <v>#REF!</v>
      </c>
      <c r="I904" s="11" t="e">
        <f t="shared" si="1034"/>
        <v>#REF!</v>
      </c>
      <c r="J904" s="11" t="e">
        <f t="shared" si="1035"/>
        <v>#REF!</v>
      </c>
    </row>
    <row r="905" spans="2:10" x14ac:dyDescent="0.3">
      <c r="B905" s="400" t="s">
        <v>1249</v>
      </c>
      <c r="C905" s="9" t="e">
        <f>#REF!</f>
        <v>#REF!</v>
      </c>
      <c r="D905" s="19" t="s">
        <v>760</v>
      </c>
      <c r="E905" s="10" t="e">
        <f>#REF!</f>
        <v>#REF!</v>
      </c>
      <c r="F905" s="302" t="e">
        <f>#REF!</f>
        <v>#REF!</v>
      </c>
      <c r="G905" s="11" t="e">
        <f t="shared" si="1032"/>
        <v>#REF!</v>
      </c>
      <c r="H905" s="11" t="e">
        <f t="shared" si="1033"/>
        <v>#REF!</v>
      </c>
      <c r="I905" s="11" t="e">
        <f t="shared" si="1034"/>
        <v>#REF!</v>
      </c>
      <c r="J905" s="11" t="e">
        <f t="shared" si="1035"/>
        <v>#REF!</v>
      </c>
    </row>
    <row r="906" spans="2:10" x14ac:dyDescent="0.3">
      <c r="B906" s="400" t="s">
        <v>1249</v>
      </c>
      <c r="C906" s="9" t="e">
        <f>#REF!</f>
        <v>#REF!</v>
      </c>
      <c r="D906" s="19" t="s">
        <v>761</v>
      </c>
      <c r="E906" s="10" t="e">
        <f>#REF!</f>
        <v>#REF!</v>
      </c>
      <c r="F906" s="302" t="e">
        <f>#REF!</f>
        <v>#REF!</v>
      </c>
      <c r="G906" s="11" t="e">
        <f t="shared" si="1032"/>
        <v>#REF!</v>
      </c>
      <c r="H906" s="11" t="e">
        <f t="shared" si="1033"/>
        <v>#REF!</v>
      </c>
      <c r="I906" s="11" t="e">
        <f t="shared" si="1034"/>
        <v>#REF!</v>
      </c>
      <c r="J906" s="11" t="e">
        <f t="shared" si="1035"/>
        <v>#REF!</v>
      </c>
    </row>
    <row r="907" spans="2:10" x14ac:dyDescent="0.3">
      <c r="B907" s="400" t="s">
        <v>1249</v>
      </c>
      <c r="C907" s="9" t="e">
        <f>#REF!</f>
        <v>#REF!</v>
      </c>
      <c r="D907" s="19" t="s">
        <v>760</v>
      </c>
      <c r="E907" s="10" t="e">
        <f>#REF!</f>
        <v>#REF!</v>
      </c>
      <c r="F907" s="302" t="e">
        <f>#REF!</f>
        <v>#REF!</v>
      </c>
      <c r="G907" s="11" t="e">
        <f t="shared" si="1032"/>
        <v>#REF!</v>
      </c>
      <c r="H907" s="11" t="e">
        <f t="shared" si="1033"/>
        <v>#REF!</v>
      </c>
      <c r="I907" s="11" t="e">
        <f t="shared" si="1034"/>
        <v>#REF!</v>
      </c>
      <c r="J907" s="11" t="e">
        <f t="shared" si="1035"/>
        <v>#REF!</v>
      </c>
    </row>
    <row r="908" spans="2:10" x14ac:dyDescent="0.3">
      <c r="B908" s="400" t="s">
        <v>1249</v>
      </c>
      <c r="C908" s="9" t="e">
        <f>#REF!</f>
        <v>#REF!</v>
      </c>
      <c r="D908" s="19" t="s">
        <v>760</v>
      </c>
      <c r="E908" s="10" t="e">
        <f>#REF!</f>
        <v>#REF!</v>
      </c>
      <c r="F908" s="302" t="e">
        <f>#REF!</f>
        <v>#REF!</v>
      </c>
      <c r="G908" s="11" t="e">
        <f t="shared" ref="G908" si="1036">IF(AND(D908="INGENIERÍA ELÉCTRICA",F908&lt;&gt;0),E908,0)</f>
        <v>#REF!</v>
      </c>
      <c r="H908" s="11" t="e">
        <f t="shared" ref="H908" si="1037">IF(AND(D908="INGENIERÍA CIVIL",F908&lt;&gt;0),E908,0)</f>
        <v>#REF!</v>
      </c>
      <c r="I908" s="11" t="e">
        <f t="shared" ref="I908" si="1038">IF(AND(D908="INGENIERÍA MECÁNICA",F908&lt;&gt;0),E908,0)</f>
        <v>#REF!</v>
      </c>
      <c r="J908" s="11" t="e">
        <f t="shared" ref="J908" si="1039">IF(AND(D908="LINEAS",F908&lt;&gt;0),E908,0)</f>
        <v>#REF!</v>
      </c>
    </row>
    <row r="909" spans="2:10" x14ac:dyDescent="0.3">
      <c r="B909" s="400" t="s">
        <v>1250</v>
      </c>
      <c r="C909" s="9" t="str">
        <f>'OT17-279 SANTANDERCITO'!C14</f>
        <v>Ingeniería mecánica (Levantamiento e ingeniería de detalle)</v>
      </c>
      <c r="D909" s="19" t="s">
        <v>762</v>
      </c>
      <c r="E909" s="10">
        <f>'OT17-279 SANTANDERCITO'!L14</f>
        <v>0</v>
      </c>
      <c r="F909" s="302">
        <f>'OT17-279 SANTANDERCITO'!K14</f>
        <v>0</v>
      </c>
      <c r="G909" s="11">
        <f t="shared" ref="G909" si="1040">IF(AND(D909="INGENIERÍA ELÉCTRICA",F909&lt;&gt;0),E909,0)</f>
        <v>0</v>
      </c>
      <c r="H909" s="11">
        <f t="shared" ref="H909" si="1041">IF(AND(D909="INGENIERÍA CIVIL",F909&lt;&gt;0),E909,0)</f>
        <v>0</v>
      </c>
      <c r="I909" s="11">
        <f t="shared" ref="I909" si="1042">IF(AND(D909="INGENIERÍA MECÁNICA",F909&lt;&gt;0),E909,0)</f>
        <v>0</v>
      </c>
      <c r="J909" s="11">
        <f t="shared" ref="J909" si="1043">IF(AND(D909="LINEAS",F909&lt;&gt;0),E909,0)</f>
        <v>0</v>
      </c>
    </row>
    <row r="910" spans="2:10" x14ac:dyDescent="0.3">
      <c r="B910" s="400" t="s">
        <v>1250</v>
      </c>
      <c r="C910" s="9" t="str">
        <f>'OT17-279 SANTANDERCITO'!C15</f>
        <v>Ingeniería eléctrica (Levantamiento e ingeniería de detalle)</v>
      </c>
      <c r="D910" s="19" t="s">
        <v>761</v>
      </c>
      <c r="E910" s="10">
        <f>'OT17-279 SANTANDERCITO'!L15</f>
        <v>302951</v>
      </c>
      <c r="F910" s="302">
        <f>'OT17-279 SANTANDERCITO'!K15</f>
        <v>0.3</v>
      </c>
      <c r="G910" s="11">
        <f t="shared" ref="G910:G915" si="1044">IF(AND(D910="INGENIERÍA ELÉCTRICA",F910&lt;&gt;0),E910,0)</f>
        <v>302951</v>
      </c>
      <c r="H910" s="11">
        <f t="shared" ref="H910:H915" si="1045">IF(AND(D910="INGENIERÍA CIVIL",F910&lt;&gt;0),E910,0)</f>
        <v>0</v>
      </c>
      <c r="I910" s="11">
        <f t="shared" ref="I910:I915" si="1046">IF(AND(D910="INGENIERÍA MECÁNICA",F910&lt;&gt;0),E910,0)</f>
        <v>0</v>
      </c>
      <c r="J910" s="11">
        <f t="shared" ref="J910:J915" si="1047">IF(AND(D910="LINEAS",F910&lt;&gt;0),E910,0)</f>
        <v>0</v>
      </c>
    </row>
    <row r="911" spans="2:10" x14ac:dyDescent="0.3">
      <c r="B911" s="400" t="s">
        <v>1250</v>
      </c>
      <c r="C911" s="9" t="str">
        <f>'OT17-279 SANTANDERCITO'!C17</f>
        <v>Ingeniería mecánica (Levantamiento e ingeniería de detalle)</v>
      </c>
      <c r="D911" s="19" t="s">
        <v>762</v>
      </c>
      <c r="E911" s="10">
        <f>'OT17-279 SANTANDERCITO'!L17</f>
        <v>0</v>
      </c>
      <c r="F911" s="302">
        <f>'OT17-279 SANTANDERCITO'!K17</f>
        <v>0</v>
      </c>
      <c r="G911" s="11">
        <f t="shared" si="1044"/>
        <v>0</v>
      </c>
      <c r="H911" s="11">
        <f t="shared" si="1045"/>
        <v>0</v>
      </c>
      <c r="I911" s="11">
        <f t="shared" si="1046"/>
        <v>0</v>
      </c>
      <c r="J911" s="11">
        <f t="shared" si="1047"/>
        <v>0</v>
      </c>
    </row>
    <row r="912" spans="2:10" x14ac:dyDescent="0.3">
      <c r="B912" s="400" t="s">
        <v>1250</v>
      </c>
      <c r="C912" s="9" t="str">
        <f>'OT17-279 SANTANDERCITO'!C18</f>
        <v>Ingeniería eléctrica (Levantamiento e ingeniería de detalle)</v>
      </c>
      <c r="D912" s="19" t="s">
        <v>761</v>
      </c>
      <c r="E912" s="10">
        <f>'OT17-279 SANTANDERCITO'!L18</f>
        <v>302951</v>
      </c>
      <c r="F912" s="302">
        <f>'OT17-279 SANTANDERCITO'!K18</f>
        <v>0.3</v>
      </c>
      <c r="G912" s="11">
        <f t="shared" si="1044"/>
        <v>302951</v>
      </c>
      <c r="H912" s="11">
        <f t="shared" si="1045"/>
        <v>0</v>
      </c>
      <c r="I912" s="11">
        <f t="shared" si="1046"/>
        <v>0</v>
      </c>
      <c r="J912" s="11">
        <f t="shared" si="1047"/>
        <v>0</v>
      </c>
    </row>
    <row r="913" spans="2:10" x14ac:dyDescent="0.3">
      <c r="B913" s="400" t="s">
        <v>1250</v>
      </c>
      <c r="C913" s="9" t="str">
        <f>'OT17-279 SANTANDERCITO'!C20</f>
        <v>Ingeniería mecánica (Levantamiento e ingeniería de detalle)</v>
      </c>
      <c r="D913" s="19" t="s">
        <v>762</v>
      </c>
      <c r="E913" s="10">
        <f>'OT17-279 SANTANDERCITO'!L20</f>
        <v>0</v>
      </c>
      <c r="F913" s="302">
        <f>'OT17-279 SANTANDERCITO'!K20</f>
        <v>0</v>
      </c>
      <c r="G913" s="11">
        <f t="shared" si="1044"/>
        <v>0</v>
      </c>
      <c r="H913" s="11">
        <f t="shared" si="1045"/>
        <v>0</v>
      </c>
      <c r="I913" s="11">
        <f t="shared" si="1046"/>
        <v>0</v>
      </c>
      <c r="J913" s="11">
        <f t="shared" si="1047"/>
        <v>0</v>
      </c>
    </row>
    <row r="914" spans="2:10" x14ac:dyDescent="0.3">
      <c r="B914" s="400" t="s">
        <v>1250</v>
      </c>
      <c r="C914" s="9" t="str">
        <f>'OT17-279 SANTANDERCITO'!C21</f>
        <v>Ingeniería eléctrica (Levantamiento e ingeniería de detalle)</v>
      </c>
      <c r="D914" s="19" t="s">
        <v>761</v>
      </c>
      <c r="E914" s="10">
        <f>'OT17-279 SANTANDERCITO'!L21</f>
        <v>302951</v>
      </c>
      <c r="F914" s="302">
        <f>'OT17-279 SANTANDERCITO'!K21</f>
        <v>0.3</v>
      </c>
      <c r="G914" s="11">
        <f t="shared" si="1044"/>
        <v>302951</v>
      </c>
      <c r="H914" s="11">
        <f t="shared" si="1045"/>
        <v>0</v>
      </c>
      <c r="I914" s="11">
        <f t="shared" si="1046"/>
        <v>0</v>
      </c>
      <c r="J914" s="11">
        <f t="shared" si="1047"/>
        <v>0</v>
      </c>
    </row>
    <row r="915" spans="2:10" x14ac:dyDescent="0.3">
      <c r="B915" s="400" t="s">
        <v>1250</v>
      </c>
      <c r="C915" s="9" t="str">
        <f>'OT17-279 SANTANDERCITO'!C23</f>
        <v>Ingeniería civil y mecánico (Levantamiento e ingeniería de detalle)</v>
      </c>
      <c r="D915" s="19" t="s">
        <v>760</v>
      </c>
      <c r="E915" s="10">
        <f>'OT17-279 SANTANDERCITO'!L23</f>
        <v>0</v>
      </c>
      <c r="F915" s="302">
        <f>'OT17-279 SANTANDERCITO'!K23</f>
        <v>0</v>
      </c>
      <c r="G915" s="11">
        <f t="shared" si="1044"/>
        <v>0</v>
      </c>
      <c r="H915" s="11">
        <f t="shared" si="1045"/>
        <v>0</v>
      </c>
      <c r="I915" s="11">
        <f t="shared" si="1046"/>
        <v>0</v>
      </c>
      <c r="J915" s="11">
        <f t="shared" si="1047"/>
        <v>0</v>
      </c>
    </row>
    <row r="916" spans="2:10" x14ac:dyDescent="0.3">
      <c r="B916" s="400" t="s">
        <v>1250</v>
      </c>
      <c r="C916" s="9" t="str">
        <f>'OT17-279 SANTANDERCITO'!C24</f>
        <v>Ingeniería eléctrica (Levantamiento e ingeniería de detalle)</v>
      </c>
      <c r="D916" s="19" t="s">
        <v>761</v>
      </c>
      <c r="E916" s="10">
        <f>'OT17-279 SANTANDERCITO'!L24</f>
        <v>433533</v>
      </c>
      <c r="F916" s="302">
        <f>'OT17-279 SANTANDERCITO'!K24</f>
        <v>0.15</v>
      </c>
      <c r="G916" s="11">
        <f t="shared" ref="G916:G918" si="1048">IF(AND(D916="INGENIERÍA ELÉCTRICA",F916&lt;&gt;0),E916,0)</f>
        <v>433533</v>
      </c>
      <c r="H916" s="11">
        <f t="shared" ref="H916:H918" si="1049">IF(AND(D916="INGENIERÍA CIVIL",F916&lt;&gt;0),E916,0)</f>
        <v>0</v>
      </c>
      <c r="I916" s="11">
        <f t="shared" ref="I916:I918" si="1050">IF(AND(D916="INGENIERÍA MECÁNICA",F916&lt;&gt;0),E916,0)</f>
        <v>0</v>
      </c>
      <c r="J916" s="11">
        <f t="shared" ref="J916:J918" si="1051">IF(AND(D916="LINEAS",F916&lt;&gt;0),E916,0)</f>
        <v>0</v>
      </c>
    </row>
    <row r="917" spans="2:10" x14ac:dyDescent="0.3">
      <c r="B917" s="400" t="s">
        <v>1250</v>
      </c>
      <c r="C917" s="9" t="str">
        <f>'OT17-279 SANTANDERCITO'!C26</f>
        <v>Ingenierías o estudios especiales</v>
      </c>
      <c r="D917" s="19" t="s">
        <v>760</v>
      </c>
      <c r="E917" s="10">
        <f>'OT17-279 SANTANDERCITO'!L26</f>
        <v>0</v>
      </c>
      <c r="F917" s="302">
        <f>'OT17-279 SANTANDERCITO'!K26</f>
        <v>0</v>
      </c>
      <c r="G917" s="11">
        <f t="shared" si="1048"/>
        <v>0</v>
      </c>
      <c r="H917" s="11">
        <f t="shared" si="1049"/>
        <v>0</v>
      </c>
      <c r="I917" s="11">
        <f t="shared" si="1050"/>
        <v>0</v>
      </c>
      <c r="J917" s="11">
        <f t="shared" si="1051"/>
        <v>0</v>
      </c>
    </row>
    <row r="918" spans="2:10" x14ac:dyDescent="0.3">
      <c r="B918" s="400" t="s">
        <v>1250</v>
      </c>
      <c r="C918" s="9" t="str">
        <f>'OT17-279 SANTANDERCITO'!C28</f>
        <v>Ingeniería civil y electromecánica (Levantamiento e ingeniería de detalle)</v>
      </c>
      <c r="D918" s="19" t="s">
        <v>760</v>
      </c>
      <c r="E918" s="10">
        <f>'OT17-279 SANTANDERCITO'!L28</f>
        <v>0</v>
      </c>
      <c r="F918" s="302">
        <f>'OT17-279 SANTANDERCITO'!K28</f>
        <v>0</v>
      </c>
      <c r="G918" s="11">
        <f t="shared" si="1048"/>
        <v>0</v>
      </c>
      <c r="H918" s="11">
        <f t="shared" si="1049"/>
        <v>0</v>
      </c>
      <c r="I918" s="11">
        <f t="shared" si="1050"/>
        <v>0</v>
      </c>
      <c r="J918" s="11">
        <f t="shared" si="1051"/>
        <v>0</v>
      </c>
    </row>
    <row r="919" spans="2:10" x14ac:dyDescent="0.3">
      <c r="B919" s="400" t="s">
        <v>1251</v>
      </c>
      <c r="C919" s="9" t="e">
        <f>#REF!</f>
        <v>#REF!</v>
      </c>
      <c r="D919" s="19" t="s">
        <v>760</v>
      </c>
      <c r="E919" s="10" t="e">
        <f>#REF!</f>
        <v>#REF!</v>
      </c>
      <c r="F919" s="302" t="e">
        <f>#REF!</f>
        <v>#REF!</v>
      </c>
      <c r="G919" s="11" t="e">
        <f t="shared" ref="G919" si="1052">IF(AND(D919="INGENIERÍA ELÉCTRICA",F919&lt;&gt;0),E919,0)</f>
        <v>#REF!</v>
      </c>
      <c r="H919" s="11" t="e">
        <f t="shared" ref="H919" si="1053">IF(AND(D919="INGENIERÍA CIVIL",F919&lt;&gt;0),E919,0)</f>
        <v>#REF!</v>
      </c>
      <c r="I919" s="11" t="e">
        <f t="shared" ref="I919" si="1054">IF(AND(D919="INGENIERÍA MECÁNICA",F919&lt;&gt;0),E919,0)</f>
        <v>#REF!</v>
      </c>
      <c r="J919" s="11" t="e">
        <f t="shared" ref="J919" si="1055">IF(AND(D919="LINEAS",F919&lt;&gt;0),E919,0)</f>
        <v>#REF!</v>
      </c>
    </row>
    <row r="920" spans="2:10" x14ac:dyDescent="0.3">
      <c r="B920" s="400" t="s">
        <v>1251</v>
      </c>
      <c r="C920" s="9" t="e">
        <f>#REF!</f>
        <v>#REF!</v>
      </c>
      <c r="D920" s="19" t="s">
        <v>760</v>
      </c>
      <c r="E920" s="10" t="e">
        <f>#REF!</f>
        <v>#REF!</v>
      </c>
      <c r="F920" s="302" t="e">
        <f>#REF!</f>
        <v>#REF!</v>
      </c>
      <c r="G920" s="11" t="e">
        <f t="shared" ref="G920:G925" si="1056">IF(AND(D920="INGENIERÍA ELÉCTRICA",F920&lt;&gt;0),E920,0)</f>
        <v>#REF!</v>
      </c>
      <c r="H920" s="11" t="e">
        <f t="shared" ref="H920:H925" si="1057">IF(AND(D920="INGENIERÍA CIVIL",F920&lt;&gt;0),E920,0)</f>
        <v>#REF!</v>
      </c>
      <c r="I920" s="11" t="e">
        <f t="shared" ref="I920:I925" si="1058">IF(AND(D920="INGENIERÍA MECÁNICA",F920&lt;&gt;0),E920,0)</f>
        <v>#REF!</v>
      </c>
      <c r="J920" s="11" t="e">
        <f t="shared" ref="J920:J925" si="1059">IF(AND(D920="LINEAS",F920&lt;&gt;0),E920,0)</f>
        <v>#REF!</v>
      </c>
    </row>
    <row r="921" spans="2:10" x14ac:dyDescent="0.3">
      <c r="B921" s="400" t="s">
        <v>1251</v>
      </c>
      <c r="C921" s="9" t="e">
        <f>#REF!</f>
        <v>#REF!</v>
      </c>
      <c r="D921" s="19" t="s">
        <v>761</v>
      </c>
      <c r="E921" s="10" t="e">
        <f>#REF!</f>
        <v>#REF!</v>
      </c>
      <c r="F921" s="302" t="e">
        <f>#REF!</f>
        <v>#REF!</v>
      </c>
      <c r="G921" s="11" t="e">
        <f t="shared" si="1056"/>
        <v>#REF!</v>
      </c>
      <c r="H921" s="11" t="e">
        <f t="shared" si="1057"/>
        <v>#REF!</v>
      </c>
      <c r="I921" s="11" t="e">
        <f t="shared" si="1058"/>
        <v>#REF!</v>
      </c>
      <c r="J921" s="11" t="e">
        <f t="shared" si="1059"/>
        <v>#REF!</v>
      </c>
    </row>
    <row r="922" spans="2:10" x14ac:dyDescent="0.3">
      <c r="B922" s="400" t="s">
        <v>1251</v>
      </c>
      <c r="C922" s="9" t="e">
        <f>#REF!</f>
        <v>#REF!</v>
      </c>
      <c r="D922" s="19" t="s">
        <v>760</v>
      </c>
      <c r="E922" s="10" t="e">
        <f>#REF!</f>
        <v>#REF!</v>
      </c>
      <c r="F922" s="302" t="e">
        <f>#REF!</f>
        <v>#REF!</v>
      </c>
      <c r="G922" s="11" t="e">
        <f t="shared" si="1056"/>
        <v>#REF!</v>
      </c>
      <c r="H922" s="11" t="e">
        <f t="shared" si="1057"/>
        <v>#REF!</v>
      </c>
      <c r="I922" s="11" t="e">
        <f t="shared" si="1058"/>
        <v>#REF!</v>
      </c>
      <c r="J922" s="11" t="e">
        <f t="shared" si="1059"/>
        <v>#REF!</v>
      </c>
    </row>
    <row r="923" spans="2:10" x14ac:dyDescent="0.3">
      <c r="B923" s="400" t="s">
        <v>1251</v>
      </c>
      <c r="C923" s="9" t="e">
        <f>#REF!</f>
        <v>#REF!</v>
      </c>
      <c r="D923" s="19" t="s">
        <v>760</v>
      </c>
      <c r="E923" s="10" t="e">
        <f>#REF!</f>
        <v>#REF!</v>
      </c>
      <c r="F923" s="302" t="e">
        <f>#REF!</f>
        <v>#REF!</v>
      </c>
      <c r="G923" s="11" t="e">
        <f t="shared" si="1056"/>
        <v>#REF!</v>
      </c>
      <c r="H923" s="11" t="e">
        <f t="shared" si="1057"/>
        <v>#REF!</v>
      </c>
      <c r="I923" s="11" t="e">
        <f t="shared" si="1058"/>
        <v>#REF!</v>
      </c>
      <c r="J923" s="11" t="e">
        <f t="shared" si="1059"/>
        <v>#REF!</v>
      </c>
    </row>
    <row r="924" spans="2:10" x14ac:dyDescent="0.3">
      <c r="B924" s="400" t="s">
        <v>1251</v>
      </c>
      <c r="C924" s="9" t="e">
        <f>#REF!</f>
        <v>#REF!</v>
      </c>
      <c r="D924" s="19" t="s">
        <v>760</v>
      </c>
      <c r="E924" s="10" t="e">
        <f>#REF!</f>
        <v>#REF!</v>
      </c>
      <c r="F924" s="302" t="e">
        <f>#REF!</f>
        <v>#REF!</v>
      </c>
      <c r="G924" s="11" t="e">
        <f t="shared" si="1056"/>
        <v>#REF!</v>
      </c>
      <c r="H924" s="11" t="e">
        <f t="shared" si="1057"/>
        <v>#REF!</v>
      </c>
      <c r="I924" s="11" t="e">
        <f t="shared" si="1058"/>
        <v>#REF!</v>
      </c>
      <c r="J924" s="11" t="e">
        <f t="shared" si="1059"/>
        <v>#REF!</v>
      </c>
    </row>
    <row r="925" spans="2:10" x14ac:dyDescent="0.3">
      <c r="B925" s="400" t="s">
        <v>1251</v>
      </c>
      <c r="C925" s="9" t="e">
        <f>#REF!</f>
        <v>#REF!</v>
      </c>
      <c r="D925" s="19" t="s">
        <v>761</v>
      </c>
      <c r="E925" s="10" t="e">
        <f>#REF!</f>
        <v>#REF!</v>
      </c>
      <c r="F925" s="302" t="e">
        <f>#REF!</f>
        <v>#REF!</v>
      </c>
      <c r="G925" s="11" t="e">
        <f t="shared" si="1056"/>
        <v>#REF!</v>
      </c>
      <c r="H925" s="11" t="e">
        <f t="shared" si="1057"/>
        <v>#REF!</v>
      </c>
      <c r="I925" s="11" t="e">
        <f t="shared" si="1058"/>
        <v>#REF!</v>
      </c>
      <c r="J925" s="11" t="e">
        <f t="shared" si="1059"/>
        <v>#REF!</v>
      </c>
    </row>
    <row r="926" spans="2:10" x14ac:dyDescent="0.3">
      <c r="B926" s="400" t="s">
        <v>1251</v>
      </c>
      <c r="C926" s="9" t="e">
        <f>#REF!</f>
        <v>#REF!</v>
      </c>
      <c r="D926" s="19" t="s">
        <v>760</v>
      </c>
      <c r="E926" s="10" t="e">
        <f>#REF!</f>
        <v>#REF!</v>
      </c>
      <c r="F926" s="302" t="e">
        <f>#REF!</f>
        <v>#REF!</v>
      </c>
      <c r="G926" s="11" t="e">
        <f t="shared" ref="G926:G927" si="1060">IF(AND(D926="INGENIERÍA ELÉCTRICA",F926&lt;&gt;0),E926,0)</f>
        <v>#REF!</v>
      </c>
      <c r="H926" s="11" t="e">
        <f t="shared" ref="H926:H927" si="1061">IF(AND(D926="INGENIERÍA CIVIL",F926&lt;&gt;0),E926,0)</f>
        <v>#REF!</v>
      </c>
      <c r="I926" s="11" t="e">
        <f t="shared" ref="I926:I927" si="1062">IF(AND(D926="INGENIERÍA MECÁNICA",F926&lt;&gt;0),E926,0)</f>
        <v>#REF!</v>
      </c>
      <c r="J926" s="11" t="e">
        <f t="shared" ref="J926:J927" si="1063">IF(AND(D926="LINEAS",F926&lt;&gt;0),E926,0)</f>
        <v>#REF!</v>
      </c>
    </row>
    <row r="927" spans="2:10" x14ac:dyDescent="0.3">
      <c r="B927" s="400" t="s">
        <v>1251</v>
      </c>
      <c r="C927" s="9" t="e">
        <f>#REF!</f>
        <v>#REF!</v>
      </c>
      <c r="D927" s="19" t="s">
        <v>761</v>
      </c>
      <c r="E927" s="10" t="e">
        <f>#REF!</f>
        <v>#REF!</v>
      </c>
      <c r="F927" s="302" t="e">
        <f>#REF!</f>
        <v>#REF!</v>
      </c>
      <c r="G927" s="11" t="e">
        <f t="shared" si="1060"/>
        <v>#REF!</v>
      </c>
      <c r="H927" s="11" t="e">
        <f t="shared" si="1061"/>
        <v>#REF!</v>
      </c>
      <c r="I927" s="11" t="e">
        <f t="shared" si="1062"/>
        <v>#REF!</v>
      </c>
      <c r="J927" s="11" t="e">
        <f t="shared" si="1063"/>
        <v>#REF!</v>
      </c>
    </row>
    <row r="928" spans="2:10" x14ac:dyDescent="0.3">
      <c r="B928" s="400" t="s">
        <v>1252</v>
      </c>
      <c r="C928" s="9" t="e">
        <f>#REF!</f>
        <v>#REF!</v>
      </c>
      <c r="D928" s="19" t="s">
        <v>760</v>
      </c>
      <c r="E928" s="10" t="e">
        <f>#REF!</f>
        <v>#REF!</v>
      </c>
      <c r="F928" s="302" t="e">
        <f>#REF!</f>
        <v>#REF!</v>
      </c>
      <c r="G928" s="11" t="e">
        <f t="shared" ref="G928" si="1064">IF(AND(D928="INGENIERÍA ELÉCTRICA",F928&lt;&gt;0),E928,0)</f>
        <v>#REF!</v>
      </c>
      <c r="H928" s="11" t="e">
        <f t="shared" ref="H928" si="1065">IF(AND(D928="INGENIERÍA CIVIL",F928&lt;&gt;0),E928,0)</f>
        <v>#REF!</v>
      </c>
      <c r="I928" s="11" t="e">
        <f t="shared" ref="I928" si="1066">IF(AND(D928="INGENIERÍA MECÁNICA",F928&lt;&gt;0),E928,0)</f>
        <v>#REF!</v>
      </c>
      <c r="J928" s="11" t="e">
        <f t="shared" ref="J928" si="1067">IF(AND(D928="LINEAS",F928&lt;&gt;0),E928,0)</f>
        <v>#REF!</v>
      </c>
    </row>
    <row r="929" spans="2:10" x14ac:dyDescent="0.3">
      <c r="B929" s="400" t="s">
        <v>1252</v>
      </c>
      <c r="C929" s="9" t="e">
        <f>#REF!</f>
        <v>#REF!</v>
      </c>
      <c r="D929" s="19" t="s">
        <v>762</v>
      </c>
      <c r="E929" s="10" t="e">
        <f>#REF!</f>
        <v>#REF!</v>
      </c>
      <c r="F929" s="302" t="e">
        <f>#REF!</f>
        <v>#REF!</v>
      </c>
      <c r="G929" s="11" t="e">
        <f t="shared" ref="G929:G930" si="1068">IF(AND(D929="INGENIERÍA ELÉCTRICA",F929&lt;&gt;0),E929,0)</f>
        <v>#REF!</v>
      </c>
      <c r="H929" s="11" t="e">
        <f t="shared" ref="H929:H930" si="1069">IF(AND(D929="INGENIERÍA CIVIL",F929&lt;&gt;0),E929,0)</f>
        <v>#REF!</v>
      </c>
      <c r="I929" s="11" t="e">
        <f t="shared" ref="I929:I930" si="1070">IF(AND(D929="INGENIERÍA MECÁNICA",F929&lt;&gt;0),E929,0)</f>
        <v>#REF!</v>
      </c>
      <c r="J929" s="11" t="e">
        <f t="shared" ref="J929:J930" si="1071">IF(AND(D929="LINEAS",F929&lt;&gt;0),E929,0)</f>
        <v>#REF!</v>
      </c>
    </row>
    <row r="930" spans="2:10" x14ac:dyDescent="0.3">
      <c r="B930" s="400" t="s">
        <v>1252</v>
      </c>
      <c r="C930" s="9" t="e">
        <f>#REF!</f>
        <v>#REF!</v>
      </c>
      <c r="D930" s="19" t="s">
        <v>761</v>
      </c>
      <c r="E930" s="10" t="e">
        <f>#REF!</f>
        <v>#REF!</v>
      </c>
      <c r="F930" s="302" t="e">
        <f>#REF!</f>
        <v>#REF!</v>
      </c>
      <c r="G930" s="11" t="e">
        <f t="shared" si="1068"/>
        <v>#REF!</v>
      </c>
      <c r="H930" s="11" t="e">
        <f t="shared" si="1069"/>
        <v>#REF!</v>
      </c>
      <c r="I930" s="11" t="e">
        <f t="shared" si="1070"/>
        <v>#REF!</v>
      </c>
      <c r="J930" s="11" t="e">
        <f t="shared" si="1071"/>
        <v>#REF!</v>
      </c>
    </row>
    <row r="931" spans="2:10" x14ac:dyDescent="0.3">
      <c r="B931" s="400" t="s">
        <v>1253</v>
      </c>
      <c r="C931" s="9" t="e">
        <f>#REF!</f>
        <v>#REF!</v>
      </c>
      <c r="D931" s="19" t="s">
        <v>760</v>
      </c>
      <c r="E931" s="10" t="e">
        <f>#REF!</f>
        <v>#REF!</v>
      </c>
      <c r="F931" s="302" t="e">
        <f>#REF!</f>
        <v>#REF!</v>
      </c>
      <c r="G931" s="11" t="e">
        <f t="shared" ref="G931" si="1072">IF(AND(D931="INGENIERÍA ELÉCTRICA",F931&lt;&gt;0),E931,0)</f>
        <v>#REF!</v>
      </c>
      <c r="H931" s="11" t="e">
        <f t="shared" ref="H931" si="1073">IF(AND(D931="INGENIERÍA CIVIL",F931&lt;&gt;0),E931,0)</f>
        <v>#REF!</v>
      </c>
      <c r="I931" s="11" t="e">
        <f t="shared" ref="I931" si="1074">IF(AND(D931="INGENIERÍA MECÁNICA",F931&lt;&gt;0),E931,0)</f>
        <v>#REF!</v>
      </c>
      <c r="J931" s="11" t="e">
        <f t="shared" ref="J931" si="1075">IF(AND(D931="LINEAS",F931&lt;&gt;0),E931,0)</f>
        <v>#REF!</v>
      </c>
    </row>
    <row r="932" spans="2:10" x14ac:dyDescent="0.3">
      <c r="B932" s="400" t="s">
        <v>1253</v>
      </c>
      <c r="C932" s="9" t="e">
        <f>#REF!</f>
        <v>#REF!</v>
      </c>
      <c r="D932" s="19" t="s">
        <v>762</v>
      </c>
      <c r="E932" s="10" t="e">
        <f>#REF!</f>
        <v>#REF!</v>
      </c>
      <c r="F932" s="302" t="e">
        <f>#REF!</f>
        <v>#REF!</v>
      </c>
      <c r="G932" s="11" t="e">
        <f t="shared" ref="G932" si="1076">IF(AND(D932="INGENIERÍA ELÉCTRICA",F932&lt;&gt;0),E932,0)</f>
        <v>#REF!</v>
      </c>
      <c r="H932" s="11" t="e">
        <f t="shared" ref="H932" si="1077">IF(AND(D932="INGENIERÍA CIVIL",F932&lt;&gt;0),E932,0)</f>
        <v>#REF!</v>
      </c>
      <c r="I932" s="11" t="e">
        <f t="shared" ref="I932" si="1078">IF(AND(D932="INGENIERÍA MECÁNICA",F932&lt;&gt;0),E932,0)</f>
        <v>#REF!</v>
      </c>
      <c r="J932" s="11" t="e">
        <f t="shared" ref="J932" si="1079">IF(AND(D932="LINEAS",F932&lt;&gt;0),E932,0)</f>
        <v>#REF!</v>
      </c>
    </row>
    <row r="933" spans="2:10" x14ac:dyDescent="0.3">
      <c r="B933" s="400" t="s">
        <v>1254</v>
      </c>
      <c r="C933" s="9" t="e">
        <f>#REF!</f>
        <v>#REF!</v>
      </c>
      <c r="D933" s="19" t="s">
        <v>760</v>
      </c>
      <c r="E933" s="10" t="e">
        <f>#REF!</f>
        <v>#REF!</v>
      </c>
      <c r="F933" s="302" t="e">
        <f>#REF!</f>
        <v>#REF!</v>
      </c>
      <c r="G933" s="11" t="e">
        <f t="shared" ref="G933" si="1080">IF(AND(D933="INGENIERÍA ELÉCTRICA",F933&lt;&gt;0),E933,0)</f>
        <v>#REF!</v>
      </c>
      <c r="H933" s="11" t="e">
        <f t="shared" ref="H933" si="1081">IF(AND(D933="INGENIERÍA CIVIL",F933&lt;&gt;0),E933,0)</f>
        <v>#REF!</v>
      </c>
      <c r="I933" s="11" t="e">
        <f t="shared" ref="I933" si="1082">IF(AND(D933="INGENIERÍA MECÁNICA",F933&lt;&gt;0),E933,0)</f>
        <v>#REF!</v>
      </c>
      <c r="J933" s="11" t="e">
        <f t="shared" ref="J933" si="1083">IF(AND(D933="LINEAS",F933&lt;&gt;0),E933,0)</f>
        <v>#REF!</v>
      </c>
    </row>
    <row r="934" spans="2:10" x14ac:dyDescent="0.3">
      <c r="B934" s="400" t="s">
        <v>1255</v>
      </c>
      <c r="C934" s="9" t="e">
        <f>#REF!</f>
        <v>#REF!</v>
      </c>
      <c r="D934" s="19" t="s">
        <v>760</v>
      </c>
      <c r="E934" s="10" t="e">
        <f>#REF!</f>
        <v>#REF!</v>
      </c>
      <c r="F934" s="302" t="e">
        <f>#REF!</f>
        <v>#REF!</v>
      </c>
      <c r="G934" s="11" t="e">
        <f t="shared" ref="G934" si="1084">IF(AND(D934="INGENIERÍA ELÉCTRICA",F934&lt;&gt;0),E934,0)</f>
        <v>#REF!</v>
      </c>
      <c r="H934" s="11" t="e">
        <f t="shared" ref="H934" si="1085">IF(AND(D934="INGENIERÍA CIVIL",F934&lt;&gt;0),E934,0)</f>
        <v>#REF!</v>
      </c>
      <c r="I934" s="11" t="e">
        <f t="shared" ref="I934" si="1086">IF(AND(D934="INGENIERÍA MECÁNICA",F934&lt;&gt;0),E934,0)</f>
        <v>#REF!</v>
      </c>
      <c r="J934" s="11" t="e">
        <f t="shared" ref="J934" si="1087">IF(AND(D934="LINEAS",F934&lt;&gt;0),E934,0)</f>
        <v>#REF!</v>
      </c>
    </row>
    <row r="935" spans="2:10" x14ac:dyDescent="0.3">
      <c r="B935" s="400" t="s">
        <v>1256</v>
      </c>
      <c r="C935" s="9" t="e">
        <f>#REF!</f>
        <v>#REF!</v>
      </c>
      <c r="D935" s="19" t="s">
        <v>762</v>
      </c>
      <c r="E935" s="10" t="e">
        <f>#REF!</f>
        <v>#REF!</v>
      </c>
      <c r="F935" s="302" t="e">
        <f>#REF!</f>
        <v>#REF!</v>
      </c>
      <c r="G935" s="11" t="e">
        <f t="shared" ref="G935" si="1088">IF(AND(D935="INGENIERÍA ELÉCTRICA",F935&lt;&gt;0),E935,0)</f>
        <v>#REF!</v>
      </c>
      <c r="H935" s="11" t="e">
        <f t="shared" ref="H935" si="1089">IF(AND(D935="INGENIERÍA CIVIL",F935&lt;&gt;0),E935,0)</f>
        <v>#REF!</v>
      </c>
      <c r="I935" s="11" t="e">
        <f t="shared" ref="I935" si="1090">IF(AND(D935="INGENIERÍA MECÁNICA",F935&lt;&gt;0),E935,0)</f>
        <v>#REF!</v>
      </c>
      <c r="J935" s="11" t="e">
        <f t="shared" ref="J935" si="1091">IF(AND(D935="LINEAS",F935&lt;&gt;0),E935,0)</f>
        <v>#REF!</v>
      </c>
    </row>
    <row r="936" spans="2:10" x14ac:dyDescent="0.3">
      <c r="B936" s="400" t="s">
        <v>1256</v>
      </c>
      <c r="C936" s="9" t="e">
        <f>#REF!</f>
        <v>#REF!</v>
      </c>
      <c r="D936" s="19" t="s">
        <v>761</v>
      </c>
      <c r="E936" s="10" t="e">
        <f>#REF!</f>
        <v>#REF!</v>
      </c>
      <c r="F936" s="302" t="e">
        <f>#REF!</f>
        <v>#REF!</v>
      </c>
      <c r="G936" s="11" t="e">
        <f t="shared" ref="G936:G939" si="1092">IF(AND(D936="INGENIERÍA ELÉCTRICA",F936&lt;&gt;0),E936,0)</f>
        <v>#REF!</v>
      </c>
      <c r="H936" s="11" t="e">
        <f t="shared" ref="H936:H939" si="1093">IF(AND(D936="INGENIERÍA CIVIL",F936&lt;&gt;0),E936,0)</f>
        <v>#REF!</v>
      </c>
      <c r="I936" s="11" t="e">
        <f t="shared" ref="I936:I939" si="1094">IF(AND(D936="INGENIERÍA MECÁNICA",F936&lt;&gt;0),E936,0)</f>
        <v>#REF!</v>
      </c>
      <c r="J936" s="11" t="e">
        <f t="shared" ref="J936:J939" si="1095">IF(AND(D936="LINEAS",F936&lt;&gt;0),E936,0)</f>
        <v>#REF!</v>
      </c>
    </row>
    <row r="937" spans="2:10" x14ac:dyDescent="0.3">
      <c r="B937" s="400" t="s">
        <v>1256</v>
      </c>
      <c r="C937" s="9" t="e">
        <f>#REF!</f>
        <v>#REF!</v>
      </c>
      <c r="D937" s="19" t="s">
        <v>762</v>
      </c>
      <c r="E937" s="10" t="e">
        <f>#REF!</f>
        <v>#REF!</v>
      </c>
      <c r="F937" s="302" t="e">
        <f>#REF!</f>
        <v>#REF!</v>
      </c>
      <c r="G937" s="11" t="e">
        <f t="shared" si="1092"/>
        <v>#REF!</v>
      </c>
      <c r="H937" s="11" t="e">
        <f t="shared" si="1093"/>
        <v>#REF!</v>
      </c>
      <c r="I937" s="11" t="e">
        <f t="shared" si="1094"/>
        <v>#REF!</v>
      </c>
      <c r="J937" s="11" t="e">
        <f t="shared" si="1095"/>
        <v>#REF!</v>
      </c>
    </row>
    <row r="938" spans="2:10" x14ac:dyDescent="0.3">
      <c r="B938" s="400" t="s">
        <v>1256</v>
      </c>
      <c r="C938" s="9" t="e">
        <f>#REF!</f>
        <v>#REF!</v>
      </c>
      <c r="D938" s="19" t="s">
        <v>761</v>
      </c>
      <c r="E938" s="10" t="e">
        <f>#REF!</f>
        <v>#REF!</v>
      </c>
      <c r="F938" s="302" t="e">
        <f>#REF!</f>
        <v>#REF!</v>
      </c>
      <c r="G938" s="11" t="e">
        <f t="shared" si="1092"/>
        <v>#REF!</v>
      </c>
      <c r="H938" s="11" t="e">
        <f t="shared" si="1093"/>
        <v>#REF!</v>
      </c>
      <c r="I938" s="11" t="e">
        <f t="shared" si="1094"/>
        <v>#REF!</v>
      </c>
      <c r="J938" s="11" t="e">
        <f t="shared" si="1095"/>
        <v>#REF!</v>
      </c>
    </row>
    <row r="939" spans="2:10" x14ac:dyDescent="0.3">
      <c r="B939" s="400" t="s">
        <v>1256</v>
      </c>
      <c r="C939" s="9" t="e">
        <f>#REF!</f>
        <v>#REF!</v>
      </c>
      <c r="D939" s="19" t="s">
        <v>762</v>
      </c>
      <c r="E939" s="10" t="e">
        <f>#REF!</f>
        <v>#REF!</v>
      </c>
      <c r="F939" s="302" t="e">
        <f>#REF!</f>
        <v>#REF!</v>
      </c>
      <c r="G939" s="11" t="e">
        <f t="shared" si="1092"/>
        <v>#REF!</v>
      </c>
      <c r="H939" s="11" t="e">
        <f t="shared" si="1093"/>
        <v>#REF!</v>
      </c>
      <c r="I939" s="11" t="e">
        <f t="shared" si="1094"/>
        <v>#REF!</v>
      </c>
      <c r="J939" s="11" t="e">
        <f t="shared" si="1095"/>
        <v>#REF!</v>
      </c>
    </row>
    <row r="940" spans="2:10" x14ac:dyDescent="0.3">
      <c r="B940" s="400" t="s">
        <v>1256</v>
      </c>
      <c r="C940" s="9" t="e">
        <f>#REF!</f>
        <v>#REF!</v>
      </c>
      <c r="D940" s="19" t="s">
        <v>761</v>
      </c>
      <c r="E940" s="10" t="e">
        <f>#REF!</f>
        <v>#REF!</v>
      </c>
      <c r="F940" s="302" t="e">
        <f>#REF!</f>
        <v>#REF!</v>
      </c>
      <c r="G940" s="11" t="e">
        <f t="shared" ref="G940" si="1096">IF(AND(D940="INGENIERÍA ELÉCTRICA",F940&lt;&gt;0),E940,0)</f>
        <v>#REF!</v>
      </c>
      <c r="H940" s="11" t="e">
        <f t="shared" ref="H940" si="1097">IF(AND(D940="INGENIERÍA CIVIL",F940&lt;&gt;0),E940,0)</f>
        <v>#REF!</v>
      </c>
      <c r="I940" s="11" t="e">
        <f t="shared" ref="I940" si="1098">IF(AND(D940="INGENIERÍA MECÁNICA",F940&lt;&gt;0),E940,0)</f>
        <v>#REF!</v>
      </c>
      <c r="J940" s="11" t="e">
        <f t="shared" ref="J940" si="1099">IF(AND(D940="LINEAS",F940&lt;&gt;0),E940,0)</f>
        <v>#REF!</v>
      </c>
    </row>
    <row r="941" spans="2:10" x14ac:dyDescent="0.3">
      <c r="B941" s="400" t="s">
        <v>1257</v>
      </c>
      <c r="C941" s="9" t="e">
        <f>#REF!</f>
        <v>#REF!</v>
      </c>
      <c r="D941" s="19" t="s">
        <v>760</v>
      </c>
      <c r="E941" s="10" t="e">
        <f>#REF!</f>
        <v>#REF!</v>
      </c>
      <c r="F941" s="302" t="e">
        <f>#REF!</f>
        <v>#REF!</v>
      </c>
      <c r="G941" s="11" t="e">
        <f t="shared" ref="G941" si="1100">IF(AND(D941="INGENIERÍA ELÉCTRICA",F941&lt;&gt;0),E941,0)</f>
        <v>#REF!</v>
      </c>
      <c r="H941" s="11" t="e">
        <f t="shared" ref="H941" si="1101">IF(AND(D941="INGENIERÍA CIVIL",F941&lt;&gt;0),E941,0)</f>
        <v>#REF!</v>
      </c>
      <c r="I941" s="11" t="e">
        <f t="shared" ref="I941" si="1102">IF(AND(D941="INGENIERÍA MECÁNICA",F941&lt;&gt;0),E941,0)</f>
        <v>#REF!</v>
      </c>
      <c r="J941" s="11" t="e">
        <f t="shared" ref="J941" si="1103">IF(AND(D941="LINEAS",F941&lt;&gt;0),E941,0)</f>
        <v>#REF!</v>
      </c>
    </row>
    <row r="942" spans="2:10" x14ac:dyDescent="0.3">
      <c r="B942" s="400" t="s">
        <v>1257</v>
      </c>
      <c r="C942" s="9" t="e">
        <f>#REF!</f>
        <v>#REF!</v>
      </c>
      <c r="D942" s="19" t="s">
        <v>761</v>
      </c>
      <c r="E942" s="10" t="e">
        <f>#REF!</f>
        <v>#REF!</v>
      </c>
      <c r="F942" s="302" t="e">
        <f>#REF!</f>
        <v>#REF!</v>
      </c>
      <c r="G942" s="11" t="e">
        <f t="shared" ref="G942" si="1104">IF(AND(D942="INGENIERÍA ELÉCTRICA",F942&lt;&gt;0),E942,0)</f>
        <v>#REF!</v>
      </c>
      <c r="H942" s="11" t="e">
        <f t="shared" ref="H942" si="1105">IF(AND(D942="INGENIERÍA CIVIL",F942&lt;&gt;0),E942,0)</f>
        <v>#REF!</v>
      </c>
      <c r="I942" s="11" t="e">
        <f t="shared" ref="I942" si="1106">IF(AND(D942="INGENIERÍA MECÁNICA",F942&lt;&gt;0),E942,0)</f>
        <v>#REF!</v>
      </c>
      <c r="J942" s="11" t="e">
        <f t="shared" ref="J942" si="1107">IF(AND(D942="LINEAS",F942&lt;&gt;0),E942,0)</f>
        <v>#REF!</v>
      </c>
    </row>
    <row r="943" spans="2:10" x14ac:dyDescent="0.3">
      <c r="B943" s="400" t="s">
        <v>1258</v>
      </c>
      <c r="C943" s="9" t="e">
        <f>#REF!</f>
        <v>#REF!</v>
      </c>
      <c r="D943" s="19" t="s">
        <v>760</v>
      </c>
      <c r="E943" s="10" t="e">
        <f>#REF!</f>
        <v>#REF!</v>
      </c>
      <c r="F943" s="302" t="e">
        <f>#REF!</f>
        <v>#REF!</v>
      </c>
      <c r="G943" s="11" t="e">
        <f t="shared" ref="G943" si="1108">IF(AND(D943="INGENIERÍA ELÉCTRICA",F943&lt;&gt;0),E943,0)</f>
        <v>#REF!</v>
      </c>
      <c r="H943" s="11" t="e">
        <f t="shared" ref="H943" si="1109">IF(AND(D943="INGENIERÍA CIVIL",F943&lt;&gt;0),E943,0)</f>
        <v>#REF!</v>
      </c>
      <c r="I943" s="11" t="e">
        <f t="shared" ref="I943" si="1110">IF(AND(D943="INGENIERÍA MECÁNICA",F943&lt;&gt;0),E943,0)</f>
        <v>#REF!</v>
      </c>
      <c r="J943" s="11" t="e">
        <f t="shared" ref="J943" si="1111">IF(AND(D943="LINEAS",F943&lt;&gt;0),E943,0)</f>
        <v>#REF!</v>
      </c>
    </row>
    <row r="944" spans="2:10" x14ac:dyDescent="0.3">
      <c r="B944" s="400" t="s">
        <v>1258</v>
      </c>
      <c r="C944" s="9" t="e">
        <f>#REF!</f>
        <v>#REF!</v>
      </c>
      <c r="D944" s="19" t="s">
        <v>762</v>
      </c>
      <c r="E944" s="10" t="e">
        <f>#REF!</f>
        <v>#REF!</v>
      </c>
      <c r="F944" s="302" t="e">
        <f>#REF!</f>
        <v>#REF!</v>
      </c>
      <c r="G944" s="11" t="e">
        <f t="shared" ref="G944:G950" si="1112">IF(AND(D944="INGENIERÍA ELÉCTRICA",F944&lt;&gt;0),E944,0)</f>
        <v>#REF!</v>
      </c>
      <c r="H944" s="11" t="e">
        <f t="shared" ref="H944:H950" si="1113">IF(AND(D944="INGENIERÍA CIVIL",F944&lt;&gt;0),E944,0)</f>
        <v>#REF!</v>
      </c>
      <c r="I944" s="11" t="e">
        <f t="shared" ref="I944:I950" si="1114">IF(AND(D944="INGENIERÍA MECÁNICA",F944&lt;&gt;0),E944,0)</f>
        <v>#REF!</v>
      </c>
      <c r="J944" s="11" t="e">
        <f t="shared" ref="J944:J950" si="1115">IF(AND(D944="LINEAS",F944&lt;&gt;0),E944,0)</f>
        <v>#REF!</v>
      </c>
    </row>
    <row r="945" spans="2:10" x14ac:dyDescent="0.3">
      <c r="B945" s="400" t="s">
        <v>1258</v>
      </c>
      <c r="C945" s="9" t="e">
        <f>#REF!</f>
        <v>#REF!</v>
      </c>
      <c r="D945" s="19" t="s">
        <v>761</v>
      </c>
      <c r="E945" s="10" t="e">
        <f>#REF!</f>
        <v>#REF!</v>
      </c>
      <c r="F945" s="302" t="e">
        <f>#REF!</f>
        <v>#REF!</v>
      </c>
      <c r="G945" s="11" t="e">
        <f t="shared" si="1112"/>
        <v>#REF!</v>
      </c>
      <c r="H945" s="11" t="e">
        <f t="shared" si="1113"/>
        <v>#REF!</v>
      </c>
      <c r="I945" s="11" t="e">
        <f t="shared" si="1114"/>
        <v>#REF!</v>
      </c>
      <c r="J945" s="11" t="e">
        <f t="shared" si="1115"/>
        <v>#REF!</v>
      </c>
    </row>
    <row r="946" spans="2:10" x14ac:dyDescent="0.3">
      <c r="B946" s="400" t="s">
        <v>1258</v>
      </c>
      <c r="C946" s="9" t="e">
        <f>#REF!</f>
        <v>#REF!</v>
      </c>
      <c r="D946" s="19" t="s">
        <v>760</v>
      </c>
      <c r="E946" s="10" t="e">
        <f>#REF!</f>
        <v>#REF!</v>
      </c>
      <c r="F946" s="302" t="e">
        <f>#REF!</f>
        <v>#REF!</v>
      </c>
      <c r="G946" s="11" t="e">
        <f t="shared" si="1112"/>
        <v>#REF!</v>
      </c>
      <c r="H946" s="11" t="e">
        <f t="shared" si="1113"/>
        <v>#REF!</v>
      </c>
      <c r="I946" s="11" t="e">
        <f t="shared" si="1114"/>
        <v>#REF!</v>
      </c>
      <c r="J946" s="11" t="e">
        <f t="shared" si="1115"/>
        <v>#REF!</v>
      </c>
    </row>
    <row r="947" spans="2:10" x14ac:dyDescent="0.3">
      <c r="B947" s="400" t="s">
        <v>1258</v>
      </c>
      <c r="C947" s="9" t="e">
        <f>#REF!</f>
        <v>#REF!</v>
      </c>
      <c r="D947" s="19" t="s">
        <v>762</v>
      </c>
      <c r="E947" s="10" t="e">
        <f>#REF!</f>
        <v>#REF!</v>
      </c>
      <c r="F947" s="302" t="e">
        <f>#REF!</f>
        <v>#REF!</v>
      </c>
      <c r="G947" s="11" t="e">
        <f t="shared" si="1112"/>
        <v>#REF!</v>
      </c>
      <c r="H947" s="11" t="e">
        <f t="shared" si="1113"/>
        <v>#REF!</v>
      </c>
      <c r="I947" s="11" t="e">
        <f t="shared" si="1114"/>
        <v>#REF!</v>
      </c>
      <c r="J947" s="11" t="e">
        <f t="shared" si="1115"/>
        <v>#REF!</v>
      </c>
    </row>
    <row r="948" spans="2:10" x14ac:dyDescent="0.3">
      <c r="B948" s="400" t="s">
        <v>1258</v>
      </c>
      <c r="C948" s="9" t="e">
        <f>#REF!</f>
        <v>#REF!</v>
      </c>
      <c r="D948" s="19" t="s">
        <v>761</v>
      </c>
      <c r="E948" s="10" t="e">
        <f>#REF!</f>
        <v>#REF!</v>
      </c>
      <c r="F948" s="302" t="e">
        <f>#REF!</f>
        <v>#REF!</v>
      </c>
      <c r="G948" s="11" t="e">
        <f t="shared" si="1112"/>
        <v>#REF!</v>
      </c>
      <c r="H948" s="11" t="e">
        <f t="shared" si="1113"/>
        <v>#REF!</v>
      </c>
      <c r="I948" s="11" t="e">
        <f t="shared" si="1114"/>
        <v>#REF!</v>
      </c>
      <c r="J948" s="11" t="e">
        <f t="shared" si="1115"/>
        <v>#REF!</v>
      </c>
    </row>
    <row r="949" spans="2:10" x14ac:dyDescent="0.3">
      <c r="B949" s="400" t="s">
        <v>1258</v>
      </c>
      <c r="C949" s="9" t="e">
        <f>#REF!</f>
        <v>#REF!</v>
      </c>
      <c r="D949" s="19" t="s">
        <v>762</v>
      </c>
      <c r="E949" s="10" t="e">
        <f>#REF!</f>
        <v>#REF!</v>
      </c>
      <c r="F949" s="302" t="e">
        <f>#REF!</f>
        <v>#REF!</v>
      </c>
      <c r="G949" s="11" t="e">
        <f t="shared" si="1112"/>
        <v>#REF!</v>
      </c>
      <c r="H949" s="11" t="e">
        <f t="shared" si="1113"/>
        <v>#REF!</v>
      </c>
      <c r="I949" s="11" t="e">
        <f t="shared" si="1114"/>
        <v>#REF!</v>
      </c>
      <c r="J949" s="11" t="e">
        <f t="shared" si="1115"/>
        <v>#REF!</v>
      </c>
    </row>
    <row r="950" spans="2:10" x14ac:dyDescent="0.3">
      <c r="B950" s="400" t="s">
        <v>1258</v>
      </c>
      <c r="C950" s="9" t="e">
        <f>#REF!</f>
        <v>#REF!</v>
      </c>
      <c r="D950" s="19" t="s">
        <v>761</v>
      </c>
      <c r="E950" s="10" t="e">
        <f>#REF!</f>
        <v>#REF!</v>
      </c>
      <c r="F950" s="302" t="e">
        <f>#REF!</f>
        <v>#REF!</v>
      </c>
      <c r="G950" s="11" t="e">
        <f t="shared" si="1112"/>
        <v>#REF!</v>
      </c>
      <c r="H950" s="11" t="e">
        <f t="shared" si="1113"/>
        <v>#REF!</v>
      </c>
      <c r="I950" s="11" t="e">
        <f t="shared" si="1114"/>
        <v>#REF!</v>
      </c>
      <c r="J950" s="11" t="e">
        <f t="shared" si="1115"/>
        <v>#REF!</v>
      </c>
    </row>
    <row r="951" spans="2:10" x14ac:dyDescent="0.3">
      <c r="B951" s="400" t="s">
        <v>1259</v>
      </c>
      <c r="C951" s="9" t="e">
        <f>#REF!</f>
        <v>#REF!</v>
      </c>
      <c r="D951" s="19" t="s">
        <v>760</v>
      </c>
      <c r="E951" s="10" t="e">
        <f>#REF!</f>
        <v>#REF!</v>
      </c>
      <c r="F951" s="302" t="e">
        <f>#REF!</f>
        <v>#REF!</v>
      </c>
      <c r="G951" s="11" t="e">
        <f t="shared" ref="G951" si="1116">IF(AND(D951="INGENIERÍA ELÉCTRICA",F951&lt;&gt;0),E951,0)</f>
        <v>#REF!</v>
      </c>
      <c r="H951" s="11" t="e">
        <f t="shared" ref="H951" si="1117">IF(AND(D951="INGENIERÍA CIVIL",F951&lt;&gt;0),E951,0)</f>
        <v>#REF!</v>
      </c>
      <c r="I951" s="11" t="e">
        <f t="shared" ref="I951" si="1118">IF(AND(D951="INGENIERÍA MECÁNICA",F951&lt;&gt;0),E951,0)</f>
        <v>#REF!</v>
      </c>
      <c r="J951" s="11" t="e">
        <f t="shared" ref="J951" si="1119">IF(AND(D951="LINEAS",F951&lt;&gt;0),E951,0)</f>
        <v>#REF!</v>
      </c>
    </row>
    <row r="952" spans="2:10" x14ac:dyDescent="0.3">
      <c r="B952" s="400" t="s">
        <v>1259</v>
      </c>
      <c r="C952" s="9" t="e">
        <f>#REF!</f>
        <v>#REF!</v>
      </c>
      <c r="D952" s="19" t="s">
        <v>762</v>
      </c>
      <c r="E952" s="10" t="e">
        <f>#REF!</f>
        <v>#REF!</v>
      </c>
      <c r="F952" s="302" t="e">
        <f>#REF!</f>
        <v>#REF!</v>
      </c>
      <c r="G952" s="11" t="e">
        <f t="shared" ref="G952:G956" si="1120">IF(AND(D952="INGENIERÍA ELÉCTRICA",F952&lt;&gt;0),E952,0)</f>
        <v>#REF!</v>
      </c>
      <c r="H952" s="11" t="e">
        <f t="shared" ref="H952:H956" si="1121">IF(AND(D952="INGENIERÍA CIVIL",F952&lt;&gt;0),E952,0)</f>
        <v>#REF!</v>
      </c>
      <c r="I952" s="11" t="e">
        <f t="shared" ref="I952:I956" si="1122">IF(AND(D952="INGENIERÍA MECÁNICA",F952&lt;&gt;0),E952,0)</f>
        <v>#REF!</v>
      </c>
      <c r="J952" s="11" t="e">
        <f t="shared" ref="J952:J956" si="1123">IF(AND(D952="LINEAS",F952&lt;&gt;0),E952,0)</f>
        <v>#REF!</v>
      </c>
    </row>
    <row r="953" spans="2:10" x14ac:dyDescent="0.3">
      <c r="B953" s="400" t="s">
        <v>1259</v>
      </c>
      <c r="C953" s="9" t="e">
        <f>#REF!</f>
        <v>#REF!</v>
      </c>
      <c r="D953" s="19" t="s">
        <v>761</v>
      </c>
      <c r="E953" s="10" t="e">
        <f>#REF!</f>
        <v>#REF!</v>
      </c>
      <c r="F953" s="302" t="e">
        <f>#REF!</f>
        <v>#REF!</v>
      </c>
      <c r="G953" s="11" t="e">
        <f t="shared" si="1120"/>
        <v>#REF!</v>
      </c>
      <c r="H953" s="11" t="e">
        <f t="shared" si="1121"/>
        <v>#REF!</v>
      </c>
      <c r="I953" s="11" t="e">
        <f t="shared" si="1122"/>
        <v>#REF!</v>
      </c>
      <c r="J953" s="11" t="e">
        <f t="shared" si="1123"/>
        <v>#REF!</v>
      </c>
    </row>
    <row r="954" spans="2:10" x14ac:dyDescent="0.3">
      <c r="B954" s="400" t="s">
        <v>1259</v>
      </c>
      <c r="C954" s="9" t="e">
        <f>#REF!</f>
        <v>#REF!</v>
      </c>
      <c r="D954" s="19" t="s">
        <v>760</v>
      </c>
      <c r="E954" s="10" t="e">
        <f>#REF!</f>
        <v>#REF!</v>
      </c>
      <c r="F954" s="302" t="e">
        <f>#REF!</f>
        <v>#REF!</v>
      </c>
      <c r="G954" s="11" t="e">
        <f t="shared" si="1120"/>
        <v>#REF!</v>
      </c>
      <c r="H954" s="11" t="e">
        <f t="shared" si="1121"/>
        <v>#REF!</v>
      </c>
      <c r="I954" s="11" t="e">
        <f t="shared" si="1122"/>
        <v>#REF!</v>
      </c>
      <c r="J954" s="11" t="e">
        <f t="shared" si="1123"/>
        <v>#REF!</v>
      </c>
    </row>
    <row r="955" spans="2:10" x14ac:dyDescent="0.3">
      <c r="B955" s="400" t="s">
        <v>1259</v>
      </c>
      <c r="C955" s="9" t="e">
        <f>#REF!</f>
        <v>#REF!</v>
      </c>
      <c r="D955" s="19" t="s">
        <v>762</v>
      </c>
      <c r="E955" s="10" t="e">
        <f>#REF!</f>
        <v>#REF!</v>
      </c>
      <c r="F955" s="302" t="e">
        <f>#REF!</f>
        <v>#REF!</v>
      </c>
      <c r="G955" s="11" t="e">
        <f t="shared" si="1120"/>
        <v>#REF!</v>
      </c>
      <c r="H955" s="11" t="e">
        <f t="shared" si="1121"/>
        <v>#REF!</v>
      </c>
      <c r="I955" s="11" t="e">
        <f t="shared" si="1122"/>
        <v>#REF!</v>
      </c>
      <c r="J955" s="11" t="e">
        <f t="shared" si="1123"/>
        <v>#REF!</v>
      </c>
    </row>
    <row r="956" spans="2:10" x14ac:dyDescent="0.3">
      <c r="B956" s="400" t="s">
        <v>1259</v>
      </c>
      <c r="C956" s="9" t="e">
        <f>#REF!</f>
        <v>#REF!</v>
      </c>
      <c r="D956" s="19" t="s">
        <v>761</v>
      </c>
      <c r="E956" s="10" t="e">
        <f>#REF!</f>
        <v>#REF!</v>
      </c>
      <c r="F956" s="302" t="e">
        <f>#REF!</f>
        <v>#REF!</v>
      </c>
      <c r="G956" s="11" t="e">
        <f t="shared" si="1120"/>
        <v>#REF!</v>
      </c>
      <c r="H956" s="11" t="e">
        <f t="shared" si="1121"/>
        <v>#REF!</v>
      </c>
      <c r="I956" s="11" t="e">
        <f t="shared" si="1122"/>
        <v>#REF!</v>
      </c>
      <c r="J956" s="11" t="e">
        <f t="shared" si="1123"/>
        <v>#REF!</v>
      </c>
    </row>
    <row r="957" spans="2:10" x14ac:dyDescent="0.3">
      <c r="B957" s="400" t="s">
        <v>1260</v>
      </c>
      <c r="C957" s="9" t="e">
        <f>#REF!</f>
        <v>#REF!</v>
      </c>
      <c r="D957" s="19" t="s">
        <v>760</v>
      </c>
      <c r="E957" s="10" t="e">
        <f>#REF!</f>
        <v>#REF!</v>
      </c>
      <c r="F957" s="302" t="e">
        <f>#REF!</f>
        <v>#REF!</v>
      </c>
      <c r="G957" s="11" t="e">
        <f t="shared" ref="G957" si="1124">IF(AND(D957="INGENIERÍA ELÉCTRICA",F957&lt;&gt;0),E957,0)</f>
        <v>#REF!</v>
      </c>
      <c r="H957" s="11" t="e">
        <f t="shared" ref="H957" si="1125">IF(AND(D957="INGENIERÍA CIVIL",F957&lt;&gt;0),E957,0)</f>
        <v>#REF!</v>
      </c>
      <c r="I957" s="11" t="e">
        <f t="shared" ref="I957" si="1126">IF(AND(D957="INGENIERÍA MECÁNICA",F957&lt;&gt;0),E957,0)</f>
        <v>#REF!</v>
      </c>
      <c r="J957" s="11" t="e">
        <f t="shared" ref="J957" si="1127">IF(AND(D957="LINEAS",F957&lt;&gt;0),E957,0)</f>
        <v>#REF!</v>
      </c>
    </row>
    <row r="958" spans="2:10" x14ac:dyDescent="0.3">
      <c r="B958" s="400" t="s">
        <v>1260</v>
      </c>
      <c r="C958" s="9" t="e">
        <f>#REF!</f>
        <v>#REF!</v>
      </c>
      <c r="D958" s="19" t="s">
        <v>762</v>
      </c>
      <c r="E958" s="10" t="e">
        <f>#REF!</f>
        <v>#REF!</v>
      </c>
      <c r="F958" s="302" t="e">
        <f>#REF!</f>
        <v>#REF!</v>
      </c>
      <c r="G958" s="11" t="e">
        <f t="shared" ref="G958:G959" si="1128">IF(AND(D958="INGENIERÍA ELÉCTRICA",F958&lt;&gt;0),E958,0)</f>
        <v>#REF!</v>
      </c>
      <c r="H958" s="11" t="e">
        <f t="shared" ref="H958:H959" si="1129">IF(AND(D958="INGENIERÍA CIVIL",F958&lt;&gt;0),E958,0)</f>
        <v>#REF!</v>
      </c>
      <c r="I958" s="11" t="e">
        <f t="shared" ref="I958:I959" si="1130">IF(AND(D958="INGENIERÍA MECÁNICA",F958&lt;&gt;0),E958,0)</f>
        <v>#REF!</v>
      </c>
      <c r="J958" s="11" t="e">
        <f t="shared" ref="J958:J959" si="1131">IF(AND(D958="LINEAS",F958&lt;&gt;0),E958,0)</f>
        <v>#REF!</v>
      </c>
    </row>
    <row r="959" spans="2:10" x14ac:dyDescent="0.3">
      <c r="B959" s="400" t="s">
        <v>1260</v>
      </c>
      <c r="C959" s="9" t="e">
        <f>#REF!</f>
        <v>#REF!</v>
      </c>
      <c r="D959" s="19" t="s">
        <v>761</v>
      </c>
      <c r="E959" s="10" t="e">
        <f>#REF!</f>
        <v>#REF!</v>
      </c>
      <c r="F959" s="302" t="e">
        <f>#REF!</f>
        <v>#REF!</v>
      </c>
      <c r="G959" s="11" t="e">
        <f t="shared" si="1128"/>
        <v>#REF!</v>
      </c>
      <c r="H959" s="11" t="e">
        <f t="shared" si="1129"/>
        <v>#REF!</v>
      </c>
      <c r="I959" s="11" t="e">
        <f t="shared" si="1130"/>
        <v>#REF!</v>
      </c>
      <c r="J959" s="11" t="e">
        <f t="shared" si="1131"/>
        <v>#REF!</v>
      </c>
    </row>
    <row r="960" spans="2:10" x14ac:dyDescent="0.3">
      <c r="B960" s="400" t="s">
        <v>1261</v>
      </c>
      <c r="C960" s="9" t="e">
        <f>#REF!</f>
        <v>#REF!</v>
      </c>
      <c r="D960" s="19" t="s">
        <v>760</v>
      </c>
      <c r="E960" s="10" t="e">
        <f>#REF!</f>
        <v>#REF!</v>
      </c>
      <c r="F960" s="302" t="e">
        <f>#REF!</f>
        <v>#REF!</v>
      </c>
      <c r="G960" s="11" t="e">
        <f t="shared" ref="G960" si="1132">IF(AND(D960="INGENIERÍA ELÉCTRICA",F960&lt;&gt;0),E960,0)</f>
        <v>#REF!</v>
      </c>
      <c r="H960" s="11" t="e">
        <f t="shared" ref="H960" si="1133">IF(AND(D960="INGENIERÍA CIVIL",F960&lt;&gt;0),E960,0)</f>
        <v>#REF!</v>
      </c>
      <c r="I960" s="11" t="e">
        <f t="shared" ref="I960" si="1134">IF(AND(D960="INGENIERÍA MECÁNICA",F960&lt;&gt;0),E960,0)</f>
        <v>#REF!</v>
      </c>
      <c r="J960" s="11" t="e">
        <f t="shared" ref="J960" si="1135">IF(AND(D960="LINEAS",F960&lt;&gt;0),E960,0)</f>
        <v>#REF!</v>
      </c>
    </row>
    <row r="961" spans="2:10" x14ac:dyDescent="0.3">
      <c r="B961" s="400" t="s">
        <v>1261</v>
      </c>
      <c r="C961" s="9" t="e">
        <f>#REF!</f>
        <v>#REF!</v>
      </c>
      <c r="D961" s="19" t="s">
        <v>762</v>
      </c>
      <c r="E961" s="10" t="e">
        <f>#REF!</f>
        <v>#REF!</v>
      </c>
      <c r="F961" s="302" t="e">
        <f>#REF!</f>
        <v>#REF!</v>
      </c>
      <c r="G961" s="11" t="e">
        <f t="shared" ref="G961:G962" si="1136">IF(AND(D961="INGENIERÍA ELÉCTRICA",F961&lt;&gt;0),E961,0)</f>
        <v>#REF!</v>
      </c>
      <c r="H961" s="11" t="e">
        <f t="shared" ref="H961:H962" si="1137">IF(AND(D961="INGENIERÍA CIVIL",F961&lt;&gt;0),E961,0)</f>
        <v>#REF!</v>
      </c>
      <c r="I961" s="11" t="e">
        <f t="shared" ref="I961:I962" si="1138">IF(AND(D961="INGENIERÍA MECÁNICA",F961&lt;&gt;0),E961,0)</f>
        <v>#REF!</v>
      </c>
      <c r="J961" s="11" t="e">
        <f t="shared" ref="J961:J962" si="1139">IF(AND(D961="LINEAS",F961&lt;&gt;0),E961,0)</f>
        <v>#REF!</v>
      </c>
    </row>
    <row r="962" spans="2:10" x14ac:dyDescent="0.3">
      <c r="B962" s="400" t="s">
        <v>1261</v>
      </c>
      <c r="C962" s="9" t="e">
        <f>#REF!</f>
        <v>#REF!</v>
      </c>
      <c r="D962" s="19" t="s">
        <v>761</v>
      </c>
      <c r="E962" s="10" t="e">
        <f>#REF!</f>
        <v>#REF!</v>
      </c>
      <c r="F962" s="302" t="e">
        <f>#REF!</f>
        <v>#REF!</v>
      </c>
      <c r="G962" s="11" t="e">
        <f t="shared" si="1136"/>
        <v>#REF!</v>
      </c>
      <c r="H962" s="11" t="e">
        <f t="shared" si="1137"/>
        <v>#REF!</v>
      </c>
      <c r="I962" s="11" t="e">
        <f t="shared" si="1138"/>
        <v>#REF!</v>
      </c>
      <c r="J962" s="11" t="e">
        <f t="shared" si="1139"/>
        <v>#REF!</v>
      </c>
    </row>
    <row r="963" spans="2:10" x14ac:dyDescent="0.3">
      <c r="B963" s="400" t="s">
        <v>1278</v>
      </c>
      <c r="C963" s="9" t="str">
        <f>'OT17-333 CONCORDIA'!C14</f>
        <v>Ingeniería civil (Levantamiento e ingeniería de detalle)</v>
      </c>
      <c r="D963" s="19" t="s">
        <v>760</v>
      </c>
      <c r="E963" s="10">
        <f>'OT17-333 CONCORDIA'!L14</f>
        <v>0</v>
      </c>
      <c r="F963" s="302">
        <f>'OT17-333 CONCORDIA'!K14</f>
        <v>0</v>
      </c>
      <c r="G963" s="11">
        <f t="shared" ref="G963" si="1140">IF(AND(D963="INGENIERÍA ELÉCTRICA",F963&lt;&gt;0),E963,0)</f>
        <v>0</v>
      </c>
      <c r="H963" s="11">
        <f t="shared" ref="H963" si="1141">IF(AND(D963="INGENIERÍA CIVIL",F963&lt;&gt;0),E963,0)</f>
        <v>0</v>
      </c>
      <c r="I963" s="11">
        <f t="shared" ref="I963" si="1142">IF(AND(D963="INGENIERÍA MECÁNICA",F963&lt;&gt;0),E963,0)</f>
        <v>0</v>
      </c>
      <c r="J963" s="11">
        <f t="shared" ref="J963" si="1143">IF(AND(D963="LINEAS",F963&lt;&gt;0),E963,0)</f>
        <v>0</v>
      </c>
    </row>
    <row r="964" spans="2:10" x14ac:dyDescent="0.3">
      <c r="B964" s="400" t="s">
        <v>1278</v>
      </c>
      <c r="C964" s="9" t="str">
        <f>'OT17-333 CONCORDIA'!C15</f>
        <v>Ingeniería mecánica (Levantamiento e ingeniería de detalle)</v>
      </c>
      <c r="D964" s="19" t="s">
        <v>762</v>
      </c>
      <c r="E964" s="10">
        <f>'OT17-333 CONCORDIA'!L15</f>
        <v>0</v>
      </c>
      <c r="F964" s="302">
        <f>'OT17-333 CONCORDIA'!K15</f>
        <v>0</v>
      </c>
      <c r="G964" s="11">
        <f t="shared" ref="G964:G966" si="1144">IF(AND(D964="INGENIERÍA ELÉCTRICA",F964&lt;&gt;0),E964,0)</f>
        <v>0</v>
      </c>
      <c r="H964" s="11">
        <f t="shared" ref="H964:H966" si="1145">IF(AND(D964="INGENIERÍA CIVIL",F964&lt;&gt;0),E964,0)</f>
        <v>0</v>
      </c>
      <c r="I964" s="11">
        <f t="shared" ref="I964:I966" si="1146">IF(AND(D964="INGENIERÍA MECÁNICA",F964&lt;&gt;0),E964,0)</f>
        <v>0</v>
      </c>
      <c r="J964" s="11">
        <f t="shared" ref="J964:J966" si="1147">IF(AND(D964="LINEAS",F964&lt;&gt;0),E964,0)</f>
        <v>0</v>
      </c>
    </row>
    <row r="965" spans="2:10" x14ac:dyDescent="0.3">
      <c r="B965" s="400" t="s">
        <v>1278</v>
      </c>
      <c r="C965" s="9" t="str">
        <f>'OT17-333 CONCORDIA'!C16</f>
        <v>Ingeniería eléctrica (Levantamiento e ingeniería de detalle)</v>
      </c>
      <c r="D965" s="19" t="s">
        <v>761</v>
      </c>
      <c r="E965" s="10">
        <f>'OT17-333 CONCORDIA'!L16</f>
        <v>0</v>
      </c>
      <c r="F965" s="302">
        <f>'OT17-333 CONCORDIA'!K16</f>
        <v>0</v>
      </c>
      <c r="G965" s="11">
        <f t="shared" si="1144"/>
        <v>0</v>
      </c>
      <c r="H965" s="11">
        <f t="shared" si="1145"/>
        <v>0</v>
      </c>
      <c r="I965" s="11">
        <f t="shared" si="1146"/>
        <v>0</v>
      </c>
      <c r="J965" s="11">
        <f t="shared" si="1147"/>
        <v>0</v>
      </c>
    </row>
    <row r="966" spans="2:10" x14ac:dyDescent="0.3">
      <c r="B966" s="400" t="s">
        <v>1278</v>
      </c>
      <c r="C966" s="9" t="str">
        <f>'OT17-333 CONCORDIA'!C18</f>
        <v>Ingeniería mecánica (Levantamiento e ingeniería de detalle)</v>
      </c>
      <c r="D966" s="19" t="s">
        <v>762</v>
      </c>
      <c r="E966" s="10">
        <f>'OT17-333 CONCORDIA'!L18</f>
        <v>0</v>
      </c>
      <c r="F966" s="302">
        <f>'OT17-333 CONCORDIA'!K18</f>
        <v>0</v>
      </c>
      <c r="G966" s="11">
        <f t="shared" si="1144"/>
        <v>0</v>
      </c>
      <c r="H966" s="11">
        <f t="shared" si="1145"/>
        <v>0</v>
      </c>
      <c r="I966" s="11">
        <f t="shared" si="1146"/>
        <v>0</v>
      </c>
      <c r="J966" s="11">
        <f t="shared" si="1147"/>
        <v>0</v>
      </c>
    </row>
    <row r="967" spans="2:10" x14ac:dyDescent="0.3">
      <c r="B967" s="400" t="s">
        <v>1278</v>
      </c>
      <c r="C967" s="9" t="str">
        <f>'OT17-333 CONCORDIA'!C19</f>
        <v>Ingeniería eléctrica (Levantamiento e ingeniería de detalle)</v>
      </c>
      <c r="D967" s="19" t="s">
        <v>761</v>
      </c>
      <c r="E967" s="10">
        <f>'OT17-333 CONCORDIA'!L19</f>
        <v>0</v>
      </c>
      <c r="F967" s="302">
        <f>'OT17-333 CONCORDIA'!K19</f>
        <v>0</v>
      </c>
      <c r="G967" s="11">
        <f t="shared" ref="G967" si="1148">IF(AND(D967="INGENIERÍA ELÉCTRICA",F967&lt;&gt;0),E967,0)</f>
        <v>0</v>
      </c>
      <c r="H967" s="11">
        <f t="shared" ref="H967" si="1149">IF(AND(D967="INGENIERÍA CIVIL",F967&lt;&gt;0),E967,0)</f>
        <v>0</v>
      </c>
      <c r="I967" s="11">
        <f t="shared" ref="I967" si="1150">IF(AND(D967="INGENIERÍA MECÁNICA",F967&lt;&gt;0),E967,0)</f>
        <v>0</v>
      </c>
      <c r="J967" s="11">
        <f t="shared" ref="J967" si="1151">IF(AND(D967="LINEAS",F967&lt;&gt;0),E967,0)</f>
        <v>0</v>
      </c>
    </row>
    <row r="968" spans="2:10" x14ac:dyDescent="0.3">
      <c r="B968" s="400" t="s">
        <v>1278</v>
      </c>
      <c r="C968" s="9" t="str">
        <f>'OT17-333 CONCORDIA'!C21</f>
        <v>Ingeniería eléctrica (Levantamiento e ingeniería de detalle)</v>
      </c>
      <c r="D968" s="19" t="s">
        <v>761</v>
      </c>
      <c r="E968" s="10">
        <f>'OT17-333 CONCORDIA'!L21</f>
        <v>0</v>
      </c>
      <c r="F968" s="302">
        <f>'OT17-333 CONCORDIA'!K21</f>
        <v>0</v>
      </c>
      <c r="G968" s="11">
        <f t="shared" ref="G968:G969" si="1152">IF(AND(D968="INGENIERÍA ELÉCTRICA",F968&lt;&gt;0),E968,0)</f>
        <v>0</v>
      </c>
      <c r="H968" s="11">
        <f t="shared" ref="H968:H969" si="1153">IF(AND(D968="INGENIERÍA CIVIL",F968&lt;&gt;0),E968,0)</f>
        <v>0</v>
      </c>
      <c r="I968" s="11">
        <f t="shared" ref="I968:I969" si="1154">IF(AND(D968="INGENIERÍA MECÁNICA",F968&lt;&gt;0),E968,0)</f>
        <v>0</v>
      </c>
      <c r="J968" s="11">
        <f t="shared" ref="J968:J969" si="1155">IF(AND(D968="LINEAS",F968&lt;&gt;0),E968,0)</f>
        <v>0</v>
      </c>
    </row>
    <row r="969" spans="2:10" x14ac:dyDescent="0.3">
      <c r="B969" s="400" t="s">
        <v>1278</v>
      </c>
      <c r="C969" s="9" t="str">
        <f>'OT17-333 CONCORDIA'!C23</f>
        <v>Ingeniería eléctrica (Levantamiento e ingeniería de detalle)</v>
      </c>
      <c r="D969" s="19" t="s">
        <v>761</v>
      </c>
      <c r="E969" s="10">
        <f>'OT17-333 CONCORDIA'!L23</f>
        <v>0</v>
      </c>
      <c r="F969" s="302">
        <f>'OT17-333 CONCORDIA'!K23</f>
        <v>0</v>
      </c>
      <c r="G969" s="11">
        <f t="shared" si="1152"/>
        <v>0</v>
      </c>
      <c r="H969" s="11">
        <f t="shared" si="1153"/>
        <v>0</v>
      </c>
      <c r="I969" s="11">
        <f t="shared" si="1154"/>
        <v>0</v>
      </c>
      <c r="J969" s="11">
        <f t="shared" si="1155"/>
        <v>0</v>
      </c>
    </row>
    <row r="970" spans="2:10" x14ac:dyDescent="0.3">
      <c r="B970" s="400" t="s">
        <v>1278</v>
      </c>
      <c r="C970" s="9" t="str">
        <f>'OT17-333 CONCORDIA'!C25</f>
        <v>Ingeniería eléctrica (Levantamiento e ingeniería de detalle)</v>
      </c>
      <c r="D970" s="19" t="s">
        <v>761</v>
      </c>
      <c r="E970" s="10">
        <f>'OT17-333 CONCORDIA'!L25</f>
        <v>5221201</v>
      </c>
      <c r="F970" s="302">
        <f>'OT17-333 CONCORDIA'!K25</f>
        <v>0.42</v>
      </c>
      <c r="G970" s="11">
        <f t="shared" ref="G970:G971" si="1156">IF(AND(D970="INGENIERÍA ELÉCTRICA",F970&lt;&gt;0),E970,0)</f>
        <v>5221201</v>
      </c>
      <c r="H970" s="11">
        <f t="shared" ref="H970:H971" si="1157">IF(AND(D970="INGENIERÍA CIVIL",F970&lt;&gt;0),E970,0)</f>
        <v>0</v>
      </c>
      <c r="I970" s="11">
        <f t="shared" ref="I970:I971" si="1158">IF(AND(D970="INGENIERÍA MECÁNICA",F970&lt;&gt;0),E970,0)</f>
        <v>0</v>
      </c>
      <c r="J970" s="11">
        <f t="shared" ref="J970:J971" si="1159">IF(AND(D970="LINEAS",F970&lt;&gt;0),E970,0)</f>
        <v>0</v>
      </c>
    </row>
    <row r="971" spans="2:10" x14ac:dyDescent="0.3">
      <c r="B971" s="400" t="s">
        <v>1278</v>
      </c>
      <c r="C971" s="9" t="str">
        <f>'OT17-333 CONCORDIA'!C27</f>
        <v>Ingeniería eléctrica (Levantamiento e ingeniería de detalle)</v>
      </c>
      <c r="D971" s="19" t="s">
        <v>761</v>
      </c>
      <c r="E971" s="10">
        <f>'OT17-333 CONCORDIA'!L27</f>
        <v>0</v>
      </c>
      <c r="F971" s="302">
        <f>'OT17-333 CONCORDIA'!K27</f>
        <v>0</v>
      </c>
      <c r="G971" s="11">
        <f t="shared" si="1156"/>
        <v>0</v>
      </c>
      <c r="H971" s="11">
        <f t="shared" si="1157"/>
        <v>0</v>
      </c>
      <c r="I971" s="11">
        <f t="shared" si="1158"/>
        <v>0</v>
      </c>
      <c r="J971" s="11">
        <f t="shared" si="1159"/>
        <v>0</v>
      </c>
    </row>
    <row r="972" spans="2:10" x14ac:dyDescent="0.3">
      <c r="B972" s="400" t="s">
        <v>1278</v>
      </c>
      <c r="C972" s="9" t="str">
        <f>'OT17-333 CONCORDIA'!C29</f>
        <v>Ingeniería eléctrica (Levantamiento e ingeniería de detalle)</v>
      </c>
      <c r="D972" s="19" t="s">
        <v>761</v>
      </c>
      <c r="E972" s="10">
        <f>'OT17-333 CONCORDIA'!L29</f>
        <v>0</v>
      </c>
      <c r="F972" s="302">
        <f>'OT17-333 CONCORDIA'!K29</f>
        <v>0</v>
      </c>
      <c r="G972" s="11">
        <f t="shared" ref="G972" si="1160">IF(AND(D972="INGENIERÍA ELÉCTRICA",F972&lt;&gt;0),E972,0)</f>
        <v>0</v>
      </c>
      <c r="H972" s="11">
        <f t="shared" ref="H972" si="1161">IF(AND(D972="INGENIERÍA CIVIL",F972&lt;&gt;0),E972,0)</f>
        <v>0</v>
      </c>
      <c r="I972" s="11">
        <f t="shared" ref="I972" si="1162">IF(AND(D972="INGENIERÍA MECÁNICA",F972&lt;&gt;0),E972,0)</f>
        <v>0</v>
      </c>
      <c r="J972" s="11">
        <f t="shared" ref="J972" si="1163">IF(AND(D972="LINEAS",F972&lt;&gt;0),E972,0)</f>
        <v>0</v>
      </c>
    </row>
    <row r="973" spans="2:10" x14ac:dyDescent="0.3">
      <c r="B973" s="400" t="s">
        <v>1278</v>
      </c>
      <c r="C973" s="9" t="str">
        <f>'OT17-333 CONCORDIA'!C31</f>
        <v>Ingeniería eléctrica (Levantamiento e ingeniería de detalle)</v>
      </c>
      <c r="D973" s="19" t="s">
        <v>761</v>
      </c>
      <c r="E973" s="10">
        <f>'OT17-333 CONCORDIA'!L31</f>
        <v>0</v>
      </c>
      <c r="F973" s="302">
        <f>'OT17-333 CONCORDIA'!K31</f>
        <v>0</v>
      </c>
      <c r="G973" s="11">
        <f t="shared" ref="G973:G974" si="1164">IF(AND(D973="INGENIERÍA ELÉCTRICA",F973&lt;&gt;0),E973,0)</f>
        <v>0</v>
      </c>
      <c r="H973" s="11">
        <f t="shared" ref="H973:H974" si="1165">IF(AND(D973="INGENIERÍA CIVIL",F973&lt;&gt;0),E973,0)</f>
        <v>0</v>
      </c>
      <c r="I973" s="11">
        <f t="shared" ref="I973:I974" si="1166">IF(AND(D973="INGENIERÍA MECÁNICA",F973&lt;&gt;0),E973,0)</f>
        <v>0</v>
      </c>
      <c r="J973" s="11">
        <f t="shared" ref="J973:J974" si="1167">IF(AND(D973="LINEAS",F973&lt;&gt;0),E973,0)</f>
        <v>0</v>
      </c>
    </row>
    <row r="974" spans="2:10" x14ac:dyDescent="0.3">
      <c r="B974" s="400" t="s">
        <v>1278</v>
      </c>
      <c r="C974" s="9" t="str">
        <f>'OT17-333 CONCORDIA'!C33</f>
        <v>Ingeniería eléctrica (Levantamiento e ingeniería de detalle)</v>
      </c>
      <c r="D974" s="19" t="s">
        <v>761</v>
      </c>
      <c r="E974" s="10">
        <f>'OT17-333 CONCORDIA'!L33</f>
        <v>0</v>
      </c>
      <c r="F974" s="302">
        <f>'OT17-333 CONCORDIA'!K33</f>
        <v>0</v>
      </c>
      <c r="G974" s="11">
        <f t="shared" si="1164"/>
        <v>0</v>
      </c>
      <c r="H974" s="11">
        <f t="shared" si="1165"/>
        <v>0</v>
      </c>
      <c r="I974" s="11">
        <f t="shared" si="1166"/>
        <v>0</v>
      </c>
      <c r="J974" s="11">
        <f t="shared" si="1167"/>
        <v>0</v>
      </c>
    </row>
    <row r="975" spans="2:10" x14ac:dyDescent="0.3">
      <c r="B975" s="400" t="s">
        <v>1262</v>
      </c>
      <c r="C975" s="9" t="e">
        <f>#REF!</f>
        <v>#REF!</v>
      </c>
      <c r="D975" s="19" t="s">
        <v>760</v>
      </c>
      <c r="E975" s="10" t="e">
        <f>#REF!</f>
        <v>#REF!</v>
      </c>
      <c r="F975" s="302" t="e">
        <f>#REF!</f>
        <v>#REF!</v>
      </c>
      <c r="G975" s="11" t="e">
        <f t="shared" ref="G975" si="1168">IF(AND(D975="INGENIERÍA ELÉCTRICA",F975&lt;&gt;0),E975,0)</f>
        <v>#REF!</v>
      </c>
      <c r="H975" s="11" t="e">
        <f t="shared" ref="H975" si="1169">IF(AND(D975="INGENIERÍA CIVIL",F975&lt;&gt;0),E975,0)</f>
        <v>#REF!</v>
      </c>
      <c r="I975" s="11" t="e">
        <f t="shared" ref="I975" si="1170">IF(AND(D975="INGENIERÍA MECÁNICA",F975&lt;&gt;0),E975,0)</f>
        <v>#REF!</v>
      </c>
      <c r="J975" s="11" t="e">
        <f t="shared" ref="J975" si="1171">IF(AND(D975="LINEAS",F975&lt;&gt;0),E975,0)</f>
        <v>#REF!</v>
      </c>
    </row>
    <row r="976" spans="2:10" x14ac:dyDescent="0.3">
      <c r="B976" s="400" t="s">
        <v>1262</v>
      </c>
      <c r="C976" s="9" t="e">
        <f>#REF!</f>
        <v>#REF!</v>
      </c>
      <c r="D976" s="19" t="s">
        <v>762</v>
      </c>
      <c r="E976" s="10" t="e">
        <f>#REF!</f>
        <v>#REF!</v>
      </c>
      <c r="F976" s="302" t="e">
        <f>#REF!</f>
        <v>#REF!</v>
      </c>
      <c r="G976" s="11" t="e">
        <f t="shared" ref="G976:G980" si="1172">IF(AND(D976="INGENIERÍA ELÉCTRICA",F976&lt;&gt;0),E976,0)</f>
        <v>#REF!</v>
      </c>
      <c r="H976" s="11" t="e">
        <f t="shared" ref="H976:H980" si="1173">IF(AND(D976="INGENIERÍA CIVIL",F976&lt;&gt;0),E976,0)</f>
        <v>#REF!</v>
      </c>
      <c r="I976" s="11" t="e">
        <f t="shared" ref="I976:I980" si="1174">IF(AND(D976="INGENIERÍA MECÁNICA",F976&lt;&gt;0),E976,0)</f>
        <v>#REF!</v>
      </c>
      <c r="J976" s="11" t="e">
        <f t="shared" ref="J976:J980" si="1175">IF(AND(D976="LINEAS",F976&lt;&gt;0),E976,0)</f>
        <v>#REF!</v>
      </c>
    </row>
    <row r="977" spans="2:10" x14ac:dyDescent="0.3">
      <c r="B977" s="400" t="s">
        <v>1262</v>
      </c>
      <c r="C977" s="9" t="e">
        <f>#REF!</f>
        <v>#REF!</v>
      </c>
      <c r="D977" s="19" t="s">
        <v>761</v>
      </c>
      <c r="E977" s="10" t="e">
        <f>#REF!</f>
        <v>#REF!</v>
      </c>
      <c r="F977" s="302" t="e">
        <f>#REF!</f>
        <v>#REF!</v>
      </c>
      <c r="G977" s="11" t="e">
        <f t="shared" si="1172"/>
        <v>#REF!</v>
      </c>
      <c r="H977" s="11" t="e">
        <f t="shared" si="1173"/>
        <v>#REF!</v>
      </c>
      <c r="I977" s="11" t="e">
        <f t="shared" si="1174"/>
        <v>#REF!</v>
      </c>
      <c r="J977" s="11" t="e">
        <f t="shared" si="1175"/>
        <v>#REF!</v>
      </c>
    </row>
    <row r="978" spans="2:10" x14ac:dyDescent="0.3">
      <c r="B978" s="400" t="s">
        <v>1262</v>
      </c>
      <c r="C978" s="9" t="e">
        <f>#REF!</f>
        <v>#REF!</v>
      </c>
      <c r="D978" s="19" t="s">
        <v>760</v>
      </c>
      <c r="E978" s="10" t="e">
        <f>#REF!</f>
        <v>#REF!</v>
      </c>
      <c r="F978" s="302" t="e">
        <f>#REF!</f>
        <v>#REF!</v>
      </c>
      <c r="G978" s="11" t="e">
        <f t="shared" si="1172"/>
        <v>#REF!</v>
      </c>
      <c r="H978" s="11" t="e">
        <f t="shared" si="1173"/>
        <v>#REF!</v>
      </c>
      <c r="I978" s="11" t="e">
        <f t="shared" si="1174"/>
        <v>#REF!</v>
      </c>
      <c r="J978" s="11" t="e">
        <f t="shared" si="1175"/>
        <v>#REF!</v>
      </c>
    </row>
    <row r="979" spans="2:10" x14ac:dyDescent="0.3">
      <c r="B979" s="400" t="s">
        <v>1262</v>
      </c>
      <c r="C979" s="9" t="e">
        <f>#REF!</f>
        <v>#REF!</v>
      </c>
      <c r="D979" s="19" t="s">
        <v>762</v>
      </c>
      <c r="E979" s="10" t="e">
        <f>#REF!</f>
        <v>#REF!</v>
      </c>
      <c r="F979" s="302" t="e">
        <f>#REF!</f>
        <v>#REF!</v>
      </c>
      <c r="G979" s="11" t="e">
        <f t="shared" si="1172"/>
        <v>#REF!</v>
      </c>
      <c r="H979" s="11" t="e">
        <f t="shared" si="1173"/>
        <v>#REF!</v>
      </c>
      <c r="I979" s="11" t="e">
        <f t="shared" si="1174"/>
        <v>#REF!</v>
      </c>
      <c r="J979" s="11" t="e">
        <f t="shared" si="1175"/>
        <v>#REF!</v>
      </c>
    </row>
    <row r="980" spans="2:10" x14ac:dyDescent="0.3">
      <c r="B980" s="400" t="s">
        <v>1262</v>
      </c>
      <c r="C980" s="9" t="e">
        <f>#REF!</f>
        <v>#REF!</v>
      </c>
      <c r="D980" s="19" t="s">
        <v>761</v>
      </c>
      <c r="E980" s="10" t="e">
        <f>#REF!</f>
        <v>#REF!</v>
      </c>
      <c r="F980" s="302" t="e">
        <f>#REF!</f>
        <v>#REF!</v>
      </c>
      <c r="G980" s="11" t="e">
        <f t="shared" si="1172"/>
        <v>#REF!</v>
      </c>
      <c r="H980" s="11" t="e">
        <f t="shared" si="1173"/>
        <v>#REF!</v>
      </c>
      <c r="I980" s="11" t="e">
        <f t="shared" si="1174"/>
        <v>#REF!</v>
      </c>
      <c r="J980" s="11" t="e">
        <f t="shared" si="1175"/>
        <v>#REF!</v>
      </c>
    </row>
    <row r="981" spans="2:10" x14ac:dyDescent="0.3">
      <c r="B981" s="400" t="s">
        <v>1262</v>
      </c>
      <c r="C981" s="9" t="e">
        <f>#REF!</f>
        <v>#REF!</v>
      </c>
      <c r="D981" s="9" t="s">
        <v>761</v>
      </c>
      <c r="E981" s="10" t="e">
        <f>#REF!</f>
        <v>#REF!</v>
      </c>
      <c r="F981" s="302" t="e">
        <f>#REF!</f>
        <v>#REF!</v>
      </c>
      <c r="G981" s="11" t="e">
        <f t="shared" ref="G981" si="1176">IF(AND(D981="INGENIERÍA ELÉCTRICA",F981&lt;&gt;0),E981,0)</f>
        <v>#REF!</v>
      </c>
      <c r="H981" s="11" t="e">
        <f t="shared" ref="H981" si="1177">IF(AND(D981="INGENIERÍA CIVIL",F981&lt;&gt;0),E981,0)</f>
        <v>#REF!</v>
      </c>
      <c r="I981" s="11" t="e">
        <f t="shared" ref="I981" si="1178">IF(AND(D981="INGENIERÍA MECÁNICA",F981&lt;&gt;0),E981,0)</f>
        <v>#REF!</v>
      </c>
      <c r="J981" s="11" t="e">
        <f t="shared" ref="J981" si="1179">IF(AND(D981="LINEAS",F981&lt;&gt;0),E981,0)</f>
        <v>#REF!</v>
      </c>
    </row>
    <row r="982" spans="2:10" x14ac:dyDescent="0.3">
      <c r="B982" s="401" t="s">
        <v>1277</v>
      </c>
      <c r="C982" s="9" t="str">
        <f>'OT17-189 CUCUNUBÁ'!C14</f>
        <v>Diseño civil (Levantamiento e ingeniería de detalle)</v>
      </c>
      <c r="D982" s="9" t="s">
        <v>760</v>
      </c>
      <c r="E982" s="10">
        <f>'OT17-189 CUCUNUBÁ'!O14</f>
        <v>0</v>
      </c>
      <c r="F982" s="302">
        <f>'OT17-189 CUCUNUBÁ'!N14</f>
        <v>0</v>
      </c>
      <c r="G982" s="11">
        <f t="shared" ref="G982" si="1180">IF(AND(D982="INGENIERÍA ELÉCTRICA",F982&lt;&gt;0),E982,0)</f>
        <v>0</v>
      </c>
      <c r="H982" s="11">
        <f t="shared" ref="H982" si="1181">IF(AND(D982="INGENIERÍA CIVIL",F982&lt;&gt;0),E982,0)</f>
        <v>0</v>
      </c>
      <c r="I982" s="11">
        <f t="shared" ref="I982" si="1182">IF(AND(D982="INGENIERÍA MECÁNICA",F982&lt;&gt;0),E982,0)</f>
        <v>0</v>
      </c>
      <c r="J982" s="11">
        <f t="shared" ref="J982" si="1183">IF(AND(D982="LINEAS",F982&lt;&gt;0),E982,0)</f>
        <v>0</v>
      </c>
    </row>
    <row r="983" spans="2:10" x14ac:dyDescent="0.3">
      <c r="B983" s="401" t="s">
        <v>1277</v>
      </c>
      <c r="C983" s="9" t="str">
        <f>'OT17-189 CUCUNUBÁ'!C15</f>
        <v>Ingeniería mecánica (Levantamiento e ingeniería de detalle)</v>
      </c>
      <c r="D983" s="9" t="s">
        <v>762</v>
      </c>
      <c r="E983" s="10">
        <f>'OT17-189 CUCUNUBÁ'!O15</f>
        <v>0</v>
      </c>
      <c r="F983" s="302">
        <f>'OT17-189 CUCUNUBÁ'!N15</f>
        <v>0</v>
      </c>
      <c r="G983" s="11">
        <f t="shared" ref="G983:G987" si="1184">IF(AND(D983="INGENIERÍA ELÉCTRICA",F983&lt;&gt;0),E983,0)</f>
        <v>0</v>
      </c>
      <c r="H983" s="11">
        <f t="shared" ref="H983:H987" si="1185">IF(AND(D983="INGENIERÍA CIVIL",F983&lt;&gt;0),E983,0)</f>
        <v>0</v>
      </c>
      <c r="I983" s="11">
        <f t="shared" ref="I983:I987" si="1186">IF(AND(D983="INGENIERÍA MECÁNICA",F983&lt;&gt;0),E983,0)</f>
        <v>0</v>
      </c>
      <c r="J983" s="11">
        <f t="shared" ref="J983:J987" si="1187">IF(AND(D983="LINEAS",F983&lt;&gt;0),E983,0)</f>
        <v>0</v>
      </c>
    </row>
    <row r="984" spans="2:10" x14ac:dyDescent="0.3">
      <c r="B984" s="401" t="s">
        <v>1277</v>
      </c>
      <c r="C984" s="9" t="str">
        <f>'OT17-189 CUCUNUBÁ'!C16</f>
        <v>Ingeniería eléctrica (Levantamiento e ingeniería de detalle)</v>
      </c>
      <c r="D984" s="9" t="s">
        <v>761</v>
      </c>
      <c r="E984" s="10">
        <f>'OT17-189 CUCUNUBÁ'!O16</f>
        <v>0</v>
      </c>
      <c r="F984" s="302">
        <f>'OT17-189 CUCUNUBÁ'!N16</f>
        <v>0</v>
      </c>
      <c r="G984" s="11">
        <f t="shared" si="1184"/>
        <v>0</v>
      </c>
      <c r="H984" s="11">
        <f t="shared" si="1185"/>
        <v>0</v>
      </c>
      <c r="I984" s="11">
        <f t="shared" si="1186"/>
        <v>0</v>
      </c>
      <c r="J984" s="11">
        <f t="shared" si="1187"/>
        <v>0</v>
      </c>
    </row>
    <row r="985" spans="2:10" x14ac:dyDescent="0.3">
      <c r="B985" s="401" t="s">
        <v>1277</v>
      </c>
      <c r="C985" s="9" t="str">
        <f>'OT17-189 CUCUNUBÁ'!C18</f>
        <v>Diseño civil (Levantamiento e ingeniería de detalle)</v>
      </c>
      <c r="D985" s="9" t="s">
        <v>760</v>
      </c>
      <c r="E985" s="10">
        <f>'OT17-189 CUCUNUBÁ'!O18</f>
        <v>0</v>
      </c>
      <c r="F985" s="302">
        <f>'OT17-189 CUCUNUBÁ'!N18</f>
        <v>0</v>
      </c>
      <c r="G985" s="11">
        <f t="shared" si="1184"/>
        <v>0</v>
      </c>
      <c r="H985" s="11">
        <f t="shared" si="1185"/>
        <v>0</v>
      </c>
      <c r="I985" s="11">
        <f t="shared" si="1186"/>
        <v>0</v>
      </c>
      <c r="J985" s="11">
        <f t="shared" si="1187"/>
        <v>0</v>
      </c>
    </row>
    <row r="986" spans="2:10" x14ac:dyDescent="0.3">
      <c r="B986" s="401" t="s">
        <v>1277</v>
      </c>
      <c r="C986" s="9" t="str">
        <f>'OT17-189 CUCUNUBÁ'!C19</f>
        <v>Ingeniería mecánica (Levantamiento e ingeniería de detalle)</v>
      </c>
      <c r="D986" s="9" t="s">
        <v>762</v>
      </c>
      <c r="E986" s="10">
        <f>'OT17-189 CUCUNUBÁ'!O19</f>
        <v>0</v>
      </c>
      <c r="F986" s="302">
        <f>'OT17-189 CUCUNUBÁ'!N19</f>
        <v>0</v>
      </c>
      <c r="G986" s="11">
        <f t="shared" si="1184"/>
        <v>0</v>
      </c>
      <c r="H986" s="11">
        <f t="shared" si="1185"/>
        <v>0</v>
      </c>
      <c r="I986" s="11">
        <f t="shared" si="1186"/>
        <v>0</v>
      </c>
      <c r="J986" s="11">
        <f t="shared" si="1187"/>
        <v>0</v>
      </c>
    </row>
    <row r="987" spans="2:10" x14ac:dyDescent="0.3">
      <c r="B987" s="401" t="s">
        <v>1277</v>
      </c>
      <c r="C987" s="9" t="str">
        <f>'OT17-189 CUCUNUBÁ'!C20</f>
        <v>Ingeniería eléctrica (Levantamiento e ingeniería de detalle)</v>
      </c>
      <c r="D987" s="9" t="s">
        <v>761</v>
      </c>
      <c r="E987" s="10">
        <f>'OT17-189 CUCUNUBÁ'!O20</f>
        <v>1284929</v>
      </c>
      <c r="F987" s="302">
        <f>'OT17-189 CUCUNUBÁ'!N20</f>
        <v>0.3</v>
      </c>
      <c r="G987" s="11">
        <f t="shared" si="1184"/>
        <v>1284929</v>
      </c>
      <c r="H987" s="11">
        <f t="shared" si="1185"/>
        <v>0</v>
      </c>
      <c r="I987" s="11">
        <f t="shared" si="1186"/>
        <v>0</v>
      </c>
      <c r="J987" s="11">
        <f t="shared" si="1187"/>
        <v>0</v>
      </c>
    </row>
    <row r="988" spans="2:10" x14ac:dyDescent="0.3">
      <c r="B988" s="401" t="s">
        <v>847</v>
      </c>
      <c r="C988" s="9" t="str">
        <f>'OT17-259 CAJICA'!C14</f>
        <v>Ingeniería civil (Levantamiento e ingeniería de detalle)</v>
      </c>
      <c r="D988" s="9" t="s">
        <v>760</v>
      </c>
      <c r="E988" s="10">
        <f>'OT17-259 CAJICA'!L14</f>
        <v>1655087</v>
      </c>
      <c r="F988" s="302">
        <f>'OT17-259 CAJICA'!K14</f>
        <v>0.24499999999999997</v>
      </c>
      <c r="G988" s="11">
        <f t="shared" ref="G988" si="1188">IF(AND(D988="INGENIERÍA ELÉCTRICA",F988&lt;&gt;0),E988,0)</f>
        <v>0</v>
      </c>
      <c r="H988" s="11">
        <f t="shared" ref="H988" si="1189">IF(AND(D988="INGENIERÍA CIVIL",F988&lt;&gt;0),E988,0)</f>
        <v>1655087</v>
      </c>
      <c r="I988" s="11">
        <f t="shared" ref="I988" si="1190">IF(AND(D988="INGENIERÍA MECÁNICA",F988&lt;&gt;0),E988,0)</f>
        <v>0</v>
      </c>
      <c r="J988" s="11">
        <f t="shared" ref="J988" si="1191">IF(AND(D988="LINEAS",F988&lt;&gt;0),E988,0)</f>
        <v>0</v>
      </c>
    </row>
    <row r="989" spans="2:10" x14ac:dyDescent="0.3">
      <c r="B989" s="401" t="s">
        <v>847</v>
      </c>
      <c r="C989" s="9" t="str">
        <f>'OT17-259 CAJICA'!C15</f>
        <v>Ingeniería mecánica (Levantamiento e ingeniería de detalle)</v>
      </c>
      <c r="D989" s="9" t="s">
        <v>762</v>
      </c>
      <c r="E989" s="10">
        <f>'OT17-259 CAJICA'!L15</f>
        <v>0</v>
      </c>
      <c r="F989" s="302">
        <f>'OT17-259 CAJICA'!K15</f>
        <v>0</v>
      </c>
      <c r="G989" s="11">
        <f t="shared" ref="G989:G990" si="1192">IF(AND(D989="INGENIERÍA ELÉCTRICA",F989&lt;&gt;0),E989,0)</f>
        <v>0</v>
      </c>
      <c r="H989" s="11">
        <f t="shared" ref="H989:H990" si="1193">IF(AND(D989="INGENIERÍA CIVIL",F989&lt;&gt;0),E989,0)</f>
        <v>0</v>
      </c>
      <c r="I989" s="11">
        <f t="shared" ref="I989:I990" si="1194">IF(AND(D989="INGENIERÍA MECÁNICA",F989&lt;&gt;0),E989,0)</f>
        <v>0</v>
      </c>
      <c r="J989" s="11">
        <f t="shared" ref="J989:J990" si="1195">IF(AND(D989="LINEAS",F989&lt;&gt;0),E989,0)</f>
        <v>0</v>
      </c>
    </row>
    <row r="990" spans="2:10" x14ac:dyDescent="0.3">
      <c r="B990" s="401" t="s">
        <v>847</v>
      </c>
      <c r="C990" s="9" t="str">
        <f>'OT17-259 CAJICA'!C16</f>
        <v>Ingeniería eléctrica (Levantamiento e ingeniería de detalle)</v>
      </c>
      <c r="D990" s="9" t="s">
        <v>761</v>
      </c>
      <c r="E990" s="10">
        <f>'OT17-259 CAJICA'!L16</f>
        <v>0</v>
      </c>
      <c r="F990" s="302">
        <f>'OT17-259 CAJICA'!K16</f>
        <v>0</v>
      </c>
      <c r="G990" s="11">
        <f t="shared" si="1192"/>
        <v>0</v>
      </c>
      <c r="H990" s="11">
        <f t="shared" si="1193"/>
        <v>0</v>
      </c>
      <c r="I990" s="11">
        <f t="shared" si="1194"/>
        <v>0</v>
      </c>
      <c r="J990" s="11">
        <f t="shared" si="1195"/>
        <v>0</v>
      </c>
    </row>
    <row r="991" spans="2:10" x14ac:dyDescent="0.3">
      <c r="B991" s="401" t="s">
        <v>1279</v>
      </c>
      <c r="C991" s="9" t="e">
        <f>#REF!</f>
        <v>#REF!</v>
      </c>
      <c r="D991" s="9" t="s">
        <v>760</v>
      </c>
      <c r="E991" s="10" t="e">
        <f>#REF!</f>
        <v>#REF!</v>
      </c>
      <c r="F991" s="302" t="e">
        <f>#REF!</f>
        <v>#REF!</v>
      </c>
      <c r="G991" s="11" t="e">
        <f t="shared" ref="G991" si="1196">IF(AND(D991="INGENIERÍA ELÉCTRICA",F991&lt;&gt;0),E991,0)</f>
        <v>#REF!</v>
      </c>
      <c r="H991" s="11" t="e">
        <f t="shared" ref="H991" si="1197">IF(AND(D991="INGENIERÍA CIVIL",F991&lt;&gt;0),E991,0)</f>
        <v>#REF!</v>
      </c>
      <c r="I991" s="11" t="e">
        <f t="shared" ref="I991" si="1198">IF(AND(D991="INGENIERÍA MECÁNICA",F991&lt;&gt;0),E991,0)</f>
        <v>#REF!</v>
      </c>
      <c r="J991" s="11" t="e">
        <f t="shared" ref="J991" si="1199">IF(AND(D991="LINEAS",F991&lt;&gt;0),E991,0)</f>
        <v>#REF!</v>
      </c>
    </row>
    <row r="992" spans="2:10" x14ac:dyDescent="0.3">
      <c r="B992" s="401" t="s">
        <v>1279</v>
      </c>
      <c r="C992" s="9" t="e">
        <f>#REF!</f>
        <v>#REF!</v>
      </c>
      <c r="D992" s="9" t="s">
        <v>760</v>
      </c>
      <c r="E992" s="10" t="e">
        <f>#REF!</f>
        <v>#REF!</v>
      </c>
      <c r="F992" s="302" t="e">
        <f>#REF!</f>
        <v>#REF!</v>
      </c>
      <c r="G992" s="11" t="e">
        <f t="shared" ref="G992" si="1200">IF(AND(D992="INGENIERÍA ELÉCTRICA",F992&lt;&gt;0),E992,0)</f>
        <v>#REF!</v>
      </c>
      <c r="H992" s="11" t="e">
        <f t="shared" ref="H992" si="1201">IF(AND(D992="INGENIERÍA CIVIL",F992&lt;&gt;0),E992,0)</f>
        <v>#REF!</v>
      </c>
      <c r="I992" s="11" t="e">
        <f t="shared" ref="I992" si="1202">IF(AND(D992="INGENIERÍA MECÁNICA",F992&lt;&gt;0),E992,0)</f>
        <v>#REF!</v>
      </c>
      <c r="J992" s="11" t="e">
        <f t="shared" ref="J992" si="1203">IF(AND(D992="LINEAS",F992&lt;&gt;0),E992,0)</f>
        <v>#REF!</v>
      </c>
    </row>
    <row r="993" spans="2:10" x14ac:dyDescent="0.3">
      <c r="B993" s="401"/>
      <c r="F993" s="302"/>
    </row>
    <row r="994" spans="2:10" x14ac:dyDescent="0.3">
      <c r="B994" s="401"/>
      <c r="F994" s="302"/>
    </row>
    <row r="995" spans="2:10" x14ac:dyDescent="0.3">
      <c r="E995" s="11" t="e">
        <f>SUM(E2:E992)</f>
        <v>#REF!</v>
      </c>
      <c r="F995" s="148"/>
      <c r="G995" s="11" t="e">
        <f>SUM(G2:G992)</f>
        <v>#REF!</v>
      </c>
      <c r="H995" s="11" t="e">
        <f>SUM(H2:H992)</f>
        <v>#REF!</v>
      </c>
      <c r="I995" s="11" t="e">
        <f>SUM(I2:I992)</f>
        <v>#REF!</v>
      </c>
      <c r="J995" s="11" t="e">
        <f>SUM(J2:J992)</f>
        <v>#REF!</v>
      </c>
    </row>
    <row r="996" spans="2:10" x14ac:dyDescent="0.3">
      <c r="H996" s="14"/>
    </row>
    <row r="997" spans="2:10" x14ac:dyDescent="0.3">
      <c r="G997" s="11" t="e">
        <f>G995+H995+I995+J995</f>
        <v>#REF!</v>
      </c>
    </row>
    <row r="998" spans="2:10" x14ac:dyDescent="0.3">
      <c r="H998" s="15"/>
      <c r="I998" s="15"/>
      <c r="J998" s="15"/>
    </row>
    <row r="999" spans="2:10" x14ac:dyDescent="0.3">
      <c r="G999" s="18"/>
      <c r="H999" s="15"/>
      <c r="I999" s="15"/>
      <c r="J999" s="15"/>
    </row>
    <row r="1000" spans="2:10" x14ac:dyDescent="0.3">
      <c r="H1000" s="15"/>
      <c r="I1000" s="15"/>
      <c r="J1000" s="15"/>
    </row>
    <row r="1001" spans="2:10" x14ac:dyDescent="0.3">
      <c r="H1001" s="15"/>
      <c r="I1001" s="15"/>
      <c r="J1001" s="15"/>
    </row>
    <row r="1002" spans="2:10" x14ac:dyDescent="0.3">
      <c r="G1002" s="15"/>
      <c r="H1002" s="15"/>
      <c r="I1002" s="15"/>
      <c r="J1002" s="15"/>
    </row>
    <row r="1003" spans="2:10" x14ac:dyDescent="0.3">
      <c r="G1003" s="15"/>
      <c r="H1003" s="15"/>
      <c r="I1003" s="15"/>
      <c r="J1003" s="15"/>
    </row>
    <row r="1004" spans="2:10" x14ac:dyDescent="0.3">
      <c r="G1004" s="15"/>
      <c r="H1004" s="15"/>
      <c r="I1004" s="15"/>
      <c r="J1004" s="15"/>
    </row>
    <row r="1005" spans="2:10" x14ac:dyDescent="0.3">
      <c r="G1005" s="15"/>
      <c r="H1005" s="15"/>
      <c r="I1005" s="15"/>
      <c r="J1005" s="15"/>
    </row>
    <row r="1006" spans="2:10" x14ac:dyDescent="0.3">
      <c r="G1006" s="15"/>
      <c r="H1006" s="15"/>
      <c r="I1006" s="15"/>
      <c r="J1006" s="15"/>
    </row>
    <row r="1007" spans="2:10" x14ac:dyDescent="0.3">
      <c r="G1007" s="15"/>
      <c r="H1007" s="15"/>
      <c r="I1007" s="15"/>
      <c r="J1007" s="15"/>
    </row>
    <row r="1008" spans="2:10" x14ac:dyDescent="0.3">
      <c r="G1008" s="15"/>
      <c r="H1008" s="15"/>
      <c r="I1008" s="15"/>
      <c r="J1008" s="15"/>
    </row>
    <row r="1009" spans="7:10" x14ac:dyDescent="0.3">
      <c r="G1009" s="15"/>
      <c r="H1009" s="15"/>
      <c r="I1009" s="15"/>
      <c r="J1009" s="1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B322"/>
  <sheetViews>
    <sheetView topLeftCell="A85" workbookViewId="0">
      <selection activeCell="D12" sqref="D12"/>
    </sheetView>
  </sheetViews>
  <sheetFormatPr baseColWidth="10" defaultRowHeight="14.4" x14ac:dyDescent="0.3"/>
  <cols>
    <col min="1" max="1" width="7.33203125" customWidth="1"/>
    <col min="2" max="2" width="22.44140625" bestFit="1" customWidth="1"/>
  </cols>
  <sheetData>
    <row r="1" spans="1:2" x14ac:dyDescent="0.3">
      <c r="A1" s="269" t="s">
        <v>8</v>
      </c>
      <c r="B1" s="272" t="s">
        <v>17</v>
      </c>
    </row>
    <row r="2" spans="1:2" x14ac:dyDescent="0.3">
      <c r="A2" s="270" t="s">
        <v>622</v>
      </c>
      <c r="B2" s="273" t="s">
        <v>519</v>
      </c>
    </row>
    <row r="3" spans="1:2" x14ac:dyDescent="0.3">
      <c r="A3" s="286" t="s">
        <v>557</v>
      </c>
      <c r="B3" s="287" t="s">
        <v>515</v>
      </c>
    </row>
    <row r="4" spans="1:2" x14ac:dyDescent="0.3">
      <c r="A4" s="270" t="s">
        <v>1506</v>
      </c>
      <c r="B4" s="273" t="s">
        <v>514</v>
      </c>
    </row>
    <row r="5" spans="1:2" x14ac:dyDescent="0.3">
      <c r="A5" s="270" t="s">
        <v>1507</v>
      </c>
      <c r="B5" s="273" t="s">
        <v>514</v>
      </c>
    </row>
    <row r="6" spans="1:2" x14ac:dyDescent="0.3">
      <c r="A6" s="270" t="s">
        <v>1508</v>
      </c>
      <c r="B6" s="273" t="s">
        <v>514</v>
      </c>
    </row>
    <row r="7" spans="1:2" x14ac:dyDescent="0.3">
      <c r="A7" s="270" t="s">
        <v>1509</v>
      </c>
      <c r="B7" s="273" t="s">
        <v>514</v>
      </c>
    </row>
    <row r="8" spans="1:2" x14ac:dyDescent="0.3">
      <c r="A8" s="270" t="s">
        <v>558</v>
      </c>
      <c r="B8" s="273" t="s">
        <v>515</v>
      </c>
    </row>
    <row r="9" spans="1:2" x14ac:dyDescent="0.3">
      <c r="A9" s="286" t="s">
        <v>558</v>
      </c>
      <c r="B9" s="287" t="s">
        <v>515</v>
      </c>
    </row>
    <row r="10" spans="1:2" x14ac:dyDescent="0.3">
      <c r="A10" s="270" t="s">
        <v>559</v>
      </c>
      <c r="B10" s="273" t="s">
        <v>515</v>
      </c>
    </row>
    <row r="11" spans="1:2" x14ac:dyDescent="0.3">
      <c r="A11" s="286" t="s">
        <v>559</v>
      </c>
      <c r="B11" s="287" t="s">
        <v>515</v>
      </c>
    </row>
    <row r="12" spans="1:2" x14ac:dyDescent="0.3">
      <c r="A12" s="286" t="s">
        <v>560</v>
      </c>
      <c r="B12" s="287" t="s">
        <v>513</v>
      </c>
    </row>
    <row r="13" spans="1:2" x14ac:dyDescent="0.3">
      <c r="A13" s="286" t="s">
        <v>560</v>
      </c>
      <c r="B13" s="287" t="s">
        <v>524</v>
      </c>
    </row>
    <row r="14" spans="1:2" x14ac:dyDescent="0.3">
      <c r="A14" s="270" t="s">
        <v>561</v>
      </c>
      <c r="B14" s="273" t="s">
        <v>513</v>
      </c>
    </row>
    <row r="15" spans="1:2" x14ac:dyDescent="0.3">
      <c r="A15" s="286" t="s">
        <v>561</v>
      </c>
      <c r="B15" s="287" t="s">
        <v>513</v>
      </c>
    </row>
    <row r="16" spans="1:2" x14ac:dyDescent="0.3">
      <c r="A16" s="286" t="s">
        <v>561</v>
      </c>
      <c r="B16" s="287" t="s">
        <v>524</v>
      </c>
    </row>
    <row r="17" spans="1:2" x14ac:dyDescent="0.3">
      <c r="A17" s="270" t="s">
        <v>533</v>
      </c>
      <c r="B17" s="273" t="s">
        <v>515</v>
      </c>
    </row>
    <row r="18" spans="1:2" x14ac:dyDescent="0.3">
      <c r="A18" s="286" t="s">
        <v>533</v>
      </c>
      <c r="B18" s="287" t="s">
        <v>525</v>
      </c>
    </row>
    <row r="19" spans="1:2" x14ac:dyDescent="0.3">
      <c r="A19" s="286" t="s">
        <v>533</v>
      </c>
      <c r="B19" s="287" t="s">
        <v>525</v>
      </c>
    </row>
    <row r="20" spans="1:2" x14ac:dyDescent="0.3">
      <c r="A20" s="270" t="s">
        <v>562</v>
      </c>
      <c r="B20" s="273" t="s">
        <v>516</v>
      </c>
    </row>
    <row r="21" spans="1:2" x14ac:dyDescent="0.3">
      <c r="A21" s="286" t="s">
        <v>562</v>
      </c>
      <c r="B21" s="287" t="s">
        <v>516</v>
      </c>
    </row>
    <row r="22" spans="1:2" x14ac:dyDescent="0.3">
      <c r="A22" s="270" t="s">
        <v>594</v>
      </c>
      <c r="B22" s="273" t="s">
        <v>516</v>
      </c>
    </row>
    <row r="23" spans="1:2" x14ac:dyDescent="0.3">
      <c r="A23" s="286" t="s">
        <v>594</v>
      </c>
      <c r="B23" s="287" t="s">
        <v>516</v>
      </c>
    </row>
    <row r="24" spans="1:2" x14ac:dyDescent="0.3">
      <c r="A24" s="286" t="s">
        <v>594</v>
      </c>
      <c r="B24" s="287" t="s">
        <v>526</v>
      </c>
    </row>
    <row r="25" spans="1:2" x14ac:dyDescent="0.3">
      <c r="A25" s="270" t="s">
        <v>478</v>
      </c>
      <c r="B25" s="273" t="s">
        <v>516</v>
      </c>
    </row>
    <row r="26" spans="1:2" x14ac:dyDescent="0.3">
      <c r="A26" s="286" t="s">
        <v>478</v>
      </c>
      <c r="B26" s="287" t="s">
        <v>516</v>
      </c>
    </row>
    <row r="27" spans="1:2" x14ac:dyDescent="0.3">
      <c r="A27" s="282" t="s">
        <v>478</v>
      </c>
      <c r="B27" s="283" t="s">
        <v>526</v>
      </c>
    </row>
    <row r="28" spans="1:2" x14ac:dyDescent="0.3">
      <c r="A28" s="270" t="s">
        <v>479</v>
      </c>
      <c r="B28" s="273" t="s">
        <v>515</v>
      </c>
    </row>
    <row r="29" spans="1:2" x14ac:dyDescent="0.3">
      <c r="A29" s="286" t="s">
        <v>479</v>
      </c>
      <c r="B29" s="287" t="s">
        <v>525</v>
      </c>
    </row>
    <row r="30" spans="1:2" x14ac:dyDescent="0.3">
      <c r="A30" s="270" t="s">
        <v>556</v>
      </c>
      <c r="B30" s="273" t="s">
        <v>513</v>
      </c>
    </row>
    <row r="31" spans="1:2" x14ac:dyDescent="0.3">
      <c r="A31" s="270" t="s">
        <v>563</v>
      </c>
      <c r="B31" s="273" t="s">
        <v>516</v>
      </c>
    </row>
    <row r="32" spans="1:2" x14ac:dyDescent="0.3">
      <c r="A32" s="286" t="s">
        <v>563</v>
      </c>
      <c r="B32" s="287" t="s">
        <v>516</v>
      </c>
    </row>
    <row r="33" spans="1:2" x14ac:dyDescent="0.3">
      <c r="A33" s="270" t="s">
        <v>564</v>
      </c>
      <c r="B33" s="273" t="s">
        <v>517</v>
      </c>
    </row>
    <row r="34" spans="1:2" x14ac:dyDescent="0.3">
      <c r="A34" s="286" t="s">
        <v>564</v>
      </c>
      <c r="B34" s="287" t="s">
        <v>517</v>
      </c>
    </row>
    <row r="35" spans="1:2" x14ac:dyDescent="0.3">
      <c r="A35" s="286" t="s">
        <v>564</v>
      </c>
      <c r="B35" s="287" t="s">
        <v>527</v>
      </c>
    </row>
    <row r="36" spans="1:2" x14ac:dyDescent="0.3">
      <c r="A36" s="270" t="s">
        <v>480</v>
      </c>
      <c r="B36" s="273" t="s">
        <v>518</v>
      </c>
    </row>
    <row r="37" spans="1:2" x14ac:dyDescent="0.3">
      <c r="A37" s="274" t="s">
        <v>480</v>
      </c>
      <c r="B37" s="275" t="s">
        <v>518</v>
      </c>
    </row>
    <row r="38" spans="1:2" x14ac:dyDescent="0.3">
      <c r="A38" s="274" t="s">
        <v>480</v>
      </c>
      <c r="B38" s="275" t="s">
        <v>528</v>
      </c>
    </row>
    <row r="39" spans="1:2" x14ac:dyDescent="0.3">
      <c r="A39" s="274" t="s">
        <v>480</v>
      </c>
      <c r="B39" s="275" t="s">
        <v>528</v>
      </c>
    </row>
    <row r="40" spans="1:2" x14ac:dyDescent="0.3">
      <c r="A40" s="270" t="s">
        <v>481</v>
      </c>
      <c r="B40" s="273" t="s">
        <v>517</v>
      </c>
    </row>
    <row r="41" spans="1:2" x14ac:dyDescent="0.3">
      <c r="A41" s="274" t="s">
        <v>481</v>
      </c>
      <c r="B41" s="275" t="s">
        <v>517</v>
      </c>
    </row>
    <row r="42" spans="1:2" x14ac:dyDescent="0.3">
      <c r="A42" s="274" t="s">
        <v>481</v>
      </c>
      <c r="B42" s="275" t="s">
        <v>527</v>
      </c>
    </row>
    <row r="43" spans="1:2" x14ac:dyDescent="0.3">
      <c r="A43" s="393" t="s">
        <v>399</v>
      </c>
      <c r="B43" s="398" t="s">
        <v>1268</v>
      </c>
    </row>
    <row r="44" spans="1:2" x14ac:dyDescent="0.3">
      <c r="A44" s="274" t="s">
        <v>534</v>
      </c>
      <c r="B44" s="275" t="s">
        <v>529</v>
      </c>
    </row>
    <row r="45" spans="1:2" x14ac:dyDescent="0.3">
      <c r="A45" s="274" t="s">
        <v>534</v>
      </c>
      <c r="B45" s="275" t="s">
        <v>529</v>
      </c>
    </row>
    <row r="46" spans="1:2" x14ac:dyDescent="0.3">
      <c r="A46" s="274" t="s">
        <v>400</v>
      </c>
      <c r="B46" s="275" t="s">
        <v>513</v>
      </c>
    </row>
    <row r="47" spans="1:2" x14ac:dyDescent="0.3">
      <c r="A47" s="274" t="s">
        <v>400</v>
      </c>
      <c r="B47" s="275" t="s">
        <v>524</v>
      </c>
    </row>
    <row r="48" spans="1:2" x14ac:dyDescent="0.3">
      <c r="A48" s="270" t="s">
        <v>1510</v>
      </c>
      <c r="B48" s="273" t="s">
        <v>513</v>
      </c>
    </row>
    <row r="49" spans="1:2" x14ac:dyDescent="0.3">
      <c r="A49" s="270" t="s">
        <v>565</v>
      </c>
      <c r="B49" s="273" t="s">
        <v>520</v>
      </c>
    </row>
    <row r="50" spans="1:2" x14ac:dyDescent="0.3">
      <c r="A50" s="286" t="s">
        <v>565</v>
      </c>
      <c r="B50" s="287" t="s">
        <v>520</v>
      </c>
    </row>
    <row r="51" spans="1:2" x14ac:dyDescent="0.3">
      <c r="A51" s="274" t="s">
        <v>566</v>
      </c>
      <c r="B51" s="275" t="s">
        <v>520</v>
      </c>
    </row>
    <row r="52" spans="1:2" x14ac:dyDescent="0.3">
      <c r="A52" s="270" t="s">
        <v>567</v>
      </c>
      <c r="B52" s="273" t="s">
        <v>520</v>
      </c>
    </row>
    <row r="53" spans="1:2" x14ac:dyDescent="0.3">
      <c r="A53" s="274" t="s">
        <v>567</v>
      </c>
      <c r="B53" s="287" t="s">
        <v>520</v>
      </c>
    </row>
    <row r="54" spans="1:2" x14ac:dyDescent="0.3">
      <c r="A54" s="270" t="s">
        <v>568</v>
      </c>
      <c r="B54" s="273" t="s">
        <v>520</v>
      </c>
    </row>
    <row r="55" spans="1:2" x14ac:dyDescent="0.3">
      <c r="A55" s="274" t="s">
        <v>568</v>
      </c>
      <c r="B55" s="275" t="s">
        <v>520</v>
      </c>
    </row>
    <row r="56" spans="1:2" x14ac:dyDescent="0.3">
      <c r="A56" s="270" t="s">
        <v>1511</v>
      </c>
      <c r="B56" s="273" t="s">
        <v>520</v>
      </c>
    </row>
    <row r="57" spans="1:2" x14ac:dyDescent="0.3">
      <c r="A57" s="270" t="s">
        <v>569</v>
      </c>
      <c r="B57" s="273" t="s">
        <v>520</v>
      </c>
    </row>
    <row r="58" spans="1:2" x14ac:dyDescent="0.3">
      <c r="A58" s="274" t="s">
        <v>569</v>
      </c>
      <c r="B58" s="275" t="s">
        <v>520</v>
      </c>
    </row>
    <row r="59" spans="1:2" x14ac:dyDescent="0.3">
      <c r="A59" s="270" t="s">
        <v>401</v>
      </c>
      <c r="B59" s="273" t="s">
        <v>521</v>
      </c>
    </row>
    <row r="60" spans="1:2" x14ac:dyDescent="0.3">
      <c r="A60" s="274" t="s">
        <v>401</v>
      </c>
      <c r="B60" s="275" t="s">
        <v>515</v>
      </c>
    </row>
    <row r="61" spans="1:2" x14ac:dyDescent="0.3">
      <c r="A61" s="274" t="s">
        <v>401</v>
      </c>
      <c r="B61" s="275" t="s">
        <v>525</v>
      </c>
    </row>
    <row r="62" spans="1:2" x14ac:dyDescent="0.3">
      <c r="A62" s="274" t="s">
        <v>401</v>
      </c>
      <c r="B62" s="275" t="s">
        <v>525</v>
      </c>
    </row>
    <row r="63" spans="1:2" x14ac:dyDescent="0.3">
      <c r="A63" s="274" t="s">
        <v>482</v>
      </c>
      <c r="B63" s="287" t="s">
        <v>525</v>
      </c>
    </row>
    <row r="64" spans="1:2" x14ac:dyDescent="0.3">
      <c r="A64" s="274" t="s">
        <v>482</v>
      </c>
      <c r="B64" s="275" t="s">
        <v>525</v>
      </c>
    </row>
    <row r="65" spans="1:2" x14ac:dyDescent="0.3">
      <c r="A65" s="270" t="s">
        <v>1512</v>
      </c>
      <c r="B65" s="273" t="s">
        <v>520</v>
      </c>
    </row>
    <row r="66" spans="1:2" x14ac:dyDescent="0.3">
      <c r="A66" s="274" t="s">
        <v>535</v>
      </c>
      <c r="B66" s="275" t="s">
        <v>530</v>
      </c>
    </row>
    <row r="67" spans="1:2" x14ac:dyDescent="0.3">
      <c r="A67" s="274" t="s">
        <v>535</v>
      </c>
      <c r="B67" s="275" t="s">
        <v>530</v>
      </c>
    </row>
    <row r="68" spans="1:2" x14ac:dyDescent="0.3">
      <c r="A68" s="270" t="s">
        <v>1513</v>
      </c>
      <c r="B68" s="273" t="s">
        <v>514</v>
      </c>
    </row>
    <row r="69" spans="1:2" x14ac:dyDescent="0.3">
      <c r="A69" s="270" t="s">
        <v>1514</v>
      </c>
      <c r="B69" s="273" t="s">
        <v>519</v>
      </c>
    </row>
    <row r="70" spans="1:2" x14ac:dyDescent="0.3">
      <c r="A70" s="270" t="s">
        <v>1515</v>
      </c>
      <c r="B70" s="273" t="s">
        <v>519</v>
      </c>
    </row>
    <row r="71" spans="1:2" x14ac:dyDescent="0.3">
      <c r="A71" s="270" t="s">
        <v>570</v>
      </c>
      <c r="B71" s="273" t="s">
        <v>519</v>
      </c>
    </row>
    <row r="72" spans="1:2" x14ac:dyDescent="0.3">
      <c r="A72" s="274" t="s">
        <v>570</v>
      </c>
      <c r="B72" s="277" t="s">
        <v>519</v>
      </c>
    </row>
    <row r="73" spans="1:2" x14ac:dyDescent="0.3">
      <c r="A73" s="274" t="s">
        <v>571</v>
      </c>
      <c r="B73" s="277" t="s">
        <v>519</v>
      </c>
    </row>
    <row r="74" spans="1:2" x14ac:dyDescent="0.3">
      <c r="A74" s="274" t="s">
        <v>571</v>
      </c>
      <c r="B74" s="275" t="s">
        <v>529</v>
      </c>
    </row>
    <row r="75" spans="1:2" x14ac:dyDescent="0.3">
      <c r="A75" s="270" t="s">
        <v>465</v>
      </c>
      <c r="B75" s="273" t="s">
        <v>515</v>
      </c>
    </row>
    <row r="76" spans="1:2" x14ac:dyDescent="0.3">
      <c r="A76" s="274" t="s">
        <v>465</v>
      </c>
      <c r="B76" s="287" t="s">
        <v>515</v>
      </c>
    </row>
    <row r="77" spans="1:2" x14ac:dyDescent="0.3">
      <c r="A77" s="274" t="s">
        <v>536</v>
      </c>
      <c r="B77" s="287" t="s">
        <v>518</v>
      </c>
    </row>
    <row r="78" spans="1:2" x14ac:dyDescent="0.3">
      <c r="A78" s="274" t="s">
        <v>536</v>
      </c>
      <c r="B78" s="275" t="s">
        <v>528</v>
      </c>
    </row>
    <row r="79" spans="1:2" x14ac:dyDescent="0.3">
      <c r="A79" s="274" t="s">
        <v>536</v>
      </c>
      <c r="B79" s="275" t="s">
        <v>528</v>
      </c>
    </row>
    <row r="80" spans="1:2" x14ac:dyDescent="0.3">
      <c r="A80" s="274" t="s">
        <v>537</v>
      </c>
      <c r="B80" s="275" t="s">
        <v>525</v>
      </c>
    </row>
    <row r="81" spans="1:2" x14ac:dyDescent="0.3">
      <c r="A81" s="274" t="s">
        <v>537</v>
      </c>
      <c r="B81" s="275" t="s">
        <v>525</v>
      </c>
    </row>
    <row r="82" spans="1:2" x14ac:dyDescent="0.3">
      <c r="A82" s="274" t="s">
        <v>538</v>
      </c>
      <c r="B82" s="275" t="s">
        <v>525</v>
      </c>
    </row>
    <row r="83" spans="1:2" x14ac:dyDescent="0.3">
      <c r="A83" s="274" t="s">
        <v>402</v>
      </c>
      <c r="B83" s="275" t="s">
        <v>530</v>
      </c>
    </row>
    <row r="84" spans="1:2" x14ac:dyDescent="0.3">
      <c r="A84" s="393" t="s">
        <v>483</v>
      </c>
      <c r="B84" s="398" t="s">
        <v>530</v>
      </c>
    </row>
    <row r="85" spans="1:2" x14ac:dyDescent="0.3">
      <c r="A85" s="393" t="s">
        <v>766</v>
      </c>
      <c r="B85" s="398" t="s">
        <v>530</v>
      </c>
    </row>
    <row r="86" spans="1:2" x14ac:dyDescent="0.3">
      <c r="A86" s="274" t="s">
        <v>403</v>
      </c>
      <c r="B86" s="275" t="s">
        <v>530</v>
      </c>
    </row>
    <row r="87" spans="1:2" x14ac:dyDescent="0.3">
      <c r="A87" s="276" t="s">
        <v>572</v>
      </c>
      <c r="B87" s="287" t="s">
        <v>522</v>
      </c>
    </row>
    <row r="88" spans="1:2" x14ac:dyDescent="0.3">
      <c r="A88" s="286" t="s">
        <v>539</v>
      </c>
      <c r="B88" s="287" t="s">
        <v>529</v>
      </c>
    </row>
    <row r="89" spans="1:2" x14ac:dyDescent="0.3">
      <c r="A89" s="270" t="s">
        <v>540</v>
      </c>
      <c r="B89" s="273" t="s">
        <v>518</v>
      </c>
    </row>
    <row r="90" spans="1:2" x14ac:dyDescent="0.3">
      <c r="A90" s="286" t="s">
        <v>540</v>
      </c>
      <c r="B90" s="275" t="s">
        <v>518</v>
      </c>
    </row>
    <row r="91" spans="1:2" x14ac:dyDescent="0.3">
      <c r="A91" s="278" t="s">
        <v>540</v>
      </c>
      <c r="B91" s="281" t="s">
        <v>528</v>
      </c>
    </row>
    <row r="92" spans="1:2" x14ac:dyDescent="0.3">
      <c r="A92" s="278" t="s">
        <v>540</v>
      </c>
      <c r="B92" s="281" t="s">
        <v>528</v>
      </c>
    </row>
    <row r="93" spans="1:2" x14ac:dyDescent="0.3">
      <c r="A93" s="278" t="s">
        <v>541</v>
      </c>
      <c r="B93" s="281" t="s">
        <v>518</v>
      </c>
    </row>
    <row r="94" spans="1:2" x14ac:dyDescent="0.3">
      <c r="A94" s="278" t="s">
        <v>541</v>
      </c>
      <c r="B94" s="281" t="s">
        <v>528</v>
      </c>
    </row>
    <row r="95" spans="1:2" x14ac:dyDescent="0.3">
      <c r="A95" s="286" t="s">
        <v>541</v>
      </c>
      <c r="B95" s="287" t="s">
        <v>528</v>
      </c>
    </row>
    <row r="96" spans="1:2" x14ac:dyDescent="0.3">
      <c r="A96" s="278" t="s">
        <v>573</v>
      </c>
      <c r="B96" s="281" t="s">
        <v>518</v>
      </c>
    </row>
    <row r="97" spans="1:2" x14ac:dyDescent="0.3">
      <c r="A97" s="278" t="s">
        <v>467</v>
      </c>
      <c r="B97" s="281" t="s">
        <v>518</v>
      </c>
    </row>
    <row r="98" spans="1:2" x14ac:dyDescent="0.3">
      <c r="A98" s="278" t="s">
        <v>467</v>
      </c>
      <c r="B98" s="281" t="s">
        <v>528</v>
      </c>
    </row>
    <row r="99" spans="1:2" x14ac:dyDescent="0.3">
      <c r="A99" s="278" t="s">
        <v>574</v>
      </c>
      <c r="B99" s="281" t="s">
        <v>518</v>
      </c>
    </row>
    <row r="100" spans="1:2" x14ac:dyDescent="0.3">
      <c r="A100" s="278" t="s">
        <v>574</v>
      </c>
      <c r="B100" s="281" t="s">
        <v>528</v>
      </c>
    </row>
    <row r="101" spans="1:2" x14ac:dyDescent="0.3">
      <c r="A101" s="278" t="s">
        <v>595</v>
      </c>
      <c r="B101" s="287" t="s">
        <v>528</v>
      </c>
    </row>
    <row r="102" spans="1:2" x14ac:dyDescent="0.3">
      <c r="A102" s="278" t="s">
        <v>596</v>
      </c>
      <c r="B102" s="281" t="s">
        <v>528</v>
      </c>
    </row>
    <row r="103" spans="1:2" x14ac:dyDescent="0.3">
      <c r="A103" s="278" t="s">
        <v>575</v>
      </c>
      <c r="B103" s="277" t="s">
        <v>519</v>
      </c>
    </row>
    <row r="104" spans="1:2" x14ac:dyDescent="0.3">
      <c r="A104" s="278" t="s">
        <v>576</v>
      </c>
      <c r="B104" s="287" t="s">
        <v>519</v>
      </c>
    </row>
    <row r="105" spans="1:2" x14ac:dyDescent="0.3">
      <c r="A105" s="278" t="s">
        <v>577</v>
      </c>
      <c r="B105" s="281" t="s">
        <v>519</v>
      </c>
    </row>
    <row r="106" spans="1:2" x14ac:dyDescent="0.3">
      <c r="A106" s="278" t="s">
        <v>542</v>
      </c>
      <c r="B106" s="287" t="s">
        <v>519</v>
      </c>
    </row>
    <row r="107" spans="1:2" x14ac:dyDescent="0.3">
      <c r="A107" s="278" t="s">
        <v>542</v>
      </c>
      <c r="B107" s="281" t="s">
        <v>529</v>
      </c>
    </row>
    <row r="108" spans="1:2" x14ac:dyDescent="0.3">
      <c r="A108" s="278" t="s">
        <v>543</v>
      </c>
      <c r="B108" s="292" t="s">
        <v>529</v>
      </c>
    </row>
    <row r="109" spans="1:2" x14ac:dyDescent="0.3">
      <c r="A109" s="278" t="s">
        <v>543</v>
      </c>
      <c r="B109" s="287" t="s">
        <v>529</v>
      </c>
    </row>
    <row r="110" spans="1:2" x14ac:dyDescent="0.3">
      <c r="A110" s="270" t="s">
        <v>578</v>
      </c>
      <c r="B110" s="273" t="s">
        <v>519</v>
      </c>
    </row>
    <row r="111" spans="1:2" x14ac:dyDescent="0.3">
      <c r="A111" s="278" t="s">
        <v>578</v>
      </c>
      <c r="B111" s="287" t="s">
        <v>519</v>
      </c>
    </row>
    <row r="112" spans="1:2" x14ac:dyDescent="0.3">
      <c r="A112" s="278" t="s">
        <v>579</v>
      </c>
      <c r="B112" s="287" t="s">
        <v>519</v>
      </c>
    </row>
    <row r="113" spans="1:2" x14ac:dyDescent="0.3">
      <c r="A113" s="278" t="s">
        <v>579</v>
      </c>
      <c r="B113" s="292" t="s">
        <v>529</v>
      </c>
    </row>
    <row r="114" spans="1:2" x14ac:dyDescent="0.3">
      <c r="A114" s="278" t="s">
        <v>468</v>
      </c>
      <c r="B114" s="292" t="s">
        <v>529</v>
      </c>
    </row>
    <row r="115" spans="1:2" x14ac:dyDescent="0.3">
      <c r="A115" s="278" t="s">
        <v>468</v>
      </c>
      <c r="B115" s="281" t="s">
        <v>529</v>
      </c>
    </row>
    <row r="116" spans="1:2" x14ac:dyDescent="0.3">
      <c r="A116" s="278" t="s">
        <v>544</v>
      </c>
      <c r="B116" s="281" t="s">
        <v>530</v>
      </c>
    </row>
    <row r="117" spans="1:2" x14ac:dyDescent="0.3">
      <c r="A117" s="278" t="s">
        <v>544</v>
      </c>
      <c r="B117" s="281" t="s">
        <v>530</v>
      </c>
    </row>
    <row r="118" spans="1:2" x14ac:dyDescent="0.3">
      <c r="A118" s="278" t="s">
        <v>404</v>
      </c>
      <c r="B118" s="281" t="s">
        <v>514</v>
      </c>
    </row>
    <row r="119" spans="1:2" x14ac:dyDescent="0.3">
      <c r="A119" s="278" t="s">
        <v>404</v>
      </c>
      <c r="B119" s="281" t="s">
        <v>531</v>
      </c>
    </row>
    <row r="120" spans="1:2" x14ac:dyDescent="0.3">
      <c r="A120" s="278" t="s">
        <v>580</v>
      </c>
      <c r="B120" s="281" t="s">
        <v>516</v>
      </c>
    </row>
    <row r="121" spans="1:2" x14ac:dyDescent="0.3">
      <c r="A121" s="278" t="s">
        <v>581</v>
      </c>
      <c r="B121" s="281" t="s">
        <v>516</v>
      </c>
    </row>
    <row r="122" spans="1:2" x14ac:dyDescent="0.3">
      <c r="A122" s="278" t="s">
        <v>582</v>
      </c>
      <c r="B122" s="281" t="s">
        <v>516</v>
      </c>
    </row>
    <row r="123" spans="1:2" x14ac:dyDescent="0.3">
      <c r="A123" s="278" t="s">
        <v>597</v>
      </c>
      <c r="B123" s="281" t="s">
        <v>526</v>
      </c>
    </row>
    <row r="124" spans="1:2" x14ac:dyDescent="0.3">
      <c r="A124" s="278" t="s">
        <v>598</v>
      </c>
      <c r="B124" s="287" t="s">
        <v>526</v>
      </c>
    </row>
    <row r="125" spans="1:2" x14ac:dyDescent="0.3">
      <c r="A125" s="278" t="s">
        <v>599</v>
      </c>
      <c r="B125" s="287" t="s">
        <v>526</v>
      </c>
    </row>
    <row r="126" spans="1:2" x14ac:dyDescent="0.3">
      <c r="A126" s="278" t="s">
        <v>600</v>
      </c>
      <c r="B126" s="287" t="s">
        <v>526</v>
      </c>
    </row>
    <row r="127" spans="1:2" x14ac:dyDescent="0.3">
      <c r="A127" s="278" t="s">
        <v>545</v>
      </c>
      <c r="B127" s="292" t="s">
        <v>526</v>
      </c>
    </row>
    <row r="128" spans="1:2" x14ac:dyDescent="0.3">
      <c r="A128" s="278" t="s">
        <v>546</v>
      </c>
      <c r="B128" s="292" t="s">
        <v>526</v>
      </c>
    </row>
    <row r="129" spans="1:2" x14ac:dyDescent="0.3">
      <c r="A129" s="278" t="s">
        <v>547</v>
      </c>
      <c r="B129" s="292" t="s">
        <v>526</v>
      </c>
    </row>
    <row r="130" spans="1:2" x14ac:dyDescent="0.3">
      <c r="A130" s="278" t="s">
        <v>469</v>
      </c>
      <c r="B130" s="281" t="s">
        <v>520</v>
      </c>
    </row>
    <row r="131" spans="1:2" x14ac:dyDescent="0.3">
      <c r="A131" s="278" t="s">
        <v>469</v>
      </c>
      <c r="B131" s="281" t="s">
        <v>532</v>
      </c>
    </row>
    <row r="132" spans="1:2" x14ac:dyDescent="0.3">
      <c r="A132" s="278" t="s">
        <v>583</v>
      </c>
      <c r="B132" s="281" t="s">
        <v>520</v>
      </c>
    </row>
    <row r="133" spans="1:2" x14ac:dyDescent="0.3">
      <c r="A133" s="278" t="s">
        <v>583</v>
      </c>
      <c r="B133" s="281" t="s">
        <v>532</v>
      </c>
    </row>
    <row r="134" spans="1:2" x14ac:dyDescent="0.3">
      <c r="A134" s="278" t="s">
        <v>584</v>
      </c>
      <c r="B134" s="281" t="s">
        <v>520</v>
      </c>
    </row>
    <row r="135" spans="1:2" x14ac:dyDescent="0.3">
      <c r="A135" s="278" t="s">
        <v>585</v>
      </c>
      <c r="B135" s="287" t="s">
        <v>520</v>
      </c>
    </row>
    <row r="136" spans="1:2" x14ac:dyDescent="0.3">
      <c r="A136" s="278" t="s">
        <v>586</v>
      </c>
      <c r="B136" s="287" t="s">
        <v>520</v>
      </c>
    </row>
    <row r="137" spans="1:2" x14ac:dyDescent="0.3">
      <c r="A137" s="278" t="s">
        <v>470</v>
      </c>
      <c r="B137" s="287" t="s">
        <v>520</v>
      </c>
    </row>
    <row r="138" spans="1:2" x14ac:dyDescent="0.3">
      <c r="A138" s="278" t="s">
        <v>548</v>
      </c>
      <c r="B138" s="292" t="s">
        <v>532</v>
      </c>
    </row>
    <row r="139" spans="1:2" x14ac:dyDescent="0.3">
      <c r="A139" s="278" t="s">
        <v>549</v>
      </c>
      <c r="B139" s="292" t="s">
        <v>532</v>
      </c>
    </row>
    <row r="140" spans="1:2" x14ac:dyDescent="0.3">
      <c r="A140" s="278" t="s">
        <v>550</v>
      </c>
      <c r="B140" s="292" t="s">
        <v>532</v>
      </c>
    </row>
    <row r="141" spans="1:2" x14ac:dyDescent="0.3">
      <c r="A141" s="278" t="s">
        <v>551</v>
      </c>
      <c r="B141" s="292" t="s">
        <v>532</v>
      </c>
    </row>
    <row r="142" spans="1:2" x14ac:dyDescent="0.3">
      <c r="A142" s="278" t="s">
        <v>471</v>
      </c>
      <c r="B142" s="292" t="s">
        <v>532</v>
      </c>
    </row>
    <row r="143" spans="1:2" x14ac:dyDescent="0.3">
      <c r="A143" s="393" t="s">
        <v>1263</v>
      </c>
      <c r="B143" s="398" t="s">
        <v>1270</v>
      </c>
    </row>
    <row r="144" spans="1:2" x14ac:dyDescent="0.3">
      <c r="A144" s="284" t="s">
        <v>587</v>
      </c>
      <c r="B144" s="287" t="s">
        <v>520</v>
      </c>
    </row>
    <row r="145" spans="1:2" x14ac:dyDescent="0.3">
      <c r="A145" s="284" t="s">
        <v>587</v>
      </c>
      <c r="B145" s="287" t="s">
        <v>532</v>
      </c>
    </row>
    <row r="146" spans="1:2" x14ac:dyDescent="0.3">
      <c r="A146" s="284" t="s">
        <v>413</v>
      </c>
      <c r="B146" s="287" t="s">
        <v>528</v>
      </c>
    </row>
    <row r="147" spans="1:2" x14ac:dyDescent="0.3">
      <c r="A147" s="284" t="s">
        <v>612</v>
      </c>
      <c r="B147" s="287" t="s">
        <v>525</v>
      </c>
    </row>
    <row r="148" spans="1:2" x14ac:dyDescent="0.3">
      <c r="A148" s="284" t="s">
        <v>588</v>
      </c>
      <c r="B148" s="287" t="s">
        <v>518</v>
      </c>
    </row>
    <row r="149" spans="1:2" x14ac:dyDescent="0.3">
      <c r="A149" s="284" t="s">
        <v>588</v>
      </c>
      <c r="B149" s="287" t="s">
        <v>528</v>
      </c>
    </row>
    <row r="150" spans="1:2" x14ac:dyDescent="0.3">
      <c r="A150" s="284" t="s">
        <v>37</v>
      </c>
      <c r="B150" s="287" t="s">
        <v>517</v>
      </c>
    </row>
    <row r="151" spans="1:2" x14ac:dyDescent="0.3">
      <c r="A151" s="284" t="s">
        <v>37</v>
      </c>
      <c r="B151" s="287" t="s">
        <v>527</v>
      </c>
    </row>
    <row r="152" spans="1:2" x14ac:dyDescent="0.3">
      <c r="A152" s="393" t="s">
        <v>1264</v>
      </c>
      <c r="B152" s="398" t="s">
        <v>530</v>
      </c>
    </row>
    <row r="153" spans="1:2" x14ac:dyDescent="0.3">
      <c r="A153" s="284" t="s">
        <v>472</v>
      </c>
      <c r="B153" s="287" t="s">
        <v>523</v>
      </c>
    </row>
    <row r="154" spans="1:2" x14ac:dyDescent="0.3">
      <c r="A154" s="284" t="s">
        <v>472</v>
      </c>
      <c r="B154" s="287" t="s">
        <v>530</v>
      </c>
    </row>
    <row r="155" spans="1:2" x14ac:dyDescent="0.3">
      <c r="A155" s="284" t="s">
        <v>472</v>
      </c>
      <c r="B155" s="287" t="s">
        <v>530</v>
      </c>
    </row>
    <row r="156" spans="1:2" x14ac:dyDescent="0.3">
      <c r="A156" s="284" t="s">
        <v>589</v>
      </c>
      <c r="B156" s="287" t="s">
        <v>513</v>
      </c>
    </row>
    <row r="157" spans="1:2" x14ac:dyDescent="0.3">
      <c r="A157" s="284" t="s">
        <v>38</v>
      </c>
      <c r="B157" s="287" t="s">
        <v>532</v>
      </c>
    </row>
    <row r="158" spans="1:2" x14ac:dyDescent="0.3">
      <c r="A158" s="284" t="s">
        <v>473</v>
      </c>
      <c r="B158" s="287" t="s">
        <v>514</v>
      </c>
    </row>
    <row r="159" spans="1:2" x14ac:dyDescent="0.3">
      <c r="A159" s="284" t="s">
        <v>473</v>
      </c>
      <c r="B159" s="287" t="s">
        <v>554</v>
      </c>
    </row>
    <row r="160" spans="1:2" x14ac:dyDescent="0.3">
      <c r="A160" s="284" t="s">
        <v>552</v>
      </c>
      <c r="B160" s="287" t="s">
        <v>514</v>
      </c>
    </row>
    <row r="161" spans="1:2" x14ac:dyDescent="0.3">
      <c r="A161" s="284" t="s">
        <v>552</v>
      </c>
      <c r="B161" s="287" t="s">
        <v>531</v>
      </c>
    </row>
    <row r="162" spans="1:2" x14ac:dyDescent="0.3">
      <c r="A162" s="284" t="s">
        <v>552</v>
      </c>
      <c r="B162" s="287" t="s">
        <v>554</v>
      </c>
    </row>
    <row r="163" spans="1:2" x14ac:dyDescent="0.3">
      <c r="A163" s="284" t="s">
        <v>553</v>
      </c>
      <c r="B163" s="287" t="s">
        <v>529</v>
      </c>
    </row>
    <row r="164" spans="1:2" x14ac:dyDescent="0.3">
      <c r="A164" s="284" t="s">
        <v>553</v>
      </c>
      <c r="B164" s="287" t="s">
        <v>529</v>
      </c>
    </row>
    <row r="165" spans="1:2" x14ac:dyDescent="0.3">
      <c r="A165" s="284" t="s">
        <v>590</v>
      </c>
      <c r="B165" s="287" t="s">
        <v>514</v>
      </c>
    </row>
    <row r="166" spans="1:2" x14ac:dyDescent="0.3">
      <c r="A166" s="284" t="s">
        <v>591</v>
      </c>
      <c r="B166" s="287" t="s">
        <v>513</v>
      </c>
    </row>
    <row r="167" spans="1:2" x14ac:dyDescent="0.3">
      <c r="A167" s="393" t="s">
        <v>1516</v>
      </c>
      <c r="B167" s="398" t="s">
        <v>1270</v>
      </c>
    </row>
    <row r="168" spans="1:2" x14ac:dyDescent="0.3">
      <c r="A168" s="284" t="s">
        <v>414</v>
      </c>
      <c r="B168" s="287" t="s">
        <v>532</v>
      </c>
    </row>
    <row r="169" spans="1:2" x14ac:dyDescent="0.3">
      <c r="A169" s="284" t="s">
        <v>414</v>
      </c>
      <c r="B169" s="287" t="s">
        <v>532</v>
      </c>
    </row>
    <row r="170" spans="1:2" x14ac:dyDescent="0.3">
      <c r="A170" s="284" t="s">
        <v>601</v>
      </c>
      <c r="B170" s="287" t="s">
        <v>529</v>
      </c>
    </row>
    <row r="171" spans="1:2" x14ac:dyDescent="0.3">
      <c r="A171" s="284" t="s">
        <v>614</v>
      </c>
      <c r="B171" s="287" t="s">
        <v>529</v>
      </c>
    </row>
    <row r="172" spans="1:2" x14ac:dyDescent="0.3">
      <c r="A172" s="284" t="s">
        <v>592</v>
      </c>
      <c r="B172" s="287" t="s">
        <v>519</v>
      </c>
    </row>
    <row r="173" spans="1:2" x14ac:dyDescent="0.3">
      <c r="A173" s="284" t="s">
        <v>602</v>
      </c>
      <c r="B173" s="287" t="s">
        <v>529</v>
      </c>
    </row>
    <row r="174" spans="1:2" x14ac:dyDescent="0.3">
      <c r="A174" s="284" t="s">
        <v>603</v>
      </c>
      <c r="B174" s="287" t="s">
        <v>524</v>
      </c>
    </row>
    <row r="175" spans="1:2" x14ac:dyDescent="0.3">
      <c r="A175" s="284" t="s">
        <v>593</v>
      </c>
      <c r="B175" s="287" t="s">
        <v>520</v>
      </c>
    </row>
    <row r="176" spans="1:2" x14ac:dyDescent="0.3">
      <c r="A176" s="284" t="s">
        <v>593</v>
      </c>
      <c r="B176" s="287" t="s">
        <v>532</v>
      </c>
    </row>
    <row r="177" spans="1:2" x14ac:dyDescent="0.3">
      <c r="A177" s="284" t="s">
        <v>593</v>
      </c>
      <c r="B177" s="287" t="s">
        <v>532</v>
      </c>
    </row>
    <row r="178" spans="1:2" x14ac:dyDescent="0.3">
      <c r="A178" s="284" t="s">
        <v>615</v>
      </c>
      <c r="B178" s="287" t="s">
        <v>529</v>
      </c>
    </row>
    <row r="179" spans="1:2" x14ac:dyDescent="0.3">
      <c r="A179" s="284" t="s">
        <v>616</v>
      </c>
      <c r="B179" s="287" t="s">
        <v>529</v>
      </c>
    </row>
    <row r="180" spans="1:2" x14ac:dyDescent="0.3">
      <c r="A180" s="284" t="s">
        <v>474</v>
      </c>
      <c r="B180" s="287" t="s">
        <v>555</v>
      </c>
    </row>
    <row r="181" spans="1:2" x14ac:dyDescent="0.3">
      <c r="A181" s="284" t="s">
        <v>604</v>
      </c>
      <c r="B181" s="287" t="s">
        <v>531</v>
      </c>
    </row>
    <row r="182" spans="1:2" x14ac:dyDescent="0.3">
      <c r="A182" s="284" t="s">
        <v>605</v>
      </c>
      <c r="B182" s="287" t="s">
        <v>528</v>
      </c>
    </row>
    <row r="183" spans="1:2" x14ac:dyDescent="0.3">
      <c r="A183" s="284" t="s">
        <v>613</v>
      </c>
      <c r="B183" s="287" t="s">
        <v>528</v>
      </c>
    </row>
    <row r="184" spans="1:2" x14ac:dyDescent="0.3">
      <c r="A184" s="284" t="s">
        <v>606</v>
      </c>
      <c r="B184" s="287" t="s">
        <v>531</v>
      </c>
    </row>
    <row r="185" spans="1:2" x14ac:dyDescent="0.3">
      <c r="A185" s="284" t="s">
        <v>606</v>
      </c>
      <c r="B185" s="287" t="s">
        <v>554</v>
      </c>
    </row>
    <row r="186" spans="1:2" x14ac:dyDescent="0.3">
      <c r="A186" s="284" t="s">
        <v>405</v>
      </c>
      <c r="B186" s="287" t="s">
        <v>529</v>
      </c>
    </row>
    <row r="187" spans="1:2" x14ac:dyDescent="0.3">
      <c r="A187" s="284" t="s">
        <v>406</v>
      </c>
      <c r="B187" s="287" t="s">
        <v>529</v>
      </c>
    </row>
    <row r="188" spans="1:2" x14ac:dyDescent="0.3">
      <c r="A188" s="284" t="s">
        <v>407</v>
      </c>
      <c r="B188" s="287" t="s">
        <v>555</v>
      </c>
    </row>
    <row r="189" spans="1:2" x14ac:dyDescent="0.3">
      <c r="A189" s="286" t="s">
        <v>475</v>
      </c>
      <c r="B189" s="287" t="s">
        <v>529</v>
      </c>
    </row>
    <row r="190" spans="1:2" x14ac:dyDescent="0.3">
      <c r="A190" s="393" t="s">
        <v>416</v>
      </c>
      <c r="B190" s="398" t="s">
        <v>1271</v>
      </c>
    </row>
    <row r="191" spans="1:2" x14ac:dyDescent="0.3">
      <c r="A191" s="284" t="s">
        <v>617</v>
      </c>
      <c r="B191" s="287" t="s">
        <v>529</v>
      </c>
    </row>
    <row r="192" spans="1:2" x14ac:dyDescent="0.3">
      <c r="A192" s="286" t="s">
        <v>408</v>
      </c>
      <c r="B192" s="287" t="s">
        <v>529</v>
      </c>
    </row>
    <row r="193" spans="1:2" x14ac:dyDescent="0.3">
      <c r="A193" s="393" t="s">
        <v>1265</v>
      </c>
      <c r="B193" s="398" t="s">
        <v>529</v>
      </c>
    </row>
    <row r="194" spans="1:2" x14ac:dyDescent="0.3">
      <c r="A194" s="393" t="s">
        <v>409</v>
      </c>
      <c r="B194" s="398" t="s">
        <v>1271</v>
      </c>
    </row>
    <row r="195" spans="1:2" x14ac:dyDescent="0.3">
      <c r="A195" s="284" t="s">
        <v>410</v>
      </c>
      <c r="B195" s="287" t="s">
        <v>529</v>
      </c>
    </row>
    <row r="196" spans="1:2" x14ac:dyDescent="0.3">
      <c r="A196" s="284" t="s">
        <v>607</v>
      </c>
      <c r="B196" s="287" t="s">
        <v>529</v>
      </c>
    </row>
    <row r="197" spans="1:2" x14ac:dyDescent="0.3">
      <c r="A197" s="284" t="s">
        <v>607</v>
      </c>
      <c r="B197" s="287" t="s">
        <v>529</v>
      </c>
    </row>
    <row r="198" spans="1:2" x14ac:dyDescent="0.3">
      <c r="A198" s="286" t="s">
        <v>608</v>
      </c>
      <c r="B198" s="287" t="s">
        <v>525</v>
      </c>
    </row>
    <row r="199" spans="1:2" x14ac:dyDescent="0.3">
      <c r="A199" s="393" t="s">
        <v>1274</v>
      </c>
      <c r="B199" s="398" t="s">
        <v>1272</v>
      </c>
    </row>
    <row r="200" spans="1:2" x14ac:dyDescent="0.3">
      <c r="A200" s="286" t="s">
        <v>609</v>
      </c>
      <c r="B200" s="287" t="s">
        <v>531</v>
      </c>
    </row>
    <row r="201" spans="1:2" x14ac:dyDescent="0.3">
      <c r="A201" s="393" t="s">
        <v>745</v>
      </c>
      <c r="B201" s="398" t="s">
        <v>1268</v>
      </c>
    </row>
    <row r="202" spans="1:2" x14ac:dyDescent="0.3">
      <c r="A202" s="286" t="s">
        <v>39</v>
      </c>
      <c r="B202" s="287" t="s">
        <v>554</v>
      </c>
    </row>
    <row r="203" spans="1:2" x14ac:dyDescent="0.3">
      <c r="A203" s="286" t="s">
        <v>618</v>
      </c>
      <c r="B203" s="287" t="s">
        <v>526</v>
      </c>
    </row>
    <row r="204" spans="1:2" x14ac:dyDescent="0.3">
      <c r="A204" s="286" t="s">
        <v>611</v>
      </c>
      <c r="B204" s="287" t="s">
        <v>528</v>
      </c>
    </row>
    <row r="205" spans="1:2" x14ac:dyDescent="0.3">
      <c r="A205" s="286" t="s">
        <v>619</v>
      </c>
      <c r="B205" s="287" t="s">
        <v>525</v>
      </c>
    </row>
    <row r="206" spans="1:2" x14ac:dyDescent="0.3">
      <c r="A206" s="286" t="s">
        <v>476</v>
      </c>
      <c r="B206" s="287" t="s">
        <v>554</v>
      </c>
    </row>
    <row r="207" spans="1:2" x14ac:dyDescent="0.3">
      <c r="A207" s="286" t="s">
        <v>610</v>
      </c>
      <c r="B207" s="287" t="s">
        <v>531</v>
      </c>
    </row>
    <row r="208" spans="1:2" x14ac:dyDescent="0.3">
      <c r="A208" s="286" t="s">
        <v>620</v>
      </c>
      <c r="B208" s="287" t="s">
        <v>530</v>
      </c>
    </row>
    <row r="209" spans="1:2" x14ac:dyDescent="0.3">
      <c r="A209" s="286" t="s">
        <v>411</v>
      </c>
      <c r="B209" s="287" t="s">
        <v>527</v>
      </c>
    </row>
    <row r="210" spans="1:2" x14ac:dyDescent="0.3">
      <c r="A210" s="286" t="s">
        <v>621</v>
      </c>
      <c r="B210" s="287" t="s">
        <v>527</v>
      </c>
    </row>
    <row r="211" spans="1:2" x14ac:dyDescent="0.3">
      <c r="A211" s="393" t="s">
        <v>1434</v>
      </c>
      <c r="B211" s="398" t="s">
        <v>524</v>
      </c>
    </row>
    <row r="212" spans="1:2" x14ac:dyDescent="0.3">
      <c r="A212" s="393" t="s">
        <v>1215</v>
      </c>
      <c r="B212" s="398" t="s">
        <v>524</v>
      </c>
    </row>
    <row r="213" spans="1:2" x14ac:dyDescent="0.3">
      <c r="A213" s="286" t="s">
        <v>477</v>
      </c>
      <c r="B213" s="287" t="s">
        <v>532</v>
      </c>
    </row>
    <row r="214" spans="1:2" x14ac:dyDescent="0.3">
      <c r="A214" s="394" t="s">
        <v>423</v>
      </c>
      <c r="B214" s="399"/>
    </row>
    <row r="215" spans="1:2" x14ac:dyDescent="0.3">
      <c r="A215" s="394" t="s">
        <v>1216</v>
      </c>
      <c r="B215" s="399"/>
    </row>
    <row r="216" spans="1:2" x14ac:dyDescent="0.3">
      <c r="A216" s="394" t="s">
        <v>1218</v>
      </c>
      <c r="B216" s="399"/>
    </row>
    <row r="217" spans="1:2" x14ac:dyDescent="0.3">
      <c r="A217" s="393" t="s">
        <v>746</v>
      </c>
      <c r="B217" s="398" t="s">
        <v>524</v>
      </c>
    </row>
    <row r="218" spans="1:2" x14ac:dyDescent="0.3">
      <c r="A218" s="393" t="s">
        <v>1220</v>
      </c>
      <c r="B218" s="398" t="s">
        <v>524</v>
      </c>
    </row>
    <row r="219" spans="1:2" x14ac:dyDescent="0.3">
      <c r="A219" s="393" t="s">
        <v>1266</v>
      </c>
      <c r="B219" s="398" t="s">
        <v>1270</v>
      </c>
    </row>
    <row r="220" spans="1:2" x14ac:dyDescent="0.3">
      <c r="A220" s="393" t="s">
        <v>1436</v>
      </c>
      <c r="B220" s="398" t="s">
        <v>1502</v>
      </c>
    </row>
    <row r="221" spans="1:2" x14ac:dyDescent="0.3">
      <c r="A221" s="393" t="s">
        <v>1437</v>
      </c>
      <c r="B221" s="398" t="s">
        <v>1501</v>
      </c>
    </row>
    <row r="222" spans="1:2" x14ac:dyDescent="0.3">
      <c r="A222" s="393" t="s">
        <v>652</v>
      </c>
      <c r="B222" s="398" t="s">
        <v>526</v>
      </c>
    </row>
    <row r="223" spans="1:2" x14ac:dyDescent="0.3">
      <c r="A223" s="393" t="s">
        <v>412</v>
      </c>
      <c r="B223" s="398" t="s">
        <v>1268</v>
      </c>
    </row>
    <row r="224" spans="1:2" x14ac:dyDescent="0.3">
      <c r="A224" s="393" t="s">
        <v>659</v>
      </c>
      <c r="B224" s="398" t="s">
        <v>1268</v>
      </c>
    </row>
    <row r="225" spans="1:2" x14ac:dyDescent="0.3">
      <c r="A225" s="393" t="s">
        <v>770</v>
      </c>
      <c r="B225" s="398" t="s">
        <v>529</v>
      </c>
    </row>
    <row r="226" spans="1:2" x14ac:dyDescent="0.3">
      <c r="A226" s="393" t="s">
        <v>771</v>
      </c>
      <c r="B226" s="398" t="s">
        <v>527</v>
      </c>
    </row>
    <row r="227" spans="1:2" x14ac:dyDescent="0.3">
      <c r="A227" s="393" t="s">
        <v>660</v>
      </c>
      <c r="B227" s="398" t="s">
        <v>528</v>
      </c>
    </row>
    <row r="228" spans="1:2" s="302" customFormat="1" x14ac:dyDescent="0.3">
      <c r="A228" s="393" t="s">
        <v>484</v>
      </c>
      <c r="B228" s="398" t="s">
        <v>528</v>
      </c>
    </row>
    <row r="229" spans="1:2" x14ac:dyDescent="0.3">
      <c r="A229" s="393" t="s">
        <v>1223</v>
      </c>
      <c r="B229" s="398" t="s">
        <v>524</v>
      </c>
    </row>
    <row r="230" spans="1:2" x14ac:dyDescent="0.3">
      <c r="A230" s="393" t="s">
        <v>747</v>
      </c>
      <c r="B230" s="398" t="s">
        <v>526</v>
      </c>
    </row>
    <row r="231" spans="1:2" x14ac:dyDescent="0.3">
      <c r="A231" s="393" t="s">
        <v>1444</v>
      </c>
      <c r="B231" s="398" t="s">
        <v>1505</v>
      </c>
    </row>
    <row r="232" spans="1:2" x14ac:dyDescent="0.3">
      <c r="A232" s="393" t="s">
        <v>748</v>
      </c>
      <c r="B232" s="398" t="s">
        <v>525</v>
      </c>
    </row>
    <row r="233" spans="1:2" x14ac:dyDescent="0.3">
      <c r="A233" s="393" t="s">
        <v>783</v>
      </c>
      <c r="B233" s="398" t="s">
        <v>1269</v>
      </c>
    </row>
    <row r="234" spans="1:2" x14ac:dyDescent="0.3">
      <c r="A234" s="393" t="s">
        <v>1277</v>
      </c>
      <c r="B234" s="398" t="s">
        <v>527</v>
      </c>
    </row>
    <row r="235" spans="1:2" x14ac:dyDescent="0.3">
      <c r="A235" s="393" t="s">
        <v>506</v>
      </c>
      <c r="B235" s="398" t="s">
        <v>1268</v>
      </c>
    </row>
    <row r="236" spans="1:2" x14ac:dyDescent="0.3">
      <c r="A236" s="393" t="s">
        <v>511</v>
      </c>
      <c r="B236" s="398" t="s">
        <v>1268</v>
      </c>
    </row>
    <row r="237" spans="1:2" x14ac:dyDescent="0.3">
      <c r="A237" s="393" t="s">
        <v>749</v>
      </c>
      <c r="B237" s="398" t="s">
        <v>1269</v>
      </c>
    </row>
    <row r="238" spans="1:2" x14ac:dyDescent="0.3">
      <c r="A238" s="393" t="s">
        <v>426</v>
      </c>
      <c r="B238" s="398" t="s">
        <v>529</v>
      </c>
    </row>
    <row r="239" spans="1:2" x14ac:dyDescent="0.3">
      <c r="A239" s="393" t="s">
        <v>784</v>
      </c>
      <c r="B239" s="398" t="s">
        <v>529</v>
      </c>
    </row>
    <row r="240" spans="1:2" x14ac:dyDescent="0.3">
      <c r="A240" s="393" t="s">
        <v>785</v>
      </c>
      <c r="B240" s="398" t="s">
        <v>525</v>
      </c>
    </row>
    <row r="241" spans="1:2" x14ac:dyDescent="0.3">
      <c r="A241" s="393" t="s">
        <v>796</v>
      </c>
      <c r="B241" s="398" t="s">
        <v>525</v>
      </c>
    </row>
    <row r="242" spans="1:2" x14ac:dyDescent="0.3">
      <c r="A242" s="393" t="s">
        <v>806</v>
      </c>
      <c r="B242" s="398" t="s">
        <v>525</v>
      </c>
    </row>
    <row r="243" spans="1:2" x14ac:dyDescent="0.3">
      <c r="A243" s="393" t="s">
        <v>808</v>
      </c>
      <c r="B243" s="398" t="s">
        <v>529</v>
      </c>
    </row>
    <row r="244" spans="1:2" x14ac:dyDescent="0.3">
      <c r="A244" s="393" t="s">
        <v>1227</v>
      </c>
      <c r="B244" s="398" t="s">
        <v>1503</v>
      </c>
    </row>
    <row r="245" spans="1:2" x14ac:dyDescent="0.3">
      <c r="A245" s="393" t="s">
        <v>661</v>
      </c>
      <c r="B245" s="398" t="s">
        <v>529</v>
      </c>
    </row>
    <row r="246" spans="1:2" x14ac:dyDescent="0.3">
      <c r="A246" s="393" t="s">
        <v>750</v>
      </c>
      <c r="B246" s="398" t="s">
        <v>1268</v>
      </c>
    </row>
    <row r="247" spans="1:2" x14ac:dyDescent="0.3">
      <c r="A247" s="393" t="s">
        <v>809</v>
      </c>
      <c r="B247" s="398" t="s">
        <v>1273</v>
      </c>
    </row>
    <row r="248" spans="1:2" x14ac:dyDescent="0.3">
      <c r="A248" s="393" t="s">
        <v>1267</v>
      </c>
      <c r="B248" s="398" t="s">
        <v>528</v>
      </c>
    </row>
    <row r="249" spans="1:2" x14ac:dyDescent="0.3">
      <c r="A249" s="393" t="s">
        <v>810</v>
      </c>
      <c r="B249" s="398" t="s">
        <v>529</v>
      </c>
    </row>
    <row r="250" spans="1:2" x14ac:dyDescent="0.3">
      <c r="A250" s="393" t="s">
        <v>811</v>
      </c>
      <c r="B250" s="398" t="s">
        <v>529</v>
      </c>
    </row>
    <row r="251" spans="1:2" x14ac:dyDescent="0.3">
      <c r="A251" s="393" t="s">
        <v>751</v>
      </c>
      <c r="B251" s="398" t="s">
        <v>529</v>
      </c>
    </row>
    <row r="252" spans="1:2" x14ac:dyDescent="0.3">
      <c r="A252" s="393" t="s">
        <v>812</v>
      </c>
      <c r="B252" s="398" t="s">
        <v>529</v>
      </c>
    </row>
    <row r="253" spans="1:2" x14ac:dyDescent="0.3">
      <c r="A253" s="393" t="s">
        <v>815</v>
      </c>
      <c r="B253" s="398" t="s">
        <v>529</v>
      </c>
    </row>
    <row r="254" spans="1:2" x14ac:dyDescent="0.3">
      <c r="A254" s="393" t="s">
        <v>1517</v>
      </c>
      <c r="B254" s="398" t="s">
        <v>529</v>
      </c>
    </row>
    <row r="255" spans="1:2" x14ac:dyDescent="0.3">
      <c r="A255" s="393" t="s">
        <v>1230</v>
      </c>
      <c r="B255" s="398" t="s">
        <v>529</v>
      </c>
    </row>
    <row r="256" spans="1:2" x14ac:dyDescent="0.3">
      <c r="A256" s="393" t="s">
        <v>1231</v>
      </c>
      <c r="B256" s="398" t="s">
        <v>529</v>
      </c>
    </row>
    <row r="257" spans="1:2" x14ac:dyDescent="0.3">
      <c r="A257" s="393" t="s">
        <v>752</v>
      </c>
      <c r="B257" s="398" t="s">
        <v>1269</v>
      </c>
    </row>
    <row r="258" spans="1:2" x14ac:dyDescent="0.3">
      <c r="A258" s="393" t="s">
        <v>816</v>
      </c>
      <c r="B258" s="398" t="s">
        <v>528</v>
      </c>
    </row>
    <row r="259" spans="1:2" x14ac:dyDescent="0.3">
      <c r="A259" s="393" t="s">
        <v>817</v>
      </c>
      <c r="B259" s="398" t="s">
        <v>529</v>
      </c>
    </row>
    <row r="260" spans="1:2" x14ac:dyDescent="0.3">
      <c r="A260" s="393" t="s">
        <v>512</v>
      </c>
      <c r="B260" s="398" t="s">
        <v>1269</v>
      </c>
    </row>
    <row r="261" spans="1:2" x14ac:dyDescent="0.3">
      <c r="A261" s="393" t="s">
        <v>510</v>
      </c>
      <c r="B261" s="398" t="s">
        <v>529</v>
      </c>
    </row>
    <row r="262" spans="1:2" x14ac:dyDescent="0.3">
      <c r="A262" s="393" t="s">
        <v>753</v>
      </c>
      <c r="B262" s="398" t="s">
        <v>524</v>
      </c>
    </row>
    <row r="263" spans="1:2" x14ac:dyDescent="0.3">
      <c r="A263" s="393" t="s">
        <v>662</v>
      </c>
      <c r="B263" s="398" t="s">
        <v>529</v>
      </c>
    </row>
    <row r="264" spans="1:2" x14ac:dyDescent="0.3">
      <c r="A264" s="393" t="s">
        <v>824</v>
      </c>
      <c r="B264" s="398" t="s">
        <v>529</v>
      </c>
    </row>
    <row r="265" spans="1:2" x14ac:dyDescent="0.3">
      <c r="A265" s="393" t="s">
        <v>754</v>
      </c>
      <c r="B265" s="398" t="s">
        <v>529</v>
      </c>
    </row>
    <row r="266" spans="1:2" x14ac:dyDescent="0.3">
      <c r="A266" s="393" t="s">
        <v>755</v>
      </c>
      <c r="B266" s="398" t="s">
        <v>1269</v>
      </c>
    </row>
    <row r="267" spans="1:2" x14ac:dyDescent="0.3">
      <c r="A267" s="393" t="s">
        <v>827</v>
      </c>
      <c r="B267" s="398" t="s">
        <v>528</v>
      </c>
    </row>
    <row r="268" spans="1:2" x14ac:dyDescent="0.3">
      <c r="A268" s="393" t="s">
        <v>1237</v>
      </c>
      <c r="B268" s="398" t="s">
        <v>530</v>
      </c>
    </row>
    <row r="269" spans="1:2" x14ac:dyDescent="0.3">
      <c r="A269" s="393" t="s">
        <v>1238</v>
      </c>
      <c r="B269" s="398" t="s">
        <v>524</v>
      </c>
    </row>
    <row r="270" spans="1:2" x14ac:dyDescent="0.3">
      <c r="A270" s="393" t="s">
        <v>756</v>
      </c>
      <c r="B270" s="398" t="s">
        <v>524</v>
      </c>
    </row>
    <row r="271" spans="1:2" x14ac:dyDescent="0.3">
      <c r="A271" s="393" t="s">
        <v>832</v>
      </c>
      <c r="B271" s="398" t="s">
        <v>524</v>
      </c>
    </row>
    <row r="272" spans="1:2" x14ac:dyDescent="0.3">
      <c r="A272" s="393" t="s">
        <v>757</v>
      </c>
      <c r="B272" s="398" t="s">
        <v>1268</v>
      </c>
    </row>
    <row r="273" spans="1:2" x14ac:dyDescent="0.3">
      <c r="A273" s="393" t="s">
        <v>833</v>
      </c>
      <c r="B273" s="398" t="s">
        <v>1268</v>
      </c>
    </row>
    <row r="274" spans="1:2" x14ac:dyDescent="0.3">
      <c r="A274" s="393" t="s">
        <v>835</v>
      </c>
      <c r="B274" s="398" t="s">
        <v>1268</v>
      </c>
    </row>
    <row r="275" spans="1:2" x14ac:dyDescent="0.3">
      <c r="A275" s="393" t="s">
        <v>1239</v>
      </c>
      <c r="B275" s="398" t="s">
        <v>1268</v>
      </c>
    </row>
    <row r="276" spans="1:2" x14ac:dyDescent="0.3">
      <c r="A276" s="393" t="s">
        <v>1240</v>
      </c>
      <c r="B276" s="398" t="s">
        <v>1503</v>
      </c>
    </row>
    <row r="277" spans="1:2" x14ac:dyDescent="0.3">
      <c r="A277" s="393" t="s">
        <v>1241</v>
      </c>
      <c r="B277" s="398" t="s">
        <v>1268</v>
      </c>
    </row>
    <row r="278" spans="1:2" x14ac:dyDescent="0.3">
      <c r="A278" s="393" t="s">
        <v>758</v>
      </c>
      <c r="B278" s="398" t="s">
        <v>1272</v>
      </c>
    </row>
    <row r="279" spans="1:2" x14ac:dyDescent="0.3">
      <c r="A279" s="393" t="s">
        <v>1455</v>
      </c>
      <c r="B279" s="398" t="s">
        <v>529</v>
      </c>
    </row>
    <row r="280" spans="1:2" x14ac:dyDescent="0.3">
      <c r="A280" s="393" t="s">
        <v>1456</v>
      </c>
      <c r="B280" s="398" t="s">
        <v>529</v>
      </c>
    </row>
    <row r="281" spans="1:2" x14ac:dyDescent="0.3">
      <c r="A281" s="394" t="s">
        <v>847</v>
      </c>
      <c r="B281" s="399"/>
    </row>
    <row r="282" spans="1:2" x14ac:dyDescent="0.3">
      <c r="A282" s="393" t="s">
        <v>1457</v>
      </c>
      <c r="B282" s="398" t="s">
        <v>524</v>
      </c>
    </row>
    <row r="283" spans="1:2" x14ac:dyDescent="0.3">
      <c r="A283" s="393" t="s">
        <v>850</v>
      </c>
      <c r="B283" s="398" t="s">
        <v>530</v>
      </c>
    </row>
    <row r="284" spans="1:2" x14ac:dyDescent="0.3">
      <c r="A284" s="393" t="s">
        <v>1459</v>
      </c>
      <c r="B284" s="398" t="s">
        <v>1501</v>
      </c>
    </row>
    <row r="285" spans="1:2" x14ac:dyDescent="0.3">
      <c r="A285" s="393" t="s">
        <v>1243</v>
      </c>
      <c r="B285" s="398" t="s">
        <v>1501</v>
      </c>
    </row>
    <row r="286" spans="1:2" x14ac:dyDescent="0.3">
      <c r="A286" s="393" t="s">
        <v>851</v>
      </c>
      <c r="B286" s="398" t="s">
        <v>1269</v>
      </c>
    </row>
    <row r="287" spans="1:2" x14ac:dyDescent="0.3">
      <c r="A287" s="393" t="s">
        <v>759</v>
      </c>
      <c r="B287" s="398" t="s">
        <v>1272</v>
      </c>
    </row>
    <row r="288" spans="1:2" x14ac:dyDescent="0.3">
      <c r="A288" s="393" t="s">
        <v>1518</v>
      </c>
      <c r="B288" s="398" t="s">
        <v>1505</v>
      </c>
    </row>
    <row r="289" spans="1:2" x14ac:dyDescent="0.3">
      <c r="A289" s="393" t="s">
        <v>1461</v>
      </c>
      <c r="B289" s="398" t="s">
        <v>1505</v>
      </c>
    </row>
    <row r="290" spans="1:2" x14ac:dyDescent="0.3">
      <c r="A290" s="393" t="s">
        <v>853</v>
      </c>
      <c r="B290" s="398" t="s">
        <v>1268</v>
      </c>
    </row>
    <row r="291" spans="1:2" x14ac:dyDescent="0.3">
      <c r="A291" s="393" t="s">
        <v>1250</v>
      </c>
      <c r="B291" s="398" t="s">
        <v>1503</v>
      </c>
    </row>
    <row r="292" spans="1:2" x14ac:dyDescent="0.3">
      <c r="A292" s="393" t="s">
        <v>1251</v>
      </c>
      <c r="B292" s="398" t="s">
        <v>528</v>
      </c>
    </row>
    <row r="293" spans="1:2" x14ac:dyDescent="0.3">
      <c r="A293" s="393" t="s">
        <v>1463</v>
      </c>
      <c r="B293" s="398" t="s">
        <v>1501</v>
      </c>
    </row>
    <row r="294" spans="1:2" x14ac:dyDescent="0.3">
      <c r="A294" s="393" t="s">
        <v>1465</v>
      </c>
      <c r="B294" s="398" t="s">
        <v>1501</v>
      </c>
    </row>
    <row r="295" spans="1:2" x14ac:dyDescent="0.3">
      <c r="A295" s="393" t="s">
        <v>1466</v>
      </c>
      <c r="B295" s="398" t="s">
        <v>1501</v>
      </c>
    </row>
    <row r="296" spans="1:2" x14ac:dyDescent="0.3">
      <c r="A296" s="393" t="s">
        <v>1468</v>
      </c>
      <c r="B296" s="398" t="s">
        <v>1501</v>
      </c>
    </row>
    <row r="297" spans="1:2" x14ac:dyDescent="0.3">
      <c r="A297" s="393" t="s">
        <v>1470</v>
      </c>
      <c r="B297" s="398" t="s">
        <v>1501</v>
      </c>
    </row>
    <row r="298" spans="1:2" x14ac:dyDescent="0.3">
      <c r="A298" s="393" t="s">
        <v>1471</v>
      </c>
      <c r="B298" s="398" t="s">
        <v>1501</v>
      </c>
    </row>
    <row r="299" spans="1:2" x14ac:dyDescent="0.3">
      <c r="A299" s="393" t="s">
        <v>1472</v>
      </c>
      <c r="B299" s="398" t="s">
        <v>1501</v>
      </c>
    </row>
    <row r="300" spans="1:2" x14ac:dyDescent="0.3">
      <c r="A300" s="393" t="s">
        <v>1475</v>
      </c>
      <c r="B300" s="398" t="s">
        <v>1501</v>
      </c>
    </row>
    <row r="301" spans="1:2" x14ac:dyDescent="0.3">
      <c r="A301" s="393" t="s">
        <v>1476</v>
      </c>
      <c r="B301" s="398" t="s">
        <v>1502</v>
      </c>
    </row>
    <row r="302" spans="1:2" x14ac:dyDescent="0.3">
      <c r="A302" s="393" t="s">
        <v>1477</v>
      </c>
      <c r="B302" s="398" t="s">
        <v>1502</v>
      </c>
    </row>
    <row r="303" spans="1:2" x14ac:dyDescent="0.3">
      <c r="A303" s="393" t="s">
        <v>1253</v>
      </c>
      <c r="B303" s="398" t="s">
        <v>1503</v>
      </c>
    </row>
    <row r="304" spans="1:2" x14ac:dyDescent="0.3">
      <c r="A304" s="393" t="s">
        <v>1484</v>
      </c>
      <c r="B304" s="398" t="s">
        <v>1501</v>
      </c>
    </row>
    <row r="305" spans="1:2" x14ac:dyDescent="0.3">
      <c r="A305" s="393" t="s">
        <v>1485</v>
      </c>
      <c r="B305" s="398" t="s">
        <v>1501</v>
      </c>
    </row>
    <row r="306" spans="1:2" x14ac:dyDescent="0.3">
      <c r="A306" s="393" t="s">
        <v>1519</v>
      </c>
      <c r="B306" s="398" t="s">
        <v>529</v>
      </c>
    </row>
    <row r="307" spans="1:2" x14ac:dyDescent="0.3">
      <c r="A307" s="393" t="s">
        <v>1486</v>
      </c>
      <c r="B307" s="398" t="s">
        <v>1270</v>
      </c>
    </row>
    <row r="308" spans="1:2" x14ac:dyDescent="0.3">
      <c r="A308" s="393" t="s">
        <v>1487</v>
      </c>
      <c r="B308" s="398" t="s">
        <v>1502</v>
      </c>
    </row>
    <row r="309" spans="1:2" x14ac:dyDescent="0.3">
      <c r="A309" s="393" t="s">
        <v>1488</v>
      </c>
      <c r="B309" s="398" t="s">
        <v>529</v>
      </c>
    </row>
    <row r="310" spans="1:2" x14ac:dyDescent="0.3">
      <c r="A310" s="393" t="s">
        <v>1520</v>
      </c>
      <c r="B310" s="398" t="s">
        <v>1272</v>
      </c>
    </row>
    <row r="311" spans="1:2" x14ac:dyDescent="0.3">
      <c r="A311" s="393" t="s">
        <v>1258</v>
      </c>
      <c r="B311" s="398" t="s">
        <v>1504</v>
      </c>
    </row>
    <row r="312" spans="1:2" x14ac:dyDescent="0.3">
      <c r="A312" s="393" t="s">
        <v>1521</v>
      </c>
      <c r="B312" s="398" t="s">
        <v>1501</v>
      </c>
    </row>
    <row r="313" spans="1:2" x14ac:dyDescent="0.3">
      <c r="A313" s="393" t="s">
        <v>1489</v>
      </c>
      <c r="B313" s="398" t="s">
        <v>1501</v>
      </c>
    </row>
    <row r="314" spans="1:2" x14ac:dyDescent="0.3">
      <c r="A314" s="393" t="s">
        <v>1490</v>
      </c>
      <c r="B314" s="398" t="s">
        <v>529</v>
      </c>
    </row>
    <row r="315" spans="1:2" x14ac:dyDescent="0.3">
      <c r="A315" s="393" t="s">
        <v>1278</v>
      </c>
      <c r="B315" s="398" t="s">
        <v>1504</v>
      </c>
    </row>
    <row r="316" spans="1:2" x14ac:dyDescent="0.3">
      <c r="A316" s="393" t="s">
        <v>1491</v>
      </c>
      <c r="B316" s="398" t="s">
        <v>529</v>
      </c>
    </row>
    <row r="317" spans="1:2" x14ac:dyDescent="0.3">
      <c r="A317" s="393" t="s">
        <v>1492</v>
      </c>
      <c r="B317" s="398" t="s">
        <v>530</v>
      </c>
    </row>
    <row r="318" spans="1:2" x14ac:dyDescent="0.3">
      <c r="A318" s="393" t="s">
        <v>1493</v>
      </c>
      <c r="B318" s="398" t="s">
        <v>524</v>
      </c>
    </row>
    <row r="319" spans="1:2" x14ac:dyDescent="0.3">
      <c r="A319" s="393" t="s">
        <v>1522</v>
      </c>
      <c r="B319" s="398" t="s">
        <v>1504</v>
      </c>
    </row>
    <row r="320" spans="1:2" x14ac:dyDescent="0.3">
      <c r="A320" s="393" t="s">
        <v>1523</v>
      </c>
      <c r="B320" s="398" t="s">
        <v>1505</v>
      </c>
    </row>
    <row r="321" spans="1:2" x14ac:dyDescent="0.3">
      <c r="A321" s="393" t="s">
        <v>1496</v>
      </c>
      <c r="B321" s="398" t="s">
        <v>1502</v>
      </c>
    </row>
    <row r="322" spans="1:2" x14ac:dyDescent="0.3">
      <c r="A322" s="393" t="s">
        <v>1524</v>
      </c>
      <c r="B322" s="398" t="s">
        <v>1503</v>
      </c>
    </row>
  </sheetData>
  <sortState ref="A2:B322">
    <sortCondition ref="A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2:IZ455"/>
  <sheetViews>
    <sheetView zoomScale="80" zoomScaleNormal="80" zoomScalePageLayoutView="60" workbookViewId="0">
      <pane xSplit="8" ySplit="8" topLeftCell="I24" activePane="bottomRight" state="frozen"/>
      <selection activeCell="A9" sqref="A9:W9"/>
      <selection pane="topRight" activeCell="A9" sqref="A9:W9"/>
      <selection pane="bottomLeft" activeCell="A9" sqref="A9:W9"/>
      <selection pane="bottomRight" activeCell="F15" sqref="F15"/>
    </sheetView>
  </sheetViews>
  <sheetFormatPr baseColWidth="10" defaultColWidth="10.88671875" defaultRowHeight="14.4" x14ac:dyDescent="0.3"/>
  <cols>
    <col min="1" max="1" width="7.44140625" style="215" customWidth="1"/>
    <col min="2" max="2" width="17.6640625" style="217" bestFit="1" customWidth="1"/>
    <col min="3" max="3" width="22.33203125" style="217" customWidth="1"/>
    <col min="4" max="4" width="19.88671875" style="215" customWidth="1"/>
    <col min="5" max="5" width="11" style="215" customWidth="1"/>
    <col min="6" max="6" width="14.88671875" style="215" customWidth="1"/>
    <col min="7" max="7" width="62.5546875" style="219" customWidth="1"/>
    <col min="8" max="8" width="17.109375" style="215" customWidth="1"/>
    <col min="9" max="10" width="14.44140625" style="215" customWidth="1"/>
    <col min="11" max="11" width="22" style="215" customWidth="1"/>
    <col min="12" max="12" width="15.6640625" style="215" customWidth="1"/>
    <col min="13" max="13" width="15.88671875" style="215" customWidth="1"/>
    <col min="14" max="14" width="23.6640625" style="215" customWidth="1"/>
    <col min="15" max="15" width="11.44140625" style="222" customWidth="1"/>
    <col min="16" max="17" width="18.44140625" style="215" customWidth="1"/>
    <col min="18" max="18" width="23.5546875" style="215" customWidth="1"/>
    <col min="19" max="19" width="15.6640625" style="215" customWidth="1"/>
    <col min="20" max="20" width="19" style="215" customWidth="1"/>
    <col min="21" max="21" width="22" style="215" bestFit="1" customWidth="1"/>
    <col min="22" max="22" width="29.44140625" style="215" bestFit="1" customWidth="1"/>
    <col min="23" max="23" width="18.33203125" style="216" hidden="1" customWidth="1"/>
    <col min="24" max="26" width="18.88671875" style="216" hidden="1" customWidth="1"/>
    <col min="27" max="27" width="18.5546875" style="216" hidden="1" customWidth="1"/>
    <col min="28" max="31" width="10.88671875" style="216" hidden="1" customWidth="1"/>
    <col min="32" max="32" width="10.88671875" style="215" hidden="1" customWidth="1"/>
    <col min="33" max="33" width="24.5546875" style="215" hidden="1" customWidth="1"/>
    <col min="34" max="34" width="10.88671875" style="215" hidden="1" customWidth="1"/>
    <col min="35" max="35" width="12.109375" style="215" hidden="1" customWidth="1"/>
    <col min="36" max="36" width="23.109375" style="216" customWidth="1"/>
    <col min="37" max="37" width="27.33203125" style="216" customWidth="1"/>
    <col min="38" max="38" width="16.5546875" style="216" customWidth="1"/>
    <col min="39" max="260" width="10.88671875" style="216"/>
    <col min="261" max="16384" width="10.88671875" style="215"/>
  </cols>
  <sheetData>
    <row r="2" spans="1:36" hidden="1" x14ac:dyDescent="0.3">
      <c r="B2" s="1236"/>
      <c r="C2" s="1236"/>
      <c r="D2" s="1237" t="s">
        <v>2</v>
      </c>
      <c r="E2" s="1238"/>
      <c r="F2" s="1238"/>
      <c r="G2" s="1238"/>
      <c r="H2" s="1238"/>
      <c r="I2" s="1238"/>
      <c r="J2" s="1238"/>
      <c r="K2" s="1238"/>
      <c r="L2" s="1238"/>
      <c r="M2" s="1238"/>
      <c r="N2" s="1238"/>
      <c r="O2" s="1238"/>
      <c r="P2" s="1238"/>
      <c r="Q2" s="1238"/>
      <c r="R2" s="1238"/>
      <c r="S2" s="1238"/>
      <c r="T2" s="1235" t="s">
        <v>3</v>
      </c>
      <c r="U2" s="1235"/>
      <c r="V2" s="1235"/>
    </row>
    <row r="3" spans="1:36" hidden="1" x14ac:dyDescent="0.3">
      <c r="B3" s="1236"/>
      <c r="C3" s="1236"/>
      <c r="D3" s="1239" t="s">
        <v>4</v>
      </c>
      <c r="E3" s="1240"/>
      <c r="F3" s="1240"/>
      <c r="G3" s="1240"/>
      <c r="H3" s="1240"/>
      <c r="I3" s="1240"/>
      <c r="J3" s="1240"/>
      <c r="K3" s="1240"/>
      <c r="L3" s="1240"/>
      <c r="M3" s="1240"/>
      <c r="N3" s="1240"/>
      <c r="O3" s="1240"/>
      <c r="P3" s="1240"/>
      <c r="Q3" s="1240"/>
      <c r="R3" s="1240"/>
      <c r="S3" s="1240"/>
      <c r="T3" s="1243">
        <v>42675</v>
      </c>
      <c r="U3" s="1243"/>
      <c r="V3" s="1243"/>
    </row>
    <row r="4" spans="1:36" hidden="1" x14ac:dyDescent="0.3">
      <c r="B4" s="1236"/>
      <c r="C4" s="1236"/>
      <c r="D4" s="1241"/>
      <c r="E4" s="1242"/>
      <c r="F4" s="1242"/>
      <c r="G4" s="1242"/>
      <c r="H4" s="1242"/>
      <c r="I4" s="1242"/>
      <c r="J4" s="1242"/>
      <c r="K4" s="1242"/>
      <c r="L4" s="1242"/>
      <c r="M4" s="1242"/>
      <c r="N4" s="1242"/>
      <c r="O4" s="1242"/>
      <c r="P4" s="1242"/>
      <c r="Q4" s="1242"/>
      <c r="R4" s="1242"/>
      <c r="S4" s="1242"/>
      <c r="T4" s="1243"/>
      <c r="U4" s="1243"/>
      <c r="V4" s="1243"/>
    </row>
    <row r="5" spans="1:36" hidden="1" x14ac:dyDescent="0.3">
      <c r="B5" s="1235" t="s">
        <v>5</v>
      </c>
      <c r="C5" s="1235"/>
      <c r="D5" s="1235"/>
      <c r="E5" s="1235"/>
      <c r="F5" s="1235"/>
      <c r="G5" s="1235"/>
      <c r="H5" s="1235"/>
      <c r="I5" s="1235"/>
      <c r="J5" s="1235"/>
      <c r="K5" s="1235"/>
      <c r="L5" s="1235"/>
      <c r="M5" s="1235"/>
      <c r="N5" s="1235"/>
      <c r="O5" s="1235"/>
      <c r="P5" s="1235"/>
      <c r="Q5" s="1235"/>
      <c r="R5" s="1235"/>
      <c r="S5" s="1235"/>
      <c r="T5" s="1235"/>
      <c r="U5" s="1235"/>
      <c r="V5" s="1235"/>
    </row>
    <row r="6" spans="1:36" hidden="1" x14ac:dyDescent="0.3">
      <c r="B6" s="1235"/>
      <c r="C6" s="1235"/>
      <c r="D6" s="1235"/>
      <c r="E6" s="1235"/>
      <c r="F6" s="1235"/>
      <c r="G6" s="1235"/>
      <c r="H6" s="1235"/>
      <c r="I6" s="1235"/>
      <c r="J6" s="1235"/>
      <c r="K6" s="1235"/>
      <c r="L6" s="1235"/>
      <c r="M6" s="1235"/>
      <c r="N6" s="1235"/>
      <c r="O6" s="1235"/>
      <c r="P6" s="1235"/>
      <c r="Q6" s="1235"/>
      <c r="R6" s="1235"/>
      <c r="S6" s="1235"/>
      <c r="T6" s="1235"/>
      <c r="U6" s="1235"/>
      <c r="V6" s="1235"/>
    </row>
    <row r="7" spans="1:36" hidden="1" x14ac:dyDescent="0.3">
      <c r="B7" s="435"/>
      <c r="E7" s="218"/>
      <c r="F7" s="218"/>
      <c r="H7" s="220"/>
      <c r="I7" s="221"/>
      <c r="J7" s="221"/>
      <c r="K7" s="221"/>
      <c r="L7" s="221"/>
      <c r="M7" s="221"/>
      <c r="N7" s="221"/>
    </row>
    <row r="8" spans="1:36" ht="57.6" x14ac:dyDescent="0.3">
      <c r="B8" s="223" t="s">
        <v>0</v>
      </c>
      <c r="C8" s="224" t="s">
        <v>6</v>
      </c>
      <c r="D8" s="225" t="s">
        <v>7</v>
      </c>
      <c r="E8" s="226" t="s">
        <v>8</v>
      </c>
      <c r="F8" s="226" t="s">
        <v>9</v>
      </c>
      <c r="G8" s="226" t="s">
        <v>10</v>
      </c>
      <c r="H8" s="227" t="s">
        <v>11</v>
      </c>
      <c r="I8" s="228" t="s">
        <v>12</v>
      </c>
      <c r="J8" s="231" t="s">
        <v>1441</v>
      </c>
      <c r="K8" s="232" t="s">
        <v>1442</v>
      </c>
      <c r="L8" s="228" t="s">
        <v>19</v>
      </c>
      <c r="M8" s="228" t="s">
        <v>856</v>
      </c>
      <c r="N8" s="229" t="s">
        <v>13</v>
      </c>
      <c r="O8" s="230" t="s">
        <v>14</v>
      </c>
      <c r="P8" s="231" t="s">
        <v>15</v>
      </c>
      <c r="Q8" s="231" t="s">
        <v>1441</v>
      </c>
      <c r="R8" s="232" t="s">
        <v>1442</v>
      </c>
      <c r="S8" s="231" t="s">
        <v>19</v>
      </c>
      <c r="T8" s="231" t="s">
        <v>855</v>
      </c>
      <c r="U8" s="231" t="s">
        <v>16</v>
      </c>
      <c r="V8" s="231" t="s">
        <v>17</v>
      </c>
      <c r="W8" s="216" t="s">
        <v>445</v>
      </c>
      <c r="X8" s="216" t="s">
        <v>446</v>
      </c>
      <c r="Y8" s="216" t="s">
        <v>447</v>
      </c>
      <c r="Z8" s="216" t="s">
        <v>448</v>
      </c>
      <c r="AA8" s="216" t="s">
        <v>449</v>
      </c>
      <c r="AB8" s="233" t="s">
        <v>450</v>
      </c>
      <c r="AC8" s="233" t="s">
        <v>451</v>
      </c>
      <c r="AD8" s="233" t="s">
        <v>452</v>
      </c>
      <c r="AE8" s="233" t="s">
        <v>453</v>
      </c>
      <c r="AF8" s="233" t="s">
        <v>454</v>
      </c>
      <c r="AG8" s="215" t="s">
        <v>455</v>
      </c>
      <c r="AH8" s="215" t="s">
        <v>456</v>
      </c>
      <c r="AI8" s="215" t="s">
        <v>457</v>
      </c>
    </row>
    <row r="9" spans="1:36" s="1064" customFormat="1" ht="57" customHeight="1" x14ac:dyDescent="0.3">
      <c r="A9" s="1064">
        <v>1</v>
      </c>
      <c r="B9" s="235" t="str">
        <f>+'OT17-013  CHÍA AMPLIACIÓN'!AA69</f>
        <v>D00234958</v>
      </c>
      <c r="C9" s="1065" t="str">
        <f>+'OT17-013  CHÍA AMPLIACIÓN'!AA70</f>
        <v>D00234958000</v>
      </c>
      <c r="D9" s="1066" t="s">
        <v>2314</v>
      </c>
      <c r="E9" s="234" t="s">
        <v>479</v>
      </c>
      <c r="F9" s="234">
        <v>0</v>
      </c>
      <c r="G9" s="234" t="str">
        <f>+'OT17-013  CHÍA AMPLIACIÓN'!A7</f>
        <v>Proyecto: Ampliación de capacidad en la subestación CHÍA.</v>
      </c>
      <c r="H9" s="1067">
        <f>+'OT17-013  CHÍA AMPLIACIÓN'!H51</f>
        <v>145207482</v>
      </c>
      <c r="I9" s="1068">
        <f>+'OT17-013  CHÍA AMPLIACIÓN'!H52</f>
        <v>0</v>
      </c>
      <c r="J9" s="1069"/>
      <c r="K9" s="1068">
        <f>+'OT17-013  CHÍA AMPLIACIÓN'!H53</f>
        <v>145207482</v>
      </c>
      <c r="L9" s="1068">
        <f>+'OT17-013  CHÍA AMPLIACIÓN'!H56</f>
        <v>27589421.580000002</v>
      </c>
      <c r="M9" s="1068">
        <f>+'OT17-013  CHÍA AMPLIACIÓN'!H57</f>
        <v>172796903.58000001</v>
      </c>
      <c r="N9" s="1068">
        <f>+'OT17-013  CHÍA AMPLIACIÓN'!AA51</f>
        <v>0</v>
      </c>
      <c r="O9" s="1070">
        <f>+'OT17-013  CHÍA AMPLIACIÓN'!AB55</f>
        <v>0</v>
      </c>
      <c r="P9" s="1069">
        <f>+'OT17-013  CHÍA AMPLIACIÓN'!AA52</f>
        <v>0</v>
      </c>
      <c r="Q9" s="1069">
        <f>+'OT17-013  CHÍA AMPLIACIÓN'!AA54</f>
        <v>0</v>
      </c>
      <c r="R9" s="1068">
        <f>+'OT17-013  CHÍA AMPLIACIÓN'!AA55</f>
        <v>0</v>
      </c>
      <c r="S9" s="1069">
        <f>+'OT17-013  CHÍA AMPLIACIÓN'!AA56</f>
        <v>0</v>
      </c>
      <c r="T9" s="1069">
        <f>+'OT17-013  CHÍA AMPLIACIÓN'!AA57</f>
        <v>0</v>
      </c>
      <c r="U9" s="1069" t="str">
        <f>+'OT17-013  CHÍA AMPLIACIÓN'!A8</f>
        <v>Acta N° 6: Marzo</v>
      </c>
      <c r="V9" s="1069"/>
      <c r="AB9" s="1071"/>
      <c r="AC9" s="1071"/>
      <c r="AD9" s="1071"/>
      <c r="AE9" s="1071"/>
      <c r="AF9" s="1071"/>
    </row>
    <row r="10" spans="1:36" s="924" customFormat="1" ht="47.25" customHeight="1" x14ac:dyDescent="0.3">
      <c r="A10" s="1064">
        <v>2</v>
      </c>
      <c r="B10" s="235" t="str">
        <f>'OT17-021 CONCORDIA DR Y CN'!AA43</f>
        <v>D00249499</v>
      </c>
      <c r="C10" s="235" t="str">
        <f>'OT17-021 CONCORDIA DR Y CN'!AA44</f>
        <v>D00249499</v>
      </c>
      <c r="D10" s="234" t="s">
        <v>1236</v>
      </c>
      <c r="E10" s="234" t="s">
        <v>400</v>
      </c>
      <c r="F10" s="234">
        <f>'OT17-021 CONCORDIA DR Y CN'!AA42</f>
        <v>0</v>
      </c>
      <c r="G10" s="234" t="str">
        <f>'OT17-021 CONCORDIA DR Y CN'!A7</f>
        <v>Proyecto: SE Concordia - CDIM_CBSGSM_R0120.</v>
      </c>
      <c r="H10" s="618">
        <f>'OT17-021 CONCORDIA DR Y CN'!H24</f>
        <v>26179156</v>
      </c>
      <c r="I10" s="618">
        <f>'OT17-021 CONCORDIA DR Y CN'!H25</f>
        <v>0</v>
      </c>
      <c r="J10" s="618"/>
      <c r="K10" s="618">
        <f>'OT17-021 CONCORDIA DR Y CN'!H26</f>
        <v>26179156</v>
      </c>
      <c r="L10" s="618">
        <f>'OT17-021 CONCORDIA DR Y CN'!H29</f>
        <v>4974039.6399999997</v>
      </c>
      <c r="M10" s="618">
        <f>'OT17-021 CONCORDIA DR Y CN'!H30</f>
        <v>31153195.640000001</v>
      </c>
      <c r="N10" s="922">
        <f>'OT17-021 CONCORDIA DR Y CN'!AA24</f>
        <v>1463920</v>
      </c>
      <c r="O10" s="923">
        <f>'OT17-021 CONCORDIA DR Y CN'!AB28</f>
        <v>5.675809411120817E-2</v>
      </c>
      <c r="P10" s="618">
        <f>'OT17-021 CONCORDIA DR Y CN'!AA25</f>
        <v>0</v>
      </c>
      <c r="Q10" s="618">
        <f>+'OT17-021 CONCORDIA DR Y CN'!AA27</f>
        <v>21959</v>
      </c>
      <c r="R10" s="618">
        <f>'OT17-021 CONCORDIA DR Y CN'!AA28</f>
        <v>1485879</v>
      </c>
      <c r="S10" s="618">
        <f>'OT17-021 CONCORDIA DR Y CN'!AA29</f>
        <v>282317.01</v>
      </c>
      <c r="T10" s="618">
        <f>'OT17-021 CONCORDIA DR Y CN'!AA30</f>
        <v>1768196.01</v>
      </c>
      <c r="U10" s="750" t="str">
        <f>'OT17-021 CONCORDIA DR Y CN'!A8</f>
        <v xml:space="preserve">Acta N° 7: Marzo </v>
      </c>
      <c r="V10" s="234" t="s">
        <v>1717</v>
      </c>
      <c r="W10" s="925">
        <f>'[1]OT17-030 BOSA REP DE PRO'!$V$64</f>
        <v>5390436</v>
      </c>
      <c r="X10" s="925">
        <f>'[1]OT17-030 BOSA REP DE PRO'!$V$66</f>
        <v>30890537</v>
      </c>
      <c r="Y10" s="925">
        <f>'[1]OT17-030 BOSA REP DE PRO'!$V$66</f>
        <v>30890537</v>
      </c>
      <c r="Z10" s="925">
        <f>'[1]OT17-030 BOSA REP DE PRO'!$V$67</f>
        <v>17379629</v>
      </c>
      <c r="AA10" s="925">
        <v>0</v>
      </c>
      <c r="AB10" s="926">
        <f>'[1]OT17-030 BOSA REP DE PRO'!$W$64</f>
        <v>5.4734459529151541E-2</v>
      </c>
      <c r="AC10" s="926">
        <f>'[1]OT17-030 BOSA REP DE PRO'!$W$65</f>
        <v>0.36896267580347497</v>
      </c>
      <c r="AD10" s="926">
        <f>'[1]OT17-030 BOSA REP DE PRO'!$W$66</f>
        <v>0.31366235444781426</v>
      </c>
      <c r="AE10" s="926">
        <f>'[1]OT17-030 BOSA REP DE PRO'!$W$67</f>
        <v>0.17647266383130575</v>
      </c>
      <c r="AF10" s="927">
        <v>0</v>
      </c>
      <c r="AG10" s="925">
        <f>'[1]OT17-030 BOSA REP DE PRO'!V68</f>
        <v>89997303</v>
      </c>
      <c r="AH10" s="927">
        <f>'[1]OT17-030 BOSA REP DE PRO'!W68</f>
        <v>0.91383215361174652</v>
      </c>
      <c r="AJ10" s="925"/>
    </row>
    <row r="11" spans="1:36" s="924" customFormat="1" ht="47.25" customHeight="1" x14ac:dyDescent="0.3">
      <c r="A11" s="1064">
        <v>3</v>
      </c>
      <c r="B11" s="235" t="str">
        <f>+'OT17-031 CALLE 67 REP PROT'!R35</f>
        <v>D00234809</v>
      </c>
      <c r="C11" s="235">
        <f>+'OT17-031 CALLE 67 REP PROT'!R36</f>
        <v>0</v>
      </c>
      <c r="D11" s="234" t="s">
        <v>2660</v>
      </c>
      <c r="E11" s="234" t="s">
        <v>482</v>
      </c>
      <c r="F11" s="234">
        <f>+'OT17-031 CALLE 67 REP PROT'!R34</f>
        <v>0</v>
      </c>
      <c r="G11" s="234" t="str">
        <f>+'OT17-031 CALLE 67 REP PROT'!A7</f>
        <v>Proyecto : REPOSICIÓN DE PROTECCIONES EN SE AT-MT, CDIM_CBSGSM_R0071, Cambio Protección 87B y Normalización Tableros en SE Calle 67</v>
      </c>
      <c r="H11" s="618">
        <f>+'OT17-031 CALLE 67 REP PROT'!H20</f>
        <v>21944785.829999998</v>
      </c>
      <c r="I11" s="618">
        <f>+'OT17-031 CALLE 67 REP PROT'!H21</f>
        <v>0</v>
      </c>
      <c r="J11" s="618"/>
      <c r="K11" s="618">
        <f>+'OT17-031 CALLE 67 REP PROT'!H22</f>
        <v>21944785.829999998</v>
      </c>
      <c r="L11" s="618">
        <f>+'OT17-031 CALLE 67 REP PROT'!H25</f>
        <v>4169509.3076999998</v>
      </c>
      <c r="M11" s="618">
        <f>+'OT17-031 CALLE 67 REP PROT'!H26</f>
        <v>26114295.137699999</v>
      </c>
      <c r="N11" s="922">
        <f>+'OT17-031 CALLE 67 REP PROT'!R20</f>
        <v>0</v>
      </c>
      <c r="O11" s="923">
        <f>+'OT17-031 CALLE 67 REP PROT'!S24</f>
        <v>0</v>
      </c>
      <c r="P11" s="618">
        <f>+'OT17-031 CALLE 67 REP PROT'!R21</f>
        <v>0</v>
      </c>
      <c r="Q11" s="618">
        <f>+'OT17-031 CALLE 67 REP PROT'!R23</f>
        <v>0</v>
      </c>
      <c r="R11" s="618">
        <f>+'OT17-031 CALLE 67 REP PROT'!R24</f>
        <v>0</v>
      </c>
      <c r="S11" s="618">
        <f>+'OT17-031 CALLE 67 REP PROT'!R25</f>
        <v>0</v>
      </c>
      <c r="T11" s="618">
        <f>+'OT17-031 CALLE 67 REP PROT'!R26</f>
        <v>0</v>
      </c>
      <c r="U11" s="750" t="str">
        <f>+'OT17-031 CALLE 67 REP PROT'!A8</f>
        <v>Acta N° 3: Marzo</v>
      </c>
      <c r="V11" s="234"/>
      <c r="W11" s="925"/>
      <c r="X11" s="925"/>
      <c r="Y11" s="925"/>
      <c r="Z11" s="925"/>
      <c r="AA11" s="925"/>
      <c r="AB11" s="926"/>
      <c r="AC11" s="926"/>
      <c r="AD11" s="926"/>
      <c r="AE11" s="926"/>
      <c r="AF11" s="927"/>
      <c r="AG11" s="925"/>
      <c r="AH11" s="927"/>
      <c r="AJ11" s="925"/>
    </row>
    <row r="12" spans="1:36" s="924" customFormat="1" ht="47.25" customHeight="1" x14ac:dyDescent="0.3">
      <c r="A12" s="1064">
        <v>4</v>
      </c>
      <c r="B12" s="235" t="str">
        <f>+'OT17-043 VICTORIA PTES D1 D2'!U38</f>
        <v>D00234959</v>
      </c>
      <c r="C12" s="235">
        <f>+'OT17-043 VICTORIA PTES D1 D2'!U39</f>
        <v>0</v>
      </c>
      <c r="D12" s="234" t="s">
        <v>2661</v>
      </c>
      <c r="E12" s="234" t="s">
        <v>402</v>
      </c>
      <c r="F12" s="234">
        <f>+'OT17-043 VICTORIA PTES D1 D2'!U37</f>
        <v>0</v>
      </c>
      <c r="G12" s="234" t="str">
        <f>+'OT17-043 VICTORIA PTES D1 D2'!A7</f>
        <v>Proyecto: CDIM_CBSGSM_R0161, Normalización y Reposición SE VICTORIA, Pendientes Normalización Módulos D1-D2 SE VICTORIA.</v>
      </c>
      <c r="H12" s="618">
        <f>+'OT17-043 VICTORIA PTES D1 D2'!H21</f>
        <v>14834147</v>
      </c>
      <c r="I12" s="618">
        <f>+'OT17-043 VICTORIA PTES D1 D2'!H22</f>
        <v>0</v>
      </c>
      <c r="J12" s="618"/>
      <c r="K12" s="618">
        <f>+'OT17-043 VICTORIA PTES D1 D2'!H23</f>
        <v>14834147</v>
      </c>
      <c r="L12" s="618">
        <f>+'OT17-043 VICTORIA PTES D1 D2'!H26</f>
        <v>2818487.93</v>
      </c>
      <c r="M12" s="618">
        <f>+'OT17-043 VICTORIA PTES D1 D2'!H27</f>
        <v>17652634.93</v>
      </c>
      <c r="N12" s="922">
        <f>+'OT17-043 VICTORIA PTES D1 D2'!U21</f>
        <v>0</v>
      </c>
      <c r="O12" s="923">
        <f>+'OT17-043 VICTORIA PTES D1 D2'!V25</f>
        <v>0</v>
      </c>
      <c r="P12" s="618">
        <f>+'OT17-043 VICTORIA PTES D1 D2'!R22</f>
        <v>0</v>
      </c>
      <c r="Q12" s="618">
        <f>+'OT17-043 VICTORIA PTES D1 D2'!U24</f>
        <v>0</v>
      </c>
      <c r="R12" s="618">
        <f>+'OT17-043 VICTORIA PTES D1 D2'!U25</f>
        <v>0</v>
      </c>
      <c r="S12" s="618">
        <f>+'OT17-043 VICTORIA PTES D1 D2'!U26</f>
        <v>0</v>
      </c>
      <c r="T12" s="618">
        <f>+'OT17-043 VICTORIA PTES D1 D2'!U27</f>
        <v>0</v>
      </c>
      <c r="U12" s="750" t="str">
        <f>+'OT17-043 VICTORIA PTES D1 D2'!A8</f>
        <v>Acta N° 4: Marzo</v>
      </c>
      <c r="V12" s="234"/>
      <c r="W12" s="925"/>
      <c r="X12" s="925"/>
      <c r="Y12" s="925"/>
      <c r="Z12" s="925"/>
      <c r="AA12" s="925"/>
      <c r="AB12" s="926"/>
      <c r="AC12" s="926"/>
      <c r="AD12" s="926"/>
      <c r="AE12" s="926"/>
      <c r="AF12" s="927"/>
      <c r="AG12" s="925"/>
      <c r="AH12" s="927"/>
      <c r="AJ12" s="925"/>
    </row>
    <row r="13" spans="1:36" s="924" customFormat="1" ht="47.25" customHeight="1" x14ac:dyDescent="0.3">
      <c r="A13" s="1064">
        <v>5</v>
      </c>
      <c r="B13" s="235" t="str">
        <f>+'OT17-045 VICTORIA CONT Y PR'!U41</f>
        <v>D00234959</v>
      </c>
      <c r="C13" s="235">
        <f>+'OT17-045 VICTORIA CONT Y PR'!U42</f>
        <v>0</v>
      </c>
      <c r="D13" s="234" t="s">
        <v>2663</v>
      </c>
      <c r="E13" s="234" t="s">
        <v>2662</v>
      </c>
      <c r="F13" s="234">
        <f>+'OT17-045 VICTORIA CONT Y PR'!U40</f>
        <v>0</v>
      </c>
      <c r="G13" s="234" t="str">
        <f>+'OT17-045 VICTORIA CONT Y PR'!A7</f>
        <v>Proyecto: CDIM_CBSGSM_R0161, Normalización y Reposición SE VICTORIA, Cambio Protecciones módulos 87B, D3, y R1</v>
      </c>
      <c r="H13" s="618">
        <f>+'OT17-045 VICTORIA CONT Y PR'!H26</f>
        <v>48506960</v>
      </c>
      <c r="I13" s="618">
        <f>+'OT17-045 VICTORIA CONT Y PR'!H27</f>
        <v>0</v>
      </c>
      <c r="J13" s="618"/>
      <c r="K13" s="618">
        <f>+'OT17-045 VICTORIA CONT Y PR'!H28</f>
        <v>48506960</v>
      </c>
      <c r="L13" s="618">
        <f>+'OT17-045 VICTORIA CONT Y PR'!H31</f>
        <v>9216322.4000000004</v>
      </c>
      <c r="M13" s="618">
        <f>+'OT17-045 VICTORIA CONT Y PR'!H32</f>
        <v>57723282.399999999</v>
      </c>
      <c r="N13" s="922">
        <f>+'OT17-045 VICTORIA CONT Y PR'!U26</f>
        <v>0</v>
      </c>
      <c r="O13" s="923">
        <f>+'OT17-045 VICTORIA CONT Y PR'!V30</f>
        <v>0</v>
      </c>
      <c r="P13" s="618">
        <f>+'OT17-045 VICTORIA CONT Y PR'!U27</f>
        <v>0</v>
      </c>
      <c r="Q13" s="618">
        <f>+'OT17-045 VICTORIA CONT Y PR'!U29</f>
        <v>0</v>
      </c>
      <c r="R13" s="618">
        <f>+'OT17-045 VICTORIA CONT Y PR'!U30</f>
        <v>0</v>
      </c>
      <c r="S13" s="618">
        <f>+'OT17-045 VICTORIA CONT Y PR'!U31</f>
        <v>0</v>
      </c>
      <c r="T13" s="618">
        <f>+'OT17-045 VICTORIA CONT Y PR'!U32</f>
        <v>0</v>
      </c>
      <c r="U13" s="750" t="str">
        <f>+'OT17-045 VICTORIA CONT Y PR'!A8</f>
        <v>Acta N° 4: Marzo</v>
      </c>
      <c r="V13" s="234"/>
      <c r="W13" s="925"/>
      <c r="X13" s="925"/>
      <c r="Y13" s="925"/>
      <c r="Z13" s="925"/>
      <c r="AA13" s="925"/>
      <c r="AB13" s="926"/>
      <c r="AC13" s="926"/>
      <c r="AD13" s="926"/>
      <c r="AE13" s="926"/>
      <c r="AF13" s="927"/>
      <c r="AG13" s="925"/>
      <c r="AH13" s="927"/>
      <c r="AJ13" s="925"/>
    </row>
    <row r="14" spans="1:36" s="924" customFormat="1" ht="47.25" customHeight="1" x14ac:dyDescent="0.3">
      <c r="A14" s="1064">
        <v>6</v>
      </c>
      <c r="B14" s="235" t="str">
        <f>+'OT17-046 VICTORIA POTENCIA'!AA119</f>
        <v>D00234959</v>
      </c>
      <c r="C14" s="235" t="str">
        <f>+'OT17-046 VICTORIA POTENCIA'!AA120</f>
        <v>D00234959000</v>
      </c>
      <c r="D14" s="234" t="s">
        <v>2664</v>
      </c>
      <c r="E14" s="234" t="s">
        <v>2665</v>
      </c>
      <c r="F14" s="234">
        <f>+'OT17-046 VICTORIA POTENCIA'!AA118</f>
        <v>0</v>
      </c>
      <c r="G14" s="234" t="str">
        <f>+'OT17-046 VICTORIA POTENCIA'!A7</f>
        <v>Proyecto: CDIM_CBSGSM_R0161, Normalización y Reposición SE VICTORIA, Cambio, y Normalización, de Control, Protección, y Potencia, en Módulos de Línea de 115 kV</v>
      </c>
      <c r="H14" s="618">
        <f>+'OT17-046 VICTORIA POTENCIA'!H101</f>
        <v>186767461</v>
      </c>
      <c r="I14" s="618">
        <f>+'OT17-046 VICTORIA POTENCIA'!H102</f>
        <v>0</v>
      </c>
      <c r="J14" s="618"/>
      <c r="K14" s="618">
        <f>+'OT17-046 VICTORIA POTENCIA'!H103</f>
        <v>186767461</v>
      </c>
      <c r="L14" s="618">
        <f>+'OT17-046 VICTORIA POTENCIA'!H106</f>
        <v>35485817.590000004</v>
      </c>
      <c r="M14" s="618">
        <f>+'OT17-046 VICTORIA POTENCIA'!H107</f>
        <v>222253278.59</v>
      </c>
      <c r="N14" s="922">
        <f>+'OT17-046 VICTORIA POTENCIA'!AA101</f>
        <v>0</v>
      </c>
      <c r="O14" s="923">
        <f>+'OT17-046 VICTORIA POTENCIA'!AB105</f>
        <v>0</v>
      </c>
      <c r="P14" s="618">
        <f>+'OT17-046 VICTORIA POTENCIA'!AA102</f>
        <v>0</v>
      </c>
      <c r="Q14" s="618">
        <f>+'OT17-046 VICTORIA POTENCIA'!AA104</f>
        <v>0</v>
      </c>
      <c r="R14" s="618">
        <f>+'OT17-046 VICTORIA POTENCIA'!AA105</f>
        <v>0</v>
      </c>
      <c r="S14" s="618">
        <f>+'OT17-046 VICTORIA POTENCIA'!AA106</f>
        <v>0</v>
      </c>
      <c r="T14" s="618">
        <f>+'OT17-046 VICTORIA POTENCIA'!AA107</f>
        <v>0</v>
      </c>
      <c r="U14" s="750" t="str">
        <f>+'OT17-046 VICTORIA POTENCIA'!A8</f>
        <v>Acta N° 5: Marzo</v>
      </c>
      <c r="V14" s="234"/>
      <c r="W14" s="925"/>
      <c r="X14" s="925"/>
      <c r="Y14" s="925"/>
      <c r="Z14" s="925"/>
      <c r="AA14" s="925"/>
      <c r="AB14" s="926"/>
      <c r="AC14" s="926"/>
      <c r="AD14" s="926"/>
      <c r="AE14" s="926"/>
      <c r="AF14" s="927"/>
      <c r="AG14" s="925"/>
      <c r="AH14" s="927"/>
      <c r="AJ14" s="925"/>
    </row>
    <row r="15" spans="1:36" s="924" customFormat="1" ht="47.25" customHeight="1" x14ac:dyDescent="0.3">
      <c r="A15" s="1064">
        <v>7</v>
      </c>
      <c r="B15" s="235" t="str">
        <f>+'OT-047 MORATO AS BUILT'!O72</f>
        <v>D00234809</v>
      </c>
      <c r="C15" s="235" t="str">
        <f>+'OT-047 MORATO AS BUILT'!O73</f>
        <v>D00234809000</v>
      </c>
      <c r="D15" s="234" t="s">
        <v>2666</v>
      </c>
      <c r="E15" s="234" t="s">
        <v>767</v>
      </c>
      <c r="F15" s="234">
        <f>+'OT-047 MORATO AS BUILT'!O71</f>
        <v>0</v>
      </c>
      <c r="G15" s="234" t="str">
        <f>+'OT-047 MORATO AS BUILT'!A7</f>
        <v>Proyecto: CDIM_CBSGSM_R0071 REPOSICIÓN DE PROTECCIONES EN SE AT-MT, Planos As-Built Cambio Protecciones - SE MORATO</v>
      </c>
      <c r="H15" s="618">
        <f>+'OT-047 MORATO AS BUILT'!H58</f>
        <v>6339336</v>
      </c>
      <c r="I15" s="618">
        <f>+'OT-047 MORATO AS BUILT'!H59</f>
        <v>0</v>
      </c>
      <c r="J15" s="618"/>
      <c r="K15" s="618">
        <f>+'OT-047 MORATO AS BUILT'!H60</f>
        <v>6339336</v>
      </c>
      <c r="L15" s="618">
        <f>+'OT-047 MORATO AS BUILT'!H63</f>
        <v>1204473.8400000001</v>
      </c>
      <c r="M15" s="618">
        <f>+'OT-047 MORATO AS BUILT'!H64</f>
        <v>7543809.8399999999</v>
      </c>
      <c r="N15" s="922">
        <f>+'OT-047 MORATO AS BUILT'!O58</f>
        <v>0</v>
      </c>
      <c r="O15" s="923">
        <f>+'OT-047 MORATO AS BUILT'!P62</f>
        <v>0</v>
      </c>
      <c r="P15" s="618">
        <f>+'OT-047 MORATO AS BUILT'!O59</f>
        <v>0</v>
      </c>
      <c r="Q15" s="618">
        <f>+'OT-047 MORATO AS BUILT'!O61</f>
        <v>0</v>
      </c>
      <c r="R15" s="618">
        <f>+'OT-047 MORATO AS BUILT'!O62</f>
        <v>0</v>
      </c>
      <c r="S15" s="618">
        <f>+'OT-047 MORATO AS BUILT'!O63</f>
        <v>0</v>
      </c>
      <c r="T15" s="618">
        <f>+'OT-047 MORATO AS BUILT'!O64</f>
        <v>0</v>
      </c>
      <c r="U15" s="750" t="str">
        <f>+'OT-047 MORATO AS BUILT'!A8</f>
        <v>Acta N° 2: Marzo</v>
      </c>
      <c r="V15" s="234"/>
      <c r="W15" s="925"/>
      <c r="X15" s="925"/>
      <c r="Y15" s="925"/>
      <c r="Z15" s="925"/>
      <c r="AA15" s="925"/>
      <c r="AB15" s="926"/>
      <c r="AC15" s="926"/>
      <c r="AD15" s="926"/>
      <c r="AE15" s="926"/>
      <c r="AF15" s="927"/>
      <c r="AG15" s="925"/>
      <c r="AH15" s="927"/>
      <c r="AJ15" s="925"/>
    </row>
    <row r="16" spans="1:36" s="924" customFormat="1" ht="47.25" customHeight="1" x14ac:dyDescent="0.3">
      <c r="A16" s="1064">
        <v>8</v>
      </c>
      <c r="B16" s="235" t="str">
        <f>+'OT17-048 TECHO PLANOS AS BUILT'!O99</f>
        <v>D00234810</v>
      </c>
      <c r="C16" s="235" t="str">
        <f>+'OT17-048 TECHO PLANOS AS BUILT'!O100</f>
        <v>D00234810000</v>
      </c>
      <c r="D16" s="234" t="s">
        <v>2667</v>
      </c>
      <c r="E16" s="234" t="s">
        <v>2668</v>
      </c>
      <c r="F16" s="234">
        <f>+'OT17-048 TECHO PLANOS AS BUILT'!O98</f>
        <v>0</v>
      </c>
      <c r="G16" s="234" t="str">
        <f>+'OT17-048 TECHO PLANOS AS BUILT'!A7</f>
        <v>Proyecto: CDIM_CBSGSM_R0071 REPOSICIÓN DE PROTECCIONES EN SE AT-MT, Planos As-Built Cambio Protecciones - SE TECHO</v>
      </c>
      <c r="H16" s="618">
        <f>+'OT17-048 TECHO PLANOS AS BUILT'!H86</f>
        <v>5281800</v>
      </c>
      <c r="I16" s="618">
        <f>+'OT17-048 TECHO PLANOS AS BUILT'!H87</f>
        <v>0</v>
      </c>
      <c r="J16" s="618"/>
      <c r="K16" s="618">
        <f>+'OT17-048 TECHO PLANOS AS BUILT'!H88</f>
        <v>5281800</v>
      </c>
      <c r="L16" s="618">
        <f>+'OT17-048 TECHO PLANOS AS BUILT'!H91</f>
        <v>1003542</v>
      </c>
      <c r="M16" s="618">
        <f>+'OT17-048 TECHO PLANOS AS BUILT'!H92</f>
        <v>6285342</v>
      </c>
      <c r="N16" s="922">
        <f>+'OT17-048 TECHO PLANOS AS BUILT'!O86</f>
        <v>0</v>
      </c>
      <c r="O16" s="923">
        <f>+'OT17-048 TECHO PLANOS AS BUILT'!P90</f>
        <v>0</v>
      </c>
      <c r="P16" s="618">
        <f>+'OT17-048 TECHO PLANOS AS BUILT'!O87</f>
        <v>0</v>
      </c>
      <c r="Q16" s="618">
        <f>+'OT17-048 TECHO PLANOS AS BUILT'!O89</f>
        <v>0</v>
      </c>
      <c r="R16" s="618">
        <f>+'OT17-048 TECHO PLANOS AS BUILT'!O90</f>
        <v>0</v>
      </c>
      <c r="S16" s="618">
        <f>+'OT17-048 TECHO PLANOS AS BUILT'!O91</f>
        <v>0</v>
      </c>
      <c r="T16" s="618">
        <f>+'OT17-048 TECHO PLANOS AS BUILT'!O92</f>
        <v>0</v>
      </c>
      <c r="U16" s="750" t="str">
        <f>+'OT17-048 TECHO PLANOS AS BUILT'!A8</f>
        <v>Acta N° 2: Marzo</v>
      </c>
      <c r="V16" s="234"/>
      <c r="W16" s="925"/>
      <c r="X16" s="925"/>
      <c r="Y16" s="925"/>
      <c r="Z16" s="925"/>
      <c r="AA16" s="925"/>
      <c r="AB16" s="926"/>
      <c r="AC16" s="926"/>
      <c r="AD16" s="926"/>
      <c r="AE16" s="926"/>
      <c r="AF16" s="927"/>
      <c r="AG16" s="925"/>
      <c r="AH16" s="927"/>
      <c r="AJ16" s="925"/>
    </row>
    <row r="17" spans="1:36" s="924" customFormat="1" ht="47.25" customHeight="1" x14ac:dyDescent="0.3">
      <c r="A17" s="1064">
        <v>9</v>
      </c>
      <c r="B17" s="235" t="str">
        <f>+'OT17-098 LA PAZ CTO TELAS'!AA43</f>
        <v>D00235364</v>
      </c>
      <c r="C17" s="235" t="str">
        <f>+'OT17-098 LA PAZ CTO TELAS'!AA44</f>
        <v>D00235364000</v>
      </c>
      <c r="D17" s="234" t="s">
        <v>2669</v>
      </c>
      <c r="E17" s="234" t="s">
        <v>472</v>
      </c>
      <c r="F17" s="234">
        <f>+'OT17-098 LA PAZ CTO TELAS'!AA42</f>
        <v>0</v>
      </c>
      <c r="G17" s="234" t="str">
        <f>+'OT17-098 LA PAZ CTO TELAS'!A7</f>
        <v>Proyecto: CDIM_CBSGSM_R0168 REDISEÑO RCS A MÓDULOS EN SSEE, Cambio de reconectador en módulo Telas S/E La Paz</v>
      </c>
      <c r="H17" s="618">
        <f>+'OT17-098 LA PAZ CTO TELAS'!H25</f>
        <v>14405839</v>
      </c>
      <c r="I17" s="618">
        <f>+'OT17-098 LA PAZ CTO TELAS'!H26</f>
        <v>0</v>
      </c>
      <c r="J17" s="618"/>
      <c r="K17" s="618">
        <f>+'OT17-098 LA PAZ CTO TELAS'!H27</f>
        <v>14405839</v>
      </c>
      <c r="L17" s="618">
        <f>+'OT17-098 LA PAZ CTO TELAS'!H30</f>
        <v>2737109.41</v>
      </c>
      <c r="M17" s="618">
        <f>+'OT17-098 LA PAZ CTO TELAS'!H31</f>
        <v>17142948.41</v>
      </c>
      <c r="N17" s="922">
        <f>+'OT17-098 LA PAZ CTO TELAS'!AA25</f>
        <v>0</v>
      </c>
      <c r="O17" s="923">
        <f>+'OT17-098 LA PAZ CTO TELAS'!AB29</f>
        <v>0</v>
      </c>
      <c r="P17" s="618">
        <f>+'OT17-098 LA PAZ CTO TELAS'!AA26</f>
        <v>0</v>
      </c>
      <c r="Q17" s="618">
        <f>+'OT17-098 LA PAZ CTO TELAS'!AA28</f>
        <v>0</v>
      </c>
      <c r="R17" s="618">
        <f>+'OT17-098 LA PAZ CTO TELAS'!AA29</f>
        <v>0</v>
      </c>
      <c r="S17" s="618">
        <f>+'OT17-098 LA PAZ CTO TELAS'!AA30</f>
        <v>0</v>
      </c>
      <c r="T17" s="618">
        <f>+'OT17-098 LA PAZ CTO TELAS'!AA31</f>
        <v>0</v>
      </c>
      <c r="U17" s="750" t="str">
        <f>+'OT17-098 LA PAZ CTO TELAS'!A8</f>
        <v>Acta N° 6: Marzo</v>
      </c>
      <c r="V17" s="234"/>
      <c r="W17" s="925"/>
      <c r="X17" s="925"/>
      <c r="Y17" s="925"/>
      <c r="Z17" s="925"/>
      <c r="AA17" s="925"/>
      <c r="AB17" s="926"/>
      <c r="AC17" s="926"/>
      <c r="AD17" s="926"/>
      <c r="AE17" s="926"/>
      <c r="AF17" s="927"/>
      <c r="AG17" s="925"/>
      <c r="AH17" s="927"/>
      <c r="AJ17" s="925"/>
    </row>
    <row r="18" spans="1:36" s="924" customFormat="1" ht="47.25" customHeight="1" x14ac:dyDescent="0.3">
      <c r="A18" s="1064">
        <v>10</v>
      </c>
      <c r="B18" s="235" t="str">
        <f>+'OT17-108 TOCANCIPÁ AMPLIACIÓN'!AD57</f>
        <v>D00243217</v>
      </c>
      <c r="C18" s="235">
        <f>+'OT17-108 TOCANCIPÁ AMPLIACIÓN'!AD58</f>
        <v>500000740146</v>
      </c>
      <c r="D18" s="234" t="s">
        <v>2670</v>
      </c>
      <c r="E18" s="234" t="s">
        <v>2671</v>
      </c>
      <c r="F18" s="234">
        <f>+'OT17-108 TOCANCIPÁ AMPLIACIÓN'!AD56</f>
        <v>0</v>
      </c>
      <c r="G18" s="234" t="str">
        <f>+'OT17-108 TOCANCIPÁ AMPLIACIÓN'!A7</f>
        <v>Proyecto: CDIM_CADCRA_R0117, R SUBESTACIÓN MT-MT TOCANCIPÁ</v>
      </c>
      <c r="H18" s="618">
        <f>+'OT17-108 TOCANCIPÁ AMPLIACIÓN'!H38</f>
        <v>36354111</v>
      </c>
      <c r="I18" s="618">
        <f>+'OT17-108 TOCANCIPÁ AMPLIACIÓN'!H39</f>
        <v>0</v>
      </c>
      <c r="J18" s="618"/>
      <c r="K18" s="618">
        <f>+'OT17-108 TOCANCIPÁ AMPLIACIÓN'!H40</f>
        <v>36354111</v>
      </c>
      <c r="L18" s="618">
        <f>+'OT17-108 TOCANCIPÁ AMPLIACIÓN'!H43</f>
        <v>6907281.0899999999</v>
      </c>
      <c r="M18" s="618">
        <f>+'OT17-108 TOCANCIPÁ AMPLIACIÓN'!H44</f>
        <v>43261392.090000004</v>
      </c>
      <c r="N18" s="922">
        <f>+'OT17-108 TOCANCIPÁ AMPLIACIÓN'!AD38</f>
        <v>0</v>
      </c>
      <c r="O18" s="923">
        <f>+'OT17-108 TOCANCIPÁ AMPLIACIÓN'!AE42</f>
        <v>0</v>
      </c>
      <c r="P18" s="618">
        <f>+'OT17-108 TOCANCIPÁ AMPLIACIÓN'!AD39</f>
        <v>0</v>
      </c>
      <c r="Q18" s="618">
        <f>+'OT17-108 TOCANCIPÁ AMPLIACIÓN'!AD41</f>
        <v>0</v>
      </c>
      <c r="R18" s="618">
        <f>+'OT17-108 TOCANCIPÁ AMPLIACIÓN'!AD42</f>
        <v>0</v>
      </c>
      <c r="S18" s="618">
        <f>+'OT17-108 TOCANCIPÁ AMPLIACIÓN'!AD43</f>
        <v>0</v>
      </c>
      <c r="T18" s="618">
        <f>+'OT17-108 TOCANCIPÁ AMPLIACIÓN'!AD44</f>
        <v>0</v>
      </c>
      <c r="U18" s="750" t="str">
        <f>+'OT17-108 TOCANCIPÁ AMPLIACIÓN'!A8</f>
        <v>Acta N° 7: Marzo</v>
      </c>
      <c r="V18" s="234"/>
      <c r="W18" s="925"/>
      <c r="X18" s="925"/>
      <c r="Y18" s="925"/>
      <c r="Z18" s="925"/>
      <c r="AA18" s="925"/>
      <c r="AB18" s="926"/>
      <c r="AC18" s="926"/>
      <c r="AD18" s="926"/>
      <c r="AE18" s="926"/>
      <c r="AF18" s="927"/>
      <c r="AG18" s="925"/>
      <c r="AH18" s="927"/>
      <c r="AJ18" s="925"/>
    </row>
    <row r="19" spans="1:36" s="924" customFormat="1" ht="47.25" customHeight="1" x14ac:dyDescent="0.3">
      <c r="A19" s="1064">
        <v>11</v>
      </c>
      <c r="B19" s="235" t="str">
        <f>+'OT17-120 GRAN SABANA COD MED'!U54</f>
        <v>D00235275</v>
      </c>
      <c r="C19" s="235" t="str">
        <f>+'OT17-120 GRAN SABANA COD MED'!U55</f>
        <v>D00235275000</v>
      </c>
      <c r="D19" s="234" t="s">
        <v>2672</v>
      </c>
      <c r="E19" s="234" t="s">
        <v>474</v>
      </c>
      <c r="F19" s="234">
        <f>+'OT17-120 GRAN SABANA COD MED'!U53</f>
        <v>0</v>
      </c>
      <c r="G19" s="234" t="str">
        <f>+'OT17-120 GRAN SABANA COD MED'!A7</f>
        <v>Proyecto: CDIM_CADCSR_R0081, SUBESTACIÓN GRAN SABANA, Ingeniería Tablero de medida Subestación Gran Sabana para la implementación del proyecto código de medida y calidad de potencia en los transformadores D3, R2 y de la barra de 115 kV</v>
      </c>
      <c r="H19" s="618">
        <f>+'OT17-120 GRAN SABANA COD MED'!H38</f>
        <v>6388779</v>
      </c>
      <c r="I19" s="618">
        <f>+'OT17-120 GRAN SABANA COD MED'!H39</f>
        <v>0</v>
      </c>
      <c r="J19" s="618"/>
      <c r="K19" s="618">
        <f>+'OT17-120 GRAN SABANA COD MED'!H40</f>
        <v>6388779</v>
      </c>
      <c r="L19" s="618">
        <f>+'OT17-120 GRAN SABANA COD MED'!H43</f>
        <v>1213868.01</v>
      </c>
      <c r="M19" s="618">
        <f>+'OT17-120 GRAN SABANA COD MED'!H44</f>
        <v>7602647.0099999998</v>
      </c>
      <c r="N19" s="922">
        <f>+'OT17-120 GRAN SABANA COD MED'!U38</f>
        <v>0</v>
      </c>
      <c r="O19" s="923">
        <f>+'OT17-120 GRAN SABANA COD MED'!V42</f>
        <v>0</v>
      </c>
      <c r="P19" s="618">
        <f>+'OT17-120 GRAN SABANA COD MED'!U39</f>
        <v>0</v>
      </c>
      <c r="Q19" s="618">
        <f>+'OT17-120 GRAN SABANA COD MED'!U41</f>
        <v>0</v>
      </c>
      <c r="R19" s="618">
        <f>+'OT17-120 GRAN SABANA COD MED'!U42</f>
        <v>0</v>
      </c>
      <c r="S19" s="618">
        <f>+'OT17-120 GRAN SABANA COD MED'!U43</f>
        <v>0</v>
      </c>
      <c r="T19" s="618">
        <f>+'OT17-120 GRAN SABANA COD MED'!U44</f>
        <v>0</v>
      </c>
      <c r="U19" s="750" t="str">
        <f>+'OT17-120 GRAN SABANA COD MED'!A8</f>
        <v>Acta N° 4: Marzo</v>
      </c>
      <c r="V19" s="234"/>
      <c r="W19" s="925"/>
      <c r="X19" s="925"/>
      <c r="Y19" s="925"/>
      <c r="Z19" s="925"/>
      <c r="AA19" s="925"/>
      <c r="AB19" s="926"/>
      <c r="AC19" s="926"/>
      <c r="AD19" s="926"/>
      <c r="AE19" s="926"/>
      <c r="AF19" s="927"/>
      <c r="AG19" s="925"/>
      <c r="AH19" s="927"/>
      <c r="AJ19" s="925"/>
    </row>
    <row r="20" spans="1:36" s="924" customFormat="1" ht="61.5" customHeight="1" x14ac:dyDescent="0.3">
      <c r="A20" s="1064">
        <v>12</v>
      </c>
      <c r="B20" s="1201" t="str">
        <f>'OT17-129 BALSILLAS COD MEDIDA'!O60</f>
        <v>D00249390</v>
      </c>
      <c r="C20" s="1201" t="str">
        <f>'OT17-129 BALSILLAS COD MEDIDA'!O61</f>
        <v>D00249390000</v>
      </c>
      <c r="D20" s="1202" t="s">
        <v>1222</v>
      </c>
      <c r="E20" s="1202" t="s">
        <v>475</v>
      </c>
      <c r="F20" s="1202">
        <f>'OT17-129 BALSILLAS COD MEDIDA'!O59</f>
        <v>0</v>
      </c>
      <c r="G20" s="1202" t="str">
        <f>'OT17-129 BALSILLAS COD MEDIDA'!A7</f>
        <v>Proyecto: CDIM_CAOLIG_R0078 - RES. CREG 038-14 CÓDIGO DE MEDIDA, Elaboración de ingenierías básicas para implementación del proyecto cód medida resolución Creg 038 de 2014 en la subestación BALSILLAS</v>
      </c>
      <c r="H20" s="1203">
        <f>'OT17-129 BALSILLAS COD MEDIDA'!H46</f>
        <v>20295966</v>
      </c>
      <c r="I20" s="1203">
        <f>'OT17-129 BALSILLAS COD MEDIDA'!H47</f>
        <v>0</v>
      </c>
      <c r="J20" s="1203"/>
      <c r="K20" s="1203">
        <f>'OT17-129 BALSILLAS COD MEDIDA'!H48</f>
        <v>20295966</v>
      </c>
      <c r="L20" s="1203">
        <f>'OT17-129 BALSILLAS COD MEDIDA'!H51</f>
        <v>3856233.54</v>
      </c>
      <c r="M20" s="1203">
        <f>'OT17-129 BALSILLAS COD MEDIDA'!H52</f>
        <v>24152199.539999999</v>
      </c>
      <c r="N20" s="1204">
        <f>+'OT17-129 BALSILLAS COD MEDIDA'!O46</f>
        <v>5994728</v>
      </c>
      <c r="O20" s="1205">
        <f>+'OT17-129 BALSILLAS COD MEDIDA'!P50</f>
        <v>0.2997959791615733</v>
      </c>
      <c r="P20" s="1204">
        <f>+'OT17-129 BALSILLAS COD MEDIDA'!O47</f>
        <v>0</v>
      </c>
      <c r="Q20" s="1204">
        <f>+'OT17-129 BALSILLAS COD MEDIDA'!O49</f>
        <v>89921</v>
      </c>
      <c r="R20" s="1203">
        <f>+'OT17-129 BALSILLAS COD MEDIDA'!O50</f>
        <v>6084649</v>
      </c>
      <c r="S20" s="1204">
        <f>+'OT17-129 BALSILLAS COD MEDIDA'!O51</f>
        <v>1156083</v>
      </c>
      <c r="T20" s="1204">
        <f>+'OT17-129 BALSILLAS COD MEDIDA'!O52</f>
        <v>7240732</v>
      </c>
      <c r="U20" s="1206" t="str">
        <f>'OT17-129 BALSILLAS COD MEDIDA'!A8</f>
        <v>Acta N° 2: Febrero</v>
      </c>
      <c r="V20" s="1202" t="s">
        <v>529</v>
      </c>
      <c r="W20" s="925"/>
      <c r="X20" s="925"/>
      <c r="Y20" s="925"/>
      <c r="Z20" s="925"/>
      <c r="AA20" s="925"/>
      <c r="AB20" s="926"/>
      <c r="AC20" s="927"/>
      <c r="AD20" s="927"/>
      <c r="AE20" s="927"/>
      <c r="AF20" s="927"/>
      <c r="AG20" s="925"/>
      <c r="AH20" s="927"/>
      <c r="AJ20" s="925"/>
    </row>
    <row r="21" spans="1:36" s="924" customFormat="1" ht="61.5" customHeight="1" x14ac:dyDescent="0.3">
      <c r="A21" s="1064">
        <v>13</v>
      </c>
      <c r="B21" s="235" t="s">
        <v>1986</v>
      </c>
      <c r="C21" s="235" t="s">
        <v>1987</v>
      </c>
      <c r="D21" s="234" t="s">
        <v>2673</v>
      </c>
      <c r="E21" s="234" t="s">
        <v>410</v>
      </c>
      <c r="F21" s="234">
        <v>0</v>
      </c>
      <c r="G21" s="234" t="s">
        <v>312</v>
      </c>
      <c r="H21" s="618">
        <v>8824575</v>
      </c>
      <c r="I21" s="618">
        <v>0</v>
      </c>
      <c r="J21" s="618"/>
      <c r="K21" s="618">
        <v>8824575</v>
      </c>
      <c r="L21" s="618">
        <v>1676669.25</v>
      </c>
      <c r="M21" s="618">
        <v>10501244.25</v>
      </c>
      <c r="N21" s="922">
        <v>0</v>
      </c>
      <c r="O21" s="981">
        <v>0</v>
      </c>
      <c r="P21" s="922">
        <v>0</v>
      </c>
      <c r="Q21" s="922">
        <v>0</v>
      </c>
      <c r="R21" s="618">
        <v>0</v>
      </c>
      <c r="S21" s="922">
        <v>0</v>
      </c>
      <c r="T21" s="922">
        <v>0</v>
      </c>
      <c r="U21" s="750" t="s">
        <v>2317</v>
      </c>
      <c r="V21" s="234"/>
      <c r="W21" s="925"/>
      <c r="X21" s="925"/>
      <c r="Y21" s="925"/>
      <c r="Z21" s="925"/>
      <c r="AA21" s="925"/>
      <c r="AB21" s="926"/>
      <c r="AC21" s="927"/>
      <c r="AD21" s="927"/>
      <c r="AE21" s="927"/>
      <c r="AF21" s="927"/>
      <c r="AG21" s="925"/>
      <c r="AH21" s="927"/>
      <c r="AJ21" s="925"/>
    </row>
    <row r="22" spans="1:36" s="924" customFormat="1" ht="61.5" customHeight="1" x14ac:dyDescent="0.3">
      <c r="A22" s="1064">
        <v>14</v>
      </c>
      <c r="B22" s="235" t="s">
        <v>2003</v>
      </c>
      <c r="C22" s="235" t="s">
        <v>2004</v>
      </c>
      <c r="D22" s="234" t="s">
        <v>2674</v>
      </c>
      <c r="E22" s="234" t="s">
        <v>2675</v>
      </c>
      <c r="F22" s="234">
        <v>0</v>
      </c>
      <c r="G22" s="234" t="s">
        <v>390</v>
      </c>
      <c r="H22" s="618">
        <v>87612005</v>
      </c>
      <c r="I22" s="618">
        <v>0</v>
      </c>
      <c r="J22" s="618"/>
      <c r="K22" s="618">
        <v>87612005</v>
      </c>
      <c r="L22" s="618">
        <v>16646280.950000001</v>
      </c>
      <c r="M22" s="618">
        <v>104258285.95</v>
      </c>
      <c r="N22" s="922">
        <v>0</v>
      </c>
      <c r="O22" s="981">
        <v>0</v>
      </c>
      <c r="P22" s="922">
        <v>0</v>
      </c>
      <c r="Q22" s="922">
        <v>0</v>
      </c>
      <c r="R22" s="618">
        <v>0</v>
      </c>
      <c r="S22" s="922">
        <v>0</v>
      </c>
      <c r="T22" s="922">
        <v>0</v>
      </c>
      <c r="U22" s="750" t="s">
        <v>2321</v>
      </c>
      <c r="V22" s="234"/>
      <c r="W22" s="925"/>
      <c r="X22" s="925"/>
      <c r="Y22" s="925"/>
      <c r="Z22" s="925"/>
      <c r="AA22" s="925"/>
      <c r="AB22" s="926"/>
      <c r="AC22" s="927"/>
      <c r="AD22" s="927"/>
      <c r="AE22" s="927"/>
      <c r="AF22" s="927"/>
      <c r="AG22" s="925"/>
      <c r="AH22" s="927"/>
      <c r="AJ22" s="925"/>
    </row>
    <row r="23" spans="1:36" s="924" customFormat="1" ht="61.5" customHeight="1" x14ac:dyDescent="0.3">
      <c r="A23" s="1064">
        <v>15</v>
      </c>
      <c r="B23" s="235" t="s">
        <v>350</v>
      </c>
      <c r="C23" s="235" t="s">
        <v>351</v>
      </c>
      <c r="D23" s="234" t="s">
        <v>2676</v>
      </c>
      <c r="E23" s="234" t="s">
        <v>2677</v>
      </c>
      <c r="F23" s="234">
        <v>0</v>
      </c>
      <c r="G23" s="234" t="s">
        <v>337</v>
      </c>
      <c r="H23" s="618">
        <v>32183144</v>
      </c>
      <c r="I23" s="618">
        <v>0</v>
      </c>
      <c r="J23" s="618"/>
      <c r="K23" s="618">
        <v>32183144</v>
      </c>
      <c r="L23" s="618">
        <v>6114797.3600000003</v>
      </c>
      <c r="M23" s="618">
        <v>38297941.359999999</v>
      </c>
      <c r="N23" s="922">
        <v>0</v>
      </c>
      <c r="O23" s="981">
        <v>0</v>
      </c>
      <c r="P23" s="922">
        <v>0</v>
      </c>
      <c r="Q23" s="922">
        <v>0</v>
      </c>
      <c r="R23" s="618">
        <v>0</v>
      </c>
      <c r="S23" s="922">
        <v>0</v>
      </c>
      <c r="T23" s="922">
        <v>0</v>
      </c>
      <c r="U23" s="750" t="s">
        <v>2304</v>
      </c>
      <c r="V23" s="234"/>
      <c r="W23" s="925"/>
      <c r="X23" s="925"/>
      <c r="Y23" s="925"/>
      <c r="Z23" s="925"/>
      <c r="AA23" s="925"/>
      <c r="AB23" s="926"/>
      <c r="AC23" s="927"/>
      <c r="AD23" s="927"/>
      <c r="AE23" s="927"/>
      <c r="AF23" s="927"/>
      <c r="AG23" s="925"/>
      <c r="AH23" s="927"/>
      <c r="AJ23" s="925"/>
    </row>
    <row r="24" spans="1:36" s="924" customFormat="1" ht="67.5" customHeight="1" x14ac:dyDescent="0.3">
      <c r="A24" s="1064">
        <v>16</v>
      </c>
      <c r="B24" s="235" t="str">
        <f>+'OT17-152 SATÉLITE SIMP ROSARIO'!X44</f>
        <v>D00249179</v>
      </c>
      <c r="C24" s="235" t="str">
        <f>+'OT17-152 SATÉLITE SIMP ROSARIO'!X45</f>
        <v>D00249179000</v>
      </c>
      <c r="D24" s="234" t="s">
        <v>1435</v>
      </c>
      <c r="E24" s="234" t="s">
        <v>1434</v>
      </c>
      <c r="F24" s="234">
        <f>'OT17-152 SATÉLITE SIMP ROSARIO'!R42</f>
        <v>0</v>
      </c>
      <c r="G24" s="234" t="str">
        <f>'OT17-152 SATÉLITE SIMP ROSARIO'!A7</f>
        <v>Proyecto: NORMALIZACIÓN SSEE SATÉLITE-ROSARIO CSPQ CS27 ROSARIO UOB, ubicado en Calle 62B #26-66</v>
      </c>
      <c r="H24" s="618">
        <f>'OT17-152 SATÉLITE SIMP ROSARIO'!H26</f>
        <v>26133862</v>
      </c>
      <c r="I24" s="618">
        <f>'OT17-152 SATÉLITE SIMP ROSARIO'!H27</f>
        <v>0</v>
      </c>
      <c r="J24" s="618"/>
      <c r="K24" s="618">
        <f>'OT17-152 SATÉLITE SIMP ROSARIO'!H28</f>
        <v>26133862</v>
      </c>
      <c r="L24" s="618">
        <f>'OT17-152 SATÉLITE SIMP ROSARIO'!H31</f>
        <v>4965433.78</v>
      </c>
      <c r="M24" s="618">
        <f>'OT17-152 SATÉLITE SIMP ROSARIO'!H32</f>
        <v>31099295.780000001</v>
      </c>
      <c r="N24" s="618">
        <f>+'OT17-152 SATÉLITE SIMP ROSARIO'!AA26</f>
        <v>0</v>
      </c>
      <c r="O24" s="923">
        <f>+'OT17-152 SATÉLITE SIMP ROSARIO'!AB30</f>
        <v>0</v>
      </c>
      <c r="P24" s="618">
        <f>+'OT17-152 SATÉLITE SIMP ROSARIO'!AA27</f>
        <v>0</v>
      </c>
      <c r="Q24" s="618">
        <f>+'OT17-152 SATÉLITE SIMP ROSARIO'!AA29</f>
        <v>0</v>
      </c>
      <c r="R24" s="618">
        <f>+'OT17-152 SATÉLITE SIMP ROSARIO'!AA30</f>
        <v>0</v>
      </c>
      <c r="S24" s="618">
        <f>+'OT17-152 SATÉLITE SIMP ROSARIO'!AA31</f>
        <v>0</v>
      </c>
      <c r="T24" s="618">
        <f>+'OT17-152 SATÉLITE SIMP ROSARIO'!AA32</f>
        <v>0</v>
      </c>
      <c r="U24" s="750" t="str">
        <f>'OT17-152 SATÉLITE SIMP ROSARIO'!A8</f>
        <v>Acta N° 6: Marzo</v>
      </c>
      <c r="V24" s="234" t="s">
        <v>525</v>
      </c>
      <c r="W24" s="925"/>
      <c r="X24" s="925"/>
      <c r="Y24" s="925"/>
      <c r="Z24" s="925"/>
      <c r="AA24" s="925"/>
      <c r="AB24" s="926"/>
      <c r="AC24" s="927"/>
      <c r="AD24" s="927"/>
      <c r="AE24" s="927"/>
      <c r="AF24" s="927"/>
      <c r="AG24" s="925"/>
      <c r="AH24" s="927"/>
      <c r="AJ24" s="925"/>
    </row>
    <row r="25" spans="1:36" s="924" customFormat="1" ht="67.5" customHeight="1" x14ac:dyDescent="0.3">
      <c r="A25" s="1064">
        <v>17</v>
      </c>
      <c r="B25" s="235" t="str">
        <f>+'OT17-153 SATÉLITE SIMP MAGDALEN'!AA43</f>
        <v>D00234935</v>
      </c>
      <c r="C25" s="235">
        <f>+'OT17-153 SATÉLITE SIMP MAGDALEN'!AA44</f>
        <v>500000755220</v>
      </c>
      <c r="D25" s="234" t="s">
        <v>2678</v>
      </c>
      <c r="E25" s="234" t="s">
        <v>2679</v>
      </c>
      <c r="F25" s="234">
        <f>+'OT17-153 SATÉLITE SIMP MAGDALEN'!AA42</f>
        <v>0</v>
      </c>
      <c r="G25" s="234" t="str">
        <f>+'OT17-153 SATÉLITE SIMP MAGDALEN'!A7</f>
        <v>Proyecto: NORMALIZACIÓN SSEE SATÉLITE-MAGDALENA CSPQ CR22 MAGDALENA UOB, ubicado en Calle 42 #15-77</v>
      </c>
      <c r="H25" s="618">
        <f>+'OT17-153 SATÉLITE SIMP MAGDALEN'!H26</f>
        <v>26133862</v>
      </c>
      <c r="I25" s="618">
        <f>+'OT17-153 SATÉLITE SIMP MAGDALEN'!H27</f>
        <v>0</v>
      </c>
      <c r="J25" s="618"/>
      <c r="K25" s="618">
        <f>+'OT17-153 SATÉLITE SIMP MAGDALEN'!H28</f>
        <v>26133862</v>
      </c>
      <c r="L25" s="618">
        <f>+'OT17-153 SATÉLITE SIMP MAGDALEN'!H31</f>
        <v>4965433.78</v>
      </c>
      <c r="M25" s="618">
        <f>+'OT17-153 SATÉLITE SIMP MAGDALEN'!H32</f>
        <v>31099295.780000001</v>
      </c>
      <c r="N25" s="618">
        <f>+'OT17-153 SATÉLITE SIMP MAGDALEN'!AA26</f>
        <v>0</v>
      </c>
      <c r="O25" s="923">
        <f>+'OT17-153 SATÉLITE SIMP MAGDALEN'!AB30</f>
        <v>0</v>
      </c>
      <c r="P25" s="618">
        <f>+'OT17-153 SATÉLITE SIMP MAGDALEN'!AA27</f>
        <v>0</v>
      </c>
      <c r="Q25" s="618">
        <f>+'OT17-153 SATÉLITE SIMP MAGDALEN'!AA29</f>
        <v>0</v>
      </c>
      <c r="R25" s="618">
        <f>+'OT17-153 SATÉLITE SIMP MAGDALEN'!AA30</f>
        <v>0</v>
      </c>
      <c r="S25" s="618">
        <f>+'OT17-153 SATÉLITE SIMP MAGDALEN'!AA31</f>
        <v>0</v>
      </c>
      <c r="T25" s="618">
        <f>+'OT17-153 SATÉLITE SIMP MAGDALEN'!AA32</f>
        <v>0</v>
      </c>
      <c r="U25" s="750" t="str">
        <f>+'OT17-153 SATÉLITE SIMP MAGDALEN'!A8</f>
        <v>Acta N° 6: Marzo</v>
      </c>
      <c r="V25" s="234"/>
      <c r="W25" s="925"/>
      <c r="X25" s="925"/>
      <c r="Y25" s="925"/>
      <c r="Z25" s="925"/>
      <c r="AA25" s="925"/>
      <c r="AB25" s="926"/>
      <c r="AC25" s="927"/>
      <c r="AD25" s="927"/>
      <c r="AE25" s="927"/>
      <c r="AF25" s="927"/>
      <c r="AG25" s="925"/>
      <c r="AH25" s="927"/>
      <c r="AJ25" s="925"/>
    </row>
    <row r="26" spans="1:36" s="924" customFormat="1" ht="67.5" customHeight="1" x14ac:dyDescent="0.3">
      <c r="A26" s="1064">
        <v>18</v>
      </c>
      <c r="B26" s="235" t="str">
        <f>+'OT17-155 TOCANCIPÁ PROVISIONAL'!U39</f>
        <v>D00235024</v>
      </c>
      <c r="C26" s="235" t="str">
        <f>+'OT17-155 TOCANCIPÁ PROVISIONAL'!U40</f>
        <v>D00235024000</v>
      </c>
      <c r="D26" s="234" t="s">
        <v>2680</v>
      </c>
      <c r="E26" s="234" t="s">
        <v>477</v>
      </c>
      <c r="F26" s="234">
        <f>+'OT17-155 TOCANCIPÁ PROVISIONAL'!U38</f>
        <v>0</v>
      </c>
      <c r="G26" s="234" t="str">
        <f>+'OT17-155 TOCANCIPÁ PROVISIONAL'!A7</f>
        <v>Proyecto: CDIM_CADCRA_R0117, AMPLIACIÓN SUBESTACIÓN MT-MT TOCANCIPÁ</v>
      </c>
      <c r="H26" s="618">
        <f>+'OT17-155 TOCANCIPÁ PROVISIONAL'!H23</f>
        <v>18055175</v>
      </c>
      <c r="I26" s="618">
        <f>+'OT17-155 TOCANCIPÁ PROVISIONAL'!H24</f>
        <v>0</v>
      </c>
      <c r="J26" s="618"/>
      <c r="K26" s="618">
        <f>+'OT17-155 TOCANCIPÁ PROVISIONAL'!H25</f>
        <v>18055175</v>
      </c>
      <c r="L26" s="618">
        <f>+'OT17-155 TOCANCIPÁ PROVISIONAL'!H28</f>
        <v>3430483.25</v>
      </c>
      <c r="M26" s="618">
        <f>+'OT17-155 TOCANCIPÁ PROVISIONAL'!H29</f>
        <v>21485658.25</v>
      </c>
      <c r="N26" s="618">
        <f>+'OT17-155 TOCANCIPÁ PROVISIONAL'!U23</f>
        <v>0</v>
      </c>
      <c r="O26" s="923">
        <f>+'OT17-155 TOCANCIPÁ PROVISIONAL'!V27</f>
        <v>0</v>
      </c>
      <c r="P26" s="618">
        <f>+'OT17-155 TOCANCIPÁ PROVISIONAL'!U24</f>
        <v>0</v>
      </c>
      <c r="Q26" s="618">
        <f>+'OT17-155 TOCANCIPÁ PROVISIONAL'!U26</f>
        <v>0</v>
      </c>
      <c r="R26" s="618">
        <f>+'OT17-155 TOCANCIPÁ PROVISIONAL'!U27</f>
        <v>0</v>
      </c>
      <c r="S26" s="618">
        <f>+'OT17-155 TOCANCIPÁ PROVISIONAL'!U28</f>
        <v>0</v>
      </c>
      <c r="T26" s="618">
        <f>+'OT17-155 TOCANCIPÁ PROVISIONAL'!U29</f>
        <v>0</v>
      </c>
      <c r="U26" s="750" t="str">
        <f>+'OT17-155 TOCANCIPÁ PROVISIONAL'!A8</f>
        <v>Acta N° 4: Marzo</v>
      </c>
      <c r="V26" s="234"/>
      <c r="W26" s="925"/>
      <c r="X26" s="925"/>
      <c r="Y26" s="925"/>
      <c r="Z26" s="925"/>
      <c r="AA26" s="925"/>
      <c r="AB26" s="926"/>
      <c r="AC26" s="927"/>
      <c r="AD26" s="927"/>
      <c r="AE26" s="927"/>
      <c r="AF26" s="927"/>
      <c r="AG26" s="925"/>
      <c r="AH26" s="927"/>
      <c r="AJ26" s="925"/>
    </row>
    <row r="27" spans="1:36" s="924" customFormat="1" ht="67.5" customHeight="1" x14ac:dyDescent="0.3">
      <c r="A27" s="1064">
        <v>19</v>
      </c>
      <c r="B27" s="1201" t="str">
        <f>+'OT17-157 ESPERANZA'!X33</f>
        <v>D00249260</v>
      </c>
      <c r="C27" s="1207" t="str">
        <f>+'OT17-157 ESPERANZA'!X34</f>
        <v>D00249260000</v>
      </c>
      <c r="D27" s="1202" t="s">
        <v>1217</v>
      </c>
      <c r="E27" s="1202" t="s">
        <v>1216</v>
      </c>
      <c r="F27" s="1202">
        <f>+'OT17-157 ESPERANZA'!X32</f>
        <v>0</v>
      </c>
      <c r="G27" s="1202" t="str">
        <f>+'OT17-157 ESPERANZA'!A7</f>
        <v>Proyecto: CDIE_CBCCSM_R0158, NORMALIZACIÓN SE MT-MT, Ingeniería Montaje Reconectador Subestación ESPERANZA para desarrollo de Ingeniería e implementación Reconectadores de entrada y Salida</v>
      </c>
      <c r="H27" s="1203">
        <f>+'OT17-157 ESPERANZA'!H17</f>
        <v>12675187</v>
      </c>
      <c r="I27" s="1203">
        <f>+'OT17-157 ESPERANZA'!I18</f>
        <v>119894.59799999998</v>
      </c>
      <c r="J27" s="1203">
        <v>0</v>
      </c>
      <c r="K27" s="1203">
        <f>+'OT17-157 ESPERANZA'!H21</f>
        <v>12789263.683</v>
      </c>
      <c r="L27" s="1203">
        <f>+'OT17-157 ESPERANZA'!I22</f>
        <v>2553888.15362</v>
      </c>
      <c r="M27" s="1203">
        <f>+'OT17-157 ESPERANZA'!I23</f>
        <v>15995404.751619998</v>
      </c>
      <c r="N27" s="1203">
        <f>+'OT17-157 ESPERANZA'!X17</f>
        <v>2705314</v>
      </c>
      <c r="O27" s="1208">
        <f>+'OT17-157 ESPERANZA'!Y21</f>
        <v>0.21503375379268894</v>
      </c>
      <c r="P27" s="1203">
        <f>+'OT17-157 ESPERANZA'!X18</f>
        <v>4167.3779999999897</v>
      </c>
      <c r="Q27" s="1203">
        <f>+'OT17-157 ESPERANZA'!X20</f>
        <v>40642</v>
      </c>
      <c r="R27" s="1203">
        <f>+'OT17-157 ESPERANZA'!X21</f>
        <v>2750123.378</v>
      </c>
      <c r="S27" s="1203">
        <f>+'OT17-157 ESPERANZA'!X22</f>
        <v>522523</v>
      </c>
      <c r="T27" s="1203">
        <f>+'OT17-157 ESPERANZA'!X23</f>
        <v>3272646.378</v>
      </c>
      <c r="U27" s="1206" t="str">
        <f>+'OT17-157 ESPERANZA'!A8</f>
        <v>Acta N° 5: Febrero</v>
      </c>
      <c r="V27" s="1202" t="s">
        <v>526</v>
      </c>
      <c r="W27" s="925"/>
      <c r="X27" s="925"/>
      <c r="Y27" s="925"/>
      <c r="Z27" s="925"/>
      <c r="AA27" s="925"/>
      <c r="AB27" s="926"/>
      <c r="AC27" s="927"/>
      <c r="AD27" s="927"/>
      <c r="AE27" s="927"/>
      <c r="AF27" s="927"/>
      <c r="AG27" s="925"/>
      <c r="AH27" s="927"/>
      <c r="AJ27" s="925"/>
    </row>
    <row r="28" spans="1:36" s="924" customFormat="1" ht="67.5" customHeight="1" x14ac:dyDescent="0.3">
      <c r="A28" s="1064">
        <v>20</v>
      </c>
      <c r="B28" s="1201" t="str">
        <f>+'OT17-158 JURATENA'!U33</f>
        <v>D00249258</v>
      </c>
      <c r="C28" s="1201" t="str">
        <f>+'OT17-158 JURATENA'!U34</f>
        <v>D00249258000</v>
      </c>
      <c r="D28" s="1202" t="s">
        <v>1219</v>
      </c>
      <c r="E28" s="1202" t="s">
        <v>1218</v>
      </c>
      <c r="F28" s="1202">
        <f>+'OT17-158 JURATENA'!U32</f>
        <v>0</v>
      </c>
      <c r="G28" s="1202" t="str">
        <f>+'OT17-158 JURATENA'!A7</f>
        <v>Proyecto: CDIE_CBCCSM_R0158, NORMALIZACIÓN SE MT-MT, Ingeniería Montaje Reconectador Subestación JURATENA para desarrollo de Ingeniería e implementación Reconectadores de entrada y Salida</v>
      </c>
      <c r="H28" s="1203">
        <f>+'OT17-158 JURATENA'!H17</f>
        <v>12675187</v>
      </c>
      <c r="I28" s="1203">
        <f>+'OT17-158 JURATENA'!I18</f>
        <v>119894.59799999998</v>
      </c>
      <c r="J28" s="1203">
        <v>0</v>
      </c>
      <c r="K28" s="1203">
        <f>+'OT17-158 JURATENA'!I21</f>
        <v>13441516.597999999</v>
      </c>
      <c r="L28" s="1203">
        <f>+'OT17-158 JURATENA'!H22</f>
        <v>2429960.0997700002</v>
      </c>
      <c r="M28" s="1203">
        <f>+'OT17-158 JURATENA'!H23</f>
        <v>15219223.78277</v>
      </c>
      <c r="N28" s="1204">
        <f>+'OT17-158 JURATENA'!U17</f>
        <v>4604743</v>
      </c>
      <c r="O28" s="1208">
        <f>+'OT17-158 JURATENA'!V21</f>
        <v>0.36577902324574346</v>
      </c>
      <c r="P28" s="1203">
        <f>+'OT17-158 JURATENA'!U18</f>
        <v>4167.3779999999897</v>
      </c>
      <c r="Q28" s="1203">
        <f>+'OT17-158 JURATENA'!U20</f>
        <v>69134</v>
      </c>
      <c r="R28" s="1203">
        <f>+'OT17-158 JURATENA'!U21</f>
        <v>4678044.3779999996</v>
      </c>
      <c r="S28" s="1203">
        <f>+'OT17-158 JURATENA'!U22</f>
        <v>888828</v>
      </c>
      <c r="T28" s="1203">
        <f>+'OT17-158 JURATENA'!U23</f>
        <v>5566872.3779999996</v>
      </c>
      <c r="U28" s="1206" t="str">
        <f>+'OT17-158 JURATENA'!A8</f>
        <v>Acta N° 4: Febrero</v>
      </c>
      <c r="V28" s="1202" t="s">
        <v>526</v>
      </c>
      <c r="W28" s="925"/>
      <c r="X28" s="925"/>
      <c r="Y28" s="925"/>
      <c r="Z28" s="925"/>
      <c r="AA28" s="925"/>
      <c r="AB28" s="926"/>
      <c r="AC28" s="927"/>
      <c r="AD28" s="927"/>
      <c r="AE28" s="927"/>
      <c r="AF28" s="927"/>
      <c r="AG28" s="925"/>
      <c r="AH28" s="927"/>
      <c r="AJ28" s="925"/>
    </row>
    <row r="29" spans="1:36" s="924" customFormat="1" ht="67.5" customHeight="1" x14ac:dyDescent="0.3">
      <c r="A29" s="1064">
        <v>21</v>
      </c>
      <c r="B29" s="235" t="str">
        <f>+'OT17-169 LLANOS COD MEDIDA'!R39</f>
        <v>D00243137</v>
      </c>
      <c r="C29" s="235" t="str">
        <f>+'OT17-169 LLANOS COD MEDIDA'!R40</f>
        <v>D00243137000</v>
      </c>
      <c r="D29" s="234" t="s">
        <v>2681</v>
      </c>
      <c r="E29" s="234" t="s">
        <v>2682</v>
      </c>
      <c r="F29" s="234">
        <f>+'OT17-169 LLANOS COD MEDIDA'!R38</f>
        <v>0</v>
      </c>
      <c r="G29" s="234" t="str">
        <f>+'OT17-169 LLANOS COD MEDIDA'!A7</f>
        <v>Proyecto: CDIM_CAOLIG_R0078 - RES. CREG 038-14 CÓDIGO DE MEDIDA, IMPLEMENTACIÓN DEL CÓDIGO DE MEDIDA EN LA S/E LLANOS (LEVANTAMIENTO)</v>
      </c>
      <c r="H29" s="618">
        <f>+'OT17-169 LLANOS COD MEDIDA'!H25</f>
        <v>7700871</v>
      </c>
      <c r="I29" s="618">
        <f>+'OT17-169 LLANOS COD MEDIDA'!H25</f>
        <v>7700871</v>
      </c>
      <c r="J29" s="618">
        <f>+'OT17-169 LLANOS COD MEDIDA'!H26</f>
        <v>231026.13</v>
      </c>
      <c r="K29" s="618">
        <f>+'OT17-169 LLANOS COD MEDIDA'!H27</f>
        <v>7931897.1299999999</v>
      </c>
      <c r="L29" s="618">
        <f>+'OT17-169 LLANOS COD MEDIDA'!H30</f>
        <v>1507060.4546999999</v>
      </c>
      <c r="M29" s="618">
        <f>+'OT17-169 LLANOS COD MEDIDA'!H31</f>
        <v>9438957.5846999995</v>
      </c>
      <c r="N29" s="922">
        <f>+'OT17-169 LLANOS COD MEDIDA'!R25</f>
        <v>0</v>
      </c>
      <c r="O29" s="923">
        <f>+'OT17-169 LLANOS COD MEDIDA'!S27</f>
        <v>0</v>
      </c>
      <c r="P29" s="618">
        <f>+'OT17-169 LLANOS COD MEDIDA'!R26</f>
        <v>0</v>
      </c>
      <c r="Q29" s="618">
        <f>+'OT17-169 LLANOS COD MEDIDA'!R28</f>
        <v>0</v>
      </c>
      <c r="R29" s="618">
        <f>+'OT17-169 LLANOS COD MEDIDA'!R29</f>
        <v>0</v>
      </c>
      <c r="S29" s="618">
        <f>+'OT17-169 LLANOS COD MEDIDA'!R30</f>
        <v>0</v>
      </c>
      <c r="T29" s="618">
        <f>+'OT17-169 LLANOS COD MEDIDA'!R31</f>
        <v>0</v>
      </c>
      <c r="U29" s="750" t="str">
        <f>+'OT17-169 LLANOS COD MEDIDA'!A8</f>
        <v>Acta N° 3: Marzo</v>
      </c>
      <c r="V29" s="234"/>
      <c r="W29" s="925"/>
      <c r="X29" s="925"/>
      <c r="Y29" s="925"/>
      <c r="Z29" s="925"/>
      <c r="AA29" s="925"/>
      <c r="AB29" s="926"/>
      <c r="AC29" s="927"/>
      <c r="AD29" s="927"/>
      <c r="AE29" s="927"/>
      <c r="AF29" s="927"/>
      <c r="AG29" s="925"/>
      <c r="AH29" s="927"/>
      <c r="AJ29" s="925"/>
    </row>
    <row r="30" spans="1:36" s="924" customFormat="1" ht="67.5" customHeight="1" x14ac:dyDescent="0.3">
      <c r="A30" s="1064">
        <v>22</v>
      </c>
      <c r="B30" s="235" t="str">
        <f>+'OT17-170 INDUMIL- NVA ESPERANZA'!R33</f>
        <v>D00235082</v>
      </c>
      <c r="C30" s="235">
        <f>+'OT17-170 INDUMIL- NVA ESPERANZA'!R34</f>
        <v>500000755943</v>
      </c>
      <c r="D30" s="234" t="s">
        <v>2683</v>
      </c>
      <c r="E30" s="234" t="s">
        <v>1436</v>
      </c>
      <c r="F30" s="234">
        <f>+'OT17-170 INDUMIL- NVA ESPERANZA'!R32</f>
        <v>0</v>
      </c>
      <c r="G30" s="234" t="str">
        <f>+'OT17-170 INDUMIL- NVA ESPERANZA'!A7</f>
        <v>Proyecto: Diseño ingeniería básica LT INDUMIL - NUEVA ESPERANZA A 115kV CDIM_CBSGAM_R0131</v>
      </c>
      <c r="H30" s="618">
        <f>+'OT17-170 INDUMIL- NVA ESPERANZA'!H18</f>
        <v>53883472</v>
      </c>
      <c r="I30" s="618">
        <f>+'OT17-170 INDUMIL- NVA ESPERANZA'!H19</f>
        <v>0</v>
      </c>
      <c r="J30" s="618"/>
      <c r="K30" s="618">
        <f>+'OT17-170 INDUMIL- NVA ESPERANZA'!H20</f>
        <v>53883472</v>
      </c>
      <c r="L30" s="618">
        <f>+'OT17-170 INDUMIL- NVA ESPERANZA'!H23</f>
        <v>10237859.68</v>
      </c>
      <c r="M30" s="618">
        <f>+'OT17-170 INDUMIL- NVA ESPERANZA'!I24</f>
        <v>67391515.939999998</v>
      </c>
      <c r="N30" s="922">
        <f>+'OT17-170 INDUMIL- NVA ESPERANZA'!R18</f>
        <v>0</v>
      </c>
      <c r="O30" s="923">
        <f>+'OT17-170 INDUMIL- NVA ESPERANZA'!S22</f>
        <v>0</v>
      </c>
      <c r="P30" s="618">
        <f>+'OT17-170 INDUMIL- NVA ESPERANZA'!R19</f>
        <v>0</v>
      </c>
      <c r="Q30" s="618">
        <f>+'OT17-170 INDUMIL- NVA ESPERANZA'!R21</f>
        <v>0</v>
      </c>
      <c r="R30" s="618">
        <f>+'OT17-170 INDUMIL- NVA ESPERANZA'!R22</f>
        <v>0</v>
      </c>
      <c r="S30" s="618">
        <f>+'OT17-170 INDUMIL- NVA ESPERANZA'!R23</f>
        <v>0</v>
      </c>
      <c r="T30" s="618">
        <f>+'OT17-170 INDUMIL- NVA ESPERANZA'!R24</f>
        <v>0</v>
      </c>
      <c r="U30" s="750" t="str">
        <f>+'OT17-170 INDUMIL- NVA ESPERANZA'!A8</f>
        <v>Acta N° 3: Marzo</v>
      </c>
      <c r="V30" s="234"/>
      <c r="W30" s="925"/>
      <c r="X30" s="925"/>
      <c r="Y30" s="925"/>
      <c r="Z30" s="925"/>
      <c r="AA30" s="925"/>
      <c r="AB30" s="926"/>
      <c r="AC30" s="927"/>
      <c r="AD30" s="927"/>
      <c r="AE30" s="927"/>
      <c r="AF30" s="927"/>
      <c r="AG30" s="925"/>
      <c r="AH30" s="927"/>
      <c r="AJ30" s="925"/>
    </row>
    <row r="31" spans="1:36" s="924" customFormat="1" ht="67.5" customHeight="1" x14ac:dyDescent="0.3">
      <c r="A31" s="1064">
        <v>23</v>
      </c>
      <c r="B31" s="235" t="str">
        <f>'OT17-172 - NORTE'!O89</f>
        <v>D00244362</v>
      </c>
      <c r="C31" s="235" t="str">
        <f>'OT17-172 - NORTE'!O90</f>
        <v>D00244362000</v>
      </c>
      <c r="D31" s="234" t="s">
        <v>1438</v>
      </c>
      <c r="E31" s="234" t="s">
        <v>1437</v>
      </c>
      <c r="F31" s="234">
        <f>'OT17-172 - NORTE'!O88</f>
        <v>0</v>
      </c>
      <c r="G31" s="234" t="str">
        <f>'OT17-172 - NORTE'!A7</f>
        <v>Proyecto: CDIE_CADCSR_R0026 Ingeniería Subestación Norte</v>
      </c>
      <c r="H31" s="618">
        <f>'OT17-172 - NORTE'!H72</f>
        <v>250139426</v>
      </c>
      <c r="I31" s="618">
        <f>'OT17-172 - NORTE'!H73</f>
        <v>0</v>
      </c>
      <c r="J31" s="618">
        <v>0</v>
      </c>
      <c r="K31" s="618">
        <f>'OT17-172 - NORTE'!H74</f>
        <v>250139426</v>
      </c>
      <c r="L31" s="618">
        <f>'OT17-172 - NORTE'!H77</f>
        <v>47526490.939999998</v>
      </c>
      <c r="M31" s="618">
        <f>'OT17-172 - NORTE'!H78</f>
        <v>297665916.94</v>
      </c>
      <c r="N31" s="922">
        <f>+'OT17-172 - NORTE'!X72</f>
        <v>0</v>
      </c>
      <c r="O31" s="923">
        <f>+'OT17-172 - NORTE'!Y76</f>
        <v>0</v>
      </c>
      <c r="P31" s="618">
        <f>+'OT17-172 - NORTE'!X73</f>
        <v>0</v>
      </c>
      <c r="Q31" s="618">
        <f>+'OT17-172 - NORTE'!X75</f>
        <v>0</v>
      </c>
      <c r="R31" s="618">
        <f>+'OT17-172 - NORTE'!X76</f>
        <v>0</v>
      </c>
      <c r="S31" s="618">
        <f>+'OT17-172 - NORTE'!X77</f>
        <v>0</v>
      </c>
      <c r="T31" s="618">
        <f>+'OT17-172 - NORTE'!X78</f>
        <v>0</v>
      </c>
      <c r="U31" s="750" t="str">
        <f>'OT17-172 - NORTE'!A8</f>
        <v>Acta N° 5: Marzo</v>
      </c>
      <c r="V31" s="234" t="s">
        <v>1501</v>
      </c>
      <c r="W31" s="925"/>
      <c r="X31" s="925"/>
      <c r="Y31" s="925"/>
      <c r="Z31" s="925"/>
      <c r="AA31" s="925"/>
      <c r="AB31" s="926"/>
      <c r="AC31" s="927"/>
      <c r="AD31" s="927"/>
      <c r="AE31" s="927"/>
      <c r="AF31" s="927"/>
      <c r="AG31" s="925"/>
      <c r="AH31" s="927"/>
      <c r="AJ31" s="925"/>
    </row>
    <row r="32" spans="1:36" s="924" customFormat="1" ht="67.5" customHeight="1" x14ac:dyDescent="0.3">
      <c r="A32" s="1064">
        <v>24</v>
      </c>
      <c r="B32" s="235" t="str">
        <f>+'OT17-173 MORATO ING BÁSICA'!O32</f>
        <v>D00235093</v>
      </c>
      <c r="C32" s="235" t="str">
        <f>+'OT17-173 MORATO ING BÁSICA'!O33</f>
        <v>D00235093000</v>
      </c>
      <c r="D32" s="234" t="s">
        <v>2684</v>
      </c>
      <c r="E32" s="234" t="s">
        <v>2685</v>
      </c>
      <c r="F32" s="234">
        <f>+'OT17-173 MORATO ING BÁSICA'!O31</f>
        <v>0</v>
      </c>
      <c r="G32" s="234" t="str">
        <f>+'OT17-173 MORATO ING BÁSICA'!A7</f>
        <v>Proyecto: CDIM_CBSGSM_R0147 Ingeniería Básica y levantamiento topográfico Subestación Morato</v>
      </c>
      <c r="H32" s="618">
        <f>+'OT17-173 MORATO ING BÁSICA'!H18</f>
        <v>36458569</v>
      </c>
      <c r="I32" s="618">
        <f>+'OT17-173 MORATO ING BÁSICA'!H19</f>
        <v>0</v>
      </c>
      <c r="J32" s="618"/>
      <c r="K32" s="618">
        <f>+'OT17-173 MORATO ING BÁSICA'!H20</f>
        <v>36458569</v>
      </c>
      <c r="L32" s="618">
        <f>+'OT17-173 MORATO ING BÁSICA'!H23</f>
        <v>6927128.1100000003</v>
      </c>
      <c r="M32" s="618">
        <f>+'OT17-173 MORATO ING BÁSICA'!H24</f>
        <v>43385697.109999999</v>
      </c>
      <c r="N32" s="922">
        <f>+'OT17-173 MORATO ING BÁSICA'!O18</f>
        <v>0</v>
      </c>
      <c r="O32" s="923">
        <f>+'OT17-173 MORATO ING BÁSICA'!P22</f>
        <v>0</v>
      </c>
      <c r="P32" s="618">
        <f>+'OT17-173 MORATO ING BÁSICA'!O19</f>
        <v>0</v>
      </c>
      <c r="Q32" s="618">
        <f>+'OT17-173 MORATO ING BÁSICA'!O21</f>
        <v>0</v>
      </c>
      <c r="R32" s="618">
        <f>+'OT17-173 MORATO ING BÁSICA'!O22</f>
        <v>0</v>
      </c>
      <c r="S32" s="618">
        <f>+'OT17-173 MORATO ING BÁSICA'!O23</f>
        <v>0</v>
      </c>
      <c r="T32" s="618">
        <f>+'OT17-173 MORATO ING BÁSICA'!O24</f>
        <v>0</v>
      </c>
      <c r="U32" s="750" t="str">
        <f>+'OT17-173 MORATO ING BÁSICA'!A8</f>
        <v xml:space="preserve">Acta N° 2: Marzo </v>
      </c>
      <c r="V32" s="234"/>
      <c r="W32" s="925"/>
      <c r="X32" s="925"/>
      <c r="Y32" s="925"/>
      <c r="Z32" s="925"/>
      <c r="AA32" s="925"/>
      <c r="AB32" s="926"/>
      <c r="AC32" s="927"/>
      <c r="AD32" s="927"/>
      <c r="AE32" s="927"/>
      <c r="AF32" s="927"/>
      <c r="AG32" s="925"/>
      <c r="AH32" s="927"/>
      <c r="AJ32" s="925"/>
    </row>
    <row r="33" spans="1:36" s="924" customFormat="1" ht="67.5" customHeight="1" x14ac:dyDescent="0.3">
      <c r="A33" s="1064">
        <v>25</v>
      </c>
      <c r="B33" s="235" t="str">
        <f>+'OT17-174 USAQUEN ING BÁSICA'!R33</f>
        <v>D00235094</v>
      </c>
      <c r="C33" s="235" t="str">
        <f>+'OT17-174 USAQUEN ING BÁSICA'!R34</f>
        <v>D00235094000</v>
      </c>
      <c r="D33" s="234" t="s">
        <v>2686</v>
      </c>
      <c r="E33" s="234" t="s">
        <v>2687</v>
      </c>
      <c r="F33" s="234">
        <f>+'OT17-174 USAQUEN ING BÁSICA'!R32</f>
        <v>0</v>
      </c>
      <c r="G33" s="234" t="str">
        <f>+'OT17-174 USAQUEN ING BÁSICA'!A7</f>
        <v>Proyecto: CDIM_CBSGSM_R0147 Ingeniería Básica y levantamiento topográfico Subestación Usaquén</v>
      </c>
      <c r="H33" s="618">
        <f>+'OT17-174 USAQUEN ING BÁSICA'!H18</f>
        <v>36458569</v>
      </c>
      <c r="I33" s="618">
        <f>+'OT17-174 USAQUEN ING BÁSICA'!H19</f>
        <v>0</v>
      </c>
      <c r="J33" s="618"/>
      <c r="K33" s="618">
        <f>+'OT17-174 USAQUEN ING BÁSICA'!H20</f>
        <v>36458569</v>
      </c>
      <c r="L33" s="618">
        <f>+'OT17-174 USAQUEN ING BÁSICA'!H23</f>
        <v>6927128.1100000003</v>
      </c>
      <c r="M33" s="618">
        <f>+'OT17-174 USAQUEN ING BÁSICA'!H24</f>
        <v>43385697.109999999</v>
      </c>
      <c r="N33" s="922">
        <f>+'OT17-174 USAQUEN ING BÁSICA'!R18</f>
        <v>0</v>
      </c>
      <c r="O33" s="923">
        <f>+'OT17-174 USAQUEN ING BÁSICA'!S22</f>
        <v>0</v>
      </c>
      <c r="P33" s="618">
        <f>+'OT17-174 USAQUEN ING BÁSICA'!R19</f>
        <v>0</v>
      </c>
      <c r="Q33" s="618">
        <f>+'OT17-174 USAQUEN ING BÁSICA'!R21</f>
        <v>0</v>
      </c>
      <c r="R33" s="618">
        <f>+'OT17-174 USAQUEN ING BÁSICA'!R22</f>
        <v>0</v>
      </c>
      <c r="S33" s="618">
        <f>+'OT17-174 USAQUEN ING BÁSICA'!R23</f>
        <v>0</v>
      </c>
      <c r="T33" s="618">
        <f>+'OT17-174 USAQUEN ING BÁSICA'!R24</f>
        <v>0</v>
      </c>
      <c r="U33" s="750" t="str">
        <f>+'OT17-174 USAQUEN ING BÁSICA'!A8</f>
        <v>Acta N° 3: Marzo</v>
      </c>
      <c r="V33" s="234"/>
      <c r="W33" s="925"/>
      <c r="X33" s="925"/>
      <c r="Y33" s="925"/>
      <c r="Z33" s="925"/>
      <c r="AA33" s="925"/>
      <c r="AB33" s="926"/>
      <c r="AC33" s="927"/>
      <c r="AD33" s="927"/>
      <c r="AE33" s="927"/>
      <c r="AF33" s="927"/>
      <c r="AG33" s="925"/>
      <c r="AH33" s="927"/>
      <c r="AJ33" s="925"/>
    </row>
    <row r="34" spans="1:36" s="924" customFormat="1" ht="67.5" customHeight="1" x14ac:dyDescent="0.3">
      <c r="A34" s="1064">
        <v>26</v>
      </c>
      <c r="B34" s="235" t="str">
        <f>+'OT17-179 EL SOL REV DE ING'!R36</f>
        <v>D00235092</v>
      </c>
      <c r="C34" s="235" t="str">
        <f>+'OT17-179 EL SOL REV DE ING'!R37</f>
        <v>D00235092000</v>
      </c>
      <c r="D34" s="234" t="s">
        <v>2688</v>
      </c>
      <c r="E34" s="234" t="s">
        <v>771</v>
      </c>
      <c r="F34" s="234">
        <f>+'OT17-179 EL SOL REV DE ING'!R35</f>
        <v>0</v>
      </c>
      <c r="G34" s="234" t="str">
        <f>+'OT17-179 EL SOL REV DE ING'!A7</f>
        <v>Proyecto: CDIM_CBSGSM_R0146 - NORMALIZACIÓN Y REPOSICIÓN EL SOL, Revisión y actualización ingeniería PECS - Líneas Refisal / TJ / ZP / TZ2</v>
      </c>
      <c r="H34" s="618">
        <f>+'OT17-179 EL SOL REV DE ING'!H22</f>
        <v>17404004</v>
      </c>
      <c r="I34" s="618">
        <f>+'OT17-179 EL SOL REV DE ING'!H23</f>
        <v>0</v>
      </c>
      <c r="J34" s="618"/>
      <c r="K34" s="618">
        <f>+'OT17-179 EL SOL REV DE ING'!H24</f>
        <v>17404004</v>
      </c>
      <c r="L34" s="618">
        <f>+'OT17-179 EL SOL REV DE ING'!H27</f>
        <v>3306760.7600000002</v>
      </c>
      <c r="M34" s="618">
        <f>+'OT17-179 EL SOL REV DE ING'!H28</f>
        <v>20710764.760000002</v>
      </c>
      <c r="N34" s="922">
        <f>+'OT17-179 EL SOL REV DE ING'!R22</f>
        <v>0</v>
      </c>
      <c r="O34" s="923">
        <f>+'OT17-179 EL SOL REV DE ING'!S26</f>
        <v>0</v>
      </c>
      <c r="P34" s="618">
        <f>+'OT17-179 EL SOL REV DE ING'!R23</f>
        <v>0</v>
      </c>
      <c r="Q34" s="618">
        <f>+'OT17-179 EL SOL REV DE ING'!R25</f>
        <v>0</v>
      </c>
      <c r="R34" s="618">
        <f>+'OT17-179 EL SOL REV DE ING'!R26</f>
        <v>0</v>
      </c>
      <c r="S34" s="618">
        <f>+'OT17-179 EL SOL REV DE ING'!R27</f>
        <v>0</v>
      </c>
      <c r="T34" s="618">
        <f>+'OT17-179 EL SOL REV DE ING'!R28</f>
        <v>0</v>
      </c>
      <c r="U34" s="750" t="str">
        <f>+'OT17-179 EL SOL REV DE ING'!A8</f>
        <v>Acta N° 3: Marzo</v>
      </c>
      <c r="V34" s="234"/>
      <c r="W34" s="925"/>
      <c r="X34" s="925"/>
      <c r="Y34" s="925"/>
      <c r="Z34" s="925"/>
      <c r="AA34" s="925"/>
      <c r="AB34" s="926"/>
      <c r="AC34" s="927"/>
      <c r="AD34" s="927"/>
      <c r="AE34" s="927"/>
      <c r="AF34" s="927"/>
      <c r="AG34" s="925"/>
      <c r="AH34" s="927"/>
      <c r="AJ34" s="925"/>
    </row>
    <row r="35" spans="1:36" s="924" customFormat="1" ht="67.5" customHeight="1" x14ac:dyDescent="0.3">
      <c r="A35" s="1064">
        <v>27</v>
      </c>
      <c r="B35" s="235" t="str">
        <f>+'OT17-184 LLTT TERMINAL'!AB46</f>
        <v>D00235069</v>
      </c>
      <c r="C35" s="235" t="str">
        <f>+'OT17-184 LLTT TERMINAL'!AB47</f>
        <v>D00235069000</v>
      </c>
      <c r="D35" s="234" t="s">
        <v>2689</v>
      </c>
      <c r="E35" s="234" t="s">
        <v>1223</v>
      </c>
      <c r="F35" s="234">
        <f>+'OT17-184 LLTT TERMINAL'!AB45</f>
        <v>0</v>
      </c>
      <c r="G35" s="234" t="str">
        <f>+'OT17-184 LLTT TERMINAL'!A7</f>
        <v>Proyecto: Levantamiento e ingeniería para construcción de trazado de las líneas de llegada a la subestación Terminal</v>
      </c>
      <c r="H35" s="618">
        <f>+'OT17-184 LLTT TERMINAL'!G26</f>
        <v>18259932</v>
      </c>
      <c r="I35" s="618">
        <f>+'OT17-184 LLTT TERMINAL'!G27</f>
        <v>0</v>
      </c>
      <c r="J35" s="618"/>
      <c r="K35" s="618">
        <f>+'OT17-184 LLTT TERMINAL'!G28</f>
        <v>18259932</v>
      </c>
      <c r="L35" s="618">
        <f>+'OT17-184 LLTT TERMINAL'!G31</f>
        <v>3469387.08</v>
      </c>
      <c r="M35" s="618">
        <f>+'OT17-184 LLTT TERMINAL'!G32</f>
        <v>21729319.079999998</v>
      </c>
      <c r="N35" s="922">
        <f>+'OT17-184 LLTT TERMINAL'!AB26</f>
        <v>0</v>
      </c>
      <c r="O35" s="923">
        <f>+'OT17-184 LLTT TERMINAL'!AC30</f>
        <v>0</v>
      </c>
      <c r="P35" s="618">
        <f>+'OT17-184 LLTT TERMINAL'!AB27</f>
        <v>0</v>
      </c>
      <c r="Q35" s="618">
        <f>+'OT17-184 LLTT TERMINAL'!AB29</f>
        <v>0</v>
      </c>
      <c r="R35" s="618">
        <f>+'OT17-184 LLTT TERMINAL'!AB30</f>
        <v>0</v>
      </c>
      <c r="S35" s="618">
        <f>+'OT17-184 LLTT TERMINAL'!AB31</f>
        <v>0</v>
      </c>
      <c r="T35" s="618">
        <f>+'OT17-184 LLTT TERMINAL'!AB32</f>
        <v>0</v>
      </c>
      <c r="U35" s="750" t="str">
        <f>+'OT17-184 LLTT TERMINAL'!A8</f>
        <v xml:space="preserve">Acta N° 7: Marzo </v>
      </c>
      <c r="V35" s="234"/>
      <c r="W35" s="925"/>
      <c r="X35" s="925"/>
      <c r="Y35" s="925"/>
      <c r="Z35" s="925"/>
      <c r="AA35" s="925"/>
      <c r="AB35" s="926"/>
      <c r="AC35" s="927"/>
      <c r="AD35" s="927"/>
      <c r="AE35" s="927"/>
      <c r="AF35" s="927"/>
      <c r="AG35" s="925"/>
      <c r="AH35" s="927"/>
      <c r="AJ35" s="925"/>
    </row>
    <row r="36" spans="1:36" s="924" customFormat="1" ht="67.5" customHeight="1" x14ac:dyDescent="0.3">
      <c r="A36" s="1064">
        <v>28</v>
      </c>
      <c r="B36" s="235" t="str">
        <f>+'OT17-186 MUÑA III'!O34</f>
        <v>D002234806</v>
      </c>
      <c r="C36" s="235">
        <f>+'OT17-186 MUÑA III'!O35</f>
        <v>0</v>
      </c>
      <c r="D36" s="234" t="s">
        <v>2690</v>
      </c>
      <c r="E36" s="234" t="s">
        <v>2691</v>
      </c>
      <c r="F36" s="234">
        <f>+'OT17-186 MUÑA III'!O33</f>
        <v>0</v>
      </c>
      <c r="G36" s="234" t="str">
        <f>+'OT17-186 MUÑA III'!A7</f>
        <v>Proyecto: CDIM_CBSGSM_R0071 Reposición de Protecciones, Levantamiento e ingeniería para reposición de protecciones y normalización de tableros de protección SSEE MUÑA 3</v>
      </c>
      <c r="H36" s="618">
        <f>+'OT17-186 MUÑA III'!H20</f>
        <v>15941483</v>
      </c>
      <c r="I36" s="618">
        <f>+'OT17-186 MUÑA III'!H21</f>
        <v>0</v>
      </c>
      <c r="J36" s="618"/>
      <c r="K36" s="618">
        <f>+'OT17-186 MUÑA III'!H22</f>
        <v>15941483</v>
      </c>
      <c r="L36" s="618">
        <f>+'OT17-186 MUÑA III'!H25</f>
        <v>3028881.77</v>
      </c>
      <c r="M36" s="618">
        <f>+'OT17-186 MUÑA III'!H26</f>
        <v>18970364.77</v>
      </c>
      <c r="N36" s="922">
        <f>+'OT17-186 MUÑA III'!O20</f>
        <v>0</v>
      </c>
      <c r="O36" s="923">
        <f>+'OT17-186 MUÑA III'!P20</f>
        <v>0</v>
      </c>
      <c r="P36" s="618">
        <f>+'OT17-186 MUÑA III'!O21</f>
        <v>0</v>
      </c>
      <c r="Q36" s="618">
        <f>+'OT17-186 MUÑA III'!O23</f>
        <v>0</v>
      </c>
      <c r="R36" s="618">
        <f>+'OT17-186 MUÑA III'!O24</f>
        <v>0</v>
      </c>
      <c r="S36" s="618">
        <f>+'OT17-186 MUÑA III'!O25</f>
        <v>0</v>
      </c>
      <c r="T36" s="618">
        <f>+'OT17-186 MUÑA III'!O26</f>
        <v>0</v>
      </c>
      <c r="U36" s="750" t="str">
        <f>+'OT17-186 MUÑA III'!A8</f>
        <v>Acta N° 2: Marzo</v>
      </c>
      <c r="V36" s="234"/>
      <c r="W36" s="925"/>
      <c r="X36" s="925"/>
      <c r="Y36" s="925"/>
      <c r="Z36" s="925"/>
      <c r="AA36" s="925"/>
      <c r="AB36" s="926"/>
      <c r="AC36" s="927"/>
      <c r="AD36" s="927"/>
      <c r="AE36" s="927"/>
      <c r="AF36" s="927"/>
      <c r="AG36" s="925"/>
      <c r="AH36" s="927"/>
      <c r="AJ36" s="925"/>
    </row>
    <row r="37" spans="1:36" s="924" customFormat="1" ht="67.5" customHeight="1" x14ac:dyDescent="0.3">
      <c r="A37" s="1064">
        <v>29</v>
      </c>
      <c r="B37" s="235" t="str">
        <f>+'OT17-187 GUACA'!R56</f>
        <v>D002234806</v>
      </c>
      <c r="C37" s="235">
        <f>+'OT17-187 GUACA'!R57</f>
        <v>0</v>
      </c>
      <c r="D37" s="234" t="s">
        <v>2692</v>
      </c>
      <c r="E37" s="234" t="s">
        <v>2693</v>
      </c>
      <c r="F37" s="234">
        <f>+'OT17-187 GUACA'!R55</f>
        <v>0</v>
      </c>
      <c r="G37" s="234" t="str">
        <f>+'OT17-187 GUACA'!A7</f>
        <v>Proyecto: CDIM_CBSGSM_R0071 Reposición de Protecciones, Levantamiento e ingeniería para reposición de protecciones y normalización de tableros de control y protección SSEE LA GUACA</v>
      </c>
      <c r="H37" s="618">
        <f>+'OT17-187 GUACA'!H41</f>
        <v>54698296</v>
      </c>
      <c r="I37" s="618">
        <f>+'OT17-187 GUACA'!H42</f>
        <v>0</v>
      </c>
      <c r="J37" s="618"/>
      <c r="K37" s="618">
        <f>+'OT17-187 GUACA'!H43</f>
        <v>54698296</v>
      </c>
      <c r="L37" s="618">
        <f>+'OT17-187 GUACA'!H46</f>
        <v>10392676.24</v>
      </c>
      <c r="M37" s="618">
        <f>+'OT17-187 GUACA'!H47</f>
        <v>65090972.240000002</v>
      </c>
      <c r="N37" s="922">
        <f>+'OT17-187 GUACA'!R41</f>
        <v>0</v>
      </c>
      <c r="O37" s="923">
        <f>+'OT17-187 GUACA'!S41</f>
        <v>0</v>
      </c>
      <c r="P37" s="618">
        <f>+'OT17-187 GUACA'!R42</f>
        <v>0</v>
      </c>
      <c r="Q37" s="618">
        <f>+'OT17-187 GUACA'!R44</f>
        <v>0</v>
      </c>
      <c r="R37" s="618">
        <f>+'OT17-187 GUACA'!R45</f>
        <v>0</v>
      </c>
      <c r="S37" s="618">
        <f>+'OT17-187 GUACA'!R46</f>
        <v>0</v>
      </c>
      <c r="T37" s="618">
        <f>+'OT17-187 GUACA'!R47</f>
        <v>0</v>
      </c>
      <c r="U37" s="750" t="str">
        <f>+'OT17-187 GUACA'!A8</f>
        <v>Acta N° 3: Marzo</v>
      </c>
      <c r="V37" s="234"/>
      <c r="W37" s="925"/>
      <c r="X37" s="925"/>
      <c r="Y37" s="925"/>
      <c r="Z37" s="925"/>
      <c r="AA37" s="925"/>
      <c r="AB37" s="926"/>
      <c r="AC37" s="927"/>
      <c r="AD37" s="927"/>
      <c r="AE37" s="927"/>
      <c r="AF37" s="927"/>
      <c r="AG37" s="925"/>
      <c r="AH37" s="927"/>
      <c r="AJ37" s="925"/>
    </row>
    <row r="38" spans="1:36" s="924" customFormat="1" ht="67.5" customHeight="1" x14ac:dyDescent="0.3">
      <c r="A38" s="1064">
        <v>30</v>
      </c>
      <c r="B38" s="235" t="str">
        <f>+'OT17-189 CUCUNUBÁ'!R36</f>
        <v>D00243030</v>
      </c>
      <c r="C38" s="235" t="str">
        <f>+'OT17-189 CUCUNUBÁ'!R37</f>
        <v>D00243030000</v>
      </c>
      <c r="D38" s="234" t="s">
        <v>2694</v>
      </c>
      <c r="E38" s="234" t="s">
        <v>2695</v>
      </c>
      <c r="F38" s="234">
        <f>+'OT17-189 CUCUNUBÁ'!R35</f>
        <v>0</v>
      </c>
      <c r="G38" s="234" t="str">
        <f>+'OT17-189 CUCUNUBÁ'!A7</f>
        <v>Proyecto: CDIM_CADCRA_R0114 – Cucunubá, Ingeniería mecánica y eléctrica para reemplazo del trafo D1</v>
      </c>
      <c r="H38" s="618">
        <f>+'OT17-189 CUCUNUBÁ'!H22</f>
        <v>12086694</v>
      </c>
      <c r="I38" s="618">
        <f>+'OT17-189 CUCUNUBÁ'!H23</f>
        <v>167354.22299999997</v>
      </c>
      <c r="J38" s="618"/>
      <c r="K38" s="618">
        <f>+'OT17-189 CUCUNUBÁ'!H24</f>
        <v>12254048.222999999</v>
      </c>
      <c r="L38" s="618">
        <f>+'OT17-189 CUCUNUBÁ'!H27</f>
        <v>2328269.16237</v>
      </c>
      <c r="M38" s="618">
        <f>+'OT17-189 CUCUNUBÁ'!H28</f>
        <v>14582317.385369999</v>
      </c>
      <c r="N38" s="922">
        <f>+'OT17-189 CUCUNUBÁ'!R22</f>
        <v>0</v>
      </c>
      <c r="O38" s="923">
        <f>+'OT17-189 CUCUNUBÁ'!S22</f>
        <v>0</v>
      </c>
      <c r="P38" s="618">
        <f>+'OT17-189 CUCUNUBÁ'!R23</f>
        <v>0</v>
      </c>
      <c r="Q38" s="618">
        <f>+'OT17-189 CUCUNUBÁ'!R25</f>
        <v>0</v>
      </c>
      <c r="R38" s="618">
        <f>+'OT17-189 CUCUNUBÁ'!R26</f>
        <v>0</v>
      </c>
      <c r="S38" s="618">
        <f>+'OT17-189 CUCUNUBÁ'!R27</f>
        <v>0</v>
      </c>
      <c r="T38" s="618">
        <f>+'OT17-189 CUCUNUBÁ'!R28</f>
        <v>0</v>
      </c>
      <c r="U38" s="750" t="str">
        <f>+'OT17-189 CUCUNUBÁ'!A8</f>
        <v>Acta N° 3: Marzo</v>
      </c>
      <c r="V38" s="234"/>
      <c r="W38" s="925"/>
      <c r="X38" s="925"/>
      <c r="Y38" s="925"/>
      <c r="Z38" s="925"/>
      <c r="AA38" s="925"/>
      <c r="AB38" s="926"/>
      <c r="AC38" s="927"/>
      <c r="AD38" s="927"/>
      <c r="AE38" s="927"/>
      <c r="AF38" s="927"/>
      <c r="AG38" s="925"/>
      <c r="AH38" s="927"/>
      <c r="AJ38" s="925"/>
    </row>
    <row r="39" spans="1:36" s="924" customFormat="1" ht="67.5" customHeight="1" x14ac:dyDescent="0.3">
      <c r="A39" s="1064">
        <v>31</v>
      </c>
      <c r="B39" s="235" t="str">
        <f>+'OT17-198 SESQUILE AS BUILT'!P54</f>
        <v>D00235068</v>
      </c>
      <c r="C39" s="235">
        <f>+'OT17-198 SESQUILE AS BUILT'!P5</f>
        <v>0</v>
      </c>
      <c r="D39" s="234" t="s">
        <v>2696</v>
      </c>
      <c r="E39" s="234" t="s">
        <v>2697</v>
      </c>
      <c r="F39" s="234">
        <f>+'OT17-198 SESQUILE AS BUILT'!P53</f>
        <v>0</v>
      </c>
      <c r="G39" s="234" t="str">
        <f>+'OT17-198 SESQUILE AS BUILT'!A7</f>
        <v>Proyecto: CDIM_CBSGSM_R0146, NORMALIZ Y REPOS SE EL SOL, Elaboración de Planos de Control y Planos As Built Proyecto Ampliación Capacidad AT/MT, CS – SQ.</v>
      </c>
      <c r="H39" s="618">
        <f>+'OT17-198 SESQUILE AS BUILT'!G40</f>
        <v>2039799</v>
      </c>
      <c r="I39" s="618">
        <f>+'OT17-198 SESQUILE AS BUILT'!G41</f>
        <v>0</v>
      </c>
      <c r="J39" s="618"/>
      <c r="K39" s="618">
        <f>+'OT17-198 SESQUILE AS BUILT'!G42</f>
        <v>2039799</v>
      </c>
      <c r="L39" s="618">
        <f>+'OT17-198 SESQUILE AS BUILT'!G45</f>
        <v>387561.81</v>
      </c>
      <c r="M39" s="618">
        <f>+'OT17-198 SESQUILE AS BUILT'!G46</f>
        <v>2427360.81</v>
      </c>
      <c r="N39" s="922">
        <f>+'OT17-198 SESQUILE AS BUILT'!P40</f>
        <v>0</v>
      </c>
      <c r="O39" s="923">
        <f>+'OT17-198 SESQUILE AS BUILT'!Q44</f>
        <v>0</v>
      </c>
      <c r="P39" s="618">
        <f>+'OT17-198 SESQUILE AS BUILT'!P41</f>
        <v>0</v>
      </c>
      <c r="Q39" s="618">
        <f>+'OT17-198 SESQUILE AS BUILT'!P43</f>
        <v>0</v>
      </c>
      <c r="R39" s="618">
        <f>+'OT17-198 SESQUILE AS BUILT'!P44</f>
        <v>0</v>
      </c>
      <c r="S39" s="618">
        <f>+'OT17-198 SESQUILE AS BUILT'!P45</f>
        <v>0</v>
      </c>
      <c r="T39" s="618">
        <f>+'OT17-198 SESQUILE AS BUILT'!P46</f>
        <v>0</v>
      </c>
      <c r="U39" s="750" t="str">
        <f>+'OT17-198 SESQUILE AS BUILT'!A8</f>
        <v>Acta N° 3: Marzo</v>
      </c>
      <c r="V39" s="234"/>
      <c r="W39" s="925"/>
      <c r="X39" s="925"/>
      <c r="Y39" s="925"/>
      <c r="Z39" s="925"/>
      <c r="AA39" s="925"/>
      <c r="AB39" s="926"/>
      <c r="AC39" s="927"/>
      <c r="AD39" s="927"/>
      <c r="AE39" s="927"/>
      <c r="AF39" s="927"/>
      <c r="AG39" s="925"/>
      <c r="AH39" s="927"/>
      <c r="AJ39" s="925"/>
    </row>
    <row r="40" spans="1:36" s="924" customFormat="1" ht="67.5" customHeight="1" x14ac:dyDescent="0.3">
      <c r="A40" s="1064">
        <v>32</v>
      </c>
      <c r="B40" s="235" t="str">
        <f>+'OT17-199 VILLETA REP PROTEC'!U45</f>
        <v>D00249252</v>
      </c>
      <c r="C40" s="235" t="str">
        <f>+'OT17-199 VILLETA REP PROTEC'!U46</f>
        <v>D00249252000</v>
      </c>
      <c r="D40" s="234" t="s">
        <v>1445</v>
      </c>
      <c r="E40" s="234" t="s">
        <v>785</v>
      </c>
      <c r="F40" s="234">
        <f>'OT17-199 VILLETA REP PROTEC'!R44</f>
        <v>0</v>
      </c>
      <c r="G40" s="234" t="str">
        <f>+'OT17-199 VILLETA REP PROTEC'!A7</f>
        <v>Proyecto: CDIM_CBSGSM_R0071 Reposición de Protecciones, Levantamiento e ingeniería para reposición de protecciones y normalización de tableros de control y protección SSEE VILLETA</v>
      </c>
      <c r="H40" s="618">
        <f>'OT17-199 VILLETA REP PROTEC'!H29</f>
        <v>41229168</v>
      </c>
      <c r="I40" s="618">
        <f>'OT17-199 VILLETA REP PROTEC'!H30</f>
        <v>371062.51199999999</v>
      </c>
      <c r="J40" s="618"/>
      <c r="K40" s="618">
        <f>'OT17-199 VILLETA REP PROTEC'!H31</f>
        <v>41600230.512000002</v>
      </c>
      <c r="L40" s="618">
        <f>'OT17-199 VILLETA REP PROTEC'!H34</f>
        <v>7904043.7972800005</v>
      </c>
      <c r="M40" s="618">
        <f>'OT17-199 VILLETA REP PROTEC'!H35</f>
        <v>49504274.309280001</v>
      </c>
      <c r="N40" s="922">
        <f>+'OT17-199 VILLETA REP PROTEC'!X29</f>
        <v>0</v>
      </c>
      <c r="O40" s="923">
        <f>+'OT17-199 VILLETA REP PROTEC'!Y33</f>
        <v>0</v>
      </c>
      <c r="P40" s="618">
        <f>+'OT17-199 VILLETA REP PROTEC'!X30</f>
        <v>0</v>
      </c>
      <c r="Q40" s="618">
        <f>+'OT17-199 VILLETA REP PROTEC'!X32</f>
        <v>0</v>
      </c>
      <c r="R40" s="618">
        <f>+'OT17-199 VILLETA REP PROTEC'!X33</f>
        <v>0</v>
      </c>
      <c r="S40" s="618">
        <f>+'OT17-199 VILLETA REP PROTEC'!X34</f>
        <v>0</v>
      </c>
      <c r="T40" s="618">
        <f>+'OT17-199 VILLETA REP PROTEC'!X35</f>
        <v>0</v>
      </c>
      <c r="U40" s="750" t="str">
        <f>+'OT17-199 VILLETA REP PROTEC'!A8</f>
        <v>Acta N° 5: Marzo</v>
      </c>
      <c r="V40" s="234" t="s">
        <v>525</v>
      </c>
      <c r="W40" s="925"/>
      <c r="X40" s="925"/>
      <c r="Y40" s="925"/>
      <c r="Z40" s="925"/>
      <c r="AA40" s="925"/>
      <c r="AB40" s="926"/>
      <c r="AC40" s="927"/>
      <c r="AD40" s="927"/>
      <c r="AE40" s="927"/>
      <c r="AF40" s="927"/>
      <c r="AG40" s="925"/>
      <c r="AH40" s="927"/>
      <c r="AJ40" s="925"/>
    </row>
    <row r="41" spans="1:36" s="924" customFormat="1" ht="67.5" customHeight="1" x14ac:dyDescent="0.3">
      <c r="A41" s="1064">
        <v>33</v>
      </c>
      <c r="B41" s="235" t="str">
        <f>+'OT17-200 LA PAZ REP PROTEC'!U44</f>
        <v>D00234809</v>
      </c>
      <c r="C41" s="235">
        <f>+'OT17-200 LA PAZ REP PROTEC'!U45</f>
        <v>0</v>
      </c>
      <c r="D41" s="234" t="s">
        <v>2698</v>
      </c>
      <c r="E41" s="234" t="s">
        <v>2699</v>
      </c>
      <c r="F41" s="234">
        <f>+'OT17-200 LA PAZ REP PROTEC'!U43</f>
        <v>0</v>
      </c>
      <c r="G41" s="234" t="str">
        <f>+'OT17-200 LA PAZ REP PROTEC'!A7</f>
        <v>Proyecto: CDIM_CBSGSM_R0071 Reposición de Protecciones, Levantamiento e ingeniería para reposición de protecciones y normalización de tableros de control y protección SSEE LA PAZ</v>
      </c>
      <c r="H41" s="618">
        <f>+'OT17-200 LA PAZ REP PROTEC'!H29</f>
        <v>51982185</v>
      </c>
      <c r="I41" s="618">
        <f>+'OT17-200 LA PAZ REP PROTEC'!H30</f>
        <v>0</v>
      </c>
      <c r="J41" s="618"/>
      <c r="K41" s="618">
        <f>+'OT17-200 LA PAZ REP PROTEC'!H31</f>
        <v>51982185</v>
      </c>
      <c r="L41" s="618">
        <f>+'OT17-200 LA PAZ REP PROTEC'!H34</f>
        <v>9876615.1500000004</v>
      </c>
      <c r="M41" s="618">
        <f>+'OT17-200 LA PAZ REP PROTEC'!H35</f>
        <v>61858800.149999999</v>
      </c>
      <c r="N41" s="922">
        <f>+'OT17-200 LA PAZ REP PROTEC'!U29</f>
        <v>0</v>
      </c>
      <c r="O41" s="923">
        <f>+'OT17-200 LA PAZ REP PROTEC'!V29</f>
        <v>0</v>
      </c>
      <c r="P41" s="618">
        <f>+'OT17-200 LA PAZ REP PROTEC'!U30</f>
        <v>0</v>
      </c>
      <c r="Q41" s="618">
        <f>+'OT17-200 LA PAZ REP PROTEC'!U32</f>
        <v>0</v>
      </c>
      <c r="R41" s="618">
        <f>+'OT17-200 LA PAZ REP PROTEC'!U32</f>
        <v>0</v>
      </c>
      <c r="S41" s="618">
        <f>+'OT17-200 LA PAZ REP PROTEC'!U34</f>
        <v>0</v>
      </c>
      <c r="T41" s="618">
        <f>+'OT17-200 LA PAZ REP PROTEC'!U35</f>
        <v>0</v>
      </c>
      <c r="U41" s="750" t="str">
        <f>+'OT17-200 LA PAZ REP PROTEC'!A8</f>
        <v>Acta N° 4: Marzo</v>
      </c>
      <c r="V41" s="234"/>
      <c r="W41" s="925"/>
      <c r="X41" s="925"/>
      <c r="Y41" s="925"/>
      <c r="Z41" s="925"/>
      <c r="AA41" s="925"/>
      <c r="AB41" s="926"/>
      <c r="AC41" s="927"/>
      <c r="AD41" s="927"/>
      <c r="AE41" s="927"/>
      <c r="AF41" s="927"/>
      <c r="AG41" s="925"/>
      <c r="AH41" s="927"/>
      <c r="AJ41" s="925"/>
    </row>
    <row r="42" spans="1:36" s="924" customFormat="1" ht="67.5" customHeight="1" x14ac:dyDescent="0.3">
      <c r="A42" s="1064">
        <v>34</v>
      </c>
      <c r="B42" s="235" t="str">
        <f>+'OT17-207 INDUMIL'!X53</f>
        <v>D00249497</v>
      </c>
      <c r="C42" s="235" t="str">
        <f>+'OT17-207 INDUMIL'!X54</f>
        <v>D00249497000</v>
      </c>
      <c r="D42" s="234" t="s">
        <v>2700</v>
      </c>
      <c r="E42" s="234" t="s">
        <v>2701</v>
      </c>
      <c r="F42" s="234">
        <f>+'OT17-207 INDUMIL'!X52</f>
        <v>0</v>
      </c>
      <c r="G42" s="234" t="str">
        <f>+'OT17-207 INDUMIL'!A7</f>
        <v>Proyecto: CDIM_CADCSR_R0109   AMPLIACIÓN CAPACIDAD INDUMIL</v>
      </c>
      <c r="H42" s="618">
        <f>+'OT17-207 INDUMIL'!H35</f>
        <v>19855477</v>
      </c>
      <c r="I42" s="618">
        <f>+'OT17-207 INDUMIL'!H36</f>
        <v>0</v>
      </c>
      <c r="J42" s="618"/>
      <c r="K42" s="618">
        <f>+'OT17-207 INDUMIL'!H37</f>
        <v>19855477</v>
      </c>
      <c r="L42" s="618">
        <f>+'OT17-207 INDUMIL'!H40</f>
        <v>3772540.63</v>
      </c>
      <c r="M42" s="618">
        <f>+'OT17-207 INDUMIL'!H41</f>
        <v>23628017.629999999</v>
      </c>
      <c r="N42" s="922">
        <f>+'OT17-207 INDUMIL'!X35</f>
        <v>0</v>
      </c>
      <c r="O42" s="923">
        <f>+'OT17-207 INDUMIL'!Y35</f>
        <v>0</v>
      </c>
      <c r="P42" s="618">
        <f>+'OT17-207 INDUMIL'!X36</f>
        <v>0</v>
      </c>
      <c r="Q42" s="618">
        <f>+'OT17-207 INDUMIL'!X38</f>
        <v>0</v>
      </c>
      <c r="R42" s="618">
        <f>+'OT17-207 INDUMIL'!X39</f>
        <v>0</v>
      </c>
      <c r="S42" s="618">
        <f>+'OT17-207 INDUMIL'!X40</f>
        <v>0</v>
      </c>
      <c r="T42" s="618">
        <f>+'OT17-207 INDUMIL'!X41</f>
        <v>0</v>
      </c>
      <c r="U42" s="750" t="str">
        <f>+'OT17-207 INDUMIL'!A8</f>
        <v>Acta N° 5: Marzo</v>
      </c>
      <c r="V42" s="234"/>
      <c r="W42" s="925"/>
      <c r="X42" s="925"/>
      <c r="Y42" s="925"/>
      <c r="Z42" s="925"/>
      <c r="AA42" s="925"/>
      <c r="AB42" s="926"/>
      <c r="AC42" s="927"/>
      <c r="AD42" s="927"/>
      <c r="AE42" s="927"/>
      <c r="AF42" s="927"/>
      <c r="AG42" s="925"/>
      <c r="AH42" s="927"/>
      <c r="AJ42" s="925"/>
    </row>
    <row r="43" spans="1:36" s="924" customFormat="1" ht="67.5" customHeight="1" x14ac:dyDescent="0.3">
      <c r="A43" s="1064">
        <v>35</v>
      </c>
      <c r="B43" s="235" t="str">
        <f>+'OT17-225 LT DOR GUA CONEX GUAD '!X54</f>
        <v>D00234839</v>
      </c>
      <c r="C43" s="235">
        <f>+'OT17-225 LT DOR GUA CONEX GUAD '!X55</f>
        <v>1620900020</v>
      </c>
      <c r="D43" s="234" t="s">
        <v>2702</v>
      </c>
      <c r="E43" s="234" t="s">
        <v>752</v>
      </c>
      <c r="F43" s="234">
        <f>+'OT17-225 LT DOR GUA CONEX GUAD '!X53</f>
        <v>0</v>
      </c>
      <c r="G43" s="234" t="str">
        <f>+'OT17-225 LT DOR GUA CONEX GUAD '!A7</f>
        <v>Proyecto: LT DO GU Remplazo estructura 453 por distancias de seguridad y remplazo estructura terminal 578 por estabilidad</v>
      </c>
      <c r="H43" s="618">
        <f>+'OT17-225 LT DOR GUA CONEX GUAD '!H34</f>
        <v>24562704.119999997</v>
      </c>
      <c r="I43" s="618">
        <f>+'OT17-225 LT DOR GUA CONEX GUAD '!H35</f>
        <v>281410.17360000004</v>
      </c>
      <c r="J43" s="618"/>
      <c r="K43" s="618">
        <f>+'OT17-225 LT DOR GUA CONEX GUAD '!H36</f>
        <v>24844114.293599997</v>
      </c>
      <c r="L43" s="618">
        <f>+'OT17-225 LT DOR GUA CONEX GUAD '!H39</f>
        <v>4720381.7157839993</v>
      </c>
      <c r="M43" s="618">
        <f>+'OT17-225 LT DOR GUA CONEX GUAD '!H40</f>
        <v>29564496.009383995</v>
      </c>
      <c r="N43" s="922">
        <f>+'OT17-225 LT DOR GUA CONEX GUAD '!X34</f>
        <v>0</v>
      </c>
      <c r="O43" s="923">
        <f>+'OT17-225 LT DOR GUA CONEX GUAD '!Y38</f>
        <v>0</v>
      </c>
      <c r="P43" s="618">
        <f>+'OT17-225 LT DOR GUA CONEX GUAD '!X35</f>
        <v>0</v>
      </c>
      <c r="Q43" s="618">
        <f>+'OT17-225 LT DOR GUA CONEX GUAD '!X37</f>
        <v>0</v>
      </c>
      <c r="R43" s="618">
        <f>+'OT17-225 LT DOR GUA CONEX GUAD '!X38</f>
        <v>0</v>
      </c>
      <c r="S43" s="618">
        <f>+'OT17-225 LT DOR GUA CONEX GUAD '!X39</f>
        <v>0</v>
      </c>
      <c r="T43" s="618">
        <f>+'OT17-225 LT DOR GUA CONEX GUAD '!X40</f>
        <v>0</v>
      </c>
      <c r="U43" s="750" t="str">
        <f>+'OT17-225 LT DOR GUA CONEX GUAD '!A8</f>
        <v>Acta N° 5: Marzo</v>
      </c>
      <c r="V43" s="234"/>
      <c r="W43" s="925"/>
      <c r="X43" s="925"/>
      <c r="Y43" s="925"/>
      <c r="Z43" s="925"/>
      <c r="AA43" s="925"/>
      <c r="AB43" s="926"/>
      <c r="AC43" s="927"/>
      <c r="AD43" s="927"/>
      <c r="AE43" s="927"/>
      <c r="AF43" s="927"/>
      <c r="AG43" s="925"/>
      <c r="AH43" s="927"/>
      <c r="AJ43" s="925"/>
    </row>
    <row r="44" spans="1:36" s="924" customFormat="1" ht="67.5" customHeight="1" x14ac:dyDescent="0.3">
      <c r="A44" s="1064">
        <v>36</v>
      </c>
      <c r="B44" s="235">
        <f>+'OT17-227 BACATÁ VALIDA DISEÑO'!R33</f>
        <v>0</v>
      </c>
      <c r="C44" s="235">
        <f>+'OT17-227 BACATÁ VALIDA DISEÑO'!R34</f>
        <v>0</v>
      </c>
      <c r="D44" s="234" t="s">
        <v>2703</v>
      </c>
      <c r="E44" s="234" t="s">
        <v>2704</v>
      </c>
      <c r="F44" s="234">
        <f>+'OT17-227 BACATÁ VALIDA DISEÑO'!R32</f>
        <v>0</v>
      </c>
      <c r="G44" s="234" t="str">
        <f>+'OT17-227 BACATÁ VALIDA DISEÑO'!A7</f>
        <v>Proyecto: Validación ELÉCTRICA, CIVIL, MECÁNICA de los nuevos bancos de transformadores T2 por futuro reemplazo de cada una de las unidades existentes en la SE BACATÁ 500/115 KV</v>
      </c>
      <c r="H44" s="618">
        <f>+'OT17-227 BACATÁ VALIDA DISEÑO'!H18</f>
        <v>10321222</v>
      </c>
      <c r="I44" s="618">
        <f>+'OT17-227 BACATÁ VALIDA DISEÑO'!H19</f>
        <v>0</v>
      </c>
      <c r="J44" s="618"/>
      <c r="K44" s="618">
        <f>+'OT17-227 BACATÁ VALIDA DISEÑO'!H20</f>
        <v>10321222</v>
      </c>
      <c r="L44" s="618">
        <f>+'OT17-227 BACATÁ VALIDA DISEÑO'!H23</f>
        <v>1961032.18</v>
      </c>
      <c r="M44" s="618">
        <f>+'OT17-227 BACATÁ VALIDA DISEÑO'!H24</f>
        <v>12282254.18</v>
      </c>
      <c r="N44" s="922">
        <f>+'OT17-227 BACATÁ VALIDA DISEÑO'!R18</f>
        <v>0</v>
      </c>
      <c r="O44" s="923">
        <f>+'OT17-227 BACATÁ VALIDA DISEÑO'!S18</f>
        <v>0</v>
      </c>
      <c r="P44" s="618">
        <f>+'OT17-227 BACATÁ VALIDA DISEÑO'!R19</f>
        <v>0</v>
      </c>
      <c r="Q44" s="618">
        <f>+'OT17-227 BACATÁ VALIDA DISEÑO'!R21</f>
        <v>0</v>
      </c>
      <c r="R44" s="618">
        <f>+'OT17-227 BACATÁ VALIDA DISEÑO'!R22</f>
        <v>0</v>
      </c>
      <c r="S44" s="618">
        <f>+'OT17-227 BACATÁ VALIDA DISEÑO'!R23</f>
        <v>0</v>
      </c>
      <c r="T44" s="618">
        <f>+'OT17-227 BACATÁ VALIDA DISEÑO'!R24</f>
        <v>0</v>
      </c>
      <c r="U44" s="750" t="str">
        <f>+'OT17-227 BACATÁ VALIDA DISEÑO'!A8</f>
        <v>Acta N° 3: Marzo</v>
      </c>
      <c r="V44" s="234"/>
      <c r="W44" s="925"/>
      <c r="X44" s="925"/>
      <c r="Y44" s="925"/>
      <c r="Z44" s="925"/>
      <c r="AA44" s="925"/>
      <c r="AB44" s="926"/>
      <c r="AC44" s="927"/>
      <c r="AD44" s="927"/>
      <c r="AE44" s="927"/>
      <c r="AF44" s="927"/>
      <c r="AG44" s="925"/>
      <c r="AH44" s="927"/>
      <c r="AJ44" s="925"/>
    </row>
    <row r="45" spans="1:36" s="924" customFormat="1" ht="67.5" customHeight="1" x14ac:dyDescent="0.3">
      <c r="A45" s="1064">
        <v>37</v>
      </c>
      <c r="B45" s="235">
        <f>+'OT17-232 NOROESTE'!R39</f>
        <v>0</v>
      </c>
      <c r="C45" s="235">
        <f>+'OT17-232 NOROESTE'!R40</f>
        <v>0</v>
      </c>
      <c r="D45" s="234" t="s">
        <v>1450</v>
      </c>
      <c r="E45" s="234" t="s">
        <v>753</v>
      </c>
      <c r="F45" s="234">
        <f>'OT17-232 NOROESTE'!O38</f>
        <v>0</v>
      </c>
      <c r="G45" s="234" t="str">
        <f>'OT17-232 NOROESTE'!A7</f>
        <v>Proyecto: Ingeniería civil para ampliación de capacidad subestación Noroeste</v>
      </c>
      <c r="H45" s="618">
        <f>'OT17-232 NOROESTE'!H24</f>
        <v>9306511</v>
      </c>
      <c r="I45" s="618">
        <f>'OT17-232 NOROESTE'!H25</f>
        <v>0</v>
      </c>
      <c r="J45" s="618"/>
      <c r="K45" s="618">
        <f>'OT17-232 NOROESTE'!H26</f>
        <v>9306511</v>
      </c>
      <c r="L45" s="618">
        <f>'OT17-232 NOROESTE'!H29</f>
        <v>1768237.09</v>
      </c>
      <c r="M45" s="618">
        <f>'OT17-232 NOROESTE'!H30</f>
        <v>11074748.09</v>
      </c>
      <c r="N45" s="922">
        <f>+'OT17-232 NOROESTE'!U24</f>
        <v>0</v>
      </c>
      <c r="O45" s="923">
        <f>+'OT17-232 NOROESTE'!V28</f>
        <v>0</v>
      </c>
      <c r="P45" s="618">
        <f>+'OT17-232 NOROESTE'!U25</f>
        <v>0</v>
      </c>
      <c r="Q45" s="618">
        <f>+'OT17-232 NOROESTE'!U27</f>
        <v>0</v>
      </c>
      <c r="R45" s="618">
        <f>+'OT17-232 NOROESTE'!U28</f>
        <v>0</v>
      </c>
      <c r="S45" s="618">
        <f>+'OT17-232 NOROESTE'!U29</f>
        <v>0</v>
      </c>
      <c r="T45" s="618">
        <f>+'OT17-232 NOROESTE'!U30</f>
        <v>0</v>
      </c>
      <c r="U45" s="750" t="str">
        <f>'OT17-232 NOROESTE'!A8</f>
        <v xml:space="preserve">Acta N° 4: Marzo </v>
      </c>
      <c r="V45" s="234" t="s">
        <v>524</v>
      </c>
      <c r="W45" s="925"/>
      <c r="X45" s="925"/>
      <c r="Y45" s="925"/>
      <c r="Z45" s="925"/>
      <c r="AA45" s="925"/>
      <c r="AB45" s="926"/>
      <c r="AC45" s="927"/>
      <c r="AD45" s="927"/>
      <c r="AE45" s="927"/>
      <c r="AF45" s="927"/>
      <c r="AG45" s="925"/>
      <c r="AH45" s="927"/>
      <c r="AJ45" s="925"/>
    </row>
    <row r="46" spans="1:36" s="924" customFormat="1" ht="67.5" customHeight="1" x14ac:dyDescent="0.3">
      <c r="A46" s="1064">
        <v>38</v>
      </c>
      <c r="B46" s="235" t="str">
        <f>+'OT17-236 MUÑA AS BUILT'!O60</f>
        <v>D00243135</v>
      </c>
      <c r="C46" s="235" t="str">
        <f>+'OT17-236 MUÑA AS BUILT'!O61</f>
        <v>D00243135000</v>
      </c>
      <c r="D46" s="234" t="s">
        <v>2705</v>
      </c>
      <c r="E46" s="234" t="s">
        <v>2706</v>
      </c>
      <c r="F46" s="234">
        <f>+'OT17-236 MUÑA AS BUILT'!O59</f>
        <v>0</v>
      </c>
      <c r="G46" s="234" t="str">
        <f>+'OT17-236 MUÑA AS BUILT'!A7</f>
        <v>Proyecto: CDIM_CAOLIG_R0078 - RES. CREG 038-14 CÓDIGO DE MEDIDA</v>
      </c>
      <c r="H46" s="618">
        <f>+'OT17-236 MUÑA AS BUILT'!H46</f>
        <v>1539129</v>
      </c>
      <c r="I46" s="618">
        <f>+'OT17-236 MUÑA AS BUILT'!H47</f>
        <v>0</v>
      </c>
      <c r="J46" s="618"/>
      <c r="K46" s="618">
        <f>+'OT17-236 MUÑA AS BUILT'!H48</f>
        <v>1539129</v>
      </c>
      <c r="L46" s="618">
        <f>+'OT17-236 MUÑA AS BUILT'!H51</f>
        <v>292434.51</v>
      </c>
      <c r="M46" s="618">
        <f>+'OT17-236 MUÑA AS BUILT'!H52</f>
        <v>1831563.51</v>
      </c>
      <c r="N46" s="922">
        <f>+'OT17-236 MUÑA AS BUILT'!O46</f>
        <v>0</v>
      </c>
      <c r="O46" s="923">
        <f>+'OT17-236 MUÑA AS BUILT'!P46</f>
        <v>0</v>
      </c>
      <c r="P46" s="618">
        <f>+'OT17-236 MUÑA AS BUILT'!O47</f>
        <v>0</v>
      </c>
      <c r="Q46" s="618">
        <f>+'OT17-236 MUÑA AS BUILT'!O49</f>
        <v>0</v>
      </c>
      <c r="R46" s="618">
        <f>+'OT17-236 MUÑA AS BUILT'!O50</f>
        <v>0</v>
      </c>
      <c r="S46" s="618">
        <f>+'OT17-236 MUÑA AS BUILT'!O51</f>
        <v>0</v>
      </c>
      <c r="T46" s="618">
        <f>+'OT17-236 MUÑA AS BUILT'!O52</f>
        <v>0</v>
      </c>
      <c r="U46" s="750" t="str">
        <f>+'OT17-236 MUÑA AS BUILT'!A8</f>
        <v>Acta N° 2: Marzo</v>
      </c>
      <c r="V46" s="234"/>
      <c r="W46" s="925"/>
      <c r="X46" s="925"/>
      <c r="Y46" s="925"/>
      <c r="Z46" s="925"/>
      <c r="AA46" s="925"/>
      <c r="AB46" s="926"/>
      <c r="AC46" s="927"/>
      <c r="AD46" s="927"/>
      <c r="AE46" s="927"/>
      <c r="AF46" s="927"/>
      <c r="AG46" s="925"/>
      <c r="AH46" s="927"/>
      <c r="AJ46" s="925"/>
    </row>
    <row r="47" spans="1:36" s="924" customFormat="1" ht="67.5" customHeight="1" x14ac:dyDescent="0.3">
      <c r="A47" s="1064">
        <v>39</v>
      </c>
      <c r="B47" s="235" t="str">
        <f>+'OT17-237 FONTIBÓN AS BUILT'!O67</f>
        <v>D00235027</v>
      </c>
      <c r="C47" s="235" t="str">
        <f>+'OT17-237 FONTIBÓN AS BUILT'!O68</f>
        <v>D00235027000</v>
      </c>
      <c r="D47" s="234" t="s">
        <v>2707</v>
      </c>
      <c r="E47" s="234" t="s">
        <v>2708</v>
      </c>
      <c r="F47" s="234">
        <f>+'OT17-237 FONTIBÓN AS BUILT'!O66</f>
        <v>0</v>
      </c>
      <c r="G47" s="234" t="str">
        <f>+'OT17-237 FONTIBÓN AS BUILT'!A7</f>
        <v>Proyecto: CDIM_CAOLIG_R0078 - RES. CREG 038-14 CÓDIGO DE MEDIDA</v>
      </c>
      <c r="H47" s="618">
        <f>+'OT17-237 FONTIBÓN AS BUILT'!H53</f>
        <v>1974403</v>
      </c>
      <c r="I47" s="618">
        <f>+'OT17-237 FONTIBÓN AS BUILT'!H54</f>
        <v>0</v>
      </c>
      <c r="J47" s="618"/>
      <c r="K47" s="618">
        <f>+'OT17-237 FONTIBÓN AS BUILT'!H55</f>
        <v>1974403</v>
      </c>
      <c r="L47" s="618">
        <f>+'OT17-237 FONTIBÓN AS BUILT'!H58</f>
        <v>375136.57</v>
      </c>
      <c r="M47" s="618">
        <f>+'OT17-237 FONTIBÓN AS BUILT'!H59</f>
        <v>2349539.5699999998</v>
      </c>
      <c r="N47" s="922">
        <f>+'OT17-237 FONTIBÓN AS BUILT'!O53</f>
        <v>0</v>
      </c>
      <c r="O47" s="923">
        <f>+'OT17-237 FONTIBÓN AS BUILT'!P53</f>
        <v>0</v>
      </c>
      <c r="P47" s="618">
        <f>+'OT17-237 FONTIBÓN AS BUILT'!O54</f>
        <v>0</v>
      </c>
      <c r="Q47" s="618">
        <f>+'OT17-237 FONTIBÓN AS BUILT'!O56</f>
        <v>0</v>
      </c>
      <c r="R47" s="618">
        <f>+'OT17-237 FONTIBÓN AS BUILT'!O57</f>
        <v>0</v>
      </c>
      <c r="S47" s="618">
        <f>+'OT17-237 FONTIBÓN AS BUILT'!O58</f>
        <v>0</v>
      </c>
      <c r="T47" s="618">
        <f>+'OT17-237 FONTIBÓN AS BUILT'!O59</f>
        <v>0</v>
      </c>
      <c r="U47" s="750" t="str">
        <f>+'OT17-237 FONTIBÓN AS BUILT'!A8</f>
        <v xml:space="preserve">Acta N° 2: Marzo </v>
      </c>
      <c r="V47" s="234"/>
      <c r="W47" s="925"/>
      <c r="X47" s="925"/>
      <c r="Y47" s="925"/>
      <c r="Z47" s="925"/>
      <c r="AA47" s="925"/>
      <c r="AB47" s="926"/>
      <c r="AC47" s="927"/>
      <c r="AD47" s="927"/>
      <c r="AE47" s="927"/>
      <c r="AF47" s="927"/>
      <c r="AG47" s="925"/>
      <c r="AH47" s="927"/>
      <c r="AJ47" s="925"/>
    </row>
    <row r="48" spans="1:36" s="924" customFormat="1" ht="67.5" customHeight="1" x14ac:dyDescent="0.3">
      <c r="A48" s="1064">
        <v>40</v>
      </c>
      <c r="B48" s="235" t="str">
        <f>+'OT17-238 LT SJ CN CIM ESP'!O30</f>
        <v>D00249527</v>
      </c>
      <c r="C48" s="235" t="str">
        <f>+'OT17-238 LT SJ CN CIM ESP'!O31</f>
        <v>D00249527000</v>
      </c>
      <c r="D48" s="234" t="s">
        <v>2709</v>
      </c>
      <c r="E48" s="234" t="s">
        <v>2710</v>
      </c>
      <c r="F48" s="234">
        <f>+'OT17-238 LT SJ CN CIM ESP'!O29</f>
        <v>0</v>
      </c>
      <c r="G48" s="234" t="str">
        <f>+'OT17-238 LT SJ CN CIM ESP'!A7</f>
        <v>Proyecto: Elaborar los diseños de dos cimentaciones especiales para postes, en la LT San José - Concordia - Veraguas a 115kV.</v>
      </c>
      <c r="H48" s="618">
        <f>+'OT17-238 LT SJ CN CIM ESP'!H16</f>
        <v>3482194</v>
      </c>
      <c r="I48" s="618">
        <f>+'OT17-238 LT SJ CN CIM ESP'!I17</f>
        <v>0</v>
      </c>
      <c r="J48" s="618"/>
      <c r="K48" s="618">
        <f>+'OT17-238 LT SJ CN CIM ESP'!H18</f>
        <v>3482194</v>
      </c>
      <c r="L48" s="618">
        <f>+'OT17-238 LT SJ CN CIM ESP'!H21</f>
        <v>661616.86</v>
      </c>
      <c r="M48" s="618">
        <f>+'OT17-238 LT SJ CN CIM ESP'!H22</f>
        <v>4143810.86</v>
      </c>
      <c r="N48" s="922">
        <f>+'OT17-238 LT SJ CN CIM ESP'!O16</f>
        <v>0</v>
      </c>
      <c r="O48" s="923">
        <f>+'OT17-238 LT SJ CN CIM ESP'!P20</f>
        <v>0</v>
      </c>
      <c r="P48" s="618">
        <f>+'OT17-238 LT SJ CN CIM ESP'!O17</f>
        <v>0</v>
      </c>
      <c r="Q48" s="618">
        <f>+'OT17-238 LT SJ CN CIM ESP'!O19</f>
        <v>0</v>
      </c>
      <c r="R48" s="618">
        <f>+'OT17-238 LT SJ CN CIM ESP'!O20</f>
        <v>0</v>
      </c>
      <c r="S48" s="618">
        <f>+'OT17-238 LT SJ CN CIM ESP'!O21</f>
        <v>0</v>
      </c>
      <c r="T48" s="618">
        <f>+'OT17-238 LT SJ CN CIM ESP'!O22</f>
        <v>0</v>
      </c>
      <c r="U48" s="750" t="str">
        <f>+'OT17-238 LT SJ CN CIM ESP'!A8</f>
        <v>Acta N° 2: Marzo</v>
      </c>
      <c r="V48" s="234"/>
      <c r="W48" s="925"/>
      <c r="X48" s="925"/>
      <c r="Y48" s="925"/>
      <c r="Z48" s="925"/>
      <c r="AA48" s="925"/>
      <c r="AB48" s="926"/>
      <c r="AC48" s="927"/>
      <c r="AD48" s="927"/>
      <c r="AE48" s="927"/>
      <c r="AF48" s="927"/>
      <c r="AG48" s="925"/>
      <c r="AH48" s="927"/>
      <c r="AJ48" s="925"/>
    </row>
    <row r="49" spans="1:36" s="924" customFormat="1" ht="67.5" customHeight="1" x14ac:dyDescent="0.3">
      <c r="A49" s="1064">
        <v>41</v>
      </c>
      <c r="B49" s="235" t="str">
        <f>+'OT17-243 VICTORIA 34,5 kV'!U58</f>
        <v>D00235038</v>
      </c>
      <c r="C49" s="235" t="str">
        <f>+'OT17-243 VICTORIA 34,5 kV'!U59</f>
        <v>D00235038000</v>
      </c>
      <c r="D49" s="234" t="s">
        <v>2711</v>
      </c>
      <c r="E49" s="234" t="s">
        <v>2712</v>
      </c>
      <c r="F49" s="234">
        <f>+'OT17-243 VICTORIA 34,5 kV'!U57</f>
        <v>0</v>
      </c>
      <c r="G49" s="234" t="str">
        <f>+'OT17-243 VICTORIA 34,5 kV'!A7</f>
        <v>Proyecto: CDIM_CBSGSM_R0161 Normalización y Reposición SE VICTORIA</v>
      </c>
      <c r="H49" s="618">
        <f>+'OT17-243 VICTORIA 34,5 kV'!H43</f>
        <v>99771471</v>
      </c>
      <c r="I49" s="618">
        <f>+'OT17-243 VICTORIA 34,5 kV'!H44</f>
        <v>221467.53</v>
      </c>
      <c r="J49" s="618"/>
      <c r="K49" s="618">
        <f>+'OT17-243 VICTORIA 34,5 kV'!H45</f>
        <v>99992938.530000001</v>
      </c>
      <c r="L49" s="618">
        <f>+'OT17-243 VICTORIA 34,5 kV'!H48</f>
        <v>18998658.320700001</v>
      </c>
      <c r="M49" s="618">
        <f>+'OT17-243 VICTORIA 34,5 kV'!H49</f>
        <v>118991596.85070001</v>
      </c>
      <c r="N49" s="922">
        <f>+'OT17-243 VICTORIA 34,5 kV'!U43</f>
        <v>0</v>
      </c>
      <c r="O49" s="923">
        <f>+'OT17-243 VICTORIA 34,5 kV'!V47</f>
        <v>0</v>
      </c>
      <c r="P49" s="618">
        <f>+'OT17-243 VICTORIA 34,5 kV'!U44</f>
        <v>0</v>
      </c>
      <c r="Q49" s="618">
        <f>+'OT17-243 VICTORIA 34,5 kV'!U46</f>
        <v>0</v>
      </c>
      <c r="R49" s="618">
        <f>+'OT17-243 VICTORIA 34,5 kV'!U47</f>
        <v>0</v>
      </c>
      <c r="S49" s="618">
        <f>+'OT17-243 VICTORIA 34,5 kV'!U48</f>
        <v>0</v>
      </c>
      <c r="T49" s="618">
        <f>+'OT17-243 VICTORIA 34,5 kV'!U49</f>
        <v>0</v>
      </c>
      <c r="U49" s="750" t="str">
        <f>+'OT17-243 VICTORIA 34,5 kV'!A8</f>
        <v>Acta N° 4: Marzo</v>
      </c>
      <c r="V49" s="234"/>
      <c r="W49" s="925"/>
      <c r="X49" s="925"/>
      <c r="Y49" s="925"/>
      <c r="Z49" s="925"/>
      <c r="AA49" s="925"/>
      <c r="AB49" s="926"/>
      <c r="AC49" s="927"/>
      <c r="AD49" s="927"/>
      <c r="AE49" s="927"/>
      <c r="AF49" s="927"/>
      <c r="AG49" s="925"/>
      <c r="AH49" s="927"/>
      <c r="AJ49" s="925"/>
    </row>
    <row r="50" spans="1:36" s="924" customFormat="1" ht="67.5" customHeight="1" x14ac:dyDescent="0.3">
      <c r="A50" s="1064">
        <v>42</v>
      </c>
      <c r="B50" s="235">
        <f>+'OT17-250 VILLA PINZON'!U47</f>
        <v>0</v>
      </c>
      <c r="C50" s="235">
        <f>+'OT17-250 VILLA PINZON'!U48</f>
        <v>0</v>
      </c>
      <c r="D50" s="234" t="s">
        <v>1454</v>
      </c>
      <c r="E50" s="234" t="s">
        <v>835</v>
      </c>
      <c r="F50" s="234">
        <f>+'OT17-250 VILLA PINZON'!R46</f>
        <v>0</v>
      </c>
      <c r="G50" s="234" t="str">
        <f>'OT17-250 VILLA PINZON'!A7</f>
        <v>Proyecto: EXPANSIÓN ZONAS PERIFÉRICAS MT</v>
      </c>
      <c r="H50" s="618">
        <f>'OT17-250 VILLA PINZON'!H30</f>
        <v>13039080</v>
      </c>
      <c r="I50" s="618">
        <f>'OT17-250 VILLA PINZON'!H31</f>
        <v>96369.705000000002</v>
      </c>
      <c r="J50" s="618"/>
      <c r="K50" s="618">
        <f>'OT17-250 VILLA PINZON'!H32</f>
        <v>13135449.705</v>
      </c>
      <c r="L50" s="618">
        <f>'OT17-250 VILLA PINZON'!H35</f>
        <v>2495735.4439500002</v>
      </c>
      <c r="M50" s="618">
        <f>'OT17-250 VILLA PINZON'!H36</f>
        <v>15631185.148949999</v>
      </c>
      <c r="N50" s="922">
        <f>+'OT17-250 VILLA PINZON'!AA30</f>
        <v>0</v>
      </c>
      <c r="O50" s="923">
        <f>+'OT17-250 VILLA PINZON'!AB34</f>
        <v>0</v>
      </c>
      <c r="P50" s="618">
        <f>+'OT17-250 VILLA PINZON'!AA31</f>
        <v>0</v>
      </c>
      <c r="Q50" s="618">
        <f>+'OT17-250 VILLA PINZON'!AA33</f>
        <v>0</v>
      </c>
      <c r="R50" s="618">
        <f>+'OT17-250 VILLA PINZON'!AA34</f>
        <v>0</v>
      </c>
      <c r="S50" s="618">
        <f>+'OT17-250 VILLA PINZON'!AA35</f>
        <v>0</v>
      </c>
      <c r="T50" s="618">
        <f>+'OT17-250 VILLA PINZON'!AA36</f>
        <v>0</v>
      </c>
      <c r="U50" s="750" t="str">
        <f>'OT17-250 VILLA PINZON'!A8</f>
        <v>Acta N° 6: Marzo</v>
      </c>
      <c r="V50" s="234" t="s">
        <v>1271</v>
      </c>
      <c r="W50" s="925"/>
      <c r="X50" s="925"/>
      <c r="Y50" s="925"/>
      <c r="Z50" s="925"/>
      <c r="AA50" s="925"/>
      <c r="AB50" s="926"/>
      <c r="AC50" s="927"/>
      <c r="AD50" s="927"/>
      <c r="AE50" s="927"/>
      <c r="AF50" s="927"/>
      <c r="AG50" s="925"/>
      <c r="AH50" s="927"/>
      <c r="AJ50" s="924" t="s">
        <v>1718</v>
      </c>
    </row>
    <row r="51" spans="1:36" s="924" customFormat="1" ht="67.5" customHeight="1" x14ac:dyDescent="0.3">
      <c r="A51" s="1064">
        <v>43</v>
      </c>
      <c r="B51" s="235" t="str">
        <f>+'OT17-258 VILLA PINZON'!R45</f>
        <v>D00249388</v>
      </c>
      <c r="C51" s="235" t="str">
        <f>+'OT17-258 VILLA PINZON'!R46</f>
        <v>D00249388000</v>
      </c>
      <c r="D51" s="234" t="s">
        <v>1454</v>
      </c>
      <c r="E51" s="234" t="s">
        <v>2713</v>
      </c>
      <c r="F51" s="234">
        <f>+'OT17-258 VILLA PINZON'!R44</f>
        <v>0</v>
      </c>
      <c r="G51" s="234" t="str">
        <f>+'OT17-258 VILLA PINZON'!A7</f>
        <v>Proyecto: CDIM_CAOLIG_R0078 - RES. CREG 038-14 CÓDIGO DE MEDIDA</v>
      </c>
      <c r="H51" s="618">
        <f>+'OT17-258 VILLA PINZON'!H30</f>
        <v>6445542</v>
      </c>
      <c r="I51" s="618">
        <f>+'OT17-258 VILLA PINZON'!H31</f>
        <v>21937.829999999998</v>
      </c>
      <c r="J51" s="618"/>
      <c r="K51" s="618">
        <f>+'OT17-258 VILLA PINZON'!H32</f>
        <v>6467479.8300000001</v>
      </c>
      <c r="L51" s="618">
        <f>+'OT17-258 VILLA PINZON'!H35</f>
        <v>1228821.1677000001</v>
      </c>
      <c r="M51" s="618">
        <f>+'OT17-258 VILLA PINZON'!H36</f>
        <v>7696300.9977000002</v>
      </c>
      <c r="N51" s="922">
        <f>+'OT17-258 VILLA PINZON'!R30</f>
        <v>0</v>
      </c>
      <c r="O51" s="923">
        <f>+'OT17-258 VILLA PINZON'!S34</f>
        <v>0</v>
      </c>
      <c r="P51" s="618">
        <f>+'OT17-258 VILLA PINZON'!R31</f>
        <v>0</v>
      </c>
      <c r="Q51" s="618">
        <f>+'OT17-258 VILLA PINZON'!R33</f>
        <v>0</v>
      </c>
      <c r="R51" s="618">
        <f>+'OT17-258 VILLA PINZON'!R34</f>
        <v>0</v>
      </c>
      <c r="S51" s="618">
        <f>+'OT17-258 VILLA PINZON'!R35</f>
        <v>0</v>
      </c>
      <c r="T51" s="618">
        <f>+'OT17-258 VILLA PINZON'!R36</f>
        <v>0</v>
      </c>
      <c r="U51" s="750" t="str">
        <f>+'OT17-258 VILLA PINZON'!A8</f>
        <v>Acta N° 3: Marzo</v>
      </c>
      <c r="V51" s="234"/>
      <c r="W51" s="925"/>
      <c r="X51" s="925"/>
      <c r="Y51" s="925"/>
      <c r="Z51" s="925"/>
      <c r="AA51" s="925"/>
      <c r="AB51" s="926"/>
      <c r="AC51" s="927"/>
      <c r="AD51" s="927"/>
      <c r="AE51" s="927"/>
      <c r="AF51" s="927"/>
      <c r="AG51" s="925"/>
      <c r="AH51" s="927"/>
    </row>
    <row r="52" spans="1:36" s="924" customFormat="1" ht="67.5" customHeight="1" x14ac:dyDescent="0.3">
      <c r="A52" s="1064">
        <v>44</v>
      </c>
      <c r="B52" s="235" t="str">
        <f>+'OT17-259 CAJICA'!L32</f>
        <v>D00235021</v>
      </c>
      <c r="C52" s="235" t="str">
        <f>+'OT17-259 CAJICA'!O33</f>
        <v>D00235021000</v>
      </c>
      <c r="D52" s="234" t="s">
        <v>2714</v>
      </c>
      <c r="E52" s="234" t="s">
        <v>2715</v>
      </c>
      <c r="F52" s="234">
        <f>+'OT17-259 CAJICA'!O31</f>
        <v>0</v>
      </c>
      <c r="G52" s="234" t="str">
        <f>+'OT17-259 CAJICA'!A7</f>
        <v>Proyecto: CDIM_CADCRA_R0113 AMPLIACIÓN SUBESTACIÓN MT-MT CAJICÁ</v>
      </c>
      <c r="H52" s="618">
        <f>+'OT17-259 CAJICA'!H18</f>
        <v>2364410</v>
      </c>
      <c r="I52" s="618">
        <f>+'OT17-259 CAJICA'!H19</f>
        <v>0</v>
      </c>
      <c r="J52" s="618"/>
      <c r="K52" s="618">
        <f>+'OT17-259 CAJICA'!H20</f>
        <v>2364410</v>
      </c>
      <c r="L52" s="618">
        <f>+'OT17-259 CAJICA'!H23</f>
        <v>449237.9</v>
      </c>
      <c r="M52" s="618">
        <f>+'OT17-259 CAJICA'!H24</f>
        <v>2813647.9</v>
      </c>
      <c r="N52" s="922">
        <f>+'OT17-259 CAJICA'!O18</f>
        <v>0</v>
      </c>
      <c r="O52" s="923">
        <f>+'OT17-259 CAJICA'!P22</f>
        <v>0</v>
      </c>
      <c r="P52" s="618">
        <f>+'OT17-259 CAJICA'!O19</f>
        <v>0</v>
      </c>
      <c r="Q52" s="618">
        <f>+'OT17-259 CAJICA'!O21</f>
        <v>0</v>
      </c>
      <c r="R52" s="618">
        <f>+'OT17-259 CAJICA'!O22</f>
        <v>0</v>
      </c>
      <c r="S52" s="618">
        <f>+'OT17-259 CAJICA'!O23</f>
        <v>0</v>
      </c>
      <c r="T52" s="618">
        <f>+'OT17-259 CAJICA'!O24</f>
        <v>0</v>
      </c>
      <c r="U52" s="750" t="str">
        <f>+'OT17-259 CAJICA'!A8</f>
        <v>Acta N° 2:  Marzo</v>
      </c>
      <c r="V52" s="234"/>
      <c r="W52" s="925"/>
      <c r="X52" s="925"/>
      <c r="Y52" s="925"/>
      <c r="Z52" s="925"/>
      <c r="AA52" s="925"/>
      <c r="AB52" s="926"/>
      <c r="AC52" s="927"/>
      <c r="AD52" s="927"/>
      <c r="AE52" s="927"/>
      <c r="AF52" s="927"/>
      <c r="AG52" s="925"/>
      <c r="AH52" s="927"/>
    </row>
    <row r="53" spans="1:36" s="924" customFormat="1" ht="67.5" customHeight="1" x14ac:dyDescent="0.3">
      <c r="A53" s="1064">
        <v>45</v>
      </c>
      <c r="B53" s="235" t="str">
        <f>'OT17-260 LT COMPARTIR'!O42</f>
        <v>D00241780</v>
      </c>
      <c r="C53" s="235" t="str">
        <f>'OT17-260 LT COMPARTIR'!O43</f>
        <v>D00241780000</v>
      </c>
      <c r="D53" s="234" t="s">
        <v>1458</v>
      </c>
      <c r="E53" s="234" t="s">
        <v>1457</v>
      </c>
      <c r="F53" s="234">
        <f>'OT17-260 LT COMPARTIR'!O41</f>
        <v>0</v>
      </c>
      <c r="G53" s="234" t="str">
        <f>'OT17-260 LT COMPARTIR'!A7</f>
        <v>Proyecto: LT Veraguas - Laguneta y la LT Conexión Nueva Esperanza - Compartir - Bosa a 115 kV</v>
      </c>
      <c r="H53" s="618">
        <f>'OT17-260 LT COMPARTIR'!H26</f>
        <v>42576100</v>
      </c>
      <c r="I53" s="618">
        <f>'OT17-260 LT COMPARTIR'!H27</f>
        <v>0</v>
      </c>
      <c r="J53" s="618"/>
      <c r="K53" s="618">
        <f>'OT17-260 LT COMPARTIR'!H28</f>
        <v>42576100</v>
      </c>
      <c r="L53" s="618">
        <f>'OT17-260 LT COMPARTIR'!H31</f>
        <v>8089459</v>
      </c>
      <c r="M53" s="618">
        <f>'OT17-260 LT COMPARTIR'!H32</f>
        <v>50665559</v>
      </c>
      <c r="N53" s="922">
        <f>+'OT17-260 LT COMPARTIR'!X26</f>
        <v>0</v>
      </c>
      <c r="O53" s="923">
        <f>+'OT17-260 LT COMPARTIR'!Y30</f>
        <v>0</v>
      </c>
      <c r="P53" s="982">
        <f>+'OT17-260 LT COMPARTIR'!U27</f>
        <v>0</v>
      </c>
      <c r="Q53" s="618">
        <f>+'OT17-260 LT COMPARTIR'!X29</f>
        <v>0</v>
      </c>
      <c r="R53" s="618">
        <f>+'OT17-260 LT COMPARTIR'!X30</f>
        <v>0</v>
      </c>
      <c r="S53" s="618">
        <f>+'OT17-260 LT COMPARTIR'!X31</f>
        <v>0</v>
      </c>
      <c r="T53" s="618">
        <f>+'OT17-260 LT COMPARTIR'!X32</f>
        <v>0</v>
      </c>
      <c r="U53" s="750" t="str">
        <f>'OT17-260 LT COMPARTIR'!A8</f>
        <v>Acta N° 5: Marzo</v>
      </c>
      <c r="V53" s="234" t="s">
        <v>524</v>
      </c>
      <c r="W53" s="925"/>
      <c r="X53" s="925"/>
      <c r="Y53" s="925"/>
      <c r="Z53" s="925"/>
      <c r="AA53" s="925"/>
      <c r="AB53" s="926"/>
      <c r="AC53" s="927"/>
      <c r="AD53" s="927"/>
      <c r="AE53" s="927"/>
      <c r="AF53" s="927"/>
      <c r="AG53" s="925"/>
      <c r="AH53" s="927"/>
      <c r="AJ53" s="925"/>
    </row>
    <row r="54" spans="1:36" s="924" customFormat="1" ht="67.5" customHeight="1" x14ac:dyDescent="0.3">
      <c r="A54" s="1064">
        <v>46</v>
      </c>
      <c r="B54" s="235">
        <f>+'OT17-263 CALLE 51'!R45</f>
        <v>0</v>
      </c>
      <c r="C54" s="235">
        <f>+'OT17-263 CALLE 51'!R46</f>
        <v>0</v>
      </c>
      <c r="D54" s="234" t="s">
        <v>1460</v>
      </c>
      <c r="E54" s="234" t="s">
        <v>2716</v>
      </c>
      <c r="F54" s="234">
        <f>+'OT17-263 CALLE 51'!R44</f>
        <v>0</v>
      </c>
      <c r="G54" s="234" t="str">
        <f>+'OT17-263 CALLE 51'!A7</f>
        <v>Proyecto: CDIE_CBCCSM_R0178 REPOSICIÓN INTERRUPTORES</v>
      </c>
      <c r="H54" s="618">
        <f>+'OT17-263 CALLE 51'!H30</f>
        <v>15419154</v>
      </c>
      <c r="I54" s="618">
        <f>+'OT17-263 CALLE 51'!H31</f>
        <v>0</v>
      </c>
      <c r="J54" s="618"/>
      <c r="K54" s="618">
        <f>+'OT17-263 CALLE 51'!H32</f>
        <v>15419154</v>
      </c>
      <c r="L54" s="618">
        <f>+'OT17-263 CALLE 51'!H35</f>
        <v>2929639.2600000002</v>
      </c>
      <c r="M54" s="618">
        <f>+'OT17-263 CALLE 51'!H36</f>
        <v>18348793.260000002</v>
      </c>
      <c r="N54" s="922">
        <f>+'OT17-263 CALLE 51'!R30</f>
        <v>0</v>
      </c>
      <c r="O54" s="923">
        <f>+'OT17-263 CALLE 51'!S34</f>
        <v>0</v>
      </c>
      <c r="P54" s="982">
        <f>+'OT17-263 CALLE 51'!R31</f>
        <v>0</v>
      </c>
      <c r="Q54" s="618">
        <f>+'OT17-263 CALLE 51'!R33</f>
        <v>0</v>
      </c>
      <c r="R54" s="618">
        <f>+'OT17-263 CALLE 51'!R34</f>
        <v>0</v>
      </c>
      <c r="S54" s="618">
        <f>+'OT17-263 CALLE 51'!R35</f>
        <v>0</v>
      </c>
      <c r="T54" s="618">
        <f>+'OT17-263 CALLE 51'!R36</f>
        <v>0</v>
      </c>
      <c r="U54" s="750" t="str">
        <f>+'OT17-263 CALLE 51'!A8</f>
        <v xml:space="preserve">Acta N° 3: Marzo </v>
      </c>
      <c r="V54" s="234"/>
      <c r="W54" s="925"/>
      <c r="X54" s="925"/>
      <c r="Y54" s="925"/>
      <c r="Z54" s="925"/>
      <c r="AA54" s="925"/>
      <c r="AB54" s="926"/>
      <c r="AC54" s="927"/>
      <c r="AD54" s="927"/>
      <c r="AE54" s="927"/>
      <c r="AF54" s="927"/>
      <c r="AG54" s="925"/>
      <c r="AH54" s="927"/>
      <c r="AJ54" s="925"/>
    </row>
    <row r="55" spans="1:36" s="924" customFormat="1" ht="67.5" customHeight="1" x14ac:dyDescent="0.3">
      <c r="A55" s="1064">
        <v>47</v>
      </c>
      <c r="B55" s="235" t="str">
        <f>+'OT17-265 CHARQUITO ADIC'!S45</f>
        <v>D00235268</v>
      </c>
      <c r="C55" s="235" t="str">
        <f>+'OT17-265 CHARQUITO ADIC'!S46</f>
        <v>D00235268000</v>
      </c>
      <c r="D55" s="234" t="s">
        <v>2718</v>
      </c>
      <c r="E55" s="234" t="s">
        <v>2717</v>
      </c>
      <c r="F55" s="234">
        <f>+'OT17-265 CHARQUITO ADIC'!S44</f>
        <v>0</v>
      </c>
      <c r="G55" s="234" t="str">
        <f>+'OT17-265 CHARQUITO ADIC'!A7</f>
        <v>Proyecto: CDIM_CBSGSM_R0171, REMODELACION SE MT-MT CHARQUITO</v>
      </c>
      <c r="H55" s="618">
        <f>+'OT17-265 CHARQUITO ADIC'!G30</f>
        <v>24215177</v>
      </c>
      <c r="I55" s="618">
        <f>+'OT17-265 CHARQUITO ADIC'!G31</f>
        <v>0</v>
      </c>
      <c r="J55" s="618"/>
      <c r="K55" s="618">
        <f>+'OT17-265 CHARQUITO ADIC'!G32</f>
        <v>24215177</v>
      </c>
      <c r="L55" s="618">
        <f>+'OT17-265 CHARQUITO ADIC'!G35</f>
        <v>4600883.63</v>
      </c>
      <c r="M55" s="618">
        <f>+'OT17-265 CHARQUITO ADIC'!G36</f>
        <v>28816060.629999999</v>
      </c>
      <c r="N55" s="922">
        <f>+'OT17-265 CHARQUITO ADIC'!S30</f>
        <v>0</v>
      </c>
      <c r="O55" s="923">
        <f>+'OT17-265 CHARQUITO ADIC'!T34</f>
        <v>0</v>
      </c>
      <c r="P55" s="982">
        <f>+'OT17-265 CHARQUITO ADIC'!S31</f>
        <v>0</v>
      </c>
      <c r="Q55" s="618">
        <f>+'OT17-265 CHARQUITO ADIC'!S33</f>
        <v>0</v>
      </c>
      <c r="R55" s="618">
        <f>+'OT17-265 CHARQUITO ADIC'!S34</f>
        <v>0</v>
      </c>
      <c r="S55" s="618">
        <f>+'OT17-265 CHARQUITO ADIC'!S35</f>
        <v>0</v>
      </c>
      <c r="T55" s="618">
        <f>+'OT17-265 CHARQUITO ADIC'!S36</f>
        <v>0</v>
      </c>
      <c r="U55" s="750" t="str">
        <f>+'OT17-265 CHARQUITO ADIC'!A8</f>
        <v>Acta N° 3: Marzo</v>
      </c>
      <c r="V55" s="234"/>
      <c r="W55" s="925"/>
      <c r="X55" s="925"/>
      <c r="Y55" s="925"/>
      <c r="Z55" s="925"/>
      <c r="AA55" s="925"/>
      <c r="AB55" s="926"/>
      <c r="AC55" s="927"/>
      <c r="AD55" s="927"/>
      <c r="AE55" s="927"/>
      <c r="AF55" s="927"/>
      <c r="AG55" s="925"/>
      <c r="AH55" s="927"/>
      <c r="AJ55" s="925"/>
    </row>
    <row r="56" spans="1:36" s="924" customFormat="1" ht="67.5" customHeight="1" x14ac:dyDescent="0.3">
      <c r="A56" s="1064">
        <v>48</v>
      </c>
      <c r="B56" s="1201" t="str">
        <f>'OT17-269 ESPERANZA'!O31</f>
        <v>D00249260</v>
      </c>
      <c r="C56" s="1201" t="str">
        <f>'OT17-269 ESPERANZA'!O32</f>
        <v>D00249260000</v>
      </c>
      <c r="D56" s="1206" t="s">
        <v>1217</v>
      </c>
      <c r="E56" s="1202" t="s">
        <v>1245</v>
      </c>
      <c r="F56" s="1206">
        <f>'OT17-269 ESPERANZA'!O30</f>
        <v>0</v>
      </c>
      <c r="G56" s="1202" t="str">
        <f>'OT17-269 ESPERANZA'!A7</f>
        <v>Proyecto: CDIE_CBCCSM_R0158, NORMALIZACIÓN SE MTMT Ingeniería Montaje Reconectador Subestación ESPERANZA para desarrollo de Ingeniería e implementación Reconectadores de entrada y Salida. Reconectador Transformador</v>
      </c>
      <c r="H56" s="1209">
        <f>'OT17-269 ESPERANZA'!H17</f>
        <v>8872631</v>
      </c>
      <c r="I56" s="1210">
        <f>'OT17-269 ESPERANZA'!H18</f>
        <v>0</v>
      </c>
      <c r="J56" s="1203">
        <v>0</v>
      </c>
      <c r="K56" s="1209">
        <f>'OT17-269 ESPERANZA'!H19</f>
        <v>8872631</v>
      </c>
      <c r="L56" s="1210">
        <f>'OT17-269 ESPERANZA'!H22</f>
        <v>1685799.8900000001</v>
      </c>
      <c r="M56" s="1209">
        <f>'OT17-269 ESPERANZA'!H23</f>
        <v>10558430.890000001</v>
      </c>
      <c r="N56" s="1210">
        <f>'OT17-269 ESPERANZA'!O17</f>
        <v>2565511</v>
      </c>
      <c r="O56" s="1211">
        <f>'OT17-269 ESPERANZA'!P21</f>
        <v>0.29348611477249531</v>
      </c>
      <c r="P56" s="1212">
        <f>'OT17-269 ESPERANZA'!O18</f>
        <v>0</v>
      </c>
      <c r="Q56" s="1213">
        <f>+'OT17-269 ESPERANZA'!O20</f>
        <v>38483</v>
      </c>
      <c r="R56" s="1210">
        <f>'OT17-269 ESPERANZA'!O21</f>
        <v>2603994</v>
      </c>
      <c r="S56" s="1209">
        <f>'OT17-269 ESPERANZA'!O22</f>
        <v>494759</v>
      </c>
      <c r="T56" s="1210">
        <f>'OT17-269 ESPERANZA'!O23</f>
        <v>3098753</v>
      </c>
      <c r="U56" s="1214" t="str">
        <f>'OT17-269 ESPERANZA'!A8</f>
        <v>Acta N° 2: Febrero</v>
      </c>
      <c r="V56" s="1202" t="s">
        <v>526</v>
      </c>
      <c r="W56" s="925"/>
      <c r="X56" s="925"/>
      <c r="Y56" s="925"/>
      <c r="Z56" s="925"/>
      <c r="AA56" s="925"/>
      <c r="AB56" s="926"/>
      <c r="AC56" s="927"/>
      <c r="AD56" s="927"/>
      <c r="AE56" s="927"/>
      <c r="AF56" s="927"/>
      <c r="AG56" s="925"/>
      <c r="AH56" s="927"/>
      <c r="AJ56" s="925"/>
    </row>
    <row r="57" spans="1:36" s="924" customFormat="1" ht="79.5" customHeight="1" x14ac:dyDescent="0.3">
      <c r="A57" s="1064">
        <v>49</v>
      </c>
      <c r="B57" s="1201" t="str">
        <f>'OT17-270 JURATENA'!O31</f>
        <v>D00249258</v>
      </c>
      <c r="C57" s="1201" t="str">
        <f>'OT17-270 JURATENA'!O32</f>
        <v>D00249258000</v>
      </c>
      <c r="D57" s="1206" t="s">
        <v>1219</v>
      </c>
      <c r="E57" s="1202" t="s">
        <v>1246</v>
      </c>
      <c r="F57" s="1206">
        <f>'OT17-270 JURATENA'!O30</f>
        <v>0</v>
      </c>
      <c r="G57" s="1202" t="str">
        <f>'OT17-270 JURATENA'!A7</f>
        <v>Proyecto: CDIE_CBCCSM_R0158, NORMALIZACIÓN SE MT-MT Ingeniería Montaje Reconectador Subestación JURATENA para desarrollo de Ingeniería e implementación Reconectadores de entrada y Salida. Reconectador Transformador</v>
      </c>
      <c r="H57" s="1204">
        <f>'OT17-270 JURATENA'!H17</f>
        <v>8872631</v>
      </c>
      <c r="I57" s="1204">
        <f>'OT17-270 JURATENA'!H18</f>
        <v>0</v>
      </c>
      <c r="J57" s="1203">
        <v>0</v>
      </c>
      <c r="K57" s="1204">
        <f>'OT17-270 JURATENA'!H19</f>
        <v>8872631</v>
      </c>
      <c r="L57" s="1210">
        <f>'OT17-270 JURATENA'!H22</f>
        <v>1685799.8900000001</v>
      </c>
      <c r="M57" s="1210">
        <f>'OT17-270 JURATENA'!H23</f>
        <v>10558430.890000001</v>
      </c>
      <c r="N57" s="1210">
        <f>'OT17-270 JURATENA'!O17</f>
        <v>2565511</v>
      </c>
      <c r="O57" s="1211">
        <f>'OT17-270 JURATENA'!P21</f>
        <v>0.29348611477249531</v>
      </c>
      <c r="P57" s="1209">
        <f>'OT17-270 JURATENA'!O18</f>
        <v>0</v>
      </c>
      <c r="Q57" s="1210">
        <f>'OT17-270 JURATENA'!O20</f>
        <v>38483</v>
      </c>
      <c r="R57" s="1209">
        <f>'OT17-270 JURATENA'!O21</f>
        <v>2603994</v>
      </c>
      <c r="S57" s="1210">
        <f>'OT17-270 JURATENA'!O22</f>
        <v>494759</v>
      </c>
      <c r="T57" s="1209">
        <f>'OT17-270 JURATENA'!O23</f>
        <v>3098753</v>
      </c>
      <c r="U57" s="1206" t="str">
        <f>'OT17-270 JURATENA'!A8</f>
        <v>Acta N° 2: Febrero</v>
      </c>
      <c r="V57" s="1202" t="s">
        <v>526</v>
      </c>
      <c r="W57" s="925"/>
      <c r="X57" s="925"/>
      <c r="Y57" s="925"/>
      <c r="Z57" s="925"/>
      <c r="AA57" s="925"/>
      <c r="AB57" s="926"/>
      <c r="AC57" s="927"/>
      <c r="AD57" s="927"/>
      <c r="AE57" s="927"/>
      <c r="AF57" s="927"/>
      <c r="AG57" s="925"/>
      <c r="AH57" s="927"/>
      <c r="AJ57" s="925"/>
    </row>
    <row r="58" spans="1:36" s="924" customFormat="1" ht="68.25" customHeight="1" x14ac:dyDescent="0.3">
      <c r="A58" s="1064">
        <v>50</v>
      </c>
      <c r="B58" s="235">
        <f>+'OT17-279 SANTANDERCITO'!U45</f>
        <v>0</v>
      </c>
      <c r="C58" s="235">
        <f>+'OT17-279 SANTANDERCITO'!U46</f>
        <v>0</v>
      </c>
      <c r="D58" s="234" t="s">
        <v>1462</v>
      </c>
      <c r="E58" s="234" t="s">
        <v>1250</v>
      </c>
      <c r="F58" s="234">
        <f>'OT17-279 SANTANDERCITO'!R44</f>
        <v>0</v>
      </c>
      <c r="G58" s="234" t="str">
        <f>'OT17-279 SANTANDERCITO'!A7</f>
        <v>Proyecto: EXPANSIÓN ZONAS PERIFÉRICAS MT</v>
      </c>
      <c r="H58" s="618">
        <f>'OT17-279 SANTANDERCITO'!H30</f>
        <v>13039080</v>
      </c>
      <c r="I58" s="618">
        <f>'OT17-279 SANTANDERCITO'!H31</f>
        <v>290885.03999999998</v>
      </c>
      <c r="J58" s="618"/>
      <c r="K58" s="618">
        <f>'OT17-279 SANTANDERCITO'!H32</f>
        <v>13329965.039999999</v>
      </c>
      <c r="L58" s="618">
        <f>'OT17-279 SANTANDERCITO'!H35</f>
        <v>2532693.3575999998</v>
      </c>
      <c r="M58" s="618">
        <f>'OT17-279 SANTANDERCITO'!H36</f>
        <v>15862658.397599999</v>
      </c>
      <c r="N58" s="922">
        <f>+'OT17-279 SANTANDERCITO'!X30</f>
        <v>0</v>
      </c>
      <c r="O58" s="923">
        <f>+'OT17-279 SANTANDERCITO'!Y34</f>
        <v>0</v>
      </c>
      <c r="P58" s="618">
        <f>+'OT17-279 SANTANDERCITO'!X31</f>
        <v>0</v>
      </c>
      <c r="Q58" s="618">
        <f>+'OT17-279 SANTANDERCITO'!X33</f>
        <v>0</v>
      </c>
      <c r="R58" s="618">
        <f>+'OT17-279 SANTANDERCITO'!X34</f>
        <v>0</v>
      </c>
      <c r="S58" s="618">
        <f>+'OT17-279 SANTANDERCITO'!X35</f>
        <v>0</v>
      </c>
      <c r="T58" s="618">
        <f>+'OT17-279 SANTANDERCITO'!X36</f>
        <v>0</v>
      </c>
      <c r="U58" s="750" t="str">
        <f>'OT17-279 SANTANDERCITO'!A8</f>
        <v>Acta N° 5: Marzo</v>
      </c>
      <c r="V58" s="234" t="s">
        <v>1268</v>
      </c>
      <c r="W58" s="925"/>
      <c r="X58" s="925"/>
      <c r="Y58" s="925"/>
      <c r="Z58" s="925"/>
      <c r="AA58" s="925"/>
      <c r="AB58" s="926"/>
      <c r="AC58" s="927"/>
      <c r="AD58" s="927"/>
      <c r="AE58" s="927"/>
      <c r="AF58" s="927"/>
      <c r="AG58" s="925"/>
      <c r="AH58" s="927"/>
      <c r="AJ58" s="925" t="s">
        <v>1718</v>
      </c>
    </row>
    <row r="59" spans="1:36" s="924" customFormat="1" ht="68.25" customHeight="1" x14ac:dyDescent="0.3">
      <c r="A59" s="1064">
        <v>51</v>
      </c>
      <c r="B59" s="1201" t="str">
        <f>+'OT17-280 CÁQUEZA ILUMINA INTER'!J29</f>
        <v>D00235096</v>
      </c>
      <c r="C59" s="1201" t="str">
        <f>+'OT17-280 CÁQUEZA ILUMINA INTER'!J30</f>
        <v>D00235096000</v>
      </c>
      <c r="D59" s="1202" t="s">
        <v>2719</v>
      </c>
      <c r="E59" s="1202" t="s">
        <v>2720</v>
      </c>
      <c r="F59" s="1202">
        <f>+'OT17-280 CÁQUEZA ILUMINA INTER'!J28</f>
        <v>0</v>
      </c>
      <c r="G59" s="1202" t="str">
        <f>+'OT17-280 CÁQUEZA ILUMINA INTER'!A7</f>
        <v>Proyecto: AT NORMALIZACIÓN SE CÁQUEZA CDIM_CBSGSM_R0017</v>
      </c>
      <c r="H59" s="1203">
        <f>+'OT17-280 CÁQUEZA ILUMINA INTER'!G16</f>
        <v>1724556</v>
      </c>
      <c r="I59" s="1203">
        <f>+'OT17-280 CÁQUEZA ILUMINA INTER'!G17</f>
        <v>0</v>
      </c>
      <c r="J59" s="1203"/>
      <c r="K59" s="1203">
        <f>+'OT17-280 CÁQUEZA ILUMINA INTER'!G18</f>
        <v>1724556</v>
      </c>
      <c r="L59" s="1203">
        <f>+'OT17-280 CÁQUEZA ILUMINA INTER'!G21</f>
        <v>327665.64</v>
      </c>
      <c r="M59" s="1203">
        <f>+'OT17-280 CÁQUEZA ILUMINA INTER'!G22</f>
        <v>2052221.6400000001</v>
      </c>
      <c r="N59" s="1204">
        <f>+'OT17-280 CÁQUEZA ILUMINA INTER'!J16</f>
        <v>0</v>
      </c>
      <c r="O59" s="1208">
        <f>+'OT17-280 CÁQUEZA ILUMINA INTER'!K16</f>
        <v>0</v>
      </c>
      <c r="P59" s="1203">
        <f>+'OT17-280 CÁQUEZA ILUMINA INTER'!J17</f>
        <v>0</v>
      </c>
      <c r="Q59" s="1203">
        <f>+'OT17-280 CÁQUEZA ILUMINA INTER'!J19</f>
        <v>0</v>
      </c>
      <c r="R59" s="1203">
        <f>+'OT17-280 CÁQUEZA ILUMINA INTER'!J20</f>
        <v>0</v>
      </c>
      <c r="S59" s="1203">
        <f>+'OT17-280 CÁQUEZA ILUMINA INTER'!J21</f>
        <v>0</v>
      </c>
      <c r="T59" s="1203">
        <f>+'OT17-280 CÁQUEZA ILUMINA INTER'!J22</f>
        <v>0</v>
      </c>
      <c r="U59" s="1206" t="str">
        <f>+'OT17-280 CÁQUEZA ILUMINA INTER'!A8</f>
        <v>Acta N° 1: Noviembre</v>
      </c>
      <c r="V59" s="1202"/>
      <c r="W59" s="925"/>
      <c r="X59" s="925"/>
      <c r="Y59" s="925"/>
      <c r="Z59" s="925"/>
      <c r="AA59" s="925"/>
      <c r="AB59" s="926"/>
      <c r="AC59" s="927"/>
      <c r="AD59" s="927"/>
      <c r="AE59" s="927"/>
      <c r="AF59" s="927"/>
      <c r="AG59" s="925"/>
      <c r="AH59" s="927"/>
      <c r="AJ59" s="925"/>
    </row>
    <row r="60" spans="1:36" s="924" customFormat="1" ht="47.25" customHeight="1" x14ac:dyDescent="0.3">
      <c r="A60" s="1064">
        <v>52</v>
      </c>
      <c r="B60" s="235" t="str">
        <f>'OT17-282 LA DORADA IN-OUT'!O34</f>
        <v>D00249258</v>
      </c>
      <c r="C60" s="235" t="str">
        <f>'OT17-282 LA DORADA IN-OUT'!O35</f>
        <v>D00249258000</v>
      </c>
      <c r="D60" s="234" t="s">
        <v>1464</v>
      </c>
      <c r="E60" s="234" t="s">
        <v>1463</v>
      </c>
      <c r="F60" s="234">
        <f>'OT17-282 LA DORADA IN-OUT'!O33</f>
        <v>0</v>
      </c>
      <c r="G60" s="234" t="str">
        <f>'OT17-282 LA DORADA IN-OUT'!A7</f>
        <v>Proyecto: CDIE_CBCCSM_R0158, NORMALIZACIÓN SE MT-MT</v>
      </c>
      <c r="H60" s="618">
        <f>'OT17-282 LA DORADA IN-OUT'!H20</f>
        <v>25350374</v>
      </c>
      <c r="I60" s="618">
        <f>'OT17-282 LA DORADA IN-OUT'!H21</f>
        <v>760511.22</v>
      </c>
      <c r="J60" s="618">
        <v>0</v>
      </c>
      <c r="K60" s="618">
        <f>'OT17-282 LA DORADA IN-OUT'!H22</f>
        <v>26110885.219999999</v>
      </c>
      <c r="L60" s="618">
        <f>'OT17-282 LA DORADA IN-OUT'!H25</f>
        <v>4961068.1918000001</v>
      </c>
      <c r="M60" s="618">
        <f>'OT17-282 LA DORADA IN-OUT'!H26</f>
        <v>31071953.411799997</v>
      </c>
      <c r="N60" s="922">
        <f>+'OT17-282 LA DORADA IN-OUT'!U20</f>
        <v>0</v>
      </c>
      <c r="O60" s="923">
        <f>+'OT17-282 LA DORADA IN-OUT'!V24</f>
        <v>0</v>
      </c>
      <c r="P60" s="618">
        <f>+'OT17-282 LA DORADA IN-OUT'!U21</f>
        <v>0</v>
      </c>
      <c r="Q60" s="618">
        <f>+'OT17-282 LA DORADA IN-OUT'!U23</f>
        <v>0</v>
      </c>
      <c r="R60" s="618">
        <f>+'OT17-282 LA DORADA IN-OUT'!U24</f>
        <v>0</v>
      </c>
      <c r="S60" s="618">
        <f>+'OT17-282 LA DORADA IN-OUT'!U25</f>
        <v>0</v>
      </c>
      <c r="T60" s="618">
        <f>+'OT17-282 LA DORADA IN-OUT'!U26</f>
        <v>0</v>
      </c>
      <c r="U60" s="750" t="str">
        <f>'OT17-282 LA DORADA IN-OUT'!A8</f>
        <v>Acta N° 4: Marzo</v>
      </c>
      <c r="V60" s="234" t="s">
        <v>1501</v>
      </c>
      <c r="W60" s="925"/>
      <c r="X60" s="925"/>
      <c r="Y60" s="925"/>
      <c r="Z60" s="925"/>
      <c r="AA60" s="925"/>
      <c r="AB60" s="926"/>
      <c r="AC60" s="927"/>
      <c r="AD60" s="927"/>
      <c r="AE60" s="927"/>
      <c r="AF60" s="927"/>
      <c r="AG60" s="925"/>
      <c r="AH60" s="927"/>
      <c r="AJ60" s="925"/>
    </row>
    <row r="61" spans="1:36" s="924" customFormat="1" ht="47.25" customHeight="1" x14ac:dyDescent="0.3">
      <c r="A61" s="1064">
        <v>53</v>
      </c>
      <c r="B61" s="1201" t="str">
        <f>'OT17-283 NAMAY ENTRADA SALID'!O35</f>
        <v>D00249260</v>
      </c>
      <c r="C61" s="1201" t="str">
        <f>'OT17-283 NAMAY ENTRADA SALID'!O36</f>
        <v>D00249260000</v>
      </c>
      <c r="D61" s="1202" t="s">
        <v>1447</v>
      </c>
      <c r="E61" s="1202" t="s">
        <v>1465</v>
      </c>
      <c r="F61" s="1202">
        <f>'OT17-283 NAMAY ENTRADA SALID'!O34</f>
        <v>0</v>
      </c>
      <c r="G61" s="1202" t="str">
        <f>'OT17-283 NAMAY ENTRADA SALID'!A7</f>
        <v>Proyecto: CDIE_CBCCSM_R0158, NORMALIZACIÓN SE MT-MT</v>
      </c>
      <c r="H61" s="1203">
        <f>'OT17-283 NAMAY ENTRADA SALID'!H20</f>
        <v>25350374</v>
      </c>
      <c r="I61" s="1203">
        <f>'OT17-283 NAMAY ENTRADA SALID'!H21</f>
        <v>228153.36599999998</v>
      </c>
      <c r="J61" s="1203">
        <v>0</v>
      </c>
      <c r="K61" s="1203">
        <f>'OT17-283 NAMAY ENTRADA SALID'!H22</f>
        <v>25578527.366</v>
      </c>
      <c r="L61" s="1203">
        <f>'OT17-283 NAMAY ENTRADA SALID'!H25</f>
        <v>4859920.1995400004</v>
      </c>
      <c r="M61" s="1203">
        <f>'OT17-283 NAMAY ENTRADA SALID'!H26</f>
        <v>30438447.565540001</v>
      </c>
      <c r="N61" s="1204">
        <f>+'OT17-283 NAMAY ENTRADA SALID'!R20</f>
        <v>6458058</v>
      </c>
      <c r="O61" s="1208">
        <f>+'OT17-283 NAMAY ENTRADA SALID'!S24</f>
        <v>0.25626686424149159</v>
      </c>
      <c r="P61" s="1203">
        <f>+'OT17-283 NAMAY ENTRADA SALID'!R21</f>
        <v>0</v>
      </c>
      <c r="Q61" s="1203">
        <f>+'OT17-283 NAMAY ENTRADA SALID'!R23</f>
        <v>96871</v>
      </c>
      <c r="R61" s="1203">
        <f>+'OT17-283 NAMAY ENTRADA SALID'!R24</f>
        <v>6554929</v>
      </c>
      <c r="S61" s="1203">
        <f>+'OT17-283 NAMAY ENTRADA SALID'!R25</f>
        <v>1245437</v>
      </c>
      <c r="T61" s="1203">
        <f>+'OT17-283 NAMAY ENTRADA SALID'!R26</f>
        <v>7800366</v>
      </c>
      <c r="U61" s="1206" t="str">
        <f>'OT17-283 NAMAY ENTRADA SALID'!A8</f>
        <v>Acta N° 3: Febrero</v>
      </c>
      <c r="V61" s="1202" t="s">
        <v>1501</v>
      </c>
      <c r="W61" s="925"/>
      <c r="X61" s="925"/>
      <c r="Y61" s="925"/>
      <c r="Z61" s="925"/>
      <c r="AA61" s="925"/>
      <c r="AB61" s="926"/>
      <c r="AC61" s="927"/>
      <c r="AD61" s="927"/>
      <c r="AE61" s="927"/>
      <c r="AF61" s="927"/>
      <c r="AG61" s="925"/>
      <c r="AH61" s="927"/>
      <c r="AJ61" s="925"/>
    </row>
    <row r="62" spans="1:36" s="924" customFormat="1" ht="54.75" customHeight="1" x14ac:dyDescent="0.3">
      <c r="A62" s="1064">
        <v>54</v>
      </c>
      <c r="B62" s="235" t="str">
        <f>'OT17-284 PARAMO ALTO ENTRA SALI'!O39</f>
        <v>D00235283</v>
      </c>
      <c r="C62" s="235" t="str">
        <f>'OT17-284 PARAMO ALTO ENTRA SALI'!O40</f>
        <v>D00235283000</v>
      </c>
      <c r="D62" s="234" t="s">
        <v>1467</v>
      </c>
      <c r="E62" s="234" t="s">
        <v>1466</v>
      </c>
      <c r="F62" s="234">
        <f>'OT17-284 PARAMO ALTO ENTRA SALI'!O38</f>
        <v>0</v>
      </c>
      <c r="G62" s="234" t="str">
        <f>'OT17-284 PARAMO ALTO ENTRA SALI'!A7</f>
        <v>Proyecto: CDIE_CBCCSM_R0158, NORMALIZACIÓN SE MT-MT</v>
      </c>
      <c r="H62" s="618">
        <f>'OT17-284 PARAMO ALTO ENTRA SALI'!H26</f>
        <v>47009621</v>
      </c>
      <c r="I62" s="618">
        <f>'OT17-284 PARAMO ALTO ENTRA SALI'!H27</f>
        <v>423086.58899999998</v>
      </c>
      <c r="J62" s="618">
        <v>0</v>
      </c>
      <c r="K62" s="618">
        <f>'OT17-284 PARAMO ALTO ENTRA SALI'!H28</f>
        <v>47432707.589000002</v>
      </c>
      <c r="L62" s="618">
        <f>'OT17-284 PARAMO ALTO ENTRA SALI'!H31</f>
        <v>9012214.4419100005</v>
      </c>
      <c r="M62" s="618">
        <f>'OT17-284 PARAMO ALTO ENTRA SALI'!H32</f>
        <v>56444922.03091</v>
      </c>
      <c r="N62" s="922">
        <f>+'OT17-284 PARAMO ALTO ENTRA SALI'!U26</f>
        <v>0</v>
      </c>
      <c r="O62" s="983">
        <f>+'OT17-284 PARAMO ALTO ENTRA SALI'!V30</f>
        <v>0</v>
      </c>
      <c r="P62" s="922">
        <f>+'OT17-284 PARAMO ALTO ENTRA SALI'!U27</f>
        <v>0</v>
      </c>
      <c r="Q62" s="922">
        <f>+'OT17-284 PARAMO ALTO ENTRA SALI'!U29</f>
        <v>0</v>
      </c>
      <c r="R62" s="922">
        <f>+'OT17-284 PARAMO ALTO ENTRA SALI'!U30</f>
        <v>0</v>
      </c>
      <c r="S62" s="922">
        <f>+'OT17-284 PARAMO ALTO ENTRA SALI'!U31</f>
        <v>0</v>
      </c>
      <c r="T62" s="922">
        <f>+'OT17-284 PARAMO ALTO ENTRA SALI'!U32</f>
        <v>0</v>
      </c>
      <c r="U62" s="750" t="str">
        <f>'OT17-284 PARAMO ALTO ENTRA SALI'!A8</f>
        <v>Acta N° 4: Marzo</v>
      </c>
      <c r="V62" s="234" t="s">
        <v>1501</v>
      </c>
      <c r="W62" s="925"/>
      <c r="X62" s="925"/>
      <c r="Y62" s="925"/>
      <c r="Z62" s="925"/>
      <c r="AA62" s="925"/>
      <c r="AB62" s="926"/>
      <c r="AC62" s="927"/>
      <c r="AD62" s="927"/>
      <c r="AE62" s="927"/>
      <c r="AF62" s="927"/>
      <c r="AG62" s="925"/>
      <c r="AH62" s="927"/>
      <c r="AJ62" s="925"/>
    </row>
    <row r="63" spans="1:36" s="924" customFormat="1" ht="76.5" customHeight="1" x14ac:dyDescent="0.3">
      <c r="A63" s="1064">
        <v>55</v>
      </c>
      <c r="B63" s="235" t="str">
        <f>'OT17-285 TRES ESQUINAS'!O35</f>
        <v>D00249258</v>
      </c>
      <c r="C63" s="235" t="str">
        <f>'OT17-285 TRES ESQUINAS'!O36</f>
        <v>D00249258000</v>
      </c>
      <c r="D63" s="234" t="s">
        <v>1469</v>
      </c>
      <c r="E63" s="234" t="s">
        <v>1468</v>
      </c>
      <c r="F63" s="234">
        <f>'OT17-285 TRES ESQUINAS'!O34</f>
        <v>0</v>
      </c>
      <c r="G63" s="234" t="str">
        <f>'OT17-285 TRES ESQUINAS'!A7</f>
        <v>Proyecto: CDIE_CBCCSM_R0158, NORMALIZACIÓN SE MT-MT</v>
      </c>
      <c r="H63" s="618">
        <f>'OT17-285 TRES ESQUINAS'!H20</f>
        <v>25350374</v>
      </c>
      <c r="I63" s="618">
        <f>'OT17-285 TRES ESQUINAS'!H21</f>
        <v>228153.36599999998</v>
      </c>
      <c r="J63" s="618">
        <v>0</v>
      </c>
      <c r="K63" s="618">
        <f>'OT17-285 TRES ESQUINAS'!H22</f>
        <v>25578527.366</v>
      </c>
      <c r="L63" s="618">
        <f>'OT17-285 TRES ESQUINAS'!H25</f>
        <v>4859920.1995400004</v>
      </c>
      <c r="M63" s="618">
        <f>'OT17-285 TRES ESQUINAS'!H26</f>
        <v>30438447.565540001</v>
      </c>
      <c r="N63" s="922">
        <f>+'OT17-285 TRES ESQUINAS'!U20</f>
        <v>0</v>
      </c>
      <c r="O63" s="923">
        <f>+'OT17-285 TRES ESQUINAS'!V24</f>
        <v>0</v>
      </c>
      <c r="P63" s="618">
        <f>+'OT17-285 TRES ESQUINAS'!U21</f>
        <v>0</v>
      </c>
      <c r="Q63" s="618">
        <f>+'OT17-285 TRES ESQUINAS'!U23</f>
        <v>0</v>
      </c>
      <c r="R63" s="618">
        <f>+'OT17-285 TRES ESQUINAS'!U24</f>
        <v>0</v>
      </c>
      <c r="S63" s="618">
        <f>+'OT17-285 TRES ESQUINAS'!U25</f>
        <v>0</v>
      </c>
      <c r="T63" s="618">
        <f>+'OT17-285 TRES ESQUINAS'!U26</f>
        <v>0</v>
      </c>
      <c r="U63" s="750" t="str">
        <f>'OT17-285 TRES ESQUINAS'!A8</f>
        <v>Acta N° 4: Marzo</v>
      </c>
      <c r="V63" s="234" t="s">
        <v>1501</v>
      </c>
      <c r="W63" s="925"/>
      <c r="X63" s="925"/>
      <c r="Y63" s="925"/>
      <c r="Z63" s="925"/>
      <c r="AA63" s="925"/>
      <c r="AB63" s="926"/>
      <c r="AC63" s="927"/>
      <c r="AD63" s="927"/>
      <c r="AE63" s="927"/>
      <c r="AF63" s="927"/>
      <c r="AG63" s="925"/>
      <c r="AH63" s="927"/>
      <c r="AJ63" s="925"/>
    </row>
    <row r="64" spans="1:36" s="924" customFormat="1" ht="76.5" customHeight="1" x14ac:dyDescent="0.3">
      <c r="A64" s="1064">
        <v>56</v>
      </c>
      <c r="B64" s="235" t="str">
        <f>'OT17-286 VIANÍ ENTRADA SALID'!O35</f>
        <v>D00235291</v>
      </c>
      <c r="C64" s="235" t="str">
        <f>'OT17-286 VIANÍ ENTRADA SALID'!O36</f>
        <v>D00235291000</v>
      </c>
      <c r="D64" s="234" t="s">
        <v>1453</v>
      </c>
      <c r="E64" s="234" t="s">
        <v>1470</v>
      </c>
      <c r="F64" s="234">
        <f>'OT17-286 VIANÍ ENTRADA SALID'!O34</f>
        <v>0</v>
      </c>
      <c r="G64" s="234" t="str">
        <f>'OT17-286 VIANÍ ENTRADA SALID'!A7</f>
        <v>Proyecto: CDIE_CBCCSM_R0158, NORMALIZACIÓN SE MT-MT</v>
      </c>
      <c r="H64" s="618">
        <f>'OT17-286 VIANÍ ENTRADA SALID'!H20</f>
        <v>25350374</v>
      </c>
      <c r="I64" s="618">
        <f>'OT17-286 VIANÍ ENTRADA SALID'!H21</f>
        <v>228153.36599999998</v>
      </c>
      <c r="J64" s="618">
        <v>0</v>
      </c>
      <c r="K64" s="618">
        <f>'OT17-286 VIANÍ ENTRADA SALID'!H22</f>
        <v>25578527.366</v>
      </c>
      <c r="L64" s="618">
        <f>'OT17-286 VIANÍ ENTRADA SALID'!H25</f>
        <v>4859920.1995400004</v>
      </c>
      <c r="M64" s="618">
        <f>'OT17-286 VIANÍ ENTRADA SALID'!H26</f>
        <v>30438447.565540001</v>
      </c>
      <c r="N64" s="922">
        <f>+'OT17-286 VIANÍ ENTRADA SALID'!X20</f>
        <v>0</v>
      </c>
      <c r="O64" s="923">
        <f>+'OT17-286 VIANÍ ENTRADA SALID'!Y24</f>
        <v>0</v>
      </c>
      <c r="P64" s="618">
        <f>+'OT17-286 VIANÍ ENTRADA SALID'!U21</f>
        <v>0</v>
      </c>
      <c r="Q64" s="618">
        <f>+'OT17-286 VIANÍ ENTRADA SALID'!X23</f>
        <v>0</v>
      </c>
      <c r="R64" s="618">
        <f>+'OT17-286 VIANÍ ENTRADA SALID'!X24</f>
        <v>0</v>
      </c>
      <c r="S64" s="618">
        <f>+'OT17-286 VIANÍ ENTRADA SALID'!X25</f>
        <v>0</v>
      </c>
      <c r="T64" s="618">
        <f>+'OT17-286 VIANÍ ENTRADA SALID'!X26</f>
        <v>0</v>
      </c>
      <c r="U64" s="750" t="str">
        <f>'OT17-286 VIANÍ ENTRADA SALID'!A8</f>
        <v>Acta N° 5: Marzo</v>
      </c>
      <c r="V64" s="234" t="s">
        <v>1501</v>
      </c>
      <c r="W64" s="925"/>
      <c r="X64" s="925"/>
      <c r="Y64" s="925"/>
      <c r="Z64" s="925"/>
      <c r="AA64" s="925"/>
      <c r="AB64" s="926"/>
      <c r="AC64" s="927"/>
      <c r="AD64" s="927"/>
      <c r="AE64" s="927"/>
      <c r="AF64" s="927"/>
      <c r="AG64" s="925"/>
      <c r="AH64" s="927"/>
      <c r="AJ64" s="925"/>
    </row>
    <row r="65" spans="1:36" s="924" customFormat="1" ht="76.5" customHeight="1" x14ac:dyDescent="0.3">
      <c r="A65" s="1064">
        <v>57</v>
      </c>
      <c r="B65" s="235" t="str">
        <f>+'OT17-287 EL PEÑON IN-OUT'!U40</f>
        <v>D00249258</v>
      </c>
      <c r="C65" s="235" t="str">
        <f>+'OT17-287 EL PEÑON IN-OUT'!U41</f>
        <v>D00249258000</v>
      </c>
      <c r="D65" s="234" t="s">
        <v>2721</v>
      </c>
      <c r="E65" s="234" t="s">
        <v>2722</v>
      </c>
      <c r="F65" s="234">
        <f>+'OT17-287 EL PEÑON IN-OUT'!U39</f>
        <v>0</v>
      </c>
      <c r="G65" s="234" t="str">
        <f>+'OT17-287 EL PEÑON IN-OUT'!A7</f>
        <v>Proyecto: CDIE_CBCCSM_R0158, NORMALIZACIÓN SE MT-MT</v>
      </c>
      <c r="H65" s="618">
        <f>+'OT17-287 EL PEÑON IN-OUT'!H24</f>
        <v>30573666</v>
      </c>
      <c r="I65" s="618">
        <f>+'OT17-287 EL PEÑON IN-OUT'!H25</f>
        <v>275162.99399999995</v>
      </c>
      <c r="J65" s="618"/>
      <c r="K65" s="618">
        <f>+'OT17-287 EL PEÑON IN-OUT'!H26</f>
        <v>30848828.993999999</v>
      </c>
      <c r="L65" s="618">
        <f>+'OT17-287 EL PEÑON IN-OUT'!H29</f>
        <v>5861277.5088599995</v>
      </c>
      <c r="M65" s="618">
        <f>+'OT17-287 EL PEÑON IN-OUT'!H30</f>
        <v>36710106.502859995</v>
      </c>
      <c r="N65" s="922">
        <f>+'OT17-287 EL PEÑON IN-OUT'!U24</f>
        <v>0</v>
      </c>
      <c r="O65" s="923">
        <f>+'OT17-287 EL PEÑON IN-OUT'!V28</f>
        <v>0</v>
      </c>
      <c r="P65" s="618">
        <f>+'OT17-287 EL PEÑON IN-OUT'!U25</f>
        <v>0</v>
      </c>
      <c r="Q65" s="618">
        <f>+'OT17-287 EL PEÑON IN-OUT'!U27</f>
        <v>0</v>
      </c>
      <c r="R65" s="618">
        <f>+'OT17-287 EL PEÑON IN-OUT'!U28</f>
        <v>0</v>
      </c>
      <c r="S65" s="618">
        <f>+'OT17-287 EL PEÑON IN-OUT'!U29</f>
        <v>0</v>
      </c>
      <c r="T65" s="618">
        <f>+'OT17-287 EL PEÑON IN-OUT'!U30</f>
        <v>0</v>
      </c>
      <c r="U65" s="750" t="str">
        <f>+'OT17-287 EL PEÑON IN-OUT'!A8</f>
        <v>Acta N° 4: Marzo</v>
      </c>
      <c r="V65" s="234"/>
      <c r="W65" s="925"/>
      <c r="X65" s="925"/>
      <c r="Y65" s="925"/>
      <c r="Z65" s="925"/>
      <c r="AA65" s="925"/>
      <c r="AB65" s="926"/>
      <c r="AC65" s="927"/>
      <c r="AD65" s="927"/>
      <c r="AE65" s="927"/>
      <c r="AF65" s="927"/>
      <c r="AG65" s="925"/>
      <c r="AH65" s="927"/>
      <c r="AJ65" s="925"/>
    </row>
    <row r="66" spans="1:36" s="924" customFormat="1" ht="66.75" customHeight="1" x14ac:dyDescent="0.3">
      <c r="A66" s="1064">
        <v>58</v>
      </c>
      <c r="B66" s="1201" t="str">
        <f>'OT17-288 CAPARRAPÍ'!O34</f>
        <v>D00235291</v>
      </c>
      <c r="C66" s="1201" t="str">
        <f>'OT17-288 CAPARRAPÍ'!O35</f>
        <v>D00235291000</v>
      </c>
      <c r="D66" s="1202" t="s">
        <v>1446</v>
      </c>
      <c r="E66" s="1202" t="s">
        <v>1472</v>
      </c>
      <c r="F66" s="1202">
        <f>'OT17-288 CAPARRAPÍ'!O33</f>
        <v>0</v>
      </c>
      <c r="G66" s="1202" t="str">
        <f>'OT17-288 CAPARRAPÍ'!A7</f>
        <v>Proyecto: CDIE_CBCCSM_R0158, NORMALIZACIÓN SE MT-MT</v>
      </c>
      <c r="H66" s="1203">
        <f>'OT17-288 CAPARRAPÍ'!H20</f>
        <v>25350374</v>
      </c>
      <c r="I66" s="1203">
        <f>'OT17-288 CAPARRAPÍ'!H21</f>
        <v>228153.36599999998</v>
      </c>
      <c r="J66" s="1203">
        <v>0</v>
      </c>
      <c r="K66" s="1203">
        <f>'OT17-288 CAPARRAPÍ'!H22</f>
        <v>25578527.366</v>
      </c>
      <c r="L66" s="1203">
        <f>'OT17-288 CAPARRAPÍ'!H25</f>
        <v>4859920.1995400004</v>
      </c>
      <c r="M66" s="1203">
        <f>'OT17-288 CAPARRAPÍ'!H26</f>
        <v>30438447.565540001</v>
      </c>
      <c r="N66" s="1204">
        <f>+'OT17-288 CAPARRAPÍ'!U20</f>
        <v>3102400</v>
      </c>
      <c r="O66" s="1208">
        <f>+'OT17-288 CAPARRAPÍ'!V24</f>
        <v>0.12310857286435072</v>
      </c>
      <c r="P66" s="1204">
        <f>+'OT17-288 CAPARRAPÍ'!U21</f>
        <v>0</v>
      </c>
      <c r="Q66" s="1204">
        <f>+'OT17-288 CAPARRAPÍ'!U23</f>
        <v>46536</v>
      </c>
      <c r="R66" s="1204">
        <f>+'OT17-288 CAPARRAPÍ'!U24</f>
        <v>3148936</v>
      </c>
      <c r="S66" s="1204">
        <f>+'OT17-288 CAPARRAPÍ'!U25</f>
        <v>598298</v>
      </c>
      <c r="T66" s="1204">
        <f>+'OT17-288 CAPARRAPÍ'!U26</f>
        <v>3747234</v>
      </c>
      <c r="U66" s="1206" t="str">
        <f>'OT17-288 CAPARRAPÍ'!A8</f>
        <v>Acta N° 4: Febrero</v>
      </c>
      <c r="V66" s="1202" t="s">
        <v>1501</v>
      </c>
      <c r="W66" s="925"/>
      <c r="X66" s="925"/>
      <c r="Y66" s="925"/>
      <c r="Z66" s="925"/>
      <c r="AA66" s="925"/>
      <c r="AB66" s="926"/>
      <c r="AC66" s="927"/>
      <c r="AD66" s="927"/>
      <c r="AE66" s="927"/>
      <c r="AF66" s="927"/>
      <c r="AG66" s="925"/>
      <c r="AH66" s="927"/>
      <c r="AJ66" s="925"/>
    </row>
    <row r="67" spans="1:36" s="924" customFormat="1" ht="77.25" customHeight="1" x14ac:dyDescent="0.3">
      <c r="A67" s="1064">
        <v>59</v>
      </c>
      <c r="B67" s="235" t="str">
        <f>'OT17-290 LT ZP UB PELDAR'!L32</f>
        <v>D00235194</v>
      </c>
      <c r="C67" s="235">
        <f>'OT17-290 LT ZP UB PELDAR'!L33</f>
        <v>1620900001</v>
      </c>
      <c r="D67" s="234" t="s">
        <v>1474</v>
      </c>
      <c r="E67" s="234" t="s">
        <v>1473</v>
      </c>
      <c r="F67" s="234">
        <f>'OT17-290 LT ZP UB PELDAR'!L31</f>
        <v>0</v>
      </c>
      <c r="G67" s="234" t="str">
        <f>'OT17-290 LT ZP UB PELDAR'!A7</f>
        <v>Proyecto: NORMALIZACIÓN LT ZP UB PD</v>
      </c>
      <c r="H67" s="618">
        <f>'OT17-290 LT ZP UB PELDAR'!H18</f>
        <v>193683192</v>
      </c>
      <c r="I67" s="618">
        <f>'OT17-290 LT ZP UB PELDAR'!H19</f>
        <v>1966153.8599999999</v>
      </c>
      <c r="J67" s="618"/>
      <c r="K67" s="618">
        <f>'OT17-290 LT ZP UB PELDAR'!H20</f>
        <v>195649345.86000001</v>
      </c>
      <c r="L67" s="618">
        <f>'OT17-290 LT ZP UB PELDAR'!H23</f>
        <v>37173375.713400006</v>
      </c>
      <c r="M67" s="618">
        <f>'OT17-290 LT ZP UB PELDAR'!H24</f>
        <v>232822721.57340002</v>
      </c>
      <c r="N67" s="922">
        <f>+'OT17-290 LT ZP UB PELDAR'!R18</f>
        <v>0</v>
      </c>
      <c r="O67" s="923">
        <f>+'OT17-290 LT ZP UB PELDAR'!S22</f>
        <v>0</v>
      </c>
      <c r="P67" s="618">
        <f>'OT17-290 LT ZP UB PELDAR'!O19</f>
        <v>0</v>
      </c>
      <c r="Q67" s="618">
        <f>+'OT17-290 LT ZP UB PELDAR'!R21</f>
        <v>0</v>
      </c>
      <c r="R67" s="618">
        <f>+'OT17-290 LT ZP UB PELDAR'!R22</f>
        <v>0</v>
      </c>
      <c r="S67" s="618">
        <f>+'OT17-290 LT ZP UB PELDAR'!R23</f>
        <v>0</v>
      </c>
      <c r="T67" s="618">
        <f>+'OT17-290 LT ZP UB PELDAR'!R24</f>
        <v>0</v>
      </c>
      <c r="U67" s="750" t="str">
        <f>'OT17-290 LT ZP UB PELDAR'!A8</f>
        <v>Acta N° 3: Marzo</v>
      </c>
      <c r="V67" s="234" t="s">
        <v>1269</v>
      </c>
      <c r="W67" s="925"/>
      <c r="X67" s="925"/>
      <c r="Y67" s="925"/>
      <c r="Z67" s="925"/>
      <c r="AA67" s="925"/>
      <c r="AB67" s="926"/>
      <c r="AC67" s="927"/>
      <c r="AD67" s="927"/>
      <c r="AE67" s="927"/>
      <c r="AF67" s="927"/>
      <c r="AG67" s="925"/>
      <c r="AH67" s="927"/>
      <c r="AJ67" s="925"/>
    </row>
    <row r="68" spans="1:36" s="924" customFormat="1" ht="77.25" customHeight="1" x14ac:dyDescent="0.3">
      <c r="A68" s="1064">
        <v>60</v>
      </c>
      <c r="B68" s="235" t="str">
        <f>+'OT17-298 ANOLAIMA '!O33</f>
        <v>D00243134</v>
      </c>
      <c r="C68" s="235" t="str">
        <f>+'OT17-298 ANOLAIMA '!O34</f>
        <v>D00243134000</v>
      </c>
      <c r="D68" s="234" t="s">
        <v>2723</v>
      </c>
      <c r="E68" s="234" t="s">
        <v>2724</v>
      </c>
      <c r="F68" s="234">
        <f>+'OT17-298 ANOLAIMA '!O32</f>
        <v>0</v>
      </c>
      <c r="G68" s="234" t="str">
        <f>+'OT17-298 ANOLAIMA '!A7</f>
        <v>Proyecto: CDIM_CAOLIG_R0078 - RES. CREG 038-14 CÓDIGO DE MEDIDA</v>
      </c>
      <c r="H68" s="618">
        <f>+'OT17-298 ANOLAIMA '!H19</f>
        <v>4324892</v>
      </c>
      <c r="I68" s="618">
        <f>+'OT17-298 ANOLAIMA '!H20</f>
        <v>0</v>
      </c>
      <c r="J68" s="618"/>
      <c r="K68" s="618">
        <f>+'OT17-298 ANOLAIMA '!H21</f>
        <v>4324892</v>
      </c>
      <c r="L68" s="618">
        <f>+'OT17-298 ANOLAIMA '!H24</f>
        <v>821729.48</v>
      </c>
      <c r="M68" s="618">
        <f>+'OT17-298 ANOLAIMA '!H25</f>
        <v>5146621.4800000004</v>
      </c>
      <c r="N68" s="922">
        <f>+'OT17-298 ANOLAIMA '!O19</f>
        <v>0</v>
      </c>
      <c r="O68" s="923">
        <f>+'OT17-298 ANOLAIMA '!P23</f>
        <v>0</v>
      </c>
      <c r="P68" s="618">
        <f>+'OT17-298 ANOLAIMA '!O20</f>
        <v>0</v>
      </c>
      <c r="Q68" s="618">
        <f>+'OT17-298 ANOLAIMA '!O22</f>
        <v>0</v>
      </c>
      <c r="R68" s="618">
        <f>+'OT17-298 ANOLAIMA '!O23</f>
        <v>0</v>
      </c>
      <c r="S68" s="618">
        <f>+'OT17-298 ANOLAIMA '!O24</f>
        <v>0</v>
      </c>
      <c r="T68" s="618">
        <f>+'OT17-298 ANOLAIMA '!O25</f>
        <v>0</v>
      </c>
      <c r="U68" s="750" t="str">
        <f>+'OT17-298 ANOLAIMA '!A8</f>
        <v>Acta N° 2: Marzo</v>
      </c>
      <c r="V68" s="234"/>
      <c r="W68" s="925"/>
      <c r="X68" s="925"/>
      <c r="Y68" s="925"/>
      <c r="Z68" s="925"/>
      <c r="AA68" s="925"/>
      <c r="AB68" s="926"/>
      <c r="AC68" s="927"/>
      <c r="AD68" s="927"/>
      <c r="AE68" s="927"/>
      <c r="AF68" s="927"/>
      <c r="AG68" s="925"/>
      <c r="AH68" s="927"/>
      <c r="AJ68" s="925"/>
    </row>
    <row r="69" spans="1:36" s="924" customFormat="1" ht="77.25" customHeight="1" x14ac:dyDescent="0.3">
      <c r="A69" s="1064">
        <v>62</v>
      </c>
      <c r="B69" s="235" t="str">
        <f>+'OT17-300 SAN JORGE'!O33</f>
        <v>D00243137</v>
      </c>
      <c r="C69" s="235" t="str">
        <f>+'OT17-300 SAN JORGE'!O34</f>
        <v>D00243137000</v>
      </c>
      <c r="D69" s="234" t="s">
        <v>2725</v>
      </c>
      <c r="E69" s="234" t="s">
        <v>2726</v>
      </c>
      <c r="F69" s="234">
        <f>+'OT17-300 SAN JORGE'!O32</f>
        <v>0</v>
      </c>
      <c r="G69" s="234" t="str">
        <f>+'OT17-300 SAN JORGE'!A7</f>
        <v>Proyecto: CDIM_CAOLIG_R0078 - RES. CREG 038-14 CÓDIGO DE MEDIDA</v>
      </c>
      <c r="H69" s="618">
        <f>+'OT17-300 SAN JORGE'!H19</f>
        <v>4324892</v>
      </c>
      <c r="I69" s="618">
        <f>+'OT17-300 SAN JORGE'!H20</f>
        <v>0</v>
      </c>
      <c r="J69" s="618"/>
      <c r="K69" s="618">
        <f>+'OT17-300 SAN JORGE'!H21</f>
        <v>4324892</v>
      </c>
      <c r="L69" s="618">
        <f>+'OT17-300 SAN JORGE'!H24</f>
        <v>821729.48</v>
      </c>
      <c r="M69" s="618">
        <f>+'OT17-300 SAN JORGE'!H25</f>
        <v>5146621.4800000004</v>
      </c>
      <c r="N69" s="922">
        <f>+'OT17-300 SAN JORGE'!O19</f>
        <v>0</v>
      </c>
      <c r="O69" s="923">
        <f>+'OT17-300 SAN JORGE'!P23</f>
        <v>0</v>
      </c>
      <c r="P69" s="618">
        <f>+'OT17-300 SAN JORGE'!O20</f>
        <v>0</v>
      </c>
      <c r="Q69" s="618">
        <f>+'OT17-300 SAN JORGE'!O22</f>
        <v>0</v>
      </c>
      <c r="R69" s="618">
        <f>+'OT17-300 SAN JORGE'!O23</f>
        <v>0</v>
      </c>
      <c r="S69" s="618">
        <f>+'OT17-300 SAN JORGE'!O24</f>
        <v>0</v>
      </c>
      <c r="T69" s="618">
        <f>+'OT17-300 SAN JORGE'!O25</f>
        <v>0</v>
      </c>
      <c r="U69" s="750" t="str">
        <f>+'OT17-300 SAN JORGE'!A8</f>
        <v>Acta N° 2: Marzo</v>
      </c>
      <c r="V69" s="234"/>
      <c r="W69" s="925"/>
      <c r="X69" s="925"/>
      <c r="Y69" s="925"/>
      <c r="Z69" s="925"/>
      <c r="AA69" s="925"/>
      <c r="AB69" s="926"/>
      <c r="AC69" s="927"/>
      <c r="AD69" s="927"/>
      <c r="AE69" s="927"/>
      <c r="AF69" s="927"/>
      <c r="AG69" s="925"/>
      <c r="AH69" s="927"/>
      <c r="AJ69" s="925"/>
    </row>
    <row r="70" spans="1:36" s="924" customFormat="1" ht="77.25" customHeight="1" x14ac:dyDescent="0.3">
      <c r="A70" s="1064">
        <v>63</v>
      </c>
      <c r="B70" s="235" t="str">
        <f>+'OT17-301 CHINAUTA'!O32</f>
        <v>D00249388</v>
      </c>
      <c r="C70" s="235" t="str">
        <f>+'OT17-301 CHINAUTA'!O33</f>
        <v>D00249388000</v>
      </c>
      <c r="D70" s="234" t="s">
        <v>1479</v>
      </c>
      <c r="E70" s="234" t="s">
        <v>1478</v>
      </c>
      <c r="F70" s="234">
        <f>+'OT17-301 CHINAUTA'!O31</f>
        <v>0</v>
      </c>
      <c r="G70" s="234" t="str">
        <f>+'OT17-301 CHINAUTA'!A7</f>
        <v>Proyecto: CDIM_CAOLIG_R0078 - RES. CREG 038-14 CÓDIGO DE MEDIDA</v>
      </c>
      <c r="H70" s="618">
        <f>+'OT17-301 CHINAUTA'!H19</f>
        <v>4324892</v>
      </c>
      <c r="I70" s="618">
        <f>+'OT17-301 CHINAUTA'!I20</f>
        <v>0</v>
      </c>
      <c r="J70" s="618"/>
      <c r="K70" s="618">
        <f>+'OT17-301 CHINAUTA'!H21</f>
        <v>4324892</v>
      </c>
      <c r="L70" s="618">
        <f>+'OT17-301 CHINAUTA'!H24</f>
        <v>821729.48</v>
      </c>
      <c r="M70" s="618">
        <f>+'OT17-301 CHINAUTA'!H25</f>
        <v>5146621.4800000004</v>
      </c>
      <c r="N70" s="922">
        <f>+'OT17-301 CHINAUTA'!O19</f>
        <v>0</v>
      </c>
      <c r="O70" s="923">
        <f>+'OT17-301 CHINAUTA'!P23</f>
        <v>0</v>
      </c>
      <c r="P70" s="618">
        <f>+'OT17-301 CHINAUTA'!O20</f>
        <v>0</v>
      </c>
      <c r="Q70" s="618">
        <f>+'OT17-301 CHINAUTA'!O22</f>
        <v>0</v>
      </c>
      <c r="R70" s="618">
        <f>+'OT17-301 CHINAUTA'!O23</f>
        <v>0</v>
      </c>
      <c r="S70" s="618">
        <f>+'OT17-301 CHINAUTA'!O24</f>
        <v>0</v>
      </c>
      <c r="T70" s="618">
        <f>+'OT17-301 CHINAUTA'!O25</f>
        <v>0</v>
      </c>
      <c r="U70" s="750" t="str">
        <f>+'OT17-301 CHINAUTA'!A8</f>
        <v>Acta N° 2: Marzo</v>
      </c>
      <c r="V70" s="234"/>
      <c r="W70" s="925"/>
      <c r="X70" s="925"/>
      <c r="Y70" s="925"/>
      <c r="Z70" s="925"/>
      <c r="AA70" s="925"/>
      <c r="AB70" s="926"/>
      <c r="AC70" s="927"/>
      <c r="AD70" s="927"/>
      <c r="AE70" s="927"/>
      <c r="AF70" s="927"/>
      <c r="AG70" s="925"/>
      <c r="AH70" s="927"/>
      <c r="AJ70" s="925"/>
    </row>
    <row r="71" spans="1:36" s="924" customFormat="1" ht="77.25" customHeight="1" x14ac:dyDescent="0.3">
      <c r="A71" s="1064">
        <v>64</v>
      </c>
      <c r="B71" s="235" t="str">
        <f>+'OT17-303 TAMARINDO'!O33</f>
        <v>D00243137</v>
      </c>
      <c r="C71" s="235" t="str">
        <f>+'OT17-303 TAMARINDO'!O34</f>
        <v>D00243137000</v>
      </c>
      <c r="D71" s="234" t="s">
        <v>2727</v>
      </c>
      <c r="E71" s="234" t="s">
        <v>2728</v>
      </c>
      <c r="F71" s="234">
        <f>+'OT17-303 TAMARINDO'!O32</f>
        <v>0</v>
      </c>
      <c r="G71" s="234" t="str">
        <f>+'OT17-303 TAMARINDO'!A7</f>
        <v>Proyecto: CDIM_CAOLIG_R0078 - RES. CREG 038-14 CÓDIGO DE MEDIDA</v>
      </c>
      <c r="H71" s="618">
        <f>+'OT17-303 TAMARINDO'!H19</f>
        <v>4324892</v>
      </c>
      <c r="I71" s="618">
        <f>+'OT17-303 TAMARINDO'!H20</f>
        <v>0</v>
      </c>
      <c r="J71" s="618"/>
      <c r="K71" s="618">
        <f>+'OT17-303 TAMARINDO'!H21</f>
        <v>4324892</v>
      </c>
      <c r="L71" s="618">
        <f>+'OT17-303 TAMARINDO'!H24</f>
        <v>821729.48</v>
      </c>
      <c r="M71" s="618">
        <f>+'OT17-303 TAMARINDO'!H25</f>
        <v>5146621.4800000004</v>
      </c>
      <c r="N71" s="922">
        <f>+'OT17-303 TAMARINDO'!O19</f>
        <v>0</v>
      </c>
      <c r="O71" s="923">
        <f>+'OT17-303 TAMARINDO'!P23</f>
        <v>0</v>
      </c>
      <c r="P71" s="618">
        <f>+'OT17-303 TAMARINDO'!O20</f>
        <v>0</v>
      </c>
      <c r="Q71" s="618">
        <f>+'OT17-303 TAMARINDO'!O22</f>
        <v>0</v>
      </c>
      <c r="R71" s="618">
        <f>+'OT17-303 TAMARINDO'!O23</f>
        <v>0</v>
      </c>
      <c r="S71" s="618">
        <f>+'OT17-303 TAMARINDO'!O24</f>
        <v>0</v>
      </c>
      <c r="T71" s="618">
        <f>+'OT17-303 TAMARINDO'!O25</f>
        <v>0</v>
      </c>
      <c r="U71" s="750" t="str">
        <f>+'OT17-303 TAMARINDO'!A8</f>
        <v>Acta N° 2: Marzo</v>
      </c>
      <c r="V71" s="234"/>
      <c r="W71" s="925"/>
      <c r="X71" s="925"/>
      <c r="Y71" s="925"/>
      <c r="Z71" s="925"/>
      <c r="AA71" s="925"/>
      <c r="AB71" s="926"/>
      <c r="AC71" s="927"/>
      <c r="AD71" s="927"/>
      <c r="AE71" s="927"/>
      <c r="AF71" s="927"/>
      <c r="AG71" s="925"/>
      <c r="AH71" s="927"/>
      <c r="AJ71" s="925"/>
    </row>
    <row r="72" spans="1:36" s="924" customFormat="1" ht="77.25" customHeight="1" x14ac:dyDescent="0.3">
      <c r="A72" s="1064">
        <v>65</v>
      </c>
      <c r="B72" s="235" t="str">
        <f>+'OT17-305 JMCÓRDOBA'!O32</f>
        <v>D00243137</v>
      </c>
      <c r="C72" s="235" t="str">
        <f>+'OT17-305 JMCÓRDOBA'!O33</f>
        <v>D00243137000</v>
      </c>
      <c r="D72" s="234" t="s">
        <v>2729</v>
      </c>
      <c r="E72" s="234" t="s">
        <v>2730</v>
      </c>
      <c r="F72" s="234">
        <f>+'OT17-305 JMCÓRDOBA'!O31</f>
        <v>0</v>
      </c>
      <c r="G72" s="234" t="str">
        <f>+'OT17-305 JMCÓRDOBA'!A8</f>
        <v>Acta N° 2: Marzo</v>
      </c>
      <c r="H72" s="618">
        <f>+'OT17-305 JMCÓRDOBA'!H19</f>
        <v>4324892</v>
      </c>
      <c r="I72" s="618">
        <f>+'OT17-305 JMCÓRDOBA'!H20</f>
        <v>0</v>
      </c>
      <c r="J72" s="618"/>
      <c r="K72" s="618">
        <f>+'OT17-305 JMCÓRDOBA'!H21</f>
        <v>4324892</v>
      </c>
      <c r="L72" s="618">
        <f>+'OT17-305 JMCÓRDOBA'!H24</f>
        <v>821729.48</v>
      </c>
      <c r="M72" s="618">
        <f>+'OT17-305 JMCÓRDOBA'!H25</f>
        <v>5146621.4800000004</v>
      </c>
      <c r="N72" s="922">
        <f>+'OT17-305 JMCÓRDOBA'!O19</f>
        <v>0</v>
      </c>
      <c r="O72" s="923">
        <f>+'OT17-305 JMCÓRDOBA'!P23</f>
        <v>0</v>
      </c>
      <c r="P72" s="618">
        <f>+'OT17-305 JMCÓRDOBA'!O20</f>
        <v>0</v>
      </c>
      <c r="Q72" s="618">
        <f>+'OT17-305 JMCÓRDOBA'!O22</f>
        <v>0</v>
      </c>
      <c r="R72" s="618">
        <f>+'OT17-305 JMCÓRDOBA'!O23</f>
        <v>0</v>
      </c>
      <c r="S72" s="618">
        <f>+'OT17-305 JMCÓRDOBA'!O24</f>
        <v>0</v>
      </c>
      <c r="T72" s="618">
        <f>+'OT17-305 JMCÓRDOBA'!O25</f>
        <v>0</v>
      </c>
      <c r="U72" s="750" t="str">
        <f>+'OT17-305 JMCÓRDOBA'!A8</f>
        <v>Acta N° 2: Marzo</v>
      </c>
      <c r="V72" s="234"/>
      <c r="W72" s="925"/>
      <c r="X72" s="925"/>
      <c r="Y72" s="925"/>
      <c r="Z72" s="925"/>
      <c r="AA72" s="925"/>
      <c r="AB72" s="926"/>
      <c r="AC72" s="927"/>
      <c r="AD72" s="927"/>
      <c r="AE72" s="927"/>
      <c r="AF72" s="927"/>
      <c r="AG72" s="925"/>
      <c r="AH72" s="927"/>
      <c r="AJ72" s="925"/>
    </row>
    <row r="73" spans="1:36" s="924" customFormat="1" ht="77.25" customHeight="1" x14ac:dyDescent="0.3">
      <c r="A73" s="1064">
        <v>66</v>
      </c>
      <c r="B73" s="235" t="str">
        <f>+'OT17-306 EL HOBAL'!O32</f>
        <v>D00243135</v>
      </c>
      <c r="C73" s="235" t="str">
        <f>+'OT17-306 EL HOBAL'!O33</f>
        <v>D00243135000</v>
      </c>
      <c r="D73" s="234" t="s">
        <v>2731</v>
      </c>
      <c r="E73" s="234" t="s">
        <v>2732</v>
      </c>
      <c r="F73" s="234">
        <f>+'OT17-306 EL HOBAL'!O31</f>
        <v>0</v>
      </c>
      <c r="G73" s="234" t="str">
        <f>+'OT17-306 EL HOBAL'!A7</f>
        <v>Proyecto: CDIM_CAOLIG_R0078 - RES. CREG 038-14 CÓDIGO DE MEDIDA</v>
      </c>
      <c r="H73" s="618">
        <f>+'OT17-306 EL HOBAL'!H19</f>
        <v>4324892</v>
      </c>
      <c r="I73" s="618">
        <f>+'OT17-306 EL HOBAL'!H20</f>
        <v>0</v>
      </c>
      <c r="J73" s="618"/>
      <c r="K73" s="618">
        <f>+'OT17-306 EL HOBAL'!H21</f>
        <v>4324892</v>
      </c>
      <c r="L73" s="618">
        <f>+'OT17-306 EL HOBAL'!H24</f>
        <v>821729.48</v>
      </c>
      <c r="M73" s="618">
        <f>+'OT17-306 EL HOBAL'!H25</f>
        <v>5146621.4800000004</v>
      </c>
      <c r="N73" s="922">
        <f>+'OT17-306 EL HOBAL'!O19</f>
        <v>0</v>
      </c>
      <c r="O73" s="923">
        <f>+'OT17-306 EL HOBAL'!P23</f>
        <v>0</v>
      </c>
      <c r="P73" s="618">
        <f>+'OT17-306 EL HOBAL'!O20</f>
        <v>0</v>
      </c>
      <c r="Q73" s="618">
        <f>+'OT17-306 EL HOBAL'!O22</f>
        <v>0</v>
      </c>
      <c r="R73" s="618">
        <f>+'OT17-306 EL HOBAL'!O23</f>
        <v>0</v>
      </c>
      <c r="S73" s="618">
        <f>+'OT17-306 EL HOBAL'!O24</f>
        <v>0</v>
      </c>
      <c r="T73" s="618">
        <f>+'OT17-306 EL HOBAL'!O25</f>
        <v>0</v>
      </c>
      <c r="U73" s="750" t="str">
        <f>+'OT17-306 EL HOBAL'!A8</f>
        <v>Acta N° 2: Marzo</v>
      </c>
      <c r="V73" s="234"/>
      <c r="W73" s="925"/>
      <c r="X73" s="925"/>
      <c r="Y73" s="925"/>
      <c r="Z73" s="925"/>
      <c r="AA73" s="925"/>
      <c r="AB73" s="926"/>
      <c r="AC73" s="927"/>
      <c r="AD73" s="927"/>
      <c r="AE73" s="927"/>
      <c r="AF73" s="927"/>
      <c r="AG73" s="925"/>
      <c r="AH73" s="927"/>
      <c r="AJ73" s="925"/>
    </row>
    <row r="74" spans="1:36" s="924" customFormat="1" ht="77.25" customHeight="1" x14ac:dyDescent="0.3">
      <c r="A74" s="1064">
        <v>67</v>
      </c>
      <c r="B74" s="235" t="str">
        <f>+'OT17-307 APULO'!O33</f>
        <v>D00243137</v>
      </c>
      <c r="C74" s="235" t="str">
        <f>+'OT17-307 APULO'!O34</f>
        <v>D00243137000</v>
      </c>
      <c r="D74" s="234" t="s">
        <v>2733</v>
      </c>
      <c r="E74" s="234" t="s">
        <v>2734</v>
      </c>
      <c r="F74" s="234">
        <f>+'OT17-307 APULO'!O32</f>
        <v>0</v>
      </c>
      <c r="G74" s="234" t="str">
        <f>+'OT17-307 APULO'!A7</f>
        <v>Proyecto: CDIM_CAOLIG_R0078 - RES. CREG 038-14 CÓDIGO DE MEDIDA</v>
      </c>
      <c r="H74" s="618">
        <f>+'OT17-307 APULO'!H19</f>
        <v>4324892</v>
      </c>
      <c r="I74" s="618">
        <f>+'OT17-307 APULO'!H20</f>
        <v>0</v>
      </c>
      <c r="J74" s="618"/>
      <c r="K74" s="618">
        <f>+'OT17-307 APULO'!H21</f>
        <v>4324892</v>
      </c>
      <c r="L74" s="618">
        <f>+'OT17-307 APULO'!H24</f>
        <v>821729.48</v>
      </c>
      <c r="M74" s="618">
        <f>+'OT17-307 APULO'!H25</f>
        <v>5146621.4800000004</v>
      </c>
      <c r="N74" s="922">
        <f>+'OT17-307 APULO'!O19</f>
        <v>0</v>
      </c>
      <c r="O74" s="923">
        <f>+'OT17-307 APULO'!P23</f>
        <v>0</v>
      </c>
      <c r="P74" s="618">
        <f>+'OT17-307 APULO'!O20</f>
        <v>0</v>
      </c>
      <c r="Q74" s="618">
        <f>+'OT17-307 APULO'!O22</f>
        <v>0</v>
      </c>
      <c r="R74" s="618">
        <f>+'OT17-307 APULO'!O23</f>
        <v>0</v>
      </c>
      <c r="S74" s="618">
        <f>+'OT17-307 APULO'!O24</f>
        <v>0</v>
      </c>
      <c r="T74" s="618">
        <f>+'OT17-307 APULO'!O25</f>
        <v>0</v>
      </c>
      <c r="U74" s="750" t="str">
        <f>+'OT17-307 APULO'!A8</f>
        <v>Acta N° 2: Marzo</v>
      </c>
      <c r="V74" s="234"/>
      <c r="W74" s="925"/>
      <c r="X74" s="925"/>
      <c r="Y74" s="925"/>
      <c r="Z74" s="925"/>
      <c r="AA74" s="925"/>
      <c r="AB74" s="926"/>
      <c r="AC74" s="927"/>
      <c r="AD74" s="927"/>
      <c r="AE74" s="927"/>
      <c r="AF74" s="927"/>
      <c r="AG74" s="925"/>
      <c r="AH74" s="927"/>
      <c r="AJ74" s="925"/>
    </row>
    <row r="75" spans="1:36" s="924" customFormat="1" ht="77.25" customHeight="1" x14ac:dyDescent="0.3">
      <c r="A75" s="1064">
        <v>68</v>
      </c>
      <c r="B75" s="235" t="str">
        <f>'OT17-308 TORIBA'!L32</f>
        <v>D00249388</v>
      </c>
      <c r="C75" s="235" t="str">
        <f>'OT17-308 TORIBA'!L33</f>
        <v>D00249388000</v>
      </c>
      <c r="D75" s="234" t="s">
        <v>1481</v>
      </c>
      <c r="E75" s="234" t="s">
        <v>1480</v>
      </c>
      <c r="F75" s="234">
        <f>'OT17-308 TORIBA'!L31</f>
        <v>0</v>
      </c>
      <c r="G75" s="234" t="str">
        <f>'OT17-308 TORIBA'!A7</f>
        <v>Proyecto: CDIM_CAOLIG_R0078 - RES. CREG 038-14 CÓDIGO DE MEDIDA</v>
      </c>
      <c r="H75" s="618">
        <f>'OT17-308 TORIBA'!H19</f>
        <v>4324892</v>
      </c>
      <c r="I75" s="618">
        <f>'OT17-308 TORIBA'!H20</f>
        <v>0</v>
      </c>
      <c r="J75" s="618"/>
      <c r="K75" s="618">
        <f>'OT17-308 TORIBA'!H21</f>
        <v>4324892</v>
      </c>
      <c r="L75" s="618">
        <f>'OT17-308 TORIBA'!H24</f>
        <v>821729.48</v>
      </c>
      <c r="M75" s="618">
        <f>'OT17-308 TORIBA'!H25</f>
        <v>5146621.4800000004</v>
      </c>
      <c r="N75" s="922">
        <f>+'OT17-308 TORIBA'!O19</f>
        <v>0</v>
      </c>
      <c r="O75" s="923">
        <f>+'OT17-308 TORIBA'!P23</f>
        <v>0</v>
      </c>
      <c r="P75" s="618">
        <f>+'OT17-308 TORIBA'!O20</f>
        <v>0</v>
      </c>
      <c r="Q75" s="618">
        <f>+'OT17-308 TORIBA'!O22</f>
        <v>0</v>
      </c>
      <c r="R75" s="618">
        <f>+'OT17-308 TORIBA'!O23</f>
        <v>0</v>
      </c>
      <c r="S75" s="618">
        <f>+'OT17-308 TORIBA'!O24</f>
        <v>0</v>
      </c>
      <c r="T75" s="618">
        <f>+'OT17-308 TORIBA'!O25</f>
        <v>0</v>
      </c>
      <c r="U75" s="750" t="str">
        <f>'OT17-308 TORIBA'!A8</f>
        <v>Acta N° 2: Marzo</v>
      </c>
      <c r="V75" s="234" t="s">
        <v>1732</v>
      </c>
      <c r="W75" s="925"/>
      <c r="X75" s="925"/>
      <c r="Y75" s="925"/>
      <c r="Z75" s="925"/>
      <c r="AA75" s="925"/>
      <c r="AB75" s="926"/>
      <c r="AC75" s="927"/>
      <c r="AD75" s="927"/>
      <c r="AE75" s="927"/>
      <c r="AF75" s="927"/>
      <c r="AG75" s="925"/>
      <c r="AH75" s="927"/>
      <c r="AJ75" s="925"/>
    </row>
    <row r="76" spans="1:36" s="924" customFormat="1" ht="77.25" customHeight="1" x14ac:dyDescent="0.3">
      <c r="A76" s="1064">
        <v>69</v>
      </c>
      <c r="B76" s="235" t="str">
        <f>+'OT17-309 PTO SALGAR'!O32</f>
        <v>D00249388</v>
      </c>
      <c r="C76" s="235" t="str">
        <f>+'OT17-309 PTO SALGAR'!O33</f>
        <v>D00249388000</v>
      </c>
      <c r="D76" s="234" t="s">
        <v>2735</v>
      </c>
      <c r="E76" s="234" t="s">
        <v>2736</v>
      </c>
      <c r="F76" s="234">
        <f>+'OT17-309 PTO SALGAR'!O31</f>
        <v>0</v>
      </c>
      <c r="G76" s="234" t="str">
        <f>+'OT17-309 PTO SALGAR'!A7</f>
        <v>Proyecto: CDIM_CAOLIG_R0078 - RES. CREG 038-14 CÓDIGO DE MEDIDA</v>
      </c>
      <c r="H76" s="618">
        <f>+'OT17-309 PTO SALGAR'!H19</f>
        <v>4324892</v>
      </c>
      <c r="I76" s="618">
        <f>+'OT17-309 PTO SALGAR'!H20</f>
        <v>0</v>
      </c>
      <c r="J76" s="618"/>
      <c r="K76" s="618">
        <f>+'OT17-309 PTO SALGAR'!H21</f>
        <v>4324892</v>
      </c>
      <c r="L76" s="618">
        <f>+'OT17-309 PTO SALGAR'!H24</f>
        <v>821729.48</v>
      </c>
      <c r="M76" s="618">
        <f>+'OT17-309 PTO SALGAR'!H25</f>
        <v>5146621.4800000004</v>
      </c>
      <c r="N76" s="922">
        <f>+'OT17-309 PTO SALGAR'!O19</f>
        <v>0</v>
      </c>
      <c r="O76" s="923">
        <f>+'OT17-309 PTO SALGAR'!P23</f>
        <v>0</v>
      </c>
      <c r="P76" s="618">
        <f>+'OT17-309 PTO SALGAR'!O20</f>
        <v>0</v>
      </c>
      <c r="Q76" s="618">
        <f>+'OT17-309 PTO SALGAR'!O22</f>
        <v>0</v>
      </c>
      <c r="R76" s="618">
        <f>+'OT17-309 PTO SALGAR'!O23</f>
        <v>0</v>
      </c>
      <c r="S76" s="618">
        <f>+'OT17-309 PTO SALGAR'!O24</f>
        <v>0</v>
      </c>
      <c r="T76" s="618">
        <f>+'OT17-309 PTO SALGAR'!O25</f>
        <v>0</v>
      </c>
      <c r="U76" s="750" t="str">
        <f>+'OT17-309 PTO SALGAR'!A8</f>
        <v>Acta N° 2: Marzo</v>
      </c>
      <c r="V76" s="234"/>
      <c r="W76" s="925"/>
      <c r="X76" s="925"/>
      <c r="Y76" s="925"/>
      <c r="Z76" s="925"/>
      <c r="AA76" s="925"/>
      <c r="AB76" s="926"/>
      <c r="AC76" s="927"/>
      <c r="AD76" s="927"/>
      <c r="AE76" s="927"/>
      <c r="AF76" s="927"/>
      <c r="AG76" s="925"/>
      <c r="AH76" s="927"/>
      <c r="AJ76" s="925"/>
    </row>
    <row r="77" spans="1:36" s="924" customFormat="1" ht="77.25" customHeight="1" x14ac:dyDescent="0.3">
      <c r="A77" s="1064">
        <v>70</v>
      </c>
      <c r="B77" s="235" t="str">
        <f>+'OT17-310 GUADUAS'!L32</f>
        <v>D00243134</v>
      </c>
      <c r="C77" s="235" t="str">
        <f>+'OT17-310 GUADUAS'!L33</f>
        <v>D00243134000</v>
      </c>
      <c r="D77" s="234" t="s">
        <v>2737</v>
      </c>
      <c r="E77" s="234" t="s">
        <v>2738</v>
      </c>
      <c r="F77" s="234">
        <f>+'OT17-310 GUADUAS'!L31</f>
        <v>0</v>
      </c>
      <c r="G77" s="234" t="str">
        <f>+'OT17-310 GUADUAS'!A7</f>
        <v>Proyecto: CDIM_CAOLIG_R0078 - RES. CREG 038-14 CÓDIGO DE MEDIDA</v>
      </c>
      <c r="H77" s="618">
        <f>+'OT17-310 GUADUAS'!H19</f>
        <v>4324892</v>
      </c>
      <c r="I77" s="618">
        <f>+'OT17-310 GUADUAS'!H20</f>
        <v>0</v>
      </c>
      <c r="J77" s="618"/>
      <c r="K77" s="618">
        <f>+'OT17-310 GUADUAS'!H21</f>
        <v>4324892</v>
      </c>
      <c r="L77" s="618">
        <f>+'OT17-310 GUADUAS'!H24</f>
        <v>821729.48</v>
      </c>
      <c r="M77" s="618">
        <f>+'OT17-310 GUADUAS'!H25</f>
        <v>5146621.4800000004</v>
      </c>
      <c r="N77" s="922">
        <f>+'OT17-310 GUADUAS'!L19</f>
        <v>0</v>
      </c>
      <c r="O77" s="923">
        <f>+'OT17-310 GUADUAS'!M23</f>
        <v>0</v>
      </c>
      <c r="P77" s="618">
        <f>+'OT17-310 GUADUAS'!L20</f>
        <v>0</v>
      </c>
      <c r="Q77" s="618">
        <f>+'OT17-310 GUADUAS'!L22</f>
        <v>0</v>
      </c>
      <c r="R77" s="618">
        <f>+'OT17-310 GUADUAS'!L23</f>
        <v>0</v>
      </c>
      <c r="S77" s="618">
        <f>+'OT17-310 GUADUAS'!L24</f>
        <v>0</v>
      </c>
      <c r="T77" s="618">
        <f>+'OT17-310 GUADUAS'!L25</f>
        <v>0</v>
      </c>
      <c r="U77" s="750" t="str">
        <f>+'OT17-310 GUADUAS'!A8</f>
        <v>Acta N° 1: Marzo</v>
      </c>
      <c r="V77" s="234"/>
      <c r="W77" s="925"/>
      <c r="X77" s="925"/>
      <c r="Y77" s="925"/>
      <c r="Z77" s="925"/>
      <c r="AA77" s="925"/>
      <c r="AB77" s="926"/>
      <c r="AC77" s="927"/>
      <c r="AD77" s="927"/>
      <c r="AE77" s="927"/>
      <c r="AF77" s="927"/>
      <c r="AG77" s="925"/>
      <c r="AH77" s="927"/>
      <c r="AJ77" s="925"/>
    </row>
    <row r="78" spans="1:36" s="924" customFormat="1" ht="57" customHeight="1" x14ac:dyDescent="0.3">
      <c r="A78" s="1064">
        <v>71</v>
      </c>
      <c r="B78" s="235" t="str">
        <f>'OT17-311 RIONEGRITO'!L32</f>
        <v>D00249388</v>
      </c>
      <c r="C78" s="235" t="str">
        <f>'OT17-311 RIONEGRITO'!L33</f>
        <v>D00249388000</v>
      </c>
      <c r="D78" s="234" t="s">
        <v>1483</v>
      </c>
      <c r="E78" s="234" t="s">
        <v>1482</v>
      </c>
      <c r="F78" s="234">
        <f>'OT17-311 RIONEGRITO'!L31</f>
        <v>0</v>
      </c>
      <c r="G78" s="234" t="str">
        <f>'OT17-311 RIONEGRITO'!A7</f>
        <v>Proyecto: CDIM_CAOLIG_R0078 - RES. CREG 038-14 CÓDIGO DE MEDIDA</v>
      </c>
      <c r="H78" s="618">
        <f>'OT17-311 RIONEGRITO'!H19</f>
        <v>4324892</v>
      </c>
      <c r="I78" s="618">
        <f>'OT17-311 RIONEGRITO'!H20</f>
        <v>0</v>
      </c>
      <c r="J78" s="618"/>
      <c r="K78" s="618">
        <f>'OT17-311 RIONEGRITO'!H21</f>
        <v>4324892</v>
      </c>
      <c r="L78" s="618">
        <f>'OT17-311 RIONEGRITO'!H24</f>
        <v>821729.48</v>
      </c>
      <c r="M78" s="618">
        <f>'OT17-311 RIONEGRITO'!H25</f>
        <v>5146621.4800000004</v>
      </c>
      <c r="N78" s="922">
        <f>+'OT17-311 RIONEGRITO'!O19</f>
        <v>0</v>
      </c>
      <c r="O78" s="923">
        <f>+'OT17-311 RIONEGRITO'!P19</f>
        <v>0</v>
      </c>
      <c r="P78" s="618">
        <f>+'OT17-311 RIONEGRITO'!O20</f>
        <v>0</v>
      </c>
      <c r="Q78" s="618">
        <f>+'OT17-311 RIONEGRITO'!O22</f>
        <v>0</v>
      </c>
      <c r="R78" s="618">
        <f>+'OT17-311 RIONEGRITO'!O23</f>
        <v>0</v>
      </c>
      <c r="S78" s="618">
        <f>+'OT17-311 RIONEGRITO'!O24</f>
        <v>0</v>
      </c>
      <c r="T78" s="618">
        <f>+'OT17-311 RIONEGRITO'!O25</f>
        <v>0</v>
      </c>
      <c r="U78" s="750" t="str">
        <f>'OT17-311 RIONEGRITO'!A8</f>
        <v>Acta N° 2: Marzo</v>
      </c>
      <c r="V78" s="234" t="s">
        <v>1732</v>
      </c>
      <c r="W78" s="925"/>
      <c r="X78" s="925"/>
      <c r="Y78" s="925"/>
      <c r="Z78" s="925"/>
      <c r="AA78" s="925"/>
      <c r="AB78" s="926"/>
      <c r="AC78" s="927"/>
      <c r="AD78" s="927"/>
      <c r="AE78" s="927"/>
      <c r="AF78" s="927"/>
      <c r="AG78" s="925"/>
      <c r="AH78" s="927"/>
      <c r="AJ78" s="925"/>
    </row>
    <row r="79" spans="1:36" s="924" customFormat="1" ht="57" customHeight="1" x14ac:dyDescent="0.3">
      <c r="A79" s="1064">
        <v>72</v>
      </c>
      <c r="B79" s="235" t="str">
        <f>+'OT17-312 FONTIBÓN'!R52</f>
        <v>D00240791</v>
      </c>
      <c r="C79" s="235" t="str">
        <f>+'OT17-312 FONTIBÓN'!R53</f>
        <v>D00240791000</v>
      </c>
      <c r="D79" s="234" t="s">
        <v>1715</v>
      </c>
      <c r="E79" s="234" t="s">
        <v>2739</v>
      </c>
      <c r="F79" s="234">
        <f>+'OT17-312 FONTIBÓN'!R51</f>
        <v>0</v>
      </c>
      <c r="G79" s="234" t="str">
        <f>+'OT17-312 FONTIBÓN'!A7</f>
        <v>Proyecto: CDIE_CBCCSM_R0178 REPOSICIÓN INTERRUPTORES</v>
      </c>
      <c r="H79" s="618">
        <f>+'OT17-312 FONTIBÓN'!H37</f>
        <v>22387024</v>
      </c>
      <c r="I79" s="618">
        <f>+'OT17-312 FONTIBÓN'!H38</f>
        <v>0</v>
      </c>
      <c r="J79" s="618"/>
      <c r="K79" s="618">
        <f>+'OT17-312 FONTIBÓN'!H39</f>
        <v>22387024</v>
      </c>
      <c r="L79" s="618">
        <f>+'OT17-312 FONTIBÓN'!H42</f>
        <v>4253534.5599999996</v>
      </c>
      <c r="M79" s="618">
        <f>+'OT17-312 FONTIBÓN'!H43</f>
        <v>26640558.559999999</v>
      </c>
      <c r="N79" s="922">
        <f>+'OT17-312 FONTIBÓN'!R37</f>
        <v>0</v>
      </c>
      <c r="O79" s="923">
        <f>+'OT17-312 FONTIBÓN'!S41</f>
        <v>0</v>
      </c>
      <c r="P79" s="618">
        <f>+'OT17-312 FONTIBÓN'!R38</f>
        <v>0</v>
      </c>
      <c r="Q79" s="618">
        <f>+'OT17-312 FONTIBÓN'!R40</f>
        <v>0</v>
      </c>
      <c r="R79" s="618">
        <f>+'OT17-312 FONTIBÓN'!R41</f>
        <v>0</v>
      </c>
      <c r="S79" s="618">
        <f>+'OT17-312 FONTIBÓN'!R42</f>
        <v>0</v>
      </c>
      <c r="T79" s="618">
        <f>+'OT17-312 FONTIBÓN'!R43</f>
        <v>0</v>
      </c>
      <c r="U79" s="750" t="str">
        <f>+'OT17-312 FONTIBÓN'!A8</f>
        <v>Acta N° 3: Marzo</v>
      </c>
      <c r="V79" s="234"/>
      <c r="W79" s="925"/>
      <c r="X79" s="925"/>
      <c r="Y79" s="925"/>
      <c r="Z79" s="925"/>
      <c r="AA79" s="925"/>
      <c r="AB79" s="926"/>
      <c r="AC79" s="927"/>
      <c r="AD79" s="927"/>
      <c r="AE79" s="927"/>
      <c r="AF79" s="927"/>
      <c r="AG79" s="925"/>
      <c r="AH79" s="927"/>
      <c r="AJ79" s="925"/>
    </row>
    <row r="80" spans="1:36" s="924" customFormat="1" ht="57" customHeight="1" x14ac:dyDescent="0.3">
      <c r="A80" s="1064">
        <v>73</v>
      </c>
      <c r="B80" s="235" t="str">
        <f>+'OT17-313 BOLIVIA'!R43</f>
        <v>D00249262</v>
      </c>
      <c r="C80" s="235" t="str">
        <f>+'OT17-313 BOLIVIA'!R44</f>
        <v>D00249262000</v>
      </c>
      <c r="D80" s="234" t="s">
        <v>2740</v>
      </c>
      <c r="E80" s="234" t="s">
        <v>1485</v>
      </c>
      <c r="F80" s="234">
        <f>+'OT17-313 BOLIVIA'!R42</f>
        <v>0</v>
      </c>
      <c r="G80" s="234" t="str">
        <f>+'OT17-313 BOLIVIA'!A7</f>
        <v>Proyecto: CDIE_CBCCSM_R0178 REPOSICIÓN INTERRUPTORES</v>
      </c>
      <c r="H80" s="618">
        <f>+'OT17-313 BOLIVIA'!H28</f>
        <v>15272902</v>
      </c>
      <c r="I80" s="618">
        <f>+'OT17-313 BOLIVIA'!H29</f>
        <v>0</v>
      </c>
      <c r="J80" s="618"/>
      <c r="K80" s="618">
        <f>+'OT17-313 BOLIVIA'!H30</f>
        <v>15272902</v>
      </c>
      <c r="L80" s="618">
        <f>+'OT17-313 BOLIVIA'!H33</f>
        <v>2901851.38</v>
      </c>
      <c r="M80" s="618">
        <f>+'OT17-313 BOLIVIA'!H34</f>
        <v>18174753.379999999</v>
      </c>
      <c r="N80" s="922">
        <f>+'OT17-313 BOLIVIA'!R28</f>
        <v>0</v>
      </c>
      <c r="O80" s="923">
        <f>+'OT17-313 BOLIVIA'!S32</f>
        <v>0</v>
      </c>
      <c r="P80" s="618">
        <f>+'OT17-313 BOLIVIA'!R29</f>
        <v>0</v>
      </c>
      <c r="Q80" s="618">
        <f>+'OT17-313 BOLIVIA'!R31</f>
        <v>0</v>
      </c>
      <c r="R80" s="618">
        <f>+'OT17-313 BOLIVIA'!R32</f>
        <v>0</v>
      </c>
      <c r="S80" s="618">
        <f>+'OT17-313 BOLIVIA'!R33</f>
        <v>0</v>
      </c>
      <c r="T80" s="618">
        <f>+'OT17-313 BOLIVIA'!R34</f>
        <v>0</v>
      </c>
      <c r="U80" s="750" t="str">
        <f>+'OT17-313 BOLIVIA'!A8</f>
        <v>Acta N° 3: Marzo</v>
      </c>
      <c r="V80" s="234"/>
      <c r="W80" s="925"/>
      <c r="X80" s="925"/>
      <c r="Y80" s="925"/>
      <c r="Z80" s="925"/>
      <c r="AA80" s="925"/>
      <c r="AB80" s="926"/>
      <c r="AC80" s="927"/>
      <c r="AD80" s="927"/>
      <c r="AE80" s="927"/>
      <c r="AF80" s="927"/>
      <c r="AG80" s="925"/>
      <c r="AH80" s="927"/>
      <c r="AJ80" s="925"/>
    </row>
    <row r="81" spans="1:36" s="924" customFormat="1" ht="57" customHeight="1" x14ac:dyDescent="0.3">
      <c r="A81" s="1064">
        <v>74</v>
      </c>
      <c r="B81" s="235" t="str">
        <f>+'OT17-318 FONTIBÓN '!U36</f>
        <v>D00249394</v>
      </c>
      <c r="C81" s="235" t="str">
        <f>+'OT17-318 FONTIBÓN '!U37</f>
        <v>D00249394000</v>
      </c>
      <c r="D81" s="234" t="s">
        <v>2741</v>
      </c>
      <c r="E81" s="234" t="s">
        <v>2742</v>
      </c>
      <c r="F81" s="234">
        <f>+'OT17-318 FONTIBÓN '!U35</f>
        <v>0</v>
      </c>
      <c r="G81" s="234" t="str">
        <f>+'OT17-318 FONTIBÓN '!A7</f>
        <v>Proyecto: Adecuación sismoresistente Casa control SE Fontibón</v>
      </c>
      <c r="H81" s="618">
        <f>+'OT17-318 FONTIBÓN '!H20</f>
        <v>24042844</v>
      </c>
      <c r="I81" s="618">
        <f>+'OT17-318 FONTIBÓN '!H21</f>
        <v>0</v>
      </c>
      <c r="J81" s="618"/>
      <c r="K81" s="618">
        <f>+'OT17-318 FONTIBÓN '!H22</f>
        <v>24042844</v>
      </c>
      <c r="L81" s="618">
        <f>+'OT17-318 FONTIBÓN '!H25</f>
        <v>4568140.3600000003</v>
      </c>
      <c r="M81" s="618">
        <f>+'OT17-318 FONTIBÓN '!H26</f>
        <v>28610984.359999999</v>
      </c>
      <c r="N81" s="922">
        <f>+'OT17-318 FONTIBÓN '!U20</f>
        <v>0</v>
      </c>
      <c r="O81" s="923">
        <f>+'OT17-318 FONTIBÓN '!V24</f>
        <v>0</v>
      </c>
      <c r="P81" s="618">
        <f>+'OT17-318 FONTIBÓN '!U21</f>
        <v>0</v>
      </c>
      <c r="Q81" s="618">
        <f>+'OT17-318 FONTIBÓN '!U23</f>
        <v>0</v>
      </c>
      <c r="R81" s="618">
        <f>+'OT17-318 FONTIBÓN '!U24</f>
        <v>0</v>
      </c>
      <c r="S81" s="618">
        <f>+'OT17-318 FONTIBÓN '!U25</f>
        <v>0</v>
      </c>
      <c r="T81" s="618">
        <f>+'OT17-318 FONTIBÓN '!U26</f>
        <v>0</v>
      </c>
      <c r="U81" s="750" t="str">
        <f>+'OT17-318 FONTIBÓN '!A8</f>
        <v>Acta N° 4: Marzo</v>
      </c>
      <c r="V81" s="234"/>
      <c r="W81" s="925"/>
      <c r="X81" s="925"/>
      <c r="Y81" s="925"/>
      <c r="Z81" s="925"/>
      <c r="AA81" s="925"/>
      <c r="AB81" s="926"/>
      <c r="AC81" s="927"/>
      <c r="AD81" s="927"/>
      <c r="AE81" s="927"/>
      <c r="AF81" s="927"/>
      <c r="AG81" s="925"/>
      <c r="AH81" s="927"/>
      <c r="AJ81" s="925"/>
    </row>
    <row r="82" spans="1:36" s="924" customFormat="1" ht="57" customHeight="1" x14ac:dyDescent="0.3">
      <c r="A82" s="1064">
        <v>75</v>
      </c>
      <c r="B82" s="235" t="str">
        <f>+'OT17-332 CÁQUEZA'!O48</f>
        <v>D00243135</v>
      </c>
      <c r="C82" s="235" t="str">
        <f>+'OT17-332 CÁQUEZA'!O49</f>
        <v>D00243135000</v>
      </c>
      <c r="D82" s="234" t="s">
        <v>2743</v>
      </c>
      <c r="E82" s="234" t="s">
        <v>2744</v>
      </c>
      <c r="F82" s="234">
        <f>+'OT17-332 CÁQUEZA'!O47</f>
        <v>0</v>
      </c>
      <c r="G82" s="234" t="str">
        <f>+'OT17-332 CÁQUEZA'!A7</f>
        <v>Proyecto: CDIM_CAOLIG_R0078 - RES. CREG 038-14 CÓDIGO DE MEDIDA</v>
      </c>
      <c r="H82" s="618">
        <f>+'OT17-332 CÁQUEZA'!H33</f>
        <v>7232937</v>
      </c>
      <c r="I82" s="618">
        <f>+'OT17-332 CÁQUEZA'!H34</f>
        <v>0</v>
      </c>
      <c r="J82" s="618"/>
      <c r="K82" s="618">
        <f>+'OT17-332 CÁQUEZA'!H35</f>
        <v>7232937</v>
      </c>
      <c r="L82" s="618">
        <f>+'OT17-332 CÁQUEZA'!H38</f>
        <v>1374258.03</v>
      </c>
      <c r="M82" s="618">
        <f>+'OT17-332 CÁQUEZA'!H39</f>
        <v>8607195.0299999993</v>
      </c>
      <c r="N82" s="922">
        <f>+'OT17-332 CÁQUEZA'!O33</f>
        <v>0</v>
      </c>
      <c r="O82" s="923">
        <f>+'OT17-332 CÁQUEZA'!P37</f>
        <v>0</v>
      </c>
      <c r="P82" s="618">
        <f>+'OT17-332 CÁQUEZA'!O34</f>
        <v>0</v>
      </c>
      <c r="Q82" s="618">
        <f>+'OT17-332 CÁQUEZA'!O36</f>
        <v>0</v>
      </c>
      <c r="R82" s="618">
        <f>+'OT17-332 CÁQUEZA'!O37</f>
        <v>0</v>
      </c>
      <c r="S82" s="618">
        <f>+'OT17-332 CÁQUEZA'!O38</f>
        <v>0</v>
      </c>
      <c r="T82" s="618">
        <f>+'OT17-332 CÁQUEZA'!O39</f>
        <v>0</v>
      </c>
      <c r="U82" s="750" t="str">
        <f>+'OT17-332 CÁQUEZA'!A8</f>
        <v>Acta N° 2: Marzo</v>
      </c>
      <c r="V82" s="234"/>
      <c r="W82" s="925"/>
      <c r="X82" s="925"/>
      <c r="Y82" s="925"/>
      <c r="Z82" s="925"/>
      <c r="AA82" s="925"/>
      <c r="AB82" s="926"/>
      <c r="AC82" s="927"/>
      <c r="AD82" s="927"/>
      <c r="AE82" s="927"/>
      <c r="AF82" s="927"/>
      <c r="AG82" s="925"/>
      <c r="AH82" s="927"/>
      <c r="AJ82" s="925"/>
    </row>
    <row r="83" spans="1:36" s="924" customFormat="1" ht="57" customHeight="1" x14ac:dyDescent="0.3">
      <c r="A83" s="1064">
        <v>76</v>
      </c>
      <c r="B83" s="1201" t="str">
        <f>+'OT17-333 CONCORDIA'!X51</f>
        <v>D00249500</v>
      </c>
      <c r="C83" s="1201" t="str">
        <f>+'OT17-333 CONCORDIA'!X52</f>
        <v>D00249500000</v>
      </c>
      <c r="D83" s="1202" t="s">
        <v>1236</v>
      </c>
      <c r="E83" s="1202" t="s">
        <v>1278</v>
      </c>
      <c r="F83" s="1202">
        <f>'OT17-333 CONCORDIA'!R50</f>
        <v>0</v>
      </c>
      <c r="G83" s="1202" t="str">
        <f>'OT17-333 CONCORDIA'!A7</f>
        <v>Proyecto: SE Concordia - CDIM_CBSGSM_R0120</v>
      </c>
      <c r="H83" s="1203">
        <f>'OT17-333 CONCORDIA'!H35</f>
        <v>63849504</v>
      </c>
      <c r="I83" s="1203">
        <f>'OT17-333 CONCORDIA'!H36</f>
        <v>0</v>
      </c>
      <c r="J83" s="1203"/>
      <c r="K83" s="1203">
        <f>'OT17-333 CONCORDIA'!H37</f>
        <v>63849504</v>
      </c>
      <c r="L83" s="1203">
        <f>'OT17-333 CONCORDIA'!H40</f>
        <v>12131405.76</v>
      </c>
      <c r="M83" s="1203">
        <f>'OT17-333 CONCORDIA'!H41</f>
        <v>75980909.760000005</v>
      </c>
      <c r="N83" s="1215">
        <f>+'OT17-333 CONCORDIA'!X35</f>
        <v>10517674</v>
      </c>
      <c r="O83" s="1208">
        <f>+'OT17-333 CONCORDIA'!Y39</f>
        <v>0.16719689788036568</v>
      </c>
      <c r="P83" s="1215">
        <f>+'OT17-333 CONCORDIA'!X36</f>
        <v>0</v>
      </c>
      <c r="Q83" s="1203">
        <f>+'OT17-333 CONCORDIA'!X38</f>
        <v>157765</v>
      </c>
      <c r="R83" s="1215">
        <f>+'OT17-333 CONCORDIA'!X39</f>
        <v>10675439</v>
      </c>
      <c r="S83" s="1203">
        <f>+'OT17-333 CONCORDIA'!X40</f>
        <v>2028333</v>
      </c>
      <c r="T83" s="1203">
        <f>+'OT17-333 CONCORDIA'!X41</f>
        <v>12703772</v>
      </c>
      <c r="U83" s="1206" t="str">
        <f>'OT17-333 CONCORDIA'!A8</f>
        <v>Acta N° 5: Febrero</v>
      </c>
      <c r="V83" s="1202" t="s">
        <v>1504</v>
      </c>
      <c r="W83" s="925"/>
      <c r="X83" s="925"/>
      <c r="Y83" s="925"/>
      <c r="Z83" s="925"/>
      <c r="AA83" s="925"/>
      <c r="AB83" s="926"/>
      <c r="AC83" s="927"/>
      <c r="AD83" s="927"/>
      <c r="AE83" s="927"/>
      <c r="AF83" s="927"/>
      <c r="AG83" s="925"/>
      <c r="AH83" s="927"/>
      <c r="AJ83" s="925"/>
    </row>
    <row r="84" spans="1:36" s="924" customFormat="1" ht="75.75" customHeight="1" x14ac:dyDescent="0.3">
      <c r="A84" s="1064">
        <v>77</v>
      </c>
      <c r="B84" s="235" t="str">
        <f>+'OT17-334 VICTORIA '!R73</f>
        <v>D00249389</v>
      </c>
      <c r="C84" s="235" t="str">
        <f>+'OT17-334 VICTORIA '!R74</f>
        <v>D00249389000</v>
      </c>
      <c r="D84" s="234" t="s">
        <v>466</v>
      </c>
      <c r="E84" s="234" t="s">
        <v>1491</v>
      </c>
      <c r="F84" s="234">
        <f>'OT17-334 VICTORIA '!O71</f>
        <v>0</v>
      </c>
      <c r="G84" s="234" t="str">
        <f>'OT17-334 VICTORIA '!A7</f>
        <v>Proyecto: CDIM_CAOLIG_R0078 - RES. CREG 038-14 CÓDIGO DE MEDIDA</v>
      </c>
      <c r="H84" s="618">
        <f>'OT17-334 VICTORIA '!H57</f>
        <v>12492546.98</v>
      </c>
      <c r="I84" s="618">
        <f>'OT17-334 VICTORIA '!H58</f>
        <v>0</v>
      </c>
      <c r="J84" s="618"/>
      <c r="K84" s="618">
        <f>'OT17-334 VICTORIA '!H59</f>
        <v>12492546.98</v>
      </c>
      <c r="L84" s="618">
        <f>'OT17-334 VICTORIA '!H62</f>
        <v>2373583.9262000001</v>
      </c>
      <c r="M84" s="618">
        <f>'OT17-334 VICTORIA '!H63</f>
        <v>14866130.906200001</v>
      </c>
      <c r="N84" s="922">
        <f>+'OT17-334 VICTORIA '!X57</f>
        <v>0</v>
      </c>
      <c r="O84" s="923">
        <f>+'OT17-334 VICTORIA '!Y61</f>
        <v>0</v>
      </c>
      <c r="P84" s="922">
        <f>+'OT17-334 VICTORIA '!U58</f>
        <v>0</v>
      </c>
      <c r="Q84" s="922">
        <f>+'OT17-334 VICTORIA '!X60</f>
        <v>0</v>
      </c>
      <c r="R84" s="922">
        <f>+'OT17-334 VICTORIA '!X61</f>
        <v>0</v>
      </c>
      <c r="S84" s="922">
        <f>+'OT17-334 VICTORIA '!X62</f>
        <v>0</v>
      </c>
      <c r="T84" s="922">
        <f>+'OT17-334 VICTORIA '!X63</f>
        <v>0</v>
      </c>
      <c r="U84" s="750" t="str">
        <f>'OT17-334 VICTORIA '!A8</f>
        <v>Acta N° 5: Marzo</v>
      </c>
      <c r="V84" s="234" t="s">
        <v>529</v>
      </c>
      <c r="W84" s="925"/>
      <c r="X84" s="925"/>
      <c r="Y84" s="925"/>
      <c r="Z84" s="925"/>
      <c r="AA84" s="925"/>
      <c r="AB84" s="926"/>
      <c r="AC84" s="927"/>
      <c r="AD84" s="927"/>
      <c r="AE84" s="927"/>
      <c r="AF84" s="927"/>
      <c r="AG84" s="925"/>
      <c r="AH84" s="927"/>
      <c r="AJ84" s="925"/>
    </row>
    <row r="85" spans="1:36" s="924" customFormat="1" ht="75.75" customHeight="1" x14ac:dyDescent="0.3">
      <c r="A85" s="1064">
        <v>78</v>
      </c>
      <c r="B85" s="235" t="str">
        <f>'OT17-335 VICTORIA TAB REG'!O31</f>
        <v>D00234959</v>
      </c>
      <c r="C85" s="929">
        <f>'OT17-335 VICTORIA TAB REG'!O32</f>
        <v>0</v>
      </c>
      <c r="D85" s="234" t="s">
        <v>466</v>
      </c>
      <c r="E85" s="234" t="s">
        <v>1492</v>
      </c>
      <c r="F85" s="234">
        <f>'OT17-335 VICTORIA TAB REG'!O30</f>
        <v>0</v>
      </c>
      <c r="G85" s="234" t="str">
        <f>'OT17-335 VICTORIA TAB REG'!A7</f>
        <v>Proyecto: CDIM_CBSGSM_R0161, Normalización y Reposición SE VICTORIA</v>
      </c>
      <c r="H85" s="618">
        <f>'OT17-335 VICTORIA TAB REG'!H17</f>
        <v>6234172</v>
      </c>
      <c r="I85" s="618">
        <f>'OT17-335 VICTORIA TAB REG'!H18</f>
        <v>0</v>
      </c>
      <c r="J85" s="618"/>
      <c r="K85" s="618">
        <f>'OT17-335 VICTORIA TAB REG'!H19</f>
        <v>6234172</v>
      </c>
      <c r="L85" s="618">
        <f>'OT17-335 VICTORIA TAB REG'!H22</f>
        <v>1184492.68</v>
      </c>
      <c r="M85" s="618">
        <f>'OT17-335 VICTORIA TAB REG'!H23</f>
        <v>7418664.6799999997</v>
      </c>
      <c r="N85" s="922">
        <f>+'OT17-335 VICTORIA TAB REG'!R17</f>
        <v>0</v>
      </c>
      <c r="O85" s="923">
        <f>+'OT17-335 VICTORIA TAB REG'!S21</f>
        <v>0</v>
      </c>
      <c r="P85" s="618">
        <f>+'OT17-335 VICTORIA TAB REG'!R18</f>
        <v>0</v>
      </c>
      <c r="Q85" s="618">
        <f>+'OT17-335 VICTORIA TAB REG'!R20</f>
        <v>0</v>
      </c>
      <c r="R85" s="618">
        <f>+'OT17-335 VICTORIA TAB REG'!R21</f>
        <v>0</v>
      </c>
      <c r="S85" s="618">
        <f>+'OT17-335 VICTORIA TAB REG'!R22</f>
        <v>0</v>
      </c>
      <c r="T85" s="618">
        <f>+'OT17-335 VICTORIA TAB REG'!R23</f>
        <v>0</v>
      </c>
      <c r="U85" s="750" t="str">
        <f>'OT17-335 VICTORIA TAB REG'!A8</f>
        <v>Acta N° 3: Marzo</v>
      </c>
      <c r="V85" s="234" t="s">
        <v>530</v>
      </c>
      <c r="W85" s="925"/>
      <c r="X85" s="925"/>
      <c r="Y85" s="925"/>
      <c r="Z85" s="925"/>
      <c r="AA85" s="925"/>
      <c r="AB85" s="926"/>
      <c r="AC85" s="927"/>
      <c r="AD85" s="927"/>
      <c r="AE85" s="927"/>
      <c r="AF85" s="927"/>
      <c r="AG85" s="925"/>
      <c r="AH85" s="927"/>
      <c r="AJ85" s="925"/>
    </row>
    <row r="86" spans="1:36" s="924" customFormat="1" ht="75.75" customHeight="1" x14ac:dyDescent="0.3">
      <c r="A86" s="1064">
        <v>79</v>
      </c>
      <c r="B86" s="235" t="str">
        <f>+'OT17-337 LLTT TERMOZIPA - AGAFA'!L28</f>
        <v>D00255084</v>
      </c>
      <c r="C86" s="929" t="str">
        <f>+'OT17-337 LLTT TERMOZIPA - AGAFA'!L29</f>
        <v>D00255084000</v>
      </c>
      <c r="D86" s="234" t="s">
        <v>2745</v>
      </c>
      <c r="E86" s="234" t="s">
        <v>1493</v>
      </c>
      <c r="F86" s="234">
        <f>+'OT17-337 LLTT TERMOZIPA - AGAFA'!L27</f>
        <v>0</v>
      </c>
      <c r="G86" s="234" t="str">
        <f>+'OT17-337 LLTT TERMOZIPA - AGAFA'!A7</f>
        <v>Proyecto: Alternativa para Maniobra de montaje de poste P5 de LT Termozipa Agafano Leona Gran Sabana</v>
      </c>
      <c r="H86" s="618">
        <f>+'OT17-337 LLTT TERMOZIPA - AGAFA'!H16</f>
        <v>2228604</v>
      </c>
      <c r="I86" s="618">
        <f>+'OT17-337 LLTT TERMOZIPA - AGAFA'!H17</f>
        <v>0</v>
      </c>
      <c r="J86" s="618"/>
      <c r="K86" s="618">
        <f>+'OT17-337 LLTT TERMOZIPA - AGAFA'!H18</f>
        <v>2228604</v>
      </c>
      <c r="L86" s="618">
        <f>+'OT17-337 LLTT TERMOZIPA - AGAFA'!H21</f>
        <v>423434.76</v>
      </c>
      <c r="M86" s="618">
        <f>+'OT17-337 LLTT TERMOZIPA - AGAFA'!H22</f>
        <v>2652038.7599999998</v>
      </c>
      <c r="N86" s="922">
        <f>+'OT17-337 LLTT TERMOZIPA - AGAFA'!L16</f>
        <v>0</v>
      </c>
      <c r="O86" s="923">
        <f>+'OT17-337 LLTT TERMOZIPA - AGAFA'!M20</f>
        <v>0</v>
      </c>
      <c r="P86" s="618">
        <f>+'OT17-337 LLTT TERMOZIPA - AGAFA'!L17</f>
        <v>0</v>
      </c>
      <c r="Q86" s="618">
        <f>+'OT17-337 LLTT TERMOZIPA - AGAFA'!L19</f>
        <v>0</v>
      </c>
      <c r="R86" s="618">
        <f>+'OT17-337 LLTT TERMOZIPA - AGAFA'!L20</f>
        <v>0</v>
      </c>
      <c r="S86" s="618">
        <f>+'OT17-337 LLTT TERMOZIPA - AGAFA'!L21</f>
        <v>0</v>
      </c>
      <c r="T86" s="618">
        <f>+'OT17-337 LLTT TERMOZIPA - AGAFA'!L22</f>
        <v>0</v>
      </c>
      <c r="U86" s="750" t="str">
        <f>+'OT17-337 LLTT TERMOZIPA - AGAFA'!A8</f>
        <v>Acta N° 1: Marzo</v>
      </c>
      <c r="V86" s="234"/>
      <c r="W86" s="925"/>
      <c r="X86" s="925"/>
      <c r="Y86" s="925"/>
      <c r="Z86" s="925"/>
      <c r="AA86" s="925"/>
      <c r="AB86" s="926"/>
      <c r="AC86" s="927"/>
      <c r="AD86" s="927"/>
      <c r="AE86" s="927"/>
      <c r="AF86" s="927"/>
      <c r="AG86" s="925"/>
      <c r="AH86" s="927"/>
      <c r="AJ86" s="925"/>
    </row>
    <row r="87" spans="1:36" s="924" customFormat="1" ht="75.75" customHeight="1" x14ac:dyDescent="0.3">
      <c r="A87" s="1064">
        <v>80</v>
      </c>
      <c r="B87" s="235" t="str">
        <f>+'OT17-339 CALLE 51'!J45</f>
        <v>D00249389</v>
      </c>
      <c r="C87" s="929" t="str">
        <f>+'OT17-339 CALLE 51'!M47</f>
        <v>D00249389000</v>
      </c>
      <c r="D87" s="234" t="s">
        <v>1460</v>
      </c>
      <c r="E87" s="234" t="s">
        <v>2746</v>
      </c>
      <c r="F87" s="234">
        <f>+'OT17-339 CALLE 51'!M45</f>
        <v>0</v>
      </c>
      <c r="G87" s="234" t="str">
        <f>+'OT17-339 CALLE 51'!A7</f>
        <v>Proyecto: CDIM_CAOLIG_R0078 - RES. CREG 038-14 CÓDIGO DE MEDIDA</v>
      </c>
      <c r="H87" s="618">
        <f>+'OT17-339 CALLE 51'!G32</f>
        <v>680769</v>
      </c>
      <c r="I87" s="618">
        <f>+'OT17-339 CALLE 51'!G33</f>
        <v>0</v>
      </c>
      <c r="J87" s="618"/>
      <c r="K87" s="618">
        <f>+'OT17-339 CALLE 51'!G34</f>
        <v>680769</v>
      </c>
      <c r="L87" s="618">
        <f>+'OT17-339 CALLE 51'!G37</f>
        <v>129346.11</v>
      </c>
      <c r="M87" s="618">
        <f>+'OT17-339 CALLE 51'!G38</f>
        <v>810115.11</v>
      </c>
      <c r="N87" s="922">
        <f>+'OT17-339 CALLE 51'!M32</f>
        <v>0</v>
      </c>
      <c r="O87" s="923">
        <f>+'OT17-339 CALLE 51'!N36</f>
        <v>0</v>
      </c>
      <c r="P87" s="618">
        <f>+'OT17-339 CALLE 51'!M33</f>
        <v>0</v>
      </c>
      <c r="Q87" s="618">
        <f>+'OT17-339 CALLE 51'!M35</f>
        <v>0</v>
      </c>
      <c r="R87" s="618">
        <f>+'OT17-339 CALLE 51'!M36</f>
        <v>0</v>
      </c>
      <c r="S87" s="618">
        <f>+'OT17-339 CALLE 51'!M37</f>
        <v>0</v>
      </c>
      <c r="T87" s="618">
        <f>+'OT17-339 CALLE 51'!M38</f>
        <v>0</v>
      </c>
      <c r="U87" s="750" t="str">
        <f>+'OT17-339 CALLE 51'!A8</f>
        <v>Acta N° 2: Marzo</v>
      </c>
      <c r="V87" s="234"/>
      <c r="W87" s="925"/>
      <c r="X87" s="925"/>
      <c r="Y87" s="925"/>
      <c r="Z87" s="925"/>
      <c r="AA87" s="925"/>
      <c r="AB87" s="926"/>
      <c r="AC87" s="927"/>
      <c r="AD87" s="927"/>
      <c r="AE87" s="927"/>
      <c r="AF87" s="927"/>
      <c r="AG87" s="925"/>
      <c r="AH87" s="927"/>
      <c r="AJ87" s="925"/>
    </row>
    <row r="88" spans="1:36" s="924" customFormat="1" ht="75.75" customHeight="1" x14ac:dyDescent="0.3">
      <c r="A88" s="1064">
        <v>81</v>
      </c>
      <c r="B88" s="235" t="str">
        <f>+'OT17-341 BOLIVIA'!M53</f>
        <v>D00249389</v>
      </c>
      <c r="C88" s="929" t="str">
        <f>+'OT17-341 BOLIVIA'!M54</f>
        <v>D00249389000</v>
      </c>
      <c r="D88" s="234" t="s">
        <v>2740</v>
      </c>
      <c r="E88" s="234" t="s">
        <v>2747</v>
      </c>
      <c r="F88" s="234">
        <f>+'OT17-341 BOLIVIA'!M52</f>
        <v>0</v>
      </c>
      <c r="G88" s="234" t="str">
        <f>+'OT17-341 BOLIVIA'!A7</f>
        <v>Proyecto: CDIM_CAOLIG_R0078 - RES. CREG 038-14 CÓDIGO DE MEDIDA</v>
      </c>
      <c r="H88" s="618">
        <f>+'OT17-341 BOLIVIA'!G39</f>
        <v>1023765</v>
      </c>
      <c r="I88" s="618">
        <f>+'OT17-341 BOLIVIA'!G40</f>
        <v>0</v>
      </c>
      <c r="J88" s="618"/>
      <c r="K88" s="618">
        <f>+'OT17-341 BOLIVIA'!G41</f>
        <v>1023765</v>
      </c>
      <c r="L88" s="618">
        <f>+'OT17-341 BOLIVIA'!G44</f>
        <v>194515.35</v>
      </c>
      <c r="M88" s="618">
        <f>+'OT17-341 BOLIVIA'!G45</f>
        <v>1218280.3500000001</v>
      </c>
      <c r="N88" s="922">
        <f>+'OT17-341 BOLIVIA'!M39</f>
        <v>0</v>
      </c>
      <c r="O88" s="923">
        <f>+'OT17-341 BOLIVIA'!N43</f>
        <v>0</v>
      </c>
      <c r="P88" s="618">
        <f>+'OT17-341 BOLIVIA'!M40</f>
        <v>0</v>
      </c>
      <c r="Q88" s="618">
        <f>+'OT17-341 BOLIVIA'!M42</f>
        <v>0</v>
      </c>
      <c r="R88" s="618">
        <f>+'OT17-341 BOLIVIA'!M43</f>
        <v>0</v>
      </c>
      <c r="S88" s="618">
        <f>+'OT17-341 BOLIVIA'!M44</f>
        <v>0</v>
      </c>
      <c r="T88" s="618">
        <f>+'OT17-341 BOLIVIA'!M45</f>
        <v>0</v>
      </c>
      <c r="U88" s="750" t="str">
        <f>+'OT17-341 BOLIVIA'!A8</f>
        <v>Acta N° 2: Marzo</v>
      </c>
      <c r="V88" s="234"/>
      <c r="W88" s="925"/>
      <c r="X88" s="925"/>
      <c r="Y88" s="925"/>
      <c r="Z88" s="925"/>
      <c r="AA88" s="925"/>
      <c r="AB88" s="926"/>
      <c r="AC88" s="927"/>
      <c r="AD88" s="927"/>
      <c r="AE88" s="927"/>
      <c r="AF88" s="927"/>
      <c r="AG88" s="925"/>
      <c r="AH88" s="927"/>
      <c r="AJ88" s="925"/>
    </row>
    <row r="89" spans="1:36" s="924" customFormat="1" ht="75.75" customHeight="1" x14ac:dyDescent="0.3">
      <c r="A89" s="1064">
        <v>82</v>
      </c>
      <c r="B89" s="1201" t="str">
        <f>'OT17-342 TORCA'!L40</f>
        <v>D00249389</v>
      </c>
      <c r="C89" s="1201" t="str">
        <f>'OT17-342 TORCA'!L41</f>
        <v>D00249389000</v>
      </c>
      <c r="D89" s="1202" t="s">
        <v>1495</v>
      </c>
      <c r="E89" s="1202" t="s">
        <v>1494</v>
      </c>
      <c r="F89" s="1202">
        <f>'OT17-342 TORCA'!L39</f>
        <v>0</v>
      </c>
      <c r="G89" s="1202" t="str">
        <f>'OT17-342 TORCA'!A7</f>
        <v>Proyecto: CDIM_CAOLIG_R0078 - RES. CREG 038-14 CÓDIGO DE MEDIDA</v>
      </c>
      <c r="H89" s="1203">
        <f>'OT17-342 TORCA'!H25</f>
        <v>503177</v>
      </c>
      <c r="I89" s="1203">
        <f>'OT17-342 TORCA'!H26</f>
        <v>0</v>
      </c>
      <c r="J89" s="1203"/>
      <c r="K89" s="1203">
        <f>'OT17-342 TORCA'!H27</f>
        <v>503177</v>
      </c>
      <c r="L89" s="1203">
        <f>'OT17-342 TORCA'!H30</f>
        <v>95603.63</v>
      </c>
      <c r="M89" s="1203">
        <f>'OT17-342 TORCA'!H31</f>
        <v>598780.63</v>
      </c>
      <c r="N89" s="1204">
        <f>+'OT17-342 TORCA'!O25</f>
        <v>139072</v>
      </c>
      <c r="O89" s="1208">
        <f>+'OT17-342 TORCA'!P29</f>
        <v>0.28053349020324858</v>
      </c>
      <c r="P89" s="1203">
        <f>+'OT17-342 TORCA'!O26</f>
        <v>0</v>
      </c>
      <c r="Q89" s="1203">
        <f>+'OT17-342 TORCA'!O28</f>
        <v>2086</v>
      </c>
      <c r="R89" s="1203">
        <f>+'OT17-342 TORCA'!O29</f>
        <v>141158</v>
      </c>
      <c r="S89" s="1203">
        <f>+'OT17-342 TORCA'!O30</f>
        <v>26820</v>
      </c>
      <c r="T89" s="1203">
        <f>+'OT17-342 TORCA'!O31</f>
        <v>167978</v>
      </c>
      <c r="U89" s="1206" t="str">
        <f>'OT17-342 TORCA'!A8</f>
        <v>Acta N° 2: Febrero</v>
      </c>
      <c r="V89" s="1202" t="s">
        <v>529</v>
      </c>
      <c r="W89" s="925"/>
      <c r="X89" s="925"/>
      <c r="Y89" s="925"/>
      <c r="Z89" s="925"/>
      <c r="AA89" s="925"/>
      <c r="AB89" s="926"/>
      <c r="AC89" s="927"/>
      <c r="AD89" s="927"/>
      <c r="AE89" s="927"/>
      <c r="AF89" s="927"/>
      <c r="AG89" s="925"/>
      <c r="AH89" s="927"/>
      <c r="AJ89" s="925"/>
    </row>
    <row r="90" spans="1:36" s="924" customFormat="1" ht="75.75" customHeight="1" x14ac:dyDescent="0.3">
      <c r="A90" s="1064">
        <v>83</v>
      </c>
      <c r="B90" s="235" t="str">
        <f>+'OT17-349 TERMOZIPA'!O31</f>
        <v>D00235026</v>
      </c>
      <c r="C90" s="235" t="str">
        <f>+'OT17-349 TERMOZIPA'!O32</f>
        <v>D00235026000</v>
      </c>
      <c r="D90" s="234" t="s">
        <v>2748</v>
      </c>
      <c r="E90" s="234" t="s">
        <v>2749</v>
      </c>
      <c r="F90" s="234">
        <f>+'OT17-349 TERMOZIPA'!O30</f>
        <v>0</v>
      </c>
      <c r="G90" s="234" t="str">
        <f>+'OT17-349 TERMOZIPA'!A7</f>
        <v>Proyecto: CDIM_CAOLIG_R0078 - RES. CREG 038-14 CÓDIGO DE MEDIDA</v>
      </c>
      <c r="H90" s="618">
        <f>+'OT17-349 TERMOZIPA'!H17</f>
        <v>292504</v>
      </c>
      <c r="I90" s="618">
        <f>+'OT17-349 TERMOZIPA'!H18</f>
        <v>0</v>
      </c>
      <c r="J90" s="618"/>
      <c r="K90" s="618">
        <f>+'OT17-349 TERMOZIPA'!H19</f>
        <v>292504</v>
      </c>
      <c r="L90" s="618">
        <f>+'OT17-349 TERMOZIPA'!H22</f>
        <v>55575.76</v>
      </c>
      <c r="M90" s="618">
        <f>+'OT17-349 TERMOZIPA'!H23</f>
        <v>348079.76</v>
      </c>
      <c r="N90" s="922">
        <f>+'OT17-349 TERMOZIPA'!O17</f>
        <v>0</v>
      </c>
      <c r="O90" s="923">
        <f>+'OT17-349 TERMOZIPA'!P21</f>
        <v>0</v>
      </c>
      <c r="P90" s="618">
        <f>+'OT17-349 TERMOZIPA'!O18</f>
        <v>0</v>
      </c>
      <c r="Q90" s="618">
        <f>+'OT17-349 TERMOZIPA'!O20</f>
        <v>0</v>
      </c>
      <c r="R90" s="618">
        <f>+'OT17-349 TERMOZIPA'!O21</f>
        <v>0</v>
      </c>
      <c r="S90" s="618">
        <f>+'OT17-349 TERMOZIPA'!O22</f>
        <v>0</v>
      </c>
      <c r="T90" s="618">
        <f>+'OT17-349 TERMOZIPA'!O23</f>
        <v>0</v>
      </c>
      <c r="U90" s="750" t="str">
        <f>+'OT17-349 TERMOZIPA'!A8</f>
        <v>Acta N° 2: Marzo</v>
      </c>
      <c r="V90" s="234"/>
      <c r="W90" s="925"/>
      <c r="X90" s="925"/>
      <c r="Y90" s="925"/>
      <c r="Z90" s="925"/>
      <c r="AA90" s="925"/>
      <c r="AB90" s="926"/>
      <c r="AC90" s="927"/>
      <c r="AD90" s="927"/>
      <c r="AE90" s="927"/>
      <c r="AF90" s="927"/>
      <c r="AG90" s="925"/>
      <c r="AH90" s="927"/>
      <c r="AJ90" s="925"/>
    </row>
    <row r="91" spans="1:36" s="924" customFormat="1" ht="75.75" customHeight="1" x14ac:dyDescent="0.3">
      <c r="A91" s="1064">
        <v>84</v>
      </c>
      <c r="B91" s="235" t="str">
        <f>+'OT17-359 LA PITALA'!O51</f>
        <v>D00243137</v>
      </c>
      <c r="C91" s="235" t="str">
        <f>+'OT17-359 LA PITALA'!O52</f>
        <v>D00243137000</v>
      </c>
      <c r="D91" s="234" t="s">
        <v>2750</v>
      </c>
      <c r="E91" s="234" t="s">
        <v>2751</v>
      </c>
      <c r="F91" s="234">
        <f>+'OT17-359 LA PITALA'!O50</f>
        <v>0</v>
      </c>
      <c r="G91" s="234" t="str">
        <f>+'OT17-359 LA PITALA'!A7</f>
        <v>Proyecto: CDIM_CAOLIG_R0078 - RES. CREG 038-14 CÓDIGO DE MEDIDA</v>
      </c>
      <c r="H91" s="618">
        <f>+'OT17-359 LA PITALA'!H37</f>
        <v>10564978</v>
      </c>
      <c r="I91" s="618">
        <f>+'OT17-359 LA PITALA'!H38</f>
        <v>21937.829999999998</v>
      </c>
      <c r="J91" s="618"/>
      <c r="K91" s="618">
        <f>+'OT17-359 LA PITALA'!H39</f>
        <v>10586915.83</v>
      </c>
      <c r="L91" s="618">
        <f>+'OT17-359 LA PITALA'!H42</f>
        <v>2011514.0077</v>
      </c>
      <c r="M91" s="618">
        <f>+'OT17-359 LA PITALA'!H43</f>
        <v>12598429.8377</v>
      </c>
      <c r="N91" s="922">
        <f>+'OT17-359 LA PITALA'!O37</f>
        <v>0</v>
      </c>
      <c r="O91" s="923">
        <f>+'OT17-359 LA PITALA'!P41</f>
        <v>0</v>
      </c>
      <c r="P91" s="618">
        <f>+'OT17-359 LA PITALA'!O38</f>
        <v>0</v>
      </c>
      <c r="Q91" s="618">
        <f>+'OT17-359 LA PITALA'!O40</f>
        <v>0</v>
      </c>
      <c r="R91" s="618">
        <f>+'OT17-359 LA PITALA'!O41</f>
        <v>0</v>
      </c>
      <c r="S91" s="618">
        <f>+'OT17-359 LA PITALA'!O42</f>
        <v>0</v>
      </c>
      <c r="T91" s="618">
        <f>+'OT17-359 LA PITALA'!O43</f>
        <v>0</v>
      </c>
      <c r="U91" s="750" t="str">
        <f>+'OT17-359 LA PITALA'!A8</f>
        <v>Acta N° 2: Marzo</v>
      </c>
      <c r="V91" s="234"/>
      <c r="W91" s="925"/>
      <c r="X91" s="925"/>
      <c r="Y91" s="925"/>
      <c r="Z91" s="925"/>
      <c r="AA91" s="925"/>
      <c r="AB91" s="926"/>
      <c r="AC91" s="927"/>
      <c r="AD91" s="927"/>
      <c r="AE91" s="927"/>
      <c r="AF91" s="927"/>
      <c r="AG91" s="925"/>
      <c r="AH91" s="927"/>
      <c r="AJ91" s="925"/>
    </row>
    <row r="92" spans="1:36" s="924" customFormat="1" ht="75.75" customHeight="1" x14ac:dyDescent="0.3">
      <c r="A92" s="1064">
        <v>85</v>
      </c>
      <c r="B92" s="235" t="str">
        <f>+'OT17-365 LA SALADA'!R54</f>
        <v>D00249388</v>
      </c>
      <c r="C92" s="235" t="str">
        <f>+'OT17-365 LA SALADA'!R55</f>
        <v>D00249388000</v>
      </c>
      <c r="D92" s="234" t="s">
        <v>2752</v>
      </c>
      <c r="E92" s="234" t="s">
        <v>2753</v>
      </c>
      <c r="F92" s="234">
        <f>+'OT17-365 LA SALADA'!R53</f>
        <v>0</v>
      </c>
      <c r="G92" s="234" t="str">
        <f>+'OT17-365 LA SALADA'!A7</f>
        <v>Proyecto: CDIM_CAOLIG_R0078 - RES. CREG 038-14 CÓDIGO DE MEDIDA</v>
      </c>
      <c r="H92" s="618">
        <f>+'OT17-365 LA SALADA'!H38</f>
        <v>9350118</v>
      </c>
      <c r="I92" s="618">
        <f>+'OT17-365 LA SALADA'!H39</f>
        <v>0</v>
      </c>
      <c r="J92" s="618"/>
      <c r="K92" s="618">
        <f>+'OT17-365 LA SALADA'!H40</f>
        <v>9350118</v>
      </c>
      <c r="L92" s="618">
        <f>+'OT17-365 LA SALADA'!H43</f>
        <v>1776522.42</v>
      </c>
      <c r="M92" s="618">
        <f>+'OT17-365 LA SALADA'!H44</f>
        <v>11126640.42</v>
      </c>
      <c r="N92" s="922">
        <f>+'OT17-365 LA SALADA'!R38</f>
        <v>0</v>
      </c>
      <c r="O92" s="923">
        <f>+'OT17-365 LA SALADA'!S42</f>
        <v>0</v>
      </c>
      <c r="P92" s="618">
        <f>+'OT17-365 LA SALADA'!R39</f>
        <v>0</v>
      </c>
      <c r="Q92" s="618">
        <f>+'OT17-365 LA SALADA'!R41</f>
        <v>0</v>
      </c>
      <c r="R92" s="618">
        <f>+'OT17-365 LA SALADA'!R42</f>
        <v>0</v>
      </c>
      <c r="S92" s="618">
        <f>+'OT17-365 LA SALADA'!R43</f>
        <v>0</v>
      </c>
      <c r="T92" s="618">
        <f>+'OT17-365 LA SALADA'!R44</f>
        <v>0</v>
      </c>
      <c r="U92" s="750" t="str">
        <f>+'OT17-365 LA SALADA'!A8</f>
        <v>Acta N° 3: Marzo</v>
      </c>
      <c r="V92" s="234"/>
      <c r="W92" s="925"/>
      <c r="X92" s="925"/>
      <c r="Y92" s="925"/>
      <c r="Z92" s="925"/>
      <c r="AA92" s="925"/>
      <c r="AB92" s="926"/>
      <c r="AC92" s="927"/>
      <c r="AD92" s="927"/>
      <c r="AE92" s="927"/>
      <c r="AF92" s="927"/>
      <c r="AG92" s="925"/>
      <c r="AH92" s="927"/>
      <c r="AJ92" s="925"/>
    </row>
    <row r="93" spans="1:36" s="924" customFormat="1" ht="75.75" customHeight="1" x14ac:dyDescent="0.3">
      <c r="A93" s="1064">
        <v>86</v>
      </c>
      <c r="B93" s="235" t="str">
        <f>+'OT17-367 VICTORIA'!L29</f>
        <v>D00235038</v>
      </c>
      <c r="C93" s="235" t="str">
        <f>+'OT17-367 VICTORIA'!L30</f>
        <v>D00235038000</v>
      </c>
      <c r="D93" s="234" t="s">
        <v>466</v>
      </c>
      <c r="E93" s="234" t="s">
        <v>2754</v>
      </c>
      <c r="F93" s="234">
        <f>+'OT17-367 VICTORIA'!L28</f>
        <v>0</v>
      </c>
      <c r="G93" s="234" t="str">
        <f>+'OT17-367 VICTORIA'!A7</f>
        <v>Proyecto: CDIM_CBSGSM_R0161 Normalización y Reposición SE VICTORIA</v>
      </c>
      <c r="H93" s="618">
        <f>+'OT17-367 VICTORIA'!H16</f>
        <v>766084</v>
      </c>
      <c r="I93" s="618">
        <f>+'OT17-367 VICTORIA'!H17</f>
        <v>0</v>
      </c>
      <c r="J93" s="618"/>
      <c r="K93" s="618">
        <f>+'OT17-367 VICTORIA'!H18</f>
        <v>766084</v>
      </c>
      <c r="L93" s="618">
        <f>+'OT17-367 VICTORIA'!H21</f>
        <v>145555.96</v>
      </c>
      <c r="M93" s="618">
        <f>+'OT17-367 VICTORIA'!H22</f>
        <v>911639.96</v>
      </c>
      <c r="N93" s="922">
        <f>+'OT17-367 VICTORIA'!L16</f>
        <v>0</v>
      </c>
      <c r="O93" s="923">
        <f>+'OT17-367 VICTORIA'!M20</f>
        <v>0</v>
      </c>
      <c r="P93" s="618">
        <f>+'OT17-367 VICTORIA'!L17</f>
        <v>0</v>
      </c>
      <c r="Q93" s="618">
        <f>+'OT17-367 VICTORIA'!L19</f>
        <v>0</v>
      </c>
      <c r="R93" s="618">
        <f>+'OT17-367 VICTORIA'!L20</f>
        <v>0</v>
      </c>
      <c r="S93" s="618">
        <f>+'OT17-367 VICTORIA'!L21</f>
        <v>0</v>
      </c>
      <c r="T93" s="618">
        <f>+'OT17-367 VICTORIA'!L22</f>
        <v>0</v>
      </c>
      <c r="U93" s="750" t="str">
        <f>+'OT17-367 VICTORIA'!A8</f>
        <v>Acta N° 1: Febrero</v>
      </c>
      <c r="V93" s="234"/>
      <c r="W93" s="925"/>
      <c r="X93" s="925"/>
      <c r="Y93" s="925"/>
      <c r="Z93" s="925"/>
      <c r="AA93" s="925"/>
      <c r="AB93" s="926"/>
      <c r="AC93" s="927"/>
      <c r="AD93" s="927"/>
      <c r="AE93" s="927"/>
      <c r="AF93" s="927"/>
      <c r="AG93" s="925"/>
      <c r="AH93" s="927"/>
      <c r="AJ93" s="925"/>
    </row>
    <row r="94" spans="1:36" s="924" customFormat="1" ht="57" customHeight="1" x14ac:dyDescent="0.3">
      <c r="A94" s="1064">
        <v>87</v>
      </c>
      <c r="B94" s="235" t="str">
        <f>'OT17-370 - LLTT GUAVIO - UBALA'!L42</f>
        <v>D00249402</v>
      </c>
      <c r="C94" s="235" t="str">
        <f>'OT17-370 - LLTT GUAVIO - UBALA'!L43</f>
        <v>D00249402000</v>
      </c>
      <c r="D94" s="234" t="s">
        <v>1668</v>
      </c>
      <c r="E94" s="234" t="s">
        <v>1667</v>
      </c>
      <c r="F94" s="234">
        <f>'OT17-370 - LLTT GUAVIO - UBALA'!L41</f>
        <v>0</v>
      </c>
      <c r="G94" s="234" t="str">
        <f>'OT17-370 - LLTT GUAVIO - UBALA'!A7</f>
        <v>Proyecto: Variante LT UL-GU</v>
      </c>
      <c r="H94" s="618">
        <f>'OT17-370 - LLTT GUAVIO - UBALA'!H28</f>
        <v>16335671</v>
      </c>
      <c r="I94" s="618">
        <f>'OT17-370 - LLTT GUAVIO - UBALA'!H29</f>
        <v>0</v>
      </c>
      <c r="J94" s="618"/>
      <c r="K94" s="618">
        <f>'OT17-370 - LLTT GUAVIO - UBALA'!H30</f>
        <v>16335671</v>
      </c>
      <c r="L94" s="618">
        <f>'OT17-370 - LLTT GUAVIO - UBALA'!H33</f>
        <v>3103777.49</v>
      </c>
      <c r="M94" s="618">
        <f>'OT17-370 - LLTT GUAVIO - UBALA'!H34</f>
        <v>19439448.490000002</v>
      </c>
      <c r="N94" s="922">
        <f>+'OT17-370 - LLTT GUAVIO - UBALA'!O28</f>
        <v>0</v>
      </c>
      <c r="O94" s="923">
        <f>+'OT17-370 - LLTT GUAVIO - UBALA'!P32</f>
        <v>0</v>
      </c>
      <c r="P94" s="618">
        <f>+'OT17-370 - LLTT GUAVIO - UBALA'!O29</f>
        <v>0</v>
      </c>
      <c r="Q94" s="618">
        <f>+'OT17-370 - LLTT GUAVIO - UBALA'!O31</f>
        <v>0</v>
      </c>
      <c r="R94" s="618">
        <f>+'OT17-370 - LLTT GUAVIO - UBALA'!O32</f>
        <v>0</v>
      </c>
      <c r="S94" s="618">
        <f>+'OT17-370 - LLTT GUAVIO - UBALA'!O33</f>
        <v>0</v>
      </c>
      <c r="T94" s="618">
        <f>+'OT17-370 - LLTT GUAVIO - UBALA'!O34</f>
        <v>0</v>
      </c>
      <c r="U94" s="750" t="str">
        <f>'OT17-370 - LLTT GUAVIO - UBALA'!A8</f>
        <v>Acta N° 2: Marzo</v>
      </c>
      <c r="V94" s="234" t="s">
        <v>1269</v>
      </c>
      <c r="W94" s="925"/>
      <c r="X94" s="925"/>
      <c r="Y94" s="925"/>
      <c r="Z94" s="925"/>
      <c r="AA94" s="925"/>
      <c r="AB94" s="926"/>
      <c r="AC94" s="927"/>
      <c r="AD94" s="927"/>
      <c r="AE94" s="927"/>
      <c r="AF94" s="927"/>
      <c r="AG94" s="925"/>
      <c r="AH94" s="927"/>
      <c r="AJ94" s="925"/>
    </row>
    <row r="95" spans="1:36" s="924" customFormat="1" ht="57" customHeight="1" x14ac:dyDescent="0.3">
      <c r="A95" s="1064">
        <v>88</v>
      </c>
      <c r="B95" s="235" t="str">
        <f>'OT17-371 VICTORIA'!L36</f>
        <v>D00235038</v>
      </c>
      <c r="C95" s="235" t="str">
        <f>'OT17-371 VICTORIA'!L37</f>
        <v>D00235038000</v>
      </c>
      <c r="D95" s="234" t="s">
        <v>466</v>
      </c>
      <c r="E95" s="234" t="s">
        <v>1669</v>
      </c>
      <c r="F95" s="234">
        <f>'OT17-371 VICTORIA'!L35</f>
        <v>0</v>
      </c>
      <c r="G95" s="234" t="str">
        <f>'OT17-371 VICTORIA'!A7</f>
        <v>Proyecto: CDIM_CBSGSM_R0161 Normalización y Reposición SE VICTORIA</v>
      </c>
      <c r="H95" s="618">
        <f>'OT17-371 VICTORIA'!H22</f>
        <v>2298248</v>
      </c>
      <c r="I95" s="618">
        <f>'OT17-371 VICTORIA'!H23</f>
        <v>0</v>
      </c>
      <c r="J95" s="618"/>
      <c r="K95" s="618">
        <f>'OT17-371 VICTORIA'!H24</f>
        <v>2298248</v>
      </c>
      <c r="L95" s="618">
        <f>'OT17-371 VICTORIA'!H27</f>
        <v>436667.12</v>
      </c>
      <c r="M95" s="618">
        <f>'OT17-371 VICTORIA'!H28</f>
        <v>2734915.12</v>
      </c>
      <c r="N95" s="922">
        <f>'OT17-371 VICTORIA'!O22</f>
        <v>724638</v>
      </c>
      <c r="O95" s="923">
        <f>'OT17-371 VICTORIA'!P26</f>
        <v>0.3200298662285358</v>
      </c>
      <c r="P95" s="618">
        <f>'OT17-371 VICTORIA'!O23</f>
        <v>0</v>
      </c>
      <c r="Q95" s="618">
        <f>'OT17-371 VICTORIA'!O25</f>
        <v>10870</v>
      </c>
      <c r="R95" s="618">
        <f>'OT17-371 VICTORIA'!O26</f>
        <v>735508</v>
      </c>
      <c r="S95" s="618">
        <f>'OT17-371 VICTORIA'!O27</f>
        <v>139746.51999999999</v>
      </c>
      <c r="T95" s="618">
        <f>'OT17-371 VICTORIA'!O28</f>
        <v>875254.52</v>
      </c>
      <c r="U95" s="750" t="str">
        <f>'OT17-371 VICTORIA'!A8</f>
        <v>Acta N° 2: Febrero</v>
      </c>
      <c r="V95" s="234" t="s">
        <v>1272</v>
      </c>
      <c r="W95" s="925"/>
      <c r="X95" s="925"/>
      <c r="Y95" s="925"/>
      <c r="Z95" s="925"/>
      <c r="AA95" s="925"/>
      <c r="AB95" s="926"/>
      <c r="AC95" s="927"/>
      <c r="AD95" s="927"/>
      <c r="AE95" s="927"/>
      <c r="AF95" s="927"/>
      <c r="AG95" s="925"/>
      <c r="AH95" s="927"/>
      <c r="AJ95" s="925"/>
    </row>
    <row r="96" spans="1:36" s="924" customFormat="1" ht="57" customHeight="1" x14ac:dyDescent="0.3">
      <c r="A96" s="1064">
        <v>89</v>
      </c>
      <c r="B96" s="235" t="str">
        <f>+'OT17-377 VIOTA IN-OUT'!R37</f>
        <v>D00235026</v>
      </c>
      <c r="C96" s="235" t="str">
        <f>+'OT17-377 VIOTA IN-OUT'!R38</f>
        <v>D00235026000</v>
      </c>
      <c r="D96" s="234" t="s">
        <v>2755</v>
      </c>
      <c r="E96" s="234" t="s">
        <v>2756</v>
      </c>
      <c r="F96" s="234">
        <f>+'OT17-377 VIOTA IN-OUT'!R36</f>
        <v>0</v>
      </c>
      <c r="G96" s="234" t="str">
        <f>+'OT17-377 VIOTA IN-OUT'!A7</f>
        <v>Proyecto: CDIE_CBCCSM_R0158, NORMALIZACIÓN SE MT-MT</v>
      </c>
      <c r="H96" s="618">
        <f>+'OT17-377 VIOTA IN-OUT'!H22</f>
        <v>31583501</v>
      </c>
      <c r="I96" s="618">
        <f>+'OT17-377 VIOTA IN-OUT'!H23</f>
        <v>415147.17599999998</v>
      </c>
      <c r="J96" s="618"/>
      <c r="K96" s="618">
        <f>+'OT17-377 VIOTA IN-OUT'!H24</f>
        <v>31998648.175999999</v>
      </c>
      <c r="L96" s="618">
        <f>+'OT17-377 VIOTA IN-OUT'!H27</f>
        <v>6079743.1534399996</v>
      </c>
      <c r="M96" s="618">
        <f>+'OT17-377 VIOTA IN-OUT'!H28</f>
        <v>38078391.329439998</v>
      </c>
      <c r="N96" s="922">
        <f>+'OT17-377 VIOTA IN-OUT'!R22</f>
        <v>0</v>
      </c>
      <c r="O96" s="923">
        <f>+'OT17-377 VIOTA IN-OUT'!S26</f>
        <v>0</v>
      </c>
      <c r="P96" s="618">
        <f>+'OT17-377 VIOTA IN-OUT'!R23</f>
        <v>0</v>
      </c>
      <c r="Q96" s="618">
        <f>+'OT17-377 VIOTA IN-OUT'!R25</f>
        <v>0</v>
      </c>
      <c r="R96" s="618">
        <f>+'OT17-377 VIOTA IN-OUT'!R26</f>
        <v>0</v>
      </c>
      <c r="S96" s="618">
        <f>+'OT17-377 VIOTA IN-OUT'!R27</f>
        <v>0</v>
      </c>
      <c r="T96" s="618">
        <f>+'OT17-377 VIOTA IN-OUT'!R28</f>
        <v>0</v>
      </c>
      <c r="U96" s="750" t="str">
        <f>+'OT17-377 VIOTA IN-OUT'!A8</f>
        <v>Acta N° 3: Marzo</v>
      </c>
      <c r="V96" s="234"/>
      <c r="W96" s="925"/>
      <c r="X96" s="925"/>
      <c r="Y96" s="925"/>
      <c r="Z96" s="925"/>
      <c r="AA96" s="925"/>
      <c r="AB96" s="926"/>
      <c r="AC96" s="927"/>
      <c r="AD96" s="927"/>
      <c r="AE96" s="927"/>
      <c r="AF96" s="927"/>
      <c r="AG96" s="925"/>
      <c r="AH96" s="927"/>
      <c r="AJ96" s="925"/>
    </row>
    <row r="97" spans="1:36" s="1229" customFormat="1" ht="57" customHeight="1" x14ac:dyDescent="0.3">
      <c r="A97" s="1219">
        <v>90</v>
      </c>
      <c r="B97" s="1220" t="str">
        <f>'OT17-378 AUTOPISTA'!L36</f>
        <v>D00249381</v>
      </c>
      <c r="C97" s="1220" t="str">
        <f>'OT17-378 AUTOPISTA'!L37</f>
        <v>D00249381000</v>
      </c>
      <c r="D97" s="1221" t="s">
        <v>1671</v>
      </c>
      <c r="E97" s="1221" t="s">
        <v>1670</v>
      </c>
      <c r="F97" s="1221">
        <f>'OT17-378 AUTOPISTA'!L35</f>
        <v>0</v>
      </c>
      <c r="G97" s="1221" t="str">
        <f>'OT17-378 AUTOPISTA'!A7</f>
        <v>Proyecto: CDIM_CBSGSM_R0118AT NORMALIZACIÓN REPOSICIÓN SE AUTOPISTA</v>
      </c>
      <c r="H97" s="1222">
        <f>'OT17-378 AUTOPISTA'!H23</f>
        <v>757377</v>
      </c>
      <c r="I97" s="1222">
        <f>'OT17-378 AUTOPISTA'!H24</f>
        <v>0</v>
      </c>
      <c r="J97" s="1222"/>
      <c r="K97" s="1222">
        <f>'OT17-378 AUTOPISTA'!H25</f>
        <v>757377</v>
      </c>
      <c r="L97" s="1222">
        <f>'OT17-378 AUTOPISTA'!H28</f>
        <v>143901.63</v>
      </c>
      <c r="M97" s="1222">
        <f>'OT17-378 AUTOPISTA'!H29</f>
        <v>901278.63</v>
      </c>
      <c r="N97" s="1223">
        <f>'OT17-378 AUTOPISTA'!L23</f>
        <v>796002</v>
      </c>
      <c r="O97" s="1224">
        <f>'OT17-378 AUTOPISTA'!M27</f>
        <v>1.0667633160235919</v>
      </c>
      <c r="P97" s="1222">
        <f>'OT17-378 AUTOPISTA'!L24</f>
        <v>0</v>
      </c>
      <c r="Q97" s="1222">
        <f>'OT17-378 AUTOPISTA'!L26</f>
        <v>11940</v>
      </c>
      <c r="R97" s="1222">
        <f>'OT17-378 AUTOPISTA'!L27</f>
        <v>807942</v>
      </c>
      <c r="S97" s="1222">
        <f>'OT17-378 AUTOPISTA'!L28</f>
        <v>153508.98000000001</v>
      </c>
      <c r="T97" s="1222">
        <f>'OT17-378 AUTOPISTA'!L29</f>
        <v>961450.98</v>
      </c>
      <c r="U97" s="1225" t="str">
        <f>'OT17-378 AUTOPISTA'!A8</f>
        <v>Acta N° 1: Febrero</v>
      </c>
      <c r="V97" s="1221" t="s">
        <v>1273</v>
      </c>
      <c r="W97" s="1226"/>
      <c r="X97" s="1226"/>
      <c r="Y97" s="1226"/>
      <c r="Z97" s="1226"/>
      <c r="AA97" s="1226"/>
      <c r="AB97" s="1227"/>
      <c r="AC97" s="1228"/>
      <c r="AD97" s="1228"/>
      <c r="AE97" s="1228"/>
      <c r="AF97" s="1228"/>
      <c r="AG97" s="1226"/>
      <c r="AH97" s="1228"/>
      <c r="AJ97" s="1226"/>
    </row>
    <row r="98" spans="1:36" s="1229" customFormat="1" ht="57" customHeight="1" x14ac:dyDescent="0.3">
      <c r="A98" s="1219">
        <v>91</v>
      </c>
      <c r="B98" s="1220" t="str">
        <f>'OT17-379 EL SOL'!R40</f>
        <v xml:space="preserve">D00249502 </v>
      </c>
      <c r="C98" s="1220" t="str">
        <f>'OT17-379 EL SOL'!R41</f>
        <v>D00249502000</v>
      </c>
      <c r="D98" s="1221" t="s">
        <v>1225</v>
      </c>
      <c r="E98" s="1221" t="s">
        <v>1672</v>
      </c>
      <c r="F98" s="1221">
        <f>'OT17-379 EL SOL'!L38</f>
        <v>0</v>
      </c>
      <c r="G98" s="1221" t="str">
        <f>'OT17-379 EL SOL'!A7</f>
        <v>Proyecto: CDIM_CBSGSM_R0146 - NORMALIZACIÓN Y REPOSICIÓN EL SOL</v>
      </c>
      <c r="H98" s="1222">
        <f>'OT17-379 EL SOL'!H25</f>
        <v>7601628</v>
      </c>
      <c r="I98" s="1222">
        <f>'OT17-379 EL SOL'!H26</f>
        <v>0</v>
      </c>
      <c r="J98" s="1222"/>
      <c r="K98" s="1222">
        <f>'OT17-379 EL SOL'!H27</f>
        <v>7601628</v>
      </c>
      <c r="L98" s="1222">
        <f>'OT17-379 EL SOL'!H30</f>
        <v>1444309.32</v>
      </c>
      <c r="M98" s="1222">
        <f>'OT17-379 EL SOL'!H31</f>
        <v>9045937.3200000003</v>
      </c>
      <c r="N98" s="1223">
        <f>'OT17-379 EL SOL'!R25</f>
        <v>1306543</v>
      </c>
      <c r="O98" s="1224">
        <f>'OT17-379 EL SOL'!S29</f>
        <v>0.1744548667732754</v>
      </c>
      <c r="P98" s="1222">
        <f>'OT17-379 EL SOL'!R26</f>
        <v>0</v>
      </c>
      <c r="Q98" s="1222">
        <f>'OT17-379 EL SOL'!R28</f>
        <v>19598</v>
      </c>
      <c r="R98" s="1222">
        <f>'OT17-379 EL SOL'!R29</f>
        <v>1326141</v>
      </c>
      <c r="S98" s="1222">
        <f>'OT17-379 EL SOL'!R30</f>
        <v>251966.79</v>
      </c>
      <c r="T98" s="1222">
        <f>'OT17-379 EL SOL'!R31</f>
        <v>1578107.79</v>
      </c>
      <c r="U98" s="1225" t="str">
        <f>'OT17-379 EL SOL'!A8</f>
        <v>Acta N° 3: Febrero</v>
      </c>
      <c r="V98" s="1221" t="s">
        <v>1272</v>
      </c>
      <c r="W98" s="1226"/>
      <c r="X98" s="1226"/>
      <c r="Y98" s="1226"/>
      <c r="Z98" s="1226"/>
      <c r="AA98" s="1226"/>
      <c r="AB98" s="1227"/>
      <c r="AC98" s="1228"/>
      <c r="AD98" s="1228"/>
      <c r="AE98" s="1228"/>
      <c r="AF98" s="1228"/>
      <c r="AG98" s="1226"/>
      <c r="AH98" s="1228"/>
      <c r="AJ98" s="1226"/>
    </row>
    <row r="99" spans="1:36" s="924" customFormat="1" ht="57" customHeight="1" x14ac:dyDescent="0.3">
      <c r="A99" s="1064">
        <v>92</v>
      </c>
      <c r="B99" s="235" t="str">
        <f>'OT17-383 BALMORAL'!O53</f>
        <v>D00249388</v>
      </c>
      <c r="C99" s="235" t="str">
        <f>'OT17-383 BALMORAL'!O54</f>
        <v>D00249388000</v>
      </c>
      <c r="D99" s="234" t="s">
        <v>1676</v>
      </c>
      <c r="E99" s="234" t="s">
        <v>1675</v>
      </c>
      <c r="F99" s="234">
        <f>'OT17-383 BALMORAL'!O52</f>
        <v>0</v>
      </c>
      <c r="G99" s="234" t="str">
        <f>'OT17-383 BALMORAL'!A7</f>
        <v>Proyecto: CDIM_CAOLIG_R0078 - RES. CREG 038-14 CÓDIGO DE MEDIDA</v>
      </c>
      <c r="H99" s="618">
        <f>'OT17-383 BALMORAL'!H38</f>
        <v>11736814</v>
      </c>
      <c r="I99" s="618">
        <f>'OT17-383 BALMORAL'!H39</f>
        <v>0</v>
      </c>
      <c r="J99" s="618"/>
      <c r="K99" s="618">
        <f>'OT17-383 BALMORAL'!H40</f>
        <v>11736814</v>
      </c>
      <c r="L99" s="618">
        <f>'OT17-383 BALMORAL'!H43</f>
        <v>2229994.66</v>
      </c>
      <c r="M99" s="618">
        <f>'OT17-383 BALMORAL'!H44</f>
        <v>13966808.66</v>
      </c>
      <c r="N99" s="922">
        <f>+'OT17-383 BALMORAL'!R38</f>
        <v>0</v>
      </c>
      <c r="O99" s="923">
        <f>+'OT17-383 BALMORAL'!S42</f>
        <v>0</v>
      </c>
      <c r="P99" s="618">
        <f>'OT17-383 BALMORAL'!O39</f>
        <v>0</v>
      </c>
      <c r="Q99" s="618">
        <f>+'OT17-383 BALMORAL'!R41</f>
        <v>0</v>
      </c>
      <c r="R99" s="618">
        <f>+'OT17-383 BALMORAL'!R42</f>
        <v>0</v>
      </c>
      <c r="S99" s="618">
        <f>+'OT17-383 BALMORAL'!R43</f>
        <v>0</v>
      </c>
      <c r="T99" s="618">
        <f>+'OT17-383 BALMORAL'!R44</f>
        <v>0</v>
      </c>
      <c r="U99" s="750" t="str">
        <f>'OT17-383 BALMORAL'!A8</f>
        <v>Acta N° 3: Marzo</v>
      </c>
      <c r="V99" s="234" t="s">
        <v>1270</v>
      </c>
      <c r="W99" s="925"/>
      <c r="X99" s="925"/>
      <c r="Y99" s="925"/>
      <c r="Z99" s="925"/>
      <c r="AA99" s="925"/>
      <c r="AB99" s="926"/>
      <c r="AC99" s="927"/>
      <c r="AD99" s="927"/>
      <c r="AE99" s="927"/>
      <c r="AF99" s="927"/>
      <c r="AG99" s="925"/>
      <c r="AH99" s="927"/>
      <c r="AJ99" s="925"/>
    </row>
    <row r="100" spans="1:36" s="924" customFormat="1" ht="57" customHeight="1" x14ac:dyDescent="0.3">
      <c r="A100" s="1064">
        <v>93</v>
      </c>
      <c r="B100" s="235" t="str">
        <f>+'OT17-384 LOS MANGOS'!O54</f>
        <v>D00243137</v>
      </c>
      <c r="C100" s="235" t="str">
        <f>+'OT17-384 LOS MANGOS'!O55</f>
        <v>D00243137000</v>
      </c>
      <c r="D100" s="234" t="s">
        <v>2757</v>
      </c>
      <c r="E100" s="234" t="s">
        <v>2758</v>
      </c>
      <c r="F100" s="234">
        <f>+'OT17-384 LOS MANGOS'!O53</f>
        <v>0</v>
      </c>
      <c r="G100" s="234" t="str">
        <f>+'OT17-384 LOS MANGOS'!A7</f>
        <v>Proyecto: CDIM_CAOLIG_R0078 - RES. CREG 038-14 CÓDIGO DE MEDIDA</v>
      </c>
      <c r="H100" s="618">
        <f>+'OT17-384 LOS MANGOS'!H38</f>
        <v>12264715</v>
      </c>
      <c r="I100" s="618">
        <f>+'OT17-384 LOS MANGOS'!H39</f>
        <v>0</v>
      </c>
      <c r="J100" s="618"/>
      <c r="K100" s="618">
        <f>+'OT17-384 LOS MANGOS'!H40</f>
        <v>12264715</v>
      </c>
      <c r="L100" s="618">
        <f>+'OT17-384 LOS MANGOS'!H43</f>
        <v>2330295.85</v>
      </c>
      <c r="M100" s="618">
        <f>+'OT17-384 LOS MANGOS'!H44</f>
        <v>14595010.85</v>
      </c>
      <c r="N100" s="922">
        <f>+'OT17-384 LOS MANGOS'!O38</f>
        <v>0</v>
      </c>
      <c r="O100" s="923">
        <f>+'OT17-384 LOS MANGOS'!P42</f>
        <v>0</v>
      </c>
      <c r="P100" s="618">
        <f>+'OT17-384 LOS MANGOS'!O39</f>
        <v>0</v>
      </c>
      <c r="Q100" s="618">
        <f>+'OT17-384 LOS MANGOS'!O41</f>
        <v>0</v>
      </c>
      <c r="R100" s="618">
        <f>+'OT17-384 LOS MANGOS'!O42</f>
        <v>0</v>
      </c>
      <c r="S100" s="618">
        <f>+'OT17-384 LOS MANGOS'!O43</f>
        <v>0</v>
      </c>
      <c r="T100" s="618">
        <f>+'OT17-384 LOS MANGOS'!O44</f>
        <v>0</v>
      </c>
      <c r="U100" s="750" t="str">
        <f>+'OT17-384 LOS MANGOS'!A8</f>
        <v>Acta N° 2: Marzo</v>
      </c>
      <c r="V100" s="234"/>
      <c r="W100" s="925"/>
      <c r="X100" s="925"/>
      <c r="Y100" s="925"/>
      <c r="Z100" s="925"/>
      <c r="AA100" s="925"/>
      <c r="AB100" s="926"/>
      <c r="AC100" s="927"/>
      <c r="AD100" s="927"/>
      <c r="AE100" s="927"/>
      <c r="AF100" s="927"/>
      <c r="AG100" s="925"/>
      <c r="AH100" s="927"/>
      <c r="AJ100" s="925"/>
    </row>
    <row r="101" spans="1:36" s="924" customFormat="1" ht="57" customHeight="1" x14ac:dyDescent="0.3">
      <c r="A101" s="1064">
        <v>94</v>
      </c>
      <c r="B101" s="235" t="str">
        <f>+'OT17-385 EL PEÑÓN '!O53</f>
        <v>D00243137</v>
      </c>
      <c r="C101" s="235" t="str">
        <f>+'OT17-385 EL PEÑÓN '!O54</f>
        <v>D00243137000</v>
      </c>
      <c r="D101" s="234" t="s">
        <v>2759</v>
      </c>
      <c r="E101" s="234" t="s">
        <v>2760</v>
      </c>
      <c r="F101" s="234">
        <f>+'OT17-385 EL PEÑÓN '!O52</f>
        <v>0</v>
      </c>
      <c r="G101" s="234" t="str">
        <f>+'OT17-385 EL PEÑÓN '!A7</f>
        <v>Proyecto: CDIM_CAOLIG_R0078 - RES. CREG 038-14 CÓDIGO DE MEDIDA</v>
      </c>
      <c r="H101" s="618">
        <f>+'OT17-385 EL PEÑÓN '!H38</f>
        <v>8660642</v>
      </c>
      <c r="I101" s="618">
        <f>+'OT17-385 EL PEÑÓN '!H39</f>
        <v>0</v>
      </c>
      <c r="J101" s="618"/>
      <c r="K101" s="618">
        <f>+'OT17-385 EL PEÑÓN '!H40</f>
        <v>8660642</v>
      </c>
      <c r="L101" s="618">
        <f>+'OT17-385 EL PEÑÓN '!H43</f>
        <v>1645521.98</v>
      </c>
      <c r="M101" s="618">
        <f>+'OT17-385 EL PEÑÓN '!H44</f>
        <v>10306163.98</v>
      </c>
      <c r="N101" s="922">
        <f>+'OT17-385 EL PEÑÓN '!O38</f>
        <v>0</v>
      </c>
      <c r="O101" s="923">
        <f>+'OT17-385 EL PEÑÓN '!P42</f>
        <v>0</v>
      </c>
      <c r="P101" s="618">
        <f>+'OT17-385 EL PEÑÓN '!O39</f>
        <v>0</v>
      </c>
      <c r="Q101" s="618">
        <f>+'OT17-385 EL PEÑÓN '!O41</f>
        <v>0</v>
      </c>
      <c r="R101" s="618">
        <f>+'OT17-385 EL PEÑÓN '!O42</f>
        <v>0</v>
      </c>
      <c r="S101" s="618">
        <f>+'OT17-385 EL PEÑÓN '!O43</f>
        <v>0</v>
      </c>
      <c r="T101" s="618">
        <f>+'OT17-385 EL PEÑÓN '!O44</f>
        <v>0</v>
      </c>
      <c r="U101" s="750" t="str">
        <f>+'OT17-385 EL PEÑÓN '!A8</f>
        <v>Acta N° 2: Marzo</v>
      </c>
      <c r="V101" s="234"/>
      <c r="W101" s="925"/>
      <c r="X101" s="925"/>
      <c r="Y101" s="925"/>
      <c r="Z101" s="925"/>
      <c r="AA101" s="925"/>
      <c r="AB101" s="926"/>
      <c r="AC101" s="927"/>
      <c r="AD101" s="927"/>
      <c r="AE101" s="927"/>
      <c r="AF101" s="927"/>
      <c r="AG101" s="925"/>
      <c r="AH101" s="927"/>
      <c r="AJ101" s="925"/>
    </row>
    <row r="102" spans="1:36" s="924" customFormat="1" ht="57" customHeight="1" x14ac:dyDescent="0.3">
      <c r="A102" s="1064">
        <v>95</v>
      </c>
      <c r="B102" s="235" t="str">
        <f>+'OT17-386 CHOACHÍ'!R55</f>
        <v>D00243137</v>
      </c>
      <c r="C102" s="235" t="str">
        <f>+'OT17-386 CHOACHÍ'!R56</f>
        <v>D00243137000</v>
      </c>
      <c r="D102" s="234" t="s">
        <v>2761</v>
      </c>
      <c r="E102" s="234" t="s">
        <v>2762</v>
      </c>
      <c r="F102" s="234">
        <f>+'OT17-386 CHOACHÍ'!R54</f>
        <v>0</v>
      </c>
      <c r="G102" s="234" t="str">
        <f>+'OT17-386 CHOACHÍ'!A7</f>
        <v>Proyecto: CDIM_CAOLIG_R0078 - RES. CREG 038-14 CÓDIGO DE MEDIDA</v>
      </c>
      <c r="H102" s="618">
        <f>+'OT17-386 CHOACHÍ'!H38</f>
        <v>7678662</v>
      </c>
      <c r="I102" s="618">
        <f>+'OT17-386 CHOACHÍ'!H39</f>
        <v>0</v>
      </c>
      <c r="J102" s="618"/>
      <c r="K102" s="618">
        <f>+'OT17-386 CHOACHÍ'!H40</f>
        <v>7678662</v>
      </c>
      <c r="L102" s="618">
        <f>+'OT17-386 CHOACHÍ'!H43</f>
        <v>1458945.78</v>
      </c>
      <c r="M102" s="618">
        <f>+'OT17-386 CHOACHÍ'!H44</f>
        <v>9137607.7799999993</v>
      </c>
      <c r="N102" s="922">
        <f>+'OT17-386 CHOACHÍ'!R38</f>
        <v>0</v>
      </c>
      <c r="O102" s="923">
        <f>+'OT17-386 CHOACHÍ'!S42</f>
        <v>0</v>
      </c>
      <c r="P102" s="618">
        <f>+'OT17-386 CHOACHÍ'!R39</f>
        <v>0</v>
      </c>
      <c r="Q102" s="618">
        <f>+'OT17-386 CHOACHÍ'!R41</f>
        <v>0</v>
      </c>
      <c r="R102" s="618">
        <f>+'OT17-386 CHOACHÍ'!R42</f>
        <v>0</v>
      </c>
      <c r="S102" s="618">
        <f>+'OT17-386 CHOACHÍ'!R43</f>
        <v>0</v>
      </c>
      <c r="T102" s="618">
        <f>+'OT17-386 CHOACHÍ'!R44</f>
        <v>0</v>
      </c>
      <c r="U102" s="750" t="str">
        <f>+'OT17-386 CHOACHÍ'!A8</f>
        <v>Acta N° 3: Marzo</v>
      </c>
      <c r="V102" s="234"/>
      <c r="W102" s="925"/>
      <c r="X102" s="925"/>
      <c r="Y102" s="925"/>
      <c r="Z102" s="925"/>
      <c r="AA102" s="925"/>
      <c r="AB102" s="926"/>
      <c r="AC102" s="927"/>
      <c r="AD102" s="927"/>
      <c r="AE102" s="927"/>
      <c r="AF102" s="927"/>
      <c r="AG102" s="925"/>
      <c r="AH102" s="927"/>
      <c r="AJ102" s="925"/>
    </row>
    <row r="103" spans="1:36" s="924" customFormat="1" ht="57" customHeight="1" x14ac:dyDescent="0.3">
      <c r="A103" s="1064">
        <v>96</v>
      </c>
      <c r="B103" s="235" t="str">
        <f>'OT17-387 MOSQUERA '!L57</f>
        <v>D00249375</v>
      </c>
      <c r="C103" s="235" t="str">
        <f>'OT17-387 MOSQUERA '!L58</f>
        <v>D00249375000</v>
      </c>
      <c r="D103" s="234" t="s">
        <v>1666</v>
      </c>
      <c r="E103" s="234" t="s">
        <v>1677</v>
      </c>
      <c r="F103" s="234">
        <f>'OT17-387 MOSQUERA '!L56</f>
        <v>0</v>
      </c>
      <c r="G103" s="234" t="str">
        <f>'OT17-387 MOSQUERA '!A7</f>
        <v>Proyecto: AMPLIACIÓN CAPACIDAD AT-MT MOSQUERA</v>
      </c>
      <c r="H103" s="618">
        <f>'OT17-387 MOSQUERA '!H43</f>
        <v>110970553</v>
      </c>
      <c r="I103" s="618">
        <f>'OT17-387 MOSQUERA '!H44</f>
        <v>0</v>
      </c>
      <c r="J103" s="618">
        <v>0</v>
      </c>
      <c r="K103" s="618">
        <f>'OT17-387 MOSQUERA '!H45</f>
        <v>110970553</v>
      </c>
      <c r="L103" s="618">
        <f>'OT17-387 MOSQUERA '!H48</f>
        <v>21084405.07</v>
      </c>
      <c r="M103" s="618">
        <f>'OT17-387 MOSQUERA '!H49</f>
        <v>132054958.06999999</v>
      </c>
      <c r="N103" s="922">
        <f>+'OT17-387 MOSQUERA '!O43</f>
        <v>0</v>
      </c>
      <c r="O103" s="923">
        <f>+'OT17-387 MOSQUERA '!P47</f>
        <v>0</v>
      </c>
      <c r="P103" s="618">
        <f>+'OT17-387 MOSQUERA '!O44</f>
        <v>0</v>
      </c>
      <c r="Q103" s="618">
        <f>+'OT17-387 MOSQUERA '!O46</f>
        <v>0</v>
      </c>
      <c r="R103" s="618">
        <f>+'OT17-387 MOSQUERA '!O47</f>
        <v>0</v>
      </c>
      <c r="S103" s="618">
        <f>+'OT17-387 MOSQUERA '!O48</f>
        <v>0</v>
      </c>
      <c r="T103" s="618">
        <f>+'OT17-387 MOSQUERA '!O49</f>
        <v>0</v>
      </c>
      <c r="U103" s="750" t="str">
        <f>'OT17-387 MOSQUERA '!A8</f>
        <v>Acta N° 2: Marzo</v>
      </c>
      <c r="V103" s="234" t="s">
        <v>526</v>
      </c>
      <c r="W103" s="925"/>
      <c r="X103" s="925"/>
      <c r="Y103" s="925"/>
      <c r="Z103" s="925"/>
      <c r="AA103" s="925"/>
      <c r="AB103" s="926"/>
      <c r="AC103" s="927"/>
      <c r="AD103" s="927"/>
      <c r="AE103" s="927"/>
      <c r="AF103" s="927"/>
      <c r="AG103" s="925"/>
      <c r="AH103" s="927"/>
      <c r="AJ103" s="925"/>
    </row>
    <row r="104" spans="1:36" s="924" customFormat="1" ht="57" customHeight="1" x14ac:dyDescent="0.3">
      <c r="A104" s="1064">
        <v>97</v>
      </c>
      <c r="B104" s="1201" t="str">
        <f>'OT17-391 LA GUACA'!L31</f>
        <v>D00249390</v>
      </c>
      <c r="C104" s="1201" t="str">
        <f>'OT17-391 LA GUACA'!L32</f>
        <v>D00249390000</v>
      </c>
      <c r="D104" s="1202" t="s">
        <v>1664</v>
      </c>
      <c r="E104" s="1202" t="s">
        <v>1937</v>
      </c>
      <c r="F104" s="1202">
        <v>0</v>
      </c>
      <c r="G104" s="1202" t="str">
        <f>'OT17-391 LA GUACA'!A7</f>
        <v>Proyecto: CDIM_CAOLIG_R0078 - RES. CREG 038-14 CÓDIGO DE MEDIDA.</v>
      </c>
      <c r="H104" s="1203">
        <f>'OT17-391 LA GUACA'!H18</f>
        <v>2684771</v>
      </c>
      <c r="I104" s="1203">
        <f>'OT17-391 LA GUACA'!H19</f>
        <v>80543.12999999999</v>
      </c>
      <c r="J104" s="1203"/>
      <c r="K104" s="1203">
        <f>'OT17-391 LA GUACA'!H20</f>
        <v>2765314.13</v>
      </c>
      <c r="L104" s="1203">
        <f>'OT17-391 LA GUACA'!H23</f>
        <v>525409.68469999998</v>
      </c>
      <c r="M104" s="1203">
        <f>'OT17-391 LA GUACA'!H24</f>
        <v>3290723.8147</v>
      </c>
      <c r="N104" s="1204">
        <f>'OT17-391 LA GUACA'!L18</f>
        <v>2821695</v>
      </c>
      <c r="O104" s="1208">
        <f>'OT17-391 LA GUACA'!M22</f>
        <v>1.0667651888069585</v>
      </c>
      <c r="P104" s="1203">
        <f>'OT17-391 LA GUACA'!L19</f>
        <v>84650.849999999991</v>
      </c>
      <c r="Q104" s="1203">
        <f>'OT17-391 LA GUACA'!L21</f>
        <v>43595</v>
      </c>
      <c r="R104" s="1216">
        <f>'OT17-391 LA GUACA'!L22</f>
        <v>2949940.85</v>
      </c>
      <c r="S104" s="1203">
        <f>'OT17-391 LA GUACA'!L23</f>
        <v>560488.76150000002</v>
      </c>
      <c r="T104" s="1203">
        <f>'OT17-391 LA GUACA'!L24</f>
        <v>3510429.6115000001</v>
      </c>
      <c r="U104" s="1206" t="str">
        <f>'OT17-391 LA GUACA'!A8</f>
        <v>Acta N° 1:  Febrero</v>
      </c>
      <c r="V104" s="1202" t="s">
        <v>529</v>
      </c>
      <c r="W104" s="925"/>
      <c r="X104" s="925"/>
      <c r="Y104" s="925"/>
      <c r="Z104" s="925"/>
      <c r="AA104" s="925"/>
      <c r="AB104" s="926"/>
      <c r="AC104" s="927"/>
      <c r="AD104" s="927"/>
      <c r="AE104" s="927"/>
      <c r="AF104" s="927"/>
      <c r="AG104" s="925"/>
      <c r="AH104" s="927"/>
      <c r="AJ104" s="925"/>
    </row>
    <row r="105" spans="1:36" s="924" customFormat="1" ht="57" customHeight="1" x14ac:dyDescent="0.3">
      <c r="A105" s="1064">
        <v>98</v>
      </c>
      <c r="B105" s="235" t="str">
        <f>'OT 17-393 EL SOL R1'!L33</f>
        <v>D00249502</v>
      </c>
      <c r="C105" s="235" t="str">
        <f>'OT 17-393 EL SOL R1'!L34</f>
        <v>D00249502000</v>
      </c>
      <c r="D105" s="234" t="s">
        <v>1225</v>
      </c>
      <c r="E105" s="234" t="s">
        <v>1938</v>
      </c>
      <c r="F105" s="234">
        <v>0</v>
      </c>
      <c r="G105" s="234" t="str">
        <f>'OT 17-393 EL SOL R1'!A7</f>
        <v xml:space="preserve">Proyecto:CDIM_CBSGSM_R0146 NORMALIZ Y REPOS SE EL SOL </v>
      </c>
      <c r="H105" s="618">
        <f>'OT 17-393 EL SOL R1'!H21</f>
        <v>11557401</v>
      </c>
      <c r="I105" s="618">
        <f>'OT 17-393 EL SOL R1'!H22</f>
        <v>0</v>
      </c>
      <c r="J105" s="618"/>
      <c r="K105" s="985">
        <f>'OT 17-393 EL SOL R1'!H23</f>
        <v>11557401</v>
      </c>
      <c r="L105" s="618">
        <f>'OT 17-393 EL SOL R1'!H26</f>
        <v>2195906.19</v>
      </c>
      <c r="M105" s="618">
        <f>'OT 17-393 EL SOL R1'!H27</f>
        <v>13753307.189999999</v>
      </c>
      <c r="N105" s="986">
        <f>+'OT 17-393 EL SOL R1'!O21</f>
        <v>0</v>
      </c>
      <c r="O105" s="928">
        <f>+'OT 17-393 EL SOL R1'!P25</f>
        <v>0</v>
      </c>
      <c r="P105" s="986">
        <f>+'OT 17-393 EL SOL R1'!O22</f>
        <v>0</v>
      </c>
      <c r="Q105" s="986">
        <f>+'OT 17-393 EL SOL R1'!O24</f>
        <v>0</v>
      </c>
      <c r="R105" s="987">
        <f>+'OT 17-393 EL SOL R1'!O25</f>
        <v>0</v>
      </c>
      <c r="S105" s="987">
        <f>+'OT 17-393 EL SOL R1'!O26</f>
        <v>0</v>
      </c>
      <c r="T105" s="987">
        <f>+'OT 17-393 EL SOL R1'!O27</f>
        <v>0</v>
      </c>
      <c r="U105" s="750" t="str">
        <f>'OT 17-393 EL SOL R1'!A8</f>
        <v>Acta N° 2: Marzo</v>
      </c>
      <c r="V105" s="234" t="s">
        <v>1272</v>
      </c>
      <c r="W105" s="925"/>
      <c r="X105" s="925"/>
      <c r="Y105" s="925"/>
      <c r="Z105" s="925"/>
      <c r="AA105" s="925"/>
      <c r="AB105" s="926"/>
      <c r="AC105" s="927"/>
      <c r="AD105" s="927"/>
      <c r="AE105" s="927"/>
      <c r="AF105" s="927"/>
      <c r="AG105" s="925"/>
      <c r="AH105" s="927"/>
      <c r="AJ105" s="925"/>
    </row>
    <row r="106" spans="1:36" s="924" customFormat="1" ht="57" customHeight="1" x14ac:dyDescent="0.3">
      <c r="A106" s="1064">
        <v>99</v>
      </c>
      <c r="B106" s="235" t="str">
        <f>'OT17-394 BACATÁ'!O33</f>
        <v>D00249389</v>
      </c>
      <c r="C106" s="235" t="str">
        <f>'OT17-394 BACATÁ'!O34</f>
        <v>D00249389000</v>
      </c>
      <c r="D106" s="234" t="s">
        <v>1449</v>
      </c>
      <c r="E106" s="234" t="s">
        <v>1939</v>
      </c>
      <c r="F106" s="234">
        <v>0</v>
      </c>
      <c r="G106" s="234" t="str">
        <f>'OT17-394 BACATÁ'!A7</f>
        <v>Proyecto:CDIM_CBSGSM_R0197 CONEXIÓN RÁPIDA BACATÁ</v>
      </c>
      <c r="H106" s="618">
        <f>'OT17-394 BACATÁ'!H20</f>
        <v>26367175</v>
      </c>
      <c r="I106" s="618">
        <f>'OT17-394 BACATÁ'!H21</f>
        <v>0</v>
      </c>
      <c r="J106" s="618"/>
      <c r="K106" s="985">
        <f>'OT17-394 BACATÁ'!H22</f>
        <v>26367175</v>
      </c>
      <c r="L106" s="618">
        <f>'OT17-394 BACATÁ'!H25</f>
        <v>5009763.25</v>
      </c>
      <c r="M106" s="618">
        <f>'OT17-394 BACATÁ'!H26</f>
        <v>31376938.25</v>
      </c>
      <c r="N106" s="984">
        <f>+'OT17-394 BACATÁ'!R20</f>
        <v>0</v>
      </c>
      <c r="O106" s="923">
        <f>+'OT17-394 BACATÁ'!S24</f>
        <v>0</v>
      </c>
      <c r="P106" s="618">
        <f>+'OT17-394 BACATÁ'!R21</f>
        <v>0</v>
      </c>
      <c r="Q106" s="618">
        <f>+'OT17-394 BACATÁ'!R23</f>
        <v>0</v>
      </c>
      <c r="R106" s="985">
        <f>+'OT17-394 BACATÁ'!R24</f>
        <v>0</v>
      </c>
      <c r="S106" s="618">
        <f>+'OT17-394 BACATÁ'!R25</f>
        <v>0</v>
      </c>
      <c r="T106" s="618">
        <f>+'OT17-394 BACATÁ'!R26</f>
        <v>0</v>
      </c>
      <c r="U106" s="750" t="str">
        <f>'OT17-394 BACATÁ'!A8</f>
        <v>Acta N° 3: Marzo</v>
      </c>
      <c r="V106" s="234" t="s">
        <v>529</v>
      </c>
      <c r="W106" s="925"/>
      <c r="X106" s="925"/>
      <c r="Y106" s="925"/>
      <c r="Z106" s="925"/>
      <c r="AA106" s="925"/>
      <c r="AB106" s="926"/>
      <c r="AC106" s="927"/>
      <c r="AD106" s="927"/>
      <c r="AE106" s="927"/>
      <c r="AF106" s="927"/>
      <c r="AG106" s="925"/>
      <c r="AH106" s="927"/>
      <c r="AJ106" s="925"/>
    </row>
    <row r="107" spans="1:36" s="924" customFormat="1" ht="57" customHeight="1" x14ac:dyDescent="0.3">
      <c r="A107" s="1064">
        <v>100</v>
      </c>
      <c r="B107" s="1201" t="str">
        <f>'OT 17-395 TECHO'!O30</f>
        <v>D00248954</v>
      </c>
      <c r="C107" s="1201" t="str">
        <f>'OT 17-395 TECHO'!O31</f>
        <v>D00248954000</v>
      </c>
      <c r="D107" s="1202" t="s">
        <v>1276</v>
      </c>
      <c r="E107" s="1202" t="s">
        <v>1940</v>
      </c>
      <c r="F107" s="1202">
        <v>0</v>
      </c>
      <c r="G107" s="1202" t="str">
        <f>'OT 17-395 TECHO'!A7</f>
        <v>Proyecto:CDIM_CADCSR_R0108 LEVANTAMIENTO ELÉCTRICO Y MECÁNICO LÍNEA BOSA 115KV</v>
      </c>
      <c r="H107" s="1203">
        <f>'OT 17-395 TECHO'!H17</f>
        <v>3311566</v>
      </c>
      <c r="I107" s="1203">
        <f>'OT 17-395 TECHO'!H18</f>
        <v>0</v>
      </c>
      <c r="J107" s="1203"/>
      <c r="K107" s="1216">
        <f>'OT 17-395 TECHO'!H19</f>
        <v>3311566</v>
      </c>
      <c r="L107" s="1203">
        <f>'OT 17-395 TECHO'!H22</f>
        <v>629197.54</v>
      </c>
      <c r="M107" s="1203">
        <f>'OT 17-395 TECHO'!H23</f>
        <v>3940763.54</v>
      </c>
      <c r="N107" s="1215">
        <f>'OT 17-395 TECHO'!O17</f>
        <v>603865</v>
      </c>
      <c r="O107" s="1208">
        <f>'OT 17-395 TECHO'!P21</f>
        <v>0.18508554563007351</v>
      </c>
      <c r="P107" s="1203">
        <f>'OT 17-395 TECHO'!O18</f>
        <v>0</v>
      </c>
      <c r="Q107" s="1203">
        <f>'OT 17-395 TECHO'!O20</f>
        <v>9058</v>
      </c>
      <c r="R107" s="1216">
        <f>'OT 17-395 TECHO'!O21</f>
        <v>612923</v>
      </c>
      <c r="S107" s="1203">
        <f>'OT 17-395 TECHO'!O22</f>
        <v>116455.37</v>
      </c>
      <c r="T107" s="1203">
        <f>'OT 17-395 TECHO'!O23</f>
        <v>729378.37</v>
      </c>
      <c r="U107" s="1206" t="str">
        <f>'OT 17-395 TECHO'!A8</f>
        <v>Acta N° 2: Febrero</v>
      </c>
      <c r="V107" s="1202" t="s">
        <v>525</v>
      </c>
      <c r="W107" s="925"/>
      <c r="X107" s="925"/>
      <c r="Y107" s="925"/>
      <c r="Z107" s="925"/>
      <c r="AA107" s="925"/>
      <c r="AB107" s="926"/>
      <c r="AC107" s="927"/>
      <c r="AD107" s="927"/>
      <c r="AE107" s="927"/>
      <c r="AF107" s="927"/>
      <c r="AG107" s="925"/>
      <c r="AH107" s="927"/>
      <c r="AJ107" s="925"/>
    </row>
    <row r="108" spans="1:36" s="924" customFormat="1" ht="57" customHeight="1" x14ac:dyDescent="0.3">
      <c r="A108" s="1064">
        <v>101</v>
      </c>
      <c r="B108" s="235" t="str">
        <f>'OT 17-396 VICTORIA'!L36</f>
        <v>D00249509</v>
      </c>
      <c r="C108" s="235" t="str">
        <f>'OT 17-396 VICTORIA'!L37</f>
        <v>D00249509000</v>
      </c>
      <c r="D108" s="234" t="s">
        <v>466</v>
      </c>
      <c r="E108" s="234" t="s">
        <v>1941</v>
      </c>
      <c r="F108" s="234">
        <v>0</v>
      </c>
      <c r="G108" s="234" t="str">
        <f>'OT 17-396 VICTORIA'!A7</f>
        <v>Proyecto:CDIM_CBSGSM_R0161 Normalización y  Reposición SE VICTORIA.</v>
      </c>
      <c r="H108" s="618">
        <f>'OT 17-396 VICTORIA'!H24</f>
        <v>9986934</v>
      </c>
      <c r="I108" s="618">
        <f>'OT 17-396 VICTORIA'!H25</f>
        <v>0</v>
      </c>
      <c r="J108" s="618"/>
      <c r="K108" s="618">
        <f>'OT 17-396 VICTORIA'!H26</f>
        <v>9986934</v>
      </c>
      <c r="L108" s="618">
        <f>'OT 17-396 VICTORIA'!H29</f>
        <v>1897517.46</v>
      </c>
      <c r="M108" s="618">
        <f>'OT 17-396 VICTORIA'!H30</f>
        <v>11884451.460000001</v>
      </c>
      <c r="N108" s="984">
        <f>+'OT 17-396 VICTORIA'!O24</f>
        <v>0</v>
      </c>
      <c r="O108" s="923">
        <f>+'OT 17-396 VICTORIA'!P28</f>
        <v>0</v>
      </c>
      <c r="P108" s="618">
        <f>+'OT17-397 FLORIDA ASBUILT'!L23</f>
        <v>0</v>
      </c>
      <c r="Q108" s="618">
        <f>+'OT 17-396 VICTORIA'!O27</f>
        <v>0</v>
      </c>
      <c r="R108" s="618">
        <f>+'OT 17-396 VICTORIA'!O28</f>
        <v>0</v>
      </c>
      <c r="S108" s="618">
        <f>+'OT 17-396 VICTORIA'!O29</f>
        <v>0</v>
      </c>
      <c r="T108" s="618">
        <f>+'OT 17-396 VICTORIA'!O30</f>
        <v>0</v>
      </c>
      <c r="U108" s="750" t="str">
        <f>'OT 17-396 VICTORIA'!A8</f>
        <v>Acta N° 2:Marzo</v>
      </c>
      <c r="V108" s="234" t="s">
        <v>2302</v>
      </c>
      <c r="W108" s="925"/>
      <c r="X108" s="925"/>
      <c r="Y108" s="925"/>
      <c r="Z108" s="925"/>
      <c r="AA108" s="925"/>
      <c r="AB108" s="926"/>
      <c r="AC108" s="927"/>
      <c r="AD108" s="927"/>
      <c r="AE108" s="927"/>
      <c r="AF108" s="927"/>
      <c r="AG108" s="925"/>
      <c r="AH108" s="927"/>
      <c r="AJ108" s="925"/>
    </row>
    <row r="109" spans="1:36" s="924" customFormat="1" ht="57" customHeight="1" x14ac:dyDescent="0.3">
      <c r="A109" s="1064">
        <v>102</v>
      </c>
      <c r="B109" s="235" t="str">
        <f>+'OT17-397 FLORIDA ASBUILT'!L34</f>
        <v>D00235087</v>
      </c>
      <c r="C109" s="235" t="str">
        <f>+'OT17-397 FLORIDA ASBUILT'!L35</f>
        <v>D00235087000</v>
      </c>
      <c r="D109" s="234" t="s">
        <v>2763</v>
      </c>
      <c r="E109" s="234" t="s">
        <v>2764</v>
      </c>
      <c r="F109" s="234">
        <f>+'OT17-397 FLORIDA ASBUILT'!L33</f>
        <v>0</v>
      </c>
      <c r="G109" s="234" t="str">
        <f>+'OT17-397 FLORIDA ASBUILT'!A7</f>
        <v>Proyecto: CDIM_CBSGSM_R0159 NORMALIZACIÓN SERVICIOS ESENCIALES SSEE.</v>
      </c>
      <c r="H109" s="618">
        <f>+'OT17-397 FLORIDA ASBUILT'!H22</f>
        <v>461390</v>
      </c>
      <c r="I109" s="618">
        <f>+'OT17-397 FLORIDA ASBUILT'!H23</f>
        <v>0</v>
      </c>
      <c r="J109" s="618"/>
      <c r="K109" s="618">
        <f>+'OT17-397 FLORIDA ASBUILT'!H24</f>
        <v>461390</v>
      </c>
      <c r="L109" s="618">
        <f>+'OT17-397 FLORIDA ASBUILT'!H27</f>
        <v>87664.1</v>
      </c>
      <c r="M109" s="618">
        <f>+'OT17-397 FLORIDA ASBUILT'!H28</f>
        <v>549054.1</v>
      </c>
      <c r="N109" s="984">
        <f>+'OT17-397 FLORIDA ASBUILT'!L22</f>
        <v>0</v>
      </c>
      <c r="O109" s="923">
        <f>+'OT17-397 FLORIDA ASBUILT'!M26</f>
        <v>0</v>
      </c>
      <c r="P109" s="618">
        <f>+'OT17-397 FLORIDA ASBUILT'!L23</f>
        <v>0</v>
      </c>
      <c r="Q109" s="618">
        <f>+'OT17-397 FLORIDA ASBUILT'!L25</f>
        <v>0</v>
      </c>
      <c r="R109" s="618">
        <f>+'OT17-397 FLORIDA ASBUILT'!L26</f>
        <v>0</v>
      </c>
      <c r="S109" s="618">
        <f>+'OT17-397 FLORIDA ASBUILT'!L27</f>
        <v>0</v>
      </c>
      <c r="T109" s="618">
        <f>+'OT17-397 FLORIDA ASBUILT'!L28</f>
        <v>0</v>
      </c>
      <c r="U109" s="750" t="str">
        <f>+'OT17-397 FLORIDA ASBUILT'!A8</f>
        <v>Acta N° 1: Marzo</v>
      </c>
      <c r="V109" s="234"/>
      <c r="W109" s="925"/>
      <c r="X109" s="925"/>
      <c r="Y109" s="925"/>
      <c r="Z109" s="925"/>
      <c r="AA109" s="925"/>
      <c r="AB109" s="926"/>
      <c r="AC109" s="927"/>
      <c r="AD109" s="927"/>
      <c r="AE109" s="927"/>
      <c r="AF109" s="927"/>
      <c r="AG109" s="925"/>
      <c r="AH109" s="927"/>
      <c r="AJ109" s="925"/>
    </row>
    <row r="110" spans="1:36" s="924" customFormat="1" ht="57" customHeight="1" x14ac:dyDescent="0.3">
      <c r="A110" s="1064">
        <v>103</v>
      </c>
      <c r="B110" s="235" t="str">
        <f>'OT17-398 CASTELLANA AS BUILT'!L37</f>
        <v>D00249543</v>
      </c>
      <c r="C110" s="235" t="str">
        <f>'OT17-398 CASTELLANA AS BUILT'!L38</f>
        <v>D00249543000</v>
      </c>
      <c r="D110" s="234" t="s">
        <v>1674</v>
      </c>
      <c r="E110" s="234" t="s">
        <v>1942</v>
      </c>
      <c r="F110" s="234">
        <v>0</v>
      </c>
      <c r="G110" s="234" t="str">
        <f>'OT17-398 CASTELLANA AS BUILT'!A7</f>
        <v>Proyecto: CDIM_CBSGSM_R0159 NORMALIZACIÓN SERVICIOS ESENCIALES SSEE.</v>
      </c>
      <c r="H110" s="618">
        <f>'OT17-398 CASTELLANA AS BUILT'!H25</f>
        <v>576302</v>
      </c>
      <c r="I110" s="618">
        <f>'OT17-398 CASTELLANA AS BUILT'!H26</f>
        <v>0</v>
      </c>
      <c r="J110" s="618"/>
      <c r="K110" s="985">
        <f>'OT17-398 CASTELLANA AS BUILT'!H27</f>
        <v>576302</v>
      </c>
      <c r="L110" s="618">
        <f>'OT17-398 CASTELLANA AS BUILT'!H30</f>
        <v>109497.38</v>
      </c>
      <c r="M110" s="618">
        <f>'OT17-398 CASTELLANA AS BUILT'!H31</f>
        <v>685799.38</v>
      </c>
      <c r="N110" s="984">
        <f>+'OT17-398 CASTELLANA AS BUILT'!O25</f>
        <v>0</v>
      </c>
      <c r="O110" s="923">
        <f>+'OT17-398 CASTELLANA AS BUILT'!P29</f>
        <v>0</v>
      </c>
      <c r="P110" s="986">
        <f>'OT17-398 CASTELLANA AS BUILT'!L26</f>
        <v>0</v>
      </c>
      <c r="Q110" s="986">
        <f>+'OT17-398 CASTELLANA AS BUILT'!O28</f>
        <v>0</v>
      </c>
      <c r="R110" s="985">
        <f>+'OT17-398 CASTELLANA AS BUILT'!O29</f>
        <v>0</v>
      </c>
      <c r="S110" s="986">
        <f>+'OT17-398 CASTELLANA AS BUILT'!O30</f>
        <v>0</v>
      </c>
      <c r="T110" s="986">
        <f>+'OT17-398 CASTELLANA AS BUILT'!O31</f>
        <v>0</v>
      </c>
      <c r="U110" s="750" t="str">
        <f>'OT17-398 CASTELLANA AS BUILT'!A8</f>
        <v>Acta N° 2: Marzo</v>
      </c>
      <c r="V110" s="234" t="s">
        <v>528</v>
      </c>
      <c r="W110" s="925"/>
      <c r="X110" s="925"/>
      <c r="Y110" s="925"/>
      <c r="Z110" s="925"/>
      <c r="AA110" s="925"/>
      <c r="AB110" s="926"/>
      <c r="AC110" s="927"/>
      <c r="AD110" s="927"/>
      <c r="AE110" s="927"/>
      <c r="AF110" s="927"/>
      <c r="AG110" s="925"/>
      <c r="AH110" s="927"/>
      <c r="AJ110" s="925"/>
    </row>
    <row r="111" spans="1:36" s="924" customFormat="1" ht="57" customHeight="1" x14ac:dyDescent="0.3">
      <c r="A111" s="1064">
        <v>104</v>
      </c>
      <c r="B111" s="235" t="str">
        <f>+'OT17-399 CHICALA AS BUILT'!L35</f>
        <v>D00235088</v>
      </c>
      <c r="C111" s="235" t="str">
        <f>+'OT17-399 CHICALA AS BUILT'!L36</f>
        <v>D00235088000</v>
      </c>
      <c r="D111" s="234" t="s">
        <v>2765</v>
      </c>
      <c r="E111" s="234" t="s">
        <v>2766</v>
      </c>
      <c r="F111" s="234">
        <f>+'OT17-399 CHICALA AS BUILT'!L34</f>
        <v>0</v>
      </c>
      <c r="G111" s="234" t="str">
        <f>+'OT17-399 CHICALA AS BUILT'!A7</f>
        <v>Proyecto: CDIM_CBSGSM_R0159 NORMALIZACIÓN SERVICIOS ESENCIALES SSEE.</v>
      </c>
      <c r="H111" s="618">
        <f>+'OT17-399 CHICALA AS BUILT'!H23</f>
        <v>484024</v>
      </c>
      <c r="I111" s="618">
        <f>+'OT17-399 CHICALA AS BUILT'!H24</f>
        <v>0</v>
      </c>
      <c r="J111" s="618"/>
      <c r="K111" s="985">
        <f>+'OT17-399 CHICALA AS BUILT'!H25</f>
        <v>484024</v>
      </c>
      <c r="L111" s="618">
        <f>+'OT17-399 CHICALA AS BUILT'!H28</f>
        <v>91964.56</v>
      </c>
      <c r="M111" s="618">
        <f>+'OT17-399 CHICALA AS BUILT'!H29</f>
        <v>575988.56000000006</v>
      </c>
      <c r="N111" s="984">
        <f>+'OT17-399 CHICALA AS BUILT'!L23</f>
        <v>0</v>
      </c>
      <c r="O111" s="923">
        <f>+'OT17-399 CHICALA AS BUILT'!M27</f>
        <v>0</v>
      </c>
      <c r="P111" s="986">
        <f>+'OT17-399 CHICALA AS BUILT'!L24</f>
        <v>0</v>
      </c>
      <c r="Q111" s="986">
        <f>+'OT17-399 CHICALA AS BUILT'!L26</f>
        <v>0</v>
      </c>
      <c r="R111" s="985">
        <f>+'OT17-399 CHICALA AS BUILT'!L27</f>
        <v>0</v>
      </c>
      <c r="S111" s="986">
        <f>+'OT17-399 CHICALA AS BUILT'!L28</f>
        <v>0</v>
      </c>
      <c r="T111" s="986">
        <f>+'OT17-399 CHICALA AS BUILT'!L29</f>
        <v>0</v>
      </c>
      <c r="U111" s="750" t="str">
        <f>+'OT17-399 CHICALA AS BUILT'!A8</f>
        <v>Acta N° 1: Marzo</v>
      </c>
      <c r="V111" s="234"/>
      <c r="W111" s="925"/>
      <c r="X111" s="925"/>
      <c r="Y111" s="925"/>
      <c r="Z111" s="925"/>
      <c r="AA111" s="925"/>
      <c r="AB111" s="926"/>
      <c r="AC111" s="927"/>
      <c r="AD111" s="927"/>
      <c r="AE111" s="927"/>
      <c r="AF111" s="927"/>
      <c r="AG111" s="925"/>
      <c r="AH111" s="927"/>
      <c r="AJ111" s="925"/>
    </row>
    <row r="112" spans="1:36" s="924" customFormat="1" ht="57" customHeight="1" x14ac:dyDescent="0.3">
      <c r="A112" s="1064">
        <v>105</v>
      </c>
      <c r="B112" s="235" t="str">
        <f>'OT17-400 CALLE PRIMERA AS BUIL'!L38</f>
        <v>D00249544</v>
      </c>
      <c r="C112" s="235" t="str">
        <f>'OT17-400 CALLE PRIMERA AS BUIL'!L39</f>
        <v>D00249544000</v>
      </c>
      <c r="D112" s="234" t="s">
        <v>1943</v>
      </c>
      <c r="E112" s="234" t="s">
        <v>1944</v>
      </c>
      <c r="F112" s="234">
        <v>0</v>
      </c>
      <c r="G112" s="234" t="str">
        <f>'OT17-400 CALLE PRIMERA AS BUIL'!A4</f>
        <v>Proyecto: CDIM_CBSGSM_R0159 NORMALIZACIÓN SERVICIOS ESENCIALES SSEE.</v>
      </c>
      <c r="H112" s="618">
        <f>'OT17-400 CALLE PRIMERA AS BUIL'!H26</f>
        <v>696438</v>
      </c>
      <c r="I112" s="618">
        <f>'OT17-400 CALLE PRIMERA AS BUIL'!H27</f>
        <v>0</v>
      </c>
      <c r="J112" s="618"/>
      <c r="K112" s="985">
        <f>'OT17-400 CALLE PRIMERA AS BUIL'!H28</f>
        <v>696438</v>
      </c>
      <c r="L112" s="618">
        <f>'OT17-400 CALLE PRIMERA AS BUIL'!H31</f>
        <v>132323.22</v>
      </c>
      <c r="M112" s="618">
        <f>'OT17-400 CALLE PRIMERA AS BUIL'!H32</f>
        <v>828761.22</v>
      </c>
      <c r="N112" s="984">
        <f>+'OT17-400 CALLE PRIMERA AS BUIL'!O26</f>
        <v>0</v>
      </c>
      <c r="O112" s="923">
        <f>+'OT17-400 CALLE PRIMERA AS BUIL'!P30</f>
        <v>0</v>
      </c>
      <c r="P112" s="618">
        <f>'OT17-400 CALLE PRIMERA AS BUIL'!L27</f>
        <v>0</v>
      </c>
      <c r="Q112" s="985">
        <f>+'OT17-400 CALLE PRIMERA AS BUIL'!O29</f>
        <v>0</v>
      </c>
      <c r="R112" s="985">
        <f>+'OT17-400 CALLE PRIMERA AS BUIL'!O30</f>
        <v>0</v>
      </c>
      <c r="S112" s="618">
        <f>+'OT17-400 CALLE PRIMERA AS BUIL'!O31</f>
        <v>0</v>
      </c>
      <c r="T112" s="618">
        <f>+'OT17-400 CALLE PRIMERA AS BUIL'!O32</f>
        <v>0</v>
      </c>
      <c r="U112" s="750" t="str">
        <f>'OT17-400 CALLE PRIMERA AS BUIL'!A5</f>
        <v>Acta N° 2: Marzo</v>
      </c>
      <c r="V112" s="234" t="s">
        <v>528</v>
      </c>
      <c r="W112" s="925"/>
      <c r="X112" s="925"/>
      <c r="Y112" s="925"/>
      <c r="Z112" s="925"/>
      <c r="AA112" s="925"/>
      <c r="AB112" s="926"/>
      <c r="AC112" s="927"/>
      <c r="AD112" s="927"/>
      <c r="AE112" s="927"/>
      <c r="AF112" s="927"/>
      <c r="AG112" s="925"/>
      <c r="AH112" s="927"/>
      <c r="AJ112" s="925"/>
    </row>
    <row r="113" spans="1:36" s="924" customFormat="1" ht="57" customHeight="1" x14ac:dyDescent="0.3">
      <c r="A113" s="1064">
        <v>106</v>
      </c>
      <c r="B113" s="235" t="str">
        <f>'OT17-401 BOSA DIS. INT.'!L33</f>
        <v>D00240791</v>
      </c>
      <c r="C113" s="235" t="str">
        <f>'OT17-401 BOSA DIS. INT.'!L34</f>
        <v>D00240791000</v>
      </c>
      <c r="D113" s="234" t="s">
        <v>1673</v>
      </c>
      <c r="E113" s="234" t="s">
        <v>1945</v>
      </c>
      <c r="F113" s="234">
        <v>0</v>
      </c>
      <c r="G113" s="234" t="str">
        <f>'OT17-401 BOSA DIS. INT.'!A7</f>
        <v xml:space="preserve">Proyecto:CDIE_CBCCSM_R0178 REPOSICIÓN INTERRUPTORES.
</v>
      </c>
      <c r="H113" s="618">
        <f>'OT17-401 BOSA DIS. INT.'!H21</f>
        <v>13260193</v>
      </c>
      <c r="I113" s="986">
        <f>'OT17-401 BOSA DIS. INT.'!H22</f>
        <v>0</v>
      </c>
      <c r="J113" s="618">
        <v>0</v>
      </c>
      <c r="K113" s="985">
        <f>'OT17-401 BOSA DIS. INT.'!H23</f>
        <v>13260193</v>
      </c>
      <c r="L113" s="986">
        <f>'OT17-401 BOSA DIS. INT.'!H26</f>
        <v>2519436.67</v>
      </c>
      <c r="M113" s="986">
        <f>'OT17-401 BOSA DIS. INT.'!H27</f>
        <v>15779629.67</v>
      </c>
      <c r="N113" s="984">
        <f>+'OT17-401 BOSA DIS. INT.'!O21</f>
        <v>0</v>
      </c>
      <c r="O113" s="923">
        <f>+'OT17-401 BOSA DIS. INT.'!P25</f>
        <v>0</v>
      </c>
      <c r="P113" s="618">
        <f>+'OT17-401 BOSA DIS. INT.'!O22</f>
        <v>0</v>
      </c>
      <c r="Q113" s="985">
        <f>+'OT17-401 BOSA DIS. INT.'!O24</f>
        <v>0</v>
      </c>
      <c r="R113" s="985">
        <f>+'OT17-401 BOSA DIS. INT.'!O25</f>
        <v>0</v>
      </c>
      <c r="S113" s="618">
        <f>+'OT17-401 BOSA DIS. INT.'!O26</f>
        <v>0</v>
      </c>
      <c r="T113" s="618">
        <f>+'OT17-401 BOSA DIS. INT.'!O27</f>
        <v>0</v>
      </c>
      <c r="U113" s="750" t="str">
        <f>'OT17-401 BOSA DIS. INT.'!A8</f>
        <v>Acta N° 2: Marzo</v>
      </c>
      <c r="V113" s="234" t="s">
        <v>526</v>
      </c>
      <c r="W113" s="925"/>
      <c r="X113" s="925"/>
      <c r="Y113" s="925"/>
      <c r="Z113" s="925"/>
      <c r="AA113" s="925"/>
      <c r="AB113" s="926"/>
      <c r="AC113" s="927"/>
      <c r="AD113" s="927"/>
      <c r="AE113" s="927"/>
      <c r="AF113" s="927"/>
      <c r="AG113" s="925"/>
      <c r="AH113" s="927"/>
      <c r="AJ113" s="925"/>
    </row>
    <row r="114" spans="1:36" s="924" customFormat="1" ht="57" customHeight="1" x14ac:dyDescent="0.3">
      <c r="A114" s="1064">
        <v>107</v>
      </c>
      <c r="B114" s="235" t="str">
        <f>+'OT17-402 CALLE51'!L37</f>
        <v>D00249264</v>
      </c>
      <c r="C114" s="235" t="str">
        <f>+'OT17-402 CALLE51'!L38</f>
        <v>D00249264000</v>
      </c>
      <c r="D114" s="234" t="s">
        <v>1460</v>
      </c>
      <c r="E114" s="234" t="s">
        <v>1946</v>
      </c>
      <c r="F114" s="234">
        <v>0</v>
      </c>
      <c r="G114" s="234" t="str">
        <f>'OT17-402 CALLE51'!A4</f>
        <v xml:space="preserve">Proyecto:CDIE_CBCCSM_R0178 REPOSICIÓN INTERRUPTORES.
</v>
      </c>
      <c r="H114" s="618">
        <f>'OT17-402 CALLE51'!H25</f>
        <v>26520386</v>
      </c>
      <c r="I114" s="618">
        <f>'OT17-402 CALLE51'!H26</f>
        <v>0</v>
      </c>
      <c r="J114" s="618">
        <v>0</v>
      </c>
      <c r="K114" s="985">
        <f>'OT17-402 CALLE51'!H27</f>
        <v>26520386</v>
      </c>
      <c r="L114" s="985">
        <f>'OT17-402 CALLE51'!H30</f>
        <v>5038873.34</v>
      </c>
      <c r="M114" s="985">
        <f>'OT17-402 CALLE51'!H31</f>
        <v>31559259.34</v>
      </c>
      <c r="N114" s="984">
        <f>+'OT17-402 CALLE51'!O25</f>
        <v>0</v>
      </c>
      <c r="O114" s="923">
        <f>+'OT17-402 CALLE51'!P29</f>
        <v>0</v>
      </c>
      <c r="P114" s="984">
        <f>+'OT17-402 CALLE51'!O26</f>
        <v>0</v>
      </c>
      <c r="Q114" s="988">
        <f>+'OT17-402 CALLE51'!O28</f>
        <v>0</v>
      </c>
      <c r="R114" s="988">
        <f>+'OT17-402 CALLE51'!O29</f>
        <v>0</v>
      </c>
      <c r="S114" s="984">
        <f>+'OT17-402 CALLE51'!O30</f>
        <v>0</v>
      </c>
      <c r="T114" s="984">
        <f>+'OT17-402 CALLE51'!O31</f>
        <v>0</v>
      </c>
      <c r="U114" s="750" t="str">
        <f>'OT17-402 CALLE51'!A5</f>
        <v>Acta N° 2: Marzo</v>
      </c>
      <c r="V114" s="234" t="s">
        <v>526</v>
      </c>
      <c r="W114" s="925"/>
      <c r="X114" s="925"/>
      <c r="Y114" s="925"/>
      <c r="Z114" s="925"/>
      <c r="AA114" s="925"/>
      <c r="AB114" s="926"/>
      <c r="AC114" s="927"/>
      <c r="AD114" s="927"/>
      <c r="AE114" s="927"/>
      <c r="AF114" s="927"/>
      <c r="AG114" s="925"/>
      <c r="AH114" s="927"/>
      <c r="AJ114" s="925"/>
    </row>
    <row r="115" spans="1:36" s="924" customFormat="1" ht="57" customHeight="1" x14ac:dyDescent="0.3">
      <c r="A115" s="1064">
        <v>108</v>
      </c>
      <c r="B115" s="235" t="str">
        <f>'OT17-403 FONTIBÓN INT'!L47</f>
        <v>D00240791</v>
      </c>
      <c r="C115" s="235" t="str">
        <f>'OT17-403 FONTIBÓN INT'!L48</f>
        <v>D00240791000</v>
      </c>
      <c r="D115" s="234" t="s">
        <v>1452</v>
      </c>
      <c r="E115" s="234" t="s">
        <v>1947</v>
      </c>
      <c r="F115" s="234">
        <v>0</v>
      </c>
      <c r="G115" s="234" t="str">
        <f>'OT17-403 FONTIBÓN INT'!A7</f>
        <v xml:space="preserve">Proyecto:CDIE_CBCCSM_R0178 REPOSICIÓN INTERRUPTORES.
</v>
      </c>
      <c r="H115" s="618">
        <f>'OT17-403 FONTIBÓN INT'!H35</f>
        <v>35831769</v>
      </c>
      <c r="I115" s="618">
        <f>'OT17-403 FONTIBÓN INT'!H36</f>
        <v>0</v>
      </c>
      <c r="J115" s="618">
        <v>0</v>
      </c>
      <c r="K115" s="618">
        <f>'OT17-403 FONTIBÓN INT'!H37</f>
        <v>35831769</v>
      </c>
      <c r="L115" s="618">
        <f>'OT17-403 FONTIBÓN INT'!H40</f>
        <v>6808036.1100000003</v>
      </c>
      <c r="M115" s="618">
        <f>'OT17-403 FONTIBÓN INT'!H41</f>
        <v>42639805.109999999</v>
      </c>
      <c r="N115" s="984">
        <f>+'OT17-403 FONTIBÓN INT'!O35</f>
        <v>0</v>
      </c>
      <c r="O115" s="923">
        <f>+'OT17-403 FONTIBÓN INT'!P39</f>
        <v>0</v>
      </c>
      <c r="P115" s="618">
        <f>+'OT17-403 FONTIBÓN INT'!O36</f>
        <v>0</v>
      </c>
      <c r="Q115" s="985">
        <f>+'OT17-403 FONTIBÓN INT'!O38</f>
        <v>0</v>
      </c>
      <c r="R115" s="985">
        <f>+'OT17-403 FONTIBÓN INT'!O39</f>
        <v>0</v>
      </c>
      <c r="S115" s="985">
        <f>+'OT17-403 FONTIBÓN INT'!O40</f>
        <v>0</v>
      </c>
      <c r="T115" s="985">
        <f>+'OT17-403 FONTIBÓN INT'!O41</f>
        <v>0</v>
      </c>
      <c r="U115" s="750" t="str">
        <f>'OT17-403 FONTIBÓN INT'!A8</f>
        <v>Acta N° 2: Marzo</v>
      </c>
      <c r="V115" s="234" t="s">
        <v>526</v>
      </c>
      <c r="W115" s="925"/>
      <c r="X115" s="925"/>
      <c r="Y115" s="925"/>
      <c r="Z115" s="925"/>
      <c r="AA115" s="925"/>
      <c r="AB115" s="926"/>
      <c r="AC115" s="927"/>
      <c r="AD115" s="927"/>
      <c r="AE115" s="927"/>
      <c r="AF115" s="927"/>
      <c r="AG115" s="925"/>
      <c r="AH115" s="927"/>
      <c r="AJ115" s="925"/>
    </row>
    <row r="116" spans="1:36" s="924" customFormat="1" ht="57" customHeight="1" x14ac:dyDescent="0.3">
      <c r="A116" s="1064">
        <v>109</v>
      </c>
      <c r="B116" s="235" t="str">
        <f>'OT17-404 MOSQUERA INT'!L47</f>
        <v>D00240791</v>
      </c>
      <c r="C116" s="235" t="str">
        <f>'OT17-404 MOSQUERA INT'!L48</f>
        <v>D00240791000</v>
      </c>
      <c r="D116" s="234" t="s">
        <v>1666</v>
      </c>
      <c r="E116" s="234" t="s">
        <v>1948</v>
      </c>
      <c r="F116" s="234">
        <v>0</v>
      </c>
      <c r="G116" s="234" t="str">
        <f>'OT17-404 MOSQUERA INT'!A7</f>
        <v xml:space="preserve">Proyecto:CDIE_CBCCSM_R0178 REPOSICIÓN INTERRUPTORES.
</v>
      </c>
      <c r="H116" s="618">
        <f>'OT17-404 MOSQUERA INT'!H35</f>
        <v>39780579</v>
      </c>
      <c r="I116" s="618">
        <f>'OT17-404 MOSQUERA INT'!H36</f>
        <v>0</v>
      </c>
      <c r="J116" s="618">
        <v>0</v>
      </c>
      <c r="K116" s="618">
        <f>'OT17-404 MOSQUERA INT'!H37</f>
        <v>39780579</v>
      </c>
      <c r="L116" s="618">
        <f>'OT17-404 MOSQUERA INT'!H40</f>
        <v>7558310.0099999998</v>
      </c>
      <c r="M116" s="618">
        <f>'OT17-404 MOSQUERA INT'!H41</f>
        <v>47338889.009999998</v>
      </c>
      <c r="N116" s="984">
        <f>+'OT17-404 MOSQUERA INT'!O35</f>
        <v>0</v>
      </c>
      <c r="O116" s="923">
        <f>+'OT17-404 MOSQUERA INT'!P39</f>
        <v>0</v>
      </c>
      <c r="P116" s="618">
        <f>'OT17-404 MOSQUERA INT'!L36</f>
        <v>0</v>
      </c>
      <c r="Q116" s="618">
        <f>+'OT17-404 MOSQUERA INT'!O38</f>
        <v>0</v>
      </c>
      <c r="R116" s="985">
        <f>+'OT17-404 MOSQUERA INT'!O39</f>
        <v>0</v>
      </c>
      <c r="S116" s="618">
        <f>+'OT17-404 MOSQUERA INT'!O40</f>
        <v>0</v>
      </c>
      <c r="T116" s="618">
        <f>+'OT17-404 MOSQUERA INT'!O41</f>
        <v>0</v>
      </c>
      <c r="U116" s="750" t="str">
        <f>'OT17-404 MOSQUERA INT'!A8</f>
        <v>Acta N° 2: Marzo</v>
      </c>
      <c r="V116" s="234" t="s">
        <v>526</v>
      </c>
      <c r="W116" s="925"/>
      <c r="X116" s="925"/>
      <c r="Y116" s="925"/>
      <c r="Z116" s="925"/>
      <c r="AA116" s="925"/>
      <c r="AB116" s="926"/>
      <c r="AC116" s="927"/>
      <c r="AD116" s="927"/>
      <c r="AE116" s="927"/>
      <c r="AF116" s="927"/>
      <c r="AG116" s="925"/>
      <c r="AH116" s="927"/>
      <c r="AJ116" s="925"/>
    </row>
    <row r="117" spans="1:36" s="924" customFormat="1" ht="57" customHeight="1" x14ac:dyDescent="0.3">
      <c r="A117" s="1064">
        <v>110</v>
      </c>
      <c r="B117" s="235" t="str">
        <f>+'OT17-405 MUÑA INT.'!L33</f>
        <v>D00240791</v>
      </c>
      <c r="C117" s="235" t="str">
        <f>+'OT17-405 MUÑA INT.'!L34</f>
        <v>D00240791000</v>
      </c>
      <c r="D117" s="234" t="s">
        <v>2767</v>
      </c>
      <c r="E117" s="234" t="s">
        <v>2768</v>
      </c>
      <c r="F117" s="234">
        <f>+'OT17-405 MUÑA INT.'!L32</f>
        <v>0</v>
      </c>
      <c r="G117" s="234" t="str">
        <f>+'OT17-405 MUÑA INT.'!A7</f>
        <v xml:space="preserve">Proyecto:CDIE_CBCCSM_R0178 REPOSICIÓN INTERRUPTORES.
</v>
      </c>
      <c r="H117" s="618">
        <f>+'OT17-405 MUÑA INT.'!H21</f>
        <v>13260193</v>
      </c>
      <c r="I117" s="618">
        <f>+'OT17-405 MUÑA INT.'!H22</f>
        <v>0</v>
      </c>
      <c r="J117" s="618"/>
      <c r="K117" s="618">
        <f>+'OT17-405 MUÑA INT.'!H23</f>
        <v>13260193</v>
      </c>
      <c r="L117" s="618">
        <f>+'OT17-405 MUÑA INT.'!H26</f>
        <v>2519436.67</v>
      </c>
      <c r="M117" s="618">
        <f>+'OT17-405 MUÑA INT.'!H27</f>
        <v>15779629.67</v>
      </c>
      <c r="N117" s="984">
        <f>+'OT17-405 MUÑA INT.'!L21</f>
        <v>0</v>
      </c>
      <c r="O117" s="923">
        <f>+'OT17-405 MUÑA INT.'!M25</f>
        <v>0</v>
      </c>
      <c r="P117" s="618">
        <f>+'OT17-405 MUÑA INT.'!L22</f>
        <v>0</v>
      </c>
      <c r="Q117" s="618">
        <f>+'OT17-405 MUÑA INT.'!L24</f>
        <v>0</v>
      </c>
      <c r="R117" s="985">
        <f>+'OT17-405 MUÑA INT.'!L25</f>
        <v>0</v>
      </c>
      <c r="S117" s="618">
        <f>+'OT17-405 MUÑA INT.'!L26</f>
        <v>0</v>
      </c>
      <c r="T117" s="618">
        <f>+'OT17-405 MUÑA INT.'!L27</f>
        <v>0</v>
      </c>
      <c r="U117" s="750" t="str">
        <f>+'OT17-405 MUÑA INT.'!A8</f>
        <v>Acta N° 1: Marzo</v>
      </c>
      <c r="V117" s="234"/>
      <c r="W117" s="925"/>
      <c r="X117" s="925"/>
      <c r="Y117" s="925"/>
      <c r="Z117" s="925"/>
      <c r="AA117" s="925"/>
      <c r="AB117" s="926"/>
      <c r="AC117" s="927"/>
      <c r="AD117" s="927"/>
      <c r="AE117" s="927"/>
      <c r="AF117" s="927"/>
      <c r="AG117" s="925"/>
      <c r="AH117" s="927"/>
      <c r="AJ117" s="925"/>
    </row>
    <row r="118" spans="1:36" s="924" customFormat="1" ht="57" customHeight="1" x14ac:dyDescent="0.3">
      <c r="A118" s="1064">
        <v>111</v>
      </c>
      <c r="B118" s="235" t="str">
        <f>'OT17-406 DIAMANTE SSAA'!L42</f>
        <v>D00249540</v>
      </c>
      <c r="C118" s="235" t="str">
        <f>'OT17-406 DIAMANTE SSAA'!L43</f>
        <v>D00249540000</v>
      </c>
      <c r="D118" s="234" t="s">
        <v>1950</v>
      </c>
      <c r="E118" s="234" t="s">
        <v>1949</v>
      </c>
      <c r="F118" s="234">
        <v>0</v>
      </c>
      <c r="G118" s="234" t="str">
        <f>'OT17-406 DIAMANTE SSAA'!A4</f>
        <v>Proyecto: CDIM_CBSGSM_R0159 NORMALIZACIÓN SERVICIOS ESENCIALES SSEE.</v>
      </c>
      <c r="H118" s="618">
        <f>'OT17-406 DIAMANTE SSAA'!H30</f>
        <v>23818208</v>
      </c>
      <c r="I118" s="618">
        <f>'OT17-406 DIAMANTE SSAA'!H31</f>
        <v>199320.76799999998</v>
      </c>
      <c r="J118" s="618"/>
      <c r="K118" s="618">
        <f>'OT17-406 DIAMANTE SSAA'!H32</f>
        <v>24017528.767999999</v>
      </c>
      <c r="L118" s="618">
        <f>'OT17-406 DIAMANTE SSAA'!H35</f>
        <v>4563330.4659200003</v>
      </c>
      <c r="M118" s="618">
        <f>'OT17-406 DIAMANTE SSAA'!H36</f>
        <v>28381538.465920001</v>
      </c>
      <c r="N118" s="984">
        <f>+'OT17-406 DIAMANTE SSAA'!O30</f>
        <v>0</v>
      </c>
      <c r="O118" s="923">
        <f>+'OT17-406 DIAMANTE SSAA'!P34</f>
        <v>0</v>
      </c>
      <c r="P118" s="984">
        <f>+'OT17-406 DIAMANTE SSAA'!O31</f>
        <v>0</v>
      </c>
      <c r="Q118" s="984">
        <f>+'OT17-406 DIAMANTE SSAA'!O33</f>
        <v>0</v>
      </c>
      <c r="R118" s="984">
        <f>+'OT17-406 DIAMANTE SSAA'!O34</f>
        <v>0</v>
      </c>
      <c r="S118" s="984">
        <f>+'OT17-406 DIAMANTE SSAA'!O35</f>
        <v>0</v>
      </c>
      <c r="T118" s="984">
        <f>+'OT17-406 DIAMANTE SSAA'!O36</f>
        <v>0</v>
      </c>
      <c r="U118" s="750" t="str">
        <f>'OT17-406 DIAMANTE SSAA'!A5</f>
        <v>Acta N° 2: Marzo</v>
      </c>
      <c r="V118" s="234" t="s">
        <v>528</v>
      </c>
      <c r="W118" s="925"/>
      <c r="X118" s="925"/>
      <c r="Y118" s="925"/>
      <c r="Z118" s="925"/>
      <c r="AA118" s="925"/>
      <c r="AB118" s="926"/>
      <c r="AC118" s="927"/>
      <c r="AD118" s="927"/>
      <c r="AE118" s="927"/>
      <c r="AF118" s="927"/>
      <c r="AG118" s="925"/>
      <c r="AH118" s="927"/>
      <c r="AJ118" s="925"/>
    </row>
    <row r="119" spans="1:36" s="924" customFormat="1" ht="57" customHeight="1" x14ac:dyDescent="0.3">
      <c r="A119" s="1064">
        <v>112</v>
      </c>
      <c r="B119" s="235" t="str">
        <f>'OT17-407 DIAMANTE MEDIDA SSAA'!L31</f>
        <v>D00249388</v>
      </c>
      <c r="C119" s="235" t="str">
        <f>'OT17-407 DIAMANTE MEDIDA SSAA'!L32</f>
        <v>D00249388000</v>
      </c>
      <c r="D119" s="234" t="s">
        <v>1950</v>
      </c>
      <c r="E119" s="234" t="s">
        <v>1951</v>
      </c>
      <c r="F119" s="234">
        <v>0</v>
      </c>
      <c r="G119" s="234" t="str">
        <f>'OT17-407 DIAMANTE MEDIDA SSAA'!A4</f>
        <v>Proyecto: CDIM_CBSGSM_R0159 NORMALIZACIÓN SERVICIOS ESENCIALES SSEE.</v>
      </c>
      <c r="H119" s="618">
        <f>'OT17-407 DIAMANTE MEDIDA SSAA'!H19</f>
        <v>2115504</v>
      </c>
      <c r="I119" s="618">
        <f>'OT17-407 DIAMANTE MEDIDA SSAA'!H20</f>
        <v>0</v>
      </c>
      <c r="J119" s="618"/>
      <c r="K119" s="618">
        <f>'OT17-407 DIAMANTE MEDIDA SSAA'!H21</f>
        <v>2115504</v>
      </c>
      <c r="L119" s="618">
        <f>'OT17-407 DIAMANTE MEDIDA SSAA'!H24</f>
        <v>401945.76</v>
      </c>
      <c r="M119" s="618">
        <f>'OT17-407 DIAMANTE MEDIDA SSAA'!H25</f>
        <v>2517449.7599999998</v>
      </c>
      <c r="N119" s="984">
        <f>+'OT17-407 DIAMANTE MEDIDA SSAA'!O19</f>
        <v>0</v>
      </c>
      <c r="O119" s="923">
        <f>+'OT17-407 DIAMANTE MEDIDA SSAA'!P23</f>
        <v>0</v>
      </c>
      <c r="P119" s="984">
        <f>+'OT17-407 DIAMANTE MEDIDA SSAA'!O20</f>
        <v>0</v>
      </c>
      <c r="Q119" s="984">
        <f>+'OT17-407 DIAMANTE MEDIDA SSAA'!O22</f>
        <v>0</v>
      </c>
      <c r="R119" s="984">
        <f>+'OT17-407 DIAMANTE MEDIDA SSAA'!O23</f>
        <v>0</v>
      </c>
      <c r="S119" s="984">
        <f>+'OT17-407 DIAMANTE MEDIDA SSAA'!O24</f>
        <v>0</v>
      </c>
      <c r="T119" s="984">
        <f>+'OT17-407 DIAMANTE MEDIDA SSAA'!O25</f>
        <v>0</v>
      </c>
      <c r="U119" s="750" t="str">
        <f>'OT17-407 DIAMANTE MEDIDA SSAA'!A5</f>
        <v>Acta N° 2: Marzo</v>
      </c>
      <c r="V119" s="234" t="s">
        <v>528</v>
      </c>
      <c r="W119" s="925"/>
      <c r="X119" s="925"/>
      <c r="Y119" s="925"/>
      <c r="Z119" s="925"/>
      <c r="AA119" s="925"/>
      <c r="AB119" s="926"/>
      <c r="AC119" s="927"/>
      <c r="AD119" s="927"/>
      <c r="AE119" s="927"/>
      <c r="AF119" s="927"/>
      <c r="AG119" s="925"/>
      <c r="AH119" s="927"/>
      <c r="AJ119" s="925"/>
    </row>
    <row r="120" spans="1:36" s="924" customFormat="1" ht="57" customHeight="1" x14ac:dyDescent="0.3">
      <c r="A120" s="1064">
        <v>113</v>
      </c>
      <c r="B120" s="235" t="str">
        <f>'OT17-408 LA ISLA SSAA'!L42</f>
        <v>D00249540</v>
      </c>
      <c r="C120" s="235" t="str">
        <f>'OT17-408 LA ISLA SSAA'!L43</f>
        <v>D00249540000</v>
      </c>
      <c r="D120" s="234" t="s">
        <v>1952</v>
      </c>
      <c r="E120" s="234" t="s">
        <v>1953</v>
      </c>
      <c r="F120" s="234">
        <v>0</v>
      </c>
      <c r="G120" s="234" t="str">
        <f>'OT17-408 LA ISLA SSAA'!A4</f>
        <v>Proyecto: CDIM_CBSGSM_R0159 NORMALIZACIÓN SERVICIOS ESENCIALES SSEE.</v>
      </c>
      <c r="H120" s="618">
        <f>'OT17-408 LA ISLA SSAA'!H30</f>
        <v>23818208</v>
      </c>
      <c r="I120" s="618">
        <f>'OT17-408 LA ISLA SSAA'!H31</f>
        <v>199320.76799999998</v>
      </c>
      <c r="J120" s="618"/>
      <c r="K120" s="618">
        <f>'OT17-408 LA ISLA SSAA'!H32</f>
        <v>24017528.767999999</v>
      </c>
      <c r="L120" s="618">
        <f>'OT17-408 LA ISLA SSAA'!H35</f>
        <v>4563330.4659200003</v>
      </c>
      <c r="M120" s="618">
        <f>'OT17-408 LA ISLA SSAA'!H36</f>
        <v>28381538.465920001</v>
      </c>
      <c r="N120" s="984">
        <f>+'OT17-408 LA ISLA SSAA'!O30</f>
        <v>0</v>
      </c>
      <c r="O120" s="923">
        <f>+'OT17-408 LA ISLA SSAA'!P34</f>
        <v>0</v>
      </c>
      <c r="P120" s="984">
        <f>+'OT17-408 LA ISLA SSAA'!O31</f>
        <v>0</v>
      </c>
      <c r="Q120" s="984">
        <f>+'OT17-408 LA ISLA SSAA'!O33</f>
        <v>0</v>
      </c>
      <c r="R120" s="984">
        <f>+'OT17-408 LA ISLA SSAA'!O34</f>
        <v>0</v>
      </c>
      <c r="S120" s="984">
        <f>+'OT17-408 LA ISLA SSAA'!O35</f>
        <v>0</v>
      </c>
      <c r="T120" s="984">
        <f>+'OT17-408 LA ISLA SSAA'!O36</f>
        <v>0</v>
      </c>
      <c r="U120" s="750" t="str">
        <f>'OT17-408 LA ISLA SSAA'!A5</f>
        <v>Acta N° 2: Marzo</v>
      </c>
      <c r="V120" s="234" t="s">
        <v>528</v>
      </c>
      <c r="W120" s="925"/>
      <c r="X120" s="925"/>
      <c r="Y120" s="925"/>
      <c r="Z120" s="925"/>
      <c r="AA120" s="925"/>
      <c r="AB120" s="926"/>
      <c r="AC120" s="927"/>
      <c r="AD120" s="927"/>
      <c r="AE120" s="927"/>
      <c r="AF120" s="927"/>
      <c r="AG120" s="925"/>
      <c r="AH120" s="927"/>
      <c r="AJ120" s="925"/>
    </row>
    <row r="121" spans="1:36" s="924" customFormat="1" ht="57" customHeight="1" x14ac:dyDescent="0.3">
      <c r="A121" s="1064">
        <v>114</v>
      </c>
      <c r="B121" s="235" t="str">
        <f>'OT117-409 LA ISLA MEDIDA'!L31</f>
        <v>D00249388</v>
      </c>
      <c r="C121" s="235" t="str">
        <f>'OT117-409 LA ISLA MEDIDA'!L32</f>
        <v>D00249388000</v>
      </c>
      <c r="D121" s="234" t="s">
        <v>1952</v>
      </c>
      <c r="E121" s="234" t="s">
        <v>1954</v>
      </c>
      <c r="F121" s="234">
        <v>0</v>
      </c>
      <c r="G121" s="234" t="str">
        <f>'OT117-409 LA ISLA MEDIDA'!A4</f>
        <v>Proyecto: CDIM_CBSGSM_R0159 NORMALIZACIÓN SERVICIOS ESENCIALES SSEE.</v>
      </c>
      <c r="H121" s="618">
        <f>'OT117-409 LA ISLA MEDIDA'!H19</f>
        <v>2115504</v>
      </c>
      <c r="I121" s="618">
        <f>'OT117-409 LA ISLA MEDIDA'!H20</f>
        <v>0</v>
      </c>
      <c r="J121" s="618"/>
      <c r="K121" s="618">
        <f>'OT117-409 LA ISLA MEDIDA'!H21</f>
        <v>2115504</v>
      </c>
      <c r="L121" s="618">
        <f>'OT117-409 LA ISLA MEDIDA'!H24</f>
        <v>401945.76</v>
      </c>
      <c r="M121" s="618">
        <f>'OT117-409 LA ISLA MEDIDA'!H25</f>
        <v>2517449.7599999998</v>
      </c>
      <c r="N121" s="984">
        <f>+'OT117-409 LA ISLA MEDIDA'!O19</f>
        <v>0</v>
      </c>
      <c r="O121" s="923">
        <f>+'OT117-409 LA ISLA MEDIDA'!P23</f>
        <v>0</v>
      </c>
      <c r="P121" s="984">
        <f>+'OT117-409 LA ISLA MEDIDA'!O20</f>
        <v>0</v>
      </c>
      <c r="Q121" s="984">
        <f>+'OT117-409 LA ISLA MEDIDA'!O22</f>
        <v>0</v>
      </c>
      <c r="R121" s="984">
        <f>+'OT117-409 LA ISLA MEDIDA'!O23</f>
        <v>0</v>
      </c>
      <c r="S121" s="984">
        <f>+'OT117-409 LA ISLA MEDIDA'!O24</f>
        <v>0</v>
      </c>
      <c r="T121" s="984">
        <f>+'OT117-409 LA ISLA MEDIDA'!O25</f>
        <v>0</v>
      </c>
      <c r="U121" s="750" t="str">
        <f>'OT117-409 LA ISLA MEDIDA'!A5</f>
        <v>Acta N° 2: Marzo</v>
      </c>
      <c r="V121" s="234" t="s">
        <v>528</v>
      </c>
      <c r="W121" s="925"/>
      <c r="X121" s="925"/>
      <c r="Y121" s="925"/>
      <c r="Z121" s="925"/>
      <c r="AA121" s="925"/>
      <c r="AB121" s="926"/>
      <c r="AC121" s="927"/>
      <c r="AD121" s="927"/>
      <c r="AE121" s="927"/>
      <c r="AF121" s="927"/>
      <c r="AG121" s="925"/>
      <c r="AH121" s="927"/>
      <c r="AJ121" s="925"/>
    </row>
    <row r="122" spans="1:36" s="924" customFormat="1" ht="57" customHeight="1" x14ac:dyDescent="0.3">
      <c r="A122" s="1064">
        <v>115</v>
      </c>
      <c r="B122" s="235" t="str">
        <f>'OT17-410 FACA MINI MANTIS'!L35</f>
        <v>D00249389</v>
      </c>
      <c r="C122" s="235" t="str">
        <f>'OT17-410 FACA MINI MANTIS'!L36</f>
        <v>D00249389000</v>
      </c>
      <c r="D122" s="234" t="s">
        <v>1733</v>
      </c>
      <c r="E122" s="234" t="s">
        <v>1955</v>
      </c>
      <c r="F122" s="234">
        <v>0</v>
      </c>
      <c r="G122" s="234" t="str">
        <f>'OT17-410 FACA MINI MANTIS'!A4</f>
        <v>Proyecto: CDIM_CAOLIG_R0078 - RES. CREG 038-14 CÓDIGO DE MEDIDA.</v>
      </c>
      <c r="H122" s="618">
        <f>'OT17-410 FACA MINI MANTIS'!H22</f>
        <v>2841890</v>
      </c>
      <c r="I122" s="618">
        <f>'OT17-410 FACA MINI MANTIS'!H23</f>
        <v>0</v>
      </c>
      <c r="J122" s="618"/>
      <c r="K122" s="618">
        <f>'OT17-410 FACA MINI MANTIS'!H24</f>
        <v>2841890</v>
      </c>
      <c r="L122" s="618">
        <f>'OT17-410 FACA MINI MANTIS'!H27</f>
        <v>539959.1</v>
      </c>
      <c r="M122" s="618">
        <f>'OT17-410 FACA MINI MANTIS'!H28</f>
        <v>3381849.1</v>
      </c>
      <c r="N122" s="984">
        <f>+'OT17-410 FACA MINI MANTIS'!R22</f>
        <v>0</v>
      </c>
      <c r="O122" s="923">
        <f>+'OT17-410 FACA MINI MANTIS'!S26</f>
        <v>0</v>
      </c>
      <c r="P122" s="984">
        <f>+'OT17-410 FACA MINI MANTIS'!R23</f>
        <v>0</v>
      </c>
      <c r="Q122" s="984">
        <f>+'OT17-410 FACA MINI MANTIS'!R25</f>
        <v>0</v>
      </c>
      <c r="R122" s="984">
        <f>+'OT17-410 FACA MINI MANTIS'!R26</f>
        <v>0</v>
      </c>
      <c r="S122" s="984">
        <f>+'OT17-410 FACA MINI MANTIS'!R27</f>
        <v>0</v>
      </c>
      <c r="T122" s="984">
        <f>+'OT17-410 FACA MINI MANTIS'!R28</f>
        <v>0</v>
      </c>
      <c r="U122" s="984" t="str">
        <f>'OT17-410 FACA MINI MANTIS'!A5</f>
        <v>Acta N° 3: Marzo</v>
      </c>
      <c r="V122" s="234" t="s">
        <v>528</v>
      </c>
      <c r="W122" s="925"/>
      <c r="X122" s="925"/>
      <c r="Y122" s="925"/>
      <c r="Z122" s="925"/>
      <c r="AA122" s="925"/>
      <c r="AB122" s="926"/>
      <c r="AC122" s="927"/>
      <c r="AD122" s="927"/>
      <c r="AE122" s="927"/>
      <c r="AF122" s="927"/>
      <c r="AG122" s="925"/>
      <c r="AH122" s="927"/>
      <c r="AJ122" s="925"/>
    </row>
    <row r="123" spans="1:36" s="924" customFormat="1" ht="57" customHeight="1" x14ac:dyDescent="0.3">
      <c r="A123" s="1064">
        <v>116</v>
      </c>
      <c r="B123" s="235" t="str">
        <f>'OT17-411 SAUCES MINI MANTIS'!L35</f>
        <v>D00249389</v>
      </c>
      <c r="C123" s="235" t="str">
        <f>'OT17-411 SAUCES MINI MANTIS'!L36</f>
        <v>D00249389000</v>
      </c>
      <c r="D123" s="234" t="s">
        <v>1448</v>
      </c>
      <c r="E123" s="234" t="s">
        <v>1956</v>
      </c>
      <c r="F123" s="234">
        <v>0</v>
      </c>
      <c r="G123" s="234" t="str">
        <f>'OT17-411 SAUCES MINI MANTIS'!A4</f>
        <v>Proyecto: CDIM_CAOLIG_R0078 - RES. CREG 038-14 CÓDIGO DE MEDIDA.</v>
      </c>
      <c r="H123" s="618">
        <f>'OT17-411 SAUCES MINI MANTIS'!H22</f>
        <v>2841890</v>
      </c>
      <c r="I123" s="618">
        <f>'OT17-411 SAUCES MINI MANTIS'!H23</f>
        <v>0</v>
      </c>
      <c r="J123" s="618"/>
      <c r="K123" s="618">
        <f>'OT17-411 SAUCES MINI MANTIS'!H24</f>
        <v>2841890</v>
      </c>
      <c r="L123" s="618">
        <f>'OT17-411 SAUCES MINI MANTIS'!H27</f>
        <v>539959.1</v>
      </c>
      <c r="M123" s="618">
        <f>'OT17-411 SAUCES MINI MANTIS'!H28</f>
        <v>3381849.1</v>
      </c>
      <c r="N123" s="984">
        <f>+'OT17-411 SAUCES MINI MANTIS'!R22</f>
        <v>0</v>
      </c>
      <c r="O123" s="923">
        <f>+'OT17-411 SAUCES MINI MANTIS'!S26</f>
        <v>0</v>
      </c>
      <c r="P123" s="984">
        <f>+'OT17-411 SAUCES MINI MANTIS'!R23</f>
        <v>0</v>
      </c>
      <c r="Q123" s="984">
        <f>+'OT17-411 SAUCES MINI MANTIS'!R25</f>
        <v>0</v>
      </c>
      <c r="R123" s="984">
        <f>+'OT17-411 SAUCES MINI MANTIS'!R26</f>
        <v>0</v>
      </c>
      <c r="S123" s="984">
        <f>+'OT17-411 SAUCES MINI MANTIS'!R27</f>
        <v>0</v>
      </c>
      <c r="T123" s="984">
        <f>+'OT17-411 SAUCES MINI MANTIS'!R28</f>
        <v>0</v>
      </c>
      <c r="U123" s="750" t="str">
        <f>'OT17-411 SAUCES MINI MANTIS'!A5</f>
        <v>Acta N° 3: Marzo</v>
      </c>
      <c r="V123" s="234" t="s">
        <v>528</v>
      </c>
      <c r="W123" s="925"/>
      <c r="X123" s="925"/>
      <c r="Y123" s="925"/>
      <c r="Z123" s="925"/>
      <c r="AA123" s="925"/>
      <c r="AB123" s="926"/>
      <c r="AC123" s="927"/>
      <c r="AD123" s="927"/>
      <c r="AE123" s="927"/>
      <c r="AF123" s="927"/>
      <c r="AG123" s="925"/>
      <c r="AH123" s="927"/>
      <c r="AJ123" s="925"/>
    </row>
    <row r="124" spans="1:36" s="924" customFormat="1" ht="57" customHeight="1" x14ac:dyDescent="0.3">
      <c r="A124" s="1064">
        <v>117</v>
      </c>
      <c r="B124" s="235" t="str">
        <f>'OT17-412 TENJO MINI MANTIS'!L34</f>
        <v>D00249389</v>
      </c>
      <c r="C124" s="235" t="str">
        <f>'OT17-412 TENJO MINI MANTIS'!L35</f>
        <v>D00249389000</v>
      </c>
      <c r="D124" s="234" t="s">
        <v>1443</v>
      </c>
      <c r="E124" s="234" t="s">
        <v>1957</v>
      </c>
      <c r="F124" s="234">
        <v>0</v>
      </c>
      <c r="G124" s="234" t="str">
        <f>'OT17-412 TENJO MINI MANTIS'!A4</f>
        <v>Proyecto: CDIM_CAOLIG_R0078 - RES. CREG 038-14 CÓDIGO DE MEDIDA.</v>
      </c>
      <c r="H124" s="618">
        <f>'OT17-412 TENJO MINI MANTIS'!H22</f>
        <v>2841890</v>
      </c>
      <c r="I124" s="618">
        <f>'OT17-412 TENJO MINI MANTIS'!H23</f>
        <v>0</v>
      </c>
      <c r="J124" s="618"/>
      <c r="K124" s="618">
        <f>'OT17-412 TENJO MINI MANTIS'!H24</f>
        <v>2841890</v>
      </c>
      <c r="L124" s="618">
        <f>'OT17-412 TENJO MINI MANTIS'!H27</f>
        <v>539959.1</v>
      </c>
      <c r="M124" s="618">
        <f>'OT17-412 TENJO MINI MANTIS'!H28</f>
        <v>3381849.1</v>
      </c>
      <c r="N124" s="984">
        <f>+'OT17-412 TENJO MINI MANTIS'!O22</f>
        <v>0</v>
      </c>
      <c r="O124" s="923">
        <f>+'OT17-412 TENJO MINI MANTIS'!P26</f>
        <v>0</v>
      </c>
      <c r="P124" s="984">
        <f>+'OT17-412 TENJO MINI MANTIS'!O23</f>
        <v>0</v>
      </c>
      <c r="Q124" s="984">
        <f>+'OT17-412 TENJO MINI MANTIS'!O25</f>
        <v>0</v>
      </c>
      <c r="R124" s="984">
        <f>+'OT17-412 TENJO MINI MANTIS'!O26</f>
        <v>0</v>
      </c>
      <c r="S124" s="984">
        <f>+'OT17-412 TENJO MINI MANTIS'!O27</f>
        <v>0</v>
      </c>
      <c r="T124" s="984">
        <f>+'OT17-412 TENJO MINI MANTIS'!O28</f>
        <v>0</v>
      </c>
      <c r="U124" s="750" t="str">
        <f>'OT17-412 TENJO MINI MANTIS'!A5</f>
        <v>Acta N° 2: Marzo</v>
      </c>
      <c r="V124" s="234" t="s">
        <v>528</v>
      </c>
      <c r="W124" s="925"/>
      <c r="X124" s="925"/>
      <c r="Y124" s="925"/>
      <c r="Z124" s="925"/>
      <c r="AA124" s="925"/>
      <c r="AB124" s="926"/>
      <c r="AC124" s="927"/>
      <c r="AD124" s="927"/>
      <c r="AE124" s="927"/>
      <c r="AF124" s="927"/>
      <c r="AG124" s="925"/>
      <c r="AH124" s="927"/>
      <c r="AJ124" s="925"/>
    </row>
    <row r="125" spans="1:36" s="924" customFormat="1" ht="57" customHeight="1" x14ac:dyDescent="0.3">
      <c r="A125" s="1064">
        <v>118</v>
      </c>
      <c r="B125" s="1201" t="str">
        <f>'OT17-413 SALITRE MEDIDA '!L32</f>
        <v>D00249389</v>
      </c>
      <c r="C125" s="1201" t="str">
        <f>'OT17-413 SALITRE MEDIDA '!L33</f>
        <v>D0024938900</v>
      </c>
      <c r="D125" s="1202" t="s">
        <v>1959</v>
      </c>
      <c r="E125" s="1202" t="s">
        <v>1958</v>
      </c>
      <c r="F125" s="1202">
        <v>0</v>
      </c>
      <c r="G125" s="1202" t="str">
        <f>'OT17-413 SALITRE MEDIDA '!A4</f>
        <v>Proyecto: CDIM_CAOLIG_R0078 - RES. CREG 038-14 CÓDIGO DE MEDIDA.</v>
      </c>
      <c r="H125" s="1203">
        <f>'OT17-413 SALITRE MEDIDA '!H19</f>
        <v>2115504</v>
      </c>
      <c r="I125" s="1203">
        <f>'OT17-413 SALITRE MEDIDA '!H20</f>
        <v>0</v>
      </c>
      <c r="J125" s="1203"/>
      <c r="K125" s="1203">
        <f>'OT17-413 SALITRE MEDIDA '!H21</f>
        <v>2115504</v>
      </c>
      <c r="L125" s="1203">
        <f>'OT17-413 SALITRE MEDIDA '!H24</f>
        <v>401945.76</v>
      </c>
      <c r="M125" s="1203">
        <f>'OT17-413 SALITRE MEDIDA '!H25</f>
        <v>2517449.7599999998</v>
      </c>
      <c r="N125" s="1215">
        <f>'OT17-413 SALITRE MEDIDA '!O19</f>
        <v>1480462</v>
      </c>
      <c r="O125" s="1208">
        <f>'OT17-413 SALITRE MEDIDA '!P23</f>
        <v>0.71031253072553868</v>
      </c>
      <c r="P125" s="1215">
        <f>'OT17-413 SALITRE MEDIDA '!O20</f>
        <v>0</v>
      </c>
      <c r="Q125" s="1215">
        <f>'OT17-413 SALITRE MEDIDA '!O22</f>
        <v>22207</v>
      </c>
      <c r="R125" s="1215">
        <f>'OT17-413 SALITRE MEDIDA '!O23</f>
        <v>1502669</v>
      </c>
      <c r="S125" s="1215">
        <f>'OT17-413 SALITRE MEDIDA '!O24</f>
        <v>285507.11</v>
      </c>
      <c r="T125" s="1215">
        <f>'OT17-413 SALITRE MEDIDA '!O25</f>
        <v>1788176.1099999999</v>
      </c>
      <c r="U125" s="1206" t="str">
        <f>'OT17-413 SALITRE MEDIDA '!A5</f>
        <v>Acta N° 2: Febrero</v>
      </c>
      <c r="V125" s="1202" t="s">
        <v>528</v>
      </c>
      <c r="W125" s="925"/>
      <c r="X125" s="925"/>
      <c r="Y125" s="925"/>
      <c r="Z125" s="925"/>
      <c r="AA125" s="925"/>
      <c r="AB125" s="926"/>
      <c r="AC125" s="927"/>
      <c r="AD125" s="927"/>
      <c r="AE125" s="927"/>
      <c r="AF125" s="927"/>
      <c r="AG125" s="925"/>
      <c r="AH125" s="927"/>
      <c r="AJ125" s="925"/>
    </row>
    <row r="126" spans="1:36" s="924" customFormat="1" ht="57" customHeight="1" x14ac:dyDescent="0.3">
      <c r="A126" s="1064">
        <v>119</v>
      </c>
      <c r="B126" s="1201" t="str">
        <f>'OT17-414 SUBA MINI  MANTIS'!L32</f>
        <v>D00249389</v>
      </c>
      <c r="C126" s="1201" t="str">
        <f>'OT17-414 SUBA MINI  MANTIS'!L33</f>
        <v>D0024938900</v>
      </c>
      <c r="D126" s="1202" t="s">
        <v>1433</v>
      </c>
      <c r="E126" s="1202" t="s">
        <v>1960</v>
      </c>
      <c r="F126" s="1202">
        <v>0</v>
      </c>
      <c r="G126" s="1202" t="str">
        <f>'OT17-414 SUBA MINI  MANTIS'!A4</f>
        <v>Proyecto: CDIM_CAOLIG_R0078 - RES. CREG 038-14 CÓDIGO DE MEDIDA.</v>
      </c>
      <c r="H126" s="1203">
        <f>'OT17-414 SUBA MINI  MANTIS'!H19</f>
        <v>2115504</v>
      </c>
      <c r="I126" s="1203">
        <f>'OT17-414 SUBA MINI  MANTIS'!H20</f>
        <v>0</v>
      </c>
      <c r="J126" s="1203"/>
      <c r="K126" s="1203">
        <f>'OT17-414 SUBA MINI  MANTIS'!H21</f>
        <v>2115504</v>
      </c>
      <c r="L126" s="1203">
        <f>'OT17-414 SUBA MINI  MANTIS'!H24</f>
        <v>401945.76</v>
      </c>
      <c r="M126" s="1203">
        <f>'OT17-414 SUBA MINI  MANTIS'!H25</f>
        <v>2517449.7599999998</v>
      </c>
      <c r="N126" s="1215">
        <f>'OT17-414 SUBA MINI  MANTIS'!O19</f>
        <v>1480462</v>
      </c>
      <c r="O126" s="1208">
        <f>'OT17-414 SUBA MINI  MANTIS'!P23</f>
        <v>0.71031253072553868</v>
      </c>
      <c r="P126" s="1215">
        <f>'OT17-414 SUBA MINI  MANTIS'!O20</f>
        <v>0</v>
      </c>
      <c r="Q126" s="1215">
        <f>'OT17-414 SUBA MINI  MANTIS'!O22</f>
        <v>22207</v>
      </c>
      <c r="R126" s="1215">
        <f>'OT17-414 SUBA MINI  MANTIS'!O23</f>
        <v>1502669</v>
      </c>
      <c r="S126" s="1215">
        <f>'OT17-414 SUBA MINI  MANTIS'!O24</f>
        <v>285507.11</v>
      </c>
      <c r="T126" s="1215">
        <f>'OT17-414 SUBA MINI  MANTIS'!O25</f>
        <v>1788176.1099999999</v>
      </c>
      <c r="U126" s="1206" t="str">
        <f>'OT17-414 SUBA MINI  MANTIS'!A5</f>
        <v>Acta N° 2: Febrero</v>
      </c>
      <c r="V126" s="1202" t="s">
        <v>528</v>
      </c>
      <c r="W126" s="925"/>
      <c r="X126" s="925"/>
      <c r="Y126" s="925"/>
      <c r="Z126" s="925"/>
      <c r="AA126" s="925"/>
      <c r="AB126" s="926"/>
      <c r="AC126" s="927"/>
      <c r="AD126" s="927"/>
      <c r="AE126" s="927"/>
      <c r="AF126" s="927"/>
      <c r="AG126" s="925"/>
      <c r="AH126" s="927"/>
      <c r="AJ126" s="925"/>
    </row>
    <row r="127" spans="1:36" s="924" customFormat="1" ht="34.5" customHeight="1" x14ac:dyDescent="0.3">
      <c r="A127" s="1064">
        <v>120</v>
      </c>
      <c r="B127" s="235" t="str">
        <f>'OT17-415 CASTELLANA AS BUILT'!L33</f>
        <v>D00235266</v>
      </c>
      <c r="C127" s="235" t="str">
        <f>'OT17-415 CASTELLANA AS BUILT'!L34</f>
        <v>D00235266000</v>
      </c>
      <c r="D127" s="234" t="s">
        <v>1674</v>
      </c>
      <c r="E127" s="234" t="s">
        <v>1961</v>
      </c>
      <c r="F127" s="234">
        <v>0</v>
      </c>
      <c r="G127" s="234" t="str">
        <f>'OT17-415 CASTELLANA AS BUILT'!A7</f>
        <v xml:space="preserve">Proyecto:CDIE_CBCCSM_R0178 REPOSICIÓN INTERRUPTORES.
</v>
      </c>
      <c r="H127" s="618">
        <f>'OT17-415 CASTELLANA AS BUILT'!H21</f>
        <v>677286</v>
      </c>
      <c r="I127" s="618">
        <f>'OT17-415 CASTELLANA AS BUILT'!H22</f>
        <v>0</v>
      </c>
      <c r="J127" s="618">
        <v>0</v>
      </c>
      <c r="K127" s="618">
        <f>'OT17-415 CASTELLANA AS BUILT'!H23</f>
        <v>677286</v>
      </c>
      <c r="L127" s="618">
        <f>'OT17-415 CASTELLANA AS BUILT'!H26</f>
        <v>128684.34</v>
      </c>
      <c r="M127" s="618">
        <f>'OT17-415 CASTELLANA AS BUILT'!H27</f>
        <v>805970.34</v>
      </c>
      <c r="N127" s="984">
        <f>+'OT17-415 CASTELLANA AS BUILT'!O21</f>
        <v>0</v>
      </c>
      <c r="O127" s="923">
        <f>+'OT17-415 CASTELLANA AS BUILT'!P25</f>
        <v>0</v>
      </c>
      <c r="P127" s="618">
        <f>+'OT17-415 CASTELLANA AS BUILT'!O22</f>
        <v>0</v>
      </c>
      <c r="Q127" s="618">
        <f>+'OT17-415 CASTELLANA AS BUILT'!O24</f>
        <v>0</v>
      </c>
      <c r="R127" s="618">
        <f>+'OT17-415 CASTELLANA AS BUILT'!O25</f>
        <v>0</v>
      </c>
      <c r="S127" s="618">
        <f>+'OT17-415 CASTELLANA AS BUILT'!O26</f>
        <v>0</v>
      </c>
      <c r="T127" s="618">
        <f>+'OT17-415 CASTELLANA AS BUILT'!O27</f>
        <v>0</v>
      </c>
      <c r="U127" s="750" t="str">
        <f>'OT17-415 CASTELLANA AS BUILT'!A8</f>
        <v>Acta N° 2: Marzo</v>
      </c>
      <c r="V127" s="234" t="s">
        <v>526</v>
      </c>
      <c r="W127" s="925"/>
      <c r="X127" s="925"/>
      <c r="Y127" s="925"/>
      <c r="Z127" s="925"/>
      <c r="AA127" s="925"/>
      <c r="AB127" s="926"/>
      <c r="AC127" s="927"/>
      <c r="AD127" s="927"/>
      <c r="AE127" s="927"/>
      <c r="AF127" s="927"/>
      <c r="AG127" s="925"/>
      <c r="AH127" s="927"/>
      <c r="AJ127" s="925"/>
    </row>
    <row r="128" spans="1:36" s="924" customFormat="1" ht="57" customHeight="1" x14ac:dyDescent="0.3">
      <c r="A128" s="1064">
        <v>121</v>
      </c>
      <c r="B128" s="1201" t="str">
        <f>'OT17-419 SALTO I '!L30</f>
        <v>D00243135</v>
      </c>
      <c r="C128" s="1201" t="str">
        <f>'OT17-419 SALTO I '!L31</f>
        <v>D00243135000</v>
      </c>
      <c r="D128" s="1202" t="s">
        <v>1963</v>
      </c>
      <c r="E128" s="1202" t="s">
        <v>1962</v>
      </c>
      <c r="F128" s="1202">
        <v>0</v>
      </c>
      <c r="G128" s="1202" t="str">
        <f>'OT17-419 SALTO I '!A7</f>
        <v>Proyecto:CDIM_CAOLIG_R0078 - RES. CREG 038-14 CÓDIGO DE MEDIDA.</v>
      </c>
      <c r="H128" s="1203">
        <f>'OT17-419 SALTO I '!H18</f>
        <v>762600</v>
      </c>
      <c r="I128" s="1203">
        <f>'OT17-419 SALTO I '!H19</f>
        <v>22878</v>
      </c>
      <c r="J128" s="1203"/>
      <c r="K128" s="1203">
        <f>'OT17-419 SALTO I '!H20</f>
        <v>785478</v>
      </c>
      <c r="L128" s="1203">
        <f>'OT17-419 SALTO I '!H23</f>
        <v>149240.82</v>
      </c>
      <c r="M128" s="1203">
        <f>'OT17-419 SALTO I '!H24</f>
        <v>911840.82000000007</v>
      </c>
      <c r="N128" s="1215">
        <f>'OT17-419 SALTO I '!L18</f>
        <v>801493</v>
      </c>
      <c r="O128" s="1208">
        <f>'OT17-419 SALTO I '!M22</f>
        <v>1.0667654472817827</v>
      </c>
      <c r="P128" s="1215">
        <f>'OT17-419 SALTO I '!L19</f>
        <v>24044.79</v>
      </c>
      <c r="Q128" s="1215">
        <f>'OT17-419 SALTO I '!L21</f>
        <v>12383</v>
      </c>
      <c r="R128" s="1215">
        <f>'OT17-419 SALTO I '!L22</f>
        <v>837920.79</v>
      </c>
      <c r="S128" s="1215">
        <f>'OT17-419 SALTO I '!L23</f>
        <v>159204.95010000002</v>
      </c>
      <c r="T128" s="1215">
        <f>'OT17-419 SALTO I '!L24</f>
        <v>997125.74010000005</v>
      </c>
      <c r="U128" s="1206" t="str">
        <f>'OT17-419 SALTO I '!A8</f>
        <v>Acta N° 1: Febrero</v>
      </c>
      <c r="V128" s="1202" t="s">
        <v>529</v>
      </c>
      <c r="W128" s="925"/>
      <c r="X128" s="925"/>
      <c r="Y128" s="925"/>
      <c r="Z128" s="925"/>
      <c r="AA128" s="925"/>
      <c r="AB128" s="926"/>
      <c r="AC128" s="927"/>
      <c r="AD128" s="927"/>
      <c r="AE128" s="927"/>
      <c r="AF128" s="927"/>
      <c r="AG128" s="925"/>
      <c r="AH128" s="927"/>
      <c r="AJ128" s="925"/>
    </row>
    <row r="129" spans="1:36" s="924" customFormat="1" ht="57" customHeight="1" x14ac:dyDescent="0.3">
      <c r="A129" s="1064">
        <v>122</v>
      </c>
      <c r="B129" s="235" t="str">
        <f>'OT17-421 CIRCO ADICIONALES'!L34</f>
        <v>D00243135</v>
      </c>
      <c r="C129" s="235" t="str">
        <f>'OT17-421 CIRCO ADICIONALES'!L35</f>
        <v>D00243135000</v>
      </c>
      <c r="D129" s="234" t="s">
        <v>1214</v>
      </c>
      <c r="E129" s="234" t="s">
        <v>1964</v>
      </c>
      <c r="F129" s="234">
        <v>0</v>
      </c>
      <c r="G129" s="234" t="str">
        <f>'OT17-421 CIRCO ADICIONALES'!A7</f>
        <v>Proyecto:CDIM_CAOLIG_R0078 - RES. CREG 038-14 CÓDIGO DE MEDIDA</v>
      </c>
      <c r="H129" s="618">
        <f>'OT17-421 CIRCO ADICIONALES'!H22</f>
        <v>3196654</v>
      </c>
      <c r="I129" s="618">
        <f>'OT17-421 CIRCO ADICIONALES'!H23</f>
        <v>0</v>
      </c>
      <c r="J129" s="618"/>
      <c r="K129" s="618">
        <f>'OT17-421 CIRCO ADICIONALES'!H24</f>
        <v>3196654</v>
      </c>
      <c r="L129" s="618">
        <f>'OT17-421 CIRCO ADICIONALES'!H27</f>
        <v>607364.26</v>
      </c>
      <c r="M129" s="618">
        <f>'OT17-421 CIRCO ADICIONALES'!H28</f>
        <v>3804018.26</v>
      </c>
      <c r="N129" s="984">
        <f>+'OT17-421 CIRCO ADICIONALES'!O22</f>
        <v>0</v>
      </c>
      <c r="O129" s="923">
        <f>+'OT17-421 CIRCO ADICIONALES'!P26</f>
        <v>0</v>
      </c>
      <c r="P129" s="984">
        <f>+'OT17-421 CIRCO ADICIONALES'!O23</f>
        <v>0</v>
      </c>
      <c r="Q129" s="984">
        <f>+'OT17-421 CIRCO ADICIONALES'!O25</f>
        <v>0</v>
      </c>
      <c r="R129" s="984">
        <f>+'OT17-421 CIRCO ADICIONALES'!O26</f>
        <v>0</v>
      </c>
      <c r="S129" s="984">
        <f>+'OT17-421 CIRCO ADICIONALES'!O27</f>
        <v>0</v>
      </c>
      <c r="T129" s="984">
        <f>+'OT17-421 CIRCO ADICIONALES'!O28</f>
        <v>0</v>
      </c>
      <c r="U129" s="750" t="str">
        <f>'OT17-421 CIRCO ADICIONALES'!A8</f>
        <v>Acta N° 2: Marzo</v>
      </c>
      <c r="V129" s="234" t="s">
        <v>1268</v>
      </c>
      <c r="W129" s="925"/>
      <c r="X129" s="925"/>
      <c r="Y129" s="925"/>
      <c r="Z129" s="925"/>
      <c r="AA129" s="925"/>
      <c r="AB129" s="926"/>
      <c r="AC129" s="927"/>
      <c r="AD129" s="927"/>
      <c r="AE129" s="927"/>
      <c r="AF129" s="927"/>
      <c r="AG129" s="925"/>
      <c r="AH129" s="927"/>
      <c r="AJ129" s="925"/>
    </row>
    <row r="130" spans="1:36" s="924" customFormat="1" ht="57" customHeight="1" x14ac:dyDescent="0.3">
      <c r="A130" s="1064">
        <v>123</v>
      </c>
      <c r="B130" s="235" t="str">
        <f>'OT17-422 SESQUILE REP. INT'!L38</f>
        <v>D00249266</v>
      </c>
      <c r="C130" s="235" t="str">
        <f>'OT17-422 SESQUILE REP. INT'!L39</f>
        <v>D00249266000</v>
      </c>
      <c r="D130" s="234" t="s">
        <v>1714</v>
      </c>
      <c r="E130" s="234" t="s">
        <v>1965</v>
      </c>
      <c r="F130" s="234">
        <v>0</v>
      </c>
      <c r="G130" s="234" t="str">
        <f>'OT17-422 SESQUILE REP. INT'!A7</f>
        <v>Proyecto:CDIE_CBCCSM_R0178 REPOSICIÓN INTERRUPTORES.</v>
      </c>
      <c r="H130" s="618">
        <f>'OT17-422 SESQUILE REP. INT'!H26</f>
        <v>18253662</v>
      </c>
      <c r="I130" s="618">
        <f>'OT17-422 SESQUILE REP. INT'!H27</f>
        <v>114484.095</v>
      </c>
      <c r="J130" s="618">
        <v>0</v>
      </c>
      <c r="K130" s="618">
        <f>'OT17-422 SESQUILE REP. INT'!H28</f>
        <v>18368146.094999999</v>
      </c>
      <c r="L130" s="618">
        <f>'OT17-422 SESQUILE REP. INT'!H31</f>
        <v>3489947.7580499998</v>
      </c>
      <c r="M130" s="618">
        <f>'OT17-422 SESQUILE REP. INT'!H32</f>
        <v>21743609.758049998</v>
      </c>
      <c r="N130" s="984">
        <f>+'OT17-422 SESQUILE REP. INT'!O26</f>
        <v>0</v>
      </c>
      <c r="O130" s="923">
        <f>+'OT17-422 SESQUILE REP. INT'!P30</f>
        <v>0</v>
      </c>
      <c r="P130" s="984">
        <f>+'OT17-422 SESQUILE REP. INT'!O27</f>
        <v>0</v>
      </c>
      <c r="Q130" s="984">
        <f>+'OT17-422 SESQUILE REP. INT'!O29</f>
        <v>0</v>
      </c>
      <c r="R130" s="984">
        <f>+'OT17-422 SESQUILE REP. INT'!O30</f>
        <v>0</v>
      </c>
      <c r="S130" s="984">
        <f>+'OT17-422 SESQUILE REP. INT'!O31</f>
        <v>0</v>
      </c>
      <c r="T130" s="984">
        <f>+'OT17-422 SESQUILE REP. INT'!O32</f>
        <v>0</v>
      </c>
      <c r="U130" s="750" t="str">
        <f>'OT17-422 SESQUILE REP. INT'!A8</f>
        <v>Acta N° 2: Marzo</v>
      </c>
      <c r="V130" s="234" t="s">
        <v>526</v>
      </c>
      <c r="W130" s="925"/>
      <c r="X130" s="925"/>
      <c r="Y130" s="925"/>
      <c r="Z130" s="925"/>
      <c r="AA130" s="925"/>
      <c r="AB130" s="926"/>
      <c r="AC130" s="927"/>
      <c r="AD130" s="927"/>
      <c r="AE130" s="927"/>
      <c r="AF130" s="927"/>
      <c r="AG130" s="925"/>
      <c r="AH130" s="927"/>
      <c r="AJ130" s="925"/>
    </row>
    <row r="131" spans="1:36" s="924" customFormat="1" ht="57" customHeight="1" x14ac:dyDescent="0.3">
      <c r="A131" s="1064">
        <v>124</v>
      </c>
      <c r="B131" s="1201" t="str">
        <f>'OT17-423 BALSILLAS ADICIONAL '!L33</f>
        <v>D00249390</v>
      </c>
      <c r="C131" s="1201" t="str">
        <f>'OT17-423 BALSILLAS ADICIONAL '!L34</f>
        <v>D00249390000</v>
      </c>
      <c r="D131" s="1202" t="s">
        <v>1222</v>
      </c>
      <c r="E131" s="1202" t="s">
        <v>1966</v>
      </c>
      <c r="F131" s="1202">
        <v>0</v>
      </c>
      <c r="G131" s="1202" t="str">
        <f>'OT17-423 BALSILLAS ADICIONAL '!A7</f>
        <v>Proyecto:CDIM_CAOLIG_R0078 - RES. CREG 038-14 CÓDIGO DE MEDIDA</v>
      </c>
      <c r="H131" s="1203">
        <f>'OT17-423 BALSILLAS ADICIONAL '!H20</f>
        <v>6048571</v>
      </c>
      <c r="I131" s="1203">
        <f>'OT17-423 BALSILLAS ADICIONAL '!H21</f>
        <v>0</v>
      </c>
      <c r="J131" s="1203"/>
      <c r="K131" s="1203">
        <f>'OT17-423 BALSILLAS ADICIONAL '!H22</f>
        <v>6048571</v>
      </c>
      <c r="L131" s="1203">
        <f>'OT17-423 BALSILLAS ADICIONAL '!H25</f>
        <v>1149228.49</v>
      </c>
      <c r="M131" s="1203">
        <f>'OT17-423 BALSILLAS ADICIONAL '!H26</f>
        <v>7197799.4900000002</v>
      </c>
      <c r="N131" s="1215">
        <f>'OT17-423 BALSILLAS ADICIONAL '!O20</f>
        <v>3154736</v>
      </c>
      <c r="O131" s="1208">
        <f>'OT17-423 BALSILLAS ADICIONAL '!P24</f>
        <v>0.52939066103382104</v>
      </c>
      <c r="P131" s="1217">
        <f>'OT17-423 BALSILLAS ADICIONAL '!O21</f>
        <v>0</v>
      </c>
      <c r="Q131" s="1217">
        <f>'OT17-423 BALSILLAS ADICIONAL '!O23</f>
        <v>47321</v>
      </c>
      <c r="R131" s="1217">
        <f>'OT17-423 BALSILLAS ADICIONAL '!O24</f>
        <v>3202057</v>
      </c>
      <c r="S131" s="1217">
        <f>'OT17-423 BALSILLAS ADICIONAL '!O25</f>
        <v>608390.82999999996</v>
      </c>
      <c r="T131" s="1217">
        <f>'OT17-423 BALSILLAS ADICIONAL '!O26</f>
        <v>3810447.83</v>
      </c>
      <c r="U131" s="1206" t="str">
        <f>'OT17-423 BALSILLAS ADICIONAL '!A8</f>
        <v xml:space="preserve">Acta N° 2: Febrero </v>
      </c>
      <c r="V131" s="1202" t="s">
        <v>1268</v>
      </c>
      <c r="W131" s="925"/>
      <c r="X131" s="925"/>
      <c r="Y131" s="925"/>
      <c r="Z131" s="925"/>
      <c r="AA131" s="925"/>
      <c r="AB131" s="926"/>
      <c r="AC131" s="927"/>
      <c r="AD131" s="927"/>
      <c r="AE131" s="927"/>
      <c r="AF131" s="927"/>
      <c r="AG131" s="925"/>
      <c r="AH131" s="927"/>
      <c r="AJ131" s="925"/>
    </row>
    <row r="132" spans="1:36" s="924" customFormat="1" ht="57" customHeight="1" x14ac:dyDescent="0.3">
      <c r="A132" s="1064">
        <v>125</v>
      </c>
      <c r="B132" s="235" t="str">
        <f>'OT17-425 SAN JOSÉ MIN '!L30</f>
        <v>D00235083</v>
      </c>
      <c r="C132" s="235" t="str">
        <f>'OT17-425 SAN JOSÉ MIN '!L31</f>
        <v>D00235083000</v>
      </c>
      <c r="D132" s="234" t="s">
        <v>1967</v>
      </c>
      <c r="E132" s="234" t="s">
        <v>1968</v>
      </c>
      <c r="F132" s="234">
        <v>0</v>
      </c>
      <c r="G132" s="234" t="str">
        <f>'OT17-425 SAN JOSÉ MIN '!A7</f>
        <v>Proyecto:complemento Formulario MIN CULTURA.</v>
      </c>
      <c r="H132" s="618">
        <f>'OT17-425 SAN JOSÉ MIN '!H18</f>
        <v>10425700</v>
      </c>
      <c r="I132" s="618">
        <f>'OT17-425 SAN JOSÉ MIN '!H19</f>
        <v>0</v>
      </c>
      <c r="J132" s="618"/>
      <c r="K132" s="618">
        <f>'OT17-425 SAN JOSÉ MIN '!H20</f>
        <v>10425700</v>
      </c>
      <c r="L132" s="618">
        <f>'OT17-425 SAN JOSÉ MIN '!H23</f>
        <v>1980883</v>
      </c>
      <c r="M132" s="618">
        <f>'OT17-425 SAN JOSÉ MIN '!H24</f>
        <v>12406583</v>
      </c>
      <c r="N132" s="984">
        <f>+'OT17-425 SAN JOSÉ MIN '!O18</f>
        <v>0</v>
      </c>
      <c r="O132" s="923">
        <f>+'OT17-425 SAN JOSÉ MIN '!P22</f>
        <v>0</v>
      </c>
      <c r="P132" s="984">
        <f>+'OT17-425 SAN JOSÉ MIN '!O19</f>
        <v>0</v>
      </c>
      <c r="Q132" s="984">
        <f>+'OT17-425 SAN JOSÉ MIN '!O21</f>
        <v>0</v>
      </c>
      <c r="R132" s="984">
        <f>+'OT17-425 SAN JOSÉ MIN '!R22</f>
        <v>8897430</v>
      </c>
      <c r="S132" s="984">
        <f>+'OT17-425 SAN JOSÉ MIN '!O23</f>
        <v>0</v>
      </c>
      <c r="T132" s="984">
        <f>+'OT17-425 SAN JOSÉ MIN '!O24</f>
        <v>0</v>
      </c>
      <c r="U132" s="750" t="str">
        <f>'OT17-425 SAN JOSÉ MIN '!A8</f>
        <v>Acta N° 2: Marzo</v>
      </c>
      <c r="V132" s="234" t="s">
        <v>524</v>
      </c>
      <c r="W132" s="925"/>
      <c r="X132" s="925"/>
      <c r="Y132" s="925"/>
      <c r="Z132" s="925"/>
      <c r="AA132" s="925"/>
      <c r="AB132" s="926"/>
      <c r="AC132" s="927"/>
      <c r="AD132" s="927"/>
      <c r="AE132" s="927"/>
      <c r="AF132" s="927"/>
      <c r="AG132" s="925"/>
      <c r="AH132" s="927"/>
      <c r="AJ132" s="925"/>
    </row>
    <row r="133" spans="1:36" s="924" customFormat="1" ht="57" customHeight="1" x14ac:dyDescent="0.3">
      <c r="A133" s="1064">
        <v>126</v>
      </c>
      <c r="B133" s="235">
        <f>'OT17-427 LT BALSILLAS FACA '!L38</f>
        <v>0</v>
      </c>
      <c r="C133" s="235">
        <f>'OT17-427 LT BALSILLAS FACA '!L39</f>
        <v>0</v>
      </c>
      <c r="D133" s="234" t="s">
        <v>1969</v>
      </c>
      <c r="E133" s="234" t="s">
        <v>1970</v>
      </c>
      <c r="F133" s="234">
        <v>0</v>
      </c>
      <c r="G133" s="234" t="str">
        <f>'OT17-427 LT BALSILLAS FACA '!A7</f>
        <v>Proyecto:Reubicación de la torre T2289 de la LT Facatativá Villeta 115kV.</v>
      </c>
      <c r="H133" s="618">
        <f>'OT17-427 LT BALSILLAS FACA '!H26</f>
        <v>23667104</v>
      </c>
      <c r="I133" s="618">
        <f>'OT17-427 LT BALSILLAS FACA '!H27</f>
        <v>89485.47</v>
      </c>
      <c r="J133" s="618"/>
      <c r="K133" s="618">
        <f>'OT17-427 LT BALSILLAS FACA '!H28</f>
        <v>23756589.469999999</v>
      </c>
      <c r="L133" s="618">
        <f>'OT17-427 LT BALSILLAS FACA '!H31</f>
        <v>4496749.76</v>
      </c>
      <c r="M133" s="618">
        <f>'OT17-427 LT BALSILLAS FACA '!H32</f>
        <v>28163853.759999998</v>
      </c>
      <c r="N133" s="984">
        <f>+'OT17-427 LT BALSILLAS FACA '!O26</f>
        <v>0</v>
      </c>
      <c r="O133" s="923">
        <f>+'OT17-427 LT BALSILLAS FACA '!P30</f>
        <v>0</v>
      </c>
      <c r="P133" s="988">
        <f>+'OT17-427 LT BALSILLAS FACA '!O27</f>
        <v>0</v>
      </c>
      <c r="Q133" s="988">
        <f>+'OT17-427 LT BALSILLAS FACA '!O29</f>
        <v>0</v>
      </c>
      <c r="R133" s="988">
        <f>+'OT17-427 LT BALSILLAS FACA '!O30</f>
        <v>0</v>
      </c>
      <c r="S133" s="988">
        <f>+'OT17-427 LT BALSILLAS FACA '!O31</f>
        <v>0</v>
      </c>
      <c r="T133" s="988">
        <f>+'OT17-427 LT BALSILLAS FACA '!O32</f>
        <v>0</v>
      </c>
      <c r="U133" s="750" t="str">
        <f>'OT17-427 LT BALSILLAS FACA '!A8</f>
        <v>Acta N° 2: Marzo</v>
      </c>
      <c r="V133" s="234" t="s">
        <v>1269</v>
      </c>
      <c r="W133" s="925"/>
      <c r="X133" s="925"/>
      <c r="Y133" s="925"/>
      <c r="Z133" s="925"/>
      <c r="AA133" s="925"/>
      <c r="AB133" s="926"/>
      <c r="AC133" s="927"/>
      <c r="AD133" s="927"/>
      <c r="AE133" s="927"/>
      <c r="AF133" s="927"/>
      <c r="AG133" s="925"/>
      <c r="AH133" s="927"/>
      <c r="AJ133" s="925"/>
    </row>
    <row r="134" spans="1:36" s="924" customFormat="1" ht="57" customHeight="1" x14ac:dyDescent="0.3">
      <c r="A134" s="1064">
        <v>127</v>
      </c>
      <c r="B134" s="235" t="str">
        <f>+'OT17-428 BALSILLAS AS BUILT'!L65</f>
        <v>D00235026</v>
      </c>
      <c r="C134" s="235" t="str">
        <f>+'OT17-428 BALSILLAS AS BUILT'!L66</f>
        <v>D00235026000</v>
      </c>
      <c r="D134" s="234" t="s">
        <v>2769</v>
      </c>
      <c r="E134" s="234" t="s">
        <v>2770</v>
      </c>
      <c r="F134" s="234">
        <f>+'OT17-428 BALSILLAS AS BUILT'!L64</f>
        <v>0</v>
      </c>
      <c r="G134" s="234" t="str">
        <f>+'OT17-428 BALSILLAS AS BUILT'!A7</f>
        <v xml:space="preserve">Proyecto:CDIM_CAOLIG_R0078 - RES. CREG 038-14 CÓDIGO DE MEDIDA.
</v>
      </c>
      <c r="H134" s="618">
        <f>+'OT17-428 BALSILLAS AS BUILT'!H53</f>
        <v>1189170</v>
      </c>
      <c r="I134" s="618">
        <f>+'OT17-428 BALSILLAS AS BUILT'!H54</f>
        <v>0</v>
      </c>
      <c r="J134" s="618"/>
      <c r="K134" s="618">
        <f>+'OT17-428 BALSILLAS AS BUILT'!H55</f>
        <v>1189170</v>
      </c>
      <c r="L134" s="618">
        <f>+'OT17-428 BALSILLAS AS BUILT'!H58</f>
        <v>225942.3</v>
      </c>
      <c r="M134" s="618">
        <f>+'OT17-428 BALSILLAS AS BUILT'!H59</f>
        <v>1415112.3</v>
      </c>
      <c r="N134" s="984">
        <f>+'OT17-428 BALSILLAS AS BUILT'!L53</f>
        <v>0</v>
      </c>
      <c r="O134" s="923">
        <f>+'OT17-428 BALSILLAS AS BUILT'!M57</f>
        <v>0</v>
      </c>
      <c r="P134" s="988">
        <f>+'OT17-428 BALSILLAS AS BUILT'!L54</f>
        <v>0</v>
      </c>
      <c r="Q134" s="988">
        <f>+'OT17-428 BALSILLAS AS BUILT'!L56</f>
        <v>0</v>
      </c>
      <c r="R134" s="988">
        <f>+'OT17-428 BALSILLAS AS BUILT'!L57</f>
        <v>0</v>
      </c>
      <c r="S134" s="988">
        <f>+'OT17-428 BALSILLAS AS BUILT'!L58</f>
        <v>0</v>
      </c>
      <c r="T134" s="988">
        <f>+'OT17-428 BALSILLAS AS BUILT'!L59</f>
        <v>0</v>
      </c>
      <c r="U134" s="750" t="str">
        <f>+'OT17-428 BALSILLAS AS BUILT'!A8</f>
        <v>Acta N° 1: Marzo</v>
      </c>
      <c r="V134" s="234"/>
      <c r="W134" s="925"/>
      <c r="X134" s="925"/>
      <c r="Y134" s="925"/>
      <c r="Z134" s="925"/>
      <c r="AA134" s="925"/>
      <c r="AB134" s="926"/>
      <c r="AC134" s="927"/>
      <c r="AD134" s="927"/>
      <c r="AE134" s="927"/>
      <c r="AF134" s="927"/>
      <c r="AG134" s="925"/>
      <c r="AH134" s="927"/>
      <c r="AJ134" s="925"/>
    </row>
    <row r="135" spans="1:36" s="924" customFormat="1" ht="57" customHeight="1" x14ac:dyDescent="0.3">
      <c r="A135" s="1064">
        <v>128</v>
      </c>
      <c r="B135" s="235" t="str">
        <f>+'OT17-438 CÓDIGO ZONA SUR'!R30</f>
        <v>D00249388</v>
      </c>
      <c r="C135" s="235" t="str">
        <f>+'OT17-438 CÓDIGO ZONA SUR'!R31</f>
        <v>D00249388000</v>
      </c>
      <c r="D135" s="234" t="s">
        <v>2771</v>
      </c>
      <c r="E135" s="234" t="s">
        <v>2772</v>
      </c>
      <c r="F135" s="234">
        <f>+'OT17-438 CÓDIGO ZONA SUR'!R29</f>
        <v>0</v>
      </c>
      <c r="G135" s="234" t="str">
        <f>+'OT17-438 CÓDIGO ZONA SUR'!A7</f>
        <v>Proyecto:CDIM_CAOLIG_R0078 - RES. CREG 038-14 CÓDIGO DE MEDIDA</v>
      </c>
      <c r="H135" s="618">
        <f>+'OT17-438 CÓDIGO ZONA SUR'!H16</f>
        <v>4457216</v>
      </c>
      <c r="I135" s="618">
        <f>+'OT17-438 CÓDIGO ZONA SUR'!H17</f>
        <v>0</v>
      </c>
      <c r="J135" s="618"/>
      <c r="K135" s="618">
        <f>+'OT17-438 CÓDIGO ZONA SUR'!H18</f>
        <v>4457216</v>
      </c>
      <c r="L135" s="618">
        <f>+'OT17-438 CÓDIGO ZONA SUR'!H21</f>
        <v>846871.04000000004</v>
      </c>
      <c r="M135" s="618">
        <f>+'OT17-438 CÓDIGO ZONA SUR'!H22</f>
        <v>5304087.04</v>
      </c>
      <c r="N135" s="984">
        <f>+'OT17-438 CÓDIGO ZONA SUR'!R16</f>
        <v>0</v>
      </c>
      <c r="O135" s="923">
        <f>+'OT17-438 CÓDIGO ZONA SUR'!S20</f>
        <v>0</v>
      </c>
      <c r="P135" s="988">
        <f>+'OT17-438 CÓDIGO ZONA SUR'!R17</f>
        <v>0</v>
      </c>
      <c r="Q135" s="988">
        <f>+'OT17-438 CÓDIGO ZONA SUR'!R19</f>
        <v>0</v>
      </c>
      <c r="R135" s="988">
        <f>+'OT17-438 CÓDIGO ZONA SUR'!R20</f>
        <v>0</v>
      </c>
      <c r="S135" s="988">
        <f>+'OT17-438 CÓDIGO ZONA SUR'!R21</f>
        <v>0</v>
      </c>
      <c r="T135" s="988">
        <f>+'OT17-438 CÓDIGO ZONA SUR'!R22</f>
        <v>0</v>
      </c>
      <c r="U135" s="750" t="str">
        <f>+'OT17-438 CÓDIGO ZONA SUR'!A8</f>
        <v xml:space="preserve">Acta N° 3: Marzo </v>
      </c>
      <c r="V135" s="234"/>
      <c r="W135" s="925"/>
      <c r="X135" s="925"/>
      <c r="Y135" s="925"/>
      <c r="Z135" s="925"/>
      <c r="AA135" s="925"/>
      <c r="AB135" s="926"/>
      <c r="AC135" s="927"/>
      <c r="AD135" s="927"/>
      <c r="AE135" s="927"/>
      <c r="AF135" s="927"/>
      <c r="AG135" s="925"/>
      <c r="AH135" s="927"/>
      <c r="AJ135" s="925"/>
    </row>
    <row r="136" spans="1:36" s="924" customFormat="1" ht="57" customHeight="1" x14ac:dyDescent="0.3">
      <c r="A136" s="1064">
        <v>129</v>
      </c>
      <c r="B136" s="235" t="str">
        <f>+'OT17-439 CÓDIGO ZONA NORTE'!O29</f>
        <v>D00249388</v>
      </c>
      <c r="C136" s="235" t="str">
        <f>+'OT17-439 CÓDIGO ZONA NORTE'!R31</f>
        <v>D00249388000</v>
      </c>
      <c r="D136" s="234" t="s">
        <v>2773</v>
      </c>
      <c r="E136" s="234" t="s">
        <v>2774</v>
      </c>
      <c r="F136" s="234">
        <f>+'OT17-439 CÓDIGO ZONA NORTE'!R29</f>
        <v>0</v>
      </c>
      <c r="G136" s="234" t="str">
        <f>+'OT17-439 CÓDIGO ZONA NORTE'!A7</f>
        <v>Proyecto:CDIM_CAOLIG_R0078 - RES. CREG 038-14 CÓDIGO DE MEDIDA</v>
      </c>
      <c r="H136" s="618">
        <f>+'OT17-439 CÓDIGO ZONA NORTE'!H16</f>
        <v>3342912</v>
      </c>
      <c r="I136" s="618">
        <f>+'OT17-439 CÓDIGO ZONA NORTE'!H17</f>
        <v>0</v>
      </c>
      <c r="J136" s="618"/>
      <c r="K136" s="618">
        <f>+'OT17-439 CÓDIGO ZONA NORTE'!H18</f>
        <v>3342912</v>
      </c>
      <c r="L136" s="618">
        <f>+'OT17-439 CÓDIGO ZONA NORTE'!H21</f>
        <v>635153.28</v>
      </c>
      <c r="M136" s="618">
        <f>+'OT17-439 CÓDIGO ZONA NORTE'!H22</f>
        <v>3978065.2800000003</v>
      </c>
      <c r="N136" s="984">
        <f>+'OT17-439 CÓDIGO ZONA NORTE'!R16</f>
        <v>0</v>
      </c>
      <c r="O136" s="923">
        <f>+'OT17-439 CÓDIGO ZONA NORTE'!S20</f>
        <v>0</v>
      </c>
      <c r="P136" s="988">
        <f>+'OT17-439 CÓDIGO ZONA NORTE'!R17</f>
        <v>0</v>
      </c>
      <c r="Q136" s="988">
        <f>+'OT17-439 CÓDIGO ZONA NORTE'!R19</f>
        <v>0</v>
      </c>
      <c r="R136" s="988">
        <f>+'OT17-439 CÓDIGO ZONA NORTE'!R20</f>
        <v>0</v>
      </c>
      <c r="S136" s="988">
        <f>+'OT17-439 CÓDIGO ZONA NORTE'!R21</f>
        <v>0</v>
      </c>
      <c r="T136" s="988">
        <f>+'OT17-439 CÓDIGO ZONA NORTE'!R22</f>
        <v>0</v>
      </c>
      <c r="U136" s="750" t="str">
        <f>+'OT17-439 CÓDIGO ZONA NORTE'!A8</f>
        <v>Acta N° 3:  Marzo</v>
      </c>
      <c r="V136" s="234"/>
      <c r="W136" s="925"/>
      <c r="X136" s="925"/>
      <c r="Y136" s="925"/>
      <c r="Z136" s="925"/>
      <c r="AA136" s="925"/>
      <c r="AB136" s="926"/>
      <c r="AC136" s="927"/>
      <c r="AD136" s="927"/>
      <c r="AE136" s="927"/>
      <c r="AF136" s="927"/>
      <c r="AG136" s="925"/>
      <c r="AH136" s="927"/>
      <c r="AJ136" s="925"/>
    </row>
    <row r="137" spans="1:36" s="924" customFormat="1" ht="57" customHeight="1" x14ac:dyDescent="0.3">
      <c r="A137" s="1064">
        <v>130</v>
      </c>
      <c r="B137" s="235">
        <f>'OT17-440 LLTT DO GU EST 533'!L32</f>
        <v>0</v>
      </c>
      <c r="C137" s="235">
        <f>'OT17-440 LLTT DO GU EST 533'!L33</f>
        <v>0</v>
      </c>
      <c r="D137" s="234" t="s">
        <v>1972</v>
      </c>
      <c r="E137" s="750" t="s">
        <v>1975</v>
      </c>
      <c r="F137" s="234">
        <v>0</v>
      </c>
      <c r="G137" s="234" t="str">
        <f>'OT17-440 LLTT DO GU EST 533'!A7</f>
        <v>Proyecto:Estabilización T 533 LT DO GU.</v>
      </c>
      <c r="H137" s="618">
        <f>'OT17-440 LLTT DO GU EST 533'!H20</f>
        <v>17188128</v>
      </c>
      <c r="I137" s="618">
        <f>'OT17-440 LLTT DO GU EST 533'!H21</f>
        <v>72708.239999999991</v>
      </c>
      <c r="J137" s="618"/>
      <c r="K137" s="618">
        <f>'OT17-440 LLTT DO GU EST 533'!H22</f>
        <v>17260836.239999998</v>
      </c>
      <c r="L137" s="618">
        <f>'OT17-440 LLTT DO GU EST 533'!H25</f>
        <v>3265744.32</v>
      </c>
      <c r="M137" s="618">
        <f>'OT17-440 LLTT DO GU EST 533'!H26</f>
        <v>20453872.32</v>
      </c>
      <c r="N137" s="984">
        <f>+'OT17-440 LLTT DO GU EST 533'!O20</f>
        <v>0</v>
      </c>
      <c r="O137" s="923">
        <f>+'OT17-440 LLTT DO GU EST 533'!P24</f>
        <v>0</v>
      </c>
      <c r="P137" s="984">
        <f>+'OT17-440 LLTT DO GU EST 533'!O21</f>
        <v>0</v>
      </c>
      <c r="Q137" s="984">
        <f>+'OT17-440 LLTT DO GU EST 533'!O23</f>
        <v>0</v>
      </c>
      <c r="R137" s="984">
        <f>+'OT17-440 LLTT DO GU EST 533'!O24</f>
        <v>0</v>
      </c>
      <c r="S137" s="984">
        <f>+'OT17-440 LLTT DO GU EST 533'!O25</f>
        <v>0</v>
      </c>
      <c r="T137" s="984">
        <f>+'OT17-440 LLTT DO GU EST 533'!O26</f>
        <v>0</v>
      </c>
      <c r="U137" s="750" t="str">
        <f>'OT17-440 LLTT DO GU EST 533'!A8</f>
        <v>Acta N° 2: Marzo</v>
      </c>
      <c r="V137" s="234" t="s">
        <v>1269</v>
      </c>
      <c r="W137" s="925"/>
      <c r="X137" s="925"/>
      <c r="Y137" s="925"/>
      <c r="Z137" s="925"/>
      <c r="AA137" s="925"/>
      <c r="AB137" s="926"/>
      <c r="AC137" s="927"/>
      <c r="AD137" s="927"/>
      <c r="AE137" s="927"/>
      <c r="AF137" s="927"/>
      <c r="AG137" s="925"/>
      <c r="AH137" s="927"/>
      <c r="AJ137" s="925"/>
    </row>
    <row r="138" spans="1:36" s="924" customFormat="1" ht="57" customHeight="1" x14ac:dyDescent="0.3">
      <c r="A138" s="1064">
        <v>131</v>
      </c>
      <c r="B138" s="235" t="str">
        <f>'OT17-441 GUACHETA'!J32</f>
        <v>D00249370</v>
      </c>
      <c r="C138" s="235" t="str">
        <f>'OT17-441 GUACHETA'!J33</f>
        <v>D00249370000</v>
      </c>
      <c r="D138" s="750" t="s">
        <v>1973</v>
      </c>
      <c r="E138" s="750" t="s">
        <v>1976</v>
      </c>
      <c r="F138" s="234">
        <v>0</v>
      </c>
      <c r="G138" s="234" t="str">
        <f>'OT17-441 GUACHETA'!A7</f>
        <v>Proyecto:Levantamiento e ingeniería para el montaje de un nuevo Transformador D2 34.5/13.2kV.</v>
      </c>
      <c r="H138" s="618">
        <f>'OT17-441 GUACHETA'!G20</f>
        <v>10376938</v>
      </c>
      <c r="I138" s="618">
        <f>'OT17-441 GUACHETA'!G21</f>
        <v>0</v>
      </c>
      <c r="J138" s="618"/>
      <c r="K138" s="618">
        <f>'OT17-441 GUACHETA'!G22</f>
        <v>10376938</v>
      </c>
      <c r="L138" s="618">
        <f>'OT17-441 GUACHETA'!G25</f>
        <v>1971618.22</v>
      </c>
      <c r="M138" s="618">
        <f>'OT17-441 GUACHETA'!G26</f>
        <v>12348556.220000001</v>
      </c>
      <c r="N138" s="984">
        <f>+'OT17-441 GUACHETA'!M20</f>
        <v>0</v>
      </c>
      <c r="O138" s="923">
        <f>+'OT17-441 GUACHETA'!N24</f>
        <v>0</v>
      </c>
      <c r="P138" s="984">
        <f>+'OT17-441 GUACHETA'!M21</f>
        <v>0</v>
      </c>
      <c r="Q138" s="984">
        <f>+'OT17-441 GUACHETA'!M23</f>
        <v>0</v>
      </c>
      <c r="R138" s="984">
        <f>+'OT17-441 GUACHETA'!M24</f>
        <v>0</v>
      </c>
      <c r="S138" s="984">
        <f>+'OT17-441 GUACHETA'!M25</f>
        <v>0</v>
      </c>
      <c r="T138" s="984">
        <f>+'OT17-441 GUACHETA'!M26</f>
        <v>0</v>
      </c>
      <c r="U138" s="750" t="str">
        <f>'OT17-441 GUACHETA'!A8</f>
        <v>Acta N° 2: Marzo</v>
      </c>
      <c r="V138" s="234" t="s">
        <v>524</v>
      </c>
      <c r="W138" s="925"/>
      <c r="X138" s="925"/>
      <c r="Y138" s="925"/>
      <c r="Z138" s="925"/>
      <c r="AA138" s="925"/>
      <c r="AB138" s="926"/>
      <c r="AC138" s="927"/>
      <c r="AD138" s="927"/>
      <c r="AE138" s="927"/>
      <c r="AF138" s="927"/>
      <c r="AG138" s="925"/>
      <c r="AH138" s="927"/>
      <c r="AJ138" s="925"/>
    </row>
    <row r="139" spans="1:36" s="924" customFormat="1" ht="57" customHeight="1" x14ac:dyDescent="0.3">
      <c r="A139" s="1064">
        <v>132</v>
      </c>
      <c r="B139" s="235">
        <f>'OT18-001 FONTIBÓN'!J43</f>
        <v>0</v>
      </c>
      <c r="C139" s="235">
        <f>'OT18-001 FONTIBÓN'!J44</f>
        <v>0</v>
      </c>
      <c r="D139" s="750" t="s">
        <v>1715</v>
      </c>
      <c r="E139" s="750" t="s">
        <v>2177</v>
      </c>
      <c r="F139" s="234">
        <v>0</v>
      </c>
      <c r="G139" s="234" t="str">
        <f>'OT18-001 FONTIBÓN'!A7</f>
        <v>Proyecto: Adecuación sismoresistente Casa control SE Fontibón</v>
      </c>
      <c r="H139" s="618">
        <f>'OT18-001 FONTIBÓN'!G31</f>
        <v>37932214</v>
      </c>
      <c r="I139" s="618">
        <f>'OT18-001 FONTIBÓN'!G32</f>
        <v>0</v>
      </c>
      <c r="J139" s="618"/>
      <c r="K139" s="618">
        <f>'OT18-001 FONTIBÓN'!G33</f>
        <v>37932214</v>
      </c>
      <c r="L139" s="618">
        <f>'OT18-001 FONTIBÓN'!G36</f>
        <v>7207120.6600000001</v>
      </c>
      <c r="M139" s="618">
        <f>'OT18-001 FONTIBÓN'!G37</f>
        <v>45139334.659999996</v>
      </c>
      <c r="N139" s="984">
        <f>+'OT18-001 FONTIBÓN'!M31</f>
        <v>0</v>
      </c>
      <c r="O139" s="923">
        <f>+'OT18-001 FONTIBÓN'!N35</f>
        <v>0</v>
      </c>
      <c r="P139" s="984">
        <f>+'OT18-001 FONTIBÓN'!M32</f>
        <v>0</v>
      </c>
      <c r="Q139" s="984">
        <f>+'OT18-001 FONTIBÓN'!M34</f>
        <v>0</v>
      </c>
      <c r="R139" s="984">
        <f>+'OT18-001 FONTIBÓN'!M35</f>
        <v>0</v>
      </c>
      <c r="S139" s="984">
        <f>+'OT18-001 FONTIBÓN'!M36</f>
        <v>0</v>
      </c>
      <c r="T139" s="984">
        <f>+'OT18-001 FONTIBÓN'!M37</f>
        <v>0</v>
      </c>
      <c r="U139" s="750" t="str">
        <f>'OT18-001 FONTIBÓN'!A8</f>
        <v>Acta N° 2: Marzo</v>
      </c>
      <c r="V139" s="234" t="s">
        <v>1269</v>
      </c>
      <c r="W139" s="925"/>
      <c r="X139" s="925"/>
      <c r="Y139" s="925"/>
      <c r="Z139" s="925"/>
      <c r="AA139" s="925"/>
      <c r="AB139" s="926"/>
      <c r="AC139" s="927"/>
      <c r="AD139" s="927"/>
      <c r="AE139" s="927"/>
      <c r="AF139" s="927"/>
      <c r="AG139" s="925"/>
      <c r="AH139" s="927"/>
      <c r="AJ139" s="925"/>
    </row>
    <row r="140" spans="1:36" s="924" customFormat="1" ht="57" customHeight="1" x14ac:dyDescent="0.3">
      <c r="A140" s="1064">
        <v>133</v>
      </c>
      <c r="B140" s="235">
        <f>+'OT18-002 VIANÍ'!J29</f>
        <v>0</v>
      </c>
      <c r="C140" s="235">
        <f>+'OT18-002 VIANÍ'!J30</f>
        <v>0</v>
      </c>
      <c r="D140" s="750" t="s">
        <v>2775</v>
      </c>
      <c r="E140" s="750" t="s">
        <v>2776</v>
      </c>
      <c r="F140" s="234">
        <f>+'OT18-002 VIANÍ'!J28</f>
        <v>0</v>
      </c>
      <c r="G140" s="234" t="str">
        <f>+'OT18-002 VIANÍ'!A7</f>
        <v>Proyecto: CDIE_CBCCSM_R0184, PC1 -  NORMALIZACIÓN SE MT-MT.</v>
      </c>
      <c r="H140" s="618">
        <f>+'OT18-002 VIANÍ'!G17</f>
        <v>4432001</v>
      </c>
      <c r="I140" s="618">
        <f>+'OT18-002 VIANÍ'!G18</f>
        <v>0</v>
      </c>
      <c r="J140" s="618"/>
      <c r="K140" s="618">
        <f>+'OT18-002 VIANÍ'!G19</f>
        <v>4432001</v>
      </c>
      <c r="L140" s="618">
        <f>+'OT18-002 VIANÍ'!G22</f>
        <v>842080.19000000006</v>
      </c>
      <c r="M140" s="618">
        <f>+'OT18-002 VIANÍ'!G23</f>
        <v>5274081.1900000004</v>
      </c>
      <c r="N140" s="984">
        <f>+'OT18-002 VIANÍ'!J17</f>
        <v>0</v>
      </c>
      <c r="O140" s="923">
        <f>+'OT18-002 VIANÍ'!K21</f>
        <v>0</v>
      </c>
      <c r="P140" s="984">
        <f>+'OT18-002 VIANÍ'!J18</f>
        <v>0</v>
      </c>
      <c r="Q140" s="984">
        <f>+'OT18-002 VIANÍ'!J20</f>
        <v>0</v>
      </c>
      <c r="R140" s="984">
        <f>+'OT18-002 VIANÍ'!J21</f>
        <v>0</v>
      </c>
      <c r="S140" s="984">
        <f>+'OT18-002 VIANÍ'!J22</f>
        <v>0</v>
      </c>
      <c r="T140" s="984">
        <f>+'OT18-002 VIANÍ'!J23</f>
        <v>0</v>
      </c>
      <c r="U140" s="750" t="str">
        <f>+'OT18-002 VIANÍ'!A8</f>
        <v>Acta N° 1: Marzo</v>
      </c>
      <c r="V140" s="234"/>
      <c r="W140" s="925"/>
      <c r="X140" s="925"/>
      <c r="Y140" s="925"/>
      <c r="Z140" s="925"/>
      <c r="AA140" s="925"/>
      <c r="AB140" s="926"/>
      <c r="AC140" s="927"/>
      <c r="AD140" s="927"/>
      <c r="AE140" s="927"/>
      <c r="AF140" s="927"/>
      <c r="AG140" s="925"/>
      <c r="AH140" s="927"/>
      <c r="AJ140" s="925"/>
    </row>
    <row r="141" spans="1:36" s="924" customFormat="1" ht="57" customHeight="1" x14ac:dyDescent="0.3">
      <c r="A141" s="1064">
        <v>134</v>
      </c>
      <c r="B141" s="235">
        <f>+'OT18-003 REP PROT DES NOCT'!J91</f>
        <v>0</v>
      </c>
      <c r="C141" s="235">
        <f>+'OT18-003 REP PROT DES NOCT'!J92</f>
        <v>0</v>
      </c>
      <c r="D141" s="750" t="s">
        <v>2777</v>
      </c>
      <c r="E141" s="750" t="s">
        <v>2778</v>
      </c>
      <c r="F141" s="234">
        <f>+'OT18-003 REP PROT DES NOCT'!J90</f>
        <v>0</v>
      </c>
      <c r="G141" s="234" t="str">
        <f>+'OT18-003 REP PROT DES NOCT'!A7</f>
        <v>Proyecto: CDIE_CBCCSM_R0184_PC1 – REPOSICIÓN DE INTERRUPTORES AT.</v>
      </c>
      <c r="H141" s="618">
        <f>+'OT18-003 REP PROT DES NOCT'!G79</f>
        <v>1650037</v>
      </c>
      <c r="I141" s="618">
        <f>+'OT18-003 REP PROT DES NOCT'!G80</f>
        <v>0</v>
      </c>
      <c r="J141" s="618"/>
      <c r="K141" s="618">
        <f>+'OT18-003 REP PROT DES NOCT'!G81</f>
        <v>1650037</v>
      </c>
      <c r="L141" s="618">
        <f>+'OT18-003 REP PROT DES NOCT'!G84</f>
        <v>313507.03000000003</v>
      </c>
      <c r="M141" s="618">
        <f>+'OT18-003 REP PROT DES NOCT'!G85</f>
        <v>1963544.03</v>
      </c>
      <c r="N141" s="984">
        <f>+'OT18-003 REP PROT DES NOCT'!J79</f>
        <v>0</v>
      </c>
      <c r="O141" s="923">
        <f>+'OT18-003 REP PROT DES NOCT'!K83</f>
        <v>0</v>
      </c>
      <c r="P141" s="984">
        <f>+'OT18-003 REP PROT DES NOCT'!J80</f>
        <v>0</v>
      </c>
      <c r="Q141" s="984">
        <f>+'OT18-003 REP PROT DES NOCT'!J82</f>
        <v>0</v>
      </c>
      <c r="R141" s="984">
        <f>+'OT18-003 REP PROT DES NOCT'!J83</f>
        <v>0</v>
      </c>
      <c r="S141" s="984">
        <f>+'OT18-003 REP PROT DES NOCT'!J84</f>
        <v>0</v>
      </c>
      <c r="T141" s="984">
        <f>+'OT18-003 REP PROT DES NOCT'!J85</f>
        <v>0</v>
      </c>
      <c r="U141" s="750" t="str">
        <f>+'OT18-003 REP PROT DES NOCT'!A8</f>
        <v>Acta N° 1: Marzo</v>
      </c>
      <c r="V141" s="234"/>
      <c r="W141" s="925"/>
      <c r="X141" s="925"/>
      <c r="Y141" s="925"/>
      <c r="Z141" s="925"/>
      <c r="AA141" s="925"/>
      <c r="AB141" s="926"/>
      <c r="AC141" s="927"/>
      <c r="AD141" s="927"/>
      <c r="AE141" s="927"/>
      <c r="AF141" s="927"/>
      <c r="AG141" s="925"/>
      <c r="AH141" s="927"/>
      <c r="AJ141" s="925"/>
    </row>
    <row r="142" spans="1:36" s="924" customFormat="1" ht="57" customHeight="1" x14ac:dyDescent="0.3">
      <c r="A142" s="1064">
        <v>135</v>
      </c>
      <c r="B142" s="1201" t="str">
        <f>'OT18-004 AUTOPISTA'!J29</f>
        <v>D00249543</v>
      </c>
      <c r="C142" s="1201" t="str">
        <f>'OT18-004 AUTOPISTA'!J30</f>
        <v>D00249543000</v>
      </c>
      <c r="D142" s="1206" t="s">
        <v>1671</v>
      </c>
      <c r="E142" s="1206" t="s">
        <v>2178</v>
      </c>
      <c r="F142" s="1202">
        <v>0</v>
      </c>
      <c r="G142" s="1202" t="str">
        <f>'OT18-004 AUTOPISTA'!A7</f>
        <v>Proyecto: CDIM_CBSGSM_R0159 NORMALIZACIÓN SERVICIOS ESENCIALES SSEE</v>
      </c>
      <c r="H142" s="1203">
        <f>'OT18-004 AUTOPISTA'!G17</f>
        <v>3544503</v>
      </c>
      <c r="I142" s="1203">
        <f>'OT18-004 AUTOPISTA'!G18</f>
        <v>0</v>
      </c>
      <c r="J142" s="1203"/>
      <c r="K142" s="1203">
        <f>'OT18-004 AUTOPISTA'!G19</f>
        <v>3544503</v>
      </c>
      <c r="L142" s="1203">
        <f>'OT18-004 AUTOPISTA'!G22</f>
        <v>673455.57000000007</v>
      </c>
      <c r="M142" s="1203">
        <f>'OT18-004 AUTOPISTA'!G23</f>
        <v>4217958.57</v>
      </c>
      <c r="N142" s="1215">
        <f>'OT18-004 AUTOPISTA'!J17</f>
        <v>3544503</v>
      </c>
      <c r="O142" s="1208">
        <f>'OT18-004 AUTOPISTA'!K21</f>
        <v>1.0150001283677852</v>
      </c>
      <c r="P142" s="1215">
        <f>'OT18-004 AUTOPISTA'!J18</f>
        <v>0</v>
      </c>
      <c r="Q142" s="1215">
        <f>'OT18-004 AUTOPISTA'!J20</f>
        <v>53168</v>
      </c>
      <c r="R142" s="1215">
        <f>'OT18-004 AUTOPISTA'!J21</f>
        <v>3597671</v>
      </c>
      <c r="S142" s="1215">
        <f>'OT18-004 AUTOPISTA'!J22</f>
        <v>683557.49</v>
      </c>
      <c r="T142" s="1215">
        <f>'OT18-004 AUTOPISTA'!J23</f>
        <v>4281228.49</v>
      </c>
      <c r="U142" s="1206" t="str">
        <f>'OT18-004 AUTOPISTA'!A8</f>
        <v>Acta N° 1: Febrero</v>
      </c>
      <c r="V142" s="1202" t="s">
        <v>528</v>
      </c>
      <c r="W142" s="925"/>
      <c r="X142" s="925"/>
      <c r="Y142" s="925"/>
      <c r="Z142" s="925"/>
      <c r="AA142" s="925"/>
      <c r="AB142" s="926"/>
      <c r="AC142" s="927"/>
      <c r="AD142" s="927"/>
      <c r="AE142" s="927"/>
      <c r="AF142" s="927"/>
      <c r="AG142" s="925"/>
      <c r="AH142" s="927"/>
      <c r="AJ142" s="925"/>
    </row>
    <row r="143" spans="1:36" s="924" customFormat="1" ht="57" customHeight="1" x14ac:dyDescent="0.3">
      <c r="A143" s="1064">
        <v>136</v>
      </c>
      <c r="B143" s="235">
        <f>+'OT18-005 VERAGUAS'!J44</f>
        <v>0</v>
      </c>
      <c r="C143" s="235">
        <f>+'OT18-005 VERAGUAS'!J45</f>
        <v>0</v>
      </c>
      <c r="D143" s="235" t="s">
        <v>2780</v>
      </c>
      <c r="E143" s="750" t="s">
        <v>2779</v>
      </c>
      <c r="F143" s="234">
        <f>+'OT18-005 VERAGUAS'!J43</f>
        <v>0</v>
      </c>
      <c r="G143" s="234" t="str">
        <f>+'OT18-005 VERAGUAS'!A7</f>
        <v>Proyecto: Reemplazo de las celdas asociadas a las filas 1, 2 y 3 11,4kV.</v>
      </c>
      <c r="H143" s="618">
        <f>+'OT18-005 VERAGUAS'!G32</f>
        <v>10737813</v>
      </c>
      <c r="I143" s="618">
        <f>+'OT18-005 VERAGUAS'!G33</f>
        <v>0</v>
      </c>
      <c r="J143" s="618"/>
      <c r="K143" s="618">
        <f>+'OT18-005 VERAGUAS'!G34</f>
        <v>10737813</v>
      </c>
      <c r="L143" s="618">
        <f>+'OT18-005 VERAGUAS'!G37</f>
        <v>2040184.47</v>
      </c>
      <c r="M143" s="618">
        <f>+'OT18-005 VERAGUAS'!G38</f>
        <v>12777997.470000001</v>
      </c>
      <c r="N143" s="984">
        <f>+'OT18-005 VERAGUAS'!J32</f>
        <v>0</v>
      </c>
      <c r="O143" s="923">
        <f>+'OT18-005 VERAGUAS'!K36</f>
        <v>0</v>
      </c>
      <c r="P143" s="984">
        <f>+'OT18-005 VERAGUAS'!J33</f>
        <v>0</v>
      </c>
      <c r="Q143" s="984">
        <f>+'OT18-005 VERAGUAS'!J35</f>
        <v>0</v>
      </c>
      <c r="R143" s="984">
        <f>+'OT18-005 VERAGUAS'!J36</f>
        <v>0</v>
      </c>
      <c r="S143" s="984">
        <f>+'OT18-005 VERAGUAS'!J37</f>
        <v>0</v>
      </c>
      <c r="T143" s="984">
        <f>+'OT18-005 VERAGUAS'!J38</f>
        <v>0</v>
      </c>
      <c r="U143" s="750" t="str">
        <f>+'OT18-005 VERAGUAS'!A8</f>
        <v>Acta N° 1: Marzo</v>
      </c>
      <c r="V143" s="234"/>
      <c r="W143" s="925"/>
      <c r="X143" s="925"/>
      <c r="Y143" s="925"/>
      <c r="Z143" s="925"/>
      <c r="AA143" s="925"/>
      <c r="AB143" s="926"/>
      <c r="AC143" s="927"/>
      <c r="AD143" s="927"/>
      <c r="AE143" s="927"/>
      <c r="AF143" s="927"/>
      <c r="AG143" s="925"/>
      <c r="AH143" s="927"/>
      <c r="AJ143" s="925"/>
    </row>
    <row r="144" spans="1:36" s="924" customFormat="1" ht="57" customHeight="1" x14ac:dyDescent="0.3">
      <c r="A144" s="1064">
        <v>137</v>
      </c>
      <c r="B144" s="235">
        <f>+'OT18-006 BOLIVIA '!J44</f>
        <v>0</v>
      </c>
      <c r="C144" s="235">
        <f>+'OT18-006 BOLIVIA '!J45</f>
        <v>0</v>
      </c>
      <c r="D144" s="235" t="s">
        <v>2781</v>
      </c>
      <c r="E144" s="750" t="s">
        <v>2782</v>
      </c>
      <c r="F144" s="234">
        <f>+'OT18-006 BOLIVIA '!J43</f>
        <v>0</v>
      </c>
      <c r="G144" s="234" t="str">
        <f>+'OT18-006 BOLIVIA '!A7</f>
        <v>Proyecto: Reemplazo de las celdas asociadas a las filas 1, 2 y 3 11,4kV.</v>
      </c>
      <c r="H144" s="618">
        <f>+'OT18-006 BOLIVIA '!G32</f>
        <v>10737813</v>
      </c>
      <c r="I144" s="618">
        <f>+'OT18-006 BOLIVIA '!G33</f>
        <v>0</v>
      </c>
      <c r="J144" s="618"/>
      <c r="K144" s="618">
        <f>+'OT18-006 BOLIVIA '!G34</f>
        <v>10737813</v>
      </c>
      <c r="L144" s="618">
        <f>+'OT18-006 BOLIVIA '!G37</f>
        <v>2040184.47</v>
      </c>
      <c r="M144" s="618">
        <f>+'OT18-006 BOLIVIA '!G38</f>
        <v>12777997.470000001</v>
      </c>
      <c r="N144" s="984">
        <f>+'OT18-006 BOLIVIA '!J32</f>
        <v>0</v>
      </c>
      <c r="O144" s="923">
        <f>+'OT18-006 BOLIVIA '!K36</f>
        <v>0</v>
      </c>
      <c r="P144" s="984">
        <f>+'OT18-006 BOLIVIA '!J33</f>
        <v>0</v>
      </c>
      <c r="Q144" s="984">
        <f>+'OT18-006 BOLIVIA '!J35</f>
        <v>0</v>
      </c>
      <c r="R144" s="984">
        <f>+'OT18-006 BOLIVIA '!J36</f>
        <v>0</v>
      </c>
      <c r="S144" s="984">
        <f>+'OT18-006 BOLIVIA '!J37</f>
        <v>0</v>
      </c>
      <c r="T144" s="984">
        <f>+'OT18-006 BOLIVIA '!J38</f>
        <v>0</v>
      </c>
      <c r="U144" s="750" t="str">
        <f>+'OT18-006 BOLIVIA '!A8</f>
        <v>Acta N° 1: Marzo</v>
      </c>
      <c r="V144" s="234"/>
      <c r="W144" s="925"/>
      <c r="X144" s="925"/>
      <c r="Y144" s="925"/>
      <c r="Z144" s="925"/>
      <c r="AA144" s="925"/>
      <c r="AB144" s="926"/>
      <c r="AC144" s="927"/>
      <c r="AD144" s="927"/>
      <c r="AE144" s="927"/>
      <c r="AF144" s="927"/>
      <c r="AG144" s="925"/>
      <c r="AH144" s="927"/>
      <c r="AJ144" s="925"/>
    </row>
    <row r="145" spans="1:36" s="924" customFormat="1" ht="57" customHeight="1" x14ac:dyDescent="0.3">
      <c r="A145" s="1064">
        <v>138</v>
      </c>
      <c r="B145" s="235" t="str">
        <f>+'OT18-007 TECHO'!J33</f>
        <v>D00243645</v>
      </c>
      <c r="C145" s="235" t="str">
        <f>+'OT18-007 TECHO'!J34</f>
        <v>D00243645000</v>
      </c>
      <c r="D145" s="235" t="s">
        <v>2783</v>
      </c>
      <c r="E145" s="750" t="s">
        <v>2784</v>
      </c>
      <c r="F145" s="234">
        <f>+'OT18-007 TECHO'!J32</f>
        <v>0</v>
      </c>
      <c r="G145" s="234" t="str">
        <f>+'OT18-007 TECHO'!A7</f>
        <v>Proyecto: CONSTRUC. LÍNEAS 115 KV  NE-BO1, NE-TE.</v>
      </c>
      <c r="H145" s="618">
        <f>+'OT18-007 TECHO'!G21</f>
        <v>8828135</v>
      </c>
      <c r="I145" s="618">
        <f>+'OT18-007 TECHO'!G22</f>
        <v>0</v>
      </c>
      <c r="J145" s="618"/>
      <c r="K145" s="618">
        <f>+'OT18-007 TECHO'!G23</f>
        <v>8828135</v>
      </c>
      <c r="L145" s="618">
        <f>+'OT18-007 TECHO'!G26</f>
        <v>1677345.65</v>
      </c>
      <c r="M145" s="618">
        <f>+'OT18-007 TECHO'!G27</f>
        <v>10505480.65</v>
      </c>
      <c r="N145" s="984">
        <f>+'OT18-007 TECHO'!J21</f>
        <v>0</v>
      </c>
      <c r="O145" s="923">
        <f>+'OT18-007 TECHO'!K25</f>
        <v>0</v>
      </c>
      <c r="P145" s="984">
        <f>+'OT18-007 TECHO'!J22</f>
        <v>0</v>
      </c>
      <c r="Q145" s="984">
        <f>+'OT18-007 TECHO'!J24</f>
        <v>0</v>
      </c>
      <c r="R145" s="984">
        <f>+'OT18-007 TECHO'!J25</f>
        <v>0</v>
      </c>
      <c r="S145" s="984">
        <f>+'OT18-007 TECHO'!J26</f>
        <v>0</v>
      </c>
      <c r="T145" s="984">
        <f>+'OT18-007 TECHO'!J27</f>
        <v>0</v>
      </c>
      <c r="U145" s="750" t="str">
        <f>+'OT18-007 TECHO'!A8</f>
        <v>Acta N° 1: Marzo</v>
      </c>
      <c r="V145" s="234"/>
      <c r="W145" s="925"/>
      <c r="X145" s="925"/>
      <c r="Y145" s="925"/>
      <c r="Z145" s="925"/>
      <c r="AA145" s="925"/>
      <c r="AB145" s="926"/>
      <c r="AC145" s="927"/>
      <c r="AD145" s="927"/>
      <c r="AE145" s="927"/>
      <c r="AF145" s="927"/>
      <c r="AG145" s="925"/>
      <c r="AH145" s="927"/>
      <c r="AJ145" s="925"/>
    </row>
    <row r="146" spans="1:36" s="924" customFormat="1" ht="57" customHeight="1" x14ac:dyDescent="0.3">
      <c r="A146" s="1064">
        <v>139</v>
      </c>
      <c r="B146" s="235" t="str">
        <f>+'OT18-008 TUNAL'!J29</f>
        <v>F29CDR530</v>
      </c>
      <c r="C146" s="235">
        <f>+'OT18-008 TUNAL'!J30</f>
        <v>0</v>
      </c>
      <c r="D146" s="750" t="s">
        <v>1451</v>
      </c>
      <c r="E146" s="750" t="s">
        <v>2190</v>
      </c>
      <c r="F146" s="234">
        <f>+'OT18-008 TUNAL'!J28</f>
        <v>0</v>
      </c>
      <c r="G146" s="234" t="str">
        <f>+'OT18-008 TUNAL'!A7</f>
        <v>Proyecto:INGENIERÍA ELÉCTRICA Y MECÁNICA REPOSICIÓN DE PROTECCIONES AT2 EN SSEE TUNAL</v>
      </c>
      <c r="H146" s="618">
        <f>+'OT18-008 TUNAL'!G17</f>
        <v>6133800</v>
      </c>
      <c r="I146" s="618">
        <f>+'OT18-008 TUNAL'!G18</f>
        <v>0</v>
      </c>
      <c r="J146" s="618"/>
      <c r="K146" s="618">
        <f>+'OT18-008 TUNAL'!G19</f>
        <v>6133800</v>
      </c>
      <c r="L146" s="618">
        <f>+'OT18-008 TUNAL'!G22</f>
        <v>1165422</v>
      </c>
      <c r="M146" s="618">
        <f>+'OT18-008 TUNAL'!G23</f>
        <v>7299222</v>
      </c>
      <c r="N146" s="984">
        <f>+'OT18-008 TUNAL'!M17</f>
        <v>0</v>
      </c>
      <c r="O146" s="923">
        <f>+'OT18-008 TUNAL'!N21</f>
        <v>0</v>
      </c>
      <c r="P146" s="984">
        <f>+'OT18-008 TUNAL'!M18</f>
        <v>0</v>
      </c>
      <c r="Q146" s="984">
        <f>+'OT18-008 TUNAL'!M20</f>
        <v>0</v>
      </c>
      <c r="R146" s="984">
        <f>+'OT18-008 TUNAL'!M21</f>
        <v>0</v>
      </c>
      <c r="S146" s="984">
        <f>+'OT18-008 TUNAL'!M22</f>
        <v>0</v>
      </c>
      <c r="T146" s="984">
        <f>+'OT18-008 TUNAL'!M23</f>
        <v>0</v>
      </c>
      <c r="U146" s="750" t="str">
        <f>+'OT18-008 TUNAL'!A8</f>
        <v>Acta N° 2: Marzo</v>
      </c>
      <c r="V146" s="234" t="s">
        <v>525</v>
      </c>
      <c r="W146" s="925"/>
      <c r="X146" s="925"/>
      <c r="Y146" s="925"/>
      <c r="Z146" s="925"/>
      <c r="AA146" s="925"/>
      <c r="AB146" s="926"/>
      <c r="AC146" s="927"/>
      <c r="AD146" s="927"/>
      <c r="AE146" s="927"/>
      <c r="AF146" s="927"/>
      <c r="AG146" s="925"/>
      <c r="AH146" s="927"/>
      <c r="AJ146" s="925"/>
    </row>
    <row r="147" spans="1:36" s="924" customFormat="1" ht="57" customHeight="1" x14ac:dyDescent="0.3">
      <c r="A147" s="1064">
        <v>140</v>
      </c>
      <c r="B147" s="1201" t="str">
        <f>+'OT18-009 EL SOL R2'!J30</f>
        <v>D00249501</v>
      </c>
      <c r="C147" s="1201" t="str">
        <f>+'OT18-009 EL SOL R2'!J31</f>
        <v>D00249501000</v>
      </c>
      <c r="D147" s="1206" t="s">
        <v>1225</v>
      </c>
      <c r="E147" s="1206" t="s">
        <v>2191</v>
      </c>
      <c r="F147" s="1201">
        <f>+'OT18-009 EL SOL R2'!J29</f>
        <v>0</v>
      </c>
      <c r="G147" s="1202" t="str">
        <f>+'OT18-009 EL SOL R2'!A7</f>
        <v>Proyecto:CDIM_CBSGSM_R0146 - NORMALIZACIÓN Y REPOSICIÓN EL SOL.</v>
      </c>
      <c r="H147" s="1203">
        <f>+'OT18-009 EL SOL R2'!G18</f>
        <v>4854999</v>
      </c>
      <c r="I147" s="1217">
        <f>+'OT18-009 EL SOL R2'!G19</f>
        <v>0</v>
      </c>
      <c r="J147" s="1203">
        <f>+'OT18-009 EL SOL R2'!G21</f>
        <v>72825</v>
      </c>
      <c r="K147" s="1203">
        <f>+'OT18-009 EL SOL R2'!G22</f>
        <v>4927824</v>
      </c>
      <c r="L147" s="1203">
        <f>+'OT18-009 EL SOL R2'!G23</f>
        <v>936286.56</v>
      </c>
      <c r="M147" s="1203">
        <f>+'OT18-009 EL SOL R2'!G24</f>
        <v>5864110.5600000005</v>
      </c>
      <c r="N147" s="1215">
        <f>+'OT18-009 EL SOL R2'!J18</f>
        <v>4854999</v>
      </c>
      <c r="O147" s="1208">
        <f>+'OT18-009 EL SOL R2'!K22</f>
        <v>1</v>
      </c>
      <c r="P147" s="1215">
        <f>+'OT18-009 EL SOL R2'!J19</f>
        <v>0</v>
      </c>
      <c r="Q147" s="1215">
        <f>+'OT18-009 EL SOL R2'!J21</f>
        <v>72825</v>
      </c>
      <c r="R147" s="1215">
        <f>+'OT18-009 EL SOL R2'!J22</f>
        <v>4927824</v>
      </c>
      <c r="S147" s="1215">
        <f>+'OT18-009 EL SOL R2'!J23</f>
        <v>936286.56</v>
      </c>
      <c r="T147" s="1215">
        <f>+'OT18-009 EL SOL R2'!J24</f>
        <v>5864110.5600000005</v>
      </c>
      <c r="U147" s="1206" t="str">
        <f>+'OT18-009 EL SOL R2'!A8</f>
        <v>Acta N° 1: Febrero</v>
      </c>
      <c r="V147" s="1202" t="s">
        <v>527</v>
      </c>
      <c r="W147" s="925"/>
      <c r="X147" s="925"/>
      <c r="Y147" s="925"/>
      <c r="Z147" s="925"/>
      <c r="AA147" s="925"/>
      <c r="AB147" s="926"/>
      <c r="AC147" s="927"/>
      <c r="AD147" s="927"/>
      <c r="AE147" s="927"/>
      <c r="AF147" s="927"/>
      <c r="AG147" s="925"/>
      <c r="AH147" s="927"/>
      <c r="AJ147" s="925"/>
    </row>
    <row r="148" spans="1:36" s="924" customFormat="1" ht="57" customHeight="1" x14ac:dyDescent="0.3">
      <c r="A148" s="1064">
        <v>141</v>
      </c>
      <c r="B148" s="235" t="str">
        <f>'OT18-010 SIBERIA'!J40</f>
        <v>D00249539</v>
      </c>
      <c r="C148" s="235" t="str">
        <f>'OT18-010 SIBERIA'!J41</f>
        <v>D00249539000</v>
      </c>
      <c r="D148" s="750" t="s">
        <v>2179</v>
      </c>
      <c r="E148" s="750" t="s">
        <v>2180</v>
      </c>
      <c r="F148" s="234">
        <v>0</v>
      </c>
      <c r="G148" s="234" t="str">
        <f>'OT18-010 SIBERIA'!A7</f>
        <v>Proyecto: CDIM_CBSGSM_R0159 NORMALIZACIÓN SERVICIOS ESENCIALES SSEE.</v>
      </c>
      <c r="H148" s="618">
        <f>'OT18-010 SIBERIA'!G28</f>
        <v>13843144</v>
      </c>
      <c r="I148" s="618">
        <f>'OT18-010 SIBERIA'!G29</f>
        <v>0</v>
      </c>
      <c r="J148" s="618"/>
      <c r="K148" s="618">
        <f>'OT18-010 SIBERIA'!G30</f>
        <v>13843144</v>
      </c>
      <c r="L148" s="618">
        <f>'OT18-010 SIBERIA'!G33</f>
        <v>2630197.36</v>
      </c>
      <c r="M148" s="618">
        <f>'OT18-010 SIBERIA'!G34</f>
        <v>16473341.359999999</v>
      </c>
      <c r="N148" s="984">
        <f>+'OT18-010 SIBERIA'!M28</f>
        <v>0</v>
      </c>
      <c r="O148" s="923">
        <f>+'OT18-010 SIBERIA'!N32</f>
        <v>0</v>
      </c>
      <c r="P148" s="984">
        <f>+'OT18-010 SIBERIA'!M29</f>
        <v>0</v>
      </c>
      <c r="Q148" s="984">
        <f>+'OT18-010 SIBERIA'!M31</f>
        <v>0</v>
      </c>
      <c r="R148" s="984">
        <f>+'OT18-010 SIBERIA'!M32</f>
        <v>0</v>
      </c>
      <c r="S148" s="984">
        <f>+'OT18-010 SIBERIA'!M33</f>
        <v>0</v>
      </c>
      <c r="T148" s="984">
        <f>+'OT18-010 SIBERIA'!M34</f>
        <v>0</v>
      </c>
      <c r="U148" s="750" t="str">
        <f>'OT18-010 SIBERIA'!A8</f>
        <v>Acta N° 2: Marzo</v>
      </c>
      <c r="V148" s="234" t="s">
        <v>528</v>
      </c>
      <c r="W148" s="925"/>
      <c r="X148" s="925"/>
      <c r="Y148" s="925"/>
      <c r="Z148" s="925"/>
      <c r="AA148" s="925"/>
      <c r="AB148" s="926"/>
      <c r="AC148" s="927"/>
      <c r="AD148" s="927"/>
      <c r="AE148" s="927"/>
      <c r="AF148" s="927"/>
      <c r="AG148" s="925"/>
      <c r="AH148" s="927"/>
      <c r="AJ148" s="925"/>
    </row>
    <row r="149" spans="1:36" s="924" customFormat="1" ht="57" customHeight="1" x14ac:dyDescent="0.3">
      <c r="A149" s="1064">
        <v>142</v>
      </c>
      <c r="B149" s="235" t="str">
        <f>+'OT18-011 SIBERIA'!J34</f>
        <v>D00235085</v>
      </c>
      <c r="C149" s="235" t="str">
        <f>+'OT18-011 SIBERIA'!J35</f>
        <v>D00235085000</v>
      </c>
      <c r="D149" s="750" t="s">
        <v>2785</v>
      </c>
      <c r="E149" s="750" t="s">
        <v>2786</v>
      </c>
      <c r="F149" s="234">
        <f>+'OT18-011 SIBERIA'!J33</f>
        <v>0</v>
      </c>
      <c r="G149" s="234" t="str">
        <f>+'OT18-011 SIBERIA'!A7</f>
        <v>Proyecto: CDIM_CAOLIG_R0078 - RES. CREG 038-14 CÓDIGO DE MEDIDA.</v>
      </c>
      <c r="H149" s="618">
        <f>+'OT18-011 SIBERIA'!G22</f>
        <v>1624950</v>
      </c>
      <c r="I149" s="618">
        <f>+'OT18-011 SIBERIA'!G23</f>
        <v>0</v>
      </c>
      <c r="J149" s="618"/>
      <c r="K149" s="618">
        <f>+'OT18-011 SIBERIA'!G24</f>
        <v>1624950</v>
      </c>
      <c r="L149" s="618">
        <f>+'OT18-011 SIBERIA'!G27</f>
        <v>308740.5</v>
      </c>
      <c r="M149" s="618">
        <f>+'OT18-011 SIBERIA'!G28</f>
        <v>1933690.5</v>
      </c>
      <c r="N149" s="984">
        <f>+'OT18-011 SIBERIA'!J22</f>
        <v>0</v>
      </c>
      <c r="O149" s="923">
        <f>+'OT18-011 SIBERIA'!K26</f>
        <v>0</v>
      </c>
      <c r="P149" s="984">
        <f>+'OT18-011 SIBERIA'!J23</f>
        <v>0</v>
      </c>
      <c r="Q149" s="984">
        <f>+'OT18-011 SIBERIA'!J25</f>
        <v>0</v>
      </c>
      <c r="R149" s="984">
        <f>+'OT18-011 SIBERIA'!J26</f>
        <v>0</v>
      </c>
      <c r="S149" s="984">
        <f>+'OT18-011 SIBERIA'!J27</f>
        <v>0</v>
      </c>
      <c r="T149" s="984">
        <f>+'OT18-011 SIBERIA'!J28</f>
        <v>0</v>
      </c>
      <c r="U149" s="750" t="str">
        <f>+'OT18-011 SIBERIA'!A8</f>
        <v>Acta N° 1: Marzo</v>
      </c>
      <c r="V149" s="234"/>
      <c r="W149" s="925"/>
      <c r="X149" s="925"/>
      <c r="Y149" s="925"/>
      <c r="Z149" s="925"/>
      <c r="AA149" s="925"/>
      <c r="AB149" s="926"/>
      <c r="AC149" s="927"/>
      <c r="AD149" s="927"/>
      <c r="AE149" s="927"/>
      <c r="AF149" s="927"/>
      <c r="AG149" s="925"/>
      <c r="AH149" s="927"/>
      <c r="AJ149" s="925"/>
    </row>
    <row r="150" spans="1:36" s="924" customFormat="1" ht="57" customHeight="1" x14ac:dyDescent="0.3">
      <c r="A150" s="1064">
        <v>143</v>
      </c>
      <c r="B150" s="235" t="str">
        <f>+'OT18-012 SUBACHOQUE'!J38</f>
        <v>D00235085</v>
      </c>
      <c r="C150" s="235" t="str">
        <f>+'OT18-012 SUBACHOQUE'!J39</f>
        <v>D00235085000</v>
      </c>
      <c r="D150" s="750" t="s">
        <v>2787</v>
      </c>
      <c r="E150" s="750" t="s">
        <v>2788</v>
      </c>
      <c r="F150" s="234">
        <f>+'OT18-012 SUBACHOQUE'!J37</f>
        <v>0</v>
      </c>
      <c r="G150" s="234" t="str">
        <f>+'OT18-012 SUBACHOQUE'!A7</f>
        <v>Proyecto: CDIM_CBSGSM_R0159 NORMALIZACIÓN SERVICIOS ESENCIALES SSEE.</v>
      </c>
      <c r="H150" s="618">
        <f>+'OT18-012 SUBACHOQUE'!G26</f>
        <v>4830921</v>
      </c>
      <c r="I150" s="618">
        <f>+'OT18-012 SUBACHOQUE'!G27</f>
        <v>0</v>
      </c>
      <c r="J150" s="618"/>
      <c r="K150" s="618">
        <f>+'OT18-012 SUBACHOQUE'!G28</f>
        <v>4830921</v>
      </c>
      <c r="L150" s="618">
        <f>+'OT18-012 SUBACHOQUE'!G31</f>
        <v>917874.99</v>
      </c>
      <c r="M150" s="618">
        <f>+'OT18-012 SUBACHOQUE'!G32</f>
        <v>5748795.9900000002</v>
      </c>
      <c r="N150" s="984">
        <f>+'OT18-012 SUBACHOQUE'!J26</f>
        <v>0</v>
      </c>
      <c r="O150" s="923">
        <f>+'OT18-012 SUBACHOQUE'!J27</f>
        <v>0</v>
      </c>
      <c r="P150" s="984">
        <f>+'OT18-012 SUBACHOQUE'!J27</f>
        <v>0</v>
      </c>
      <c r="Q150" s="984">
        <f>+'OT18-012 SUBACHOQUE'!J29</f>
        <v>0</v>
      </c>
      <c r="R150" s="984">
        <f>+'OT18-012 SUBACHOQUE'!J30</f>
        <v>0</v>
      </c>
      <c r="S150" s="984">
        <f>+'OT18-012 SUBACHOQUE'!J31</f>
        <v>0</v>
      </c>
      <c r="T150" s="984">
        <f>+'OT18-012 SUBACHOQUE'!J32</f>
        <v>0</v>
      </c>
      <c r="U150" s="750" t="str">
        <f>+'OT18-012 SUBACHOQUE'!A8</f>
        <v>Acta N° 1: Marzo</v>
      </c>
      <c r="V150" s="234"/>
      <c r="W150" s="925"/>
      <c r="X150" s="925"/>
      <c r="Y150" s="925"/>
      <c r="Z150" s="925"/>
      <c r="AA150" s="925"/>
      <c r="AB150" s="926"/>
      <c r="AC150" s="927"/>
      <c r="AD150" s="927"/>
      <c r="AE150" s="927"/>
      <c r="AF150" s="927"/>
      <c r="AG150" s="925"/>
      <c r="AH150" s="927"/>
      <c r="AJ150" s="925"/>
    </row>
    <row r="151" spans="1:36" s="924" customFormat="1" ht="57" customHeight="1" x14ac:dyDescent="0.3">
      <c r="A151" s="1064">
        <v>144</v>
      </c>
      <c r="B151" s="235">
        <f>+'OT18-013 SUBACHOQUE'!J34</f>
        <v>0</v>
      </c>
      <c r="C151" s="235">
        <f>+'OT18-013 SUBACHOQUE'!J35</f>
        <v>0</v>
      </c>
      <c r="D151" s="750" t="s">
        <v>2787</v>
      </c>
      <c r="E151" s="750" t="s">
        <v>2789</v>
      </c>
      <c r="F151" s="235">
        <f>+'OT18-013 SUBACHOQUE'!J35</f>
        <v>0</v>
      </c>
      <c r="G151" s="234" t="str">
        <f>+'OT18-013 SUBACHOQUE'!A7</f>
        <v>Proyecto: CDIM_CAOLIG_R0078 - RES. CREG 038-14 CÓDIGO DE MEDIDA.</v>
      </c>
      <c r="H151" s="618">
        <f>+'OT18-013 SUBACHOQUE'!G22</f>
        <v>1624950</v>
      </c>
      <c r="I151" s="618">
        <f>+'OT18-013 SUBACHOQUE'!G23</f>
        <v>0</v>
      </c>
      <c r="J151" s="618"/>
      <c r="K151" s="618">
        <f>+'OT18-013 SUBACHOQUE'!G24</f>
        <v>1624950</v>
      </c>
      <c r="L151" s="618">
        <f>+'OT18-013 SUBACHOQUE'!G27</f>
        <v>308740.5</v>
      </c>
      <c r="M151" s="618">
        <f>+'OT18-013 SUBACHOQUE'!G28</f>
        <v>1933690.5</v>
      </c>
      <c r="N151" s="984">
        <f>+'OT18-013 SUBACHOQUE'!J22</f>
        <v>0</v>
      </c>
      <c r="O151" s="923">
        <f>+'OT18-013 SUBACHOQUE'!J22</f>
        <v>0</v>
      </c>
      <c r="P151" s="984">
        <f>+'OT18-013 SUBACHOQUE'!J23</f>
        <v>0</v>
      </c>
      <c r="Q151" s="984">
        <f>+'OT18-013 SUBACHOQUE'!J25</f>
        <v>0</v>
      </c>
      <c r="R151" s="984">
        <f>+'OT18-013 SUBACHOQUE'!J26</f>
        <v>0</v>
      </c>
      <c r="S151" s="984">
        <f>+'OT18-013 SUBACHOQUE'!J27</f>
        <v>0</v>
      </c>
      <c r="T151" s="984">
        <f>+'OT18-013 SUBACHOQUE'!M28</f>
        <v>0</v>
      </c>
      <c r="U151" s="750" t="str">
        <f>+'OT18-013 SUBACHOQUE'!A8</f>
        <v>Acta N° 1: Marzo</v>
      </c>
      <c r="V151" s="234"/>
      <c r="W151" s="925"/>
      <c r="X151" s="925"/>
      <c r="Y151" s="925"/>
      <c r="Z151" s="925"/>
      <c r="AA151" s="925"/>
      <c r="AB151" s="926"/>
      <c r="AC151" s="927"/>
      <c r="AD151" s="927"/>
      <c r="AE151" s="927"/>
      <c r="AF151" s="927"/>
      <c r="AG151" s="925"/>
      <c r="AH151" s="927"/>
      <c r="AJ151" s="925"/>
    </row>
    <row r="152" spans="1:36" s="924" customFormat="1" ht="57" customHeight="1" x14ac:dyDescent="0.3">
      <c r="A152" s="1064">
        <v>145</v>
      </c>
      <c r="B152" s="235" t="str">
        <f>+'OT18-014 BALSILLAS'!J33</f>
        <v>D00243028</v>
      </c>
      <c r="C152" s="235" t="str">
        <f>+'OT18-014 BALSILLAS'!J34</f>
        <v>D00243028000</v>
      </c>
      <c r="D152" s="750" t="s">
        <v>2790</v>
      </c>
      <c r="E152" s="750" t="s">
        <v>2791</v>
      </c>
      <c r="F152" s="235">
        <f>+'OT18-014 BALSILLAS'!J32</f>
        <v>0</v>
      </c>
      <c r="G152" s="234" t="str">
        <f>+'OT18-014 BALSILLAS'!A7</f>
        <v>Proyecto: CDIM_CADCAA_R0179 REPOSICIÓN DE LÍNEAS 115KV</v>
      </c>
      <c r="H152" s="618">
        <f>+'OT18-014 BALSILLAS'!G21</f>
        <v>770385</v>
      </c>
      <c r="I152" s="618">
        <f>+'OT18-014 BALSILLAS'!G22</f>
        <v>0</v>
      </c>
      <c r="J152" s="618"/>
      <c r="K152" s="618">
        <f>+'OT18-014 BALSILLAS'!G23</f>
        <v>770385</v>
      </c>
      <c r="L152" s="618">
        <f>+'OT18-014 BALSILLAS'!G26</f>
        <v>146373.15</v>
      </c>
      <c r="M152" s="618">
        <f>+'OT18-014 BALSILLAS'!G27</f>
        <v>916758.15</v>
      </c>
      <c r="N152" s="984">
        <f>+'OT18-014 BALSILLAS'!J21</f>
        <v>0</v>
      </c>
      <c r="O152" s="923">
        <f>+'OT18-014 BALSILLAS'!K25</f>
        <v>0</v>
      </c>
      <c r="P152" s="984">
        <f>+'OT18-014 BALSILLAS'!J22</f>
        <v>0</v>
      </c>
      <c r="Q152" s="984">
        <f>+'OT18-014 BALSILLAS'!J24</f>
        <v>0</v>
      </c>
      <c r="R152" s="984">
        <f>+'OT18-014 BALSILLAS'!J25</f>
        <v>0</v>
      </c>
      <c r="S152" s="984">
        <f>+'OT18-014 BALSILLAS'!J26</f>
        <v>0</v>
      </c>
      <c r="T152" s="984">
        <f>+'OT18-014 BALSILLAS'!J27</f>
        <v>0</v>
      </c>
      <c r="U152" s="750" t="str">
        <f>+'OT18-014 BALSILLAS'!A8</f>
        <v>Acta N° 1: Marzo</v>
      </c>
      <c r="V152" s="234"/>
      <c r="W152" s="925"/>
      <c r="X152" s="925"/>
      <c r="Y152" s="925"/>
      <c r="Z152" s="925"/>
      <c r="AA152" s="925"/>
      <c r="AB152" s="926"/>
      <c r="AC152" s="927"/>
      <c r="AD152" s="927"/>
      <c r="AE152" s="927"/>
      <c r="AF152" s="927"/>
      <c r="AG152" s="925"/>
      <c r="AH152" s="927"/>
      <c r="AJ152" s="925"/>
    </row>
    <row r="153" spans="1:36" s="924" customFormat="1" ht="57" customHeight="1" x14ac:dyDescent="0.3">
      <c r="A153" s="1064">
        <v>146</v>
      </c>
      <c r="B153" s="1201" t="str">
        <f>'OT18-015 SAN CARLOS'!J28</f>
        <v>D00249507</v>
      </c>
      <c r="C153" s="1201" t="str">
        <f>'OT18-015 SAN CARLOS'!J29</f>
        <v>D00249507000</v>
      </c>
      <c r="D153" s="1206" t="s">
        <v>1665</v>
      </c>
      <c r="E153" s="1206" t="s">
        <v>2181</v>
      </c>
      <c r="F153" s="1202">
        <v>0</v>
      </c>
      <c r="G153" s="1202" t="str">
        <f>'OT18-015 SAN CARLOS'!A7</f>
        <v>Proyecto: CDIM_CBSGSM_R0160 - NORMALIZACIÓN Y REPOSICIÓN SE SAN CARLOS.</v>
      </c>
      <c r="H153" s="1203">
        <f>'OT18-015 SAN CARLOS'!G16</f>
        <v>2927840</v>
      </c>
      <c r="I153" s="1203">
        <f>'OT18-015 SAN CARLOS'!G17</f>
        <v>0</v>
      </c>
      <c r="J153" s="1203"/>
      <c r="K153" s="1203">
        <f>'OT18-015 SAN CARLOS'!G18</f>
        <v>2927840</v>
      </c>
      <c r="L153" s="1203">
        <f>'OT18-015 SAN CARLOS'!G21</f>
        <v>556289.6</v>
      </c>
      <c r="M153" s="1203">
        <f>'OT18-015 SAN CARLOS'!G22</f>
        <v>3484129.6</v>
      </c>
      <c r="N153" s="1215">
        <f>'OT18-015 SAN CARLOS'!J16</f>
        <v>2927840</v>
      </c>
      <c r="O153" s="1208">
        <f>'OT18-015 SAN CARLOS'!K20</f>
        <v>1.0150001366194874</v>
      </c>
      <c r="P153" s="1215">
        <f>'OT18-015 SAN CARLOS'!J17</f>
        <v>0</v>
      </c>
      <c r="Q153" s="1215">
        <f>'OT18-015 SAN CARLOS'!J19</f>
        <v>43918</v>
      </c>
      <c r="R153" s="1215">
        <f>'OT18-015 SAN CARLOS'!J20</f>
        <v>2971758</v>
      </c>
      <c r="S153" s="1215">
        <f>'OT18-015 SAN CARLOS'!J21</f>
        <v>564634.02</v>
      </c>
      <c r="T153" s="1215">
        <f>'OT18-015 SAN CARLOS'!J22</f>
        <v>3536392.02</v>
      </c>
      <c r="U153" s="1206" t="str">
        <f>'OT18-015 SAN CARLOS'!A8</f>
        <v>Acta N° 1: Febrero</v>
      </c>
      <c r="V153" s="1202" t="s">
        <v>527</v>
      </c>
      <c r="W153" s="925"/>
      <c r="X153" s="925"/>
      <c r="Y153" s="925"/>
      <c r="Z153" s="925"/>
      <c r="AA153" s="925"/>
      <c r="AB153" s="926"/>
      <c r="AC153" s="927"/>
      <c r="AD153" s="927"/>
      <c r="AE153" s="927"/>
      <c r="AF153" s="927"/>
      <c r="AG153" s="925"/>
      <c r="AH153" s="927"/>
      <c r="AJ153" s="925"/>
    </row>
    <row r="154" spans="1:36" s="924" customFormat="1" ht="57" customHeight="1" x14ac:dyDescent="0.3">
      <c r="A154" s="1064">
        <v>147</v>
      </c>
      <c r="B154" s="1201" t="str">
        <f>'OT18-016 TUNAL'!J28</f>
        <v>D00249389</v>
      </c>
      <c r="C154" s="1201" t="str">
        <f>'OT18-016 TUNAL'!J29</f>
        <v>D00249389000</v>
      </c>
      <c r="D154" s="1206" t="s">
        <v>1451</v>
      </c>
      <c r="E154" s="1206" t="s">
        <v>2182</v>
      </c>
      <c r="F154" s="1202">
        <v>0</v>
      </c>
      <c r="G154" s="1202" t="str">
        <f>'OT18-016 TUNAL'!A7</f>
        <v>Proyecto: CDIM_CAOLIG_R0078 - RES. CREG 038-14 CÓDIGO DE MEDIDA.</v>
      </c>
      <c r="H154" s="1203">
        <f>'OT18-016 TUNAL'!G16</f>
        <v>1268115</v>
      </c>
      <c r="I154" s="1203">
        <f>'OT18-016 TUNAL'!G17</f>
        <v>0</v>
      </c>
      <c r="J154" s="1203"/>
      <c r="K154" s="1203">
        <f>'OT18-016 TUNAL'!G18</f>
        <v>1268115</v>
      </c>
      <c r="L154" s="1203">
        <f>'OT18-016 TUNAL'!G21</f>
        <v>240941.85</v>
      </c>
      <c r="M154" s="1203">
        <f>'OT18-016 TUNAL'!G22</f>
        <v>1509056.85</v>
      </c>
      <c r="N154" s="1215">
        <f>'OT18-016 TUNAL'!J16</f>
        <v>1268115</v>
      </c>
      <c r="O154" s="1208">
        <f>'OT18-016 TUNAL'!K20</f>
        <v>1.015000216857304</v>
      </c>
      <c r="P154" s="1215">
        <f>'OT18-016 TUNAL'!J17</f>
        <v>0</v>
      </c>
      <c r="Q154" s="1215">
        <f>'OT18-016 TUNAL'!J19</f>
        <v>19022</v>
      </c>
      <c r="R154" s="1215">
        <f>'OT18-016 TUNAL'!J20</f>
        <v>1287137</v>
      </c>
      <c r="S154" s="1215">
        <f>'OT18-016 TUNAL'!J21</f>
        <v>244556.03</v>
      </c>
      <c r="T154" s="1215">
        <f>'OT18-016 TUNAL'!G22</f>
        <v>1509056.85</v>
      </c>
      <c r="U154" s="1206" t="str">
        <f>'OT18-016 TUNAL'!A8</f>
        <v>Acta N° 1: Febrero</v>
      </c>
      <c r="V154" s="1202" t="s">
        <v>529</v>
      </c>
      <c r="W154" s="925"/>
      <c r="X154" s="925"/>
      <c r="Y154" s="925"/>
      <c r="Z154" s="925"/>
      <c r="AA154" s="925"/>
      <c r="AB154" s="926"/>
      <c r="AC154" s="927"/>
      <c r="AD154" s="927"/>
      <c r="AE154" s="927"/>
      <c r="AF154" s="927"/>
      <c r="AG154" s="925"/>
      <c r="AH154" s="927"/>
      <c r="AJ154" s="925"/>
    </row>
    <row r="155" spans="1:36" s="924" customFormat="1" ht="57" customHeight="1" x14ac:dyDescent="0.3">
      <c r="A155" s="1064">
        <v>148</v>
      </c>
      <c r="B155" s="1201" t="str">
        <f>'OT18-017 LLTT GUADUERO'!J28</f>
        <v>D00242975</v>
      </c>
      <c r="C155" s="1201">
        <f>'OT18-017 LLTT GUADUERO'!J29</f>
        <v>500000739787</v>
      </c>
      <c r="D155" s="1206" t="s">
        <v>2183</v>
      </c>
      <c r="E155" s="1206" t="s">
        <v>2184</v>
      </c>
      <c r="F155" s="1202">
        <v>0</v>
      </c>
      <c r="G155" s="1202" t="str">
        <f>'OT18-017 LLTT GUADUERO'!A7</f>
        <v>Proyecto: Actualización Terminal 578 LT DO-GU</v>
      </c>
      <c r="H155" s="1203">
        <f>'OT18-017 LLTT GUADUERO'!G16</f>
        <v>2869271.93</v>
      </c>
      <c r="I155" s="1203">
        <f>'OT18-017 LLTT GUADUERO'!G17</f>
        <v>0</v>
      </c>
      <c r="J155" s="1203"/>
      <c r="K155" s="1203">
        <f>'OT18-017 LLTT GUADUERO'!G18</f>
        <v>2869271.93</v>
      </c>
      <c r="L155" s="1203">
        <f>'OT18-017 LLTT GUADUERO'!G21</f>
        <v>545161.66670000006</v>
      </c>
      <c r="M155" s="1203">
        <f>'OT18-017 LLTT GUADUERO'!G22</f>
        <v>3414433.5967000001</v>
      </c>
      <c r="N155" s="1215">
        <f>'OT18-017 LLTT GUADUERO'!J16</f>
        <v>2869272</v>
      </c>
      <c r="O155" s="1208">
        <f>'OT18-017 LLTT GUADUERO'!K20</f>
        <v>1.0149999968807417</v>
      </c>
      <c r="P155" s="1215">
        <f>'OT18-017 LLTT GUADUERO'!J17</f>
        <v>0</v>
      </c>
      <c r="Q155" s="1215">
        <f>'OT18-017 LLTT GUADUERO'!J19</f>
        <v>43039</v>
      </c>
      <c r="R155" s="1215">
        <f>'OT18-017 LLTT GUADUERO'!J20</f>
        <v>2912311</v>
      </c>
      <c r="S155" s="1215">
        <f>'OT18-017 LLTT GUADUERO'!J21</f>
        <v>553339.09</v>
      </c>
      <c r="T155" s="1215">
        <f>'OT18-017 LLTT GUADUERO'!J22</f>
        <v>3465650.09</v>
      </c>
      <c r="U155" s="1206" t="str">
        <f>'OT18-017 LLTT GUADUERO'!A8</f>
        <v>Acta N° 1: Febrero</v>
      </c>
      <c r="V155" s="1202" t="s">
        <v>1269</v>
      </c>
      <c r="W155" s="925"/>
      <c r="X155" s="925"/>
      <c r="Y155" s="925"/>
      <c r="Z155" s="925"/>
      <c r="AA155" s="925"/>
      <c r="AB155" s="926"/>
      <c r="AC155" s="927"/>
      <c r="AD155" s="927"/>
      <c r="AE155" s="927"/>
      <c r="AF155" s="927"/>
      <c r="AG155" s="925"/>
      <c r="AH155" s="927"/>
      <c r="AJ155" s="925"/>
    </row>
    <row r="156" spans="1:36" s="924" customFormat="1" ht="57" customHeight="1" x14ac:dyDescent="0.3">
      <c r="A156" s="1064">
        <v>149</v>
      </c>
      <c r="B156" s="1201" t="str">
        <f>'OT18-018 TUNAL'!J28</f>
        <v>F29CDR530</v>
      </c>
      <c r="C156" s="1201">
        <f>'OT18-018 TUNAL'!J29</f>
        <v>0</v>
      </c>
      <c r="D156" s="1206" t="s">
        <v>1451</v>
      </c>
      <c r="E156" s="1206" t="s">
        <v>2185</v>
      </c>
      <c r="F156" s="1202">
        <v>0</v>
      </c>
      <c r="G156" s="1202" t="str">
        <f>'OT18-018 TUNAL'!A7</f>
        <v>Proyecto: INGENIERÍA ELÉCTRICA Y MECÁNICA REPOSICIÓN DE PROTECCIONES AT2 EN SSEE TUNAL</v>
      </c>
      <c r="H156" s="1203">
        <f>'OT18-018 TUNAL'!G16</f>
        <v>759168</v>
      </c>
      <c r="I156" s="1203">
        <f>'OT18-018 TUNAL'!G17</f>
        <v>0</v>
      </c>
      <c r="J156" s="1203"/>
      <c r="K156" s="1203">
        <f>'OT18-018 TUNAL'!G18</f>
        <v>759168</v>
      </c>
      <c r="L156" s="1203">
        <f>'OT18-018 TUNAL'!G21</f>
        <v>144241.92000000001</v>
      </c>
      <c r="M156" s="1203">
        <f>'OT18-018 TUNAL'!G22</f>
        <v>903409.92</v>
      </c>
      <c r="N156" s="1215">
        <f>'OT18-018 TUNAL'!J16</f>
        <v>759168</v>
      </c>
      <c r="O156" s="1218">
        <f>'OT18-018 TUNAL'!K20</f>
        <v>1.0150006322711178</v>
      </c>
      <c r="P156" s="1215">
        <f>'OT18-018 TUNAL'!J17</f>
        <v>0</v>
      </c>
      <c r="Q156" s="1215">
        <f>'OT18-018 TUNAL'!J19</f>
        <v>11388</v>
      </c>
      <c r="R156" s="1215">
        <f>'OT18-018 TUNAL'!J20</f>
        <v>770556</v>
      </c>
      <c r="S156" s="1215">
        <f>'OT18-018 TUNAL'!J21</f>
        <v>146405.64000000001</v>
      </c>
      <c r="T156" s="1215">
        <f>'OT18-018 TUNAL'!J22</f>
        <v>916961.64</v>
      </c>
      <c r="U156" s="1206" t="str">
        <f>'OT18-018 TUNAL'!A8</f>
        <v>Acta N° 1: Febrero</v>
      </c>
      <c r="V156" s="1202" t="s">
        <v>525</v>
      </c>
      <c r="W156" s="925"/>
      <c r="X156" s="925"/>
      <c r="Y156" s="925"/>
      <c r="Z156" s="925"/>
      <c r="AA156" s="925"/>
      <c r="AB156" s="926"/>
      <c r="AC156" s="927"/>
      <c r="AD156" s="927"/>
      <c r="AE156" s="927"/>
      <c r="AF156" s="927"/>
      <c r="AG156" s="925"/>
      <c r="AH156" s="927"/>
      <c r="AJ156" s="925"/>
    </row>
    <row r="157" spans="1:36" s="924" customFormat="1" ht="57" customHeight="1" x14ac:dyDescent="0.3">
      <c r="A157" s="1064">
        <v>150</v>
      </c>
      <c r="B157" s="235" t="str">
        <f>+'OT18-019 SAN CARLOS AS BUILT  '!J28</f>
        <v>D00249507</v>
      </c>
      <c r="C157" s="235" t="str">
        <f>+'OT18-019 SAN CARLOS AS BUILT  '!J29</f>
        <v>D00249507000</v>
      </c>
      <c r="D157" s="750" t="s">
        <v>2792</v>
      </c>
      <c r="E157" s="750" t="s">
        <v>2793</v>
      </c>
      <c r="F157" s="234">
        <f>+'OT18-019 SAN CARLOS AS BUILT  '!J27</f>
        <v>0</v>
      </c>
      <c r="G157" s="234" t="str">
        <f>+'OT18-019 SAN CARLOS AS BUILT  '!A7</f>
        <v>Proyecto: CDIM_CBSGSM_R0160 - NORMALIZACIÓN Y REPOSICIÓN SE SAN CARLOS NORMALIZACIÓN Y REPOSICIÓN SE SAN CARLOS</v>
      </c>
      <c r="H157" s="618">
        <f>+'OT18-019 SAN CARLOS AS BUILT  '!G16</f>
        <v>258930</v>
      </c>
      <c r="I157" s="618">
        <f>+'OT18-019 SAN CARLOS AS BUILT  '!G17</f>
        <v>0</v>
      </c>
      <c r="J157" s="618"/>
      <c r="K157" s="618">
        <f>+'OT18-019 SAN CARLOS AS BUILT  '!G18</f>
        <v>258930</v>
      </c>
      <c r="L157" s="618">
        <f>+'OT18-019 SAN CARLOS AS BUILT  '!G21</f>
        <v>49196.7</v>
      </c>
      <c r="M157" s="618">
        <f>+'OT18-019 SAN CARLOS AS BUILT  '!G22</f>
        <v>308126.7</v>
      </c>
      <c r="N157" s="984">
        <f>+'OT18-019 SAN CARLOS AS BUILT  '!J16</f>
        <v>0</v>
      </c>
      <c r="O157" s="989">
        <f>+'OT18-019 SAN CARLOS AS BUILT  '!K20</f>
        <v>0</v>
      </c>
      <c r="P157" s="984">
        <f>+'OT18-019 SAN CARLOS AS BUILT  '!J17</f>
        <v>0</v>
      </c>
      <c r="Q157" s="984">
        <f>+'OT18-019 SAN CARLOS AS BUILT  '!J19</f>
        <v>0</v>
      </c>
      <c r="R157" s="984">
        <f>+'OT18-019 SAN CARLOS AS BUILT  '!J20</f>
        <v>0</v>
      </c>
      <c r="S157" s="984">
        <f>+'OT18-019 SAN CARLOS AS BUILT  '!J21</f>
        <v>0</v>
      </c>
      <c r="T157" s="984">
        <f>+'OT18-019 SAN CARLOS AS BUILT  '!J22</f>
        <v>0</v>
      </c>
      <c r="U157" s="750" t="str">
        <f>+'OT18-019 SAN CARLOS AS BUILT  '!A8</f>
        <v>Acta N° 1: Marzo</v>
      </c>
      <c r="V157" s="234"/>
      <c r="W157" s="925"/>
      <c r="X157" s="925"/>
      <c r="Y157" s="925"/>
      <c r="Z157" s="925"/>
      <c r="AA157" s="925"/>
      <c r="AB157" s="926"/>
      <c r="AC157" s="927"/>
      <c r="AD157" s="927"/>
      <c r="AE157" s="927"/>
      <c r="AF157" s="927"/>
      <c r="AG157" s="925"/>
      <c r="AH157" s="927"/>
      <c r="AJ157" s="925"/>
    </row>
    <row r="158" spans="1:36" s="924" customFormat="1" ht="57" customHeight="1" x14ac:dyDescent="0.3">
      <c r="A158" s="1064">
        <v>151</v>
      </c>
      <c r="B158" s="235" t="str">
        <f>'OT18-020 LT COMPARTIR'!J34</f>
        <v>D00249507</v>
      </c>
      <c r="C158" s="235" t="str">
        <f>'OT18-020 LT COMPARTIR'!J35</f>
        <v>D00249507000</v>
      </c>
      <c r="D158" s="750" t="s">
        <v>1458</v>
      </c>
      <c r="E158" s="750" t="s">
        <v>2186</v>
      </c>
      <c r="F158" s="234">
        <v>0</v>
      </c>
      <c r="G158" s="234" t="str">
        <f>'OT18-020 LT COMPARTIR'!A7</f>
        <v>Proyecto: LT Veraguas - Laguneta y la LT Conexión Nueva Esperanza - Compartir - Bosa a 115 kV.</v>
      </c>
      <c r="H158" s="618">
        <f>'OT18-020 LT COMPARTIR'!G22</f>
        <v>8951871</v>
      </c>
      <c r="I158" s="618">
        <f>'OT18-020 LT COMPARTIR'!G23</f>
        <v>0</v>
      </c>
      <c r="J158" s="618"/>
      <c r="K158" s="618">
        <f>'OT18-020 LT COMPARTIR'!G24</f>
        <v>8951871</v>
      </c>
      <c r="L158" s="618">
        <f>'OT18-020 LT COMPARTIR'!G27</f>
        <v>1700855.49</v>
      </c>
      <c r="M158" s="618">
        <f>'OT18-020 LT COMPARTIR'!G28</f>
        <v>10652726.49</v>
      </c>
      <c r="N158" s="984">
        <f>+'OT18-020 LT COMPARTIR'!M22</f>
        <v>0</v>
      </c>
      <c r="O158" s="989">
        <f>+'OT18-020 LT COMPARTIR'!N26</f>
        <v>0</v>
      </c>
      <c r="P158" s="984">
        <f>+'OT18-020 LT COMPARTIR'!M23</f>
        <v>0</v>
      </c>
      <c r="Q158" s="984">
        <f>+'OT18-020 LT COMPARTIR'!M25</f>
        <v>0</v>
      </c>
      <c r="R158" s="984">
        <f>+'OT18-020 LT COMPARTIR'!M26</f>
        <v>0</v>
      </c>
      <c r="S158" s="984">
        <f>+'OT18-020 LT COMPARTIR'!M27</f>
        <v>0</v>
      </c>
      <c r="T158" s="984">
        <f>+'OT18-020 LT COMPARTIR'!M28</f>
        <v>0</v>
      </c>
      <c r="U158" s="750" t="str">
        <f>'OT18-020 LT COMPARTIR'!A8</f>
        <v>Acta N° 2: Marzo</v>
      </c>
      <c r="V158" s="234" t="s">
        <v>524</v>
      </c>
      <c r="W158" s="925"/>
      <c r="X158" s="925"/>
      <c r="Y158" s="925"/>
      <c r="Z158" s="925"/>
      <c r="AA158" s="925"/>
      <c r="AB158" s="926"/>
      <c r="AC158" s="927"/>
      <c r="AD158" s="927"/>
      <c r="AE158" s="927"/>
      <c r="AF158" s="927"/>
      <c r="AG158" s="925"/>
      <c r="AH158" s="927"/>
      <c r="AJ158" s="925"/>
    </row>
    <row r="159" spans="1:36" s="924" customFormat="1" ht="57" customHeight="1" x14ac:dyDescent="0.3">
      <c r="A159" s="1064">
        <v>152</v>
      </c>
      <c r="B159" s="235">
        <f>+'OT18-024 CENTRO CHÍA'!J30</f>
        <v>0</v>
      </c>
      <c r="C159" s="235">
        <f>+'OT18-024 CENTRO CHÍA'!J31</f>
        <v>0</v>
      </c>
      <c r="D159" s="750" t="s">
        <v>2794</v>
      </c>
      <c r="E159" s="750" t="s">
        <v>2795</v>
      </c>
      <c r="F159" s="234">
        <f>+'OT18-024 CENTRO CHÍA'!J29</f>
        <v>0</v>
      </c>
      <c r="G159" s="234" t="str">
        <f>+'OT18-024 CENTRO CHÍA'!A7</f>
        <v>Proyecto: CDIM_CBSGSM_R0208.</v>
      </c>
      <c r="H159" s="618">
        <f>+'OT18-024 CENTRO CHÍA'!G18</f>
        <v>4969989</v>
      </c>
      <c r="I159" s="618">
        <f>+'OT18-024 CENTRO CHÍA'!G19</f>
        <v>0</v>
      </c>
      <c r="J159" s="618">
        <f>+'OT18-024 CENTRO CHÍA'!G22</f>
        <v>5044539</v>
      </c>
      <c r="K159" s="618">
        <f>+'OT18-024 CENTRO CHÍA'!G20</f>
        <v>4969989</v>
      </c>
      <c r="L159" s="618">
        <f>+'OT18-024 CENTRO CHÍA'!G23</f>
        <v>958462.41</v>
      </c>
      <c r="M159" s="618">
        <f>+'OT18-024 CENTRO CHÍA'!G24</f>
        <v>6003001.4100000001</v>
      </c>
      <c r="N159" s="984">
        <f>+'OT18-024 CENTRO CHÍA'!J18</f>
        <v>0</v>
      </c>
      <c r="O159" s="989">
        <f>+'OT18-024 CENTRO CHÍA'!K22</f>
        <v>0</v>
      </c>
      <c r="P159" s="984">
        <f>+'OT18-024 CENTRO CHÍA'!J19</f>
        <v>0</v>
      </c>
      <c r="Q159" s="984">
        <f>+'OT18-024 CENTRO CHÍA'!J21</f>
        <v>0</v>
      </c>
      <c r="R159" s="984">
        <f>+'OT18-024 CENTRO CHÍA'!J22</f>
        <v>0</v>
      </c>
      <c r="S159" s="984">
        <f>+'OT18-024 CENTRO CHÍA'!J23</f>
        <v>0</v>
      </c>
      <c r="T159" s="984">
        <f>+'OT18-024 CENTRO CHÍA'!J24</f>
        <v>0</v>
      </c>
      <c r="U159" s="750" t="str">
        <f>+'OT18-024 CENTRO CHÍA'!A8</f>
        <v>Acta N° 1: Marzo</v>
      </c>
      <c r="V159" s="234"/>
      <c r="W159" s="925"/>
      <c r="X159" s="925"/>
      <c r="Y159" s="925"/>
      <c r="Z159" s="925"/>
      <c r="AA159" s="925"/>
      <c r="AB159" s="926"/>
      <c r="AC159" s="927"/>
      <c r="AD159" s="927"/>
      <c r="AE159" s="927"/>
      <c r="AF159" s="927"/>
      <c r="AG159" s="925"/>
      <c r="AH159" s="927"/>
      <c r="AJ159" s="925"/>
    </row>
    <row r="160" spans="1:36" s="924" customFormat="1" ht="57" customHeight="1" x14ac:dyDescent="0.3">
      <c r="A160" s="1064">
        <v>153</v>
      </c>
      <c r="B160" s="235">
        <f>+'OT18-025 NAMAY '!J30</f>
        <v>0</v>
      </c>
      <c r="C160" s="235">
        <f>+'OT18-025 NAMAY '!J31</f>
        <v>0</v>
      </c>
      <c r="D160" s="750" t="s">
        <v>2796</v>
      </c>
      <c r="E160" s="750" t="s">
        <v>2797</v>
      </c>
      <c r="F160" s="234">
        <f>+'OT18-025 NAMAY '!J29</f>
        <v>0</v>
      </c>
      <c r="G160" s="234" t="str">
        <f>+'OT18-025 NAMAY '!A7</f>
        <v xml:space="preserve">Proyecto: CDIM_CAOLIG_R0078 - RES. CREG 038-14 </v>
      </c>
      <c r="H160" s="618">
        <f>+'OT18-025 NAMAY '!G18</f>
        <v>2320304</v>
      </c>
      <c r="I160" s="618">
        <f>+'OT18-025 NAMAY '!G19</f>
        <v>0</v>
      </c>
      <c r="J160" s="618">
        <f>+'OT18-025 NAMAY '!G21</f>
        <v>34805</v>
      </c>
      <c r="K160" s="618">
        <f>+'OT18-025 NAMAY '!G20</f>
        <v>2320304</v>
      </c>
      <c r="L160" s="618">
        <f>+'OT18-025 NAMAY '!G23</f>
        <v>447470.71</v>
      </c>
      <c r="M160" s="618">
        <f>+'OT18-025 NAMAY '!G24</f>
        <v>2802579.71</v>
      </c>
      <c r="N160" s="984">
        <f>+'OT18-025 NAMAY '!J18</f>
        <v>0</v>
      </c>
      <c r="O160" s="989">
        <f>+'OT18-025 NAMAY '!K22</f>
        <v>0</v>
      </c>
      <c r="P160" s="984">
        <f>+'OT18-025 NAMAY '!J19</f>
        <v>0</v>
      </c>
      <c r="Q160" s="984">
        <f>+'OT18-025 NAMAY '!J21</f>
        <v>0</v>
      </c>
      <c r="R160" s="984">
        <f>+'OT18-025 NAMAY '!J22</f>
        <v>0</v>
      </c>
      <c r="S160" s="984">
        <f>+'OT18-025 NAMAY '!J23</f>
        <v>0</v>
      </c>
      <c r="T160" s="984">
        <f>+'OT18-025 NAMAY '!J24</f>
        <v>0</v>
      </c>
      <c r="U160" s="750" t="str">
        <f>+'OT18-025 NAMAY '!A8</f>
        <v>Acta N° 1: Marzo</v>
      </c>
      <c r="V160" s="234"/>
      <c r="W160" s="925"/>
      <c r="X160" s="925"/>
      <c r="Y160" s="925"/>
      <c r="Z160" s="925"/>
      <c r="AA160" s="925"/>
      <c r="AB160" s="926"/>
      <c r="AC160" s="927"/>
      <c r="AD160" s="927"/>
      <c r="AE160" s="927"/>
      <c r="AF160" s="927"/>
      <c r="AG160" s="925"/>
      <c r="AH160" s="927"/>
      <c r="AJ160" s="925"/>
    </row>
    <row r="161" spans="1:36" s="924" customFormat="1" ht="57" customHeight="1" x14ac:dyDescent="0.3">
      <c r="A161" s="1064">
        <v>154</v>
      </c>
      <c r="B161" s="235" t="str">
        <f>+'OT18-026 SESQUILE'!J48</f>
        <v>D00249539</v>
      </c>
      <c r="C161" s="235" t="str">
        <f>+'OT18-026 SESQUILE'!J49</f>
        <v>D00249539000</v>
      </c>
      <c r="D161" s="750" t="s">
        <v>2798</v>
      </c>
      <c r="E161" s="750" t="s">
        <v>2799</v>
      </c>
      <c r="F161" s="234">
        <f>+'OT18-026 SESQUILE'!J47</f>
        <v>0</v>
      </c>
      <c r="G161" s="234" t="str">
        <f>+'OT18-026 SESQUILE'!A7</f>
        <v>Proyecto:CDIM_CBSGSM_R0149, N3_NORMALIZACION_TABLEROS_SE_SESQUILE.</v>
      </c>
      <c r="H161" s="618">
        <f>+'OT18-026 SESQUILE'!G36</f>
        <v>6177901</v>
      </c>
      <c r="I161" s="618">
        <f>+'OT18-026 SESQUILE'!G37</f>
        <v>0</v>
      </c>
      <c r="J161" s="618">
        <f>+'OT18-026 SESQUILE'!G39</f>
        <v>92669</v>
      </c>
      <c r="K161" s="618">
        <f>+'OT18-026 SESQUILE'!G40</f>
        <v>6270570</v>
      </c>
      <c r="L161" s="618">
        <f>+'OT18-026 SESQUILE'!G41</f>
        <v>1191408.3</v>
      </c>
      <c r="M161" s="618">
        <f>+'OT18-026 SESQUILE'!G42</f>
        <v>7461978.2999999998</v>
      </c>
      <c r="N161" s="984">
        <f>+'OT18-026 SESQUILE'!J36</f>
        <v>0</v>
      </c>
      <c r="O161" s="989">
        <f>+'OT18-026 SESQUILE'!K40</f>
        <v>0</v>
      </c>
      <c r="P161" s="984">
        <f>+'OT18-026 SESQUILE'!J37</f>
        <v>0</v>
      </c>
      <c r="Q161" s="984">
        <f>+'OT18-026 SESQUILE'!J39</f>
        <v>0</v>
      </c>
      <c r="R161" s="984">
        <f>+'OT18-026 SESQUILE'!J40</f>
        <v>0</v>
      </c>
      <c r="S161" s="984">
        <f>+'OT18-026 SESQUILE'!J41</f>
        <v>0</v>
      </c>
      <c r="T161" s="984">
        <f>+'OT18-026 SESQUILE'!J42</f>
        <v>0</v>
      </c>
      <c r="U161" s="750" t="str">
        <f>+'OT18-026 SESQUILE'!A8</f>
        <v>Acta N° 1: Marzo</v>
      </c>
      <c r="V161" s="234"/>
      <c r="W161" s="925"/>
      <c r="X161" s="925"/>
      <c r="Y161" s="925"/>
      <c r="Z161" s="925"/>
      <c r="AA161" s="925"/>
      <c r="AB161" s="926"/>
      <c r="AC161" s="927"/>
      <c r="AD161" s="927"/>
      <c r="AE161" s="927"/>
      <c r="AF161" s="927"/>
      <c r="AG161" s="925"/>
      <c r="AH161" s="927"/>
      <c r="AJ161" s="925"/>
    </row>
    <row r="162" spans="1:36" s="924" customFormat="1" ht="57" customHeight="1" x14ac:dyDescent="0.3">
      <c r="A162" s="1064">
        <v>155</v>
      </c>
      <c r="B162" s="235">
        <f>+'OT18-027 CHINAUTA'!J29</f>
        <v>0</v>
      </c>
      <c r="C162" s="235">
        <f>+'OT18-027 CHINAUTA'!J30</f>
        <v>0</v>
      </c>
      <c r="D162" s="750" t="s">
        <v>1479</v>
      </c>
      <c r="E162" s="750" t="s">
        <v>2800</v>
      </c>
      <c r="F162" s="234">
        <f>+'OT18-027 CHINAUTA'!J28</f>
        <v>0</v>
      </c>
      <c r="G162" s="234" t="str">
        <f>+'OT18-027 CHINAUTA'!A7</f>
        <v>Proyecto: CDIE_CBCCSM_R0191, PC2 - REDISEÑO ACOPLE BARRAS SE MT-MT.</v>
      </c>
      <c r="H162" s="618">
        <f>+'OT18-027 CHINAUTA'!G17</f>
        <v>10027813</v>
      </c>
      <c r="I162" s="618">
        <f>+'OT18-027 CHINAUTA'!G18</f>
        <v>90250.316999999995</v>
      </c>
      <c r="J162" s="618">
        <f>+'OT18-027 CHINAUTA'!G20</f>
        <v>151771</v>
      </c>
      <c r="K162" s="618">
        <f>+'OT18-027 CHINAUTA'!G21</f>
        <v>10269834.317</v>
      </c>
      <c r="L162" s="618">
        <f>+'OT18-027 CHINAUTA'!G22</f>
        <v>1951268.5202299999</v>
      </c>
      <c r="M162" s="618">
        <f>+'OT18-027 CHINAUTA'!G23</f>
        <v>12221102.837230001</v>
      </c>
      <c r="N162" s="984">
        <f>+'OT18-027 CHINAUTA'!J17</f>
        <v>0</v>
      </c>
      <c r="O162" s="989">
        <f>+'OT18-027 CHINAUTA'!K21</f>
        <v>0</v>
      </c>
      <c r="P162" s="984">
        <f>+'OT18-027 CHINAUTA'!J18</f>
        <v>0</v>
      </c>
      <c r="Q162" s="984">
        <f>+'OT18-027 CHINAUTA'!J20</f>
        <v>0</v>
      </c>
      <c r="R162" s="984">
        <f>+'OT18-027 CHINAUTA'!J21</f>
        <v>0</v>
      </c>
      <c r="S162" s="984">
        <f>+'OT18-027 CHINAUTA'!J22</f>
        <v>0</v>
      </c>
      <c r="T162" s="984">
        <f>+'OT18-027 CHINAUTA'!J23</f>
        <v>0</v>
      </c>
      <c r="U162" s="750" t="str">
        <f>+'OT18-027 CHINAUTA'!A8</f>
        <v>Acta N° 1: Marzo</v>
      </c>
      <c r="V162" s="234"/>
      <c r="W162" s="925"/>
      <c r="X162" s="925"/>
      <c r="Y162" s="925"/>
      <c r="Z162" s="925"/>
      <c r="AA162" s="925"/>
      <c r="AB162" s="926"/>
      <c r="AC162" s="927"/>
      <c r="AD162" s="927"/>
      <c r="AE162" s="927"/>
      <c r="AF162" s="927"/>
      <c r="AG162" s="925"/>
      <c r="AH162" s="927"/>
      <c r="AJ162" s="925"/>
    </row>
    <row r="163" spans="1:36" s="924" customFormat="1" ht="57" customHeight="1" x14ac:dyDescent="0.3">
      <c r="A163" s="1064">
        <v>156</v>
      </c>
      <c r="B163" s="235">
        <f>+'OT18-028 EL HOBAL'!J29</f>
        <v>0</v>
      </c>
      <c r="C163" s="235">
        <f>+'OT18-028 EL HOBAL'!J30</f>
        <v>0</v>
      </c>
      <c r="D163" s="750" t="s">
        <v>2731</v>
      </c>
      <c r="E163" s="750" t="s">
        <v>2801</v>
      </c>
      <c r="F163" s="234">
        <f>+'OT18-028 EL HOBAL'!J28</f>
        <v>0</v>
      </c>
      <c r="G163" s="234" t="str">
        <f>+'OT18-028 EL HOBAL'!A7</f>
        <v>Proyecto: CDIE_CBCCSM_R0191, PC2 - REDISEÑO ACOPLE BARRAS SE MT-MT.</v>
      </c>
      <c r="H163" s="618">
        <f>+'OT18-028 EL HOBAL'!G17</f>
        <v>10027813</v>
      </c>
      <c r="I163" s="618">
        <f>+'OT18-028 EL HOBAL'!G18</f>
        <v>90250.316999999995</v>
      </c>
      <c r="J163" s="618">
        <f>+'OT18-028 EL HOBAL'!G20</f>
        <v>151771</v>
      </c>
      <c r="K163" s="618">
        <f>+'OT18-028 EL HOBAL'!G21</f>
        <v>10269834.317</v>
      </c>
      <c r="L163" s="618">
        <f>+'OT18-028 EL HOBAL'!G22</f>
        <v>1951268.5202299999</v>
      </c>
      <c r="M163" s="618">
        <f>+'OT18-028 EL HOBAL'!G23</f>
        <v>12221102.837230001</v>
      </c>
      <c r="N163" s="984">
        <f>+'OT18-028 EL HOBAL'!J17</f>
        <v>0</v>
      </c>
      <c r="O163" s="989">
        <f>+'OT18-028 EL HOBAL'!K21</f>
        <v>0</v>
      </c>
      <c r="P163" s="984">
        <f>+'OT18-028 EL HOBAL'!J18</f>
        <v>0</v>
      </c>
      <c r="Q163" s="984">
        <f>+'OT18-028 EL HOBAL'!J20</f>
        <v>0</v>
      </c>
      <c r="R163" s="984">
        <f>+'OT18-028 EL HOBAL'!J21</f>
        <v>0</v>
      </c>
      <c r="S163" s="984">
        <f>+'OT18-028 EL HOBAL'!J22</f>
        <v>0</v>
      </c>
      <c r="T163" s="984">
        <f>+'OT18-028 EL HOBAL'!J23</f>
        <v>0</v>
      </c>
      <c r="U163" s="750" t="str">
        <f>+'OT18-028 EL HOBAL'!A8</f>
        <v>Acta N° 1: Marzo</v>
      </c>
      <c r="V163" s="234"/>
      <c r="W163" s="925"/>
      <c r="X163" s="925"/>
      <c r="Y163" s="925"/>
      <c r="Z163" s="925"/>
      <c r="AA163" s="925"/>
      <c r="AB163" s="926"/>
      <c r="AC163" s="927"/>
      <c r="AD163" s="927"/>
      <c r="AE163" s="927"/>
      <c r="AF163" s="927"/>
      <c r="AG163" s="925"/>
      <c r="AH163" s="927"/>
      <c r="AJ163" s="925"/>
    </row>
    <row r="164" spans="1:36" s="924" customFormat="1" ht="57" customHeight="1" x14ac:dyDescent="0.3">
      <c r="A164" s="1064">
        <v>157</v>
      </c>
      <c r="B164" s="235">
        <f>+'OT18-029 TAUSA'!J66</f>
        <v>0</v>
      </c>
      <c r="C164" s="235">
        <f>+'OT18-029 TAUSA'!J67</f>
        <v>0</v>
      </c>
      <c r="D164" s="750" t="s">
        <v>2803</v>
      </c>
      <c r="E164" s="750" t="s">
        <v>2802</v>
      </c>
      <c r="F164" s="234">
        <f>+'OT18-029 TAUSA'!J65</f>
        <v>0</v>
      </c>
      <c r="G164" s="234" t="str">
        <f>+'OT18-029 TAUSA'!A7</f>
        <v>Proyecto: CDIE_CBCCSM_R0183 - NORMALIZACIÓN SE MT-MT.</v>
      </c>
      <c r="H164" s="618">
        <f>+'OT18-029 TAUSA'!G54</f>
        <v>1829895</v>
      </c>
      <c r="I164" s="618">
        <f>+'OT18-029 TAUSA'!G55</f>
        <v>0</v>
      </c>
      <c r="J164" s="618">
        <f>+'OT18-029 TAUSA'!G57</f>
        <v>27448</v>
      </c>
      <c r="K164" s="618">
        <f>+'OT18-029 TAUSA'!G58</f>
        <v>1857343</v>
      </c>
      <c r="L164" s="618">
        <f>+'OT18-029 TAUSA'!G59</f>
        <v>352895.17</v>
      </c>
      <c r="M164" s="618">
        <f>+'OT18-029 TAUSA'!G60</f>
        <v>2210238.17</v>
      </c>
      <c r="N164" s="984">
        <f>+'OT18-029 TAUSA'!J54</f>
        <v>0</v>
      </c>
      <c r="O164" s="989">
        <f>+'OT18-029 TAUSA'!K58</f>
        <v>0</v>
      </c>
      <c r="P164" s="984">
        <f>+'OT18-029 TAUSA'!J55</f>
        <v>0</v>
      </c>
      <c r="Q164" s="984">
        <f>+'OT18-029 TAUSA'!J57</f>
        <v>0</v>
      </c>
      <c r="R164" s="984">
        <f>+'OT18-029 TAUSA'!J58</f>
        <v>0</v>
      </c>
      <c r="S164" s="984">
        <f>+'OT18-029 TAUSA'!J59</f>
        <v>0</v>
      </c>
      <c r="T164" s="984">
        <f>+'OT18-029 TAUSA'!J60</f>
        <v>0</v>
      </c>
      <c r="U164" s="750" t="str">
        <f>+'OT18-029 TAUSA'!A8</f>
        <v>Acta N° 1: Marzo</v>
      </c>
      <c r="V164" s="234"/>
      <c r="W164" s="925"/>
      <c r="X164" s="925"/>
      <c r="Y164" s="925"/>
      <c r="Z164" s="925"/>
      <c r="AA164" s="925"/>
      <c r="AB164" s="926"/>
      <c r="AC164" s="927"/>
      <c r="AD164" s="927"/>
      <c r="AE164" s="927"/>
      <c r="AF164" s="927"/>
      <c r="AG164" s="925"/>
      <c r="AH164" s="927"/>
      <c r="AJ164" s="925"/>
    </row>
    <row r="165" spans="1:36" s="924" customFormat="1" ht="57" customHeight="1" x14ac:dyDescent="0.3">
      <c r="A165" s="1064">
        <v>158</v>
      </c>
      <c r="B165" s="235" t="str">
        <f>+'OT18-030 CONCORDIA'!J28</f>
        <v>D00249271</v>
      </c>
      <c r="C165" s="235" t="str">
        <f>+'OT18-030 CONCORDIA'!J29</f>
        <v>D00249271000</v>
      </c>
      <c r="D165" s="750" t="s">
        <v>1236</v>
      </c>
      <c r="E165" s="750" t="s">
        <v>2804</v>
      </c>
      <c r="F165" s="234">
        <f>+'OT18-030 CONCORDIA'!J27</f>
        <v>0</v>
      </c>
      <c r="G165" s="234" t="str">
        <f>+'OT18-030 CONCORDIA'!A7</f>
        <v>Proyecto: CDIE_CBCCSM_R0184, PC1 - REPOSICIÓN INTERRUPTORES AT.</v>
      </c>
      <c r="H165" s="618">
        <f>+'OT18-030 CONCORDIA'!G16</f>
        <v>653272</v>
      </c>
      <c r="I165" s="618">
        <f>+'OT18-030 CONCORDIA'!G17</f>
        <v>0</v>
      </c>
      <c r="J165" s="618">
        <f>+'OT18-030 CONCORDIA'!G19</f>
        <v>9799</v>
      </c>
      <c r="K165" s="618">
        <f>+'OT18-030 CONCORDIA'!G20</f>
        <v>663071</v>
      </c>
      <c r="L165" s="618">
        <f>+'OT18-030 CONCORDIA'!G21</f>
        <v>125983.49</v>
      </c>
      <c r="M165" s="618">
        <f>+'OT18-030 CONCORDIA'!G22</f>
        <v>789054.49</v>
      </c>
      <c r="N165" s="984">
        <f>+'OT18-030 CONCORDIA'!J16</f>
        <v>0</v>
      </c>
      <c r="O165" s="989">
        <f>+'OT18-030 CONCORDIA'!K20</f>
        <v>0</v>
      </c>
      <c r="P165" s="984">
        <f>+'OT18-030 CONCORDIA'!J17</f>
        <v>0</v>
      </c>
      <c r="Q165" s="984">
        <f>+'OT18-030 CONCORDIA'!J19</f>
        <v>0</v>
      </c>
      <c r="R165" s="984">
        <f>+'OT18-030 CONCORDIA'!J20</f>
        <v>0</v>
      </c>
      <c r="S165" s="984">
        <f>+'OT18-030 CONCORDIA'!J21</f>
        <v>0</v>
      </c>
      <c r="T165" s="984">
        <f>+'OT18-030 CONCORDIA'!J22</f>
        <v>0</v>
      </c>
      <c r="U165" s="750" t="str">
        <f>+'OT18-030 CONCORDIA'!A8</f>
        <v>Acta N° 1: Marzo</v>
      </c>
      <c r="V165" s="234"/>
      <c r="W165" s="925"/>
      <c r="X165" s="925"/>
      <c r="Y165" s="925"/>
      <c r="Z165" s="925"/>
      <c r="AA165" s="925"/>
      <c r="AB165" s="926"/>
      <c r="AC165" s="927"/>
      <c r="AD165" s="927"/>
      <c r="AE165" s="927"/>
      <c r="AF165" s="927"/>
      <c r="AG165" s="925"/>
      <c r="AH165" s="927"/>
      <c r="AJ165" s="925"/>
    </row>
    <row r="166" spans="1:36" s="924" customFormat="1" ht="57" customHeight="1" x14ac:dyDescent="0.3">
      <c r="A166" s="1064">
        <v>159</v>
      </c>
      <c r="B166" s="235" t="str">
        <f>+'OT18-031 LA PAZ'!J34</f>
        <v>D00249271</v>
      </c>
      <c r="C166" s="235" t="str">
        <f>+'OT18-031 LA PAZ'!J35</f>
        <v>D00249271000</v>
      </c>
      <c r="D166" s="750" t="s">
        <v>2805</v>
      </c>
      <c r="E166" s="750" t="s">
        <v>2806</v>
      </c>
      <c r="F166" s="234">
        <f>+'OT18-031 LA PAZ'!J33</f>
        <v>0</v>
      </c>
      <c r="G166" s="234" t="str">
        <f>+'OT18-031 LA PAZ'!A7</f>
        <v>Proyecto: CDIE_CBCCSM_R0184, PC1 - REPOSICIÓN INTERRUPTORES AT.</v>
      </c>
      <c r="H166" s="618">
        <f>+'OT18-031 LA PAZ'!G22</f>
        <v>865540</v>
      </c>
      <c r="I166" s="618">
        <f>+'OT18-031 LA PAZ'!G23</f>
        <v>0</v>
      </c>
      <c r="J166" s="618">
        <f>+'OT18-031 LA PAZ'!G25</f>
        <v>12983</v>
      </c>
      <c r="K166" s="618">
        <f>+'OT18-031 LA PAZ'!G26</f>
        <v>878523</v>
      </c>
      <c r="L166" s="618">
        <f>+'OT18-031 LA PAZ'!G27</f>
        <v>166919.37</v>
      </c>
      <c r="M166" s="618">
        <f>+'OT18-031 LA PAZ'!G28</f>
        <v>1045442.37</v>
      </c>
      <c r="N166" s="984">
        <f>+'OT18-031 LA PAZ'!J22</f>
        <v>0</v>
      </c>
      <c r="O166" s="989">
        <f>+'OT18-031 LA PAZ'!K26</f>
        <v>0</v>
      </c>
      <c r="P166" s="984">
        <f>+'OT18-031 LA PAZ'!J23</f>
        <v>0</v>
      </c>
      <c r="Q166" s="984">
        <f>+'OT18-031 LA PAZ'!J25</f>
        <v>0</v>
      </c>
      <c r="R166" s="984">
        <f>+'OT18-031 LA PAZ'!J26</f>
        <v>0</v>
      </c>
      <c r="S166" s="984">
        <f>+'OT18-031 LA PAZ'!J27</f>
        <v>0</v>
      </c>
      <c r="T166" s="984">
        <f>+'OT18-031 LA PAZ'!J28</f>
        <v>0</v>
      </c>
      <c r="U166" s="750" t="str">
        <f>+'OT18-031 LA PAZ'!A8</f>
        <v>Acta N° 1: Marzo</v>
      </c>
      <c r="V166" s="234"/>
      <c r="W166" s="925"/>
      <c r="X166" s="925"/>
      <c r="Y166" s="925"/>
      <c r="Z166" s="925"/>
      <c r="AA166" s="925"/>
      <c r="AB166" s="926"/>
      <c r="AC166" s="927"/>
      <c r="AD166" s="927"/>
      <c r="AE166" s="927"/>
      <c r="AF166" s="927"/>
      <c r="AG166" s="925"/>
      <c r="AH166" s="927"/>
      <c r="AJ166" s="925"/>
    </row>
    <row r="167" spans="1:36" s="924" customFormat="1" ht="57" customHeight="1" x14ac:dyDescent="0.3">
      <c r="A167" s="1064">
        <v>160</v>
      </c>
      <c r="B167" s="235" t="str">
        <f>+'OT18-032 SALITRE'!J32</f>
        <v>D00249271</v>
      </c>
      <c r="C167" s="235" t="str">
        <f>+'OT18-032 SALITRE'!J33</f>
        <v>D00249271000</v>
      </c>
      <c r="D167" s="750" t="s">
        <v>1959</v>
      </c>
      <c r="E167" s="750" t="s">
        <v>2807</v>
      </c>
      <c r="F167" s="234">
        <f>+'OT18-032 SALITRE'!J31</f>
        <v>0</v>
      </c>
      <c r="G167" s="234" t="str">
        <f>+'OT18-032 SALITRE'!A7</f>
        <v>Proyecto: CDIE_CBCCSM_R0184, PC1 - REPOSICIÓN INTERRUPTORES AT.</v>
      </c>
      <c r="H167" s="618">
        <f>+'OT18-032 SALITRE'!G20</f>
        <v>1037550</v>
      </c>
      <c r="I167" s="618">
        <f>+'OT18-032 SALITRE'!G21</f>
        <v>0</v>
      </c>
      <c r="J167" s="618">
        <f>+'OT18-032 SALITRE'!G23</f>
        <v>15563</v>
      </c>
      <c r="K167" s="618">
        <f>+'OT18-032 SALITRE'!G24</f>
        <v>1053113</v>
      </c>
      <c r="L167" s="618">
        <f>+'OT18-032 SALITRE'!G25</f>
        <v>200091.47</v>
      </c>
      <c r="M167" s="618">
        <f>+'OT18-032 SALITRE'!G26</f>
        <v>1253204.47</v>
      </c>
      <c r="N167" s="984">
        <f>+'OT18-032 SALITRE'!J20</f>
        <v>0</v>
      </c>
      <c r="O167" s="989">
        <f>+'OT18-032 SALITRE'!K24</f>
        <v>0</v>
      </c>
      <c r="P167" s="984">
        <f>+'OT18-032 SALITRE'!J21</f>
        <v>0</v>
      </c>
      <c r="Q167" s="984">
        <f>+'OT18-032 SALITRE'!J23</f>
        <v>0</v>
      </c>
      <c r="R167" s="984">
        <f>+'OT18-032 SALITRE'!J24</f>
        <v>0</v>
      </c>
      <c r="S167" s="984">
        <f>+'OT18-032 SALITRE'!J25</f>
        <v>0</v>
      </c>
      <c r="T167" s="984">
        <f>+'OT18-032 SALITRE'!J26</f>
        <v>0</v>
      </c>
      <c r="U167" s="750" t="str">
        <f>+'OT18-032 SALITRE'!A8</f>
        <v>Acta N° 1: Marzo</v>
      </c>
      <c r="V167" s="234"/>
      <c r="W167" s="925"/>
      <c r="X167" s="925"/>
      <c r="Y167" s="925"/>
      <c r="Z167" s="925"/>
      <c r="AA167" s="925"/>
      <c r="AB167" s="926"/>
      <c r="AC167" s="927"/>
      <c r="AD167" s="927"/>
      <c r="AE167" s="927"/>
      <c r="AF167" s="927"/>
      <c r="AG167" s="925"/>
      <c r="AH167" s="927"/>
      <c r="AJ167" s="925"/>
    </row>
    <row r="168" spans="1:36" s="924" customFormat="1" ht="57" customHeight="1" x14ac:dyDescent="0.3">
      <c r="A168" s="1064">
        <v>161</v>
      </c>
      <c r="B168" s="235" t="str">
        <f>+'OT18-033 SUBA'!J47</f>
        <v>D00249271</v>
      </c>
      <c r="C168" s="235" t="str">
        <f>+'OT18-033 SUBA'!J48</f>
        <v>D00249271000</v>
      </c>
      <c r="D168" s="750" t="s">
        <v>1433</v>
      </c>
      <c r="E168" s="750" t="s">
        <v>2808</v>
      </c>
      <c r="F168" s="234">
        <f>+'OT18-033 SUBA'!J46</f>
        <v>0</v>
      </c>
      <c r="G168" s="234" t="str">
        <f>+'OT18-033 SUBA'!A7</f>
        <v>Proyecto: CDIE_CBCCSM_R0184, PC1 - REPOSICIÓN INTERRUPTORES AT.</v>
      </c>
      <c r="H168" s="618">
        <f>+'OT18-033 SUBA'!G35</f>
        <v>2135487</v>
      </c>
      <c r="I168" s="618">
        <f>+'OT18-033 SUBA'!G36</f>
        <v>0</v>
      </c>
      <c r="J168" s="618">
        <f>+'OT18-033 SUBA'!G38</f>
        <v>32032</v>
      </c>
      <c r="K168" s="618">
        <f>+'OT18-033 SUBA'!G39</f>
        <v>2167519</v>
      </c>
      <c r="L168" s="618">
        <f>+'OT18-033 SUBA'!G40</f>
        <v>411828.61</v>
      </c>
      <c r="M168" s="618">
        <f>+'OT18-033 SUBA'!G41</f>
        <v>2579347.61</v>
      </c>
      <c r="N168" s="984">
        <f>+'OT18-033 SUBA'!J35</f>
        <v>0</v>
      </c>
      <c r="O168" s="989">
        <f>+'OT18-033 SUBA'!K39</f>
        <v>0</v>
      </c>
      <c r="P168" s="984">
        <f>+'OT18-033 SUBA'!J36</f>
        <v>0</v>
      </c>
      <c r="Q168" s="984">
        <f>+'OT18-033 SUBA'!J38</f>
        <v>0</v>
      </c>
      <c r="R168" s="984">
        <f>+'OT18-033 SUBA'!J39</f>
        <v>0</v>
      </c>
      <c r="S168" s="984">
        <f>+'OT18-033 SUBA'!J40</f>
        <v>0</v>
      </c>
      <c r="T168" s="984">
        <f>+'OT18-033 SUBA'!J41</f>
        <v>0</v>
      </c>
      <c r="U168" s="750" t="str">
        <f>+'OT18-033 SUBA'!A8</f>
        <v>Acta N° 1: Marzo</v>
      </c>
      <c r="V168" s="234"/>
      <c r="W168" s="925"/>
      <c r="X168" s="925"/>
      <c r="Y168" s="925"/>
      <c r="Z168" s="925"/>
      <c r="AA168" s="925"/>
      <c r="AB168" s="926"/>
      <c r="AC168" s="927"/>
      <c r="AD168" s="927"/>
      <c r="AE168" s="927"/>
      <c r="AF168" s="927"/>
      <c r="AG168" s="925"/>
      <c r="AH168" s="927"/>
      <c r="AJ168" s="925"/>
    </row>
    <row r="169" spans="1:36" s="924" customFormat="1" ht="57" customHeight="1" x14ac:dyDescent="0.3">
      <c r="A169" s="1064">
        <v>162</v>
      </c>
      <c r="B169" s="235" t="str">
        <f>+'OT18-034 EL SOL'!J38</f>
        <v>D00249503</v>
      </c>
      <c r="C169" s="235" t="str">
        <f>+'OT18-034 EL SOL'!J39</f>
        <v>D00249503000</v>
      </c>
      <c r="D169" s="750" t="s">
        <v>1225</v>
      </c>
      <c r="E169" s="750" t="s">
        <v>2809</v>
      </c>
      <c r="F169" s="234">
        <f>+'OT18-034 EL SOL'!J37</f>
        <v>0</v>
      </c>
      <c r="G169" s="234" t="str">
        <f>+'OT18-034 EL SOL'!A7</f>
        <v>Proyecto: CDIM_CBSGSM_R0146 - NORMALIZACIÓN Y REPOSICIÓN EL SOL</v>
      </c>
      <c r="H169" s="618">
        <f>+'OT18-034 EL SOL'!G26</f>
        <v>10285829</v>
      </c>
      <c r="I169" s="618">
        <f>+'OT18-034 EL SOL'!G27</f>
        <v>0</v>
      </c>
      <c r="J169" s="618">
        <f>+'OT18-034 EL SOL'!G29</f>
        <v>154287</v>
      </c>
      <c r="K169" s="618">
        <f>+'OT18-034 EL SOL'!G30</f>
        <v>10440116</v>
      </c>
      <c r="L169" s="618">
        <f>+'OT18-034 EL SOL'!G31</f>
        <v>1983622.04</v>
      </c>
      <c r="M169" s="618">
        <f>+'OT18-034 EL SOL'!G32</f>
        <v>12423738.039999999</v>
      </c>
      <c r="N169" s="984">
        <f>+'OT18-034 EL SOL'!J26</f>
        <v>0</v>
      </c>
      <c r="O169" s="989">
        <f>+'OT18-034 EL SOL'!K30</f>
        <v>0</v>
      </c>
      <c r="P169" s="984">
        <f>+'OT18-034 EL SOL'!J27</f>
        <v>0</v>
      </c>
      <c r="Q169" s="984">
        <f>+'OT18-034 EL SOL'!J29</f>
        <v>0</v>
      </c>
      <c r="R169" s="984">
        <f>+'OT18-034 EL SOL'!J30</f>
        <v>0</v>
      </c>
      <c r="S169" s="984">
        <f>+'OT18-034 EL SOL'!J31</f>
        <v>0</v>
      </c>
      <c r="T169" s="984">
        <f>+'OT18-034 EL SOL'!J32</f>
        <v>0</v>
      </c>
      <c r="U169" s="750" t="str">
        <f>+'OT18-034 EL SOL'!A8</f>
        <v>Acta N° 1: Marzo</v>
      </c>
      <c r="V169" s="234"/>
      <c r="W169" s="925"/>
      <c r="X169" s="925"/>
      <c r="Y169" s="925"/>
      <c r="Z169" s="925"/>
      <c r="AA169" s="925"/>
      <c r="AB169" s="926"/>
      <c r="AC169" s="927"/>
      <c r="AD169" s="927"/>
      <c r="AE169" s="927"/>
      <c r="AF169" s="927"/>
      <c r="AG169" s="925"/>
      <c r="AH169" s="927"/>
      <c r="AJ169" s="925"/>
    </row>
    <row r="170" spans="1:36" s="924" customFormat="1" ht="57" customHeight="1" x14ac:dyDescent="0.3">
      <c r="A170" s="1064">
        <v>163</v>
      </c>
      <c r="B170" s="235" t="str">
        <f>+'OT18-035 ZIPAQUIRA'!J57</f>
        <v>D00249389</v>
      </c>
      <c r="C170" s="235" t="str">
        <f>+'OT18-035 ZIPAQUIRA'!J58</f>
        <v>D00249389000</v>
      </c>
      <c r="D170" s="750" t="s">
        <v>2810</v>
      </c>
      <c r="E170" s="750" t="s">
        <v>2811</v>
      </c>
      <c r="F170" s="234">
        <f>+'OT18-035 ZIPAQUIRA'!J56</f>
        <v>0</v>
      </c>
      <c r="G170" s="234" t="str">
        <f>+'OT18-035 ZIPAQUIRA'!A7</f>
        <v>Proyecto: CDIM_CAOLIG_R0078 - RES. CREG 038-14 CÓDIGO DE MEDIDA.</v>
      </c>
      <c r="H170" s="618">
        <f>+'OT18-035 ZIPAQUIRA'!G45</f>
        <v>10460482</v>
      </c>
      <c r="I170" s="618">
        <f>+'OT18-035 ZIPAQUIRA'!G46</f>
        <v>0</v>
      </c>
      <c r="J170" s="618">
        <f>+'OT18-035 ZIPAQUIRA'!G48</f>
        <v>156907</v>
      </c>
      <c r="K170" s="618">
        <f>+'OT18-035 ZIPAQUIRA'!G49</f>
        <v>10617389</v>
      </c>
      <c r="L170" s="618">
        <f>+'OT18-035 ZIPAQUIRA'!G50</f>
        <v>2017303.91</v>
      </c>
      <c r="M170" s="618">
        <f>+'OT18-035 ZIPAQUIRA'!G51</f>
        <v>12634692.91</v>
      </c>
      <c r="N170" s="984">
        <f>+'OT18-035 ZIPAQUIRA'!J45</f>
        <v>0</v>
      </c>
      <c r="O170" s="989">
        <f>+'OT18-035 ZIPAQUIRA'!K49</f>
        <v>0</v>
      </c>
      <c r="P170" s="984">
        <f>+'OT18-035 ZIPAQUIRA'!J46</f>
        <v>0</v>
      </c>
      <c r="Q170" s="984">
        <f>+'OT18-035 ZIPAQUIRA'!J48</f>
        <v>0</v>
      </c>
      <c r="R170" s="984">
        <f>+'OT18-035 ZIPAQUIRA'!J49</f>
        <v>0</v>
      </c>
      <c r="S170" s="984">
        <f>+'OT18-035 ZIPAQUIRA'!J50</f>
        <v>0</v>
      </c>
      <c r="T170" s="984">
        <f>+'OT18-035 ZIPAQUIRA'!J51</f>
        <v>0</v>
      </c>
      <c r="U170" s="750" t="str">
        <f>+'OT18-035 ZIPAQUIRA'!A8</f>
        <v>Acta N° 1: Marzo</v>
      </c>
      <c r="V170" s="234"/>
      <c r="W170" s="925"/>
      <c r="X170" s="925"/>
      <c r="Y170" s="925"/>
      <c r="Z170" s="925"/>
      <c r="AA170" s="925"/>
      <c r="AB170" s="926"/>
      <c r="AC170" s="927"/>
      <c r="AD170" s="927"/>
      <c r="AE170" s="927"/>
      <c r="AF170" s="927"/>
      <c r="AG170" s="925"/>
      <c r="AH170" s="927"/>
      <c r="AJ170" s="925"/>
    </row>
    <row r="171" spans="1:36" s="924" customFormat="1" ht="57" customHeight="1" x14ac:dyDescent="0.3">
      <c r="A171" s="1064">
        <v>164</v>
      </c>
      <c r="B171" s="235">
        <f>+'OT18-036 NOROESTE'!J28</f>
        <v>0</v>
      </c>
      <c r="C171" s="235">
        <f>+'OT18-036 NOROESTE'!J29</f>
        <v>0</v>
      </c>
      <c r="D171" s="750" t="s">
        <v>1450</v>
      </c>
      <c r="E171" s="750" t="s">
        <v>2812</v>
      </c>
      <c r="F171" s="234">
        <f>+'OT18-036 NOROESTE'!J27</f>
        <v>0</v>
      </c>
      <c r="G171" s="234" t="str">
        <f>+'OT18-036 NOROESTE'!A7</f>
        <v>Proyecto: Ingeniería para construcción de casa de control para la subestación Noroeste 230/115/34.5/11.4kV.</v>
      </c>
      <c r="H171" s="618">
        <f>+'OT18-036 NOROESTE'!G16</f>
        <v>7239788</v>
      </c>
      <c r="I171" s="618">
        <f>+'OT18-036 NOROESTE'!G17</f>
        <v>0</v>
      </c>
      <c r="J171" s="618">
        <f>+'OT18-036 NOROESTE'!G19</f>
        <v>108597</v>
      </c>
      <c r="K171" s="618">
        <f>+'OT18-036 NOROESTE'!G20</f>
        <v>7348385</v>
      </c>
      <c r="L171" s="618">
        <f>+'OT18-036 NOROESTE'!G21</f>
        <v>1396193.15</v>
      </c>
      <c r="M171" s="618">
        <f>+'OT18-036 NOROESTE'!G22</f>
        <v>8744578.1500000004</v>
      </c>
      <c r="N171" s="984">
        <f>+'OT18-036 NOROESTE'!J16</f>
        <v>0</v>
      </c>
      <c r="O171" s="989">
        <f>+'OT18-036 NOROESTE'!K20</f>
        <v>0</v>
      </c>
      <c r="P171" s="984">
        <f>+'OT18-036 NOROESTE'!J17</f>
        <v>0</v>
      </c>
      <c r="Q171" s="984">
        <f>+'OT18-036 NOROESTE'!J19</f>
        <v>0</v>
      </c>
      <c r="R171" s="984">
        <f>+'OT18-036 NOROESTE'!J20</f>
        <v>0</v>
      </c>
      <c r="S171" s="984">
        <f>+'OT18-036 NOROESTE'!J21</f>
        <v>0</v>
      </c>
      <c r="T171" s="984">
        <f>+'OT18-036 NOROESTE'!J22</f>
        <v>0</v>
      </c>
      <c r="U171" s="750" t="str">
        <f>+'OT18-036 NOROESTE'!A8</f>
        <v>Acta N° 1: Marzo</v>
      </c>
      <c r="V171" s="234"/>
      <c r="W171" s="925"/>
      <c r="X171" s="925"/>
      <c r="Y171" s="925"/>
      <c r="Z171" s="925"/>
      <c r="AA171" s="925"/>
      <c r="AB171" s="926"/>
      <c r="AC171" s="927"/>
      <c r="AD171" s="927"/>
      <c r="AE171" s="927"/>
      <c r="AF171" s="927"/>
      <c r="AG171" s="925"/>
      <c r="AH171" s="927"/>
      <c r="AJ171" s="925"/>
    </row>
    <row r="172" spans="1:36" s="924" customFormat="1" ht="57" customHeight="1" x14ac:dyDescent="0.3">
      <c r="A172" s="1064">
        <v>165</v>
      </c>
      <c r="B172" s="235" t="str">
        <f>'OT17-438 CÓDIGO ZONA SUR'!L29</f>
        <v>D00249388</v>
      </c>
      <c r="C172" s="235" t="str">
        <f>'OT17-438 CÓDIGO ZONA SUR'!L30</f>
        <v>D00249388000</v>
      </c>
      <c r="D172" s="750" t="s">
        <v>1971</v>
      </c>
      <c r="E172" s="750" t="s">
        <v>1974</v>
      </c>
      <c r="F172" s="234">
        <v>0</v>
      </c>
      <c r="G172" s="234" t="str">
        <f>'OT17-438 CÓDIGO ZONA SUR'!A7</f>
        <v>Proyecto:CDIM_CAOLIG_R0078 - RES. CREG 038-14 CÓDIGO DE MEDIDA</v>
      </c>
      <c r="H172" s="618">
        <f>'OT17-438 CÓDIGO ZONA SUR'!H16</f>
        <v>4457216</v>
      </c>
      <c r="I172" s="618">
        <f>'OT17-438 CÓDIGO ZONA SUR'!H17</f>
        <v>0</v>
      </c>
      <c r="J172" s="618"/>
      <c r="K172" s="618">
        <f>'OT17-438 CÓDIGO ZONA SUR'!H18</f>
        <v>4457216</v>
      </c>
      <c r="L172" s="618">
        <f>'OT17-438 CÓDIGO ZONA SUR'!H21</f>
        <v>846871.04000000004</v>
      </c>
      <c r="M172" s="618">
        <f>'OT17-438 CÓDIGO ZONA SUR'!H22</f>
        <v>5304087.04</v>
      </c>
      <c r="N172" s="988">
        <f>'OT17-438 CÓDIGO ZONA SUR'!O16</f>
        <v>1463920</v>
      </c>
      <c r="O172" s="923">
        <f>'OT17-438 CÓDIGO ZONA SUR'!P20</f>
        <v>0.33336481785939925</v>
      </c>
      <c r="P172" s="984">
        <f>'OT17-438 CÓDIGO ZONA SUR'!O17</f>
        <v>0</v>
      </c>
      <c r="Q172" s="984">
        <f>'OT17-438 CÓDIGO ZONA SUR'!O19</f>
        <v>21959</v>
      </c>
      <c r="R172" s="988">
        <f>'OT17-438 CÓDIGO ZONA SUR'!O20</f>
        <v>1485879</v>
      </c>
      <c r="S172" s="984">
        <f>'OT17-438 CÓDIGO ZONA SUR'!O21</f>
        <v>282317.01</v>
      </c>
      <c r="T172" s="984">
        <f>'OT17-438 CÓDIGO ZONA SUR'!O22</f>
        <v>1768196.01</v>
      </c>
      <c r="U172" s="750" t="str">
        <f>'OT17-438 CÓDIGO ZONA SUR'!A8</f>
        <v xml:space="preserve">Acta N° 3: Marzo </v>
      </c>
      <c r="V172" s="234" t="s">
        <v>1270</v>
      </c>
      <c r="W172" s="925"/>
      <c r="X172" s="925"/>
      <c r="Y172" s="925"/>
      <c r="Z172" s="925"/>
      <c r="AA172" s="925"/>
      <c r="AB172" s="926"/>
      <c r="AC172" s="927"/>
      <c r="AD172" s="927"/>
      <c r="AE172" s="927"/>
      <c r="AF172" s="927"/>
      <c r="AG172" s="925"/>
      <c r="AH172" s="927"/>
      <c r="AJ172" s="925"/>
    </row>
    <row r="173" spans="1:36" s="924" customFormat="1" ht="57" customHeight="1" x14ac:dyDescent="0.3">
      <c r="A173" s="1064">
        <v>166</v>
      </c>
      <c r="B173" s="235">
        <f>+'OT18-037 COMPARTIR'!J30</f>
        <v>0</v>
      </c>
      <c r="C173" s="235">
        <f>+'OT18-037 COMPARTIR'!J31</f>
        <v>0</v>
      </c>
      <c r="D173" s="750" t="s">
        <v>2813</v>
      </c>
      <c r="E173" s="750" t="s">
        <v>2814</v>
      </c>
      <c r="F173" s="234">
        <f>+'OT18-037 COMPARTIR'!J29</f>
        <v>0</v>
      </c>
      <c r="G173" s="234" t="str">
        <f>+'OT18-037 COMPARTIR'!A7</f>
        <v xml:space="preserve">Proyecto: </v>
      </c>
      <c r="H173" s="618">
        <f>+'OT18-037 COMPARTIR'!G18</f>
        <v>2269076</v>
      </c>
      <c r="I173" s="618">
        <f>+'OT18-037 COMPARTIR'!G19</f>
        <v>0</v>
      </c>
      <c r="J173" s="618">
        <f>+'OT18-037 COMPARTIR'!G21</f>
        <v>34036</v>
      </c>
      <c r="K173" s="618">
        <f>+'OT18-037 COMPARTIR'!G22</f>
        <v>2303112</v>
      </c>
      <c r="L173" s="618">
        <f>+'OT18-037 COMPARTIR'!G23</f>
        <v>437591.28</v>
      </c>
      <c r="M173" s="618">
        <f>+'OT18-037 COMPARTIR'!G24</f>
        <v>2740703.2800000003</v>
      </c>
      <c r="N173" s="988">
        <f>+'OT18-037 COMPARTIR'!J18</f>
        <v>0</v>
      </c>
      <c r="O173" s="923">
        <f>+'OT18-037 COMPARTIR'!K22</f>
        <v>0</v>
      </c>
      <c r="P173" s="984">
        <f>+'OT18-037 COMPARTIR'!J19</f>
        <v>0</v>
      </c>
      <c r="Q173" s="984">
        <f>+'OT18-037 COMPARTIR'!J21</f>
        <v>0</v>
      </c>
      <c r="R173" s="988">
        <f>+'OT18-037 COMPARTIR'!J22</f>
        <v>0</v>
      </c>
      <c r="S173" s="984">
        <f>+'OT18-037 COMPARTIR'!J23</f>
        <v>0</v>
      </c>
      <c r="T173" s="984">
        <f>+'OT18-037 COMPARTIR'!J24</f>
        <v>0</v>
      </c>
      <c r="U173" s="750" t="str">
        <f>+'OT18-037 COMPARTIR'!A8</f>
        <v>Acta N° 1: Marzo</v>
      </c>
      <c r="V173" s="234"/>
      <c r="W173" s="925"/>
      <c r="X173" s="925"/>
      <c r="Y173" s="925"/>
      <c r="Z173" s="925"/>
      <c r="AA173" s="925"/>
      <c r="AB173" s="926"/>
      <c r="AC173" s="927"/>
      <c r="AD173" s="927"/>
      <c r="AE173" s="927"/>
      <c r="AF173" s="927"/>
      <c r="AG173" s="925"/>
      <c r="AH173" s="927"/>
      <c r="AJ173" s="925"/>
    </row>
    <row r="174" spans="1:36" s="924" customFormat="1" ht="57" customHeight="1" x14ac:dyDescent="0.3">
      <c r="A174" s="1064">
        <v>167</v>
      </c>
      <c r="B174" s="235" t="str">
        <f>+'OT18-038 CAQUEZA'!J41</f>
        <v>D00235037</v>
      </c>
      <c r="C174" s="235" t="str">
        <f>+'OT18-038 CAQUEZA'!J42</f>
        <v>D00235037000</v>
      </c>
      <c r="D174" s="750" t="s">
        <v>2815</v>
      </c>
      <c r="E174" s="750" t="s">
        <v>2816</v>
      </c>
      <c r="F174" s="234">
        <f>+'OT18-038 CAQUEZA'!J40</f>
        <v>0</v>
      </c>
      <c r="G174" s="234" t="str">
        <f>+'OT18-038 CAQUEZA'!A7</f>
        <v>Proyecto:  PLANOS AS-BUILT SSEE CAQUEZA</v>
      </c>
      <c r="H174" s="618">
        <f>+'OT18-038 CAQUEZA'!G29</f>
        <v>3275508</v>
      </c>
      <c r="I174" s="618">
        <f>+'OT18-038 CAQUEZA'!G30</f>
        <v>0</v>
      </c>
      <c r="J174" s="618">
        <f>+'OT18-038 CAQUEZA'!G32</f>
        <v>49133</v>
      </c>
      <c r="K174" s="618">
        <f>+'OT18-038 CAQUEZA'!G33</f>
        <v>3324641</v>
      </c>
      <c r="L174" s="618">
        <f>+'OT18-038 CAQUEZA'!G34</f>
        <v>631681.79</v>
      </c>
      <c r="M174" s="618">
        <f>+'OT18-038 CAQUEZA'!G35</f>
        <v>3956322.79</v>
      </c>
      <c r="N174" s="988">
        <f>+'OT18-038 CAQUEZA'!J29</f>
        <v>0</v>
      </c>
      <c r="O174" s="923">
        <f>+'OT18-038 CAQUEZA'!K33</f>
        <v>0</v>
      </c>
      <c r="P174" s="984">
        <f>+'OT18-038 CAQUEZA'!J30</f>
        <v>0</v>
      </c>
      <c r="Q174" s="984">
        <f>+'OT18-038 CAQUEZA'!J32</f>
        <v>0</v>
      </c>
      <c r="R174" s="988">
        <f>+'OT18-038 CAQUEZA'!J33</f>
        <v>0</v>
      </c>
      <c r="S174" s="984">
        <f>+'OT18-038 CAQUEZA'!J34</f>
        <v>0</v>
      </c>
      <c r="T174" s="984">
        <f>+'OT18-038 CAQUEZA'!J35</f>
        <v>0</v>
      </c>
      <c r="U174" s="750" t="str">
        <f>+'OT18-038 CAQUEZA'!A8</f>
        <v>Acta N° 1: Marzo</v>
      </c>
      <c r="V174" s="234"/>
      <c r="W174" s="925"/>
      <c r="X174" s="925"/>
      <c r="Y174" s="925"/>
      <c r="Z174" s="925"/>
      <c r="AA174" s="925"/>
      <c r="AB174" s="926"/>
      <c r="AC174" s="927"/>
      <c r="AD174" s="927"/>
      <c r="AE174" s="927"/>
      <c r="AF174" s="927"/>
      <c r="AG174" s="925"/>
      <c r="AH174" s="927"/>
      <c r="AJ174" s="925"/>
    </row>
    <row r="175" spans="1:36" s="924" customFormat="1" ht="57" customHeight="1" x14ac:dyDescent="0.3">
      <c r="A175" s="1064">
        <v>168</v>
      </c>
      <c r="B175" s="235" t="str">
        <f>+'OT18-039 TECHO'!J38</f>
        <v>D00249256</v>
      </c>
      <c r="C175" s="235" t="str">
        <f>+'OT18-039 TECHO'!J39</f>
        <v>D00249256000</v>
      </c>
      <c r="D175" s="750" t="s">
        <v>1276</v>
      </c>
      <c r="E175" s="750" t="s">
        <v>2817</v>
      </c>
      <c r="F175" s="234">
        <f>+'OT18-039 TECHO'!J37</f>
        <v>0</v>
      </c>
      <c r="G175" s="234" t="str">
        <f>+'OT18-039 TECHO'!A7</f>
        <v>Proyecto:  CDIE_CBCCSM_R0181-REPOSICION DE PROTECCIONES</v>
      </c>
      <c r="H175" s="618">
        <f>+'OT18-039 TECHO'!G26</f>
        <v>26789633</v>
      </c>
      <c r="I175" s="618">
        <f>+'OT18-039 TECHO'!G27</f>
        <v>0</v>
      </c>
      <c r="J175" s="618">
        <f>+'OT18-039 TECHO'!G29</f>
        <v>401844</v>
      </c>
      <c r="K175" s="618">
        <f>+'OT18-039 TECHO'!G30</f>
        <v>27191477</v>
      </c>
      <c r="L175" s="618">
        <f>+'OT18-039 TECHO'!G31</f>
        <v>5166380.63</v>
      </c>
      <c r="M175" s="618">
        <f>+'OT18-039 TECHO'!G32</f>
        <v>32357857.629999999</v>
      </c>
      <c r="N175" s="988">
        <f>+'OT18-039 TECHO'!J26</f>
        <v>0</v>
      </c>
      <c r="O175" s="923">
        <f>+'OT18-039 TECHO'!K30</f>
        <v>0</v>
      </c>
      <c r="P175" s="984">
        <f>+'OT18-039 TECHO'!J27</f>
        <v>0</v>
      </c>
      <c r="Q175" s="984">
        <f>+'OT18-039 TECHO'!J29</f>
        <v>0</v>
      </c>
      <c r="R175" s="988">
        <f>+'OT18-039 TECHO'!J30</f>
        <v>0</v>
      </c>
      <c r="S175" s="984">
        <f>+'OT18-039 TECHO'!J31</f>
        <v>0</v>
      </c>
      <c r="T175" s="984">
        <f>+'OT18-039 TECHO'!J32</f>
        <v>0</v>
      </c>
      <c r="U175" s="750" t="str">
        <f>+'OT18-039 TECHO'!A8</f>
        <v>Acta N° 1: Marzo</v>
      </c>
      <c r="V175" s="234"/>
      <c r="W175" s="925"/>
      <c r="X175" s="925"/>
      <c r="Y175" s="925"/>
      <c r="Z175" s="925"/>
      <c r="AA175" s="925"/>
      <c r="AB175" s="926"/>
      <c r="AC175" s="927"/>
      <c r="AD175" s="927"/>
      <c r="AE175" s="927"/>
      <c r="AF175" s="927"/>
      <c r="AG175" s="925"/>
      <c r="AH175" s="927"/>
      <c r="AJ175" s="925"/>
    </row>
    <row r="176" spans="1:36" s="924" customFormat="1" ht="57" customHeight="1" x14ac:dyDescent="0.3">
      <c r="A176" s="1064">
        <v>169</v>
      </c>
      <c r="B176" s="235" t="str">
        <f>+'OT18-040 AUTOPISTA'!J35</f>
        <v>D00249255</v>
      </c>
      <c r="C176" s="235" t="str">
        <f>+'OT18-040 AUTOPISTA'!J36</f>
        <v>D00249255000</v>
      </c>
      <c r="D176" s="750" t="s">
        <v>1671</v>
      </c>
      <c r="E176" s="750" t="s">
        <v>2818</v>
      </c>
      <c r="F176" s="234">
        <f>+'OT18-040 AUTOPISTA'!J34</f>
        <v>0</v>
      </c>
      <c r="G176" s="234" t="str">
        <f>+'OT18-040 AUTOPISTA'!A7</f>
        <v>Proyecto:  CDIE_CBCCSM_R0181-REPOSICION DE PROTECCIONES</v>
      </c>
      <c r="H176" s="618">
        <f>+'OT18-040 AUTOPISTA'!G23</f>
        <v>11967501</v>
      </c>
      <c r="I176" s="618">
        <f>+'OT18-040 AUTOPISTA'!G24</f>
        <v>0</v>
      </c>
      <c r="J176" s="618">
        <f>+'OT18-040 AUTOPISTA'!G26</f>
        <v>179513</v>
      </c>
      <c r="K176" s="618">
        <f>+'OT18-040 AUTOPISTA'!G27</f>
        <v>12147014</v>
      </c>
      <c r="L176" s="618">
        <f>+'OT18-040 AUTOPISTA'!G28</f>
        <v>2307932.66</v>
      </c>
      <c r="M176" s="618">
        <f>+'OT18-040 AUTOPISTA'!G29</f>
        <v>14454946.66</v>
      </c>
      <c r="N176" s="988">
        <f>+'OT18-040 AUTOPISTA'!J23</f>
        <v>0</v>
      </c>
      <c r="O176" s="923">
        <f>+'OT18-040 AUTOPISTA'!K27</f>
        <v>0</v>
      </c>
      <c r="P176" s="984">
        <f>+'OT18-040 AUTOPISTA'!J24</f>
        <v>0</v>
      </c>
      <c r="Q176" s="984">
        <f>+'OT18-040 AUTOPISTA'!J26</f>
        <v>0</v>
      </c>
      <c r="R176" s="988">
        <f>+'OT18-040 AUTOPISTA'!J27</f>
        <v>0</v>
      </c>
      <c r="S176" s="984">
        <f>+'OT18-040 AUTOPISTA'!J28</f>
        <v>0</v>
      </c>
      <c r="T176" s="984">
        <f>+'OT18-040 AUTOPISTA'!J29</f>
        <v>0</v>
      </c>
      <c r="U176" s="750" t="str">
        <f>+'OT18-040 AUTOPISTA'!A8</f>
        <v>Acta N° 1: Marzo</v>
      </c>
      <c r="V176" s="234"/>
      <c r="W176" s="925"/>
      <c r="X176" s="925"/>
      <c r="Y176" s="925"/>
      <c r="Z176" s="925"/>
      <c r="AA176" s="925"/>
      <c r="AB176" s="926"/>
      <c r="AC176" s="927"/>
      <c r="AD176" s="927"/>
      <c r="AE176" s="927"/>
      <c r="AF176" s="927"/>
      <c r="AG176" s="925"/>
      <c r="AH176" s="927"/>
      <c r="AJ176" s="925"/>
    </row>
    <row r="177" spans="1:36" s="924" customFormat="1" ht="57" customHeight="1" x14ac:dyDescent="0.3">
      <c r="A177" s="1064">
        <v>170</v>
      </c>
      <c r="B177" s="235" t="str">
        <f>+'OT18-041 BOSANOVA'!J35</f>
        <v>D00249256</v>
      </c>
      <c r="C177" s="235" t="str">
        <f>+'OT18-041 BOSANOVA'!J36</f>
        <v>D00249256000</v>
      </c>
      <c r="D177" s="750" t="s">
        <v>2819</v>
      </c>
      <c r="E177" s="750" t="s">
        <v>2820</v>
      </c>
      <c r="F177" s="234">
        <f>+'OT18-041 BOSANOVA'!J34</f>
        <v>0</v>
      </c>
      <c r="G177" s="234" t="str">
        <f>+'OT18-041 BOSANOVA'!A7</f>
        <v>Proyecto:  CDIE_CBCCSM_R0181-REPOSICION DE PROTECCIONES</v>
      </c>
      <c r="H177" s="618">
        <f>+'OT18-041 BOSANOVA'!G23</f>
        <v>13418606</v>
      </c>
      <c r="I177" s="618">
        <f>+'OT18-041 BOSANOVA'!G24</f>
        <v>0</v>
      </c>
      <c r="J177" s="618">
        <f>+'OT18-041 BOSANOVA'!G26</f>
        <v>201279</v>
      </c>
      <c r="K177" s="618">
        <f>+'OT18-041 BOSANOVA'!G27</f>
        <v>13619885</v>
      </c>
      <c r="L177" s="618">
        <f>+'OT18-041 BOSANOVA'!G28</f>
        <v>2587778.15</v>
      </c>
      <c r="M177" s="618">
        <f>+'OT18-041 BOSANOVA'!G29</f>
        <v>16207663.15</v>
      </c>
      <c r="N177" s="988">
        <f>+'OT18-041 BOSANOVA'!J23</f>
        <v>0</v>
      </c>
      <c r="O177" s="923">
        <f>+'OT18-041 BOSANOVA'!K27</f>
        <v>0</v>
      </c>
      <c r="P177" s="984">
        <f>+'OT18-041 BOSANOVA'!J24</f>
        <v>0</v>
      </c>
      <c r="Q177" s="984">
        <f>+'OT18-041 BOSANOVA'!J26</f>
        <v>0</v>
      </c>
      <c r="R177" s="988">
        <f>+'OT18-041 BOSANOVA'!J27</f>
        <v>0</v>
      </c>
      <c r="S177" s="984">
        <f>+'OT18-041 BOSANOVA'!J28</f>
        <v>0</v>
      </c>
      <c r="T177" s="984">
        <f>+'OT18-041 BOSANOVA'!J29</f>
        <v>0</v>
      </c>
      <c r="U177" s="750" t="str">
        <f>+'OT18-041 BOSANOVA'!A8</f>
        <v>Acta N° 1: Marzo</v>
      </c>
      <c r="V177" s="234"/>
      <c r="W177" s="925"/>
      <c r="X177" s="925"/>
      <c r="Y177" s="925"/>
      <c r="Z177" s="925"/>
      <c r="AA177" s="925"/>
      <c r="AB177" s="926"/>
      <c r="AC177" s="927"/>
      <c r="AD177" s="927"/>
      <c r="AE177" s="927"/>
      <c r="AF177" s="927"/>
      <c r="AG177" s="925"/>
      <c r="AH177" s="927"/>
      <c r="AJ177" s="925"/>
    </row>
    <row r="178" spans="1:36" s="924" customFormat="1" ht="57" customHeight="1" x14ac:dyDescent="0.3">
      <c r="A178" s="1064">
        <v>171</v>
      </c>
      <c r="B178" s="235" t="str">
        <f>+'OT18-042 CASTELLANA'!J35</f>
        <v>D00249255</v>
      </c>
      <c r="C178" s="235" t="str">
        <f>+'OT18-042 CASTELLANA'!J36</f>
        <v>D00249255000</v>
      </c>
      <c r="D178" s="750" t="s">
        <v>1674</v>
      </c>
      <c r="E178" s="750" t="s">
        <v>2821</v>
      </c>
      <c r="F178" s="234">
        <f>+'OT18-042 CASTELLANA'!J34</f>
        <v>0</v>
      </c>
      <c r="G178" s="234" t="str">
        <f>+'OT18-042 CASTELLANA'!A7</f>
        <v xml:space="preserve">Proyecto: CDIE_CBCCSM_R0181-REPOSICION DE PROTECCIONES </v>
      </c>
      <c r="H178" s="618">
        <f>+'OT18-042 CASTELLANA'!G23</f>
        <v>11967501</v>
      </c>
      <c r="I178" s="618">
        <f>+'OT18-042 CASTELLANA'!G24</f>
        <v>0</v>
      </c>
      <c r="J178" s="618">
        <f>+'OT18-042 CASTELLANA'!G26</f>
        <v>179513</v>
      </c>
      <c r="K178" s="618">
        <f>+'OT18-042 CASTELLANA'!G27</f>
        <v>12147014</v>
      </c>
      <c r="L178" s="618">
        <f>+'OT18-042 CASTELLANA'!G28</f>
        <v>2307932.66</v>
      </c>
      <c r="M178" s="618">
        <f>+'OT18-042 CASTELLANA'!G29</f>
        <v>14454946.66</v>
      </c>
      <c r="N178" s="988">
        <f>+'OT18-042 CASTELLANA'!J23</f>
        <v>0</v>
      </c>
      <c r="O178" s="923">
        <f>+'OT18-042 CASTELLANA'!K27</f>
        <v>0</v>
      </c>
      <c r="P178" s="984">
        <f>+'OT18-042 CASTELLANA'!J24</f>
        <v>0</v>
      </c>
      <c r="Q178" s="984">
        <f>+'OT18-042 CASTELLANA'!J26</f>
        <v>0</v>
      </c>
      <c r="R178" s="988">
        <f>+'OT18-042 CASTELLANA'!J27</f>
        <v>0</v>
      </c>
      <c r="S178" s="984">
        <f>+'OT18-042 CASTELLANA'!J28</f>
        <v>0</v>
      </c>
      <c r="T178" s="984">
        <f>+'OT18-042 CASTELLANA'!J29</f>
        <v>0</v>
      </c>
      <c r="U178" s="750" t="str">
        <f>+'OT18-042 CASTELLANA'!A8</f>
        <v>Acta N° 1: Marzo</v>
      </c>
      <c r="V178" s="234"/>
      <c r="W178" s="925"/>
      <c r="X178" s="925"/>
      <c r="Y178" s="925"/>
      <c r="Z178" s="925"/>
      <c r="AA178" s="925"/>
      <c r="AB178" s="926"/>
      <c r="AC178" s="927"/>
      <c r="AD178" s="927"/>
      <c r="AE178" s="927"/>
      <c r="AF178" s="927"/>
      <c r="AG178" s="925"/>
      <c r="AH178" s="927"/>
      <c r="AJ178" s="925"/>
    </row>
    <row r="179" spans="1:36" s="924" customFormat="1" ht="57" customHeight="1" x14ac:dyDescent="0.3">
      <c r="A179" s="1064">
        <v>172</v>
      </c>
      <c r="B179" s="235" t="str">
        <f>+'OT18-043 BOLIVIA'!J35</f>
        <v>D00249255</v>
      </c>
      <c r="C179" s="235" t="str">
        <f>+'OT18-043 BOLIVIA'!J36</f>
        <v>D00249255000</v>
      </c>
      <c r="D179" s="750" t="s">
        <v>2740</v>
      </c>
      <c r="E179" s="750" t="s">
        <v>2822</v>
      </c>
      <c r="F179" s="234">
        <f>+'OT18-043 BOLIVIA'!J34</f>
        <v>0</v>
      </c>
      <c r="G179" s="234" t="str">
        <f>+'OT18-043 BOLIVIA'!A7</f>
        <v>Proyecto: CDIE_CBCCSM_R0181-REPOSICION DE PROTECCIONES</v>
      </c>
      <c r="H179" s="618">
        <f>+'OT18-043 BOLIVIA'!G23</f>
        <v>11967501</v>
      </c>
      <c r="I179" s="618">
        <f>+'OT18-043 BOLIVIA'!G24</f>
        <v>0</v>
      </c>
      <c r="J179" s="618">
        <f>+'OT18-043 BOLIVIA'!G26</f>
        <v>179513</v>
      </c>
      <c r="K179" s="618">
        <f>+'OT18-043 BOLIVIA'!G27</f>
        <v>12147014</v>
      </c>
      <c r="L179" s="618">
        <f>+'OT18-043 BOLIVIA'!G28</f>
        <v>2307932.66</v>
      </c>
      <c r="M179" s="618">
        <f>+'OT18-043 BOLIVIA'!G29</f>
        <v>14454946.66</v>
      </c>
      <c r="N179" s="988">
        <f>+'OT18-043 BOLIVIA'!J23</f>
        <v>0</v>
      </c>
      <c r="O179" s="923">
        <f>+'OT18-043 BOLIVIA'!K27</f>
        <v>0</v>
      </c>
      <c r="P179" s="984">
        <f>+'OT18-043 BOLIVIA'!J24</f>
        <v>0</v>
      </c>
      <c r="Q179" s="984">
        <f>+'OT18-043 BOLIVIA'!J26</f>
        <v>0</v>
      </c>
      <c r="R179" s="988">
        <f>+'OT18-043 BOLIVIA'!J27</f>
        <v>0</v>
      </c>
      <c r="S179" s="984">
        <f>+'OT18-043 BOLIVIA'!J28</f>
        <v>0</v>
      </c>
      <c r="T179" s="984">
        <f>+'OT18-043 BOLIVIA'!J29</f>
        <v>0</v>
      </c>
      <c r="U179" s="750" t="str">
        <f>+'OT18-043 BOLIVIA'!A8</f>
        <v>Acta N° 1: Marzo</v>
      </c>
      <c r="V179" s="234"/>
      <c r="W179" s="925"/>
      <c r="X179" s="925"/>
      <c r="Y179" s="925"/>
      <c r="Z179" s="925"/>
      <c r="AA179" s="925"/>
      <c r="AB179" s="926"/>
      <c r="AC179" s="927"/>
      <c r="AD179" s="927"/>
      <c r="AE179" s="927"/>
      <c r="AF179" s="927"/>
      <c r="AG179" s="925"/>
      <c r="AH179" s="927"/>
      <c r="AJ179" s="925"/>
    </row>
    <row r="180" spans="1:36" s="924" customFormat="1" ht="57" customHeight="1" x14ac:dyDescent="0.3">
      <c r="A180" s="1064">
        <v>173</v>
      </c>
      <c r="B180" s="235" t="str">
        <f>+'OT18-044 MORATO'!J35</f>
        <v>D00249255</v>
      </c>
      <c r="C180" s="235" t="str">
        <f>+'OT18-044 MORATO'!J36</f>
        <v>D00249255000</v>
      </c>
      <c r="D180" s="750" t="s">
        <v>2823</v>
      </c>
      <c r="E180" s="750" t="s">
        <v>2824</v>
      </c>
      <c r="F180" s="234">
        <f>+'OT18-044 MORATO'!J34</f>
        <v>0</v>
      </c>
      <c r="G180" s="234" t="str">
        <f>+'OT18-044 MORATO'!A7</f>
        <v xml:space="preserve">Proyecto: CDIE_CBCCSM_R0181-REPOSICION DE PROTECCIONES </v>
      </c>
      <c r="H180" s="618">
        <f>+'OT18-044 MORATO'!G23</f>
        <v>11967501</v>
      </c>
      <c r="I180" s="618">
        <f>+'OT18-044 MORATO'!G24</f>
        <v>0</v>
      </c>
      <c r="J180" s="618">
        <f>+'OT18-044 MORATO'!G26</f>
        <v>179513</v>
      </c>
      <c r="K180" s="618">
        <f>+'OT18-044 MORATO'!G27</f>
        <v>12147014</v>
      </c>
      <c r="L180" s="618">
        <f>+'OT18-044 MORATO'!G28</f>
        <v>2307932.66</v>
      </c>
      <c r="M180" s="618">
        <f>+'OT18-044 MORATO'!G29</f>
        <v>14454946.66</v>
      </c>
      <c r="N180" s="988">
        <f>+'OT18-044 MORATO'!J23</f>
        <v>0</v>
      </c>
      <c r="O180" s="923">
        <f>+'OT18-044 MORATO'!K27</f>
        <v>0</v>
      </c>
      <c r="P180" s="984">
        <f>+'OT18-044 MORATO'!J24</f>
        <v>0</v>
      </c>
      <c r="Q180" s="984">
        <f>+'OT18-044 MORATO'!J26</f>
        <v>0</v>
      </c>
      <c r="R180" s="988">
        <f>+'OT18-044 MORATO'!J27</f>
        <v>0</v>
      </c>
      <c r="S180" s="984">
        <f>+'OT18-044 MORATO'!J28</f>
        <v>0</v>
      </c>
      <c r="T180" s="984">
        <f>+'OT18-044 MORATO'!J29</f>
        <v>0</v>
      </c>
      <c r="U180" s="750" t="str">
        <f>+'OT18-044 MORATO'!A8</f>
        <v>Acta N° 1: Marzo</v>
      </c>
      <c r="V180" s="234"/>
      <c r="W180" s="925"/>
      <c r="X180" s="925"/>
      <c r="Y180" s="925"/>
      <c r="Z180" s="925"/>
      <c r="AA180" s="925"/>
      <c r="AB180" s="926"/>
      <c r="AC180" s="927"/>
      <c r="AD180" s="927"/>
      <c r="AE180" s="927"/>
      <c r="AF180" s="927"/>
      <c r="AG180" s="925"/>
      <c r="AH180" s="927"/>
      <c r="AJ180" s="925"/>
    </row>
    <row r="181" spans="1:36" s="924" customFormat="1" ht="57" customHeight="1" x14ac:dyDescent="0.3">
      <c r="A181" s="1064">
        <v>174</v>
      </c>
      <c r="B181" s="235" t="str">
        <f>+'OT18-045 VERAGUAS'!J44</f>
        <v>D00249556</v>
      </c>
      <c r="C181" s="235" t="str">
        <f>+'OT18-045 VERAGUAS'!J45</f>
        <v>D00249556000</v>
      </c>
      <c r="D181" s="750" t="s">
        <v>2825</v>
      </c>
      <c r="E181" s="750" t="s">
        <v>2826</v>
      </c>
      <c r="F181" s="234">
        <f>+'OT18-045 VERAGUAS'!J43</f>
        <v>0</v>
      </c>
      <c r="G181" s="234" t="str">
        <f>+'OT18-045 VERAGUAS'!A7</f>
        <v>Proyecto:CDIM_CBSGSM_R0206.</v>
      </c>
      <c r="H181" s="618">
        <f>+'OT18-045 VERAGUAS'!G32</f>
        <v>57872187</v>
      </c>
      <c r="I181" s="618">
        <f>+'OT18-045 VERAGUAS'!G33</f>
        <v>0</v>
      </c>
      <c r="J181" s="618">
        <f>+'OT18-045 VERAGUAS'!G35</f>
        <v>868083</v>
      </c>
      <c r="K181" s="618">
        <f>+'OT18-045 VERAGUAS'!G36</f>
        <v>58740270</v>
      </c>
      <c r="L181" s="618">
        <f>+'OT18-045 VERAGUAS'!G37</f>
        <v>11160651.300000001</v>
      </c>
      <c r="M181" s="618">
        <f>+'OT18-045 VERAGUAS'!G38</f>
        <v>69900921.299999997</v>
      </c>
      <c r="N181" s="988">
        <f>+'OT18-045 VERAGUAS'!J32</f>
        <v>0</v>
      </c>
      <c r="O181" s="923">
        <f>+'OT18-045 VERAGUAS'!K36</f>
        <v>0</v>
      </c>
      <c r="P181" s="984">
        <f>+'OT18-045 VERAGUAS'!J33</f>
        <v>0</v>
      </c>
      <c r="Q181" s="984">
        <f>+'OT18-045 VERAGUAS'!J35</f>
        <v>0</v>
      </c>
      <c r="R181" s="988">
        <f>+'OT18-045 VERAGUAS'!J36</f>
        <v>0</v>
      </c>
      <c r="S181" s="984">
        <f>+'OT18-045 VERAGUAS'!J37</f>
        <v>0</v>
      </c>
      <c r="T181" s="984">
        <f>+'OT18-045 VERAGUAS'!J38</f>
        <v>0</v>
      </c>
      <c r="U181" s="750" t="str">
        <f>+'OT18-045 VERAGUAS'!A8</f>
        <v>Acta N° 1: Marzo</v>
      </c>
      <c r="V181" s="234"/>
      <c r="W181" s="925"/>
      <c r="X181" s="925"/>
      <c r="Y181" s="925"/>
      <c r="Z181" s="925"/>
      <c r="AA181" s="925"/>
      <c r="AB181" s="926"/>
      <c r="AC181" s="927"/>
      <c r="AD181" s="927"/>
      <c r="AE181" s="927"/>
      <c r="AF181" s="927"/>
      <c r="AG181" s="925"/>
      <c r="AH181" s="927"/>
      <c r="AJ181" s="925"/>
    </row>
    <row r="182" spans="1:36" s="924" customFormat="1" ht="57" customHeight="1" x14ac:dyDescent="0.3">
      <c r="A182" s="1064">
        <v>175</v>
      </c>
      <c r="B182" s="235" t="str">
        <f>+'OT18-046 BOLIVIA'!J44</f>
        <v>D00249553</v>
      </c>
      <c r="C182" s="235" t="str">
        <f>+'OT18-046 BOLIVIA'!J45</f>
        <v>D00249553000</v>
      </c>
      <c r="D182" s="750" t="s">
        <v>2740</v>
      </c>
      <c r="E182" s="750" t="s">
        <v>2827</v>
      </c>
      <c r="F182" s="234">
        <f>+'OT18-046 BOLIVIA'!J43</f>
        <v>0</v>
      </c>
      <c r="G182" s="234" t="str">
        <f>+'OT18-046 BOLIVIA'!A7</f>
        <v>Proyecto:CDIM_CBSGSM_R0204</v>
      </c>
      <c r="H182" s="618">
        <f>+'OT18-046 BOLIVIA'!G32</f>
        <v>57872187</v>
      </c>
      <c r="I182" s="618">
        <f>+'OT18-046 BOLIVIA'!G33</f>
        <v>0</v>
      </c>
      <c r="J182" s="618">
        <f>+'OT18-046 BOLIVIA'!G35</f>
        <v>868083</v>
      </c>
      <c r="K182" s="618">
        <f>+'OT18-046 BOLIVIA'!G36</f>
        <v>58740270</v>
      </c>
      <c r="L182" s="618">
        <f>+'OT18-046 BOLIVIA'!G37</f>
        <v>11160651.300000001</v>
      </c>
      <c r="M182" s="618">
        <f>+'OT18-046 BOLIVIA'!G38</f>
        <v>69900921.299999997</v>
      </c>
      <c r="N182" s="988">
        <f>+'OT18-046 BOLIVIA'!J32</f>
        <v>0</v>
      </c>
      <c r="O182" s="923">
        <f>+'OT18-046 BOLIVIA'!K36</f>
        <v>0</v>
      </c>
      <c r="P182" s="984">
        <f>+'OT18-046 BOLIVIA'!J33</f>
        <v>0</v>
      </c>
      <c r="Q182" s="984">
        <f>+'OT18-046 BOLIVIA'!J35</f>
        <v>0</v>
      </c>
      <c r="R182" s="988">
        <f>+'OT18-046 BOLIVIA'!J36</f>
        <v>0</v>
      </c>
      <c r="S182" s="984">
        <f>+'OT18-046 BOLIVIA'!J37</f>
        <v>0</v>
      </c>
      <c r="T182" s="984">
        <f>+'OT18-046 BOLIVIA'!J38</f>
        <v>0</v>
      </c>
      <c r="U182" s="750" t="str">
        <f>+'OT18-046 BOLIVIA'!A8</f>
        <v>Acta N° 1: Marzo</v>
      </c>
      <c r="V182" s="234"/>
      <c r="W182" s="925"/>
      <c r="X182" s="925"/>
      <c r="Y182" s="925"/>
      <c r="Z182" s="925"/>
      <c r="AA182" s="925"/>
      <c r="AB182" s="926"/>
      <c r="AC182" s="927"/>
      <c r="AD182" s="927"/>
      <c r="AE182" s="927"/>
      <c r="AF182" s="927"/>
      <c r="AG182" s="925"/>
      <c r="AH182" s="927"/>
      <c r="AJ182" s="925"/>
    </row>
    <row r="183" spans="1:36" s="924" customFormat="1" ht="57" customHeight="1" x14ac:dyDescent="0.3">
      <c r="A183" s="1064">
        <v>176</v>
      </c>
      <c r="B183" s="235" t="str">
        <f>+'OT18-047 FONTIBÓN'!J28</f>
        <v>D00249394</v>
      </c>
      <c r="C183" s="235" t="str">
        <f>+'OT18-047 FONTIBÓN'!J29</f>
        <v>D00249394000</v>
      </c>
      <c r="D183" s="750" t="s">
        <v>1715</v>
      </c>
      <c r="E183" s="750" t="s">
        <v>2828</v>
      </c>
      <c r="F183" s="234">
        <f>+'OT18-047 FONTIBÓN'!J27</f>
        <v>0</v>
      </c>
      <c r="G183" s="234" t="str">
        <f>+'OT18-047 FONTIBÓN'!A7</f>
        <v>Proyecto:Adecuación sismoresistente Casa control SE Fontibón</v>
      </c>
      <c r="H183" s="618">
        <f>+'OT18-047 FONTIBÓN'!G16</f>
        <v>6075268</v>
      </c>
      <c r="I183" s="618">
        <f>+'OT18-047 FONTIBÓN'!G17</f>
        <v>0</v>
      </c>
      <c r="J183" s="618">
        <f>+'OT18-047 FONTIBÓN'!G19</f>
        <v>91129</v>
      </c>
      <c r="K183" s="618">
        <f>+'OT18-047 FONTIBÓN'!G20</f>
        <v>6166397</v>
      </c>
      <c r="L183" s="618">
        <f>+'OT18-047 FONTIBÓN'!G21</f>
        <v>1171615.43</v>
      </c>
      <c r="M183" s="618">
        <f>+'OT18-047 FONTIBÓN'!G22</f>
        <v>7338012.4299999997</v>
      </c>
      <c r="N183" s="988">
        <f>+'OT18-047 FONTIBÓN'!J16</f>
        <v>0</v>
      </c>
      <c r="O183" s="923">
        <f>+'OT18-047 FONTIBÓN'!K20</f>
        <v>0</v>
      </c>
      <c r="P183" s="984">
        <f>+'OT18-047 FONTIBÓN'!J17</f>
        <v>0</v>
      </c>
      <c r="Q183" s="984">
        <f>+'OT18-047 FONTIBÓN'!J19</f>
        <v>0</v>
      </c>
      <c r="R183" s="988">
        <f>+'OT18-047 FONTIBÓN'!J20</f>
        <v>0</v>
      </c>
      <c r="S183" s="984">
        <f>+'OT18-047 FONTIBÓN'!J21</f>
        <v>0</v>
      </c>
      <c r="T183" s="984">
        <f>+'OT18-047 FONTIBÓN'!J22</f>
        <v>0</v>
      </c>
      <c r="U183" s="750" t="str">
        <f>+'OT18-047 FONTIBÓN'!A8</f>
        <v>Acta N° 1: Marzo</v>
      </c>
      <c r="V183" s="234"/>
      <c r="W183" s="925"/>
      <c r="X183" s="925"/>
      <c r="Y183" s="925"/>
      <c r="Z183" s="925"/>
      <c r="AA183" s="925"/>
      <c r="AB183" s="926"/>
      <c r="AC183" s="927"/>
      <c r="AD183" s="927"/>
      <c r="AE183" s="927"/>
      <c r="AF183" s="927"/>
      <c r="AG183" s="925"/>
      <c r="AH183" s="927"/>
      <c r="AJ183" s="925"/>
    </row>
    <row r="184" spans="1:36" s="924" customFormat="1" ht="57" customHeight="1" x14ac:dyDescent="0.3">
      <c r="A184" s="1064">
        <v>177</v>
      </c>
      <c r="B184" s="235" t="str">
        <f>+'OT18-048 SALITRE'!J28</f>
        <v>D00249543</v>
      </c>
      <c r="C184" s="235" t="str">
        <f>+'OT18-048 SALITRE'!J29</f>
        <v>D00249543000</v>
      </c>
      <c r="D184" s="750" t="s">
        <v>1959</v>
      </c>
      <c r="E184" s="750" t="s">
        <v>2829</v>
      </c>
      <c r="F184" s="234">
        <f>+'OT18-048 SALITRE'!J27</f>
        <v>0</v>
      </c>
      <c r="G184" s="234" t="str">
        <f>+'OT18-048 SALITRE'!A7</f>
        <v>Proyecto:</v>
      </c>
      <c r="H184" s="618">
        <f>+'OT18-048 SALITRE'!G16</f>
        <v>2684819</v>
      </c>
      <c r="I184" s="618">
        <f>+'OT18-048 SALITRE'!G17</f>
        <v>0</v>
      </c>
      <c r="J184" s="618">
        <f>+'OT18-048 SALITRE'!G19</f>
        <v>40272</v>
      </c>
      <c r="K184" s="618">
        <f>+'OT18-048 SALITRE'!G20</f>
        <v>2725091</v>
      </c>
      <c r="L184" s="618">
        <f>+'OT18-048 SALITRE'!G21</f>
        <v>517767.29</v>
      </c>
      <c r="M184" s="618">
        <f>+'OT18-048 SALITRE'!G22</f>
        <v>3242858.29</v>
      </c>
      <c r="N184" s="988">
        <f>+'OT18-048 SALITRE'!J16</f>
        <v>0</v>
      </c>
      <c r="O184" s="923">
        <f>+'OT18-048 SALITRE'!K20</f>
        <v>0</v>
      </c>
      <c r="P184" s="984">
        <f>+'OT18-048 SALITRE'!J17</f>
        <v>0</v>
      </c>
      <c r="Q184" s="984">
        <f>+'OT18-048 SALITRE'!J19</f>
        <v>0</v>
      </c>
      <c r="R184" s="988">
        <f>+'OT18-048 SALITRE'!J20</f>
        <v>0</v>
      </c>
      <c r="S184" s="984">
        <f>+'OT18-048 SALITRE'!J21</f>
        <v>0</v>
      </c>
      <c r="T184" s="984">
        <f>+'OT18-048 SALITRE'!J22</f>
        <v>0</v>
      </c>
      <c r="U184" s="750" t="str">
        <f>+'OT18-048 SALITRE'!A8</f>
        <v>Acta N° 1: Marzo</v>
      </c>
      <c r="V184" s="234"/>
      <c r="W184" s="925"/>
      <c r="X184" s="925"/>
      <c r="Y184" s="925"/>
      <c r="Z184" s="925"/>
      <c r="AA184" s="925"/>
      <c r="AB184" s="926"/>
      <c r="AC184" s="927"/>
      <c r="AD184" s="927"/>
      <c r="AE184" s="927"/>
      <c r="AF184" s="927"/>
      <c r="AG184" s="925"/>
      <c r="AH184" s="927"/>
      <c r="AJ184" s="925"/>
    </row>
    <row r="185" spans="1:36" s="924" customFormat="1" ht="57" customHeight="1" x14ac:dyDescent="0.3">
      <c r="A185" s="1064">
        <v>178</v>
      </c>
      <c r="B185" s="235" t="str">
        <f>+'OT18-049 VARIAS'!J34</f>
        <v>D00249318</v>
      </c>
      <c r="C185" s="235" t="str">
        <f>+'OT18-049 VARIAS'!J35</f>
        <v>D00249318000</v>
      </c>
      <c r="D185" s="750" t="s">
        <v>2830</v>
      </c>
      <c r="E185" s="750" t="s">
        <v>2831</v>
      </c>
      <c r="F185" s="234">
        <f>+'OT18-049 VARIAS'!J33</f>
        <v>0</v>
      </c>
      <c r="G185" s="234" t="str">
        <f>+'OT18-049 VARIAS'!A7</f>
        <v>Proyecto: CDIE_CBCCSM_RCN25, PC2 - REDISEÑO IN-OUT SE MT-MT</v>
      </c>
      <c r="H185" s="618">
        <f>+'OT18-049 VARIAS'!G22</f>
        <v>3894012</v>
      </c>
      <c r="I185" s="618">
        <f>+'OT18-049 VARIAS'!G23</f>
        <v>0</v>
      </c>
      <c r="J185" s="618">
        <f>+'OT18-049 VARIAS'!G25</f>
        <v>58410</v>
      </c>
      <c r="K185" s="618">
        <f>+'OT18-049 VARIAS'!G26</f>
        <v>3952422</v>
      </c>
      <c r="L185" s="618">
        <f>+'OT18-049 VARIAS'!G27</f>
        <v>750960.18</v>
      </c>
      <c r="M185" s="618">
        <f>+'OT18-049 VARIAS'!G28</f>
        <v>4703382.18</v>
      </c>
      <c r="N185" s="988">
        <f>+'OT18-049 VARIAS'!J22</f>
        <v>0</v>
      </c>
      <c r="O185" s="923">
        <f>+'OT18-049 VARIAS'!K26</f>
        <v>0</v>
      </c>
      <c r="P185" s="984">
        <f>+'OT18-049 VARIAS'!J23</f>
        <v>0</v>
      </c>
      <c r="Q185" s="984">
        <f>+'OT18-049 VARIAS'!J25</f>
        <v>0</v>
      </c>
      <c r="R185" s="988">
        <f>+'OT18-049 VARIAS'!J26</f>
        <v>0</v>
      </c>
      <c r="S185" s="984">
        <f>+'OT18-049 VARIAS'!J27</f>
        <v>0</v>
      </c>
      <c r="T185" s="984">
        <f>+'OT18-049 VARIAS'!J28</f>
        <v>0</v>
      </c>
      <c r="U185" s="750" t="str">
        <f>+'OT18-049 VARIAS'!A8</f>
        <v>Acta N° 1: Marzo</v>
      </c>
      <c r="V185" s="234"/>
      <c r="W185" s="925"/>
      <c r="X185" s="925"/>
      <c r="Y185" s="925"/>
      <c r="Z185" s="925"/>
      <c r="AA185" s="925"/>
      <c r="AB185" s="926"/>
      <c r="AC185" s="927"/>
      <c r="AD185" s="927"/>
      <c r="AE185" s="927"/>
      <c r="AF185" s="927"/>
      <c r="AG185" s="925"/>
      <c r="AH185" s="927"/>
      <c r="AJ185" s="925"/>
    </row>
    <row r="186" spans="1:36" s="924" customFormat="1" ht="57" customHeight="1" x14ac:dyDescent="0.3">
      <c r="A186" s="1064">
        <v>179</v>
      </c>
      <c r="B186" s="235" t="str">
        <f>+'OT18-051 EL HOBAL'!J29</f>
        <v>D00249318</v>
      </c>
      <c r="C186" s="235" t="str">
        <f>+'OT18-051 EL HOBAL'!J30</f>
        <v>D00249318000</v>
      </c>
      <c r="D186" s="750" t="s">
        <v>2832</v>
      </c>
      <c r="E186" s="750" t="s">
        <v>2833</v>
      </c>
      <c r="F186" s="234">
        <f>+'OT18-051 EL HOBAL'!J28</f>
        <v>0</v>
      </c>
      <c r="G186" s="234" t="str">
        <f>+'OT18-051 EL HOBAL'!A7</f>
        <v>Proyecto: CDIE_CBCCSM_RCN25, PC2 - REDISEÑO IN-OUT SE MT-MT</v>
      </c>
      <c r="H186" s="618">
        <f>+'OT18-051 EL HOBAL'!G17</f>
        <v>13321621</v>
      </c>
      <c r="I186" s="618">
        <f>+'OT18-051 EL HOBAL'!G18</f>
        <v>0</v>
      </c>
      <c r="J186" s="618">
        <f>+'OT18-051 EL HOBAL'!G20</f>
        <v>199824</v>
      </c>
      <c r="K186" s="618">
        <f>+'OT18-051 EL HOBAL'!G21</f>
        <v>13521445</v>
      </c>
      <c r="L186" s="618">
        <f>+'OT18-051 EL HOBAL'!G22</f>
        <v>2569074.5499999998</v>
      </c>
      <c r="M186" s="618">
        <f>+'OT18-051 EL HOBAL'!G23</f>
        <v>16090519.550000001</v>
      </c>
      <c r="N186" s="988">
        <f>+'OT18-051 EL HOBAL'!J17</f>
        <v>0</v>
      </c>
      <c r="O186" s="923">
        <f>+'OT18-051 EL HOBAL'!K21</f>
        <v>0</v>
      </c>
      <c r="P186" s="984">
        <f>+'OT18-051 EL HOBAL'!J18</f>
        <v>0</v>
      </c>
      <c r="Q186" s="984">
        <f>+'OT18-051 EL HOBAL'!J20</f>
        <v>0</v>
      </c>
      <c r="R186" s="988">
        <f>+'OT18-051 EL HOBAL'!J21</f>
        <v>0</v>
      </c>
      <c r="S186" s="984">
        <f>+'OT18-051 EL HOBAL'!J22</f>
        <v>0</v>
      </c>
      <c r="T186" s="984">
        <f>+'OT18-051 EL HOBAL'!J23</f>
        <v>0</v>
      </c>
      <c r="U186" s="750" t="str">
        <f>+'OT18-051 EL HOBAL'!A8</f>
        <v>Acta N° 1: Marzo</v>
      </c>
      <c r="V186" s="234"/>
      <c r="W186" s="925"/>
      <c r="X186" s="925"/>
      <c r="Y186" s="925"/>
      <c r="Z186" s="925"/>
      <c r="AA186" s="925"/>
      <c r="AB186" s="926"/>
      <c r="AC186" s="927"/>
      <c r="AD186" s="927"/>
      <c r="AE186" s="927"/>
      <c r="AF186" s="927"/>
      <c r="AG186" s="925"/>
      <c r="AH186" s="927"/>
      <c r="AJ186" s="925"/>
    </row>
    <row r="187" spans="1:36" s="924" customFormat="1" ht="57" customHeight="1" x14ac:dyDescent="0.3">
      <c r="A187" s="1064">
        <v>180</v>
      </c>
      <c r="B187" s="235" t="str">
        <f>+'OT18-052 CABRERA'!J28</f>
        <v>D00249276</v>
      </c>
      <c r="C187" s="235">
        <f>+'OT18-052 CABRERA'!J29</f>
        <v>0</v>
      </c>
      <c r="D187" s="750" t="s">
        <v>2834</v>
      </c>
      <c r="E187" s="750" t="s">
        <v>2835</v>
      </c>
      <c r="F187" s="234">
        <f>+'OT18-052 CABRERA'!J27</f>
        <v>0</v>
      </c>
      <c r="G187" s="234" t="str">
        <f>+'OT18-052 CABRERA'!A7</f>
        <v>Proyecto: CDIE_CBCCSM_R0186. PC1 - SE MT-MT CABRERA 34.5-13.2 KV.</v>
      </c>
      <c r="H187" s="618">
        <f>+'OT18-052 CABRERA'!G16</f>
        <v>3965744</v>
      </c>
      <c r="I187" s="618">
        <f>+'OT18-052 CABRERA'!G17</f>
        <v>0</v>
      </c>
      <c r="J187" s="618">
        <f>+'OT18-052 CABRERA'!G19</f>
        <v>59486</v>
      </c>
      <c r="K187" s="618">
        <f>+'OT18-052 CABRERA'!G20</f>
        <v>4025230</v>
      </c>
      <c r="L187" s="618">
        <f>+'OT18-052 CABRERA'!G21</f>
        <v>764793.7</v>
      </c>
      <c r="M187" s="618">
        <f>+'OT18-052 CABRERA'!G22</f>
        <v>4790023.7</v>
      </c>
      <c r="N187" s="988">
        <f>+'OT18-052 CABRERA'!J16</f>
        <v>0</v>
      </c>
      <c r="O187" s="923">
        <f>+'OT18-052 CABRERA'!K20</f>
        <v>0</v>
      </c>
      <c r="P187" s="984">
        <f>+'OT18-052 CABRERA'!J17</f>
        <v>0</v>
      </c>
      <c r="Q187" s="984">
        <f>+'OT18-052 CABRERA'!J19</f>
        <v>0</v>
      </c>
      <c r="R187" s="988">
        <f>+'OT18-052 CABRERA'!J20</f>
        <v>0</v>
      </c>
      <c r="S187" s="984">
        <f>+'OT18-052 CABRERA'!J21</f>
        <v>0</v>
      </c>
      <c r="T187" s="984">
        <f>+'OT18-052 CABRERA'!J22</f>
        <v>0</v>
      </c>
      <c r="U187" s="750" t="str">
        <f>+'OT18-052 CABRERA'!A8</f>
        <v>Acta N° 1: Marzo</v>
      </c>
      <c r="V187" s="234"/>
      <c r="W187" s="925"/>
      <c r="X187" s="925"/>
      <c r="Y187" s="925"/>
      <c r="Z187" s="925"/>
      <c r="AA187" s="925"/>
      <c r="AB187" s="926"/>
      <c r="AC187" s="927"/>
      <c r="AD187" s="927"/>
      <c r="AE187" s="927"/>
      <c r="AF187" s="927"/>
      <c r="AG187" s="925"/>
      <c r="AH187" s="927"/>
      <c r="AJ187" s="925"/>
    </row>
    <row r="188" spans="1:36" s="924" customFormat="1" ht="57" customHeight="1" x14ac:dyDescent="0.3">
      <c r="A188" s="1064">
        <v>181</v>
      </c>
      <c r="B188" s="235" t="str">
        <f>+'OT18-053 SIBERIA'!J36</f>
        <v>D00235020</v>
      </c>
      <c r="C188" s="235" t="str">
        <f>+'OT18-053 SIBERIA'!J37</f>
        <v>D00235020000</v>
      </c>
      <c r="D188" s="750" t="s">
        <v>2785</v>
      </c>
      <c r="E188" s="750" t="s">
        <v>2836</v>
      </c>
      <c r="F188" s="234">
        <f>+'OT18-053 SIBERIA'!J35</f>
        <v>0</v>
      </c>
      <c r="G188" s="234" t="str">
        <f>+'OT18-053 SIBERIA'!A7</f>
        <v>Proyecto: CDIM_CADCRA_R0116</v>
      </c>
      <c r="H188" s="618">
        <f>+'OT18-053 SIBERIA'!G24</f>
        <v>1443786</v>
      </c>
      <c r="I188" s="618">
        <f>+'OT18-053 SIBERIA'!G25</f>
        <v>0</v>
      </c>
      <c r="J188" s="618">
        <f>+'OT18-053 SIBERIA'!G27</f>
        <v>21657</v>
      </c>
      <c r="K188" s="618">
        <f>+'OT18-053 SIBERIA'!G28</f>
        <v>1465443</v>
      </c>
      <c r="L188" s="618">
        <f>+'OT18-053 SIBERIA'!G29</f>
        <v>278434.17</v>
      </c>
      <c r="M188" s="618">
        <f>+'OT18-053 SIBERIA'!G30</f>
        <v>1743877.17</v>
      </c>
      <c r="N188" s="988">
        <f>+'OT18-053 SIBERIA'!J24</f>
        <v>0</v>
      </c>
      <c r="O188" s="923">
        <f>+'OT18-053 SIBERIA'!K28</f>
        <v>0</v>
      </c>
      <c r="P188" s="984">
        <f>+'OT18-053 SIBERIA'!J25</f>
        <v>0</v>
      </c>
      <c r="Q188" s="984">
        <f>+'OT18-053 SIBERIA'!J27</f>
        <v>0</v>
      </c>
      <c r="R188" s="988">
        <f>+'OT18-053 SIBERIA'!J28</f>
        <v>0</v>
      </c>
      <c r="S188" s="984">
        <f>+'OT18-053 SIBERIA'!J29</f>
        <v>0</v>
      </c>
      <c r="T188" s="984">
        <f>+'OT18-053 SIBERIA'!J30</f>
        <v>0</v>
      </c>
      <c r="U188" s="750" t="str">
        <f>+'OT18-053 SIBERIA'!A8</f>
        <v>Acta N° 1: Marzo</v>
      </c>
      <c r="V188" s="234"/>
      <c r="W188" s="925"/>
      <c r="X188" s="925"/>
      <c r="Y188" s="925"/>
      <c r="Z188" s="925"/>
      <c r="AA188" s="925"/>
      <c r="AB188" s="926"/>
      <c r="AC188" s="927"/>
      <c r="AD188" s="927"/>
      <c r="AE188" s="927"/>
      <c r="AF188" s="927"/>
      <c r="AG188" s="925"/>
      <c r="AH188" s="927"/>
      <c r="AJ188" s="925"/>
    </row>
    <row r="189" spans="1:36" s="924" customFormat="1" ht="57" customHeight="1" x14ac:dyDescent="0.3">
      <c r="A189" s="1064">
        <v>182</v>
      </c>
      <c r="B189" s="235" t="str">
        <f>+'OT18-054 CHINAUTA'!J32</f>
        <v>D00249318</v>
      </c>
      <c r="C189" s="235" t="str">
        <f>+'OT18-054 CHINAUTA'!J33</f>
        <v>D00249318000</v>
      </c>
      <c r="D189" s="750" t="s">
        <v>1479</v>
      </c>
      <c r="E189" s="750" t="s">
        <v>2837</v>
      </c>
      <c r="F189" s="234">
        <f>+'OT18-054 CHINAUTA'!J31</f>
        <v>0</v>
      </c>
      <c r="G189" s="234" t="str">
        <f>+'OT18-054 CHINAUTA'!A7</f>
        <v>Proyecto: CDIE_CBCCSM_RCN25, PC2 - REDISEÑO IN-OUT SE MT-MT</v>
      </c>
      <c r="H189" s="618">
        <f>+'OT18-054 CHINAUTA'!G20</f>
        <v>26643242</v>
      </c>
      <c r="I189" s="618">
        <f>+'OT18-054 CHINAUTA'!G21</f>
        <v>0</v>
      </c>
      <c r="J189" s="618">
        <f>+'OT18-054 CHINAUTA'!G23</f>
        <v>399649</v>
      </c>
      <c r="K189" s="618">
        <f>+'OT18-054 CHINAUTA'!G24</f>
        <v>27042891</v>
      </c>
      <c r="L189" s="618">
        <f>+'OT18-054 CHINAUTA'!G25</f>
        <v>5138149.29</v>
      </c>
      <c r="M189" s="618">
        <f>+'OT18-054 CHINAUTA'!G26</f>
        <v>32181040.289999999</v>
      </c>
      <c r="N189" s="988">
        <f>+'OT18-054 CHINAUTA'!J20</f>
        <v>0</v>
      </c>
      <c r="O189" s="923">
        <f>+'OT18-054 CHINAUTA'!K24</f>
        <v>0</v>
      </c>
      <c r="P189" s="984">
        <f>+'OT18-054 CHINAUTA'!J21</f>
        <v>0</v>
      </c>
      <c r="Q189" s="984">
        <f>+'OT18-054 CHINAUTA'!J23</f>
        <v>0</v>
      </c>
      <c r="R189" s="988">
        <f>+'OT18-054 CHINAUTA'!J24</f>
        <v>0</v>
      </c>
      <c r="S189" s="984">
        <f>+'OT18-054 CHINAUTA'!J25</f>
        <v>0</v>
      </c>
      <c r="T189" s="984">
        <f>+'OT18-054 CHINAUTA'!J26</f>
        <v>0</v>
      </c>
      <c r="U189" s="750" t="str">
        <f>+'OT18-054 CHINAUTA'!A8</f>
        <v>Acta N° 1: Marzo</v>
      </c>
      <c r="V189" s="234"/>
      <c r="W189" s="925"/>
      <c r="X189" s="925"/>
      <c r="Y189" s="925"/>
      <c r="Z189" s="925"/>
      <c r="AA189" s="925"/>
      <c r="AB189" s="926"/>
      <c r="AC189" s="927"/>
      <c r="AD189" s="927"/>
      <c r="AE189" s="927"/>
      <c r="AF189" s="927"/>
      <c r="AG189" s="925"/>
      <c r="AH189" s="927"/>
      <c r="AJ189" s="925"/>
    </row>
    <row r="190" spans="1:36" s="924" customFormat="1" ht="57" customHeight="1" x14ac:dyDescent="0.3">
      <c r="A190" s="1064">
        <v>183</v>
      </c>
      <c r="B190" s="235" t="str">
        <f>+'OT18-055 SALITRE'!J32</f>
        <v>D00249543</v>
      </c>
      <c r="C190" s="235" t="str">
        <f>+'OT18-055 SALITRE'!J33</f>
        <v>D00249543000</v>
      </c>
      <c r="D190" s="750" t="s">
        <v>1959</v>
      </c>
      <c r="E190" s="750" t="s">
        <v>2838</v>
      </c>
      <c r="F190" s="234">
        <f>+'OT18-055 SALITRE'!J31</f>
        <v>0</v>
      </c>
      <c r="G190" s="234" t="str">
        <f>+'OT18-055 SALITRE'!A7</f>
        <v>Proyecto: CDIM_CBSGSM_R0199 NORMALIZACIÓN SERVICIOS ESENCIALES SSEE.</v>
      </c>
      <c r="H190" s="618">
        <f>+'OT18-055 SALITRE'!G20</f>
        <v>382081.63500000001</v>
      </c>
      <c r="I190" s="618">
        <f>+'OT18-055 SALITRE'!G21</f>
        <v>0</v>
      </c>
      <c r="J190" s="618">
        <f>+'OT18-055 SALITRE'!G23</f>
        <v>5731</v>
      </c>
      <c r="K190" s="618">
        <f>+'OT18-055 SALITRE'!G24</f>
        <v>387812.63500000001</v>
      </c>
      <c r="L190" s="618">
        <f>+'OT18-055 SALITRE'!G25</f>
        <v>73684.400649999996</v>
      </c>
      <c r="M190" s="618">
        <f>+'OT18-055 SALITRE'!G26</f>
        <v>461497.03564999998</v>
      </c>
      <c r="N190" s="988">
        <f>+'OT18-055 SALITRE'!J20</f>
        <v>0</v>
      </c>
      <c r="O190" s="923">
        <f>+'OT18-055 SALITRE'!K24</f>
        <v>0</v>
      </c>
      <c r="P190" s="984">
        <f>+'OT18-055 SALITRE'!J21</f>
        <v>0</v>
      </c>
      <c r="Q190" s="984">
        <f>+'OT18-055 SALITRE'!J23</f>
        <v>0</v>
      </c>
      <c r="R190" s="988">
        <f>+'OT18-055 SALITRE'!J24</f>
        <v>0</v>
      </c>
      <c r="S190" s="984">
        <f>+'OT18-055 SALITRE'!J25</f>
        <v>0</v>
      </c>
      <c r="T190" s="984">
        <f>+'OT18-055 SALITRE'!J26</f>
        <v>0</v>
      </c>
      <c r="U190" s="750" t="str">
        <f>+'OT18-055 SALITRE'!A8</f>
        <v>Acta N° 1: Marzo</v>
      </c>
      <c r="V190" s="234"/>
      <c r="W190" s="925"/>
      <c r="X190" s="925"/>
      <c r="Y190" s="925"/>
      <c r="Z190" s="925"/>
      <c r="AA190" s="925"/>
      <c r="AB190" s="926"/>
      <c r="AC190" s="927"/>
      <c r="AD190" s="927"/>
      <c r="AE190" s="927"/>
      <c r="AF190" s="927"/>
      <c r="AG190" s="925"/>
      <c r="AH190" s="927"/>
      <c r="AJ190" s="925"/>
    </row>
    <row r="191" spans="1:36" s="924" customFormat="1" ht="57" customHeight="1" x14ac:dyDescent="0.3">
      <c r="A191" s="1064">
        <v>184</v>
      </c>
      <c r="B191" s="235" t="str">
        <f>+'OT18-056 FACATATIVÁ'!J29</f>
        <v>D00249541</v>
      </c>
      <c r="C191" s="235" t="str">
        <f>+'OT18-056 FACATATIVÁ'!J30</f>
        <v>D00249541000</v>
      </c>
      <c r="D191" s="750" t="s">
        <v>1733</v>
      </c>
      <c r="E191" s="750" t="s">
        <v>2839</v>
      </c>
      <c r="F191" s="234">
        <f>+'OT18-056 FACATATIVÁ'!J28</f>
        <v>0</v>
      </c>
      <c r="G191" s="234" t="str">
        <f>+'OT18-056 FACATATIVÁ'!A7</f>
        <v>Proyecto: CDIM_CBSGSM_R0199 NORMALIZACIÓN SERVICIOS ESENCIALES SSEE.</v>
      </c>
      <c r="H191" s="618">
        <f>+'OT18-056 FACATATIVÁ'!G17</f>
        <v>245389</v>
      </c>
      <c r="I191" s="618">
        <f>+'OT18-056 FACATATIVÁ'!G18</f>
        <v>0</v>
      </c>
      <c r="J191" s="618">
        <f>+'OT18-056 FACATATIVÁ'!G20</f>
        <v>3681</v>
      </c>
      <c r="K191" s="618">
        <f>+'OT18-056 FACATATIVÁ'!G21</f>
        <v>249070</v>
      </c>
      <c r="L191" s="618">
        <f>+'OT18-056 FACATATIVÁ'!G22</f>
        <v>47323.3</v>
      </c>
      <c r="M191" s="618">
        <f>+'OT18-056 FACATATIVÁ'!G23</f>
        <v>296393.3</v>
      </c>
      <c r="N191" s="988">
        <f>+'OT18-056 FACATATIVÁ'!J17</f>
        <v>0</v>
      </c>
      <c r="O191" s="923">
        <f>+'OT18-056 FACATATIVÁ'!K21</f>
        <v>0</v>
      </c>
      <c r="P191" s="984">
        <f>+'OT18-056 FACATATIVÁ'!J18</f>
        <v>0</v>
      </c>
      <c r="Q191" s="984">
        <f>+'OT18-056 FACATATIVÁ'!J20</f>
        <v>0</v>
      </c>
      <c r="R191" s="988">
        <f>+'OT18-056 FACATATIVÁ'!J21</f>
        <v>0</v>
      </c>
      <c r="S191" s="984">
        <f>+'OT18-056 FACATATIVÁ'!J22</f>
        <v>0</v>
      </c>
      <c r="T191" s="984">
        <f>+'OT18-056 FACATATIVÁ'!J23</f>
        <v>0</v>
      </c>
      <c r="U191" s="750" t="str">
        <f>+'OT18-056 FACATATIVÁ'!A8</f>
        <v>Acta N° 1: Marzo</v>
      </c>
      <c r="V191" s="234"/>
      <c r="W191" s="925"/>
      <c r="X191" s="925"/>
      <c r="Y191" s="925"/>
      <c r="Z191" s="925"/>
      <c r="AA191" s="925"/>
      <c r="AB191" s="926"/>
      <c r="AC191" s="927"/>
      <c r="AD191" s="927"/>
      <c r="AE191" s="927"/>
      <c r="AF191" s="927"/>
      <c r="AG191" s="925"/>
      <c r="AH191" s="927"/>
      <c r="AJ191" s="925"/>
    </row>
    <row r="192" spans="1:36" s="924" customFormat="1" ht="57" customHeight="1" x14ac:dyDescent="0.3">
      <c r="A192" s="1064">
        <v>185</v>
      </c>
      <c r="B192" s="235" t="str">
        <f>+'OT18-057 SUBA'!J32</f>
        <v>D00249543</v>
      </c>
      <c r="C192" s="235" t="str">
        <f>+'OT18-057 SUBA'!J33</f>
        <v>D00249543000</v>
      </c>
      <c r="D192" s="750" t="s">
        <v>1433</v>
      </c>
      <c r="E192" s="750" t="s">
        <v>2840</v>
      </c>
      <c r="F192" s="234">
        <f>+'OT18-057 SUBA'!J31</f>
        <v>0</v>
      </c>
      <c r="G192" s="234" t="str">
        <f>+'OT18-057 SUBA'!A7</f>
        <v>Proyecto:CDIM_CBSGSM_R0159 NORMALIZACIÓN SERVICIOS ESENCIALES SSEE</v>
      </c>
      <c r="H192" s="618">
        <f>+'OT18-057 SUBA'!G20</f>
        <v>382082</v>
      </c>
      <c r="I192" s="618">
        <f>+'OT18-057 SUBA'!G21</f>
        <v>0</v>
      </c>
      <c r="J192" s="618">
        <f>+'OT18-057 SUBA'!G23</f>
        <v>5731</v>
      </c>
      <c r="K192" s="618">
        <f>+'OT18-057 SUBA'!G24</f>
        <v>387813</v>
      </c>
      <c r="L192" s="618">
        <f>+'OT18-057 SUBA'!G25</f>
        <v>73684.47</v>
      </c>
      <c r="M192" s="618">
        <f>+'OT18-057 SUBA'!G26</f>
        <v>461497.47</v>
      </c>
      <c r="N192" s="988">
        <f>+'OT18-057 SUBA'!J20</f>
        <v>0</v>
      </c>
      <c r="O192" s="923">
        <f>+'OT18-057 SUBA'!K24</f>
        <v>0</v>
      </c>
      <c r="P192" s="984">
        <f>+'OT18-057 SUBA'!J21</f>
        <v>0</v>
      </c>
      <c r="Q192" s="984">
        <f>+'OT18-057 SUBA'!J23</f>
        <v>0</v>
      </c>
      <c r="R192" s="988">
        <f>+'OT18-057 SUBA'!J24</f>
        <v>0</v>
      </c>
      <c r="S192" s="984">
        <f>+'OT18-057 SUBA'!J25</f>
        <v>0</v>
      </c>
      <c r="T192" s="984">
        <f>+'OT18-057 SUBA'!J26</f>
        <v>0</v>
      </c>
      <c r="U192" s="750" t="str">
        <f>+'OT18-057 SUBA'!A8</f>
        <v>Acta N° 1: Marzo</v>
      </c>
      <c r="V192" s="234"/>
      <c r="W192" s="925"/>
      <c r="X192" s="925"/>
      <c r="Y192" s="925"/>
      <c r="Z192" s="925"/>
      <c r="AA192" s="925"/>
      <c r="AB192" s="926"/>
      <c r="AC192" s="927"/>
      <c r="AD192" s="927"/>
      <c r="AE192" s="927"/>
      <c r="AF192" s="927"/>
      <c r="AG192" s="925"/>
      <c r="AH192" s="927"/>
      <c r="AJ192" s="925"/>
    </row>
    <row r="193" spans="1:36" s="924" customFormat="1" ht="57" customHeight="1" x14ac:dyDescent="0.3">
      <c r="A193" s="1064">
        <v>186</v>
      </c>
      <c r="B193" s="235" t="str">
        <f>+'OT18-058 TERMINAL'!J28</f>
        <v xml:space="preserve">D00251186 </v>
      </c>
      <c r="C193" s="235" t="str">
        <f>+'OT18-058 TERMINAL'!J29</f>
        <v>D00251186000</v>
      </c>
      <c r="D193" s="750" t="s">
        <v>2841</v>
      </c>
      <c r="E193" s="750" t="s">
        <v>2842</v>
      </c>
      <c r="F193" s="234">
        <f>+'OT18-058 TERMINAL'!J27</f>
        <v>0</v>
      </c>
      <c r="G193" s="234" t="str">
        <f>+'OT18-058 TERMINAL'!A7</f>
        <v>Proyecto:PC1 - NORMALIZACIÓN SE MT-MT</v>
      </c>
      <c r="H193" s="618">
        <f>+'OT18-058 TERMINAL'!G16</f>
        <v>5270112</v>
      </c>
      <c r="I193" s="618">
        <f>+'OT18-058 TERMINAL'!G17</f>
        <v>0</v>
      </c>
      <c r="J193" s="618">
        <f>+'OT18-058 TERMINAL'!G19</f>
        <v>79052</v>
      </c>
      <c r="K193" s="618">
        <f>+'OT18-058 TERMINAL'!G20</f>
        <v>5349164</v>
      </c>
      <c r="L193" s="618">
        <f>+'OT18-058 TERMINAL'!G21</f>
        <v>1016341.16</v>
      </c>
      <c r="M193" s="618">
        <f>+'OT18-058 TERMINAL'!G22</f>
        <v>6365505.1600000001</v>
      </c>
      <c r="N193" s="988">
        <f>+'OT18-058 TERMINAL'!J16</f>
        <v>0</v>
      </c>
      <c r="O193" s="923">
        <f>+'OT18-058 TERMINAL'!K20</f>
        <v>0</v>
      </c>
      <c r="P193" s="984">
        <f>+'OT18-058 TERMINAL'!J17</f>
        <v>0</v>
      </c>
      <c r="Q193" s="984">
        <f>+'OT18-058 TERMINAL'!J19</f>
        <v>0</v>
      </c>
      <c r="R193" s="988">
        <f>+'OT18-058 TERMINAL'!J20</f>
        <v>0</v>
      </c>
      <c r="S193" s="984">
        <f>+'OT18-058 TERMINAL'!J21</f>
        <v>0</v>
      </c>
      <c r="T193" s="984">
        <f>+'OT18-058 TERMINAL'!J22</f>
        <v>0</v>
      </c>
      <c r="U193" s="750" t="str">
        <f>+'OT18-058 TERMINAL'!A8</f>
        <v>Acta N° 1: Marzo</v>
      </c>
      <c r="V193" s="234"/>
      <c r="W193" s="925"/>
      <c r="X193" s="925"/>
      <c r="Y193" s="925"/>
      <c r="Z193" s="925"/>
      <c r="AA193" s="925"/>
      <c r="AB193" s="926"/>
      <c r="AC193" s="927"/>
      <c r="AD193" s="927"/>
      <c r="AE193" s="927"/>
      <c r="AF193" s="927"/>
      <c r="AG193" s="925"/>
      <c r="AH193" s="927"/>
      <c r="AJ193" s="925"/>
    </row>
    <row r="194" spans="1:36" s="924" customFormat="1" ht="57" customHeight="1" x14ac:dyDescent="0.3">
      <c r="A194" s="1064">
        <v>187</v>
      </c>
      <c r="B194" s="235">
        <f>+'OT18-059 LOS MANGOS'!J30</f>
        <v>0</v>
      </c>
      <c r="C194" s="235">
        <f>+'OT18-059 LOS MANGOS'!J31</f>
        <v>0</v>
      </c>
      <c r="D194" s="750" t="s">
        <v>2843</v>
      </c>
      <c r="E194" s="750" t="s">
        <v>2844</v>
      </c>
      <c r="F194" s="234">
        <f>+'OT18-059 LOS MANGOS'!J29</f>
        <v>0</v>
      </c>
      <c r="G194" s="234" t="str">
        <f>+'OT18-059 LOS MANGOS'!A7</f>
        <v>Proyecto:Ampliación S/E Los Mangos.</v>
      </c>
      <c r="H194" s="618">
        <f>+'OT18-059 LOS MANGOS'!G18</f>
        <v>38317957</v>
      </c>
      <c r="I194" s="618">
        <f>+'OT18-059 LOS MANGOS'!G19</f>
        <v>196530.50999999998</v>
      </c>
      <c r="J194" s="618">
        <f>+'OT18-059 LOS MANGOS'!G21</f>
        <v>577717</v>
      </c>
      <c r="K194" s="618">
        <f>+'OT18-059 LOS MANGOS'!G22</f>
        <v>39092204.509999998</v>
      </c>
      <c r="L194" s="618">
        <f>+'OT18-059 LOS MANGOS'!G23</f>
        <v>7427518.8569</v>
      </c>
      <c r="M194" s="618">
        <f>+'OT18-059 LOS MANGOS'!G24</f>
        <v>46519723.366899997</v>
      </c>
      <c r="N194" s="988">
        <f>+'OT18-059 LOS MANGOS'!J18</f>
        <v>0</v>
      </c>
      <c r="O194" s="923">
        <f>+'OT18-059 LOS MANGOS'!K22</f>
        <v>0</v>
      </c>
      <c r="P194" s="984">
        <f>+'OT18-059 LOS MANGOS'!J19</f>
        <v>0</v>
      </c>
      <c r="Q194" s="984">
        <f>+'OT18-059 LOS MANGOS'!J21</f>
        <v>0</v>
      </c>
      <c r="R194" s="988">
        <f>+'OT18-059 LOS MANGOS'!J22</f>
        <v>0</v>
      </c>
      <c r="S194" s="984">
        <f>+'OT18-059 LOS MANGOS'!J23</f>
        <v>0</v>
      </c>
      <c r="T194" s="984">
        <f>+'OT18-059 LOS MANGOS'!J24</f>
        <v>0</v>
      </c>
      <c r="U194" s="750" t="str">
        <f>+'OT18-059 LOS MANGOS'!A8</f>
        <v>Acta N° 1: Marzo</v>
      </c>
      <c r="V194" s="234"/>
      <c r="W194" s="925"/>
      <c r="X194" s="925"/>
      <c r="Y194" s="925"/>
      <c r="Z194" s="925"/>
      <c r="AA194" s="925"/>
      <c r="AB194" s="926"/>
      <c r="AC194" s="927"/>
      <c r="AD194" s="927"/>
      <c r="AE194" s="927"/>
      <c r="AF194" s="927"/>
      <c r="AG194" s="925"/>
      <c r="AH194" s="927"/>
      <c r="AJ194" s="925"/>
    </row>
    <row r="195" spans="1:36" s="924" customFormat="1" ht="57" customHeight="1" x14ac:dyDescent="0.3">
      <c r="A195" s="1064">
        <v>188</v>
      </c>
      <c r="B195" s="235" t="str">
        <f>+'OT18-060 LLTT ZIPAQUIRA -UP '!J28</f>
        <v xml:space="preserve">D00235194 </v>
      </c>
      <c r="C195" s="235">
        <f>+'OT18-060 LLTT ZIPAQUIRA -UP '!J29</f>
        <v>0</v>
      </c>
      <c r="D195" s="750" t="s">
        <v>2845</v>
      </c>
      <c r="E195" s="750" t="s">
        <v>2846</v>
      </c>
      <c r="F195" s="234">
        <f>+'OT18-060 LLTT ZIPAQUIRA -UP '!J27</f>
        <v>0</v>
      </c>
      <c r="G195" s="234" t="str">
        <f>+'OT18-060 LLTT ZIPAQUIRA -UP '!A7</f>
        <v>Proyecto:NORMALIZACIÓN LT ZP UB PD</v>
      </c>
      <c r="H195" s="618">
        <f>+'OT18-060 LLTT ZIPAQUIRA -UP '!G16</f>
        <v>39057232</v>
      </c>
      <c r="I195" s="618">
        <f>+'OT18-060 LLTT ZIPAQUIRA -UP '!G17</f>
        <v>0</v>
      </c>
      <c r="J195" s="618">
        <f>+'OT18-060 LLTT ZIPAQUIRA -UP '!G19</f>
        <v>585858</v>
      </c>
      <c r="K195" s="618">
        <f>+'OT18-060 LLTT ZIPAQUIRA -UP '!G20</f>
        <v>39643090</v>
      </c>
      <c r="L195" s="618">
        <f>+'OT18-060 LLTT ZIPAQUIRA -UP '!G21</f>
        <v>7532187.0999999996</v>
      </c>
      <c r="M195" s="618">
        <f>+'OT18-060 LLTT ZIPAQUIRA -UP '!G22</f>
        <v>47175277.100000001</v>
      </c>
      <c r="N195" s="988">
        <f>+'OT18-060 LLTT ZIPAQUIRA -UP '!J16</f>
        <v>0</v>
      </c>
      <c r="O195" s="923">
        <f>+'OT18-060 LLTT ZIPAQUIRA -UP '!K20</f>
        <v>0</v>
      </c>
      <c r="P195" s="984">
        <f>+'OT18-060 LLTT ZIPAQUIRA -UP '!J17</f>
        <v>0</v>
      </c>
      <c r="Q195" s="984">
        <f>+'OT18-060 LLTT ZIPAQUIRA -UP '!J19</f>
        <v>0</v>
      </c>
      <c r="R195" s="988">
        <f>+'OT18-060 LLTT ZIPAQUIRA -UP '!J20</f>
        <v>0</v>
      </c>
      <c r="S195" s="984">
        <f>+'OT18-060 LLTT ZIPAQUIRA -UP '!J21</f>
        <v>0</v>
      </c>
      <c r="T195" s="984">
        <f>+'OT18-060 LLTT ZIPAQUIRA -UP '!J22</f>
        <v>0</v>
      </c>
      <c r="U195" s="750" t="str">
        <f>+'OT18-060 LLTT ZIPAQUIRA -UP '!A8</f>
        <v>Acta N° 1: Marzo</v>
      </c>
      <c r="V195" s="234"/>
      <c r="W195" s="925"/>
      <c r="X195" s="925"/>
      <c r="Y195" s="925"/>
      <c r="Z195" s="925"/>
      <c r="AA195" s="925"/>
      <c r="AB195" s="926"/>
      <c r="AC195" s="927"/>
      <c r="AD195" s="927"/>
      <c r="AE195" s="927"/>
      <c r="AF195" s="927"/>
      <c r="AG195" s="925"/>
      <c r="AH195" s="927"/>
      <c r="AJ195" s="925"/>
    </row>
    <row r="196" spans="1:36" s="924" customFormat="1" ht="57" customHeight="1" x14ac:dyDescent="0.3">
      <c r="A196" s="1064">
        <v>189</v>
      </c>
      <c r="B196" s="235">
        <f>+'OT18-061 GUACHETA'!J63</f>
        <v>0</v>
      </c>
      <c r="C196" s="235">
        <f>+'OT18-061 GUACHETA'!J64</f>
        <v>0</v>
      </c>
      <c r="D196" s="750" t="s">
        <v>1973</v>
      </c>
      <c r="E196" s="750" t="s">
        <v>2847</v>
      </c>
      <c r="F196" s="234">
        <f>+'OT18-061 GUACHETA'!J62</f>
        <v>0</v>
      </c>
      <c r="G196" s="234" t="str">
        <f>+'OT18-061 GUACHETA'!A7</f>
        <v>Proyecto: Ampliación subestación Guacheta</v>
      </c>
      <c r="H196" s="618">
        <f>+'OT18-061 GUACHETA'!G51</f>
        <v>80570187</v>
      </c>
      <c r="I196" s="618">
        <f>+'OT18-061 GUACHETA'!G52</f>
        <v>863855.85599999991</v>
      </c>
      <c r="J196" s="618">
        <f>+'OT18-061 GUACHETA'!G54</f>
        <v>1221511</v>
      </c>
      <c r="K196" s="618">
        <f>+'OT18-061 GUACHETA'!G55</f>
        <v>82655553.856000006</v>
      </c>
      <c r="L196" s="618">
        <f>+'OT18-061 GUACHETA'!G56</f>
        <v>15704555.232640002</v>
      </c>
      <c r="M196" s="618">
        <f>+'OT18-061 GUACHETA'!G57</f>
        <v>98360109.088640004</v>
      </c>
      <c r="N196" s="988">
        <f>+'OT18-061 GUACHETA'!J51</f>
        <v>0</v>
      </c>
      <c r="O196" s="923">
        <f>+'OT18-061 GUACHETA'!K55</f>
        <v>0</v>
      </c>
      <c r="P196" s="984">
        <f>+'OT18-061 GUACHETA'!J52</f>
        <v>0</v>
      </c>
      <c r="Q196" s="984">
        <f>+'OT18-061 GUACHETA'!J54</f>
        <v>0</v>
      </c>
      <c r="R196" s="988">
        <f>+'OT18-061 GUACHETA'!J55</f>
        <v>0</v>
      </c>
      <c r="S196" s="984">
        <f>+'OT18-061 GUACHETA'!J56</f>
        <v>0</v>
      </c>
      <c r="T196" s="984">
        <f>+'OT18-061 GUACHETA'!J57</f>
        <v>0</v>
      </c>
      <c r="U196" s="750" t="str">
        <f>+'OT18-061 GUACHETA'!A8</f>
        <v>Acta N° 1: Marzo</v>
      </c>
      <c r="V196" s="234"/>
      <c r="W196" s="925"/>
      <c r="X196" s="925"/>
      <c r="Y196" s="925"/>
      <c r="Z196" s="925"/>
      <c r="AA196" s="925"/>
      <c r="AB196" s="926"/>
      <c r="AC196" s="927"/>
      <c r="AD196" s="927"/>
      <c r="AE196" s="927"/>
      <c r="AF196" s="927"/>
      <c r="AG196" s="925"/>
      <c r="AH196" s="927"/>
      <c r="AJ196" s="925"/>
    </row>
    <row r="197" spans="1:36" s="924" customFormat="1" ht="57" customHeight="1" x14ac:dyDescent="0.3">
      <c r="A197" s="1064">
        <v>190</v>
      </c>
      <c r="B197" s="235" t="str">
        <f>+'OT18-063 FONTIBÓN'!J28</f>
        <v xml:space="preserve">D00249265 </v>
      </c>
      <c r="C197" s="235">
        <f>+'OT18-063 FONTIBÓN'!J29</f>
        <v>0</v>
      </c>
      <c r="D197" s="750" t="s">
        <v>1715</v>
      </c>
      <c r="E197" s="750" t="s">
        <v>2848</v>
      </c>
      <c r="F197" s="234">
        <f>+'OT18-063 FONTIBÓN'!J27</f>
        <v>0</v>
      </c>
      <c r="G197" s="234" t="str">
        <f>+'OT18-063 FONTIBÓN'!A7</f>
        <v>Proyecto:  CDIE_CBCCSM_R0184 PC1 - REPOSICIÓN INTERRUPTORES AT.</v>
      </c>
      <c r="H197" s="618">
        <f>+'OT18-063 FONTIBÓN'!G16</f>
        <v>1756704</v>
      </c>
      <c r="I197" s="618">
        <f>+'OT18-063 FONTIBÓN'!G17</f>
        <v>0</v>
      </c>
      <c r="J197" s="618">
        <f>+'OT18-063 FONTIBÓN'!G19</f>
        <v>26351</v>
      </c>
      <c r="K197" s="618">
        <f>+'OT18-063 FONTIBÓN'!G20</f>
        <v>1783055</v>
      </c>
      <c r="L197" s="618">
        <f>+'OT18-063 FONTIBÓN'!G21</f>
        <v>338780.45</v>
      </c>
      <c r="M197" s="618">
        <f>+'OT18-063 FONTIBÓN'!G22</f>
        <v>2121835.4500000002</v>
      </c>
      <c r="N197" s="988">
        <f>+'OT18-063 FONTIBÓN'!J16</f>
        <v>0</v>
      </c>
      <c r="O197" s="923">
        <f>+'OT18-063 FONTIBÓN'!K20</f>
        <v>0</v>
      </c>
      <c r="P197" s="984">
        <f>+'OT18-063 FONTIBÓN'!J17</f>
        <v>0</v>
      </c>
      <c r="Q197" s="984">
        <f>+'OT18-063 FONTIBÓN'!J19</f>
        <v>0</v>
      </c>
      <c r="R197" s="988">
        <f>+'OT18-063 FONTIBÓN'!J20</f>
        <v>0</v>
      </c>
      <c r="S197" s="984">
        <f>+'OT18-063 FONTIBÓN'!J21</f>
        <v>0</v>
      </c>
      <c r="T197" s="984">
        <f>+'OT18-063 FONTIBÓN'!J22</f>
        <v>0</v>
      </c>
      <c r="U197" s="750" t="str">
        <f>+'OT18-063 FONTIBÓN'!A8</f>
        <v>Acta N° 1: Marzo</v>
      </c>
      <c r="V197" s="234"/>
      <c r="W197" s="925"/>
      <c r="X197" s="925"/>
      <c r="Y197" s="925"/>
      <c r="Z197" s="925"/>
      <c r="AA197" s="925"/>
      <c r="AB197" s="926"/>
      <c r="AC197" s="927"/>
      <c r="AD197" s="927"/>
      <c r="AE197" s="927"/>
      <c r="AF197" s="927"/>
      <c r="AG197" s="925"/>
      <c r="AH197" s="927"/>
      <c r="AJ197" s="925"/>
    </row>
    <row r="198" spans="1:36" s="924" customFormat="1" ht="57" customHeight="1" x14ac:dyDescent="0.3">
      <c r="A198" s="1064">
        <v>191</v>
      </c>
      <c r="B198" s="235">
        <f>+'OT18-064 COMPARTIR'!J75</f>
        <v>0</v>
      </c>
      <c r="C198" s="235">
        <f>+'OT18-064 COMPARTIR'!J76</f>
        <v>0</v>
      </c>
      <c r="D198" s="750" t="s">
        <v>2849</v>
      </c>
      <c r="E198" s="750" t="s">
        <v>2850</v>
      </c>
      <c r="F198" s="234">
        <f>+'OT18-064 COMPARTIR'!J74</f>
        <v>0</v>
      </c>
      <c r="G198" s="234" t="str">
        <f>+'OT18-064 COMPARTIR'!A7</f>
        <v>Proyecto:  Normalización subestación Compartir 115/34,5/11,4 kV.</v>
      </c>
      <c r="H198" s="618">
        <f>+'OT18-064 COMPARTIR'!G63</f>
        <v>57899849</v>
      </c>
      <c r="I198" s="618">
        <f>+'OT18-064 COMPARTIR'!G64</f>
        <v>0</v>
      </c>
      <c r="J198" s="618">
        <f>+'OT18-064 COMPARTIR'!G66</f>
        <v>868498</v>
      </c>
      <c r="K198" s="618">
        <f>+'OT18-064 COMPARTIR'!G67</f>
        <v>58768347</v>
      </c>
      <c r="L198" s="618">
        <f>+'OT18-064 COMPARTIR'!G68</f>
        <v>11165985.93</v>
      </c>
      <c r="M198" s="618">
        <f>+'OT18-064 COMPARTIR'!G69</f>
        <v>69934332.930000007</v>
      </c>
      <c r="N198" s="988">
        <f>+'OT18-064 COMPARTIR'!J63</f>
        <v>0</v>
      </c>
      <c r="O198" s="923">
        <f>+'OT18-064 COMPARTIR'!K67</f>
        <v>0</v>
      </c>
      <c r="P198" s="984">
        <f>+'OT18-064 COMPARTIR'!J64</f>
        <v>0</v>
      </c>
      <c r="Q198" s="984">
        <f>+'OT18-064 COMPARTIR'!J66</f>
        <v>0</v>
      </c>
      <c r="R198" s="988">
        <f>+'OT18-064 COMPARTIR'!J67</f>
        <v>0</v>
      </c>
      <c r="S198" s="984">
        <f>+'OT18-064 COMPARTIR'!J68</f>
        <v>0</v>
      </c>
      <c r="T198" s="984">
        <f>+'OT18-064 COMPARTIR'!J69</f>
        <v>0</v>
      </c>
      <c r="U198" s="750" t="str">
        <f>+'OT18-064 COMPARTIR'!A8</f>
        <v>Acta N° 1: Marzo</v>
      </c>
      <c r="V198" s="234"/>
      <c r="W198" s="925"/>
      <c r="X198" s="925"/>
      <c r="Y198" s="925"/>
      <c r="Z198" s="925"/>
      <c r="AA198" s="925"/>
      <c r="AB198" s="926"/>
      <c r="AC198" s="927"/>
      <c r="AD198" s="927"/>
      <c r="AE198" s="927"/>
      <c r="AF198" s="927"/>
      <c r="AG198" s="925"/>
      <c r="AH198" s="927"/>
      <c r="AJ198" s="925"/>
    </row>
    <row r="199" spans="1:36" s="924" customFormat="1" ht="57" customHeight="1" x14ac:dyDescent="0.3">
      <c r="A199" s="1064">
        <v>192</v>
      </c>
      <c r="B199" s="235" t="str">
        <f>+'OT18-065 SAN CAYETANO'!J29</f>
        <v xml:space="preserve">D00249388 </v>
      </c>
      <c r="C199" s="235" t="str">
        <f>+'OT18-065 SAN CAYETANO'!J30</f>
        <v>D00249388000</v>
      </c>
      <c r="D199" s="750" t="s">
        <v>2851</v>
      </c>
      <c r="E199" s="750" t="s">
        <v>2852</v>
      </c>
      <c r="F199" s="234">
        <f>+'OT18-065 SAN CAYETANO'!J28</f>
        <v>0</v>
      </c>
      <c r="G199" s="234" t="str">
        <f>+'OT18-065 SAN CAYETANO'!A7</f>
        <v>Proyecto:  CDIM_CAOLIG_R0078 - RES. CREG 038-14 CÓDIGO DE MEDIDA</v>
      </c>
      <c r="H199" s="618">
        <f>+'OT18-065 SAN CAYETANO'!G17</f>
        <v>2126335</v>
      </c>
      <c r="I199" s="618">
        <f>+'OT18-065 SAN CAYETANO'!G18</f>
        <v>0</v>
      </c>
      <c r="J199" s="618">
        <f>+'OT18-065 SAN CAYETANO'!G20</f>
        <v>31895</v>
      </c>
      <c r="K199" s="618">
        <f>+'OT18-065 SAN CAYETANO'!G21</f>
        <v>2158230</v>
      </c>
      <c r="L199" s="618">
        <f>+'OT18-065 SAN CAYETANO'!G22</f>
        <v>410063.7</v>
      </c>
      <c r="M199" s="618">
        <f>+'OT18-065 SAN CAYETANO'!G23</f>
        <v>2568293.7000000002</v>
      </c>
      <c r="N199" s="988">
        <f>+'OT18-065 SAN CAYETANO'!J17</f>
        <v>0</v>
      </c>
      <c r="O199" s="923">
        <f>+'OT18-065 SAN CAYETANO'!K21</f>
        <v>0</v>
      </c>
      <c r="P199" s="984">
        <f>+'OT18-065 SAN CAYETANO'!J18</f>
        <v>0</v>
      </c>
      <c r="Q199" s="984">
        <f>+'OT18-065 SAN CAYETANO'!J20</f>
        <v>0</v>
      </c>
      <c r="R199" s="988">
        <f>+'OT18-065 SAN CAYETANO'!J21</f>
        <v>0</v>
      </c>
      <c r="S199" s="984">
        <f>+'OT18-065 SAN CAYETANO'!J22</f>
        <v>0</v>
      </c>
      <c r="T199" s="984">
        <f>+'OT18-065 SAN CAYETANO'!J23</f>
        <v>0</v>
      </c>
      <c r="U199" s="750" t="str">
        <f>+'OT18-065 SAN CAYETANO'!A8</f>
        <v>Acta N° 1: Marzo</v>
      </c>
      <c r="V199" s="234"/>
      <c r="W199" s="925"/>
      <c r="X199" s="925"/>
      <c r="Y199" s="925"/>
      <c r="Z199" s="925"/>
      <c r="AA199" s="925"/>
      <c r="AB199" s="926"/>
      <c r="AC199" s="927"/>
      <c r="AD199" s="927"/>
      <c r="AE199" s="927"/>
      <c r="AF199" s="927"/>
      <c r="AG199" s="925"/>
      <c r="AH199" s="927"/>
      <c r="AJ199" s="925"/>
    </row>
    <row r="200" spans="1:36" s="924" customFormat="1" ht="57" customHeight="1" x14ac:dyDescent="0.3">
      <c r="A200" s="1064">
        <v>193</v>
      </c>
      <c r="B200" s="235" t="str">
        <f>+'OT18-066 TERRAZAS'!J30</f>
        <v xml:space="preserve">D00249388 </v>
      </c>
      <c r="C200" s="235" t="str">
        <f>+'OT18-066 TERRAZAS'!J31</f>
        <v>D00249388000</v>
      </c>
      <c r="D200" s="750" t="s">
        <v>2853</v>
      </c>
      <c r="E200" s="750" t="s">
        <v>2854</v>
      </c>
      <c r="F200" s="234">
        <f>+'OT18-066 TERRAZAS'!J29</f>
        <v>0</v>
      </c>
      <c r="G200" s="234" t="str">
        <f>+'OT18-066 TERRAZAS'!A7</f>
        <v>Proyecto: CDIM_CAOLIG_R0078 - RES. CREG 038-14 CÓDIGO DE MEDIDA.</v>
      </c>
      <c r="H200" s="618">
        <f>+'OT18-066 TERRAZAS'!G18</f>
        <v>1613966</v>
      </c>
      <c r="I200" s="618">
        <f>+'OT18-066 TERRAZAS'!G19</f>
        <v>0</v>
      </c>
      <c r="J200" s="618">
        <f>+'OT18-066 TERRAZAS'!G21</f>
        <v>24209</v>
      </c>
      <c r="K200" s="618">
        <f>+'OT18-066 TERRAZAS'!G22</f>
        <v>1638175</v>
      </c>
      <c r="L200" s="618">
        <f>+'OT18-066 TERRAZAS'!G23</f>
        <v>311253.25</v>
      </c>
      <c r="M200" s="618">
        <f>+'OT18-066 TERRAZAS'!G24</f>
        <v>1949428.25</v>
      </c>
      <c r="N200" s="988">
        <f>+'OT18-066 TERRAZAS'!J18</f>
        <v>0</v>
      </c>
      <c r="O200" s="923">
        <f>+'OT18-066 TERRAZAS'!K22</f>
        <v>0</v>
      </c>
      <c r="P200" s="984">
        <f>+'OT18-066 TERRAZAS'!J19</f>
        <v>0</v>
      </c>
      <c r="Q200" s="984">
        <f>+'OT18-066 TERRAZAS'!J21</f>
        <v>0</v>
      </c>
      <c r="R200" s="988">
        <f>+'OT18-066 TERRAZAS'!J22</f>
        <v>0</v>
      </c>
      <c r="S200" s="984">
        <f>+'OT18-066 TERRAZAS'!J23</f>
        <v>0</v>
      </c>
      <c r="T200" s="984">
        <f>+'OT18-066 TERRAZAS'!J24</f>
        <v>0</v>
      </c>
      <c r="U200" s="750" t="str">
        <f>+'OT18-066 TERRAZAS'!A8</f>
        <v>Acta N° 1: Marzo</v>
      </c>
      <c r="V200" s="234"/>
      <c r="W200" s="925"/>
      <c r="X200" s="925"/>
      <c r="Y200" s="925"/>
      <c r="Z200" s="925"/>
      <c r="AA200" s="925"/>
      <c r="AB200" s="926"/>
      <c r="AC200" s="927"/>
      <c r="AD200" s="927"/>
      <c r="AE200" s="927"/>
      <c r="AF200" s="927"/>
      <c r="AG200" s="925"/>
      <c r="AH200" s="927"/>
      <c r="AJ200" s="925"/>
    </row>
    <row r="201" spans="1:36" s="924" customFormat="1" ht="57" customHeight="1" x14ac:dyDescent="0.3">
      <c r="A201" s="1064">
        <v>194</v>
      </c>
      <c r="B201" s="235" t="str">
        <f>+'OT18-067 SAN CAYETANO'!J30</f>
        <v xml:space="preserve">D00249388 </v>
      </c>
      <c r="C201" s="235" t="str">
        <f>+'OT18-067 SAN CAYETANO'!J31</f>
        <v>D00249388000</v>
      </c>
      <c r="D201" s="750" t="s">
        <v>2851</v>
      </c>
      <c r="E201" s="750" t="s">
        <v>2855</v>
      </c>
      <c r="F201" s="234">
        <f>+'OT18-067 SAN CAYETANO'!J29</f>
        <v>0</v>
      </c>
      <c r="G201" s="234" t="str">
        <f>+'OT18-067 SAN CAYETANO'!A7</f>
        <v>Proyecto: CDIM_CAOLIG_R0078 - RES. CREG 038-14 CÓDIGO DE MEDIDA.</v>
      </c>
      <c r="H201" s="618">
        <f>+'OT18-067 SAN CAYETANO'!G18</f>
        <v>1613966</v>
      </c>
      <c r="I201" s="618">
        <f>+'OT18-067 SAN CAYETANO'!G19</f>
        <v>0</v>
      </c>
      <c r="J201" s="618">
        <f>+'OT18-067 SAN CAYETANO'!G21</f>
        <v>24209</v>
      </c>
      <c r="K201" s="618">
        <f>+'OT18-067 SAN CAYETANO'!G22</f>
        <v>1638175</v>
      </c>
      <c r="L201" s="618">
        <f>+'OT18-067 SAN CAYETANO'!G23</f>
        <v>311253.25</v>
      </c>
      <c r="M201" s="618">
        <f>+'OT18-067 SAN CAYETANO'!G24</f>
        <v>1949428.25</v>
      </c>
      <c r="N201" s="988">
        <f>+'OT18-067 SAN CAYETANO'!J18</f>
        <v>0</v>
      </c>
      <c r="O201" s="923">
        <f>+'OT18-067 SAN CAYETANO'!J19</f>
        <v>0</v>
      </c>
      <c r="P201" s="984">
        <f>+'OT18-067 SAN CAYETANO'!J19</f>
        <v>0</v>
      </c>
      <c r="Q201" s="984">
        <f>+'OT18-067 SAN CAYETANO'!J21</f>
        <v>0</v>
      </c>
      <c r="R201" s="988">
        <f>+'OT18-067 SAN CAYETANO'!J22</f>
        <v>0</v>
      </c>
      <c r="S201" s="984">
        <f>+'OT18-067 SAN CAYETANO'!J23</f>
        <v>0</v>
      </c>
      <c r="T201" s="984">
        <f>+'OT18-067 SAN CAYETANO'!J24</f>
        <v>0</v>
      </c>
      <c r="U201" s="750" t="str">
        <f>+'OT18-067 SAN CAYETANO'!A8</f>
        <v>Acta N° 1: Marzo</v>
      </c>
      <c r="V201" s="234"/>
      <c r="W201" s="925"/>
      <c r="X201" s="925"/>
      <c r="Y201" s="925"/>
      <c r="Z201" s="925"/>
      <c r="AA201" s="925"/>
      <c r="AB201" s="926"/>
      <c r="AC201" s="927"/>
      <c r="AD201" s="927"/>
      <c r="AE201" s="927"/>
      <c r="AF201" s="927"/>
      <c r="AG201" s="925"/>
      <c r="AH201" s="927"/>
      <c r="AJ201" s="925"/>
    </row>
    <row r="202" spans="1:36" s="924" customFormat="1" ht="57" customHeight="1" x14ac:dyDescent="0.3">
      <c r="A202" s="1064">
        <v>195</v>
      </c>
      <c r="B202" s="235" t="str">
        <f>+'OT18-068 VILLA PINZÓN'!J30</f>
        <v xml:space="preserve">D00249388 </v>
      </c>
      <c r="C202" s="235" t="str">
        <f>+'OT18-068 VILLA PINZÓN'!J31</f>
        <v>D00249388000</v>
      </c>
      <c r="D202" s="750" t="s">
        <v>2856</v>
      </c>
      <c r="E202" s="750" t="s">
        <v>2857</v>
      </c>
      <c r="F202" s="234">
        <f>+'OT18-068 VILLA PINZÓN'!J29</f>
        <v>0</v>
      </c>
      <c r="G202" s="234" t="str">
        <f>+'OT18-068 VILLA PINZÓN'!A7</f>
        <v>Proyecto: CDIM_CAOLIG_R0078 - RES. CREG 038-14 CÓDIGO DE MEDIDA.</v>
      </c>
      <c r="H202" s="618">
        <f>+'OT18-068 VILLA PINZÓN'!G18</f>
        <v>2320304</v>
      </c>
      <c r="I202" s="618">
        <f>+'OT18-068 VILLA PINZÓN'!G19</f>
        <v>0</v>
      </c>
      <c r="J202" s="618">
        <f>+'OT18-068 VILLA PINZÓN'!G21</f>
        <v>34805</v>
      </c>
      <c r="K202" s="618">
        <f>+'OT18-068 VILLA PINZÓN'!G22</f>
        <v>2355109</v>
      </c>
      <c r="L202" s="618">
        <f>+'OT18-068 VILLA PINZÓN'!G23</f>
        <v>447470.71</v>
      </c>
      <c r="M202" s="618">
        <f>+'OT18-068 VILLA PINZÓN'!G24</f>
        <v>2802579.71</v>
      </c>
      <c r="N202" s="988">
        <f>+'OT18-068 VILLA PINZÓN'!J18</f>
        <v>0</v>
      </c>
      <c r="O202" s="923">
        <f>+'OT18-068 VILLA PINZÓN'!K22</f>
        <v>0</v>
      </c>
      <c r="P202" s="984">
        <f>+'OT18-068 VILLA PINZÓN'!J19</f>
        <v>0</v>
      </c>
      <c r="Q202" s="984">
        <f>+'OT18-068 VILLA PINZÓN'!J21</f>
        <v>0</v>
      </c>
      <c r="R202" s="988">
        <f>+'OT18-068 VILLA PINZÓN'!J22</f>
        <v>0</v>
      </c>
      <c r="S202" s="984">
        <f>+'OT18-068 VILLA PINZÓN'!J23</f>
        <v>0</v>
      </c>
      <c r="T202" s="984">
        <f>+'OT18-068 VILLA PINZÓN'!J24</f>
        <v>0</v>
      </c>
      <c r="U202" s="750" t="str">
        <f>+'OT18-068 VILLA PINZÓN'!A8</f>
        <v>Acta N° 1: Marzo</v>
      </c>
      <c r="V202" s="234"/>
      <c r="W202" s="925"/>
      <c r="X202" s="925"/>
      <c r="Y202" s="925"/>
      <c r="Z202" s="925"/>
      <c r="AA202" s="925"/>
      <c r="AB202" s="926"/>
      <c r="AC202" s="927"/>
      <c r="AD202" s="927"/>
      <c r="AE202" s="927"/>
      <c r="AF202" s="927"/>
      <c r="AG202" s="925"/>
      <c r="AH202" s="927"/>
      <c r="AJ202" s="925"/>
    </row>
    <row r="203" spans="1:36" s="924" customFormat="1" ht="57" customHeight="1" x14ac:dyDescent="0.3">
      <c r="A203" s="1064">
        <v>196</v>
      </c>
      <c r="B203" s="235" t="str">
        <f>+'OT18-069 NORTE'!J28</f>
        <v xml:space="preserve">D00248964 </v>
      </c>
      <c r="C203" s="235" t="str">
        <f>+'OT18-069 NORTE'!J29</f>
        <v>D00248964000</v>
      </c>
      <c r="D203" s="750" t="s">
        <v>2858</v>
      </c>
      <c r="E203" s="750" t="s">
        <v>2859</v>
      </c>
      <c r="F203" s="234">
        <f>+'OT18-069 NORTE'!J27</f>
        <v>0</v>
      </c>
      <c r="G203" s="234" t="str">
        <f>+'OT18-069 NORTE'!A7</f>
        <v>Proyecto: CDIE_CADCSR_R0026, SUBESTACIÓN STN-115 KV NORTE.</v>
      </c>
      <c r="H203" s="618">
        <f>+'OT18-069 NORTE'!G16</f>
        <v>3513408</v>
      </c>
      <c r="I203" s="618">
        <f>+'OT18-069 NORTE'!G17</f>
        <v>0</v>
      </c>
      <c r="J203" s="618">
        <f>+'OT18-069 NORTE'!G19</f>
        <v>52701</v>
      </c>
      <c r="K203" s="618">
        <f>+'OT18-069 NORTE'!G20</f>
        <v>3566109</v>
      </c>
      <c r="L203" s="618">
        <f>+'OT18-069 NORTE'!G21</f>
        <v>677560.71</v>
      </c>
      <c r="M203" s="618">
        <f>+'OT18-069 NORTE'!G22</f>
        <v>4243669.71</v>
      </c>
      <c r="N203" s="988">
        <f>+'OT18-069 NORTE'!J16</f>
        <v>0</v>
      </c>
      <c r="O203" s="923">
        <f>+'OT18-069 NORTE'!K20</f>
        <v>0</v>
      </c>
      <c r="P203" s="984">
        <f>+'OT18-069 NORTE'!J17</f>
        <v>0</v>
      </c>
      <c r="Q203" s="984">
        <f>+'OT18-069 NORTE'!J19</f>
        <v>0</v>
      </c>
      <c r="R203" s="988">
        <f>+'OT18-069 NORTE'!G20</f>
        <v>3566109</v>
      </c>
      <c r="S203" s="984">
        <f>+'OT18-069 NORTE'!J21</f>
        <v>0</v>
      </c>
      <c r="T203" s="984">
        <f>+'OT18-069 NORTE'!J22</f>
        <v>0</v>
      </c>
      <c r="U203" s="750" t="str">
        <f>+'OT18-069 NORTE'!A8</f>
        <v>Acta N° 1: Marzo</v>
      </c>
      <c r="V203" s="234"/>
      <c r="W203" s="925"/>
      <c r="X203" s="925"/>
      <c r="Y203" s="925"/>
      <c r="Z203" s="925"/>
      <c r="AA203" s="925"/>
      <c r="AB203" s="926"/>
      <c r="AC203" s="927"/>
      <c r="AD203" s="927"/>
      <c r="AE203" s="927"/>
      <c r="AF203" s="927"/>
      <c r="AG203" s="925"/>
      <c r="AH203" s="927"/>
      <c r="AJ203" s="925"/>
    </row>
    <row r="204" spans="1:36" s="924" customFormat="1" ht="57" customHeight="1" x14ac:dyDescent="0.3">
      <c r="A204" s="1064">
        <v>197</v>
      </c>
      <c r="B204" s="235" t="str">
        <f>+'OT18-070 SESQUILE'!J30</f>
        <v xml:space="preserve">D00249388 </v>
      </c>
      <c r="C204" s="235" t="str">
        <f>+'OT18-070 SESQUILE'!J31</f>
        <v>D00249388000</v>
      </c>
      <c r="D204" s="750" t="s">
        <v>2798</v>
      </c>
      <c r="E204" s="750" t="s">
        <v>2860</v>
      </c>
      <c r="F204" s="234">
        <f>+'OT18-070 SESQUILE'!J29</f>
        <v>0</v>
      </c>
      <c r="G204" s="234" t="str">
        <f>+'OT18-070 SESQUILE'!A7</f>
        <v>Proyecto: CDIE_CADCSR_R0026, SUBESTACIÓN STN-115 KV NORTE.</v>
      </c>
      <c r="H204" s="618">
        <f>+'OT18-070 SESQUILE'!G18</f>
        <v>7356169</v>
      </c>
      <c r="I204" s="618">
        <f>+'OT18-070 SESQUILE'!G19</f>
        <v>66205.520999999993</v>
      </c>
      <c r="J204" s="618">
        <f>+'OT18-070 SESQUILE'!G21</f>
        <v>111336</v>
      </c>
      <c r="K204" s="618">
        <f>+'OT18-070 SESQUILE'!G22</f>
        <v>7533710.5209999997</v>
      </c>
      <c r="L204" s="618">
        <f>+'OT18-070 SESQUILE'!G23</f>
        <v>1431404.99899</v>
      </c>
      <c r="M204" s="618">
        <f>+'OT18-070 SESQUILE'!G24</f>
        <v>8965115.519989999</v>
      </c>
      <c r="N204" s="988">
        <f>+'OT18-070 SESQUILE'!J18</f>
        <v>0</v>
      </c>
      <c r="O204" s="923">
        <f>+'OT18-070 SESQUILE'!K22</f>
        <v>0</v>
      </c>
      <c r="P204" s="984">
        <f>+'OT18-070 SESQUILE'!J19</f>
        <v>0</v>
      </c>
      <c r="Q204" s="984">
        <f>+'OT18-070 SESQUILE'!J21</f>
        <v>0</v>
      </c>
      <c r="R204" s="988">
        <f>+'OT18-070 SESQUILE'!J22</f>
        <v>0</v>
      </c>
      <c r="S204" s="984">
        <f>+'OT18-070 SESQUILE'!J23</f>
        <v>0</v>
      </c>
      <c r="T204" s="984">
        <f>+'OT18-070 SESQUILE'!J24</f>
        <v>0</v>
      </c>
      <c r="U204" s="750" t="str">
        <f>+'OT18-070 SESQUILE'!A8</f>
        <v>Acta N° 1: Marzo</v>
      </c>
      <c r="V204" s="234"/>
      <c r="W204" s="925"/>
      <c r="X204" s="925"/>
      <c r="Y204" s="925"/>
      <c r="Z204" s="925"/>
      <c r="AA204" s="925"/>
      <c r="AB204" s="926"/>
      <c r="AC204" s="927"/>
      <c r="AD204" s="927"/>
      <c r="AE204" s="927"/>
      <c r="AF204" s="927"/>
      <c r="AG204" s="925"/>
      <c r="AH204" s="927"/>
      <c r="AJ204" s="925"/>
    </row>
    <row r="205" spans="1:36" s="924" customFormat="1" ht="57" customHeight="1" x14ac:dyDescent="0.3">
      <c r="A205" s="1064">
        <v>198</v>
      </c>
      <c r="B205" s="235" t="str">
        <f>+'OT18-071 LLTT SIMIJACA '!J28</f>
        <v xml:space="preserve">D00249112 </v>
      </c>
      <c r="C205" s="235">
        <f>+'OT18-071 LLTT SIMIJACA '!J29</f>
        <v>1620900004</v>
      </c>
      <c r="D205" s="750" t="s">
        <v>2861</v>
      </c>
      <c r="E205" s="750" t="s">
        <v>2862</v>
      </c>
      <c r="F205" s="234">
        <f>+'OT18-071 LLTT SIMIJACA '!J27</f>
        <v>0</v>
      </c>
      <c r="G205" s="234" t="str">
        <f>+'OT18-071 LLTT SIMIJACA '!A7</f>
        <v>Proyecto: Confiabilidad Zona Simijaca ( LT SI-CH)</v>
      </c>
      <c r="H205" s="618">
        <f>+'OT18-071 LLTT SIMIJACA '!G16</f>
        <v>28436541</v>
      </c>
      <c r="I205" s="618">
        <f>+'OT18-071 LLTT SIMIJACA '!G17</f>
        <v>0</v>
      </c>
      <c r="J205" s="618">
        <f>+'OT18-071 LLTT SIMIJACA '!G19</f>
        <v>426548</v>
      </c>
      <c r="K205" s="618">
        <f>+'OT18-071 LLTT SIMIJACA '!G20</f>
        <v>28863089</v>
      </c>
      <c r="L205" s="618">
        <f>+'OT18-071 LLTT SIMIJACA '!G21</f>
        <v>5483986.9100000001</v>
      </c>
      <c r="M205" s="618">
        <f>+'OT18-071 LLTT SIMIJACA '!G22</f>
        <v>34347075.909999996</v>
      </c>
      <c r="N205" s="988">
        <f>+'OT18-071 LLTT SIMIJACA '!J16</f>
        <v>0</v>
      </c>
      <c r="O205" s="923">
        <f>+'OT18-071 LLTT SIMIJACA '!K20</f>
        <v>0</v>
      </c>
      <c r="P205" s="984">
        <f>+'OT18-071 LLTT SIMIJACA '!J17</f>
        <v>0</v>
      </c>
      <c r="Q205" s="984">
        <f>+'OT18-071 LLTT SIMIJACA '!J19</f>
        <v>0</v>
      </c>
      <c r="R205" s="988">
        <f>+'OT18-071 LLTT SIMIJACA '!J20</f>
        <v>0</v>
      </c>
      <c r="S205" s="984">
        <f>+'OT18-071 LLTT SIMIJACA '!J21</f>
        <v>0</v>
      </c>
      <c r="T205" s="984">
        <f>+'OT18-071 LLTT SIMIJACA '!J22</f>
        <v>0</v>
      </c>
      <c r="U205" s="750" t="str">
        <f>+'OT18-071 LLTT SIMIJACA '!A8</f>
        <v>Acta N° 1: Marzo</v>
      </c>
      <c r="V205" s="234"/>
      <c r="W205" s="925"/>
      <c r="X205" s="925"/>
      <c r="Y205" s="925"/>
      <c r="Z205" s="925"/>
      <c r="AA205" s="925"/>
      <c r="AB205" s="926"/>
      <c r="AC205" s="927"/>
      <c r="AD205" s="927"/>
      <c r="AE205" s="927"/>
      <c r="AF205" s="927"/>
      <c r="AG205" s="925"/>
      <c r="AH205" s="927"/>
      <c r="AJ205" s="925"/>
    </row>
    <row r="206" spans="1:36" s="924" customFormat="1" ht="57" customHeight="1" x14ac:dyDescent="0.3">
      <c r="A206" s="1064">
        <v>199</v>
      </c>
      <c r="B206" s="235">
        <f>+'OT18-072 LLTT-DORADA'!J28</f>
        <v>0</v>
      </c>
      <c r="C206" s="235">
        <f>+'OT18-072 LLTT-DORADA'!J29</f>
        <v>0</v>
      </c>
      <c r="D206" s="750" t="s">
        <v>2863</v>
      </c>
      <c r="E206" s="750" t="s">
        <v>2864</v>
      </c>
      <c r="F206" s="234">
        <f>+'OT18-072 LLTT-DORADA'!J27</f>
        <v>0</v>
      </c>
      <c r="G206" s="234" t="str">
        <f>+'OT18-072 LLTT-DORADA'!A7</f>
        <v>Proyecto: LT DO GU Remplazo estructura 453 por distancias de seguridad.</v>
      </c>
      <c r="H206" s="618">
        <f>+'OT18-072 LLTT-DORADA'!G16</f>
        <v>2653345</v>
      </c>
      <c r="I206" s="618">
        <f>+'OT18-072 LLTT-DORADA'!G17</f>
        <v>79600.349999999991</v>
      </c>
      <c r="J206" s="618">
        <f>+'OT18-072 LLTT-DORADA'!G19</f>
        <v>40994</v>
      </c>
      <c r="K206" s="618">
        <f>+'OT18-072 LLTT-DORADA'!G20</f>
        <v>2773939.35</v>
      </c>
      <c r="L206" s="618">
        <f>+'OT18-072 LLTT-DORADA'!G21</f>
        <v>527048.47649999999</v>
      </c>
      <c r="M206" s="618">
        <f>+'OT18-072 LLTT-DORADA'!G22</f>
        <v>3300987.8265</v>
      </c>
      <c r="N206" s="988">
        <f>+'OT18-072 LLTT-DORADA'!J16</f>
        <v>0</v>
      </c>
      <c r="O206" s="923">
        <f>+'OT18-072 LLTT-DORADA'!K20</f>
        <v>0</v>
      </c>
      <c r="P206" s="984">
        <f>+'OT18-072 LLTT-DORADA'!J17</f>
        <v>0</v>
      </c>
      <c r="Q206" s="984">
        <f>+'OT18-072 LLTT-DORADA'!J19</f>
        <v>0</v>
      </c>
      <c r="R206" s="988">
        <f>+'OT18-072 LLTT-DORADA'!J20</f>
        <v>0</v>
      </c>
      <c r="S206" s="984">
        <f>+'OT18-072 LLTT-DORADA'!J21</f>
        <v>0</v>
      </c>
      <c r="T206" s="984">
        <f>+'OT18-072 LLTT-DORADA'!J22</f>
        <v>0</v>
      </c>
      <c r="U206" s="750" t="str">
        <f>+'OT18-072 LLTT-DORADA'!A8</f>
        <v>Acta N° 1: Marzo</v>
      </c>
      <c r="V206" s="234"/>
      <c r="W206" s="925"/>
      <c r="X206" s="925"/>
      <c r="Y206" s="925"/>
      <c r="Z206" s="925"/>
      <c r="AA206" s="925"/>
      <c r="AB206" s="926"/>
      <c r="AC206" s="927"/>
      <c r="AD206" s="927"/>
      <c r="AE206" s="927"/>
      <c r="AF206" s="927"/>
      <c r="AG206" s="925"/>
      <c r="AH206" s="927"/>
      <c r="AJ206" s="925"/>
    </row>
    <row r="207" spans="1:36" s="924" customFormat="1" ht="57" customHeight="1" x14ac:dyDescent="0.3">
      <c r="A207" s="1064">
        <v>200</v>
      </c>
      <c r="B207" s="235" t="str">
        <f>+'OT18-073 CALERA'!J28</f>
        <v>D00249541</v>
      </c>
      <c r="C207" s="235" t="str">
        <f>+'OT18-073 CALERA'!J29</f>
        <v>D00249541000</v>
      </c>
      <c r="D207" s="750" t="s">
        <v>2865</v>
      </c>
      <c r="E207" s="750" t="s">
        <v>2866</v>
      </c>
      <c r="F207" s="234">
        <f>+'OT18-073 CALERA'!J27</f>
        <v>0</v>
      </c>
      <c r="G207" s="234" t="str">
        <f>+'OT18-073 CALERA'!A7</f>
        <v>Proyecto:CDIM_CBSGSM_R0199 NORMALIZACIÓN SERVICIOS ESENCIALES SSEE.</v>
      </c>
      <c r="H207" s="618">
        <f>+'OT18-073 CALERA'!G16</f>
        <v>1665202</v>
      </c>
      <c r="I207" s="618">
        <f>+'OT18-073 CALERA'!G17</f>
        <v>0</v>
      </c>
      <c r="J207" s="618">
        <f>+'OT18-073 CALERA'!G19</f>
        <v>24978</v>
      </c>
      <c r="K207" s="618">
        <f>+'OT18-073 CALERA'!G20</f>
        <v>1690180</v>
      </c>
      <c r="L207" s="618">
        <f>+'OT18-073 CALERA'!G21</f>
        <v>321134.2</v>
      </c>
      <c r="M207" s="618">
        <f>+'OT18-073 CALERA'!G22</f>
        <v>2011314.2</v>
      </c>
      <c r="N207" s="988">
        <f>+'OT18-073 CALERA'!J16</f>
        <v>0</v>
      </c>
      <c r="O207" s="923">
        <f>+'OT18-073 CALERA'!K20</f>
        <v>0</v>
      </c>
      <c r="P207" s="984">
        <f>+'OT18-073 CALERA'!J17</f>
        <v>0</v>
      </c>
      <c r="Q207" s="984">
        <f>+'OT18-073 CALERA'!J19</f>
        <v>0</v>
      </c>
      <c r="R207" s="988">
        <f>+'OT18-073 CALERA'!J20</f>
        <v>0</v>
      </c>
      <c r="S207" s="984">
        <f>+'OT18-073 CALERA'!J21</f>
        <v>0</v>
      </c>
      <c r="T207" s="984">
        <f>+'OT18-073 CALERA'!J22</f>
        <v>0</v>
      </c>
      <c r="U207" s="750" t="str">
        <f>+'OT18-073 CALERA'!A8</f>
        <v>Acta N° 1: Marzo</v>
      </c>
      <c r="V207" s="234"/>
      <c r="W207" s="925"/>
      <c r="X207" s="925"/>
      <c r="Y207" s="925"/>
      <c r="Z207" s="925"/>
      <c r="AA207" s="925"/>
      <c r="AB207" s="926"/>
      <c r="AC207" s="927"/>
      <c r="AD207" s="927"/>
      <c r="AE207" s="927"/>
      <c r="AF207" s="927"/>
      <c r="AG207" s="925"/>
      <c r="AH207" s="927"/>
      <c r="AJ207" s="925"/>
    </row>
    <row r="208" spans="1:36" s="924" customFormat="1" ht="57" customHeight="1" x14ac:dyDescent="0.3">
      <c r="A208" s="1064">
        <v>201</v>
      </c>
      <c r="B208" s="235" t="str">
        <f>+'OT18-074 LA PAZ'!J32</f>
        <v>D00249255</v>
      </c>
      <c r="C208" s="235" t="str">
        <f>+'OT18-074 LA PAZ'!J33</f>
        <v>D00249255000</v>
      </c>
      <c r="D208" s="750" t="s">
        <v>2805</v>
      </c>
      <c r="E208" s="750" t="s">
        <v>2867</v>
      </c>
      <c r="F208" s="234">
        <f>+'OT18-074 LA PAZ'!J31</f>
        <v>0</v>
      </c>
      <c r="G208" s="234" t="str">
        <f>+'OT18-074 LA PAZ'!A7</f>
        <v>Proyecto:CDIE_CBCCSM_R018  100% DIGITAL REEMPLAZO DE PROTECCIÓN</v>
      </c>
      <c r="H208" s="618">
        <f>+'OT18-074 LA PAZ'!G20</f>
        <v>792161</v>
      </c>
      <c r="I208" s="618">
        <f>+'OT18-074 LA PAZ'!G21</f>
        <v>0</v>
      </c>
      <c r="J208" s="618">
        <f>+'OT18-074 LA PAZ'!G23</f>
        <v>11882</v>
      </c>
      <c r="K208" s="618">
        <f>+'OT18-074 LA PAZ'!G24</f>
        <v>804043</v>
      </c>
      <c r="L208" s="618">
        <f>+'OT18-074 LA PAZ'!G25</f>
        <v>152768.17000000001</v>
      </c>
      <c r="M208" s="618">
        <f>+'OT18-074 LA PAZ'!G26</f>
        <v>956811.17</v>
      </c>
      <c r="N208" s="988">
        <f>+'OT18-074 LA PAZ'!J20</f>
        <v>0</v>
      </c>
      <c r="O208" s="923">
        <f>+'OT18-074 LA PAZ'!K24</f>
        <v>0</v>
      </c>
      <c r="P208" s="984">
        <f>+'OT18-074 LA PAZ'!J21</f>
        <v>0</v>
      </c>
      <c r="Q208" s="984">
        <f>+'OT18-074 LA PAZ'!J23</f>
        <v>0</v>
      </c>
      <c r="R208" s="988">
        <f>+'OT18-074 LA PAZ'!J24</f>
        <v>0</v>
      </c>
      <c r="S208" s="984">
        <f>+'OT18-074 LA PAZ'!J25</f>
        <v>0</v>
      </c>
      <c r="T208" s="984">
        <f>+'OT18-074 LA PAZ'!J26</f>
        <v>0</v>
      </c>
      <c r="U208" s="750" t="str">
        <f>+'OT18-074 LA PAZ'!A8</f>
        <v>Acta N° 1: Marzo</v>
      </c>
      <c r="V208" s="234"/>
      <c r="W208" s="925"/>
      <c r="X208" s="925"/>
      <c r="Y208" s="925"/>
      <c r="Z208" s="925"/>
      <c r="AA208" s="925"/>
      <c r="AB208" s="926"/>
      <c r="AC208" s="927"/>
      <c r="AD208" s="927"/>
      <c r="AE208" s="927"/>
      <c r="AF208" s="927"/>
      <c r="AG208" s="925"/>
      <c r="AH208" s="927"/>
      <c r="AJ208" s="925"/>
    </row>
    <row r="209" spans="1:37" s="924" customFormat="1" ht="57" customHeight="1" x14ac:dyDescent="0.3">
      <c r="A209" s="1064">
        <v>202</v>
      </c>
      <c r="B209" s="235" t="str">
        <f>+'OT18-075 BOLIVIA'!J35</f>
        <v>D00249255</v>
      </c>
      <c r="C209" s="235" t="str">
        <f>+'OT18-075 BOLIVIA'!J36</f>
        <v>D00249255000</v>
      </c>
      <c r="D209" s="750" t="s">
        <v>2740</v>
      </c>
      <c r="E209" s="750" t="s">
        <v>2868</v>
      </c>
      <c r="F209" s="234">
        <f>+'OT18-075 BOLIVIA'!J34</f>
        <v>0</v>
      </c>
      <c r="G209" s="234" t="str">
        <f>+'OT18-075 BOLIVIA'!A7</f>
        <v>Proyecto: CDIE_CBCCSM_R018  100% DIGITAL REEMPLAZO DE PROTECCIÓN.</v>
      </c>
      <c r="H209" s="618">
        <f>+'OT18-075 BOLIVIA'!G23</f>
        <v>989788</v>
      </c>
      <c r="I209" s="618">
        <f>+'OT18-075 BOLIVIA'!G24</f>
        <v>0</v>
      </c>
      <c r="J209" s="618">
        <f>+'OT18-075 BOLIVIA'!G26</f>
        <v>14847</v>
      </c>
      <c r="K209" s="618">
        <f>+'OT18-075 BOLIVIA'!G27</f>
        <v>1004635</v>
      </c>
      <c r="L209" s="618">
        <f>+'OT18-075 BOLIVIA'!G28</f>
        <v>190880.65</v>
      </c>
      <c r="M209" s="618">
        <f>+'OT18-075 BOLIVIA'!G29</f>
        <v>1195515.6499999999</v>
      </c>
      <c r="N209" s="988">
        <f>+'OT18-075 BOLIVIA'!J23</f>
        <v>0</v>
      </c>
      <c r="O209" s="923">
        <f>+'OT18-075 BOLIVIA'!K27</f>
        <v>0</v>
      </c>
      <c r="P209" s="984">
        <f>+'OT18-075 BOLIVIA'!J24</f>
        <v>0</v>
      </c>
      <c r="Q209" s="984">
        <f>+'OT18-075 BOLIVIA'!J26</f>
        <v>0</v>
      </c>
      <c r="R209" s="988">
        <f>+'OT18-075 BOLIVIA'!J27</f>
        <v>0</v>
      </c>
      <c r="S209" s="984">
        <f>+'OT18-075 BOLIVIA'!J28</f>
        <v>0</v>
      </c>
      <c r="T209" s="984">
        <f>+'OT18-075 BOLIVIA'!J29</f>
        <v>0</v>
      </c>
      <c r="U209" s="750" t="str">
        <f>+'OT18-075 BOLIVIA'!A8</f>
        <v>Acta N° 1: Marzo</v>
      </c>
      <c r="V209" s="234"/>
      <c r="W209" s="925"/>
      <c r="X209" s="925"/>
      <c r="Y209" s="925"/>
      <c r="Z209" s="925"/>
      <c r="AA209" s="925"/>
      <c r="AB209" s="926"/>
      <c r="AC209" s="927"/>
      <c r="AD209" s="927"/>
      <c r="AE209" s="927"/>
      <c r="AF209" s="927"/>
      <c r="AG209" s="925"/>
      <c r="AH209" s="927"/>
      <c r="AJ209" s="925"/>
    </row>
    <row r="210" spans="1:37" s="924" customFormat="1" ht="57" customHeight="1" x14ac:dyDescent="0.3">
      <c r="A210" s="1064">
        <v>203</v>
      </c>
      <c r="B210" s="235" t="str">
        <f>+'OT18-076 CHIA'!J29</f>
        <v>D00249252</v>
      </c>
      <c r="C210" s="235" t="str">
        <f>+'OT18-076 CHIA'!J30</f>
        <v>D00249252000</v>
      </c>
      <c r="D210" s="750" t="s">
        <v>2869</v>
      </c>
      <c r="E210" s="750" t="s">
        <v>2870</v>
      </c>
      <c r="F210" s="234">
        <f>+'OT18-076 CHIA'!J28</f>
        <v>0</v>
      </c>
      <c r="G210" s="234" t="str">
        <f>+'OT18-076 CHIA'!A7</f>
        <v>Proyecto: CDIE_CBCCSM_R018  100% DIGITAL REEMPLAZO DE PROTECCIÓN</v>
      </c>
      <c r="H210" s="618">
        <f>+'OT18-076 CHIA'!G17</f>
        <v>238801</v>
      </c>
      <c r="I210" s="618">
        <f>+'OT18-076 CHIA'!G18</f>
        <v>0</v>
      </c>
      <c r="J210" s="618">
        <f>+'OT18-076 CHIA'!G20</f>
        <v>3582</v>
      </c>
      <c r="K210" s="618">
        <f>+'OT18-076 CHIA'!G21</f>
        <v>242383</v>
      </c>
      <c r="L210" s="618">
        <f>+'OT18-076 CHIA'!G22</f>
        <v>46052.770000000004</v>
      </c>
      <c r="M210" s="618">
        <f>+'OT18-076 CHIA'!G23</f>
        <v>288435.77</v>
      </c>
      <c r="N210" s="988">
        <f>+'OT18-076 CHIA'!J17</f>
        <v>0</v>
      </c>
      <c r="O210" s="923">
        <f>+'OT18-076 CHIA'!K21</f>
        <v>0</v>
      </c>
      <c r="P210" s="984">
        <f>+'OT18-076 CHIA'!J18</f>
        <v>0</v>
      </c>
      <c r="Q210" s="984">
        <f>+'OT18-076 CHIA'!J20</f>
        <v>0</v>
      </c>
      <c r="R210" s="988">
        <f>+'OT18-076 CHIA'!J21</f>
        <v>0</v>
      </c>
      <c r="S210" s="984">
        <f>+'OT18-076 CHIA'!J22</f>
        <v>0</v>
      </c>
      <c r="T210" s="984">
        <f>+'OT18-076 CHIA'!J23</f>
        <v>0</v>
      </c>
      <c r="U210" s="750" t="str">
        <f>+'OT18-076 CHIA'!A8</f>
        <v>Acta N° 1: Marzo</v>
      </c>
      <c r="V210" s="234"/>
      <c r="W210" s="925"/>
      <c r="X210" s="925"/>
      <c r="Y210" s="925"/>
      <c r="Z210" s="925"/>
      <c r="AA210" s="925"/>
      <c r="AB210" s="926"/>
      <c r="AC210" s="927"/>
      <c r="AD210" s="927"/>
      <c r="AE210" s="927"/>
      <c r="AF210" s="927"/>
      <c r="AG210" s="925"/>
      <c r="AH210" s="927"/>
      <c r="AJ210" s="925"/>
    </row>
    <row r="211" spans="1:37" s="924" customFormat="1" ht="57" customHeight="1" x14ac:dyDescent="0.3">
      <c r="A211" s="1064">
        <v>204</v>
      </c>
      <c r="B211" s="235" t="str">
        <f>+'OT18-077 CONCORDIA'!J44</f>
        <v>D00249389</v>
      </c>
      <c r="C211" s="235" t="str">
        <f>+'OT18-077 CONCORDIA'!J45</f>
        <v>D00249389000</v>
      </c>
      <c r="D211" s="750" t="s">
        <v>1236</v>
      </c>
      <c r="E211" s="750" t="s">
        <v>2871</v>
      </c>
      <c r="F211" s="234">
        <f>+'OT18-077 CONCORDIA'!J43</f>
        <v>0</v>
      </c>
      <c r="G211" s="234" t="str">
        <f>+'OT18-077 CONCORDIA'!A7</f>
        <v>Proyecto: CDIM_CAOLIG_R0078 - RES. CREG 038-14 CÓDIGO DE MEDIDA.</v>
      </c>
      <c r="H211" s="618">
        <f>+'OT18-077 CONCORDIA'!G32</f>
        <v>3032865</v>
      </c>
      <c r="I211" s="618">
        <f>+'OT18-077 CONCORDIA'!G33</f>
        <v>0</v>
      </c>
      <c r="J211" s="618">
        <f>+'OT18-077 CONCORDIA'!G35</f>
        <v>45493</v>
      </c>
      <c r="K211" s="618">
        <f>+'OT18-077 CONCORDIA'!G36</f>
        <v>3078358</v>
      </c>
      <c r="L211" s="618">
        <f>+'OT18-077 CONCORDIA'!G37</f>
        <v>584888.02</v>
      </c>
      <c r="M211" s="618">
        <f>+'OT18-077 CONCORDIA'!G38</f>
        <v>3663246.02</v>
      </c>
      <c r="N211" s="988">
        <f>+'OT18-077 CONCORDIA'!J32</f>
        <v>0</v>
      </c>
      <c r="O211" s="923">
        <f>+'OT18-077 CONCORDIA'!K36</f>
        <v>0</v>
      </c>
      <c r="P211" s="984">
        <f>+'OT18-077 CONCORDIA'!J33</f>
        <v>0</v>
      </c>
      <c r="Q211" s="984">
        <f>+'OT18-077 CONCORDIA'!J35</f>
        <v>0</v>
      </c>
      <c r="R211" s="988">
        <f>+'OT18-077 CONCORDIA'!J36</f>
        <v>0</v>
      </c>
      <c r="S211" s="984">
        <f>+'OT18-077 CONCORDIA'!J37</f>
        <v>0</v>
      </c>
      <c r="T211" s="984">
        <f>+'OT18-077 CONCORDIA'!J38</f>
        <v>0</v>
      </c>
      <c r="U211" s="750" t="str">
        <f>+'OT18-077 CONCORDIA'!A8</f>
        <v>Acta N° 1: Marzo</v>
      </c>
      <c r="V211" s="234"/>
      <c r="W211" s="925"/>
      <c r="X211" s="925"/>
      <c r="Y211" s="925"/>
      <c r="Z211" s="925"/>
      <c r="AA211" s="925"/>
      <c r="AB211" s="926"/>
      <c r="AC211" s="927"/>
      <c r="AD211" s="927"/>
      <c r="AE211" s="927"/>
      <c r="AF211" s="927"/>
      <c r="AG211" s="925"/>
      <c r="AH211" s="927"/>
      <c r="AJ211" s="925"/>
    </row>
    <row r="212" spans="1:37" s="924" customFormat="1" ht="57" customHeight="1" x14ac:dyDescent="0.3">
      <c r="B212" s="235"/>
      <c r="C212" s="235"/>
      <c r="D212" s="750"/>
      <c r="E212" s="750"/>
      <c r="F212" s="234"/>
      <c r="G212" s="234"/>
      <c r="H212" s="618"/>
      <c r="I212" s="618"/>
      <c r="J212" s="618"/>
      <c r="K212" s="618"/>
      <c r="L212" s="618"/>
      <c r="M212" s="618"/>
      <c r="N212" s="988"/>
      <c r="O212" s="923"/>
      <c r="P212" s="984"/>
      <c r="Q212" s="984"/>
      <c r="R212" s="988"/>
      <c r="S212" s="984"/>
      <c r="T212" s="984"/>
      <c r="U212" s="750"/>
      <c r="V212" s="234"/>
      <c r="W212" s="925"/>
      <c r="X212" s="925"/>
      <c r="Y212" s="925"/>
      <c r="Z212" s="925"/>
      <c r="AA212" s="925"/>
      <c r="AB212" s="926"/>
      <c r="AC212" s="927"/>
      <c r="AD212" s="927"/>
      <c r="AE212" s="927"/>
      <c r="AF212" s="927"/>
      <c r="AG212" s="925"/>
      <c r="AH212" s="927"/>
      <c r="AJ212" s="925"/>
    </row>
    <row r="213" spans="1:37" s="924" customFormat="1" ht="57" customHeight="1" x14ac:dyDescent="0.3">
      <c r="B213" s="235"/>
      <c r="C213" s="235"/>
      <c r="D213" s="750"/>
      <c r="E213" s="750"/>
      <c r="F213" s="234"/>
      <c r="G213" s="234"/>
      <c r="H213" s="618"/>
      <c r="I213" s="618"/>
      <c r="J213" s="618"/>
      <c r="K213" s="618"/>
      <c r="L213" s="618"/>
      <c r="M213" s="618"/>
      <c r="N213" s="988"/>
      <c r="O213" s="923"/>
      <c r="P213" s="984"/>
      <c r="Q213" s="984"/>
      <c r="R213" s="988"/>
      <c r="S213" s="984"/>
      <c r="T213" s="984"/>
      <c r="U213" s="750"/>
      <c r="V213" s="234"/>
      <c r="W213" s="925"/>
      <c r="X213" s="925"/>
      <c r="Y213" s="925"/>
      <c r="Z213" s="925"/>
      <c r="AA213" s="925"/>
      <c r="AB213" s="926"/>
      <c r="AC213" s="927"/>
      <c r="AD213" s="927"/>
      <c r="AE213" s="927"/>
      <c r="AF213" s="927"/>
      <c r="AG213" s="925"/>
      <c r="AH213" s="927"/>
      <c r="AJ213" s="925"/>
    </row>
    <row r="214" spans="1:37" s="216" customFormat="1" ht="25.5" customHeight="1" x14ac:dyDescent="0.3">
      <c r="A214" s="215"/>
      <c r="B214" s="238"/>
      <c r="C214" s="238"/>
      <c r="D214" s="720"/>
      <c r="E214" s="248"/>
      <c r="F214" s="239"/>
      <c r="G214" s="240"/>
      <c r="H214" s="241"/>
      <c r="I214" s="241"/>
      <c r="J214" s="241"/>
      <c r="K214" s="241"/>
      <c r="L214" s="241"/>
      <c r="M214" s="241"/>
      <c r="N214" s="242">
        <f>SUM(N10:N176)</f>
        <v>70974644</v>
      </c>
      <c r="O214" s="243"/>
      <c r="P214" s="242">
        <f>SUM(P10:P176)</f>
        <v>117030.39599999998</v>
      </c>
      <c r="Q214" s="242">
        <f>SUM(Q10:Q176)</f>
        <v>1066378</v>
      </c>
      <c r="R214" s="242">
        <f>SUM(R10:R176)</f>
        <v>81055482.395999998</v>
      </c>
      <c r="S214" s="241"/>
      <c r="T214" s="241"/>
      <c r="U214" s="239"/>
      <c r="V214" s="239"/>
      <c r="W214" s="239"/>
      <c r="X214" s="239"/>
      <c r="Y214" s="239"/>
      <c r="Z214" s="239"/>
      <c r="AA214" s="239"/>
      <c r="AB214" s="239"/>
      <c r="AC214" s="239"/>
      <c r="AD214" s="239"/>
      <c r="AE214" s="239"/>
      <c r="AF214" s="239"/>
      <c r="AG214" s="239"/>
      <c r="AH214" s="239"/>
      <c r="AI214" s="239"/>
      <c r="AJ214" s="239"/>
      <c r="AK214" s="239"/>
    </row>
    <row r="215" spans="1:37" s="216" customFormat="1" ht="17.25" customHeight="1" x14ac:dyDescent="0.3">
      <c r="A215" s="215"/>
      <c r="B215" s="236"/>
      <c r="C215" s="236"/>
      <c r="G215" s="244"/>
      <c r="H215" s="245"/>
      <c r="I215" s="245"/>
      <c r="J215" s="245"/>
      <c r="K215" s="245"/>
      <c r="L215" s="245"/>
      <c r="M215" s="246" t="s">
        <v>18</v>
      </c>
      <c r="N215" s="246">
        <f>+N214+P214+Q214</f>
        <v>72158052.395999998</v>
      </c>
      <c r="O215" s="237"/>
      <c r="P215" s="245"/>
      <c r="Q215" s="245"/>
      <c r="R215" s="245"/>
      <c r="S215" s="245"/>
      <c r="T215" s="245"/>
      <c r="U215" s="239"/>
    </row>
    <row r="216" spans="1:37" s="216" customFormat="1" x14ac:dyDescent="0.3">
      <c r="A216" s="215"/>
      <c r="B216" s="217"/>
      <c r="C216" s="217"/>
      <c r="D216" s="215"/>
      <c r="E216" s="215"/>
      <c r="F216" s="215"/>
      <c r="G216" s="219"/>
      <c r="H216" s="247"/>
      <c r="I216" s="247"/>
      <c r="J216" s="247"/>
      <c r="K216" s="247"/>
      <c r="L216" s="247"/>
      <c r="M216" s="247"/>
      <c r="N216" s="247"/>
      <c r="O216" s="222"/>
      <c r="P216" s="247"/>
      <c r="Q216" s="247"/>
      <c r="R216" s="247"/>
      <c r="S216" s="247"/>
      <c r="T216" s="247"/>
    </row>
    <row r="217" spans="1:37" s="216" customFormat="1" x14ac:dyDescent="0.3">
      <c r="A217" s="215"/>
      <c r="B217" s="217"/>
      <c r="C217" s="217"/>
      <c r="D217" s="215"/>
      <c r="E217" s="215"/>
      <c r="F217" s="215"/>
      <c r="G217" s="219"/>
      <c r="H217" s="247"/>
      <c r="I217" s="247"/>
      <c r="J217" s="247"/>
      <c r="K217" s="247"/>
      <c r="L217" s="247"/>
      <c r="M217" s="247"/>
      <c r="N217" s="247"/>
      <c r="O217" s="222"/>
      <c r="P217" s="247"/>
      <c r="Q217" s="247"/>
      <c r="R217" s="247"/>
      <c r="S217" s="247"/>
      <c r="T217" s="247"/>
    </row>
    <row r="218" spans="1:37" s="216" customFormat="1" x14ac:dyDescent="0.3">
      <c r="A218" s="215"/>
      <c r="B218" s="217"/>
      <c r="C218" s="217"/>
      <c r="D218" s="215"/>
      <c r="E218" s="215"/>
      <c r="F218" s="215"/>
      <c r="G218" s="219"/>
      <c r="H218" s="247"/>
      <c r="I218" s="247"/>
      <c r="J218" s="247"/>
      <c r="K218" s="247"/>
      <c r="L218" s="247"/>
      <c r="M218" s="247"/>
      <c r="N218" s="247"/>
      <c r="O218" s="222"/>
      <c r="P218" s="247"/>
      <c r="Q218" s="247"/>
      <c r="R218" s="247"/>
      <c r="S218" s="247"/>
      <c r="T218" s="247"/>
    </row>
    <row r="219" spans="1:37" s="216" customFormat="1" x14ac:dyDescent="0.3">
      <c r="A219" s="215"/>
      <c r="B219" s="215"/>
      <c r="C219" s="217"/>
      <c r="D219" s="215"/>
      <c r="E219" s="215"/>
      <c r="F219" s="215"/>
      <c r="G219" s="219"/>
      <c r="H219" s="247"/>
      <c r="I219" s="247"/>
      <c r="J219" s="247"/>
      <c r="K219" s="247"/>
      <c r="L219" s="247"/>
      <c r="M219" s="247"/>
      <c r="N219" s="247"/>
      <c r="O219" s="222"/>
      <c r="P219" s="247"/>
      <c r="Q219" s="247"/>
      <c r="R219" s="247"/>
      <c r="S219" s="247"/>
      <c r="T219" s="247"/>
    </row>
    <row r="220" spans="1:37" s="216" customFormat="1" x14ac:dyDescent="0.3">
      <c r="A220" s="215"/>
      <c r="B220" s="215"/>
      <c r="C220" s="217"/>
      <c r="D220" s="215"/>
      <c r="E220" s="215"/>
      <c r="F220" s="215"/>
      <c r="G220" s="219"/>
      <c r="H220" s="247"/>
      <c r="I220" s="247"/>
      <c r="J220" s="247"/>
      <c r="K220" s="247"/>
      <c r="L220" s="247"/>
      <c r="M220" s="247"/>
      <c r="N220" s="247"/>
      <c r="O220" s="222"/>
      <c r="P220" s="247"/>
      <c r="Q220" s="247"/>
      <c r="R220" s="247"/>
      <c r="S220" s="247"/>
      <c r="T220" s="247"/>
    </row>
    <row r="221" spans="1:37" s="216" customFormat="1" x14ac:dyDescent="0.3">
      <c r="A221" s="215"/>
      <c r="B221" s="215"/>
      <c r="C221" s="217"/>
      <c r="D221" s="215"/>
      <c r="E221" s="215"/>
      <c r="F221" s="215"/>
      <c r="G221" s="219"/>
      <c r="H221" s="247"/>
      <c r="I221" s="247"/>
      <c r="J221" s="247"/>
      <c r="K221" s="247"/>
      <c r="L221" s="247"/>
      <c r="M221" s="247"/>
      <c r="N221" s="247"/>
      <c r="O221" s="222"/>
      <c r="P221" s="247"/>
      <c r="Q221" s="247"/>
      <c r="R221" s="247"/>
      <c r="S221" s="247"/>
      <c r="T221" s="247"/>
    </row>
    <row r="222" spans="1:37" s="216" customFormat="1" x14ac:dyDescent="0.3">
      <c r="A222" s="215"/>
      <c r="B222" s="215"/>
      <c r="C222" s="217"/>
      <c r="D222" s="215"/>
      <c r="E222" s="215"/>
      <c r="F222" s="215"/>
      <c r="G222" s="219"/>
      <c r="H222" s="247"/>
      <c r="I222" s="247"/>
      <c r="J222" s="247"/>
      <c r="K222" s="247"/>
      <c r="L222" s="247"/>
      <c r="M222" s="247"/>
      <c r="N222" s="247"/>
      <c r="O222" s="222"/>
      <c r="P222" s="247"/>
      <c r="Q222" s="247"/>
      <c r="R222" s="247"/>
      <c r="S222" s="247"/>
      <c r="T222" s="247"/>
    </row>
    <row r="223" spans="1:37" s="216" customFormat="1" x14ac:dyDescent="0.3">
      <c r="A223" s="215"/>
      <c r="B223" s="215"/>
      <c r="C223" s="217"/>
      <c r="D223" s="215"/>
      <c r="E223" s="215"/>
      <c r="F223" s="215"/>
      <c r="G223" s="219"/>
      <c r="H223" s="247"/>
      <c r="I223" s="247"/>
      <c r="J223" s="247"/>
      <c r="K223" s="247"/>
      <c r="L223" s="247"/>
      <c r="M223" s="247"/>
      <c r="N223" s="247"/>
      <c r="O223" s="222"/>
      <c r="P223" s="247"/>
      <c r="Q223" s="247"/>
      <c r="R223" s="247"/>
      <c r="S223" s="247"/>
      <c r="T223" s="247"/>
    </row>
    <row r="224" spans="1:37" s="216" customFormat="1" x14ac:dyDescent="0.3">
      <c r="A224" s="215"/>
      <c r="B224" s="215"/>
      <c r="C224" s="217"/>
      <c r="D224" s="215"/>
      <c r="E224" s="215"/>
      <c r="F224" s="215"/>
      <c r="G224" s="219"/>
      <c r="H224" s="247"/>
      <c r="I224" s="247"/>
      <c r="J224" s="247"/>
      <c r="K224" s="247"/>
      <c r="L224" s="247"/>
      <c r="M224" s="247"/>
      <c r="N224" s="247"/>
      <c r="O224" s="222"/>
      <c r="P224" s="247"/>
      <c r="Q224" s="247"/>
      <c r="R224" s="247"/>
      <c r="S224" s="247"/>
      <c r="T224" s="247"/>
    </row>
    <row r="225" spans="1:20" s="216" customFormat="1" x14ac:dyDescent="0.3">
      <c r="A225" s="215"/>
      <c r="B225" s="215"/>
      <c r="C225" s="217"/>
      <c r="D225" s="215"/>
      <c r="E225" s="215"/>
      <c r="F225" s="215"/>
      <c r="G225" s="219"/>
      <c r="H225" s="247"/>
      <c r="I225" s="247"/>
      <c r="J225" s="247"/>
      <c r="K225" s="247"/>
      <c r="L225" s="247"/>
      <c r="M225" s="247"/>
      <c r="N225" s="247"/>
      <c r="O225" s="222"/>
      <c r="P225" s="247"/>
      <c r="Q225" s="247"/>
      <c r="R225" s="247"/>
      <c r="S225" s="247"/>
      <c r="T225" s="247"/>
    </row>
    <row r="226" spans="1:20" s="216" customFormat="1" x14ac:dyDescent="0.3">
      <c r="A226" s="215"/>
      <c r="B226" s="215"/>
      <c r="C226" s="217"/>
      <c r="D226" s="215"/>
      <c r="E226" s="215"/>
      <c r="F226" s="215"/>
      <c r="G226" s="219"/>
      <c r="H226" s="247"/>
      <c r="I226" s="247"/>
      <c r="J226" s="247"/>
      <c r="K226" s="247"/>
      <c r="L226" s="247"/>
      <c r="M226" s="247"/>
      <c r="N226" s="247"/>
      <c r="O226" s="222"/>
      <c r="P226" s="247"/>
      <c r="Q226" s="247"/>
      <c r="R226" s="247"/>
      <c r="S226" s="247"/>
      <c r="T226" s="247"/>
    </row>
    <row r="227" spans="1:20" s="216" customFormat="1" x14ac:dyDescent="0.3">
      <c r="A227" s="215"/>
      <c r="B227" s="215"/>
      <c r="C227" s="217"/>
      <c r="D227" s="215"/>
      <c r="E227" s="215"/>
      <c r="F227" s="215"/>
      <c r="G227" s="219"/>
      <c r="H227" s="247"/>
      <c r="I227" s="247"/>
      <c r="J227" s="247"/>
      <c r="K227" s="247"/>
      <c r="L227" s="247"/>
      <c r="M227" s="247"/>
      <c r="N227" s="247"/>
      <c r="O227" s="222"/>
      <c r="P227" s="247"/>
      <c r="Q227" s="247"/>
      <c r="R227" s="247"/>
      <c r="S227" s="247"/>
      <c r="T227" s="247"/>
    </row>
    <row r="228" spans="1:20" s="216" customFormat="1" x14ac:dyDescent="0.3">
      <c r="A228" s="215"/>
      <c r="B228" s="215"/>
      <c r="C228" s="217"/>
      <c r="D228" s="215"/>
      <c r="E228" s="215"/>
      <c r="F228" s="215"/>
      <c r="G228" s="219"/>
      <c r="H228" s="247"/>
      <c r="I228" s="247"/>
      <c r="J228" s="247"/>
      <c r="K228" s="247"/>
      <c r="L228" s="247"/>
      <c r="M228" s="247"/>
      <c r="N228" s="247"/>
      <c r="O228" s="222"/>
      <c r="P228" s="247"/>
      <c r="Q228" s="247"/>
      <c r="R228" s="247"/>
      <c r="S228" s="247"/>
      <c r="T228" s="247"/>
    </row>
    <row r="229" spans="1:20" s="216" customFormat="1" x14ac:dyDescent="0.3">
      <c r="A229" s="215"/>
      <c r="B229" s="215"/>
      <c r="C229" s="217"/>
      <c r="D229" s="215"/>
      <c r="E229" s="215"/>
      <c r="F229" s="215"/>
      <c r="G229" s="219"/>
      <c r="H229" s="247"/>
      <c r="I229" s="247"/>
      <c r="J229" s="247"/>
      <c r="K229" s="247"/>
      <c r="L229" s="247"/>
      <c r="M229" s="247"/>
      <c r="N229" s="247"/>
      <c r="O229" s="222"/>
      <c r="P229" s="247"/>
      <c r="Q229" s="247"/>
      <c r="R229" s="247"/>
      <c r="S229" s="247"/>
      <c r="T229" s="247"/>
    </row>
    <row r="230" spans="1:20" s="216" customFormat="1" x14ac:dyDescent="0.3">
      <c r="A230" s="215"/>
      <c r="B230" s="215"/>
      <c r="C230" s="217"/>
      <c r="D230" s="215"/>
      <c r="E230" s="215"/>
      <c r="F230" s="215"/>
      <c r="G230" s="219"/>
      <c r="H230" s="247"/>
      <c r="I230" s="247"/>
      <c r="J230" s="247"/>
      <c r="K230" s="247"/>
      <c r="L230" s="247"/>
      <c r="M230" s="247"/>
      <c r="N230" s="247"/>
      <c r="O230" s="222"/>
      <c r="P230" s="247"/>
      <c r="Q230" s="247"/>
      <c r="R230" s="247"/>
      <c r="S230" s="247"/>
      <c r="T230" s="247"/>
    </row>
    <row r="231" spans="1:20" s="216" customFormat="1" x14ac:dyDescent="0.3">
      <c r="A231" s="215"/>
      <c r="B231" s="215"/>
      <c r="C231" s="217"/>
      <c r="D231" s="215"/>
      <c r="E231" s="215"/>
      <c r="F231" s="215"/>
      <c r="G231" s="219"/>
      <c r="H231" s="247"/>
      <c r="I231" s="247"/>
      <c r="J231" s="247"/>
      <c r="K231" s="247"/>
      <c r="L231" s="247"/>
      <c r="M231" s="247"/>
      <c r="N231" s="247"/>
      <c r="O231" s="222"/>
      <c r="P231" s="247"/>
      <c r="Q231" s="247"/>
      <c r="R231" s="247"/>
      <c r="S231" s="247"/>
      <c r="T231" s="247"/>
    </row>
    <row r="232" spans="1:20" s="216" customFormat="1" x14ac:dyDescent="0.3">
      <c r="A232" s="215"/>
      <c r="B232" s="215"/>
      <c r="C232" s="217"/>
      <c r="D232" s="215"/>
      <c r="E232" s="215"/>
      <c r="F232" s="215"/>
      <c r="G232" s="219"/>
      <c r="H232" s="247"/>
      <c r="I232" s="247"/>
      <c r="J232" s="247"/>
      <c r="K232" s="247"/>
      <c r="L232" s="247"/>
      <c r="M232" s="247"/>
      <c r="N232" s="247"/>
      <c r="O232" s="222"/>
      <c r="P232" s="247"/>
      <c r="Q232" s="247"/>
      <c r="R232" s="247"/>
      <c r="S232" s="247"/>
      <c r="T232" s="247"/>
    </row>
    <row r="233" spans="1:20" s="216" customFormat="1" x14ac:dyDescent="0.3">
      <c r="A233" s="215"/>
      <c r="B233" s="215"/>
      <c r="C233" s="217"/>
      <c r="D233" s="215"/>
      <c r="E233" s="215"/>
      <c r="F233" s="215"/>
      <c r="G233" s="219"/>
      <c r="H233" s="247"/>
      <c r="I233" s="247"/>
      <c r="J233" s="247"/>
      <c r="K233" s="247"/>
      <c r="L233" s="247"/>
      <c r="M233" s="247"/>
      <c r="N233" s="247"/>
      <c r="O233" s="222"/>
      <c r="P233" s="247"/>
      <c r="Q233" s="247"/>
      <c r="R233" s="247"/>
      <c r="S233" s="247"/>
      <c r="T233" s="247"/>
    </row>
    <row r="234" spans="1:20" s="216" customFormat="1" x14ac:dyDescent="0.3">
      <c r="A234" s="215"/>
      <c r="B234" s="215"/>
      <c r="C234" s="217"/>
      <c r="D234" s="215"/>
      <c r="E234" s="215"/>
      <c r="F234" s="215"/>
      <c r="G234" s="219"/>
      <c r="H234" s="247"/>
      <c r="I234" s="247"/>
      <c r="J234" s="247"/>
      <c r="K234" s="247"/>
      <c r="L234" s="247"/>
      <c r="M234" s="247"/>
      <c r="N234" s="247"/>
      <c r="O234" s="222"/>
      <c r="P234" s="247"/>
      <c r="Q234" s="247"/>
      <c r="R234" s="247"/>
      <c r="S234" s="247"/>
      <c r="T234" s="247"/>
    </row>
    <row r="235" spans="1:20" s="216" customFormat="1" x14ac:dyDescent="0.3">
      <c r="A235" s="215"/>
      <c r="B235" s="215"/>
      <c r="C235" s="217"/>
      <c r="D235" s="215"/>
      <c r="E235" s="215"/>
      <c r="F235" s="215"/>
      <c r="G235" s="219"/>
      <c r="H235" s="247"/>
      <c r="I235" s="247"/>
      <c r="J235" s="247"/>
      <c r="K235" s="247"/>
      <c r="L235" s="247"/>
      <c r="M235" s="247"/>
      <c r="N235" s="247"/>
      <c r="O235" s="222"/>
      <c r="P235" s="247"/>
      <c r="Q235" s="247"/>
      <c r="R235" s="247"/>
      <c r="S235" s="247"/>
      <c r="T235" s="247"/>
    </row>
    <row r="236" spans="1:20" s="216" customFormat="1" x14ac:dyDescent="0.3">
      <c r="A236" s="215"/>
      <c r="B236" s="215"/>
      <c r="C236" s="217"/>
      <c r="D236" s="215"/>
      <c r="E236" s="215"/>
      <c r="F236" s="215"/>
      <c r="G236" s="219"/>
      <c r="H236" s="247"/>
      <c r="I236" s="247"/>
      <c r="J236" s="247"/>
      <c r="K236" s="247"/>
      <c r="L236" s="247"/>
      <c r="M236" s="247"/>
      <c r="N236" s="247"/>
      <c r="O236" s="222"/>
      <c r="P236" s="247"/>
      <c r="Q236" s="247"/>
      <c r="R236" s="247"/>
      <c r="S236" s="247"/>
      <c r="T236" s="247"/>
    </row>
    <row r="237" spans="1:20" s="216" customFormat="1" x14ac:dyDescent="0.3">
      <c r="A237" s="215"/>
      <c r="B237" s="215"/>
      <c r="C237" s="217"/>
      <c r="D237" s="215"/>
      <c r="E237" s="215"/>
      <c r="F237" s="215"/>
      <c r="G237" s="219"/>
      <c r="H237" s="247"/>
      <c r="I237" s="247"/>
      <c r="J237" s="247"/>
      <c r="K237" s="247"/>
      <c r="L237" s="247"/>
      <c r="M237" s="247"/>
      <c r="N237" s="247"/>
      <c r="O237" s="222"/>
      <c r="P237" s="247"/>
      <c r="Q237" s="247"/>
      <c r="R237" s="247"/>
      <c r="S237" s="247"/>
      <c r="T237" s="247"/>
    </row>
    <row r="238" spans="1:20" s="216" customFormat="1" x14ac:dyDescent="0.3">
      <c r="A238" s="215"/>
      <c r="B238" s="215"/>
      <c r="C238" s="217"/>
      <c r="D238" s="215"/>
      <c r="E238" s="215"/>
      <c r="F238" s="215"/>
      <c r="G238" s="219"/>
      <c r="H238" s="247"/>
      <c r="I238" s="247"/>
      <c r="J238" s="247"/>
      <c r="K238" s="247"/>
      <c r="L238" s="247"/>
      <c r="M238" s="247"/>
      <c r="N238" s="247"/>
      <c r="O238" s="222"/>
      <c r="P238" s="247"/>
      <c r="Q238" s="247"/>
      <c r="R238" s="247"/>
      <c r="S238" s="247"/>
      <c r="T238" s="247"/>
    </row>
    <row r="239" spans="1:20" s="216" customFormat="1" x14ac:dyDescent="0.3">
      <c r="A239" s="215"/>
      <c r="B239" s="215"/>
      <c r="C239" s="217"/>
      <c r="D239" s="215"/>
      <c r="E239" s="215"/>
      <c r="F239" s="215"/>
      <c r="G239" s="219"/>
      <c r="H239" s="247"/>
      <c r="I239" s="247"/>
      <c r="J239" s="247"/>
      <c r="K239" s="247"/>
      <c r="L239" s="247"/>
      <c r="M239" s="247"/>
      <c r="N239" s="247"/>
      <c r="O239" s="222"/>
      <c r="P239" s="247"/>
      <c r="Q239" s="247"/>
      <c r="R239" s="247"/>
      <c r="S239" s="247"/>
      <c r="T239" s="247"/>
    </row>
    <row r="240" spans="1:20" s="216" customFormat="1" x14ac:dyDescent="0.3">
      <c r="A240" s="215"/>
      <c r="B240" s="215"/>
      <c r="C240" s="217"/>
      <c r="D240" s="215"/>
      <c r="E240" s="215"/>
      <c r="F240" s="215"/>
      <c r="G240" s="219"/>
      <c r="H240" s="247"/>
      <c r="I240" s="247"/>
      <c r="J240" s="247"/>
      <c r="K240" s="247"/>
      <c r="L240" s="247"/>
      <c r="M240" s="247"/>
      <c r="N240" s="247"/>
      <c r="O240" s="222"/>
      <c r="P240" s="247"/>
      <c r="Q240" s="247"/>
      <c r="R240" s="247"/>
      <c r="S240" s="247"/>
      <c r="T240" s="247"/>
    </row>
    <row r="241" spans="1:22" s="216" customFormat="1" x14ac:dyDescent="0.3">
      <c r="A241" s="215"/>
      <c r="B241" s="215"/>
      <c r="C241" s="217"/>
      <c r="D241" s="215"/>
      <c r="E241" s="215"/>
      <c r="F241" s="215"/>
      <c r="G241" s="219"/>
      <c r="H241" s="247"/>
      <c r="I241" s="247"/>
      <c r="J241" s="247"/>
      <c r="K241" s="247"/>
      <c r="L241" s="247"/>
      <c r="M241" s="247"/>
      <c r="N241" s="247"/>
      <c r="O241" s="222"/>
      <c r="P241" s="247"/>
      <c r="Q241" s="247"/>
      <c r="R241" s="247"/>
      <c r="S241" s="247"/>
      <c r="T241" s="247"/>
    </row>
    <row r="242" spans="1:22" s="216" customFormat="1" x14ac:dyDescent="0.3">
      <c r="A242" s="215"/>
      <c r="B242" s="217"/>
      <c r="C242" s="217"/>
      <c r="D242" s="215"/>
      <c r="E242" s="215"/>
      <c r="F242" s="215"/>
      <c r="G242" s="219"/>
      <c r="H242" s="247"/>
      <c r="I242" s="247"/>
      <c r="J242" s="247"/>
      <c r="K242" s="247"/>
      <c r="L242" s="247"/>
      <c r="M242" s="247"/>
      <c r="N242" s="247"/>
      <c r="O242" s="222"/>
      <c r="P242" s="247"/>
      <c r="Q242" s="247"/>
      <c r="R242" s="247"/>
      <c r="S242" s="247"/>
      <c r="T242" s="247"/>
    </row>
    <row r="243" spans="1:22" s="216" customFormat="1" x14ac:dyDescent="0.3">
      <c r="A243" s="215"/>
      <c r="B243" s="217"/>
      <c r="C243" s="217"/>
      <c r="D243" s="215"/>
      <c r="E243" s="215"/>
      <c r="F243" s="215"/>
      <c r="G243" s="219"/>
      <c r="H243" s="247"/>
      <c r="I243" s="247"/>
      <c r="J243" s="247"/>
      <c r="K243" s="247"/>
      <c r="L243" s="247"/>
      <c r="M243" s="247"/>
      <c r="N243" s="247"/>
      <c r="O243" s="222"/>
      <c r="P243" s="247"/>
      <c r="Q243" s="247"/>
      <c r="R243" s="247"/>
      <c r="S243" s="247"/>
      <c r="T243" s="247"/>
      <c r="U243" s="215"/>
      <c r="V243" s="215"/>
    </row>
    <row r="244" spans="1:22" x14ac:dyDescent="0.3">
      <c r="H244" s="247"/>
      <c r="I244" s="247"/>
      <c r="J244" s="247"/>
      <c r="K244" s="247"/>
      <c r="L244" s="247"/>
      <c r="M244" s="247"/>
      <c r="N244" s="247"/>
      <c r="P244" s="247"/>
      <c r="Q244" s="247"/>
      <c r="R244" s="247"/>
      <c r="S244" s="247"/>
      <c r="T244" s="247"/>
    </row>
    <row r="245" spans="1:22" x14ac:dyDescent="0.3">
      <c r="H245" s="247"/>
      <c r="I245" s="247"/>
      <c r="J245" s="247"/>
      <c r="K245" s="247"/>
      <c r="L245" s="247"/>
      <c r="M245" s="247"/>
      <c r="N245" s="247"/>
      <c r="P245" s="247"/>
      <c r="Q245" s="247"/>
      <c r="R245" s="247"/>
      <c r="S245" s="247"/>
      <c r="T245" s="247"/>
    </row>
    <row r="246" spans="1:22" x14ac:dyDescent="0.3">
      <c r="H246" s="247"/>
      <c r="I246" s="247"/>
      <c r="J246" s="247"/>
      <c r="K246" s="247"/>
      <c r="L246" s="247"/>
      <c r="M246" s="247"/>
      <c r="N246" s="247"/>
      <c r="P246" s="247"/>
      <c r="Q246" s="247"/>
      <c r="R246" s="247"/>
      <c r="S246" s="247"/>
      <c r="T246" s="247"/>
    </row>
    <row r="247" spans="1:22" x14ac:dyDescent="0.3">
      <c r="H247" s="247"/>
      <c r="I247" s="247"/>
      <c r="J247" s="247"/>
      <c r="K247" s="247"/>
      <c r="L247" s="247"/>
      <c r="M247" s="247"/>
      <c r="N247" s="247"/>
      <c r="P247" s="247"/>
      <c r="Q247" s="247"/>
      <c r="R247" s="247"/>
      <c r="S247" s="247"/>
      <c r="T247" s="247"/>
    </row>
    <row r="248" spans="1:22" x14ac:dyDescent="0.3">
      <c r="H248" s="247"/>
      <c r="I248" s="247"/>
      <c r="J248" s="247"/>
      <c r="K248" s="247"/>
      <c r="L248" s="247"/>
      <c r="M248" s="247"/>
      <c r="N248" s="247"/>
      <c r="P248" s="247"/>
      <c r="Q248" s="247"/>
      <c r="R248" s="247"/>
      <c r="S248" s="247"/>
      <c r="T248" s="247"/>
    </row>
    <row r="249" spans="1:22" x14ac:dyDescent="0.3">
      <c r="H249" s="247"/>
      <c r="I249" s="247"/>
      <c r="J249" s="247"/>
      <c r="K249" s="247"/>
      <c r="L249" s="247"/>
      <c r="M249" s="247"/>
      <c r="N249" s="247"/>
      <c r="P249" s="247"/>
      <c r="Q249" s="247"/>
      <c r="R249" s="247"/>
      <c r="S249" s="247"/>
      <c r="T249" s="247"/>
    </row>
    <row r="250" spans="1:22" x14ac:dyDescent="0.3">
      <c r="H250" s="247"/>
      <c r="I250" s="247"/>
      <c r="J250" s="247"/>
      <c r="K250" s="247"/>
      <c r="L250" s="247"/>
      <c r="M250" s="247"/>
      <c r="N250" s="247"/>
      <c r="P250" s="247"/>
      <c r="Q250" s="247"/>
      <c r="R250" s="247"/>
      <c r="S250" s="247"/>
      <c r="T250" s="247"/>
    </row>
    <row r="251" spans="1:22" x14ac:dyDescent="0.3">
      <c r="H251" s="247"/>
      <c r="I251" s="247"/>
      <c r="J251" s="247"/>
      <c r="K251" s="247"/>
      <c r="L251" s="247"/>
      <c r="M251" s="247"/>
      <c r="N251" s="247"/>
      <c r="P251" s="247"/>
      <c r="Q251" s="247"/>
      <c r="R251" s="247"/>
      <c r="S251" s="247"/>
      <c r="T251" s="247"/>
    </row>
    <row r="252" spans="1:22" x14ac:dyDescent="0.3">
      <c r="H252" s="247"/>
      <c r="I252" s="247"/>
      <c r="J252" s="247"/>
      <c r="K252" s="247"/>
      <c r="L252" s="247"/>
      <c r="M252" s="247"/>
      <c r="N252" s="247"/>
      <c r="P252" s="247"/>
      <c r="Q252" s="247"/>
      <c r="R252" s="247"/>
      <c r="S252" s="247"/>
      <c r="T252" s="247"/>
    </row>
    <row r="253" spans="1:22" x14ac:dyDescent="0.3">
      <c r="H253" s="247"/>
      <c r="I253" s="247"/>
      <c r="J253" s="247"/>
      <c r="K253" s="247"/>
      <c r="L253" s="247"/>
      <c r="M253" s="247"/>
      <c r="N253" s="247"/>
      <c r="P253" s="247"/>
      <c r="Q253" s="247"/>
      <c r="R253" s="247"/>
      <c r="S253" s="247"/>
      <c r="T253" s="247"/>
    </row>
    <row r="254" spans="1:22" x14ac:dyDescent="0.3">
      <c r="H254" s="247"/>
      <c r="I254" s="247"/>
      <c r="J254" s="247"/>
      <c r="K254" s="247"/>
      <c r="L254" s="247"/>
      <c r="M254" s="247"/>
      <c r="N254" s="247"/>
      <c r="P254" s="247"/>
      <c r="Q254" s="247"/>
      <c r="R254" s="247"/>
      <c r="S254" s="247"/>
      <c r="T254" s="247"/>
    </row>
    <row r="255" spans="1:22" x14ac:dyDescent="0.3">
      <c r="H255" s="247"/>
      <c r="I255" s="247"/>
      <c r="J255" s="247"/>
      <c r="K255" s="247"/>
      <c r="L255" s="247"/>
      <c r="M255" s="247"/>
      <c r="N255" s="247"/>
      <c r="P255" s="247"/>
      <c r="Q255" s="247"/>
      <c r="R255" s="247"/>
      <c r="S255" s="247"/>
      <c r="T255" s="247"/>
    </row>
    <row r="256" spans="1:22" x14ac:dyDescent="0.3">
      <c r="H256" s="247"/>
      <c r="I256" s="247"/>
      <c r="J256" s="247"/>
      <c r="K256" s="247"/>
      <c r="L256" s="247"/>
      <c r="M256" s="247"/>
      <c r="N256" s="247"/>
      <c r="P256" s="247"/>
      <c r="Q256" s="247"/>
      <c r="R256" s="247"/>
      <c r="S256" s="247"/>
      <c r="T256" s="247"/>
    </row>
    <row r="257" spans="8:20" x14ac:dyDescent="0.3">
      <c r="H257" s="247"/>
      <c r="I257" s="247"/>
      <c r="J257" s="247"/>
      <c r="K257" s="247"/>
      <c r="L257" s="247"/>
      <c r="M257" s="247"/>
      <c r="N257" s="247"/>
      <c r="P257" s="247"/>
      <c r="Q257" s="247"/>
      <c r="R257" s="247"/>
      <c r="S257" s="247"/>
      <c r="T257" s="247"/>
    </row>
    <row r="258" spans="8:20" x14ac:dyDescent="0.3">
      <c r="H258" s="247"/>
      <c r="I258" s="247"/>
      <c r="J258" s="247"/>
      <c r="K258" s="247"/>
      <c r="L258" s="247"/>
      <c r="M258" s="247"/>
      <c r="N258" s="247"/>
      <c r="P258" s="247"/>
      <c r="Q258" s="247"/>
      <c r="R258" s="247"/>
      <c r="S258" s="247"/>
      <c r="T258" s="247"/>
    </row>
    <row r="259" spans="8:20" x14ac:dyDescent="0.3">
      <c r="H259" s="247"/>
      <c r="I259" s="247"/>
      <c r="J259" s="247"/>
      <c r="K259" s="247"/>
      <c r="L259" s="247"/>
      <c r="M259" s="247"/>
      <c r="N259" s="247"/>
      <c r="P259" s="247"/>
      <c r="Q259" s="247"/>
      <c r="R259" s="247"/>
      <c r="S259" s="247"/>
      <c r="T259" s="247"/>
    </row>
    <row r="260" spans="8:20" x14ac:dyDescent="0.3">
      <c r="H260" s="247"/>
      <c r="I260" s="247"/>
      <c r="J260" s="247"/>
      <c r="K260" s="247"/>
      <c r="L260" s="247"/>
      <c r="M260" s="247"/>
      <c r="N260" s="247"/>
      <c r="P260" s="247"/>
      <c r="Q260" s="247"/>
      <c r="R260" s="247"/>
      <c r="S260" s="247"/>
      <c r="T260" s="247"/>
    </row>
    <row r="261" spans="8:20" x14ac:dyDescent="0.3">
      <c r="H261" s="247"/>
      <c r="I261" s="247"/>
      <c r="J261" s="247"/>
      <c r="K261" s="247"/>
      <c r="L261" s="247"/>
      <c r="M261" s="247"/>
      <c r="N261" s="247"/>
      <c r="P261" s="247"/>
      <c r="Q261" s="247"/>
      <c r="R261" s="247"/>
      <c r="S261" s="247"/>
      <c r="T261" s="247"/>
    </row>
    <row r="262" spans="8:20" x14ac:dyDescent="0.3">
      <c r="H262" s="247"/>
      <c r="I262" s="247"/>
      <c r="J262" s="247"/>
      <c r="K262" s="247"/>
      <c r="L262" s="247"/>
      <c r="M262" s="247"/>
      <c r="N262" s="247"/>
      <c r="P262" s="247"/>
      <c r="Q262" s="247"/>
      <c r="R262" s="247"/>
      <c r="S262" s="247"/>
      <c r="T262" s="247"/>
    </row>
    <row r="263" spans="8:20" x14ac:dyDescent="0.3">
      <c r="H263" s="247"/>
      <c r="I263" s="247"/>
      <c r="J263" s="247"/>
      <c r="K263" s="247"/>
      <c r="L263" s="247"/>
      <c r="M263" s="247"/>
      <c r="N263" s="247"/>
      <c r="P263" s="247"/>
      <c r="Q263" s="247"/>
      <c r="R263" s="247"/>
      <c r="S263" s="247"/>
      <c r="T263" s="247"/>
    </row>
    <row r="264" spans="8:20" x14ac:dyDescent="0.3">
      <c r="H264" s="247"/>
      <c r="I264" s="247"/>
      <c r="J264" s="247"/>
      <c r="K264" s="247"/>
      <c r="L264" s="247"/>
      <c r="M264" s="247"/>
      <c r="N264" s="247"/>
      <c r="P264" s="247"/>
      <c r="Q264" s="247"/>
      <c r="R264" s="247"/>
      <c r="S264" s="247"/>
      <c r="T264" s="247"/>
    </row>
    <row r="265" spans="8:20" x14ac:dyDescent="0.3">
      <c r="H265" s="247"/>
      <c r="I265" s="247"/>
      <c r="J265" s="247"/>
      <c r="K265" s="247"/>
      <c r="L265" s="247"/>
      <c r="M265" s="247"/>
      <c r="N265" s="247"/>
      <c r="P265" s="247"/>
      <c r="Q265" s="247"/>
      <c r="R265" s="247"/>
      <c r="S265" s="247"/>
      <c r="T265" s="247"/>
    </row>
    <row r="266" spans="8:20" x14ac:dyDescent="0.3">
      <c r="H266" s="247"/>
      <c r="I266" s="247"/>
      <c r="J266" s="247"/>
      <c r="K266" s="247"/>
      <c r="L266" s="247"/>
      <c r="M266" s="247"/>
      <c r="N266" s="247"/>
      <c r="P266" s="247"/>
      <c r="Q266" s="247"/>
      <c r="R266" s="247"/>
      <c r="S266" s="247"/>
      <c r="T266" s="247"/>
    </row>
    <row r="267" spans="8:20" x14ac:dyDescent="0.3">
      <c r="H267" s="247"/>
      <c r="I267" s="247"/>
      <c r="J267" s="247"/>
      <c r="K267" s="247"/>
      <c r="L267" s="247"/>
      <c r="M267" s="247"/>
      <c r="N267" s="247"/>
      <c r="P267" s="247"/>
      <c r="Q267" s="247"/>
      <c r="R267" s="247"/>
      <c r="S267" s="247"/>
      <c r="T267" s="247"/>
    </row>
    <row r="268" spans="8:20" x14ac:dyDescent="0.3">
      <c r="H268" s="247"/>
      <c r="I268" s="247"/>
      <c r="J268" s="247"/>
      <c r="K268" s="247"/>
      <c r="L268" s="247"/>
      <c r="M268" s="247"/>
      <c r="N268" s="247"/>
      <c r="P268" s="247"/>
      <c r="Q268" s="247"/>
      <c r="R268" s="247"/>
      <c r="S268" s="247"/>
      <c r="T268" s="247"/>
    </row>
    <row r="269" spans="8:20" x14ac:dyDescent="0.3">
      <c r="H269" s="247"/>
      <c r="I269" s="247"/>
      <c r="J269" s="247"/>
      <c r="K269" s="247"/>
      <c r="L269" s="247"/>
      <c r="M269" s="247"/>
      <c r="N269" s="247"/>
      <c r="P269" s="247"/>
      <c r="Q269" s="247"/>
      <c r="R269" s="247"/>
      <c r="S269" s="247"/>
      <c r="T269" s="247"/>
    </row>
    <row r="270" spans="8:20" x14ac:dyDescent="0.3">
      <c r="H270" s="247"/>
      <c r="I270" s="247"/>
      <c r="J270" s="247"/>
      <c r="K270" s="247"/>
      <c r="L270" s="247"/>
      <c r="M270" s="247"/>
      <c r="N270" s="247"/>
      <c r="P270" s="247"/>
      <c r="Q270" s="247"/>
      <c r="R270" s="247"/>
      <c r="S270" s="247"/>
      <c r="T270" s="247"/>
    </row>
    <row r="271" spans="8:20" x14ac:dyDescent="0.3">
      <c r="H271" s="247"/>
      <c r="I271" s="247"/>
      <c r="J271" s="247"/>
      <c r="K271" s="247"/>
      <c r="L271" s="247"/>
      <c r="M271" s="247"/>
      <c r="N271" s="247"/>
      <c r="P271" s="247"/>
      <c r="Q271" s="247"/>
      <c r="R271" s="247"/>
      <c r="S271" s="247"/>
      <c r="T271" s="247"/>
    </row>
    <row r="272" spans="8:20" x14ac:dyDescent="0.3">
      <c r="H272" s="247"/>
      <c r="I272" s="247"/>
      <c r="J272" s="247"/>
      <c r="K272" s="247"/>
      <c r="L272" s="247"/>
      <c r="M272" s="247"/>
      <c r="N272" s="247"/>
      <c r="P272" s="247"/>
      <c r="Q272" s="247"/>
      <c r="R272" s="247"/>
      <c r="S272" s="247"/>
      <c r="T272" s="247"/>
    </row>
    <row r="273" spans="8:20" x14ac:dyDescent="0.3">
      <c r="H273" s="247"/>
      <c r="I273" s="247"/>
      <c r="J273" s="247"/>
      <c r="K273" s="247"/>
      <c r="L273" s="247"/>
      <c r="M273" s="247"/>
      <c r="N273" s="247"/>
      <c r="P273" s="247"/>
      <c r="Q273" s="247"/>
      <c r="R273" s="247"/>
      <c r="S273" s="247"/>
      <c r="T273" s="247"/>
    </row>
    <row r="274" spans="8:20" x14ac:dyDescent="0.3">
      <c r="H274" s="247"/>
      <c r="I274" s="247"/>
      <c r="J274" s="247"/>
      <c r="K274" s="247"/>
      <c r="L274" s="247"/>
      <c r="M274" s="247"/>
      <c r="N274" s="247"/>
      <c r="P274" s="247"/>
      <c r="Q274" s="247"/>
      <c r="R274" s="247"/>
      <c r="S274" s="247"/>
      <c r="T274" s="247"/>
    </row>
    <row r="275" spans="8:20" x14ac:dyDescent="0.3">
      <c r="H275" s="247"/>
      <c r="I275" s="247"/>
      <c r="J275" s="247"/>
      <c r="K275" s="247"/>
      <c r="L275" s="247"/>
      <c r="M275" s="247"/>
      <c r="N275" s="247"/>
      <c r="P275" s="247"/>
      <c r="Q275" s="247"/>
      <c r="R275" s="247"/>
      <c r="S275" s="247"/>
      <c r="T275" s="247"/>
    </row>
    <row r="276" spans="8:20" x14ac:dyDescent="0.3">
      <c r="H276" s="247"/>
      <c r="I276" s="247"/>
      <c r="J276" s="247"/>
      <c r="K276" s="247"/>
      <c r="L276" s="247"/>
      <c r="M276" s="247"/>
      <c r="N276" s="247"/>
      <c r="P276" s="247"/>
      <c r="Q276" s="247"/>
      <c r="R276" s="247"/>
      <c r="S276" s="247"/>
      <c r="T276" s="247"/>
    </row>
    <row r="277" spans="8:20" x14ac:dyDescent="0.3">
      <c r="H277" s="247"/>
      <c r="I277" s="247"/>
      <c r="J277" s="247"/>
      <c r="K277" s="247"/>
      <c r="L277" s="247"/>
      <c r="M277" s="247"/>
      <c r="N277" s="247"/>
      <c r="P277" s="247"/>
      <c r="Q277" s="247"/>
      <c r="R277" s="247"/>
      <c r="S277" s="247"/>
      <c r="T277" s="247"/>
    </row>
    <row r="278" spans="8:20" x14ac:dyDescent="0.3">
      <c r="H278" s="247"/>
      <c r="I278" s="247"/>
      <c r="J278" s="247"/>
      <c r="K278" s="247"/>
      <c r="L278" s="247"/>
      <c r="M278" s="247"/>
      <c r="N278" s="247"/>
      <c r="P278" s="247"/>
      <c r="Q278" s="247"/>
      <c r="R278" s="247"/>
      <c r="S278" s="247"/>
      <c r="T278" s="247"/>
    </row>
    <row r="279" spans="8:20" x14ac:dyDescent="0.3">
      <c r="H279" s="247"/>
      <c r="I279" s="247"/>
      <c r="J279" s="247"/>
      <c r="K279" s="247"/>
      <c r="L279" s="247"/>
      <c r="M279" s="247"/>
      <c r="N279" s="247"/>
      <c r="P279" s="247"/>
      <c r="Q279" s="247"/>
      <c r="R279" s="247"/>
      <c r="S279" s="247"/>
      <c r="T279" s="247"/>
    </row>
    <row r="280" spans="8:20" x14ac:dyDescent="0.3">
      <c r="H280" s="247"/>
      <c r="I280" s="247"/>
      <c r="J280" s="247"/>
      <c r="K280" s="247"/>
      <c r="L280" s="247"/>
      <c r="M280" s="247"/>
      <c r="N280" s="247"/>
      <c r="P280" s="247"/>
      <c r="Q280" s="247"/>
      <c r="R280" s="247"/>
      <c r="S280" s="247"/>
      <c r="T280" s="247"/>
    </row>
    <row r="281" spans="8:20" x14ac:dyDescent="0.3">
      <c r="H281" s="247"/>
      <c r="I281" s="247"/>
      <c r="J281" s="247"/>
      <c r="K281" s="247"/>
      <c r="L281" s="247"/>
      <c r="M281" s="247"/>
      <c r="N281" s="247"/>
      <c r="P281" s="247"/>
      <c r="Q281" s="247"/>
      <c r="R281" s="247"/>
      <c r="S281" s="247"/>
      <c r="T281" s="247"/>
    </row>
    <row r="282" spans="8:20" x14ac:dyDescent="0.3">
      <c r="H282" s="247"/>
      <c r="I282" s="247"/>
      <c r="J282" s="247"/>
      <c r="K282" s="247"/>
      <c r="L282" s="247"/>
      <c r="M282" s="247"/>
      <c r="N282" s="247"/>
      <c r="P282" s="247"/>
      <c r="Q282" s="247"/>
      <c r="R282" s="247"/>
      <c r="S282" s="247"/>
      <c r="T282" s="247"/>
    </row>
    <row r="283" spans="8:20" x14ac:dyDescent="0.3">
      <c r="H283" s="247"/>
      <c r="I283" s="247"/>
      <c r="J283" s="247"/>
      <c r="K283" s="247"/>
      <c r="L283" s="247"/>
      <c r="M283" s="247"/>
      <c r="N283" s="247"/>
      <c r="P283" s="247"/>
      <c r="Q283" s="247"/>
      <c r="R283" s="247"/>
      <c r="S283" s="247"/>
      <c r="T283" s="247"/>
    </row>
    <row r="284" spans="8:20" x14ac:dyDescent="0.3">
      <c r="H284" s="247"/>
      <c r="I284" s="247"/>
      <c r="J284" s="247"/>
      <c r="K284" s="247"/>
      <c r="L284" s="247"/>
      <c r="M284" s="247"/>
      <c r="N284" s="247"/>
      <c r="P284" s="247"/>
      <c r="Q284" s="247"/>
      <c r="R284" s="247"/>
      <c r="S284" s="247"/>
      <c r="T284" s="247"/>
    </row>
    <row r="285" spans="8:20" x14ac:dyDescent="0.3">
      <c r="H285" s="247"/>
      <c r="I285" s="247"/>
      <c r="J285" s="247"/>
      <c r="K285" s="247"/>
      <c r="L285" s="247"/>
      <c r="M285" s="247"/>
      <c r="N285" s="247"/>
      <c r="P285" s="247"/>
      <c r="Q285" s="247"/>
      <c r="R285" s="247"/>
      <c r="S285" s="247"/>
      <c r="T285" s="247"/>
    </row>
    <row r="286" spans="8:20" x14ac:dyDescent="0.3">
      <c r="H286" s="247"/>
      <c r="I286" s="247"/>
      <c r="J286" s="247"/>
      <c r="K286" s="247"/>
      <c r="L286" s="247"/>
      <c r="M286" s="247"/>
      <c r="N286" s="247"/>
      <c r="P286" s="247"/>
      <c r="Q286" s="247"/>
      <c r="R286" s="247"/>
      <c r="S286" s="247"/>
      <c r="T286" s="247"/>
    </row>
    <row r="287" spans="8:20" x14ac:dyDescent="0.3">
      <c r="H287" s="247"/>
      <c r="I287" s="247"/>
      <c r="J287" s="247"/>
      <c r="K287" s="247"/>
      <c r="L287" s="247"/>
      <c r="M287" s="247"/>
      <c r="N287" s="247"/>
      <c r="P287" s="247"/>
      <c r="Q287" s="247"/>
      <c r="R287" s="247"/>
      <c r="S287" s="247"/>
      <c r="T287" s="247"/>
    </row>
    <row r="288" spans="8:20" x14ac:dyDescent="0.3">
      <c r="H288" s="247"/>
      <c r="I288" s="247"/>
      <c r="J288" s="247"/>
      <c r="K288" s="247"/>
      <c r="L288" s="247"/>
      <c r="M288" s="247"/>
      <c r="N288" s="247"/>
      <c r="P288" s="247"/>
      <c r="Q288" s="247"/>
      <c r="R288" s="247"/>
      <c r="S288" s="247"/>
      <c r="T288" s="247"/>
    </row>
    <row r="289" spans="8:20" x14ac:dyDescent="0.3">
      <c r="H289" s="247"/>
      <c r="I289" s="247"/>
      <c r="J289" s="247"/>
      <c r="K289" s="247"/>
      <c r="L289" s="247"/>
      <c r="M289" s="247"/>
      <c r="N289" s="247"/>
      <c r="P289" s="247"/>
      <c r="Q289" s="247"/>
      <c r="R289" s="247"/>
      <c r="S289" s="247"/>
      <c r="T289" s="247"/>
    </row>
    <row r="290" spans="8:20" x14ac:dyDescent="0.3">
      <c r="H290" s="247"/>
      <c r="I290" s="247"/>
      <c r="J290" s="247"/>
      <c r="K290" s="247"/>
      <c r="L290" s="247"/>
      <c r="M290" s="247"/>
      <c r="N290" s="247"/>
      <c r="P290" s="247"/>
      <c r="Q290" s="247"/>
      <c r="R290" s="247"/>
      <c r="S290" s="247"/>
      <c r="T290" s="247"/>
    </row>
    <row r="291" spans="8:20" x14ac:dyDescent="0.3">
      <c r="H291" s="247"/>
      <c r="I291" s="247"/>
      <c r="J291" s="247"/>
      <c r="K291" s="247"/>
      <c r="L291" s="247"/>
      <c r="M291" s="247"/>
      <c r="N291" s="247"/>
      <c r="P291" s="247"/>
      <c r="Q291" s="247"/>
      <c r="R291" s="247"/>
      <c r="S291" s="247"/>
      <c r="T291" s="247"/>
    </row>
    <row r="292" spans="8:20" x14ac:dyDescent="0.3">
      <c r="H292" s="247"/>
      <c r="I292" s="247"/>
      <c r="J292" s="247"/>
      <c r="K292" s="247"/>
      <c r="L292" s="247"/>
      <c r="M292" s="247"/>
      <c r="N292" s="247"/>
      <c r="P292" s="247"/>
      <c r="Q292" s="247"/>
      <c r="R292" s="247"/>
      <c r="S292" s="247"/>
      <c r="T292" s="247"/>
    </row>
    <row r="293" spans="8:20" x14ac:dyDescent="0.3">
      <c r="H293" s="247"/>
      <c r="I293" s="247"/>
      <c r="J293" s="247"/>
      <c r="K293" s="247"/>
      <c r="L293" s="247"/>
      <c r="M293" s="247"/>
      <c r="N293" s="247"/>
      <c r="P293" s="247"/>
      <c r="Q293" s="247"/>
      <c r="R293" s="247"/>
      <c r="S293" s="247"/>
      <c r="T293" s="247"/>
    </row>
    <row r="294" spans="8:20" x14ac:dyDescent="0.3">
      <c r="H294" s="247"/>
      <c r="I294" s="247"/>
      <c r="J294" s="247"/>
      <c r="K294" s="247"/>
      <c r="L294" s="247"/>
      <c r="M294" s="247"/>
      <c r="N294" s="247"/>
      <c r="P294" s="247"/>
      <c r="Q294" s="247"/>
      <c r="R294" s="247"/>
      <c r="S294" s="247"/>
      <c r="T294" s="247"/>
    </row>
    <row r="295" spans="8:20" x14ac:dyDescent="0.3">
      <c r="H295" s="247"/>
      <c r="I295" s="247"/>
      <c r="J295" s="247"/>
      <c r="K295" s="247"/>
      <c r="L295" s="247"/>
      <c r="M295" s="247"/>
      <c r="N295" s="247"/>
      <c r="P295" s="247"/>
      <c r="Q295" s="247"/>
      <c r="R295" s="247"/>
      <c r="S295" s="247"/>
      <c r="T295" s="247"/>
    </row>
    <row r="296" spans="8:20" x14ac:dyDescent="0.3">
      <c r="H296" s="247"/>
      <c r="I296" s="247"/>
      <c r="J296" s="247"/>
      <c r="K296" s="247"/>
      <c r="L296" s="247"/>
      <c r="M296" s="247"/>
      <c r="N296" s="247"/>
      <c r="P296" s="247"/>
      <c r="Q296" s="247"/>
      <c r="R296" s="247"/>
      <c r="S296" s="247"/>
      <c r="T296" s="247"/>
    </row>
    <row r="297" spans="8:20" x14ac:dyDescent="0.3">
      <c r="H297" s="247"/>
      <c r="I297" s="247"/>
      <c r="J297" s="247"/>
      <c r="K297" s="247"/>
      <c r="L297" s="247"/>
      <c r="M297" s="247"/>
      <c r="N297" s="247"/>
      <c r="P297" s="247"/>
      <c r="Q297" s="247"/>
      <c r="R297" s="247"/>
      <c r="S297" s="247"/>
      <c r="T297" s="247"/>
    </row>
    <row r="298" spans="8:20" x14ac:dyDescent="0.3">
      <c r="H298" s="247"/>
      <c r="I298" s="247"/>
      <c r="J298" s="247"/>
      <c r="K298" s="247"/>
      <c r="L298" s="247"/>
      <c r="M298" s="247"/>
      <c r="N298" s="247"/>
      <c r="P298" s="247"/>
      <c r="Q298" s="247"/>
      <c r="R298" s="247"/>
      <c r="S298" s="247"/>
      <c r="T298" s="247"/>
    </row>
    <row r="299" spans="8:20" x14ac:dyDescent="0.3">
      <c r="H299" s="247"/>
      <c r="I299" s="247"/>
      <c r="J299" s="247"/>
      <c r="K299" s="247"/>
      <c r="L299" s="247"/>
      <c r="M299" s="247"/>
      <c r="N299" s="247"/>
      <c r="P299" s="247"/>
      <c r="Q299" s="247"/>
      <c r="R299" s="247"/>
      <c r="S299" s="247"/>
      <c r="T299" s="247"/>
    </row>
    <row r="300" spans="8:20" x14ac:dyDescent="0.3">
      <c r="H300" s="247"/>
      <c r="I300" s="247"/>
      <c r="J300" s="247"/>
      <c r="K300" s="247"/>
      <c r="L300" s="247"/>
      <c r="M300" s="247"/>
      <c r="N300" s="247"/>
      <c r="P300" s="247"/>
      <c r="Q300" s="247"/>
      <c r="R300" s="247"/>
      <c r="S300" s="247"/>
      <c r="T300" s="247"/>
    </row>
    <row r="301" spans="8:20" x14ac:dyDescent="0.3">
      <c r="H301" s="247"/>
      <c r="I301" s="247"/>
      <c r="J301" s="247"/>
      <c r="K301" s="247"/>
      <c r="L301" s="247"/>
      <c r="M301" s="247"/>
      <c r="N301" s="247"/>
      <c r="P301" s="247"/>
      <c r="Q301" s="247"/>
      <c r="R301" s="247"/>
      <c r="S301" s="247"/>
      <c r="T301" s="247"/>
    </row>
    <row r="302" spans="8:20" x14ac:dyDescent="0.3">
      <c r="H302" s="247"/>
      <c r="I302" s="247"/>
      <c r="J302" s="247"/>
      <c r="K302" s="247"/>
      <c r="L302" s="247"/>
      <c r="M302" s="247"/>
      <c r="N302" s="247"/>
      <c r="P302" s="247"/>
      <c r="Q302" s="247"/>
      <c r="R302" s="247"/>
      <c r="S302" s="247"/>
      <c r="T302" s="247"/>
    </row>
    <row r="303" spans="8:20" x14ac:dyDescent="0.3">
      <c r="H303" s="247"/>
      <c r="I303" s="247"/>
      <c r="J303" s="247"/>
      <c r="K303" s="247"/>
      <c r="L303" s="247"/>
      <c r="M303" s="247"/>
      <c r="N303" s="247"/>
      <c r="P303" s="247"/>
      <c r="Q303" s="247"/>
      <c r="R303" s="247"/>
      <c r="S303" s="247"/>
      <c r="T303" s="247"/>
    </row>
    <row r="304" spans="8:20" x14ac:dyDescent="0.3">
      <c r="H304" s="247"/>
      <c r="I304" s="247"/>
      <c r="J304" s="247"/>
      <c r="K304" s="247"/>
      <c r="L304" s="247"/>
      <c r="M304" s="247"/>
      <c r="N304" s="247"/>
      <c r="P304" s="247"/>
      <c r="Q304" s="247"/>
      <c r="R304" s="247"/>
      <c r="S304" s="247"/>
      <c r="T304" s="247"/>
    </row>
    <row r="305" spans="8:20" x14ac:dyDescent="0.3">
      <c r="H305" s="247"/>
      <c r="I305" s="247"/>
      <c r="J305" s="247"/>
      <c r="K305" s="247"/>
      <c r="L305" s="247"/>
      <c r="M305" s="247"/>
      <c r="N305" s="247"/>
      <c r="P305" s="247"/>
      <c r="Q305" s="247"/>
      <c r="R305" s="247"/>
      <c r="S305" s="247"/>
      <c r="T305" s="247"/>
    </row>
    <row r="306" spans="8:20" x14ac:dyDescent="0.3">
      <c r="H306" s="247"/>
      <c r="I306" s="247"/>
      <c r="J306" s="247"/>
      <c r="K306" s="247"/>
      <c r="L306" s="247"/>
      <c r="M306" s="247"/>
      <c r="N306" s="247"/>
      <c r="P306" s="247"/>
      <c r="Q306" s="247"/>
      <c r="R306" s="247"/>
      <c r="S306" s="247"/>
      <c r="T306" s="247"/>
    </row>
    <row r="307" spans="8:20" x14ac:dyDescent="0.3">
      <c r="H307" s="247"/>
      <c r="I307" s="247"/>
      <c r="J307" s="247"/>
      <c r="K307" s="247"/>
      <c r="L307" s="247"/>
      <c r="M307" s="247"/>
      <c r="N307" s="247"/>
      <c r="P307" s="247"/>
      <c r="Q307" s="247"/>
      <c r="R307" s="247"/>
      <c r="S307" s="247"/>
      <c r="T307" s="247"/>
    </row>
    <row r="308" spans="8:20" x14ac:dyDescent="0.3">
      <c r="H308" s="247"/>
      <c r="I308" s="247"/>
      <c r="J308" s="247"/>
      <c r="K308" s="247"/>
      <c r="L308" s="247"/>
      <c r="M308" s="247"/>
      <c r="N308" s="247"/>
      <c r="P308" s="247"/>
      <c r="Q308" s="247"/>
      <c r="R308" s="247"/>
      <c r="S308" s="247"/>
      <c r="T308" s="247"/>
    </row>
    <row r="309" spans="8:20" x14ac:dyDescent="0.3">
      <c r="H309" s="247"/>
      <c r="I309" s="247"/>
      <c r="J309" s="247"/>
      <c r="K309" s="247"/>
      <c r="L309" s="247"/>
      <c r="M309" s="247"/>
      <c r="N309" s="247"/>
      <c r="P309" s="247"/>
      <c r="Q309" s="247"/>
      <c r="R309" s="247"/>
      <c r="S309" s="247"/>
      <c r="T309" s="247"/>
    </row>
    <row r="310" spans="8:20" x14ac:dyDescent="0.3">
      <c r="H310" s="247"/>
      <c r="I310" s="247"/>
      <c r="J310" s="247"/>
      <c r="K310" s="247"/>
      <c r="L310" s="247"/>
      <c r="M310" s="247"/>
      <c r="N310" s="247"/>
      <c r="P310" s="247"/>
      <c r="Q310" s="247"/>
      <c r="R310" s="247"/>
      <c r="S310" s="247"/>
      <c r="T310" s="247"/>
    </row>
    <row r="311" spans="8:20" x14ac:dyDescent="0.3">
      <c r="H311" s="247"/>
      <c r="I311" s="247"/>
      <c r="J311" s="247"/>
      <c r="K311" s="247"/>
      <c r="L311" s="247"/>
      <c r="M311" s="247"/>
      <c r="N311" s="247"/>
      <c r="P311" s="247"/>
      <c r="Q311" s="247"/>
      <c r="R311" s="247"/>
      <c r="S311" s="247"/>
      <c r="T311" s="247"/>
    </row>
    <row r="312" spans="8:20" x14ac:dyDescent="0.3">
      <c r="H312" s="247"/>
      <c r="I312" s="247"/>
      <c r="J312" s="247"/>
      <c r="K312" s="247"/>
      <c r="L312" s="247"/>
      <c r="M312" s="247"/>
      <c r="N312" s="247"/>
      <c r="P312" s="247"/>
      <c r="Q312" s="247"/>
      <c r="R312" s="247"/>
      <c r="S312" s="247"/>
      <c r="T312" s="247"/>
    </row>
    <row r="313" spans="8:20" x14ac:dyDescent="0.3">
      <c r="H313" s="247"/>
      <c r="I313" s="247"/>
      <c r="J313" s="247"/>
      <c r="K313" s="247"/>
      <c r="L313" s="247"/>
      <c r="M313" s="247"/>
      <c r="N313" s="247"/>
      <c r="P313" s="247"/>
      <c r="Q313" s="247"/>
      <c r="R313" s="247"/>
      <c r="S313" s="247"/>
      <c r="T313" s="247"/>
    </row>
    <row r="314" spans="8:20" x14ac:dyDescent="0.3">
      <c r="H314" s="247"/>
      <c r="I314" s="247"/>
      <c r="J314" s="247"/>
      <c r="K314" s="247"/>
      <c r="L314" s="247"/>
      <c r="M314" s="247"/>
      <c r="N314" s="247"/>
      <c r="P314" s="247"/>
      <c r="Q314" s="247"/>
      <c r="R314" s="247"/>
      <c r="S314" s="247"/>
      <c r="T314" s="247"/>
    </row>
    <row r="315" spans="8:20" x14ac:dyDescent="0.3">
      <c r="H315" s="247"/>
      <c r="I315" s="247"/>
      <c r="J315" s="247"/>
      <c r="K315" s="247"/>
      <c r="L315" s="247"/>
      <c r="M315" s="247"/>
      <c r="N315" s="247"/>
      <c r="P315" s="247"/>
      <c r="Q315" s="247"/>
      <c r="R315" s="247"/>
      <c r="S315" s="247"/>
      <c r="T315" s="247"/>
    </row>
    <row r="316" spans="8:20" x14ac:dyDescent="0.3">
      <c r="H316" s="247"/>
      <c r="I316" s="247"/>
      <c r="J316" s="247"/>
      <c r="K316" s="247"/>
      <c r="L316" s="247"/>
      <c r="M316" s="247"/>
      <c r="N316" s="247"/>
      <c r="P316" s="247"/>
      <c r="Q316" s="247"/>
      <c r="R316" s="247"/>
      <c r="S316" s="247"/>
      <c r="T316" s="247"/>
    </row>
    <row r="317" spans="8:20" x14ac:dyDescent="0.3">
      <c r="H317" s="247"/>
      <c r="I317" s="247"/>
      <c r="J317" s="247"/>
      <c r="K317" s="247"/>
      <c r="L317" s="247"/>
      <c r="M317" s="247"/>
      <c r="N317" s="247"/>
      <c r="P317" s="247"/>
      <c r="Q317" s="247"/>
      <c r="R317" s="247"/>
      <c r="S317" s="247"/>
      <c r="T317" s="247"/>
    </row>
    <row r="318" spans="8:20" x14ac:dyDescent="0.3">
      <c r="H318" s="247"/>
      <c r="I318" s="247"/>
      <c r="J318" s="247"/>
      <c r="K318" s="247"/>
      <c r="L318" s="247"/>
      <c r="M318" s="247"/>
      <c r="N318" s="247"/>
      <c r="P318" s="247"/>
      <c r="Q318" s="247"/>
      <c r="R318" s="247"/>
      <c r="S318" s="247"/>
      <c r="T318" s="247"/>
    </row>
    <row r="319" spans="8:20" x14ac:dyDescent="0.3">
      <c r="H319" s="247"/>
      <c r="I319" s="247"/>
      <c r="J319" s="247"/>
      <c r="K319" s="247"/>
      <c r="L319" s="247"/>
      <c r="M319" s="247"/>
      <c r="N319" s="247"/>
      <c r="P319" s="247"/>
      <c r="Q319" s="247"/>
      <c r="R319" s="247"/>
      <c r="S319" s="247"/>
      <c r="T319" s="247"/>
    </row>
    <row r="320" spans="8:20" x14ac:dyDescent="0.3">
      <c r="H320" s="247"/>
      <c r="I320" s="247"/>
      <c r="J320" s="247"/>
      <c r="K320" s="247"/>
      <c r="L320" s="247"/>
      <c r="M320" s="247"/>
      <c r="N320" s="247"/>
      <c r="P320" s="247"/>
      <c r="Q320" s="247"/>
      <c r="R320" s="247"/>
      <c r="S320" s="247"/>
      <c r="T320" s="247"/>
    </row>
    <row r="321" spans="8:20" x14ac:dyDescent="0.3">
      <c r="H321" s="247"/>
      <c r="I321" s="247"/>
      <c r="J321" s="247"/>
      <c r="K321" s="247"/>
      <c r="L321" s="247"/>
      <c r="M321" s="247"/>
      <c r="N321" s="247"/>
      <c r="P321" s="247"/>
      <c r="Q321" s="247"/>
      <c r="R321" s="247"/>
      <c r="S321" s="247"/>
      <c r="T321" s="247"/>
    </row>
    <row r="322" spans="8:20" x14ac:dyDescent="0.3">
      <c r="H322" s="247"/>
      <c r="I322" s="247"/>
      <c r="J322" s="247"/>
      <c r="K322" s="247"/>
      <c r="L322" s="247"/>
      <c r="M322" s="247"/>
      <c r="N322" s="247"/>
      <c r="P322" s="247"/>
      <c r="Q322" s="247"/>
      <c r="R322" s="247"/>
      <c r="S322" s="247"/>
      <c r="T322" s="247"/>
    </row>
    <row r="323" spans="8:20" x14ac:dyDescent="0.3">
      <c r="H323" s="247"/>
      <c r="I323" s="247"/>
      <c r="J323" s="247"/>
      <c r="K323" s="247"/>
      <c r="L323" s="247"/>
      <c r="M323" s="247"/>
      <c r="N323" s="247"/>
      <c r="P323" s="247"/>
      <c r="Q323" s="247"/>
      <c r="R323" s="247"/>
      <c r="S323" s="247"/>
      <c r="T323" s="247"/>
    </row>
    <row r="324" spans="8:20" x14ac:dyDescent="0.3">
      <c r="H324" s="247"/>
      <c r="I324" s="247"/>
      <c r="J324" s="247"/>
      <c r="K324" s="247"/>
      <c r="L324" s="247"/>
      <c r="M324" s="247"/>
      <c r="N324" s="247"/>
      <c r="P324" s="247"/>
      <c r="Q324" s="247"/>
      <c r="R324" s="247"/>
      <c r="S324" s="247"/>
      <c r="T324" s="247"/>
    </row>
    <row r="325" spans="8:20" x14ac:dyDescent="0.3">
      <c r="H325" s="247"/>
      <c r="I325" s="247"/>
      <c r="J325" s="247"/>
      <c r="K325" s="247"/>
      <c r="L325" s="247"/>
      <c r="M325" s="247"/>
      <c r="N325" s="247"/>
      <c r="P325" s="247"/>
      <c r="Q325" s="247"/>
      <c r="R325" s="247"/>
      <c r="S325" s="247"/>
      <c r="T325" s="247"/>
    </row>
    <row r="326" spans="8:20" x14ac:dyDescent="0.3">
      <c r="H326" s="247"/>
      <c r="I326" s="247"/>
      <c r="J326" s="247"/>
      <c r="K326" s="247"/>
      <c r="L326" s="247"/>
      <c r="M326" s="247"/>
      <c r="N326" s="247"/>
      <c r="P326" s="247"/>
      <c r="Q326" s="247"/>
      <c r="R326" s="247"/>
      <c r="S326" s="247"/>
      <c r="T326" s="247"/>
    </row>
    <row r="327" spans="8:20" x14ac:dyDescent="0.3">
      <c r="H327" s="247"/>
      <c r="I327" s="247"/>
      <c r="J327" s="247"/>
      <c r="K327" s="247"/>
      <c r="L327" s="247"/>
      <c r="M327" s="247"/>
      <c r="N327" s="247"/>
      <c r="P327" s="247"/>
      <c r="Q327" s="247"/>
      <c r="R327" s="247"/>
      <c r="S327" s="247"/>
      <c r="T327" s="247"/>
    </row>
    <row r="328" spans="8:20" x14ac:dyDescent="0.3">
      <c r="H328" s="247"/>
      <c r="I328" s="247"/>
      <c r="J328" s="247"/>
      <c r="K328" s="247"/>
      <c r="L328" s="247"/>
      <c r="M328" s="247"/>
      <c r="N328" s="247"/>
      <c r="P328" s="247"/>
      <c r="Q328" s="247"/>
      <c r="R328" s="247"/>
      <c r="S328" s="247"/>
      <c r="T328" s="247"/>
    </row>
    <row r="329" spans="8:20" x14ac:dyDescent="0.3">
      <c r="H329" s="247"/>
      <c r="I329" s="247"/>
      <c r="J329" s="247"/>
      <c r="K329" s="247"/>
      <c r="L329" s="247"/>
      <c r="M329" s="247"/>
      <c r="N329" s="247"/>
      <c r="P329" s="247"/>
      <c r="Q329" s="247"/>
      <c r="R329" s="247"/>
      <c r="S329" s="247"/>
      <c r="T329" s="247"/>
    </row>
    <row r="330" spans="8:20" x14ac:dyDescent="0.3">
      <c r="H330" s="247"/>
      <c r="I330" s="247"/>
      <c r="J330" s="247"/>
      <c r="K330" s="247"/>
      <c r="L330" s="247"/>
      <c r="M330" s="247"/>
      <c r="N330" s="247"/>
      <c r="P330" s="247"/>
      <c r="Q330" s="247"/>
      <c r="R330" s="247"/>
      <c r="S330" s="247"/>
      <c r="T330" s="247"/>
    </row>
    <row r="331" spans="8:20" x14ac:dyDescent="0.3">
      <c r="H331" s="247"/>
      <c r="I331" s="247"/>
      <c r="J331" s="247"/>
      <c r="K331" s="247"/>
      <c r="L331" s="247"/>
      <c r="M331" s="247"/>
      <c r="N331" s="247"/>
      <c r="P331" s="247"/>
      <c r="Q331" s="247"/>
      <c r="R331" s="247"/>
      <c r="S331" s="247"/>
      <c r="T331" s="247"/>
    </row>
    <row r="332" spans="8:20" x14ac:dyDescent="0.3">
      <c r="H332" s="247"/>
      <c r="I332" s="247"/>
      <c r="J332" s="247"/>
      <c r="K332" s="247"/>
      <c r="L332" s="247"/>
      <c r="M332" s="247"/>
      <c r="N332" s="247"/>
      <c r="P332" s="247"/>
      <c r="Q332" s="247"/>
      <c r="R332" s="247"/>
      <c r="S332" s="247"/>
      <c r="T332" s="247"/>
    </row>
    <row r="333" spans="8:20" x14ac:dyDescent="0.3">
      <c r="H333" s="247"/>
      <c r="I333" s="247"/>
      <c r="J333" s="247"/>
      <c r="K333" s="247"/>
      <c r="L333" s="247"/>
      <c r="M333" s="247"/>
      <c r="N333" s="247"/>
      <c r="P333" s="247"/>
      <c r="Q333" s="247"/>
      <c r="R333" s="247"/>
      <c r="S333" s="247"/>
      <c r="T333" s="247"/>
    </row>
    <row r="334" spans="8:20" x14ac:dyDescent="0.3">
      <c r="H334" s="247"/>
      <c r="I334" s="247"/>
      <c r="J334" s="247"/>
      <c r="K334" s="247"/>
      <c r="L334" s="247"/>
      <c r="M334" s="247"/>
      <c r="N334" s="247"/>
      <c r="P334" s="247"/>
      <c r="Q334" s="247"/>
      <c r="R334" s="247"/>
      <c r="S334" s="247"/>
      <c r="T334" s="247"/>
    </row>
    <row r="335" spans="8:20" x14ac:dyDescent="0.3">
      <c r="H335" s="247"/>
      <c r="I335" s="247"/>
      <c r="J335" s="247"/>
      <c r="K335" s="247"/>
      <c r="L335" s="247"/>
      <c r="M335" s="247"/>
      <c r="N335" s="247"/>
      <c r="P335" s="247"/>
      <c r="Q335" s="247"/>
      <c r="R335" s="247"/>
      <c r="S335" s="247"/>
      <c r="T335" s="247"/>
    </row>
    <row r="336" spans="8:20" x14ac:dyDescent="0.3">
      <c r="H336" s="247"/>
      <c r="I336" s="247"/>
      <c r="J336" s="247"/>
      <c r="K336" s="247"/>
      <c r="L336" s="247"/>
      <c r="M336" s="247"/>
      <c r="N336" s="247"/>
      <c r="P336" s="247"/>
      <c r="Q336" s="247"/>
      <c r="R336" s="247"/>
      <c r="S336" s="247"/>
      <c r="T336" s="247"/>
    </row>
    <row r="337" spans="8:20" x14ac:dyDescent="0.3">
      <c r="H337" s="247"/>
      <c r="I337" s="247"/>
      <c r="J337" s="247"/>
      <c r="K337" s="247"/>
      <c r="L337" s="247"/>
      <c r="M337" s="247"/>
      <c r="N337" s="247"/>
      <c r="P337" s="247"/>
      <c r="Q337" s="247"/>
      <c r="R337" s="247"/>
      <c r="S337" s="247"/>
      <c r="T337" s="247"/>
    </row>
    <row r="338" spans="8:20" x14ac:dyDescent="0.3">
      <c r="H338" s="247"/>
      <c r="I338" s="247"/>
      <c r="J338" s="247"/>
      <c r="K338" s="247"/>
      <c r="L338" s="247"/>
      <c r="M338" s="247"/>
      <c r="N338" s="247"/>
      <c r="P338" s="247"/>
      <c r="Q338" s="247"/>
      <c r="R338" s="247"/>
      <c r="S338" s="247"/>
      <c r="T338" s="247"/>
    </row>
    <row r="339" spans="8:20" x14ac:dyDescent="0.3">
      <c r="H339" s="247"/>
      <c r="I339" s="247"/>
      <c r="J339" s="247"/>
      <c r="K339" s="247"/>
      <c r="L339" s="247"/>
      <c r="M339" s="247"/>
      <c r="N339" s="247"/>
      <c r="P339" s="247"/>
      <c r="Q339" s="247"/>
      <c r="R339" s="247"/>
      <c r="S339" s="247"/>
      <c r="T339" s="247"/>
    </row>
    <row r="340" spans="8:20" x14ac:dyDescent="0.3">
      <c r="H340" s="247"/>
      <c r="I340" s="247"/>
      <c r="J340" s="247"/>
      <c r="K340" s="247"/>
      <c r="L340" s="247"/>
      <c r="M340" s="247"/>
      <c r="N340" s="247"/>
      <c r="P340" s="247"/>
      <c r="Q340" s="247"/>
      <c r="R340" s="247"/>
      <c r="S340" s="247"/>
      <c r="T340" s="247"/>
    </row>
    <row r="341" spans="8:20" x14ac:dyDescent="0.3">
      <c r="H341" s="247"/>
      <c r="I341" s="247"/>
      <c r="J341" s="247"/>
      <c r="K341" s="247"/>
      <c r="L341" s="247"/>
      <c r="M341" s="247"/>
      <c r="N341" s="247"/>
      <c r="P341" s="247"/>
      <c r="Q341" s="247"/>
      <c r="R341" s="247"/>
      <c r="S341" s="247"/>
      <c r="T341" s="247"/>
    </row>
    <row r="342" spans="8:20" x14ac:dyDescent="0.3">
      <c r="H342" s="247"/>
      <c r="I342" s="247"/>
      <c r="J342" s="247"/>
      <c r="K342" s="247"/>
      <c r="L342" s="247"/>
      <c r="M342" s="247"/>
      <c r="N342" s="247"/>
      <c r="P342" s="247"/>
      <c r="Q342" s="247"/>
      <c r="R342" s="247"/>
      <c r="S342" s="247"/>
      <c r="T342" s="247"/>
    </row>
    <row r="343" spans="8:20" x14ac:dyDescent="0.3">
      <c r="H343" s="247"/>
      <c r="I343" s="247"/>
      <c r="J343" s="247"/>
      <c r="K343" s="247"/>
      <c r="L343" s="247"/>
      <c r="M343" s="247"/>
      <c r="N343" s="247"/>
      <c r="P343" s="247"/>
      <c r="Q343" s="247"/>
      <c r="R343" s="247"/>
      <c r="S343" s="247"/>
      <c r="T343" s="247"/>
    </row>
    <row r="344" spans="8:20" x14ac:dyDescent="0.3">
      <c r="H344" s="247"/>
      <c r="I344" s="247"/>
      <c r="J344" s="247"/>
      <c r="K344" s="247"/>
      <c r="L344" s="247"/>
      <c r="M344" s="247"/>
      <c r="N344" s="247"/>
      <c r="P344" s="247"/>
      <c r="Q344" s="247"/>
      <c r="R344" s="247"/>
      <c r="S344" s="247"/>
      <c r="T344" s="247"/>
    </row>
    <row r="345" spans="8:20" x14ac:dyDescent="0.3">
      <c r="H345" s="247"/>
      <c r="I345" s="247"/>
      <c r="J345" s="247"/>
      <c r="K345" s="247"/>
      <c r="L345" s="247"/>
      <c r="M345" s="247"/>
      <c r="N345" s="247"/>
      <c r="P345" s="247"/>
      <c r="Q345" s="247"/>
      <c r="R345" s="247"/>
      <c r="S345" s="247"/>
      <c r="T345" s="247"/>
    </row>
    <row r="346" spans="8:20" x14ac:dyDescent="0.3">
      <c r="H346" s="247"/>
      <c r="I346" s="247"/>
      <c r="J346" s="247"/>
      <c r="K346" s="247"/>
      <c r="L346" s="247"/>
      <c r="M346" s="247"/>
      <c r="N346" s="247"/>
      <c r="P346" s="247"/>
      <c r="Q346" s="247"/>
      <c r="R346" s="247"/>
      <c r="S346" s="247"/>
      <c r="T346" s="247"/>
    </row>
    <row r="347" spans="8:20" x14ac:dyDescent="0.3">
      <c r="H347" s="247"/>
      <c r="I347" s="247"/>
      <c r="J347" s="247"/>
      <c r="K347" s="247"/>
      <c r="L347" s="247"/>
      <c r="M347" s="247"/>
      <c r="N347" s="247"/>
      <c r="P347" s="247"/>
      <c r="Q347" s="247"/>
      <c r="R347" s="247"/>
      <c r="S347" s="247"/>
      <c r="T347" s="247"/>
    </row>
    <row r="348" spans="8:20" x14ac:dyDescent="0.3">
      <c r="H348" s="247"/>
      <c r="I348" s="247"/>
      <c r="J348" s="247"/>
      <c r="K348" s="247"/>
      <c r="L348" s="247"/>
      <c r="M348" s="247"/>
      <c r="N348" s="247"/>
      <c r="P348" s="247"/>
      <c r="Q348" s="247"/>
      <c r="R348" s="247"/>
      <c r="S348" s="247"/>
      <c r="T348" s="247"/>
    </row>
    <row r="349" spans="8:20" x14ac:dyDescent="0.3">
      <c r="H349" s="247"/>
      <c r="I349" s="247"/>
      <c r="J349" s="247"/>
      <c r="K349" s="247"/>
      <c r="L349" s="247"/>
      <c r="M349" s="247"/>
      <c r="N349" s="247"/>
      <c r="P349" s="247"/>
      <c r="Q349" s="247"/>
      <c r="R349" s="247"/>
      <c r="S349" s="247"/>
      <c r="T349" s="247"/>
    </row>
    <row r="350" spans="8:20" x14ac:dyDescent="0.3">
      <c r="H350" s="247"/>
      <c r="I350" s="247"/>
      <c r="J350" s="247"/>
      <c r="K350" s="247"/>
      <c r="L350" s="247"/>
      <c r="M350" s="247"/>
      <c r="N350" s="247"/>
      <c r="P350" s="247"/>
      <c r="Q350" s="247"/>
      <c r="R350" s="247"/>
      <c r="S350" s="247"/>
      <c r="T350" s="247"/>
    </row>
    <row r="351" spans="8:20" x14ac:dyDescent="0.3">
      <c r="H351" s="247"/>
      <c r="I351" s="247"/>
      <c r="J351" s="247"/>
      <c r="K351" s="247"/>
      <c r="L351" s="247"/>
      <c r="M351" s="247"/>
      <c r="N351" s="247"/>
      <c r="P351" s="247"/>
      <c r="Q351" s="247"/>
      <c r="R351" s="247"/>
      <c r="S351" s="247"/>
      <c r="T351" s="247"/>
    </row>
    <row r="352" spans="8:20" x14ac:dyDescent="0.3">
      <c r="H352" s="247"/>
      <c r="I352" s="247"/>
      <c r="J352" s="247"/>
      <c r="K352" s="247"/>
      <c r="L352" s="247"/>
      <c r="M352" s="247"/>
      <c r="N352" s="247"/>
      <c r="P352" s="247"/>
      <c r="Q352" s="247"/>
      <c r="R352" s="247"/>
      <c r="S352" s="247"/>
      <c r="T352" s="247"/>
    </row>
    <row r="353" spans="8:20" x14ac:dyDescent="0.3">
      <c r="H353" s="247"/>
      <c r="I353" s="247"/>
      <c r="J353" s="247"/>
      <c r="K353" s="247"/>
      <c r="L353" s="247"/>
      <c r="M353" s="247"/>
      <c r="N353" s="247"/>
      <c r="P353" s="247"/>
      <c r="Q353" s="247"/>
      <c r="R353" s="247"/>
      <c r="S353" s="247"/>
      <c r="T353" s="247"/>
    </row>
    <row r="354" spans="8:20" x14ac:dyDescent="0.3">
      <c r="H354" s="247"/>
      <c r="I354" s="247"/>
      <c r="J354" s="247"/>
      <c r="K354" s="247"/>
      <c r="L354" s="247"/>
      <c r="M354" s="247"/>
      <c r="N354" s="247"/>
      <c r="P354" s="247"/>
      <c r="Q354" s="247"/>
      <c r="R354" s="247"/>
      <c r="S354" s="247"/>
      <c r="T354" s="247"/>
    </row>
    <row r="355" spans="8:20" x14ac:dyDescent="0.3">
      <c r="H355" s="247"/>
      <c r="I355" s="247"/>
      <c r="J355" s="247"/>
      <c r="K355" s="247"/>
      <c r="L355" s="247"/>
      <c r="M355" s="247"/>
      <c r="N355" s="247"/>
      <c r="P355" s="247"/>
      <c r="Q355" s="247"/>
      <c r="R355" s="247"/>
      <c r="S355" s="247"/>
      <c r="T355" s="247"/>
    </row>
    <row r="356" spans="8:20" x14ac:dyDescent="0.3">
      <c r="H356" s="247"/>
      <c r="I356" s="247"/>
      <c r="J356" s="247"/>
      <c r="K356" s="247"/>
      <c r="L356" s="247"/>
      <c r="M356" s="247"/>
      <c r="N356" s="247"/>
      <c r="P356" s="247"/>
      <c r="Q356" s="247"/>
      <c r="R356" s="247"/>
      <c r="S356" s="247"/>
      <c r="T356" s="247"/>
    </row>
    <row r="357" spans="8:20" x14ac:dyDescent="0.3">
      <c r="H357" s="247"/>
      <c r="I357" s="247"/>
      <c r="J357" s="247"/>
      <c r="K357" s="247"/>
      <c r="L357" s="247"/>
      <c r="M357" s="247"/>
      <c r="N357" s="247"/>
      <c r="P357" s="247"/>
      <c r="Q357" s="247"/>
      <c r="R357" s="247"/>
      <c r="S357" s="247"/>
      <c r="T357" s="247"/>
    </row>
    <row r="358" spans="8:20" x14ac:dyDescent="0.3">
      <c r="H358" s="247"/>
      <c r="I358" s="247"/>
      <c r="J358" s="247"/>
      <c r="K358" s="247"/>
      <c r="L358" s="247"/>
      <c r="M358" s="247"/>
      <c r="N358" s="247"/>
      <c r="P358" s="247"/>
      <c r="Q358" s="247"/>
      <c r="R358" s="247"/>
      <c r="S358" s="247"/>
      <c r="T358" s="247"/>
    </row>
    <row r="359" spans="8:20" x14ac:dyDescent="0.3">
      <c r="H359" s="247"/>
      <c r="I359" s="247"/>
      <c r="J359" s="247"/>
      <c r="K359" s="247"/>
      <c r="L359" s="247"/>
      <c r="M359" s="247"/>
      <c r="N359" s="247"/>
      <c r="P359" s="247"/>
      <c r="Q359" s="247"/>
      <c r="R359" s="247"/>
      <c r="S359" s="247"/>
      <c r="T359" s="247"/>
    </row>
    <row r="360" spans="8:20" x14ac:dyDescent="0.3">
      <c r="H360" s="247"/>
      <c r="I360" s="247"/>
      <c r="J360" s="247"/>
      <c r="K360" s="247"/>
      <c r="L360" s="247"/>
      <c r="M360" s="247"/>
      <c r="N360" s="247"/>
      <c r="P360" s="247"/>
      <c r="Q360" s="247"/>
      <c r="R360" s="247"/>
      <c r="S360" s="247"/>
      <c r="T360" s="247"/>
    </row>
    <row r="361" spans="8:20" x14ac:dyDescent="0.3">
      <c r="H361" s="247"/>
      <c r="I361" s="247"/>
      <c r="J361" s="247"/>
      <c r="K361" s="247"/>
      <c r="L361" s="247"/>
      <c r="M361" s="247"/>
      <c r="N361" s="247"/>
      <c r="P361" s="247"/>
      <c r="Q361" s="247"/>
      <c r="R361" s="247"/>
      <c r="S361" s="247"/>
      <c r="T361" s="247"/>
    </row>
    <row r="362" spans="8:20" x14ac:dyDescent="0.3">
      <c r="H362" s="247"/>
      <c r="I362" s="247"/>
      <c r="J362" s="247"/>
      <c r="K362" s="247"/>
      <c r="L362" s="247"/>
      <c r="M362" s="247"/>
      <c r="N362" s="247"/>
      <c r="P362" s="247"/>
      <c r="Q362" s="247"/>
      <c r="R362" s="247"/>
      <c r="S362" s="247"/>
      <c r="T362" s="247"/>
    </row>
    <row r="363" spans="8:20" x14ac:dyDescent="0.3">
      <c r="H363" s="247"/>
      <c r="I363" s="247"/>
      <c r="J363" s="247"/>
      <c r="K363" s="247"/>
      <c r="L363" s="247"/>
      <c r="M363" s="247"/>
      <c r="N363" s="247"/>
      <c r="P363" s="247"/>
      <c r="Q363" s="247"/>
      <c r="R363" s="247"/>
      <c r="S363" s="247"/>
      <c r="T363" s="247"/>
    </row>
    <row r="364" spans="8:20" x14ac:dyDescent="0.3">
      <c r="H364" s="247"/>
      <c r="I364" s="247"/>
      <c r="J364" s="247"/>
      <c r="K364" s="247"/>
      <c r="L364" s="247"/>
      <c r="M364" s="247"/>
      <c r="N364" s="247"/>
      <c r="P364" s="247"/>
      <c r="Q364" s="247"/>
      <c r="R364" s="247"/>
      <c r="S364" s="247"/>
      <c r="T364" s="247"/>
    </row>
    <row r="365" spans="8:20" x14ac:dyDescent="0.3">
      <c r="H365" s="247"/>
      <c r="I365" s="247"/>
      <c r="J365" s="247"/>
      <c r="K365" s="247"/>
      <c r="L365" s="247"/>
      <c r="M365" s="247"/>
      <c r="N365" s="247"/>
      <c r="P365" s="247"/>
      <c r="Q365" s="247"/>
      <c r="R365" s="247"/>
      <c r="S365" s="247"/>
      <c r="T365" s="247"/>
    </row>
    <row r="366" spans="8:20" x14ac:dyDescent="0.3">
      <c r="H366" s="247"/>
      <c r="I366" s="247"/>
      <c r="J366" s="247"/>
      <c r="K366" s="247"/>
      <c r="L366" s="247"/>
      <c r="M366" s="247"/>
      <c r="N366" s="247"/>
      <c r="P366" s="247"/>
      <c r="Q366" s="247"/>
      <c r="R366" s="247"/>
      <c r="S366" s="247"/>
      <c r="T366" s="247"/>
    </row>
    <row r="367" spans="8:20" x14ac:dyDescent="0.3">
      <c r="H367" s="247"/>
      <c r="I367" s="247"/>
      <c r="J367" s="247"/>
      <c r="K367" s="247"/>
      <c r="L367" s="247"/>
      <c r="M367" s="247"/>
      <c r="N367" s="247"/>
      <c r="P367" s="247"/>
      <c r="Q367" s="247"/>
      <c r="R367" s="247"/>
      <c r="S367" s="247"/>
      <c r="T367" s="247"/>
    </row>
    <row r="368" spans="8:20" x14ac:dyDescent="0.3">
      <c r="H368" s="247"/>
      <c r="I368" s="247"/>
      <c r="J368" s="247"/>
      <c r="K368" s="247"/>
      <c r="L368" s="247"/>
      <c r="M368" s="247"/>
      <c r="N368" s="247"/>
      <c r="P368" s="247"/>
      <c r="Q368" s="247"/>
      <c r="R368" s="247"/>
      <c r="S368" s="247"/>
      <c r="T368" s="247"/>
    </row>
    <row r="369" spans="8:20" x14ac:dyDescent="0.3">
      <c r="H369" s="247"/>
      <c r="I369" s="247"/>
      <c r="J369" s="247"/>
      <c r="K369" s="247"/>
      <c r="L369" s="247"/>
      <c r="M369" s="247"/>
      <c r="N369" s="247"/>
      <c r="P369" s="247"/>
      <c r="Q369" s="247"/>
      <c r="R369" s="247"/>
      <c r="S369" s="247"/>
      <c r="T369" s="247"/>
    </row>
    <row r="370" spans="8:20" x14ac:dyDescent="0.3">
      <c r="H370" s="247"/>
      <c r="I370" s="247"/>
      <c r="J370" s="247"/>
      <c r="K370" s="247"/>
      <c r="L370" s="247"/>
      <c r="M370" s="247"/>
      <c r="N370" s="247"/>
      <c r="P370" s="247"/>
      <c r="Q370" s="247"/>
      <c r="R370" s="247"/>
      <c r="S370" s="247"/>
      <c r="T370" s="247"/>
    </row>
    <row r="371" spans="8:20" x14ac:dyDescent="0.3">
      <c r="H371" s="247"/>
      <c r="I371" s="247"/>
      <c r="J371" s="247"/>
      <c r="K371" s="247"/>
      <c r="L371" s="247"/>
      <c r="M371" s="247"/>
      <c r="N371" s="247"/>
      <c r="P371" s="247"/>
      <c r="Q371" s="247"/>
      <c r="R371" s="247"/>
      <c r="S371" s="247"/>
      <c r="T371" s="247"/>
    </row>
    <row r="372" spans="8:20" x14ac:dyDescent="0.3">
      <c r="H372" s="247"/>
      <c r="I372" s="247"/>
      <c r="J372" s="247"/>
      <c r="K372" s="247"/>
      <c r="L372" s="247"/>
      <c r="M372" s="247"/>
      <c r="N372" s="247"/>
      <c r="P372" s="247"/>
      <c r="Q372" s="247"/>
      <c r="R372" s="247"/>
      <c r="S372" s="247"/>
      <c r="T372" s="247"/>
    </row>
    <row r="373" spans="8:20" x14ac:dyDescent="0.3">
      <c r="H373" s="247"/>
      <c r="I373" s="247"/>
      <c r="J373" s="247"/>
      <c r="K373" s="247"/>
      <c r="L373" s="247"/>
      <c r="M373" s="247"/>
      <c r="N373" s="247"/>
      <c r="P373" s="247"/>
      <c r="Q373" s="247"/>
      <c r="R373" s="247"/>
      <c r="S373" s="247"/>
      <c r="T373" s="247"/>
    </row>
    <row r="374" spans="8:20" x14ac:dyDescent="0.3">
      <c r="H374" s="247"/>
      <c r="I374" s="247"/>
      <c r="J374" s="247"/>
      <c r="K374" s="247"/>
      <c r="L374" s="247"/>
      <c r="M374" s="247"/>
      <c r="N374" s="247"/>
      <c r="P374" s="247"/>
      <c r="Q374" s="247"/>
      <c r="R374" s="247"/>
      <c r="S374" s="247"/>
      <c r="T374" s="247"/>
    </row>
    <row r="375" spans="8:20" x14ac:dyDescent="0.3">
      <c r="H375" s="247"/>
      <c r="I375" s="247"/>
      <c r="J375" s="247"/>
      <c r="K375" s="247"/>
      <c r="L375" s="247"/>
      <c r="M375" s="247"/>
      <c r="N375" s="247"/>
      <c r="P375" s="247"/>
      <c r="Q375" s="247"/>
      <c r="R375" s="247"/>
      <c r="S375" s="247"/>
      <c r="T375" s="247"/>
    </row>
    <row r="376" spans="8:20" x14ac:dyDescent="0.3">
      <c r="H376" s="247"/>
      <c r="I376" s="247"/>
      <c r="J376" s="247"/>
      <c r="K376" s="247"/>
      <c r="L376" s="247"/>
      <c r="M376" s="247"/>
      <c r="N376" s="247"/>
      <c r="P376" s="247"/>
      <c r="Q376" s="247"/>
      <c r="R376" s="247"/>
      <c r="S376" s="247"/>
      <c r="T376" s="247"/>
    </row>
    <row r="377" spans="8:20" x14ac:dyDescent="0.3">
      <c r="H377" s="247"/>
      <c r="I377" s="247"/>
      <c r="J377" s="247"/>
      <c r="K377" s="247"/>
      <c r="L377" s="247"/>
      <c r="M377" s="247"/>
      <c r="N377" s="247"/>
      <c r="P377" s="247"/>
      <c r="Q377" s="247"/>
      <c r="R377" s="247"/>
      <c r="S377" s="247"/>
      <c r="T377" s="247"/>
    </row>
    <row r="378" spans="8:20" x14ac:dyDescent="0.3">
      <c r="H378" s="247"/>
      <c r="I378" s="247"/>
      <c r="J378" s="247"/>
      <c r="K378" s="247"/>
      <c r="L378" s="247"/>
      <c r="M378" s="247"/>
      <c r="N378" s="247"/>
      <c r="P378" s="247"/>
      <c r="Q378" s="247"/>
      <c r="R378" s="247"/>
      <c r="S378" s="247"/>
      <c r="T378" s="247"/>
    </row>
    <row r="379" spans="8:20" x14ac:dyDescent="0.3">
      <c r="H379" s="247"/>
      <c r="I379" s="247"/>
      <c r="J379" s="247"/>
      <c r="K379" s="247"/>
      <c r="L379" s="247"/>
      <c r="M379" s="247"/>
      <c r="N379" s="247"/>
      <c r="P379" s="247"/>
      <c r="Q379" s="247"/>
      <c r="R379" s="247"/>
      <c r="S379" s="247"/>
      <c r="T379" s="247"/>
    </row>
    <row r="380" spans="8:20" x14ac:dyDescent="0.3">
      <c r="H380" s="247"/>
      <c r="I380" s="247"/>
      <c r="J380" s="247"/>
      <c r="K380" s="247"/>
      <c r="L380" s="247"/>
      <c r="M380" s="247"/>
      <c r="N380" s="247"/>
      <c r="P380" s="247"/>
      <c r="Q380" s="247"/>
      <c r="R380" s="247"/>
      <c r="S380" s="247"/>
      <c r="T380" s="247"/>
    </row>
    <row r="381" spans="8:20" x14ac:dyDescent="0.3">
      <c r="H381" s="247"/>
      <c r="I381" s="247"/>
      <c r="J381" s="247"/>
      <c r="K381" s="247"/>
      <c r="L381" s="247"/>
      <c r="M381" s="247"/>
      <c r="N381" s="247"/>
      <c r="P381" s="247"/>
      <c r="Q381" s="247"/>
      <c r="R381" s="247"/>
      <c r="S381" s="247"/>
      <c r="T381" s="247"/>
    </row>
    <row r="382" spans="8:20" x14ac:dyDescent="0.3">
      <c r="H382" s="247"/>
      <c r="I382" s="247"/>
      <c r="J382" s="247"/>
      <c r="K382" s="247"/>
      <c r="L382" s="247"/>
      <c r="M382" s="247"/>
      <c r="N382" s="247"/>
      <c r="P382" s="247"/>
      <c r="Q382" s="247"/>
      <c r="R382" s="247"/>
      <c r="S382" s="247"/>
      <c r="T382" s="247"/>
    </row>
    <row r="383" spans="8:20" x14ac:dyDescent="0.3">
      <c r="H383" s="247"/>
      <c r="I383" s="247"/>
      <c r="J383" s="247"/>
      <c r="K383" s="247"/>
      <c r="L383" s="247"/>
      <c r="M383" s="247"/>
      <c r="N383" s="247"/>
      <c r="P383" s="247"/>
      <c r="Q383" s="247"/>
      <c r="R383" s="247"/>
      <c r="S383" s="247"/>
      <c r="T383" s="247"/>
    </row>
    <row r="384" spans="8:20" x14ac:dyDescent="0.3">
      <c r="H384" s="247"/>
      <c r="I384" s="247"/>
      <c r="J384" s="247"/>
      <c r="K384" s="247"/>
      <c r="L384" s="247"/>
      <c r="M384" s="247"/>
      <c r="N384" s="247"/>
      <c r="P384" s="247"/>
      <c r="Q384" s="247"/>
      <c r="R384" s="247"/>
      <c r="S384" s="247"/>
      <c r="T384" s="247"/>
    </row>
    <row r="385" spans="8:20" x14ac:dyDescent="0.3">
      <c r="H385" s="247"/>
      <c r="I385" s="247"/>
      <c r="J385" s="247"/>
      <c r="K385" s="247"/>
      <c r="L385" s="247"/>
      <c r="M385" s="247"/>
      <c r="N385" s="247"/>
      <c r="P385" s="247"/>
      <c r="Q385" s="247"/>
      <c r="R385" s="247"/>
      <c r="S385" s="247"/>
      <c r="T385" s="247"/>
    </row>
    <row r="386" spans="8:20" x14ac:dyDescent="0.3">
      <c r="H386" s="247"/>
      <c r="I386" s="247"/>
      <c r="J386" s="247"/>
      <c r="K386" s="247"/>
      <c r="L386" s="247"/>
      <c r="M386" s="247"/>
      <c r="N386" s="247"/>
      <c r="P386" s="247"/>
      <c r="Q386" s="247"/>
      <c r="R386" s="247"/>
      <c r="S386" s="247"/>
      <c r="T386" s="247"/>
    </row>
    <row r="387" spans="8:20" x14ac:dyDescent="0.3">
      <c r="H387" s="247"/>
      <c r="I387" s="247"/>
      <c r="J387" s="247"/>
      <c r="K387" s="247"/>
      <c r="L387" s="247"/>
      <c r="M387" s="247"/>
      <c r="N387" s="247"/>
      <c r="P387" s="247"/>
      <c r="Q387" s="247"/>
      <c r="R387" s="247"/>
      <c r="S387" s="247"/>
      <c r="T387" s="247"/>
    </row>
    <row r="388" spans="8:20" x14ac:dyDescent="0.3">
      <c r="H388" s="247"/>
      <c r="I388" s="247"/>
      <c r="J388" s="247"/>
      <c r="K388" s="247"/>
      <c r="L388" s="247"/>
      <c r="M388" s="247"/>
      <c r="N388" s="247"/>
      <c r="P388" s="247"/>
      <c r="Q388" s="247"/>
      <c r="R388" s="247"/>
      <c r="S388" s="247"/>
      <c r="T388" s="247"/>
    </row>
    <row r="389" spans="8:20" x14ac:dyDescent="0.3">
      <c r="H389" s="247"/>
      <c r="I389" s="247"/>
      <c r="J389" s="247"/>
      <c r="K389" s="247"/>
      <c r="L389" s="247"/>
      <c r="M389" s="247"/>
      <c r="N389" s="247"/>
      <c r="P389" s="247"/>
      <c r="Q389" s="247"/>
      <c r="R389" s="247"/>
      <c r="S389" s="247"/>
      <c r="T389" s="247"/>
    </row>
    <row r="390" spans="8:20" x14ac:dyDescent="0.3">
      <c r="H390" s="247"/>
      <c r="I390" s="247"/>
      <c r="J390" s="247"/>
      <c r="K390" s="247"/>
      <c r="L390" s="247"/>
      <c r="M390" s="247"/>
      <c r="N390" s="247"/>
      <c r="P390" s="247"/>
      <c r="Q390" s="247"/>
      <c r="R390" s="247"/>
      <c r="S390" s="247"/>
      <c r="T390" s="247"/>
    </row>
    <row r="391" spans="8:20" x14ac:dyDescent="0.3">
      <c r="H391" s="247"/>
      <c r="I391" s="247"/>
      <c r="J391" s="247"/>
      <c r="K391" s="247"/>
      <c r="L391" s="247"/>
      <c r="M391" s="247"/>
      <c r="N391" s="247"/>
      <c r="P391" s="247"/>
      <c r="Q391" s="247"/>
      <c r="R391" s="247"/>
      <c r="S391" s="247"/>
      <c r="T391" s="247"/>
    </row>
    <row r="392" spans="8:20" x14ac:dyDescent="0.3">
      <c r="H392" s="247"/>
      <c r="I392" s="247"/>
      <c r="J392" s="247"/>
      <c r="K392" s="247"/>
      <c r="L392" s="247"/>
      <c r="M392" s="247"/>
      <c r="N392" s="247"/>
      <c r="P392" s="247"/>
      <c r="Q392" s="247"/>
      <c r="R392" s="247"/>
      <c r="S392" s="247"/>
      <c r="T392" s="247"/>
    </row>
    <row r="393" spans="8:20" x14ac:dyDescent="0.3">
      <c r="H393" s="247"/>
      <c r="I393" s="247"/>
      <c r="J393" s="247"/>
      <c r="K393" s="247"/>
      <c r="L393" s="247"/>
      <c r="M393" s="247"/>
      <c r="N393" s="247"/>
      <c r="P393" s="247"/>
      <c r="Q393" s="247"/>
      <c r="R393" s="247"/>
      <c r="S393" s="247"/>
      <c r="T393" s="247"/>
    </row>
    <row r="394" spans="8:20" x14ac:dyDescent="0.3">
      <c r="H394" s="247"/>
      <c r="I394" s="247"/>
      <c r="J394" s="247"/>
      <c r="K394" s="247"/>
      <c r="L394" s="247"/>
      <c r="M394" s="247"/>
      <c r="N394" s="247"/>
      <c r="P394" s="247"/>
      <c r="Q394" s="247"/>
      <c r="R394" s="247"/>
      <c r="S394" s="247"/>
      <c r="T394" s="247"/>
    </row>
    <row r="395" spans="8:20" x14ac:dyDescent="0.3">
      <c r="H395" s="247"/>
      <c r="I395" s="247"/>
      <c r="J395" s="247"/>
      <c r="K395" s="247"/>
      <c r="L395" s="247"/>
      <c r="M395" s="247"/>
      <c r="N395" s="247"/>
      <c r="P395" s="247"/>
      <c r="Q395" s="247"/>
      <c r="R395" s="247"/>
      <c r="S395" s="247"/>
      <c r="T395" s="247"/>
    </row>
    <row r="396" spans="8:20" x14ac:dyDescent="0.3">
      <c r="H396" s="247"/>
      <c r="I396" s="247"/>
      <c r="J396" s="247"/>
      <c r="K396" s="247"/>
      <c r="L396" s="247"/>
      <c r="M396" s="247"/>
      <c r="N396" s="247"/>
      <c r="P396" s="247"/>
      <c r="Q396" s="247"/>
      <c r="R396" s="247"/>
      <c r="S396" s="247"/>
      <c r="T396" s="247"/>
    </row>
    <row r="397" spans="8:20" x14ac:dyDescent="0.3">
      <c r="H397" s="247"/>
      <c r="I397" s="247"/>
      <c r="J397" s="247"/>
      <c r="K397" s="247"/>
      <c r="L397" s="247"/>
      <c r="M397" s="247"/>
      <c r="N397" s="247"/>
      <c r="P397" s="247"/>
      <c r="Q397" s="247"/>
      <c r="R397" s="247"/>
      <c r="S397" s="247"/>
      <c r="T397" s="247"/>
    </row>
    <row r="398" spans="8:20" x14ac:dyDescent="0.3">
      <c r="H398" s="247"/>
      <c r="I398" s="247"/>
      <c r="J398" s="247"/>
      <c r="K398" s="247"/>
      <c r="L398" s="247"/>
      <c r="M398" s="247"/>
      <c r="N398" s="247"/>
      <c r="P398" s="247"/>
      <c r="Q398" s="247"/>
      <c r="R398" s="247"/>
      <c r="S398" s="247"/>
      <c r="T398" s="247"/>
    </row>
    <row r="399" spans="8:20" x14ac:dyDescent="0.3">
      <c r="H399" s="247"/>
      <c r="I399" s="247"/>
      <c r="J399" s="247"/>
      <c r="K399" s="247"/>
      <c r="L399" s="247"/>
      <c r="M399" s="247"/>
      <c r="N399" s="247"/>
      <c r="P399" s="247"/>
      <c r="Q399" s="247"/>
      <c r="R399" s="247"/>
      <c r="S399" s="247"/>
      <c r="T399" s="247"/>
    </row>
    <row r="400" spans="8:20" x14ac:dyDescent="0.3">
      <c r="H400" s="247"/>
      <c r="I400" s="247"/>
      <c r="J400" s="247"/>
      <c r="K400" s="247"/>
      <c r="L400" s="247"/>
      <c r="M400" s="247"/>
      <c r="N400" s="247"/>
      <c r="P400" s="247"/>
      <c r="Q400" s="247"/>
      <c r="R400" s="247"/>
      <c r="S400" s="247"/>
      <c r="T400" s="247"/>
    </row>
    <row r="401" spans="8:20" x14ac:dyDescent="0.3">
      <c r="H401" s="247"/>
      <c r="I401" s="247"/>
      <c r="J401" s="247"/>
      <c r="K401" s="247"/>
      <c r="L401" s="247"/>
      <c r="M401" s="247"/>
      <c r="N401" s="247"/>
      <c r="P401" s="247"/>
      <c r="Q401" s="247"/>
      <c r="R401" s="247"/>
      <c r="S401" s="247"/>
      <c r="T401" s="247"/>
    </row>
    <row r="402" spans="8:20" x14ac:dyDescent="0.3">
      <c r="H402" s="247"/>
      <c r="I402" s="247"/>
      <c r="J402" s="247"/>
      <c r="K402" s="247"/>
      <c r="L402" s="247"/>
      <c r="M402" s="247"/>
      <c r="N402" s="247"/>
      <c r="P402" s="247"/>
      <c r="Q402" s="247"/>
      <c r="R402" s="247"/>
      <c r="S402" s="247"/>
      <c r="T402" s="247"/>
    </row>
    <row r="403" spans="8:20" x14ac:dyDescent="0.3">
      <c r="H403" s="247"/>
      <c r="I403" s="247"/>
      <c r="J403" s="247"/>
      <c r="K403" s="247"/>
      <c r="L403" s="247"/>
      <c r="M403" s="247"/>
      <c r="N403" s="247"/>
      <c r="P403" s="247"/>
      <c r="Q403" s="247"/>
      <c r="R403" s="247"/>
      <c r="S403" s="247"/>
      <c r="T403" s="247"/>
    </row>
    <row r="404" spans="8:20" x14ac:dyDescent="0.3">
      <c r="H404" s="247"/>
      <c r="I404" s="247"/>
      <c r="J404" s="247"/>
      <c r="K404" s="247"/>
      <c r="L404" s="247"/>
      <c r="M404" s="247"/>
      <c r="N404" s="247"/>
      <c r="P404" s="247"/>
      <c r="Q404" s="247"/>
      <c r="R404" s="247"/>
      <c r="S404" s="247"/>
      <c r="T404" s="247"/>
    </row>
    <row r="405" spans="8:20" x14ac:dyDescent="0.3">
      <c r="H405" s="247"/>
      <c r="I405" s="247"/>
      <c r="J405" s="247"/>
      <c r="K405" s="247"/>
      <c r="L405" s="247"/>
      <c r="M405" s="247"/>
      <c r="N405" s="247"/>
      <c r="P405" s="247"/>
      <c r="Q405" s="247"/>
      <c r="R405" s="247"/>
      <c r="S405" s="247"/>
      <c r="T405" s="247"/>
    </row>
    <row r="406" spans="8:20" x14ac:dyDescent="0.3">
      <c r="H406" s="247"/>
      <c r="I406" s="247"/>
      <c r="J406" s="247"/>
      <c r="K406" s="247"/>
      <c r="L406" s="247"/>
      <c r="M406" s="247"/>
      <c r="N406" s="247"/>
      <c r="P406" s="247"/>
      <c r="Q406" s="247"/>
      <c r="R406" s="247"/>
      <c r="S406" s="247"/>
      <c r="T406" s="247"/>
    </row>
    <row r="407" spans="8:20" x14ac:dyDescent="0.3">
      <c r="H407" s="247"/>
      <c r="I407" s="247"/>
      <c r="J407" s="247"/>
      <c r="K407" s="247"/>
      <c r="L407" s="247"/>
      <c r="M407" s="247"/>
      <c r="N407" s="247"/>
      <c r="P407" s="247"/>
      <c r="Q407" s="247"/>
      <c r="R407" s="247"/>
      <c r="S407" s="247"/>
      <c r="T407" s="247"/>
    </row>
    <row r="408" spans="8:20" x14ac:dyDescent="0.3">
      <c r="H408" s="247"/>
      <c r="I408" s="247"/>
      <c r="J408" s="247"/>
      <c r="K408" s="247"/>
      <c r="L408" s="247"/>
      <c r="M408" s="247"/>
      <c r="N408" s="247"/>
      <c r="P408" s="247"/>
      <c r="Q408" s="247"/>
      <c r="R408" s="247"/>
      <c r="S408" s="247"/>
      <c r="T408" s="247"/>
    </row>
    <row r="409" spans="8:20" x14ac:dyDescent="0.3">
      <c r="H409" s="247"/>
      <c r="I409" s="247"/>
      <c r="J409" s="247"/>
      <c r="K409" s="247"/>
      <c r="L409" s="247"/>
      <c r="M409" s="247"/>
      <c r="N409" s="247"/>
      <c r="P409" s="247"/>
      <c r="Q409" s="247"/>
      <c r="R409" s="247"/>
      <c r="S409" s="247"/>
      <c r="T409" s="247"/>
    </row>
    <row r="410" spans="8:20" x14ac:dyDescent="0.3">
      <c r="H410" s="247"/>
      <c r="I410" s="247"/>
      <c r="J410" s="247"/>
      <c r="K410" s="247"/>
      <c r="L410" s="247"/>
      <c r="M410" s="247"/>
      <c r="N410" s="247"/>
      <c r="P410" s="247"/>
      <c r="Q410" s="247"/>
      <c r="R410" s="247"/>
      <c r="S410" s="247"/>
      <c r="T410" s="247"/>
    </row>
    <row r="411" spans="8:20" x14ac:dyDescent="0.3">
      <c r="H411" s="247"/>
      <c r="I411" s="247"/>
      <c r="J411" s="247"/>
      <c r="K411" s="247"/>
      <c r="L411" s="247"/>
      <c r="M411" s="247"/>
      <c r="N411" s="247"/>
      <c r="P411" s="247"/>
      <c r="Q411" s="247"/>
      <c r="R411" s="247"/>
      <c r="S411" s="247"/>
      <c r="T411" s="247"/>
    </row>
    <row r="412" spans="8:20" x14ac:dyDescent="0.3">
      <c r="H412" s="247"/>
      <c r="I412" s="247"/>
      <c r="J412" s="247"/>
      <c r="K412" s="247"/>
      <c r="L412" s="247"/>
      <c r="M412" s="247"/>
      <c r="N412" s="247"/>
      <c r="P412" s="247"/>
      <c r="Q412" s="247"/>
      <c r="R412" s="247"/>
      <c r="S412" s="247"/>
      <c r="T412" s="247"/>
    </row>
    <row r="413" spans="8:20" x14ac:dyDescent="0.3">
      <c r="H413" s="247"/>
      <c r="I413" s="247"/>
      <c r="J413" s="247"/>
      <c r="K413" s="247"/>
      <c r="L413" s="247"/>
      <c r="M413" s="247"/>
      <c r="N413" s="247"/>
      <c r="P413" s="247"/>
      <c r="Q413" s="247"/>
      <c r="R413" s="247"/>
      <c r="S413" s="247"/>
      <c r="T413" s="247"/>
    </row>
    <row r="414" spans="8:20" x14ac:dyDescent="0.3">
      <c r="H414" s="247"/>
      <c r="I414" s="247"/>
      <c r="J414" s="247"/>
      <c r="K414" s="247"/>
      <c r="L414" s="247"/>
      <c r="M414" s="247"/>
      <c r="N414" s="247"/>
      <c r="P414" s="247"/>
      <c r="Q414" s="247"/>
      <c r="R414" s="247"/>
      <c r="S414" s="247"/>
      <c r="T414" s="247"/>
    </row>
    <row r="415" spans="8:20" x14ac:dyDescent="0.3">
      <c r="H415" s="247"/>
      <c r="I415" s="247"/>
      <c r="J415" s="247"/>
      <c r="K415" s="247"/>
      <c r="L415" s="247"/>
      <c r="M415" s="247"/>
      <c r="N415" s="247"/>
      <c r="P415" s="247"/>
      <c r="Q415" s="247"/>
      <c r="R415" s="247"/>
      <c r="S415" s="247"/>
      <c r="T415" s="247"/>
    </row>
    <row r="416" spans="8:20" x14ac:dyDescent="0.3">
      <c r="H416" s="247"/>
      <c r="I416" s="247"/>
      <c r="J416" s="247"/>
      <c r="K416" s="247"/>
      <c r="L416" s="247"/>
      <c r="M416" s="247"/>
      <c r="N416" s="247"/>
      <c r="P416" s="247"/>
      <c r="Q416" s="247"/>
      <c r="R416" s="247"/>
      <c r="S416" s="247"/>
      <c r="T416" s="247"/>
    </row>
    <row r="417" spans="8:20" x14ac:dyDescent="0.3">
      <c r="H417" s="247"/>
      <c r="I417" s="247"/>
      <c r="J417" s="247"/>
      <c r="K417" s="247"/>
      <c r="L417" s="247"/>
      <c r="M417" s="247"/>
      <c r="N417" s="247"/>
      <c r="P417" s="247"/>
      <c r="Q417" s="247"/>
      <c r="R417" s="247"/>
      <c r="S417" s="247"/>
      <c r="T417" s="247"/>
    </row>
    <row r="418" spans="8:20" x14ac:dyDescent="0.3">
      <c r="H418" s="247"/>
      <c r="I418" s="247"/>
      <c r="J418" s="247"/>
      <c r="K418" s="247"/>
      <c r="L418" s="247"/>
      <c r="M418" s="247"/>
      <c r="N418" s="247"/>
      <c r="P418" s="247"/>
      <c r="Q418" s="247"/>
      <c r="R418" s="247"/>
      <c r="S418" s="247"/>
      <c r="T418" s="247"/>
    </row>
    <row r="419" spans="8:20" x14ac:dyDescent="0.3">
      <c r="H419" s="247"/>
      <c r="I419" s="247"/>
      <c r="J419" s="247"/>
      <c r="K419" s="247"/>
      <c r="L419" s="247"/>
      <c r="M419" s="247"/>
      <c r="N419" s="247"/>
      <c r="P419" s="247"/>
      <c r="Q419" s="247"/>
      <c r="R419" s="247"/>
      <c r="S419" s="247"/>
      <c r="T419" s="247"/>
    </row>
    <row r="420" spans="8:20" x14ac:dyDescent="0.3">
      <c r="H420" s="247"/>
      <c r="I420" s="247"/>
      <c r="J420" s="247"/>
      <c r="K420" s="247"/>
      <c r="L420" s="247"/>
      <c r="M420" s="247"/>
      <c r="N420" s="247"/>
      <c r="P420" s="247"/>
      <c r="Q420" s="247"/>
      <c r="R420" s="247"/>
      <c r="S420" s="247"/>
      <c r="T420" s="247"/>
    </row>
    <row r="421" spans="8:20" x14ac:dyDescent="0.3">
      <c r="H421" s="247"/>
      <c r="I421" s="247"/>
      <c r="J421" s="247"/>
      <c r="K421" s="247"/>
      <c r="L421" s="247"/>
      <c r="M421" s="247"/>
      <c r="N421" s="247"/>
      <c r="P421" s="247"/>
      <c r="Q421" s="247"/>
      <c r="R421" s="247"/>
      <c r="S421" s="247"/>
      <c r="T421" s="247"/>
    </row>
    <row r="422" spans="8:20" x14ac:dyDescent="0.3">
      <c r="H422" s="247"/>
      <c r="I422" s="247"/>
      <c r="J422" s="247"/>
      <c r="K422" s="247"/>
      <c r="L422" s="247"/>
      <c r="M422" s="247"/>
      <c r="N422" s="247"/>
      <c r="P422" s="247"/>
      <c r="Q422" s="247"/>
      <c r="R422" s="247"/>
      <c r="S422" s="247"/>
      <c r="T422" s="247"/>
    </row>
    <row r="423" spans="8:20" x14ac:dyDescent="0.3">
      <c r="H423" s="247"/>
      <c r="I423" s="247"/>
      <c r="J423" s="247"/>
      <c r="K423" s="247"/>
      <c r="L423" s="247"/>
      <c r="M423" s="247"/>
      <c r="N423" s="247"/>
      <c r="P423" s="247"/>
      <c r="Q423" s="247"/>
      <c r="R423" s="247"/>
      <c r="S423" s="247"/>
      <c r="T423" s="247"/>
    </row>
    <row r="424" spans="8:20" x14ac:dyDescent="0.3">
      <c r="H424" s="247"/>
      <c r="I424" s="247"/>
      <c r="J424" s="247"/>
      <c r="K424" s="247"/>
      <c r="L424" s="247"/>
      <c r="M424" s="247"/>
      <c r="N424" s="247"/>
      <c r="P424" s="247"/>
      <c r="Q424" s="247"/>
      <c r="R424" s="247"/>
      <c r="S424" s="247"/>
      <c r="T424" s="247"/>
    </row>
    <row r="425" spans="8:20" x14ac:dyDescent="0.3">
      <c r="H425" s="247"/>
      <c r="I425" s="247"/>
      <c r="J425" s="247"/>
      <c r="K425" s="247"/>
      <c r="L425" s="247"/>
      <c r="M425" s="247"/>
      <c r="N425" s="247"/>
      <c r="P425" s="247"/>
      <c r="Q425" s="247"/>
      <c r="R425" s="247"/>
      <c r="S425" s="247"/>
      <c r="T425" s="247"/>
    </row>
    <row r="426" spans="8:20" x14ac:dyDescent="0.3">
      <c r="H426" s="247"/>
      <c r="I426" s="247"/>
      <c r="J426" s="247"/>
      <c r="K426" s="247"/>
      <c r="L426" s="247"/>
      <c r="M426" s="247"/>
      <c r="N426" s="247"/>
      <c r="P426" s="247"/>
      <c r="Q426" s="247"/>
      <c r="R426" s="247"/>
      <c r="S426" s="247"/>
      <c r="T426" s="247"/>
    </row>
    <row r="427" spans="8:20" x14ac:dyDescent="0.3">
      <c r="H427" s="247"/>
      <c r="I427" s="247"/>
      <c r="J427" s="247"/>
      <c r="K427" s="247"/>
      <c r="L427" s="247"/>
      <c r="M427" s="247"/>
      <c r="N427" s="247"/>
      <c r="P427" s="247"/>
      <c r="Q427" s="247"/>
      <c r="R427" s="247"/>
      <c r="S427" s="247"/>
      <c r="T427" s="247"/>
    </row>
    <row r="428" spans="8:20" x14ac:dyDescent="0.3">
      <c r="H428" s="247"/>
      <c r="I428" s="247"/>
      <c r="J428" s="247"/>
      <c r="K428" s="247"/>
      <c r="L428" s="247"/>
      <c r="M428" s="247"/>
      <c r="N428" s="247"/>
      <c r="P428" s="247"/>
      <c r="Q428" s="247"/>
      <c r="R428" s="247"/>
      <c r="S428" s="247"/>
      <c r="T428" s="247"/>
    </row>
    <row r="429" spans="8:20" x14ac:dyDescent="0.3">
      <c r="H429" s="247"/>
      <c r="I429" s="247"/>
      <c r="J429" s="247"/>
      <c r="K429" s="247"/>
      <c r="L429" s="247"/>
      <c r="M429" s="247"/>
      <c r="N429" s="247"/>
      <c r="P429" s="247"/>
      <c r="Q429" s="247"/>
      <c r="R429" s="247"/>
      <c r="S429" s="247"/>
      <c r="T429" s="247"/>
    </row>
    <row r="430" spans="8:20" x14ac:dyDescent="0.3">
      <c r="H430" s="247"/>
      <c r="I430" s="247"/>
      <c r="J430" s="247"/>
      <c r="K430" s="247"/>
      <c r="L430" s="247"/>
      <c r="M430" s="247"/>
      <c r="N430" s="247"/>
      <c r="P430" s="247"/>
      <c r="Q430" s="247"/>
      <c r="R430" s="247"/>
      <c r="S430" s="247"/>
      <c r="T430" s="247"/>
    </row>
    <row r="431" spans="8:20" x14ac:dyDescent="0.3">
      <c r="H431" s="247"/>
      <c r="I431" s="247"/>
      <c r="J431" s="247"/>
      <c r="K431" s="247"/>
      <c r="L431" s="247"/>
      <c r="M431" s="247"/>
      <c r="N431" s="247"/>
      <c r="P431" s="247"/>
      <c r="Q431" s="247"/>
      <c r="R431" s="247"/>
      <c r="S431" s="247"/>
      <c r="T431" s="247"/>
    </row>
    <row r="432" spans="8:20" x14ac:dyDescent="0.3">
      <c r="H432" s="247"/>
      <c r="I432" s="247"/>
      <c r="J432" s="247"/>
      <c r="K432" s="247"/>
      <c r="L432" s="247"/>
      <c r="M432" s="247"/>
      <c r="N432" s="247"/>
      <c r="P432" s="247"/>
      <c r="Q432" s="247"/>
      <c r="R432" s="247"/>
      <c r="S432" s="247"/>
      <c r="T432" s="247"/>
    </row>
    <row r="433" spans="8:20" x14ac:dyDescent="0.3">
      <c r="H433" s="247"/>
      <c r="I433" s="247"/>
      <c r="J433" s="247"/>
      <c r="K433" s="247"/>
      <c r="L433" s="247"/>
      <c r="M433" s="247"/>
      <c r="N433" s="247"/>
      <c r="P433" s="247"/>
      <c r="Q433" s="247"/>
      <c r="R433" s="247"/>
      <c r="S433" s="247"/>
      <c r="T433" s="247"/>
    </row>
    <row r="434" spans="8:20" x14ac:dyDescent="0.3">
      <c r="H434" s="247"/>
      <c r="I434" s="247"/>
      <c r="J434" s="247"/>
      <c r="K434" s="247"/>
      <c r="L434" s="247"/>
      <c r="M434" s="247"/>
      <c r="N434" s="247"/>
      <c r="P434" s="247"/>
      <c r="Q434" s="247"/>
      <c r="R434" s="247"/>
      <c r="S434" s="247"/>
      <c r="T434" s="247"/>
    </row>
    <row r="435" spans="8:20" x14ac:dyDescent="0.3">
      <c r="H435" s="247"/>
      <c r="I435" s="247"/>
      <c r="J435" s="247"/>
      <c r="K435" s="247"/>
      <c r="L435" s="247"/>
      <c r="M435" s="247"/>
      <c r="N435" s="247"/>
      <c r="P435" s="247"/>
      <c r="Q435" s="247"/>
      <c r="R435" s="247"/>
      <c r="S435" s="247"/>
      <c r="T435" s="247"/>
    </row>
    <row r="436" spans="8:20" x14ac:dyDescent="0.3">
      <c r="H436" s="247"/>
      <c r="I436" s="247"/>
      <c r="J436" s="247"/>
      <c r="K436" s="247"/>
      <c r="L436" s="247"/>
      <c r="M436" s="247"/>
      <c r="N436" s="247"/>
      <c r="P436" s="247"/>
      <c r="Q436" s="247"/>
      <c r="R436" s="247"/>
      <c r="S436" s="247"/>
      <c r="T436" s="247"/>
    </row>
    <row r="437" spans="8:20" x14ac:dyDescent="0.3">
      <c r="H437" s="247"/>
      <c r="I437" s="247"/>
      <c r="J437" s="247"/>
      <c r="K437" s="247"/>
      <c r="L437" s="247"/>
      <c r="M437" s="247"/>
      <c r="N437" s="247"/>
      <c r="P437" s="247"/>
      <c r="Q437" s="247"/>
      <c r="R437" s="247"/>
      <c r="S437" s="247"/>
      <c r="T437" s="247"/>
    </row>
    <row r="438" spans="8:20" x14ac:dyDescent="0.3">
      <c r="H438" s="247"/>
      <c r="I438" s="247"/>
      <c r="J438" s="247"/>
      <c r="K438" s="247"/>
      <c r="L438" s="247"/>
      <c r="M438" s="247"/>
      <c r="N438" s="247"/>
      <c r="P438" s="247"/>
      <c r="Q438" s="247"/>
      <c r="R438" s="247"/>
      <c r="S438" s="247"/>
      <c r="T438" s="247"/>
    </row>
    <row r="439" spans="8:20" x14ac:dyDescent="0.3">
      <c r="H439" s="247"/>
      <c r="I439" s="247"/>
      <c r="J439" s="247"/>
      <c r="K439" s="247"/>
      <c r="L439" s="247"/>
      <c r="M439" s="247"/>
      <c r="N439" s="247"/>
      <c r="P439" s="247"/>
      <c r="Q439" s="247"/>
      <c r="R439" s="247"/>
      <c r="S439" s="247"/>
      <c r="T439" s="247"/>
    </row>
    <row r="440" spans="8:20" x14ac:dyDescent="0.3">
      <c r="H440" s="247"/>
      <c r="I440" s="247"/>
      <c r="J440" s="247"/>
      <c r="K440" s="247"/>
      <c r="L440" s="247"/>
      <c r="M440" s="247"/>
      <c r="N440" s="247"/>
      <c r="P440" s="247"/>
      <c r="Q440" s="247"/>
      <c r="R440" s="247"/>
      <c r="S440" s="247"/>
      <c r="T440" s="247"/>
    </row>
    <row r="441" spans="8:20" x14ac:dyDescent="0.3">
      <c r="H441" s="247"/>
      <c r="I441" s="247"/>
      <c r="J441" s="247"/>
      <c r="K441" s="247"/>
      <c r="L441" s="247"/>
      <c r="M441" s="247"/>
      <c r="N441" s="247"/>
      <c r="P441" s="247"/>
      <c r="Q441" s="247"/>
      <c r="R441" s="247"/>
      <c r="S441" s="247"/>
      <c r="T441" s="247"/>
    </row>
    <row r="442" spans="8:20" x14ac:dyDescent="0.3">
      <c r="H442" s="247"/>
      <c r="I442" s="247"/>
      <c r="J442" s="247"/>
      <c r="K442" s="247"/>
      <c r="L442" s="247"/>
      <c r="M442" s="247"/>
      <c r="N442" s="247"/>
      <c r="P442" s="247"/>
      <c r="Q442" s="247"/>
      <c r="R442" s="247"/>
      <c r="S442" s="247"/>
      <c r="T442" s="247"/>
    </row>
    <row r="443" spans="8:20" x14ac:dyDescent="0.3">
      <c r="H443" s="247"/>
      <c r="I443" s="247"/>
      <c r="J443" s="247"/>
      <c r="K443" s="247"/>
      <c r="L443" s="247"/>
      <c r="M443" s="247"/>
      <c r="N443" s="247"/>
      <c r="P443" s="247"/>
      <c r="Q443" s="247"/>
      <c r="R443" s="247"/>
      <c r="S443" s="247"/>
      <c r="T443" s="247"/>
    </row>
    <row r="444" spans="8:20" x14ac:dyDescent="0.3">
      <c r="H444" s="247"/>
      <c r="I444" s="247"/>
      <c r="J444" s="247"/>
      <c r="K444" s="247"/>
      <c r="L444" s="247"/>
      <c r="M444" s="247"/>
      <c r="N444" s="247"/>
      <c r="P444" s="247"/>
      <c r="Q444" s="247"/>
      <c r="R444" s="247"/>
      <c r="S444" s="247"/>
      <c r="T444" s="247"/>
    </row>
    <row r="445" spans="8:20" x14ac:dyDescent="0.3">
      <c r="H445" s="247"/>
      <c r="I445" s="247"/>
      <c r="J445" s="247"/>
      <c r="K445" s="247"/>
      <c r="L445" s="247"/>
      <c r="M445" s="247"/>
      <c r="N445" s="247"/>
      <c r="P445" s="247"/>
      <c r="Q445" s="247"/>
      <c r="R445" s="247"/>
      <c r="S445" s="247"/>
      <c r="T445" s="247"/>
    </row>
    <row r="446" spans="8:20" x14ac:dyDescent="0.3">
      <c r="H446" s="247"/>
      <c r="I446" s="247"/>
      <c r="J446" s="247"/>
      <c r="K446" s="247"/>
      <c r="L446" s="247"/>
      <c r="M446" s="247"/>
      <c r="N446" s="247"/>
      <c r="P446" s="247"/>
      <c r="Q446" s="247"/>
      <c r="R446" s="247"/>
      <c r="S446" s="247"/>
      <c r="T446" s="247"/>
    </row>
    <row r="447" spans="8:20" x14ac:dyDescent="0.3">
      <c r="H447" s="247"/>
      <c r="I447" s="247"/>
      <c r="J447" s="247"/>
      <c r="K447" s="247"/>
      <c r="L447" s="247"/>
      <c r="M447" s="247"/>
      <c r="N447" s="247"/>
      <c r="P447" s="247"/>
      <c r="Q447" s="247"/>
      <c r="R447" s="247"/>
      <c r="S447" s="247"/>
      <c r="T447" s="247"/>
    </row>
    <row r="448" spans="8:20" x14ac:dyDescent="0.3">
      <c r="H448" s="247"/>
      <c r="I448" s="247"/>
      <c r="J448" s="247"/>
      <c r="K448" s="247"/>
      <c r="L448" s="247"/>
      <c r="M448" s="247"/>
      <c r="N448" s="247"/>
      <c r="P448" s="247"/>
      <c r="Q448" s="247"/>
      <c r="R448" s="247"/>
      <c r="S448" s="247"/>
      <c r="T448" s="247"/>
    </row>
    <row r="449" spans="8:20" x14ac:dyDescent="0.3">
      <c r="H449" s="247"/>
      <c r="I449" s="247"/>
      <c r="J449" s="247"/>
      <c r="K449" s="247"/>
      <c r="L449" s="247"/>
      <c r="M449" s="247"/>
      <c r="N449" s="247"/>
      <c r="P449" s="247"/>
      <c r="Q449" s="247"/>
      <c r="R449" s="247"/>
      <c r="S449" s="247"/>
      <c r="T449" s="247"/>
    </row>
    <row r="450" spans="8:20" x14ac:dyDescent="0.3">
      <c r="H450" s="247"/>
      <c r="I450" s="247"/>
      <c r="J450" s="247"/>
      <c r="K450" s="247"/>
      <c r="L450" s="247"/>
      <c r="M450" s="247"/>
      <c r="N450" s="247"/>
      <c r="P450" s="247"/>
      <c r="Q450" s="247"/>
      <c r="R450" s="247"/>
      <c r="S450" s="247"/>
      <c r="T450" s="247"/>
    </row>
    <row r="451" spans="8:20" x14ac:dyDescent="0.3">
      <c r="H451" s="247"/>
      <c r="I451" s="247"/>
      <c r="J451" s="247"/>
      <c r="K451" s="247"/>
      <c r="L451" s="247"/>
      <c r="M451" s="247"/>
      <c r="N451" s="247"/>
      <c r="P451" s="247"/>
      <c r="Q451" s="247"/>
      <c r="R451" s="247"/>
      <c r="S451" s="247"/>
      <c r="T451" s="247"/>
    </row>
    <row r="452" spans="8:20" x14ac:dyDescent="0.3">
      <c r="H452" s="247"/>
      <c r="I452" s="247"/>
      <c r="J452" s="247"/>
      <c r="K452" s="247"/>
      <c r="L452" s="247"/>
      <c r="M452" s="247"/>
      <c r="N452" s="247"/>
      <c r="P452" s="247"/>
      <c r="Q452" s="247"/>
      <c r="R452" s="247"/>
      <c r="S452" s="247"/>
      <c r="T452" s="247"/>
    </row>
    <row r="453" spans="8:20" x14ac:dyDescent="0.3">
      <c r="H453" s="247"/>
      <c r="I453" s="247"/>
      <c r="J453" s="247"/>
      <c r="K453" s="247"/>
      <c r="L453" s="247"/>
      <c r="M453" s="247"/>
      <c r="N453" s="247"/>
      <c r="P453" s="247"/>
      <c r="Q453" s="247"/>
      <c r="R453" s="247"/>
      <c r="S453" s="247"/>
      <c r="T453" s="247"/>
    </row>
    <row r="454" spans="8:20" x14ac:dyDescent="0.3">
      <c r="H454" s="247"/>
      <c r="I454" s="247"/>
      <c r="J454" s="247"/>
      <c r="K454" s="247"/>
      <c r="L454" s="247"/>
      <c r="M454" s="247"/>
      <c r="N454" s="247"/>
      <c r="P454" s="247"/>
      <c r="Q454" s="247"/>
      <c r="R454" s="247"/>
      <c r="S454" s="247"/>
      <c r="T454" s="247"/>
    </row>
    <row r="455" spans="8:20" x14ac:dyDescent="0.3">
      <c r="H455" s="247"/>
      <c r="I455" s="247"/>
      <c r="J455" s="247"/>
      <c r="K455" s="247"/>
      <c r="L455" s="247"/>
      <c r="M455" s="247"/>
      <c r="N455" s="247"/>
      <c r="P455" s="247"/>
      <c r="Q455" s="247"/>
      <c r="R455" s="247"/>
    </row>
  </sheetData>
  <autoFilter ref="A8:AL215"/>
  <mergeCells count="6">
    <mergeCell ref="B5:V6"/>
    <mergeCell ref="B2:C4"/>
    <mergeCell ref="D2:S2"/>
    <mergeCell ref="T2:V2"/>
    <mergeCell ref="D3:S4"/>
    <mergeCell ref="T3:V4"/>
  </mergeCells>
  <pageMargins left="0.70866141732283472" right="0.70866141732283472" top="0.74803149606299213" bottom="0.74803149606299213" header="0.31496062992125984" footer="0.31496062992125984"/>
  <pageSetup scale="6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tabColor theme="1"/>
  </sheetPr>
  <dimension ref="A1:G49"/>
  <sheetViews>
    <sheetView topLeftCell="A16" zoomScaleNormal="100" workbookViewId="0">
      <selection activeCell="A40" sqref="A40:C4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265"/>
      <c r="B4" s="265"/>
      <c r="C4" s="265"/>
      <c r="D4" s="265"/>
      <c r="E4" s="265"/>
      <c r="F4" s="265"/>
      <c r="G4" s="265"/>
    </row>
    <row r="5" spans="1:7" ht="42" customHeight="1" x14ac:dyDescent="0.25">
      <c r="A5" s="280" t="s">
        <v>626</v>
      </c>
      <c r="B5" s="1280" t="str">
        <f>RESUMEN!G9</f>
        <v>Proyecto: Ampliación de capacidad en la subestación CHÍA.</v>
      </c>
      <c r="C5" s="1281"/>
      <c r="D5" s="1281"/>
      <c r="E5" s="1281"/>
      <c r="F5" s="1281"/>
      <c r="G5" s="1282"/>
    </row>
    <row r="6" spans="1:7" x14ac:dyDescent="0.25">
      <c r="A6" s="265"/>
      <c r="B6" s="265"/>
      <c r="C6" s="265"/>
      <c r="D6" s="265"/>
      <c r="E6" s="265"/>
      <c r="F6" s="265"/>
      <c r="G6" s="265"/>
    </row>
    <row r="7" spans="1:7" x14ac:dyDescent="0.25">
      <c r="A7" s="271" t="s">
        <v>0</v>
      </c>
      <c r="B7" s="1264" t="str">
        <f>RESUMEN!B9</f>
        <v>D00234958</v>
      </c>
      <c r="C7" s="1265"/>
      <c r="D7" s="265"/>
      <c r="E7" s="1266" t="s">
        <v>627</v>
      </c>
      <c r="F7" s="1267"/>
      <c r="G7" s="280" t="str">
        <f>RESUMEN!E9</f>
        <v>17-013</v>
      </c>
    </row>
    <row r="8" spans="1:7" x14ac:dyDescent="0.25">
      <c r="A8" s="271" t="s">
        <v>628</v>
      </c>
      <c r="B8" s="1264" t="str">
        <f>RESUMEN!C9</f>
        <v>D00234958000</v>
      </c>
      <c r="C8" s="1265"/>
      <c r="D8" s="265"/>
      <c r="E8" s="1266" t="s">
        <v>629</v>
      </c>
      <c r="F8" s="1267"/>
      <c r="G8" s="280" t="str">
        <f>RESUMEN!U9</f>
        <v>Acta N° 6: Marzo</v>
      </c>
    </row>
    <row r="9" spans="1:7" x14ac:dyDescent="0.25">
      <c r="A9" s="271" t="s">
        <v>630</v>
      </c>
      <c r="B9" s="1283" t="s">
        <v>631</v>
      </c>
      <c r="C9" s="1265"/>
      <c r="D9" s="265"/>
      <c r="E9" s="1266" t="s">
        <v>632</v>
      </c>
      <c r="F9" s="1267"/>
      <c r="G9" s="296">
        <f>RESUMEN!H9</f>
        <v>145207482</v>
      </c>
    </row>
    <row r="10" spans="1:7" x14ac:dyDescent="0.25">
      <c r="A10" s="271" t="s">
        <v>633</v>
      </c>
      <c r="B10" s="1283" t="str">
        <f>RESUMEN!D9</f>
        <v>CHÍA</v>
      </c>
      <c r="C10" s="1265"/>
      <c r="D10" s="265"/>
      <c r="E10" s="1266" t="s">
        <v>634</v>
      </c>
      <c r="F10" s="1267"/>
      <c r="G10" s="296">
        <f>RESUMEN!R9</f>
        <v>0</v>
      </c>
    </row>
    <row r="11" spans="1:7" x14ac:dyDescent="0.25">
      <c r="A11" s="265"/>
      <c r="B11" s="265"/>
      <c r="C11" s="265"/>
      <c r="D11" s="265"/>
      <c r="E11" s="265"/>
      <c r="F11" s="265"/>
      <c r="G11" s="265"/>
    </row>
    <row r="12" spans="1:7" ht="76.5" customHeight="1" x14ac:dyDescent="0.25">
      <c r="A12" s="1284" t="str">
        <f>CONCATENATE("A los 14 días del mes de Marzo se reunieron en las instalaciones"," de CODENSA S.A. E.S.P., los ingenieros ", RESUMEN!V9,"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Ampliación de capacidad en la subestación CHÍA.</v>
      </c>
      <c r="B12" s="1284"/>
      <c r="C12" s="1284"/>
      <c r="D12" s="1284"/>
      <c r="E12" s="1284"/>
      <c r="F12" s="1284"/>
      <c r="G12" s="1284"/>
    </row>
    <row r="13" spans="1:7" x14ac:dyDescent="0.25">
      <c r="A13" s="265"/>
      <c r="B13" s="265"/>
      <c r="C13" s="265"/>
      <c r="D13" s="265"/>
      <c r="E13" s="265"/>
      <c r="F13" s="265"/>
      <c r="G13" s="265"/>
    </row>
    <row r="14" spans="1:7" ht="30" customHeight="1" x14ac:dyDescent="0.25">
      <c r="A14" s="1261" t="s">
        <v>2315</v>
      </c>
      <c r="B14" s="1261"/>
      <c r="C14" s="1261"/>
      <c r="D14" s="1261"/>
      <c r="E14" s="1261"/>
      <c r="F14" s="1261"/>
      <c r="G14" s="1261"/>
    </row>
    <row r="15" spans="1:7" x14ac:dyDescent="0.25">
      <c r="A15" s="265"/>
      <c r="B15" s="265"/>
      <c r="C15" s="265"/>
      <c r="D15" s="265"/>
      <c r="E15" s="265"/>
      <c r="F15" s="265"/>
      <c r="G15" s="265"/>
    </row>
    <row r="16" spans="1:7" x14ac:dyDescent="0.25">
      <c r="A16" s="1261" t="s">
        <v>635</v>
      </c>
      <c r="B16" s="1261"/>
      <c r="C16" s="1261"/>
      <c r="D16" s="1261"/>
      <c r="E16" s="1261"/>
      <c r="F16" s="1261"/>
      <c r="G16" s="1261"/>
    </row>
    <row r="17" spans="1:7" x14ac:dyDescent="0.25">
      <c r="A17" s="265"/>
      <c r="B17" s="265"/>
      <c r="C17" s="265"/>
      <c r="D17" s="265"/>
      <c r="E17" s="265"/>
      <c r="F17" s="265"/>
      <c r="G17" s="265"/>
    </row>
    <row r="18" spans="1:7" x14ac:dyDescent="0.25">
      <c r="A18" s="265"/>
      <c r="B18" s="1262" t="s">
        <v>636</v>
      </c>
      <c r="C18" s="1262"/>
      <c r="D18" s="1262"/>
      <c r="E18" s="1262" t="s">
        <v>31</v>
      </c>
      <c r="F18" s="1262"/>
      <c r="G18" s="265"/>
    </row>
    <row r="19" spans="1:7" x14ac:dyDescent="0.25">
      <c r="A19" s="265"/>
      <c r="B19" s="1263" t="s">
        <v>637</v>
      </c>
      <c r="C19" s="1263"/>
      <c r="D19" s="1263"/>
      <c r="E19" s="1247">
        <f>RESUMEN!N9</f>
        <v>0</v>
      </c>
      <c r="F19" s="1248"/>
      <c r="G19" s="265"/>
    </row>
    <row r="20" spans="1:7" ht="27" customHeight="1" x14ac:dyDescent="0.25">
      <c r="A20" s="265"/>
      <c r="B20" s="1244" t="s">
        <v>1498</v>
      </c>
      <c r="C20" s="1245"/>
      <c r="D20" s="1246"/>
      <c r="E20" s="1247">
        <f>RESUMEN!P9</f>
        <v>0</v>
      </c>
      <c r="F20" s="1248"/>
      <c r="G20" s="265"/>
    </row>
    <row r="21" spans="1:7" ht="27" customHeight="1" x14ac:dyDescent="0.25">
      <c r="A21" s="486"/>
      <c r="B21" s="1244" t="s">
        <v>1499</v>
      </c>
      <c r="C21" s="1245"/>
      <c r="D21" s="1246"/>
      <c r="E21" s="1247">
        <f>RESUMEN!Q9</f>
        <v>0</v>
      </c>
      <c r="F21" s="1248"/>
      <c r="G21" s="486"/>
    </row>
    <row r="22" spans="1:7" x14ac:dyDescent="0.25">
      <c r="A22" s="265"/>
      <c r="B22" s="1254" t="s">
        <v>64</v>
      </c>
      <c r="C22" s="1254"/>
      <c r="D22" s="1254"/>
      <c r="E22" s="1255">
        <f>RESUMEN!R9</f>
        <v>0</v>
      </c>
      <c r="F22" s="1255"/>
      <c r="G22" s="265"/>
    </row>
    <row r="23" spans="1:7" x14ac:dyDescent="0.25">
      <c r="A23" s="265"/>
      <c r="B23" s="1256" t="s">
        <v>66</v>
      </c>
      <c r="C23" s="1256"/>
      <c r="D23" s="1256"/>
      <c r="E23" s="1257">
        <f>RESUMEN!S9</f>
        <v>0</v>
      </c>
      <c r="F23" s="1257"/>
      <c r="G23" s="265"/>
    </row>
    <row r="24" spans="1:7" x14ac:dyDescent="0.25">
      <c r="A24" s="265"/>
      <c r="B24" s="1258" t="s">
        <v>1</v>
      </c>
      <c r="C24" s="1258"/>
      <c r="D24" s="1258"/>
      <c r="E24" s="1259">
        <f>RESUMEN!T9</f>
        <v>0</v>
      </c>
      <c r="F24" s="1259"/>
      <c r="G24" s="265"/>
    </row>
    <row r="25" spans="1:7" x14ac:dyDescent="0.25">
      <c r="A25" s="265"/>
      <c r="B25" s="265"/>
      <c r="C25" s="265"/>
      <c r="D25" s="265"/>
      <c r="E25" s="265"/>
      <c r="F25" s="265"/>
      <c r="G25" s="265"/>
    </row>
    <row r="26" spans="1:7" x14ac:dyDescent="0.25">
      <c r="A26" s="260" t="s">
        <v>638</v>
      </c>
      <c r="B26" s="260"/>
      <c r="C26" s="265"/>
      <c r="D26" s="265"/>
      <c r="E26" s="265"/>
      <c r="F26" s="265"/>
      <c r="G26" s="265"/>
    </row>
    <row r="27" spans="1:7" x14ac:dyDescent="0.25">
      <c r="A27" s="265"/>
      <c r="B27" s="268" t="s">
        <v>639</v>
      </c>
      <c r="C27" s="1260" t="s">
        <v>640</v>
      </c>
      <c r="D27" s="1260"/>
      <c r="E27" s="268" t="s">
        <v>641</v>
      </c>
      <c r="F27" s="265"/>
      <c r="G27" s="265"/>
    </row>
    <row r="28" spans="1:7" x14ac:dyDescent="0.25">
      <c r="A28" s="265"/>
      <c r="B28" s="280" t="str">
        <f>'OT17-013  CHÍA AMPLIACIÓN'!W61</f>
        <v>ACTA 1</v>
      </c>
      <c r="C28" s="1253">
        <f>'OT17-013  CHÍA AMPLIACIÓN'!X61</f>
        <v>4492030</v>
      </c>
      <c r="D28" s="1253"/>
      <c r="E28" s="267">
        <f>'OT17-013  CHÍA AMPLIACIÓN'!Y61</f>
        <v>3.0935251669745228E-2</v>
      </c>
      <c r="F28" s="265"/>
      <c r="G28" s="265"/>
    </row>
    <row r="29" spans="1:7" x14ac:dyDescent="0.25">
      <c r="A29" s="265"/>
      <c r="B29" s="280" t="str">
        <f>'OT17-013  CHÍA AMPLIACIÓN'!W62</f>
        <v>ACTA 2</v>
      </c>
      <c r="C29" s="1253">
        <f>'OT17-013  CHÍA AMPLIACIÓN'!X62</f>
        <v>45578435</v>
      </c>
      <c r="D29" s="1253"/>
      <c r="E29" s="267">
        <f>'OT17-013  CHÍA AMPLIACIÓN'!Y62</f>
        <v>0.31388489334179076</v>
      </c>
      <c r="F29" s="265"/>
      <c r="G29" s="265"/>
    </row>
    <row r="30" spans="1:7" x14ac:dyDescent="0.25">
      <c r="A30" s="265"/>
      <c r="B30" s="280" t="str">
        <f>'OT17-013  CHÍA AMPLIACIÓN'!W63</f>
        <v>ACTA 3</v>
      </c>
      <c r="C30" s="1253">
        <f>'OT17-013  CHÍA AMPLIACIÓN'!X63</f>
        <v>24594736</v>
      </c>
      <c r="D30" s="1253"/>
      <c r="E30" s="267">
        <f>'OT17-013  CHÍA AMPLIACIÓN'!Y63</f>
        <v>0.1693765063703811</v>
      </c>
      <c r="F30" s="265"/>
      <c r="G30" s="265"/>
    </row>
    <row r="31" spans="1:7" x14ac:dyDescent="0.25">
      <c r="A31" s="265"/>
      <c r="B31" s="280" t="str">
        <f>'OT17-013  CHÍA AMPLIACIÓN'!W64</f>
        <v>ACTA 4</v>
      </c>
      <c r="C31" s="1253">
        <f>'OT17-013  CHÍA AMPLIACIÓN'!X64</f>
        <v>7882991</v>
      </c>
      <c r="D31" s="1253"/>
      <c r="E31" s="267">
        <f>'OT17-013  CHÍA AMPLIACIÓN'!Y64</f>
        <v>5.4287774234663751E-2</v>
      </c>
      <c r="F31" s="265"/>
      <c r="G31" s="265"/>
    </row>
    <row r="32" spans="1:7" x14ac:dyDescent="0.25">
      <c r="A32" s="265"/>
      <c r="B32" s="280" t="str">
        <f>'OT17-013  CHÍA AMPLIACIÓN'!W65</f>
        <v>ACTA 5</v>
      </c>
      <c r="C32" s="1253">
        <f>'OT17-013  CHÍA AMPLIACIÓN'!X65</f>
        <v>3255914</v>
      </c>
      <c r="D32" s="1253"/>
      <c r="E32" s="267">
        <f>'OT17-013  CHÍA AMPLIACIÓN'!Y65</f>
        <v>2.242249473067786E-2</v>
      </c>
      <c r="F32" s="265"/>
      <c r="G32" s="265"/>
    </row>
    <row r="33" spans="1:7" x14ac:dyDescent="0.25">
      <c r="A33" s="1040"/>
      <c r="B33" s="280" t="str">
        <f>+'OT17-013  CHÍA AMPLIACIÓN'!Z66</f>
        <v>ACTA 6</v>
      </c>
      <c r="C33" s="1253">
        <f>+'OT17-013  CHÍA AMPLIACIÓN'!AA66</f>
        <v>0</v>
      </c>
      <c r="D33" s="1253"/>
      <c r="E33" s="267">
        <f>+'OT17-013  CHÍA AMPLIACIÓN'!AB66</f>
        <v>0</v>
      </c>
      <c r="F33" s="1040"/>
      <c r="G33" s="1040"/>
    </row>
    <row r="34" spans="1:7" x14ac:dyDescent="0.25">
      <c r="A34" s="265"/>
      <c r="B34" s="263" t="s">
        <v>1</v>
      </c>
      <c r="C34" s="1251">
        <f>SUM(C28:D33)</f>
        <v>85804106</v>
      </c>
      <c r="D34" s="1251"/>
      <c r="E34" s="264">
        <f>SUM(E28:E33)</f>
        <v>0.59090692034725878</v>
      </c>
      <c r="F34" s="265"/>
      <c r="G34" s="265"/>
    </row>
    <row r="35" spans="1:7" x14ac:dyDescent="0.25">
      <c r="A35" s="265"/>
      <c r="B35" s="265"/>
      <c r="C35" s="265"/>
      <c r="D35" s="265"/>
      <c r="E35" s="265"/>
      <c r="F35" s="265"/>
      <c r="G35" s="260"/>
    </row>
    <row r="36" spans="1:7" x14ac:dyDescent="0.25">
      <c r="A36" s="1252" t="s">
        <v>1500</v>
      </c>
      <c r="B36" s="1252"/>
      <c r="C36" s="1252"/>
      <c r="D36" s="1252"/>
      <c r="E36" s="1252"/>
      <c r="F36" s="1252"/>
      <c r="G36" s="1252"/>
    </row>
    <row r="37" spans="1:7" x14ac:dyDescent="0.25">
      <c r="A37" s="265"/>
      <c r="B37" s="265"/>
      <c r="C37" s="265"/>
      <c r="D37" s="265"/>
      <c r="E37" s="265"/>
      <c r="F37" s="265"/>
      <c r="G37" s="265"/>
    </row>
    <row r="38" spans="1:7" x14ac:dyDescent="0.25">
      <c r="A38" s="265"/>
      <c r="B38" s="265"/>
      <c r="C38" s="265"/>
      <c r="D38" s="265"/>
      <c r="E38" s="265"/>
      <c r="F38" s="265"/>
      <c r="G38" s="265"/>
    </row>
    <row r="39" spans="1:7" x14ac:dyDescent="0.25">
      <c r="A39" s="266"/>
      <c r="B39" s="266"/>
      <c r="C39" s="266"/>
      <c r="D39" s="265"/>
      <c r="E39" s="266"/>
      <c r="F39" s="266"/>
      <c r="G39" s="266"/>
    </row>
    <row r="40" spans="1:7" x14ac:dyDescent="0.25">
      <c r="A40" s="1250">
        <f>RESUMEN!V9</f>
        <v>0</v>
      </c>
      <c r="B40" s="1250"/>
      <c r="C40" s="1250"/>
      <c r="D40" s="265"/>
      <c r="E40" s="1250" t="s">
        <v>642</v>
      </c>
      <c r="F40" s="1250"/>
      <c r="G40" s="1250"/>
    </row>
    <row r="41" spans="1:7" x14ac:dyDescent="0.25">
      <c r="A41" s="1249" t="s">
        <v>643</v>
      </c>
      <c r="B41" s="1249"/>
      <c r="C41" s="1249"/>
      <c r="D41" s="265"/>
      <c r="E41" s="1249" t="s">
        <v>644</v>
      </c>
      <c r="F41" s="1249"/>
      <c r="G41" s="1249"/>
    </row>
    <row r="42" spans="1:7" x14ac:dyDescent="0.25">
      <c r="A42" s="1249" t="s">
        <v>645</v>
      </c>
      <c r="B42" s="1249"/>
      <c r="C42" s="1249"/>
      <c r="D42" s="265"/>
      <c r="E42" s="1249" t="s">
        <v>645</v>
      </c>
      <c r="F42" s="1249"/>
      <c r="G42" s="1249"/>
    </row>
    <row r="43" spans="1:7" x14ac:dyDescent="0.25">
      <c r="A43" s="265"/>
      <c r="B43" s="265"/>
      <c r="C43" s="265"/>
      <c r="D43" s="265"/>
      <c r="E43" s="265"/>
      <c r="F43" s="265"/>
      <c r="G43" s="265"/>
    </row>
    <row r="44" spans="1:7" x14ac:dyDescent="0.25">
      <c r="A44" s="265"/>
      <c r="B44" s="265"/>
      <c r="C44" s="265"/>
      <c r="D44" s="265"/>
      <c r="E44" s="265"/>
      <c r="F44" s="265"/>
      <c r="G44" s="265"/>
    </row>
    <row r="45" spans="1:7" x14ac:dyDescent="0.25">
      <c r="A45" s="265"/>
      <c r="B45" s="265"/>
      <c r="C45" s="265"/>
      <c r="D45" s="265"/>
      <c r="E45" s="265"/>
      <c r="F45" s="265"/>
      <c r="G45" s="265"/>
    </row>
    <row r="46" spans="1:7" x14ac:dyDescent="0.25">
      <c r="A46" s="266"/>
      <c r="B46" s="266"/>
      <c r="C46" s="266"/>
      <c r="D46" s="265"/>
      <c r="E46" s="266"/>
      <c r="F46" s="266"/>
      <c r="G46" s="266"/>
    </row>
    <row r="47" spans="1:7" x14ac:dyDescent="0.25">
      <c r="A47" s="1250" t="s">
        <v>646</v>
      </c>
      <c r="B47" s="1250"/>
      <c r="C47" s="1250"/>
      <c r="D47" s="265"/>
      <c r="E47" s="1250" t="s">
        <v>647</v>
      </c>
      <c r="F47" s="1250"/>
      <c r="G47" s="1250"/>
    </row>
    <row r="48" spans="1:7" x14ac:dyDescent="0.25">
      <c r="A48" s="1249" t="s">
        <v>648</v>
      </c>
      <c r="B48" s="1249"/>
      <c r="C48" s="1249"/>
      <c r="D48" s="265"/>
      <c r="E48" s="1249" t="s">
        <v>763</v>
      </c>
      <c r="F48" s="1249"/>
      <c r="G48" s="1249"/>
    </row>
    <row r="49" spans="1:7" x14ac:dyDescent="0.25">
      <c r="A49" s="1249" t="s">
        <v>645</v>
      </c>
      <c r="B49" s="1249"/>
      <c r="C49" s="1249"/>
      <c r="D49" s="265"/>
      <c r="E49" s="1249" t="s">
        <v>764</v>
      </c>
      <c r="F49" s="1249"/>
      <c r="G49" s="1249"/>
    </row>
  </sheetData>
  <mergeCells count="49">
    <mergeCell ref="C33:D33"/>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2:D32"/>
    <mergeCell ref="B22:D22"/>
    <mergeCell ref="E22:F22"/>
    <mergeCell ref="B23:D23"/>
    <mergeCell ref="E23:F23"/>
    <mergeCell ref="B24:D24"/>
    <mergeCell ref="E24:F24"/>
    <mergeCell ref="C27:D27"/>
    <mergeCell ref="C28:D28"/>
    <mergeCell ref="C29:D29"/>
    <mergeCell ref="C30:D30"/>
    <mergeCell ref="C31:D31"/>
    <mergeCell ref="B21:D21"/>
    <mergeCell ref="E21:F21"/>
    <mergeCell ref="A49:C49"/>
    <mergeCell ref="E49:G49"/>
    <mergeCell ref="A42:C42"/>
    <mergeCell ref="E42:G42"/>
    <mergeCell ref="A47:C47"/>
    <mergeCell ref="E47:G47"/>
    <mergeCell ref="A48:C48"/>
    <mergeCell ref="E48:G48"/>
    <mergeCell ref="C34:D34"/>
    <mergeCell ref="A36:G36"/>
    <mergeCell ref="A40:C40"/>
    <mergeCell ref="E40:G40"/>
    <mergeCell ref="A41:C41"/>
    <mergeCell ref="E41:G41"/>
  </mergeCells>
  <pageMargins left="0.70866141732283472" right="0.70866141732283472" top="0.74803149606299213" bottom="0.74803149606299213" header="0.31496062992125984" footer="0.31496062992125984"/>
  <pageSetup scale="87"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rgb="FF92D050"/>
    <pageSetUpPr fitToPage="1"/>
  </sheetPr>
  <dimension ref="A1:AH80"/>
  <sheetViews>
    <sheetView tabSelected="1" zoomScale="70" zoomScaleNormal="70" workbookViewId="0">
      <selection activeCell="C16" sqref="C16"/>
    </sheetView>
  </sheetViews>
  <sheetFormatPr baseColWidth="10" defaultRowHeight="14.4" x14ac:dyDescent="0.3"/>
  <cols>
    <col min="1" max="1" width="18.44140625" customWidth="1"/>
    <col min="2" max="2" width="23.33203125" customWidth="1"/>
    <col min="3" max="3" width="33.109375" customWidth="1"/>
    <col min="4" max="4" width="24.109375" customWidth="1"/>
    <col min="5" max="5" width="12.5546875" bestFit="1" customWidth="1"/>
    <col min="6" max="6" width="18.44140625" hidden="1" customWidth="1"/>
    <col min="7" max="7" width="18.44140625" style="795" customWidth="1"/>
    <col min="8" max="8" width="20.6640625" customWidth="1"/>
    <col min="9" max="9" width="21.33203125" style="795" customWidth="1"/>
    <col min="10" max="10" width="45.33203125" customWidth="1"/>
    <col min="11" max="11" width="18.44140625" hidden="1" customWidth="1"/>
    <col min="12" max="12" width="19.109375" hidden="1" customWidth="1"/>
    <col min="13" max="13" width="11.44140625" hidden="1" customWidth="1"/>
    <col min="14" max="14" width="17.88671875" hidden="1" customWidth="1"/>
    <col min="15" max="15" width="17.5546875" hidden="1" customWidth="1"/>
    <col min="16" max="16" width="13.6640625" hidden="1" customWidth="1"/>
    <col min="17" max="17" width="17.88671875" hidden="1" customWidth="1"/>
    <col min="18" max="18" width="17.5546875" hidden="1" customWidth="1"/>
    <col min="19" max="19" width="13.6640625" hidden="1" customWidth="1"/>
    <col min="20" max="20" width="19.88671875" style="148" hidden="1" customWidth="1"/>
    <col min="21" max="21" width="20.109375" style="148" hidden="1" customWidth="1"/>
    <col min="22" max="22" width="13.6640625" style="148" hidden="1" customWidth="1"/>
    <col min="23" max="23" width="19.88671875" style="302" hidden="1" customWidth="1"/>
    <col min="24" max="24" width="20.109375" style="302" customWidth="1"/>
    <col min="25" max="25" width="17.77734375" style="302" customWidth="1"/>
    <col min="26" max="26" width="19.88671875" style="795" customWidth="1"/>
    <col min="27" max="27" width="20.109375" style="795" bestFit="1" customWidth="1"/>
    <col min="28" max="28" width="13.6640625" style="795" customWidth="1"/>
    <col min="29" max="30" width="19.88671875" bestFit="1" customWidth="1"/>
  </cols>
  <sheetData>
    <row r="1" spans="1:31" ht="29.25" customHeight="1" thickBot="1" x14ac:dyDescent="0.35">
      <c r="A1" s="20"/>
      <c r="B1" s="81"/>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9"/>
      <c r="Z1" s="792"/>
      <c r="AA1" s="792"/>
      <c r="AB1" s="792"/>
      <c r="AC1" s="1303" t="s">
        <v>93</v>
      </c>
      <c r="AD1" s="1303"/>
      <c r="AE1" s="1304"/>
    </row>
    <row r="2" spans="1:31" ht="13.5" customHeight="1" thickBot="1" x14ac:dyDescent="0.35">
      <c r="A2" s="21"/>
      <c r="B2" s="83"/>
      <c r="C2" s="1310"/>
      <c r="D2" s="1311"/>
      <c r="E2" s="1311"/>
      <c r="F2" s="1311"/>
      <c r="G2" s="1311"/>
      <c r="H2" s="1311"/>
      <c r="I2" s="1311"/>
      <c r="J2" s="1311"/>
      <c r="K2" s="1311"/>
      <c r="L2" s="1311"/>
      <c r="M2" s="1311"/>
      <c r="N2" s="1311"/>
      <c r="O2" s="1311"/>
      <c r="P2" s="1311"/>
      <c r="Q2" s="1311"/>
      <c r="R2" s="1311"/>
      <c r="S2" s="1311"/>
      <c r="T2" s="1311"/>
      <c r="U2" s="1311"/>
      <c r="V2" s="1311"/>
      <c r="W2" s="1311"/>
      <c r="X2" s="1311"/>
      <c r="Y2" s="1312"/>
      <c r="Z2" s="793"/>
      <c r="AA2" s="793"/>
      <c r="AB2" s="793"/>
      <c r="AC2" s="1305" t="s">
        <v>41</v>
      </c>
      <c r="AD2" s="1305"/>
      <c r="AE2" s="1306"/>
    </row>
    <row r="3" spans="1:3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1" ht="13.5" customHeight="1" x14ac:dyDescent="0.3">
      <c r="A7" s="1291" t="s">
        <v>94</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row>
    <row r="8" spans="1:31" ht="13.5" customHeight="1" x14ac:dyDescent="0.3">
      <c r="A8" s="1292" t="s">
        <v>2304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1" ht="13.5" customHeight="1" x14ac:dyDescent="0.3">
      <c r="A10" s="1292" t="s">
        <v>95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1" ht="13.5" customHeight="1" x14ac:dyDescent="0.3">
      <c r="A11" s="22"/>
      <c r="B11" s="1301"/>
      <c r="C11" s="1313"/>
      <c r="D11" s="1313"/>
      <c r="E11" s="1313"/>
      <c r="F11" s="1313"/>
      <c r="G11" s="1313"/>
      <c r="H11" s="1313"/>
      <c r="I11" s="1313"/>
      <c r="J11" s="1313"/>
      <c r="K11" s="1293" t="s">
        <v>46</v>
      </c>
      <c r="L11" s="1294"/>
      <c r="M11" s="1295"/>
      <c r="N11" s="1293" t="s">
        <v>47</v>
      </c>
      <c r="O11" s="1294"/>
      <c r="P11" s="1295"/>
      <c r="Q11" s="1293" t="s">
        <v>463</v>
      </c>
      <c r="R11" s="1294"/>
      <c r="S11" s="1295"/>
      <c r="T11" s="1293" t="s">
        <v>978</v>
      </c>
      <c r="U11" s="1294"/>
      <c r="V11" s="1295"/>
      <c r="W11" s="1293" t="s">
        <v>1727</v>
      </c>
      <c r="X11" s="1294"/>
      <c r="Y11" s="1295"/>
      <c r="Z11" s="1293" t="s">
        <v>2303</v>
      </c>
      <c r="AA11" s="1294"/>
      <c r="AB11" s="1295"/>
      <c r="AC11" s="1299" t="s">
        <v>49</v>
      </c>
      <c r="AD11" s="1299"/>
      <c r="AE11" s="1299"/>
    </row>
    <row r="12" spans="1:31" ht="13.5" customHeight="1" x14ac:dyDescent="0.3">
      <c r="A12" s="23"/>
      <c r="B12" s="1301"/>
      <c r="C12" s="1302"/>
      <c r="D12" s="1302"/>
      <c r="E12" s="1302"/>
      <c r="F12" s="1302"/>
      <c r="G12" s="1302"/>
      <c r="H12" s="1302"/>
      <c r="I12" s="1302"/>
      <c r="J12" s="1302"/>
      <c r="K12" s="1296"/>
      <c r="L12" s="1297"/>
      <c r="M12" s="1298"/>
      <c r="N12" s="1296"/>
      <c r="O12" s="1297"/>
      <c r="P12" s="1298"/>
      <c r="Q12" s="1296"/>
      <c r="R12" s="1297"/>
      <c r="S12" s="1298"/>
      <c r="T12" s="1296"/>
      <c r="U12" s="1297"/>
      <c r="V12" s="1298"/>
      <c r="W12" s="1296"/>
      <c r="X12" s="1297"/>
      <c r="Y12" s="1298"/>
      <c r="Z12" s="1296"/>
      <c r="AA12" s="1297"/>
      <c r="AB12" s="1298"/>
      <c r="AC12" s="1300"/>
      <c r="AD12" s="1300"/>
      <c r="AE12" s="1300"/>
    </row>
    <row r="13" spans="1:31" ht="34.5" customHeight="1" x14ac:dyDescent="0.3">
      <c r="A13" s="24" t="s">
        <v>50</v>
      </c>
      <c r="B13" s="24" t="s">
        <v>51</v>
      </c>
      <c r="C13" s="24" t="s">
        <v>52</v>
      </c>
      <c r="D13" s="24" t="s">
        <v>53</v>
      </c>
      <c r="E13" s="24" t="s">
        <v>54</v>
      </c>
      <c r="F13" s="25" t="s">
        <v>55</v>
      </c>
      <c r="G13" s="819" t="s">
        <v>2007</v>
      </c>
      <c r="H13" s="24" t="s">
        <v>56</v>
      </c>
      <c r="I13" s="820" t="s">
        <v>56</v>
      </c>
      <c r="J13" s="24" t="s">
        <v>57</v>
      </c>
      <c r="K13" s="26" t="s">
        <v>54</v>
      </c>
      <c r="L13" s="27" t="s">
        <v>56</v>
      </c>
      <c r="M13" s="28" t="s">
        <v>58</v>
      </c>
      <c r="N13" s="26" t="s">
        <v>54</v>
      </c>
      <c r="O13" s="27" t="s">
        <v>56</v>
      </c>
      <c r="P13" s="28" t="s">
        <v>58</v>
      </c>
      <c r="Q13" s="26" t="s">
        <v>54</v>
      </c>
      <c r="R13" s="27" t="s">
        <v>56</v>
      </c>
      <c r="S13" s="28" t="s">
        <v>58</v>
      </c>
      <c r="T13" s="28" t="s">
        <v>54</v>
      </c>
      <c r="U13" s="28" t="s">
        <v>56</v>
      </c>
      <c r="V13" s="28" t="s">
        <v>58</v>
      </c>
      <c r="W13" s="28" t="s">
        <v>54</v>
      </c>
      <c r="X13" s="28" t="s">
        <v>56</v>
      </c>
      <c r="Y13" s="28" t="s">
        <v>58</v>
      </c>
      <c r="Z13" s="28" t="s">
        <v>54</v>
      </c>
      <c r="AA13" s="210" t="s">
        <v>2007</v>
      </c>
      <c r="AB13" s="28" t="s">
        <v>58</v>
      </c>
      <c r="AC13" s="29" t="s">
        <v>54</v>
      </c>
      <c r="AD13" s="210" t="s">
        <v>2017</v>
      </c>
      <c r="AE13" s="28" t="s">
        <v>58</v>
      </c>
    </row>
    <row r="14" spans="1:31" ht="28.8" x14ac:dyDescent="0.3">
      <c r="A14" s="1289" t="s">
        <v>765</v>
      </c>
      <c r="B14" s="1290" t="s">
        <v>1728</v>
      </c>
      <c r="C14" s="30" t="s">
        <v>59</v>
      </c>
      <c r="D14" s="30" t="s">
        <v>60</v>
      </c>
      <c r="E14" s="30">
        <v>1</v>
      </c>
      <c r="F14" s="32">
        <v>13336802</v>
      </c>
      <c r="G14" s="32">
        <f>+ROUND(F14*1.051,0)</f>
        <v>14016979</v>
      </c>
      <c r="H14" s="32">
        <f>ROUND((E14*F14),0)</f>
        <v>13336802</v>
      </c>
      <c r="I14" s="32">
        <f>+ROUND(G14*E14,0)</f>
        <v>14016979</v>
      </c>
      <c r="J14" s="1289" t="s">
        <v>96</v>
      </c>
      <c r="K14" s="33">
        <v>0</v>
      </c>
      <c r="L14" s="34">
        <f>ROUND(K14*F14,0)</f>
        <v>0</v>
      </c>
      <c r="M14" s="35">
        <f t="shared" ref="M14:M50" si="0">L14/H14</f>
        <v>0</v>
      </c>
      <c r="N14" s="36">
        <v>0.3</v>
      </c>
      <c r="O14" s="37">
        <f>ROUND(N14*F14,0)</f>
        <v>4001041</v>
      </c>
      <c r="P14" s="38">
        <f t="shared" ref="P14:P20" si="1">O14/H14</f>
        <v>0.30000002999219755</v>
      </c>
      <c r="Q14" s="112">
        <v>0</v>
      </c>
      <c r="R14" s="89">
        <f>ROUND(Q14*$F$14,0)</f>
        <v>0</v>
      </c>
      <c r="S14" s="90">
        <f>R14/$H$14</f>
        <v>0</v>
      </c>
      <c r="T14" s="158">
        <v>0</v>
      </c>
      <c r="U14" s="194">
        <f>ROUND(T14*$F$14,0)</f>
        <v>0</v>
      </c>
      <c r="V14" s="195">
        <f>U14/$H$14</f>
        <v>0</v>
      </c>
      <c r="W14" s="432">
        <v>0</v>
      </c>
      <c r="X14" s="425">
        <f>ROUND(W14*$F$14,0)</f>
        <v>0</v>
      </c>
      <c r="Y14" s="426">
        <f>X14/$H$14</f>
        <v>0</v>
      </c>
      <c r="Z14" s="432">
        <v>0</v>
      </c>
      <c r="AA14" s="425">
        <f>ROUND(Z14*$G$14,0)</f>
        <v>0</v>
      </c>
      <c r="AB14" s="426">
        <f>AA14/I14</f>
        <v>0</v>
      </c>
      <c r="AC14" s="33">
        <f>K14+N14+Q14+T14+W14+Z14</f>
        <v>0.3</v>
      </c>
      <c r="AD14" s="34">
        <f>L14+O14+R14+U14+X14+AA14</f>
        <v>4001041</v>
      </c>
      <c r="AE14" s="35">
        <f>AD14/H14</f>
        <v>0.30000002999219755</v>
      </c>
    </row>
    <row r="15" spans="1:31" ht="48" customHeight="1" x14ac:dyDescent="0.3">
      <c r="A15" s="1289"/>
      <c r="B15" s="1289"/>
      <c r="C15" s="30" t="s">
        <v>61</v>
      </c>
      <c r="D15" s="30" t="s">
        <v>62</v>
      </c>
      <c r="E15" s="30">
        <v>1</v>
      </c>
      <c r="F15" s="32">
        <v>5049181</v>
      </c>
      <c r="G15" s="32">
        <f>+ROUND(F15*1.051,0)</f>
        <v>5306689</v>
      </c>
      <c r="H15" s="32">
        <f>ROUND((E15*F15),0)</f>
        <v>5049181</v>
      </c>
      <c r="I15" s="32">
        <f>+ROUND(G15*E15,0)</f>
        <v>5306689</v>
      </c>
      <c r="J15" s="1289"/>
      <c r="K15" s="33">
        <v>0</v>
      </c>
      <c r="L15" s="34">
        <f>ROUND(K15*F15,0)</f>
        <v>0</v>
      </c>
      <c r="M15" s="35">
        <f t="shared" si="0"/>
        <v>0</v>
      </c>
      <c r="N15" s="36">
        <v>0.3</v>
      </c>
      <c r="O15" s="37">
        <f>ROUND(N15*F15,0)</f>
        <v>1514754</v>
      </c>
      <c r="P15" s="38">
        <f t="shared" si="1"/>
        <v>0.29999994058442347</v>
      </c>
      <c r="Q15" s="112">
        <v>0</v>
      </c>
      <c r="R15" s="89">
        <f>ROUND(Q15*$F$15,0)</f>
        <v>0</v>
      </c>
      <c r="S15" s="90">
        <f>R15/$H$15</f>
        <v>0</v>
      </c>
      <c r="T15" s="158">
        <v>0</v>
      </c>
      <c r="U15" s="194">
        <f>ROUND(T15*$F$15,0)</f>
        <v>0</v>
      </c>
      <c r="V15" s="195">
        <f>U15/$H$15</f>
        <v>0</v>
      </c>
      <c r="W15" s="432">
        <v>0</v>
      </c>
      <c r="X15" s="425">
        <f>ROUND(W15*$F$15,0)</f>
        <v>0</v>
      </c>
      <c r="Y15" s="426">
        <f>X15/$H$15</f>
        <v>0</v>
      </c>
      <c r="Z15" s="432">
        <v>0</v>
      </c>
      <c r="AA15" s="425">
        <f>ROUND(Z15*$G$15,0)</f>
        <v>0</v>
      </c>
      <c r="AB15" s="426">
        <f>AA15/I15</f>
        <v>0</v>
      </c>
      <c r="AC15" s="416">
        <f>K15+N15+Q15+T15+W15+Z15</f>
        <v>0.3</v>
      </c>
      <c r="AD15" s="175">
        <f>L15+O15+R15+U15+X15+AA15</f>
        <v>1514754</v>
      </c>
      <c r="AE15" s="176">
        <f t="shared" ref="AE15" si="2">AD15/H15</f>
        <v>0.29999994058442347</v>
      </c>
    </row>
    <row r="16" spans="1:31" x14ac:dyDescent="0.3">
      <c r="A16" s="1289"/>
      <c r="B16" s="1289"/>
      <c r="C16" s="39"/>
      <c r="D16" s="39" t="s">
        <v>63</v>
      </c>
      <c r="E16" s="41"/>
      <c r="F16" s="41"/>
      <c r="G16" s="41"/>
      <c r="H16" s="42">
        <f>SUM(H14:H15)</f>
        <v>18385983</v>
      </c>
      <c r="I16" s="42">
        <f>SUM(I14:I15)</f>
        <v>19323668</v>
      </c>
      <c r="J16" s="1289"/>
      <c r="K16" s="43"/>
      <c r="L16" s="44">
        <f>SUM(L14:L15)</f>
        <v>0</v>
      </c>
      <c r="M16" s="45">
        <f t="shared" si="0"/>
        <v>0</v>
      </c>
      <c r="N16" s="45"/>
      <c r="O16" s="46">
        <f>SUM(O14:O15)</f>
        <v>5515795</v>
      </c>
      <c r="P16" s="45">
        <f t="shared" si="1"/>
        <v>0.30000000543892597</v>
      </c>
      <c r="Q16" s="45"/>
      <c r="R16" s="46">
        <f>SUM(R14:R15)</f>
        <v>0</v>
      </c>
      <c r="S16" s="45">
        <f>R16/$H$16</f>
        <v>0</v>
      </c>
      <c r="T16" s="178"/>
      <c r="U16" s="179">
        <f>SUM(U14:U15)</f>
        <v>0</v>
      </c>
      <c r="V16" s="178">
        <f>U16/$H$16</f>
        <v>0</v>
      </c>
      <c r="W16" s="431"/>
      <c r="X16" s="179">
        <f>SUM(X14:X15)</f>
        <v>0</v>
      </c>
      <c r="Y16" s="431">
        <f>X16/$H$16</f>
        <v>0</v>
      </c>
      <c r="Z16" s="431"/>
      <c r="AA16" s="179">
        <f>SUM(AA14:AA15)</f>
        <v>0</v>
      </c>
      <c r="AB16" s="431">
        <f>AA16/$H$16</f>
        <v>0</v>
      </c>
      <c r="AC16" s="43"/>
      <c r="AD16" s="44">
        <f>L16+O16+R16+U16+X16+AA16</f>
        <v>5515795</v>
      </c>
      <c r="AE16" s="45">
        <f t="shared" ref="AE16:AE19" si="3">AD16/H16</f>
        <v>0.30000000543892597</v>
      </c>
    </row>
    <row r="17" spans="1:31" ht="28.8" x14ac:dyDescent="0.3">
      <c r="A17" s="1289" t="s">
        <v>97</v>
      </c>
      <c r="B17" s="1290" t="s">
        <v>98</v>
      </c>
      <c r="C17" s="113" t="s">
        <v>59</v>
      </c>
      <c r="D17" s="30" t="s">
        <v>99</v>
      </c>
      <c r="E17" s="30">
        <v>1</v>
      </c>
      <c r="F17" s="32">
        <v>10551047</v>
      </c>
      <c r="G17" s="32">
        <f t="shared" ref="G17:G18" si="4">+ROUND(F17*1.051,0)</f>
        <v>11089150</v>
      </c>
      <c r="H17" s="32">
        <f>ROUND((E17*F17),0)</f>
        <v>10551047</v>
      </c>
      <c r="I17" s="32">
        <f t="shared" ref="I17:I18" si="5">+ROUND(G17*E17,0)</f>
        <v>11089150</v>
      </c>
      <c r="J17" s="1289" t="s">
        <v>100</v>
      </c>
      <c r="K17" s="33">
        <v>0</v>
      </c>
      <c r="L17" s="34">
        <f>ROUND(K17*F17,0)</f>
        <v>0</v>
      </c>
      <c r="M17" s="35">
        <f t="shared" si="0"/>
        <v>0</v>
      </c>
      <c r="N17" s="36">
        <v>0.3</v>
      </c>
      <c r="O17" s="37">
        <f>ROUND(N17*F17,0)</f>
        <v>3165314</v>
      </c>
      <c r="P17" s="38">
        <f t="shared" si="1"/>
        <v>0.29999999052226761</v>
      </c>
      <c r="Q17" s="112">
        <v>0</v>
      </c>
      <c r="R17" s="89">
        <f>ROUND(Q17*$F$17,0)</f>
        <v>0</v>
      </c>
      <c r="S17" s="90">
        <f>R17/$H$17</f>
        <v>0</v>
      </c>
      <c r="T17" s="158">
        <v>0</v>
      </c>
      <c r="U17" s="194">
        <f>ROUND(T17*$F$17,0)</f>
        <v>0</v>
      </c>
      <c r="V17" s="195">
        <f>U17/$H$17</f>
        <v>0</v>
      </c>
      <c r="W17" s="432">
        <v>0</v>
      </c>
      <c r="X17" s="425">
        <f>ROUND(W17*$F$17,0)</f>
        <v>0</v>
      </c>
      <c r="Y17" s="426">
        <f>X17/$H$17</f>
        <v>0</v>
      </c>
      <c r="Z17" s="432">
        <v>0</v>
      </c>
      <c r="AA17" s="425">
        <f>ROUND(Z17*$G$17,0)</f>
        <v>0</v>
      </c>
      <c r="AB17" s="426">
        <f t="shared" ref="AB17:AB18" si="6">AA17/I17</f>
        <v>0</v>
      </c>
      <c r="AC17" s="416">
        <f t="shared" ref="AC17:AC18" si="7">K17+N17+Q17+T17+W17+Z17</f>
        <v>0.3</v>
      </c>
      <c r="AD17" s="175">
        <f t="shared" ref="AD17:AD19" si="8">L17+O17+R17+U17+X17+AA17</f>
        <v>3165314</v>
      </c>
      <c r="AE17" s="176">
        <f t="shared" ref="AE17:AE18" si="9">AD17/H17</f>
        <v>0.29999999052226761</v>
      </c>
    </row>
    <row r="18" spans="1:31" ht="45" customHeight="1" x14ac:dyDescent="0.3">
      <c r="A18" s="1289"/>
      <c r="B18" s="1289"/>
      <c r="C18" s="30" t="s">
        <v>61</v>
      </c>
      <c r="D18" s="30" t="s">
        <v>101</v>
      </c>
      <c r="E18" s="30">
        <v>1</v>
      </c>
      <c r="F18" s="32">
        <v>4213455</v>
      </c>
      <c r="G18" s="32">
        <f t="shared" si="4"/>
        <v>4428341</v>
      </c>
      <c r="H18" s="32">
        <f>ROUND((E18*F18),0)</f>
        <v>4213455</v>
      </c>
      <c r="I18" s="32">
        <f t="shared" si="5"/>
        <v>4428341</v>
      </c>
      <c r="J18" s="1289"/>
      <c r="K18" s="33">
        <v>0</v>
      </c>
      <c r="L18" s="34">
        <f>ROUND(K18*F18,0)</f>
        <v>0</v>
      </c>
      <c r="M18" s="35">
        <f t="shared" si="0"/>
        <v>0</v>
      </c>
      <c r="N18" s="36">
        <v>0.3</v>
      </c>
      <c r="O18" s="37">
        <f>ROUND(N18*F18,0)</f>
        <v>1264037</v>
      </c>
      <c r="P18" s="38">
        <f t="shared" si="1"/>
        <v>0.30000011866745935</v>
      </c>
      <c r="Q18" s="112">
        <v>0</v>
      </c>
      <c r="R18" s="89">
        <f>ROUND(Q18*$F$18,0)</f>
        <v>0</v>
      </c>
      <c r="S18" s="90">
        <f>R18/$H$18</f>
        <v>0</v>
      </c>
      <c r="T18" s="158">
        <v>0</v>
      </c>
      <c r="U18" s="194">
        <f>ROUND(T18*$F$18,0)</f>
        <v>0</v>
      </c>
      <c r="V18" s="195">
        <f>U18/$H$18</f>
        <v>0</v>
      </c>
      <c r="W18" s="432">
        <v>0</v>
      </c>
      <c r="X18" s="425">
        <f>ROUND(W18*$F$18,0)</f>
        <v>0</v>
      </c>
      <c r="Y18" s="426">
        <f>X18/$H$18</f>
        <v>0</v>
      </c>
      <c r="Z18" s="432">
        <v>0</v>
      </c>
      <c r="AA18" s="425">
        <f>ROUND(Z18*$G$18,0)</f>
        <v>0</v>
      </c>
      <c r="AB18" s="426">
        <f t="shared" si="6"/>
        <v>0</v>
      </c>
      <c r="AC18" s="416">
        <f t="shared" si="7"/>
        <v>0.3</v>
      </c>
      <c r="AD18" s="175">
        <f t="shared" si="8"/>
        <v>1264037</v>
      </c>
      <c r="AE18" s="176">
        <f t="shared" si="9"/>
        <v>0.30000011866745935</v>
      </c>
    </row>
    <row r="19" spans="1:31" x14ac:dyDescent="0.3">
      <c r="A19" s="1289"/>
      <c r="B19" s="1289"/>
      <c r="C19" s="39"/>
      <c r="D19" s="39" t="s">
        <v>102</v>
      </c>
      <c r="E19" s="41"/>
      <c r="F19" s="41"/>
      <c r="G19" s="41"/>
      <c r="H19" s="42">
        <f>SUM(H17:H18)</f>
        <v>14764502</v>
      </c>
      <c r="I19" s="42">
        <f>SUM(I17:I18)</f>
        <v>15517491</v>
      </c>
      <c r="J19" s="1289"/>
      <c r="K19" s="43"/>
      <c r="L19" s="44">
        <f>SUM(L17:L18)</f>
        <v>0</v>
      </c>
      <c r="M19" s="45">
        <f t="shared" si="0"/>
        <v>0</v>
      </c>
      <c r="N19" s="45"/>
      <c r="O19" s="46">
        <f>SUM(O17:O18)</f>
        <v>4429351</v>
      </c>
      <c r="P19" s="45">
        <f t="shared" si="1"/>
        <v>0.30000002709200757</v>
      </c>
      <c r="Q19" s="45"/>
      <c r="R19" s="46">
        <f>SUM(R17:R18)</f>
        <v>0</v>
      </c>
      <c r="S19" s="45">
        <f>R19/$H$19</f>
        <v>0</v>
      </c>
      <c r="T19" s="178"/>
      <c r="U19" s="179">
        <f>SUM(U17:U18)</f>
        <v>0</v>
      </c>
      <c r="V19" s="178">
        <f>U19/$H$19</f>
        <v>0</v>
      </c>
      <c r="W19" s="431"/>
      <c r="X19" s="179">
        <f>SUM(X17:X18)</f>
        <v>0</v>
      </c>
      <c r="Y19" s="431">
        <f>X19/$H$19</f>
        <v>0</v>
      </c>
      <c r="Z19" s="431"/>
      <c r="AA19" s="179">
        <f>SUM(AA17:AA18)</f>
        <v>0</v>
      </c>
      <c r="AB19" s="431">
        <f>AA19/$H$19</f>
        <v>0</v>
      </c>
      <c r="AC19" s="43"/>
      <c r="AD19" s="1078">
        <f t="shared" si="8"/>
        <v>4429351</v>
      </c>
      <c r="AE19" s="45">
        <f t="shared" si="3"/>
        <v>0.30000002709200757</v>
      </c>
    </row>
    <row r="20" spans="1:31" ht="28.8" x14ac:dyDescent="0.3">
      <c r="A20" s="1289" t="s">
        <v>103</v>
      </c>
      <c r="B20" s="1289" t="s">
        <v>104</v>
      </c>
      <c r="C20" s="30" t="s">
        <v>81</v>
      </c>
      <c r="D20" s="30" t="s">
        <v>105</v>
      </c>
      <c r="E20" s="30">
        <v>1</v>
      </c>
      <c r="F20" s="32">
        <v>417863</v>
      </c>
      <c r="G20" s="32">
        <f t="shared" ref="G20:G21" si="10">+ROUND(F20*1.051,0)</f>
        <v>439174</v>
      </c>
      <c r="H20" s="32">
        <f>ROUND((E20*F20),0)</f>
        <v>417863</v>
      </c>
      <c r="I20" s="32">
        <f t="shared" ref="I20:I21" si="11">+ROUND(G20*E20,0)</f>
        <v>439174</v>
      </c>
      <c r="J20" s="1290" t="s">
        <v>106</v>
      </c>
      <c r="K20" s="33">
        <v>0</v>
      </c>
      <c r="L20" s="34">
        <f>ROUND(K20*F20,0)</f>
        <v>0</v>
      </c>
      <c r="M20" s="35">
        <f t="shared" si="0"/>
        <v>0</v>
      </c>
      <c r="N20" s="36">
        <v>0.3</v>
      </c>
      <c r="O20" s="37">
        <f>ROUND(N20*F20,0)</f>
        <v>125359</v>
      </c>
      <c r="P20" s="38">
        <f t="shared" si="1"/>
        <v>0.30000023931288483</v>
      </c>
      <c r="Q20" s="112">
        <v>0</v>
      </c>
      <c r="R20" s="89">
        <f>ROUND(Q20*$F$20,0)</f>
        <v>0</v>
      </c>
      <c r="S20" s="90">
        <f>R20/$H$20</f>
        <v>0</v>
      </c>
      <c r="T20" s="158">
        <v>0</v>
      </c>
      <c r="U20" s="194">
        <f>ROUND(T20*$F$20,0)</f>
        <v>0</v>
      </c>
      <c r="V20" s="195">
        <f>U20/$H$20</f>
        <v>0</v>
      </c>
      <c r="W20" s="432">
        <v>0</v>
      </c>
      <c r="X20" s="425">
        <f>ROUND(W20*$F$20,0)</f>
        <v>0</v>
      </c>
      <c r="Y20" s="426">
        <f>X20/$H$20</f>
        <v>0</v>
      </c>
      <c r="Z20" s="432">
        <v>0</v>
      </c>
      <c r="AA20" s="425">
        <f>ROUND(Z20*$G$20,0)</f>
        <v>0</v>
      </c>
      <c r="AB20" s="426">
        <f t="shared" ref="AB20" si="12">AA20/I20</f>
        <v>0</v>
      </c>
      <c r="AC20" s="416">
        <f t="shared" ref="AC20:AC21" si="13">K20+N20+Q20+T20+W20+Z20</f>
        <v>0.3</v>
      </c>
      <c r="AD20" s="175">
        <f t="shared" ref="AD20:AD50" si="14">L20+O20+R20+U20+X20+AA20</f>
        <v>125359</v>
      </c>
      <c r="AE20" s="176">
        <f t="shared" ref="AE20" si="15">AD20/H20</f>
        <v>0.30000023931288483</v>
      </c>
    </row>
    <row r="21" spans="1:31" ht="28.8" x14ac:dyDescent="0.3">
      <c r="A21" s="1289"/>
      <c r="B21" s="1289"/>
      <c r="C21" s="30" t="s">
        <v>83</v>
      </c>
      <c r="D21" s="30" t="s">
        <v>107</v>
      </c>
      <c r="E21" s="30">
        <v>0</v>
      </c>
      <c r="F21" s="32">
        <v>1845563</v>
      </c>
      <c r="G21" s="32">
        <f t="shared" si="10"/>
        <v>1939687</v>
      </c>
      <c r="H21" s="32">
        <f>ROUND((E21*F21),0)</f>
        <v>0</v>
      </c>
      <c r="I21" s="32">
        <f t="shared" si="11"/>
        <v>0</v>
      </c>
      <c r="J21" s="1289"/>
      <c r="K21" s="33">
        <v>0</v>
      </c>
      <c r="L21" s="34">
        <f>ROUND(K21*F21,0)</f>
        <v>0</v>
      </c>
      <c r="M21" s="35">
        <v>0</v>
      </c>
      <c r="N21" s="33">
        <v>0</v>
      </c>
      <c r="O21" s="34">
        <f>ROUND(N21*F21,0)</f>
        <v>0</v>
      </c>
      <c r="P21" s="35">
        <v>0</v>
      </c>
      <c r="Q21" s="112">
        <v>0</v>
      </c>
      <c r="R21" s="89">
        <f>ROUND(Q21*$F$21,0)</f>
        <v>0</v>
      </c>
      <c r="S21" s="90">
        <v>0</v>
      </c>
      <c r="T21" s="158">
        <v>0</v>
      </c>
      <c r="U21" s="194">
        <f>ROUND(T21*$F$21,0)</f>
        <v>0</v>
      </c>
      <c r="V21" s="195">
        <v>0</v>
      </c>
      <c r="W21" s="432">
        <v>0</v>
      </c>
      <c r="X21" s="425">
        <f>ROUND(W21*$F$21,0)</f>
        <v>0</v>
      </c>
      <c r="Y21" s="426">
        <v>0</v>
      </c>
      <c r="Z21" s="432">
        <v>0</v>
      </c>
      <c r="AA21" s="425">
        <f>ROUND(Z21*$G$21,0)</f>
        <v>0</v>
      </c>
      <c r="AB21" s="426">
        <v>0</v>
      </c>
      <c r="AC21" s="416">
        <f t="shared" si="13"/>
        <v>0</v>
      </c>
      <c r="AD21" s="175">
        <f>L21+O21+R21+U21+X21+AA21</f>
        <v>0</v>
      </c>
      <c r="AE21" s="176">
        <v>0</v>
      </c>
    </row>
    <row r="22" spans="1:31" x14ac:dyDescent="0.3">
      <c r="A22" s="1289"/>
      <c r="B22" s="1289"/>
      <c r="C22" s="39"/>
      <c r="D22" s="39" t="s">
        <v>108</v>
      </c>
      <c r="E22" s="41"/>
      <c r="F22" s="41"/>
      <c r="G22" s="41"/>
      <c r="H22" s="42">
        <f>SUM(H20:H21)</f>
        <v>417863</v>
      </c>
      <c r="I22" s="42">
        <f>SUM(I20:I21)</f>
        <v>439174</v>
      </c>
      <c r="J22" s="1289"/>
      <c r="K22" s="43"/>
      <c r="L22" s="44">
        <f>SUM(L20:L21)</f>
        <v>0</v>
      </c>
      <c r="M22" s="45">
        <f t="shared" si="0"/>
        <v>0</v>
      </c>
      <c r="N22" s="45"/>
      <c r="O22" s="46">
        <f>SUM(O20:O21)</f>
        <v>125359</v>
      </c>
      <c r="P22" s="45">
        <f t="shared" ref="P22:P51" si="16">O22/H22</f>
        <v>0.30000023931288483</v>
      </c>
      <c r="Q22" s="45"/>
      <c r="R22" s="46">
        <f>SUM(R20:R21)</f>
        <v>0</v>
      </c>
      <c r="S22" s="45">
        <f>R22/$H$22</f>
        <v>0</v>
      </c>
      <c r="T22" s="178"/>
      <c r="U22" s="179">
        <f>SUM(U20:U21)</f>
        <v>0</v>
      </c>
      <c r="V22" s="178">
        <f>U22/$H$22</f>
        <v>0</v>
      </c>
      <c r="W22" s="431"/>
      <c r="X22" s="179">
        <f>SUM(X20:X21)</f>
        <v>0</v>
      </c>
      <c r="Y22" s="431">
        <f>X22/$H$22</f>
        <v>0</v>
      </c>
      <c r="Z22" s="431"/>
      <c r="AA22" s="179">
        <f>SUM(AA20:AA21)</f>
        <v>0</v>
      </c>
      <c r="AB22" s="431">
        <f>AA22/$H$22</f>
        <v>0</v>
      </c>
      <c r="AC22" s="43"/>
      <c r="AD22" s="1078">
        <f>L22+O22+R22+U22+X22+AA22</f>
        <v>125359</v>
      </c>
      <c r="AE22" s="45">
        <f t="shared" ref="AE22:AE50" si="17">AD22/H22</f>
        <v>0.30000023931288483</v>
      </c>
    </row>
    <row r="23" spans="1:31" ht="30" customHeight="1" x14ac:dyDescent="0.3">
      <c r="A23" s="1289" t="s">
        <v>103</v>
      </c>
      <c r="B23" s="1289" t="s">
        <v>87</v>
      </c>
      <c r="C23" s="30" t="s">
        <v>88</v>
      </c>
      <c r="D23" s="30" t="s">
        <v>89</v>
      </c>
      <c r="E23" s="30">
        <v>1</v>
      </c>
      <c r="F23" s="32">
        <v>4492030</v>
      </c>
      <c r="G23" s="32">
        <f>+ROUND(F23*1.051,0)</f>
        <v>4721124</v>
      </c>
      <c r="H23" s="32">
        <f>ROUND((E23*F23),0)</f>
        <v>4492030</v>
      </c>
      <c r="I23" s="32">
        <f>+ROUND(G23*E23,0)</f>
        <v>4721124</v>
      </c>
      <c r="J23" s="1289"/>
      <c r="K23" s="36">
        <v>1</v>
      </c>
      <c r="L23" s="37">
        <f>ROUND(K23*F23,0)</f>
        <v>4492030</v>
      </c>
      <c r="M23" s="38">
        <f t="shared" si="0"/>
        <v>1</v>
      </c>
      <c r="N23" s="33">
        <v>0</v>
      </c>
      <c r="O23" s="34">
        <f>ROUND(N23*F23,0)</f>
        <v>0</v>
      </c>
      <c r="P23" s="35">
        <f t="shared" si="16"/>
        <v>0</v>
      </c>
      <c r="Q23" s="112">
        <v>0</v>
      </c>
      <c r="R23" s="89">
        <f>ROUND(Q23*$F$23,0)</f>
        <v>0</v>
      </c>
      <c r="S23" s="90">
        <f>R23/$H$23</f>
        <v>0</v>
      </c>
      <c r="T23" s="158">
        <v>0</v>
      </c>
      <c r="U23" s="194">
        <f>ROUND(T23*$F$23,0)</f>
        <v>0</v>
      </c>
      <c r="V23" s="195">
        <f>U23/$H$23</f>
        <v>0</v>
      </c>
      <c r="W23" s="432">
        <v>0</v>
      </c>
      <c r="X23" s="425">
        <f>ROUND(W23*$F$23,0)</f>
        <v>0</v>
      </c>
      <c r="Y23" s="426">
        <f>X23/$H$23</f>
        <v>0</v>
      </c>
      <c r="Z23" s="432">
        <v>0</v>
      </c>
      <c r="AA23" s="425">
        <f>ROUND(Z23*$G$23,0)</f>
        <v>0</v>
      </c>
      <c r="AB23" s="426">
        <f>AA23/I23</f>
        <v>0</v>
      </c>
      <c r="AC23" s="416">
        <f>K23+N23+Q23+T23+W23+Z23</f>
        <v>1</v>
      </c>
      <c r="AD23" s="175">
        <f>L23+O23+R23+U23+X23+AA23</f>
        <v>4492030</v>
      </c>
      <c r="AE23" s="176">
        <f t="shared" si="17"/>
        <v>1</v>
      </c>
    </row>
    <row r="24" spans="1:31" x14ac:dyDescent="0.3">
      <c r="A24" s="1289"/>
      <c r="B24" s="1289"/>
      <c r="C24" s="39"/>
      <c r="D24" s="39" t="s">
        <v>90</v>
      </c>
      <c r="E24" s="41"/>
      <c r="F24" s="41"/>
      <c r="G24" s="41"/>
      <c r="H24" s="42">
        <f>H23</f>
        <v>4492030</v>
      </c>
      <c r="I24" s="42">
        <f>SUM(I23)</f>
        <v>4721124</v>
      </c>
      <c r="J24" s="1289"/>
      <c r="K24" s="43"/>
      <c r="L24" s="44">
        <f>SUM(L23)</f>
        <v>4492030</v>
      </c>
      <c r="M24" s="45">
        <f t="shared" si="0"/>
        <v>1</v>
      </c>
      <c r="N24" s="45"/>
      <c r="O24" s="46">
        <f>SUM(O23)</f>
        <v>0</v>
      </c>
      <c r="P24" s="45">
        <f t="shared" si="16"/>
        <v>0</v>
      </c>
      <c r="Q24" s="45"/>
      <c r="R24" s="46">
        <f>SUM(R23)</f>
        <v>0</v>
      </c>
      <c r="S24" s="45">
        <f>R24/$H$24</f>
        <v>0</v>
      </c>
      <c r="T24" s="178"/>
      <c r="U24" s="179">
        <f>SUM(U23)</f>
        <v>0</v>
      </c>
      <c r="V24" s="178">
        <f>U24/$H$24</f>
        <v>0</v>
      </c>
      <c r="W24" s="431"/>
      <c r="X24" s="179">
        <f>SUM(X23)</f>
        <v>0</v>
      </c>
      <c r="Y24" s="431">
        <f>X24/$H$24</f>
        <v>0</v>
      </c>
      <c r="Z24" s="431"/>
      <c r="AA24" s="179">
        <f>SUM(AA23)</f>
        <v>0</v>
      </c>
      <c r="AB24" s="431">
        <f>AA24/$H$24</f>
        <v>0</v>
      </c>
      <c r="AC24" s="43"/>
      <c r="AD24" s="1078">
        <f t="shared" si="14"/>
        <v>4492030</v>
      </c>
      <c r="AE24" s="45">
        <f t="shared" si="17"/>
        <v>1</v>
      </c>
    </row>
    <row r="25" spans="1:31" ht="28.8" x14ac:dyDescent="0.3">
      <c r="A25" s="1289" t="s">
        <v>109</v>
      </c>
      <c r="B25" s="1290" t="s">
        <v>110</v>
      </c>
      <c r="C25" s="30" t="s">
        <v>81</v>
      </c>
      <c r="D25" s="30" t="s">
        <v>111</v>
      </c>
      <c r="E25" s="30">
        <v>1</v>
      </c>
      <c r="F25" s="32">
        <v>4805428</v>
      </c>
      <c r="G25" s="32">
        <f t="shared" ref="G25:G27" si="18">+ROUND(F25*1.051,0)</f>
        <v>5050505</v>
      </c>
      <c r="H25" s="32">
        <f>ROUND((E25*F25),0)</f>
        <v>4805428</v>
      </c>
      <c r="I25" s="32">
        <f t="shared" ref="I25:I27" si="19">+ROUND(G25*E25,0)</f>
        <v>5050505</v>
      </c>
      <c r="J25" s="1289" t="s">
        <v>112</v>
      </c>
      <c r="K25" s="33">
        <v>0</v>
      </c>
      <c r="L25" s="34">
        <f>ROUND(K25*F25,0)</f>
        <v>0</v>
      </c>
      <c r="M25" s="35">
        <f t="shared" si="0"/>
        <v>0</v>
      </c>
      <c r="N25" s="36">
        <v>0.3</v>
      </c>
      <c r="O25" s="37">
        <f>ROUND(N25*F25,0)</f>
        <v>1441628</v>
      </c>
      <c r="P25" s="38">
        <f t="shared" si="16"/>
        <v>0.29999991676079635</v>
      </c>
      <c r="Q25" s="112">
        <v>0</v>
      </c>
      <c r="R25" s="89">
        <f>ROUND(Q25*$F$25,0)</f>
        <v>0</v>
      </c>
      <c r="S25" s="90">
        <f>R25/$H$25</f>
        <v>0</v>
      </c>
      <c r="T25" s="303">
        <v>0.49</v>
      </c>
      <c r="U25" s="304">
        <f>ROUND(T25*$F$25,0)</f>
        <v>2354660</v>
      </c>
      <c r="V25" s="305">
        <f>U25/$H$25</f>
        <v>0.49000005826744258</v>
      </c>
      <c r="W25" s="432">
        <v>0</v>
      </c>
      <c r="X25" s="425">
        <f>ROUND(W25*$F$25,0)</f>
        <v>0</v>
      </c>
      <c r="Y25" s="426">
        <f>X25/$H$25</f>
        <v>0</v>
      </c>
      <c r="Z25" s="432">
        <v>0</v>
      </c>
      <c r="AA25" s="425">
        <f>ROUND(Z25*$G$25,0)</f>
        <v>0</v>
      </c>
      <c r="AB25" s="426">
        <f t="shared" ref="AB25:AB27" si="20">AA25/I25</f>
        <v>0</v>
      </c>
      <c r="AC25" s="416">
        <f t="shared" ref="AC25:AC27" si="21">K25+N25+Q25+T25+W25+Z25</f>
        <v>0.79</v>
      </c>
      <c r="AD25" s="175">
        <f>L25+O25+R25+U25+X25+AA25</f>
        <v>3796288</v>
      </c>
      <c r="AE25" s="176">
        <f t="shared" si="17"/>
        <v>0.78999997502823893</v>
      </c>
    </row>
    <row r="26" spans="1:31" ht="28.8" x14ac:dyDescent="0.3">
      <c r="A26" s="1289"/>
      <c r="B26" s="1289"/>
      <c r="C26" s="30" t="s">
        <v>83</v>
      </c>
      <c r="D26" s="30" t="s">
        <v>113</v>
      </c>
      <c r="E26" s="30">
        <v>1</v>
      </c>
      <c r="F26" s="32">
        <v>7451895</v>
      </c>
      <c r="G26" s="32">
        <f t="shared" si="18"/>
        <v>7831942</v>
      </c>
      <c r="H26" s="32">
        <f>ROUND((E26*F26),0)</f>
        <v>7451895</v>
      </c>
      <c r="I26" s="32">
        <f t="shared" si="19"/>
        <v>7831942</v>
      </c>
      <c r="J26" s="1289"/>
      <c r="K26" s="33">
        <v>0</v>
      </c>
      <c r="L26" s="34">
        <f>ROUND(K26*F26,0)</f>
        <v>0</v>
      </c>
      <c r="M26" s="35">
        <f t="shared" si="0"/>
        <v>0</v>
      </c>
      <c r="N26" s="36">
        <v>0.3</v>
      </c>
      <c r="O26" s="37">
        <f>ROUND(N26*F26,0)</f>
        <v>2235569</v>
      </c>
      <c r="P26" s="38">
        <f t="shared" si="16"/>
        <v>0.30000006709702698</v>
      </c>
      <c r="Q26" s="147">
        <v>0.7</v>
      </c>
      <c r="R26" s="167">
        <f>ROUND(Q26*$F$26,0)</f>
        <v>5216327</v>
      </c>
      <c r="S26" s="168">
        <f>R26/$H$26</f>
        <v>0.700000067097027</v>
      </c>
      <c r="T26" s="158">
        <v>0</v>
      </c>
      <c r="U26" s="194">
        <f>ROUND(T26*$F$26,0)</f>
        <v>0</v>
      </c>
      <c r="V26" s="195">
        <f>U26/$H$26</f>
        <v>0</v>
      </c>
      <c r="W26" s="432">
        <v>0</v>
      </c>
      <c r="X26" s="425">
        <f>ROUND(W26*$F$26,0)</f>
        <v>0</v>
      </c>
      <c r="Y26" s="426">
        <f>X26/$H$26</f>
        <v>0</v>
      </c>
      <c r="Z26" s="1077">
        <v>0</v>
      </c>
      <c r="AA26" s="425">
        <f>ROUND(Z25*$G$25,0)</f>
        <v>0</v>
      </c>
      <c r="AB26" s="426">
        <f t="shared" si="20"/>
        <v>0</v>
      </c>
      <c r="AC26" s="416">
        <f t="shared" si="21"/>
        <v>1</v>
      </c>
      <c r="AD26" s="175">
        <f>L26+O26+R26+U26+X26+AA26</f>
        <v>7451896</v>
      </c>
      <c r="AE26" s="176">
        <f t="shared" si="17"/>
        <v>1.0000001341940541</v>
      </c>
    </row>
    <row r="27" spans="1:31" ht="51" customHeight="1" x14ac:dyDescent="0.3">
      <c r="A27" s="1289"/>
      <c r="B27" s="1289"/>
      <c r="C27" s="30" t="s">
        <v>114</v>
      </c>
      <c r="D27" s="30" t="s">
        <v>115</v>
      </c>
      <c r="E27" s="30">
        <v>1</v>
      </c>
      <c r="F27" s="32">
        <v>15286831</v>
      </c>
      <c r="G27" s="32">
        <f t="shared" si="18"/>
        <v>16066459</v>
      </c>
      <c r="H27" s="32">
        <f>ROUND((E27*F27),0)</f>
        <v>15286831</v>
      </c>
      <c r="I27" s="32">
        <f t="shared" si="19"/>
        <v>16066459</v>
      </c>
      <c r="J27" s="1289"/>
      <c r="K27" s="33">
        <v>0</v>
      </c>
      <c r="L27" s="34">
        <f>ROUND(K27*F27,0)</f>
        <v>0</v>
      </c>
      <c r="M27" s="35">
        <f t="shared" si="0"/>
        <v>0</v>
      </c>
      <c r="N27" s="36">
        <v>0.3</v>
      </c>
      <c r="O27" s="37">
        <f>ROUND(N27*F27,0)</f>
        <v>4586049</v>
      </c>
      <c r="P27" s="38">
        <f t="shared" si="16"/>
        <v>0.29999998037526548</v>
      </c>
      <c r="Q27" s="288">
        <v>0.7</v>
      </c>
      <c r="R27" s="290">
        <f>ROUND(Q27*$F$27,0)</f>
        <v>10700782</v>
      </c>
      <c r="S27" s="291">
        <f>R27/$H$27</f>
        <v>0.70000001962473457</v>
      </c>
      <c r="T27" s="158">
        <v>0</v>
      </c>
      <c r="U27" s="194">
        <f>ROUND(T27*$F$27,0)</f>
        <v>0</v>
      </c>
      <c r="V27" s="195">
        <f>U27/$H$27</f>
        <v>0</v>
      </c>
      <c r="W27" s="432">
        <v>0</v>
      </c>
      <c r="X27" s="425">
        <f>ROUND(W27*$F$27,0)</f>
        <v>0</v>
      </c>
      <c r="Y27" s="426">
        <f>X27/$H$27</f>
        <v>0</v>
      </c>
      <c r="Z27" s="432">
        <v>0</v>
      </c>
      <c r="AA27" s="425">
        <f>ROUND(Z27*$G$27,0)</f>
        <v>0</v>
      </c>
      <c r="AB27" s="426">
        <f t="shared" si="20"/>
        <v>0</v>
      </c>
      <c r="AC27" s="416">
        <f t="shared" si="21"/>
        <v>1</v>
      </c>
      <c r="AD27" s="175">
        <f t="shared" si="14"/>
        <v>15286831</v>
      </c>
      <c r="AE27" s="176">
        <f t="shared" si="17"/>
        <v>1</v>
      </c>
    </row>
    <row r="28" spans="1:31" x14ac:dyDescent="0.3">
      <c r="A28" s="1289"/>
      <c r="B28" s="1289"/>
      <c r="C28" s="39"/>
      <c r="D28" s="39" t="s">
        <v>116</v>
      </c>
      <c r="E28" s="41"/>
      <c r="F28" s="41"/>
      <c r="G28" s="41"/>
      <c r="H28" s="42">
        <f>SUM(H25:H27)</f>
        <v>27544154</v>
      </c>
      <c r="I28" s="42">
        <f>SUM(I25:I27)</f>
        <v>28948906</v>
      </c>
      <c r="J28" s="1289"/>
      <c r="K28" s="43"/>
      <c r="L28" s="44">
        <f>SUM(L25:L27)</f>
        <v>0</v>
      </c>
      <c r="M28" s="45">
        <f t="shared" si="0"/>
        <v>0</v>
      </c>
      <c r="N28" s="45"/>
      <c r="O28" s="46">
        <f>SUM(O25:O27)</f>
        <v>8263246</v>
      </c>
      <c r="P28" s="45">
        <f t="shared" si="16"/>
        <v>0.29999999273893108</v>
      </c>
      <c r="Q28" s="45"/>
      <c r="R28" s="46">
        <f>SUM(R25:R27)</f>
        <v>15917109</v>
      </c>
      <c r="S28" s="45">
        <f>R28/$H$28</f>
        <v>0.57787612572889335</v>
      </c>
      <c r="T28" s="178"/>
      <c r="U28" s="179">
        <f>SUM(U25:U27)</f>
        <v>2354660</v>
      </c>
      <c r="V28" s="178">
        <f>U28/$H$28</f>
        <v>8.5486742486264061E-2</v>
      </c>
      <c r="W28" s="431"/>
      <c r="X28" s="179">
        <f>SUM(X25:X27)</f>
        <v>0</v>
      </c>
      <c r="Y28" s="431">
        <f>X28/$H$28</f>
        <v>0</v>
      </c>
      <c r="Z28" s="431"/>
      <c r="AA28" s="179">
        <f>SUM(AA25:AA27)</f>
        <v>0</v>
      </c>
      <c r="AB28" s="431">
        <f>AA28/$H$28</f>
        <v>0</v>
      </c>
      <c r="AC28" s="43"/>
      <c r="AD28" s="1078">
        <f t="shared" si="14"/>
        <v>26535015</v>
      </c>
      <c r="AE28" s="45">
        <f t="shared" si="17"/>
        <v>0.96336286095408852</v>
      </c>
    </row>
    <row r="29" spans="1:31" ht="28.8" x14ac:dyDescent="0.3">
      <c r="A29" s="1289" t="s">
        <v>109</v>
      </c>
      <c r="B29" s="1289" t="s">
        <v>117</v>
      </c>
      <c r="C29" s="30" t="s">
        <v>118</v>
      </c>
      <c r="D29" s="30" t="s">
        <v>119</v>
      </c>
      <c r="E29" s="30">
        <v>1</v>
      </c>
      <c r="F29" s="32">
        <v>7904580</v>
      </c>
      <c r="G29" s="32">
        <f t="shared" ref="G29:G31" si="22">+ROUND(F29*1.051,0)</f>
        <v>8307714</v>
      </c>
      <c r="H29" s="32">
        <f>ROUND((E29*F29),0)</f>
        <v>7904580</v>
      </c>
      <c r="I29" s="32">
        <f t="shared" ref="I29:I31" si="23">+ROUND(G29*E29,0)</f>
        <v>8307714</v>
      </c>
      <c r="J29" s="1289"/>
      <c r="K29" s="33">
        <v>0</v>
      </c>
      <c r="L29" s="34">
        <f>ROUND(K29*F29,0)</f>
        <v>0</v>
      </c>
      <c r="M29" s="35">
        <f t="shared" si="0"/>
        <v>0</v>
      </c>
      <c r="N29" s="36">
        <v>0.3</v>
      </c>
      <c r="O29" s="37">
        <f>ROUND(N29*F29,0)</f>
        <v>2371374</v>
      </c>
      <c r="P29" s="38">
        <f t="shared" si="16"/>
        <v>0.3</v>
      </c>
      <c r="Q29" s="112">
        <v>0</v>
      </c>
      <c r="R29" s="89">
        <f>ROUND(Q29*$F$29,0)</f>
        <v>0</v>
      </c>
      <c r="S29" s="90">
        <f>R29/$H$29</f>
        <v>0</v>
      </c>
      <c r="T29" s="158">
        <v>0</v>
      </c>
      <c r="U29" s="194">
        <f>ROUND(T29*$F$29,0)</f>
        <v>0</v>
      </c>
      <c r="V29" s="195">
        <f>U29/$H$29</f>
        <v>0</v>
      </c>
      <c r="W29" s="432">
        <v>0</v>
      </c>
      <c r="X29" s="425">
        <f>ROUND(W29*$F$29,0)</f>
        <v>0</v>
      </c>
      <c r="Y29" s="426">
        <f>X29/$H$29</f>
        <v>0</v>
      </c>
      <c r="Z29" s="432">
        <v>0</v>
      </c>
      <c r="AA29" s="425">
        <f>ROUND(Z29*$G$29,0)</f>
        <v>0</v>
      </c>
      <c r="AB29" s="426">
        <f t="shared" ref="AB29:AB31" si="24">AA29/I29</f>
        <v>0</v>
      </c>
      <c r="AC29" s="416">
        <f t="shared" ref="AC29:AC31" si="25">K29+N29+Q29+T29+W29+Z29</f>
        <v>0.3</v>
      </c>
      <c r="AD29" s="175">
        <f t="shared" si="14"/>
        <v>2371374</v>
      </c>
      <c r="AE29" s="176">
        <f t="shared" si="17"/>
        <v>0.3</v>
      </c>
    </row>
    <row r="30" spans="1:31" ht="28.8" x14ac:dyDescent="0.3">
      <c r="A30" s="1289"/>
      <c r="B30" s="1289"/>
      <c r="C30" s="30" t="s">
        <v>83</v>
      </c>
      <c r="D30" s="30" t="s">
        <v>120</v>
      </c>
      <c r="E30" s="30">
        <v>1</v>
      </c>
      <c r="F30" s="32">
        <v>5014359</v>
      </c>
      <c r="G30" s="32">
        <f t="shared" si="22"/>
        <v>5270091</v>
      </c>
      <c r="H30" s="32">
        <f>ROUND((E30*F30),0)</f>
        <v>5014359</v>
      </c>
      <c r="I30" s="32">
        <f t="shared" si="23"/>
        <v>5270091</v>
      </c>
      <c r="J30" s="1289"/>
      <c r="K30" s="33">
        <v>0</v>
      </c>
      <c r="L30" s="34">
        <f>ROUND(K30*F30,0)</f>
        <v>0</v>
      </c>
      <c r="M30" s="35">
        <f t="shared" si="0"/>
        <v>0</v>
      </c>
      <c r="N30" s="36">
        <v>0.3</v>
      </c>
      <c r="O30" s="37">
        <f>ROUND(N30*F30,0)</f>
        <v>1504308</v>
      </c>
      <c r="P30" s="38">
        <f t="shared" si="16"/>
        <v>0.30000005982818539</v>
      </c>
      <c r="Q30" s="288">
        <v>0.7</v>
      </c>
      <c r="R30" s="290">
        <f>ROUND(Q30*$F$30,0)</f>
        <v>3510051</v>
      </c>
      <c r="S30" s="291">
        <f>R30/$H$30</f>
        <v>0.69999994017181455</v>
      </c>
      <c r="T30" s="158">
        <v>0</v>
      </c>
      <c r="U30" s="194">
        <f>ROUND(T30*$F$30,0)</f>
        <v>0</v>
      </c>
      <c r="V30" s="195">
        <f>U30/$H$30</f>
        <v>0</v>
      </c>
      <c r="W30" s="432">
        <v>0</v>
      </c>
      <c r="X30" s="425">
        <f>ROUND(W30*$F$30,0)</f>
        <v>0</v>
      </c>
      <c r="Y30" s="426">
        <f>X30/$H$30</f>
        <v>0</v>
      </c>
      <c r="Z30" s="432">
        <v>0</v>
      </c>
      <c r="AA30" s="425">
        <f>ROUND(Z30*$G$30,0)</f>
        <v>0</v>
      </c>
      <c r="AB30" s="426">
        <f t="shared" si="24"/>
        <v>0</v>
      </c>
      <c r="AC30" s="416">
        <f t="shared" si="25"/>
        <v>1</v>
      </c>
      <c r="AD30" s="175">
        <f t="shared" si="14"/>
        <v>5014359</v>
      </c>
      <c r="AE30" s="176">
        <f t="shared" si="17"/>
        <v>1</v>
      </c>
    </row>
    <row r="31" spans="1:31" ht="48.75" customHeight="1" x14ac:dyDescent="0.3">
      <c r="A31" s="1289"/>
      <c r="B31" s="1289"/>
      <c r="C31" s="30" t="s">
        <v>61</v>
      </c>
      <c r="D31" s="30" t="s">
        <v>121</v>
      </c>
      <c r="E31" s="30">
        <v>1</v>
      </c>
      <c r="F31" s="32">
        <v>4283098</v>
      </c>
      <c r="G31" s="32">
        <f t="shared" si="22"/>
        <v>4501536</v>
      </c>
      <c r="H31" s="32">
        <f>ROUND((E31*F31),0)</f>
        <v>4283098</v>
      </c>
      <c r="I31" s="32">
        <f t="shared" si="23"/>
        <v>4501536</v>
      </c>
      <c r="J31" s="1289"/>
      <c r="K31" s="33">
        <v>0</v>
      </c>
      <c r="L31" s="34">
        <f>ROUND(K31*F31,0)</f>
        <v>0</v>
      </c>
      <c r="M31" s="35">
        <f t="shared" si="0"/>
        <v>0</v>
      </c>
      <c r="N31" s="36">
        <v>0.3</v>
      </c>
      <c r="O31" s="37">
        <f>ROUND(N31*F31,0)</f>
        <v>1284929</v>
      </c>
      <c r="P31" s="38">
        <f t="shared" si="16"/>
        <v>0.29999990660965498</v>
      </c>
      <c r="Q31" s="288">
        <v>0.7</v>
      </c>
      <c r="R31" s="290">
        <f>ROUND(Q31*$F$31,0)</f>
        <v>2998169</v>
      </c>
      <c r="S31" s="291">
        <f>R31/$H$31</f>
        <v>0.70000009339034508</v>
      </c>
      <c r="T31" s="158">
        <v>0</v>
      </c>
      <c r="U31" s="194">
        <f>ROUND(T31*$F$31,0)</f>
        <v>0</v>
      </c>
      <c r="V31" s="195">
        <f>U31/$H$31</f>
        <v>0</v>
      </c>
      <c r="W31" s="432">
        <v>0</v>
      </c>
      <c r="X31" s="425">
        <f>ROUND(W31*$F$31,0)</f>
        <v>0</v>
      </c>
      <c r="Y31" s="426">
        <f>X31/$H$31</f>
        <v>0</v>
      </c>
      <c r="Z31" s="432">
        <v>0</v>
      </c>
      <c r="AA31" s="425">
        <f>ROUND(Z31*$G$31,0)</f>
        <v>0</v>
      </c>
      <c r="AB31" s="426">
        <f t="shared" si="24"/>
        <v>0</v>
      </c>
      <c r="AC31" s="416">
        <f t="shared" si="25"/>
        <v>1</v>
      </c>
      <c r="AD31" s="175">
        <f t="shared" si="14"/>
        <v>4283098</v>
      </c>
      <c r="AE31" s="176">
        <f t="shared" si="17"/>
        <v>1</v>
      </c>
    </row>
    <row r="32" spans="1:31" x14ac:dyDescent="0.3">
      <c r="A32" s="1289"/>
      <c r="B32" s="1289"/>
      <c r="C32" s="39"/>
      <c r="D32" s="39" t="s">
        <v>116</v>
      </c>
      <c r="E32" s="41"/>
      <c r="F32" s="41"/>
      <c r="G32" s="41"/>
      <c r="H32" s="42">
        <f>SUM(H29:H31)</f>
        <v>17202037</v>
      </c>
      <c r="I32" s="42">
        <f>SUM(I29:I31)</f>
        <v>18079341</v>
      </c>
      <c r="J32" s="1289"/>
      <c r="K32" s="43"/>
      <c r="L32" s="44">
        <f>SUM(L29:L31)</f>
        <v>0</v>
      </c>
      <c r="M32" s="45">
        <f t="shared" si="0"/>
        <v>0</v>
      </c>
      <c r="N32" s="45"/>
      <c r="O32" s="46">
        <f>SUM(O29:O31)</f>
        <v>5160611</v>
      </c>
      <c r="P32" s="45">
        <f t="shared" si="16"/>
        <v>0.29999999418673495</v>
      </c>
      <c r="Q32" s="45"/>
      <c r="R32" s="46">
        <f>SUM(R29:R31)</f>
        <v>6508220</v>
      </c>
      <c r="S32" s="45">
        <f>R32/$H$32</f>
        <v>0.37834007681764664</v>
      </c>
      <c r="T32" s="178"/>
      <c r="U32" s="179">
        <f>SUM(U29:U31)</f>
        <v>0</v>
      </c>
      <c r="V32" s="178">
        <f>U32/$H$32</f>
        <v>0</v>
      </c>
      <c r="W32" s="431"/>
      <c r="X32" s="179">
        <f>SUM(X29:X31)</f>
        <v>0</v>
      </c>
      <c r="Y32" s="431">
        <f>X32/$H$32</f>
        <v>0</v>
      </c>
      <c r="Z32" s="431"/>
      <c r="AA32" s="179">
        <f>SUM(AA29:AA31)</f>
        <v>0</v>
      </c>
      <c r="AB32" s="431">
        <f>AA32/$H$32</f>
        <v>0</v>
      </c>
      <c r="AC32" s="43"/>
      <c r="AD32" s="1078">
        <f t="shared" si="14"/>
        <v>11668831</v>
      </c>
      <c r="AE32" s="45">
        <f t="shared" si="17"/>
        <v>0.67834007100438165</v>
      </c>
    </row>
    <row r="33" spans="1:31" ht="28.8" x14ac:dyDescent="0.3">
      <c r="A33" s="1289" t="s">
        <v>109</v>
      </c>
      <c r="B33" s="1289" t="s">
        <v>122</v>
      </c>
      <c r="C33" s="30" t="s">
        <v>83</v>
      </c>
      <c r="D33" s="30" t="s">
        <v>123</v>
      </c>
      <c r="E33" s="30">
        <v>1</v>
      </c>
      <c r="F33" s="32">
        <v>1044658</v>
      </c>
      <c r="G33" s="32">
        <f t="shared" ref="G33:G34" si="26">+ROUND(F33*1.051,0)</f>
        <v>1097936</v>
      </c>
      <c r="H33" s="32">
        <f>ROUND((E33*F33),0)</f>
        <v>1044658</v>
      </c>
      <c r="I33" s="32">
        <f t="shared" ref="I33:I34" si="27">+ROUND(G33*E33,0)</f>
        <v>1097936</v>
      </c>
      <c r="J33" s="1290" t="s">
        <v>124</v>
      </c>
      <c r="K33" s="33">
        <v>0</v>
      </c>
      <c r="L33" s="34">
        <f>ROUND(K33*F33,0)</f>
        <v>0</v>
      </c>
      <c r="M33" s="35">
        <f t="shared" si="0"/>
        <v>0</v>
      </c>
      <c r="N33" s="36">
        <v>0.3</v>
      </c>
      <c r="O33" s="37">
        <f>ROUND(N33*F33,0)</f>
        <v>313397</v>
      </c>
      <c r="P33" s="38">
        <f t="shared" si="16"/>
        <v>0.29999961709956752</v>
      </c>
      <c r="Q33" s="288">
        <v>0.7</v>
      </c>
      <c r="R33" s="290">
        <f>ROUND(Q33*$F$33,0)</f>
        <v>731261</v>
      </c>
      <c r="S33" s="291">
        <f>R33/$H$33</f>
        <v>0.70000038290043254</v>
      </c>
      <c r="T33" s="158">
        <v>0</v>
      </c>
      <c r="U33" s="194">
        <f>ROUND(T33*$F$33,0)</f>
        <v>0</v>
      </c>
      <c r="V33" s="195">
        <f>U33/$H$33</f>
        <v>0</v>
      </c>
      <c r="W33" s="432">
        <v>0</v>
      </c>
      <c r="X33" s="425">
        <f>ROUND(W33*$F$33,0)</f>
        <v>0</v>
      </c>
      <c r="Y33" s="426">
        <f>X33/$H$33</f>
        <v>0</v>
      </c>
      <c r="Z33" s="432">
        <v>0</v>
      </c>
      <c r="AA33" s="425">
        <f>ROUND(Z33*$G$33,0)</f>
        <v>0</v>
      </c>
      <c r="AB33" s="426">
        <f t="shared" ref="AB33:AB34" si="28">AA33/I33</f>
        <v>0</v>
      </c>
      <c r="AC33" s="416">
        <f t="shared" ref="AC33:AC34" si="29">K33+N33+Q33+T33+W33+Z33</f>
        <v>1</v>
      </c>
      <c r="AD33" s="175">
        <f t="shared" si="14"/>
        <v>1044658</v>
      </c>
      <c r="AE33" s="176">
        <f t="shared" si="17"/>
        <v>1</v>
      </c>
    </row>
    <row r="34" spans="1:31" ht="53.25" customHeight="1" x14ac:dyDescent="0.3">
      <c r="A34" s="1289"/>
      <c r="B34" s="1289"/>
      <c r="C34" s="30" t="s">
        <v>61</v>
      </c>
      <c r="D34" s="30" t="s">
        <v>125</v>
      </c>
      <c r="E34" s="30">
        <v>1</v>
      </c>
      <c r="F34" s="32">
        <v>1009836</v>
      </c>
      <c r="G34" s="32">
        <f t="shared" si="26"/>
        <v>1061338</v>
      </c>
      <c r="H34" s="32">
        <f>ROUND((E34*F34),0)</f>
        <v>1009836</v>
      </c>
      <c r="I34" s="32">
        <f t="shared" si="27"/>
        <v>1061338</v>
      </c>
      <c r="J34" s="1289"/>
      <c r="K34" s="33">
        <v>0</v>
      </c>
      <c r="L34" s="34">
        <f>ROUND(K34*F34,0)</f>
        <v>0</v>
      </c>
      <c r="M34" s="35">
        <f t="shared" si="0"/>
        <v>0</v>
      </c>
      <c r="N34" s="36">
        <v>0.3</v>
      </c>
      <c r="O34" s="37">
        <f>ROUND(N34*F34,0)</f>
        <v>302951</v>
      </c>
      <c r="P34" s="38">
        <f t="shared" si="16"/>
        <v>0.30000019805196093</v>
      </c>
      <c r="Q34" s="288">
        <v>0.7</v>
      </c>
      <c r="R34" s="290">
        <f>ROUND(Q34*$F$34,0)</f>
        <v>706885</v>
      </c>
      <c r="S34" s="291">
        <f>R34/$H$34</f>
        <v>0.69999980194803912</v>
      </c>
      <c r="T34" s="158">
        <v>0</v>
      </c>
      <c r="U34" s="194">
        <f>ROUND(T34*$F$34,0)</f>
        <v>0</v>
      </c>
      <c r="V34" s="195">
        <f>U34/$H$34</f>
        <v>0</v>
      </c>
      <c r="W34" s="432">
        <v>0</v>
      </c>
      <c r="X34" s="425">
        <f>ROUND(W34*$F$34,0)</f>
        <v>0</v>
      </c>
      <c r="Y34" s="426">
        <f>X34/$H$34</f>
        <v>0</v>
      </c>
      <c r="Z34" s="432">
        <v>0</v>
      </c>
      <c r="AA34" s="425">
        <f>ROUND(Z34*$G$34,0)</f>
        <v>0</v>
      </c>
      <c r="AB34" s="426">
        <f t="shared" si="28"/>
        <v>0</v>
      </c>
      <c r="AC34" s="416">
        <f t="shared" si="29"/>
        <v>1</v>
      </c>
      <c r="AD34" s="175">
        <f t="shared" si="14"/>
        <v>1009836</v>
      </c>
      <c r="AE34" s="176">
        <f t="shared" si="17"/>
        <v>1</v>
      </c>
    </row>
    <row r="35" spans="1:31" x14ac:dyDescent="0.3">
      <c r="A35" s="1289"/>
      <c r="B35" s="1289"/>
      <c r="C35" s="39"/>
      <c r="D35" s="39" t="s">
        <v>126</v>
      </c>
      <c r="E35" s="41"/>
      <c r="F35" s="41"/>
      <c r="G35" s="41"/>
      <c r="H35" s="42">
        <f>SUM(H33:H34)</f>
        <v>2054494</v>
      </c>
      <c r="I35" s="42">
        <f>SUM(I33:I34)</f>
        <v>2159274</v>
      </c>
      <c r="J35" s="1289"/>
      <c r="K35" s="43"/>
      <c r="L35" s="44">
        <f>SUM(L33:L34)</f>
        <v>0</v>
      </c>
      <c r="M35" s="45">
        <f t="shared" si="0"/>
        <v>0</v>
      </c>
      <c r="N35" s="45"/>
      <c r="O35" s="46">
        <f>SUM(O33:O34)</f>
        <v>616348</v>
      </c>
      <c r="P35" s="45">
        <f t="shared" si="16"/>
        <v>0.29999990265242926</v>
      </c>
      <c r="Q35" s="45"/>
      <c r="R35" s="46">
        <f>SUM(R33:R34)</f>
        <v>1438146</v>
      </c>
      <c r="S35" s="45">
        <f>R35/$H$35</f>
        <v>0.70000009734757074</v>
      </c>
      <c r="T35" s="178"/>
      <c r="U35" s="179">
        <f>SUM(U33:U34)</f>
        <v>0</v>
      </c>
      <c r="V35" s="178">
        <f>U35/$H$35</f>
        <v>0</v>
      </c>
      <c r="W35" s="431"/>
      <c r="X35" s="179">
        <f>SUM(X33:X34)</f>
        <v>0</v>
      </c>
      <c r="Y35" s="431">
        <f>X35/$H$35</f>
        <v>0</v>
      </c>
      <c r="Z35" s="431"/>
      <c r="AA35" s="179">
        <f>SUM(AA33:AA34)</f>
        <v>0</v>
      </c>
      <c r="AB35" s="431">
        <f>AA35/$H$35</f>
        <v>0</v>
      </c>
      <c r="AC35" s="43"/>
      <c r="AD35" s="1078">
        <f t="shared" si="14"/>
        <v>2054494</v>
      </c>
      <c r="AE35" s="45">
        <f t="shared" si="17"/>
        <v>1</v>
      </c>
    </row>
    <row r="36" spans="1:31" ht="28.8" x14ac:dyDescent="0.3">
      <c r="A36" s="1289" t="s">
        <v>109</v>
      </c>
      <c r="B36" s="1289" t="s">
        <v>127</v>
      </c>
      <c r="C36" s="30" t="s">
        <v>81</v>
      </c>
      <c r="D36" s="30" t="s">
        <v>128</v>
      </c>
      <c r="E36" s="30">
        <v>1</v>
      </c>
      <c r="F36" s="32">
        <v>3621482</v>
      </c>
      <c r="G36" s="32">
        <f>+ROUND(F36*1.051,0)</f>
        <v>3806178</v>
      </c>
      <c r="H36" s="32">
        <f>ROUND((E36*F36),0)</f>
        <v>3621482</v>
      </c>
      <c r="I36" s="32">
        <f>+ROUND(G36*E36,0)</f>
        <v>3806178</v>
      </c>
      <c r="J36" s="1289" t="s">
        <v>129</v>
      </c>
      <c r="K36" s="33">
        <v>0</v>
      </c>
      <c r="L36" s="34">
        <f>ROUND(K36*F36,0)</f>
        <v>0</v>
      </c>
      <c r="M36" s="35">
        <f t="shared" si="0"/>
        <v>0</v>
      </c>
      <c r="N36" s="36">
        <v>0.3</v>
      </c>
      <c r="O36" s="37">
        <f>ROUND(N36*F36,0)</f>
        <v>1086445</v>
      </c>
      <c r="P36" s="38">
        <f t="shared" si="16"/>
        <v>0.30000011045201935</v>
      </c>
      <c r="Q36" s="112">
        <v>0</v>
      </c>
      <c r="R36" s="89">
        <f>ROUND(Q36*$F$36,0)</f>
        <v>0</v>
      </c>
      <c r="S36" s="90">
        <f>R36/$H$36</f>
        <v>0</v>
      </c>
      <c r="T36" s="158">
        <v>0</v>
      </c>
      <c r="U36" s="194">
        <f>ROUND(T36*$F$36,0)</f>
        <v>0</v>
      </c>
      <c r="V36" s="195">
        <f>U36/$H$36</f>
        <v>0</v>
      </c>
      <c r="W36" s="432">
        <v>0</v>
      </c>
      <c r="X36" s="425">
        <f>ROUND(W36*$F$36,0)</f>
        <v>0</v>
      </c>
      <c r="Y36" s="426">
        <f>X36/$H$36</f>
        <v>0</v>
      </c>
      <c r="Z36" s="432">
        <v>0</v>
      </c>
      <c r="AA36" s="425">
        <f>ROUND(Z36*$G$36,0)</f>
        <v>0</v>
      </c>
      <c r="AB36" s="426">
        <f>AA36/I36</f>
        <v>0</v>
      </c>
      <c r="AC36" s="416">
        <f>K36+N36+Q36+T36+W36+Z36</f>
        <v>0.3</v>
      </c>
      <c r="AD36" s="175">
        <f t="shared" si="14"/>
        <v>1086445</v>
      </c>
      <c r="AE36" s="176">
        <f t="shared" si="17"/>
        <v>0.30000011045201935</v>
      </c>
    </row>
    <row r="37" spans="1:31" x14ac:dyDescent="0.3">
      <c r="A37" s="1289"/>
      <c r="B37" s="1289"/>
      <c r="C37" s="39"/>
      <c r="D37" s="39" t="s">
        <v>130</v>
      </c>
      <c r="E37" s="41"/>
      <c r="F37" s="41"/>
      <c r="G37" s="41"/>
      <c r="H37" s="42">
        <f>H36</f>
        <v>3621482</v>
      </c>
      <c r="I37" s="42">
        <f>SUM(I36)</f>
        <v>3806178</v>
      </c>
      <c r="J37" s="1289"/>
      <c r="K37" s="43"/>
      <c r="L37" s="44">
        <f>SUM(L36)</f>
        <v>0</v>
      </c>
      <c r="M37" s="45">
        <f t="shared" si="0"/>
        <v>0</v>
      </c>
      <c r="N37" s="45"/>
      <c r="O37" s="46">
        <f>SUM(O36)</f>
        <v>1086445</v>
      </c>
      <c r="P37" s="45">
        <f t="shared" si="16"/>
        <v>0.30000011045201935</v>
      </c>
      <c r="Q37" s="45"/>
      <c r="R37" s="46">
        <f>SUM(R36)</f>
        <v>0</v>
      </c>
      <c r="S37" s="45">
        <f>R37/$H$37</f>
        <v>0</v>
      </c>
      <c r="T37" s="178"/>
      <c r="U37" s="179">
        <f>SUM(U36)</f>
        <v>0</v>
      </c>
      <c r="V37" s="178">
        <f>U37/$H$37</f>
        <v>0</v>
      </c>
      <c r="W37" s="431"/>
      <c r="X37" s="179">
        <f>SUM(X36)</f>
        <v>0</v>
      </c>
      <c r="Y37" s="431">
        <f>X37/$H$37</f>
        <v>0</v>
      </c>
      <c r="Z37" s="431"/>
      <c r="AA37" s="179">
        <f>SUM(AA36)</f>
        <v>0</v>
      </c>
      <c r="AB37" s="431">
        <f>AA37/$H$37</f>
        <v>0</v>
      </c>
      <c r="AC37" s="43"/>
      <c r="AD37" s="1078">
        <f t="shared" si="14"/>
        <v>1086445</v>
      </c>
      <c r="AE37" s="45">
        <f t="shared" si="17"/>
        <v>0.30000011045201935</v>
      </c>
    </row>
    <row r="38" spans="1:31" ht="35.25" customHeight="1" x14ac:dyDescent="0.3">
      <c r="A38" s="1289" t="s">
        <v>131</v>
      </c>
      <c r="B38" s="1290" t="s">
        <v>110</v>
      </c>
      <c r="C38" s="30" t="s">
        <v>81</v>
      </c>
      <c r="D38" s="30" t="s">
        <v>111</v>
      </c>
      <c r="E38" s="30">
        <v>1</v>
      </c>
      <c r="F38" s="32">
        <v>4805428</v>
      </c>
      <c r="G38" s="32">
        <f t="shared" ref="G38:G40" si="30">+ROUND(F38*1.051,0)</f>
        <v>5050505</v>
      </c>
      <c r="H38" s="32">
        <f>ROUND((E38*F38),0)</f>
        <v>4805428</v>
      </c>
      <c r="I38" s="32">
        <f t="shared" ref="I38:I40" si="31">+ROUND(G38*E38,0)</f>
        <v>5050505</v>
      </c>
      <c r="J38" s="1289"/>
      <c r="K38" s="33">
        <v>0</v>
      </c>
      <c r="L38" s="34">
        <f>ROUND(K38*F38,0)</f>
        <v>0</v>
      </c>
      <c r="M38" s="35">
        <f t="shared" si="0"/>
        <v>0</v>
      </c>
      <c r="N38" s="36">
        <v>1</v>
      </c>
      <c r="O38" s="37">
        <f>ROUND(N38*F38,0)</f>
        <v>4805428</v>
      </c>
      <c r="P38" s="38">
        <f t="shared" si="16"/>
        <v>1</v>
      </c>
      <c r="Q38" s="112">
        <v>0</v>
      </c>
      <c r="R38" s="89">
        <f>ROUND(Q38*$F$38,0)</f>
        <v>0</v>
      </c>
      <c r="S38" s="90">
        <f>R38/$H$38</f>
        <v>0</v>
      </c>
      <c r="T38" s="158">
        <v>0</v>
      </c>
      <c r="U38" s="194">
        <f>ROUND(T38*$F$38,0)</f>
        <v>0</v>
      </c>
      <c r="V38" s="195">
        <f>U38/$H$38</f>
        <v>0</v>
      </c>
      <c r="W38" s="432">
        <v>0</v>
      </c>
      <c r="X38" s="425">
        <f>ROUND(W38*$F$38,0)</f>
        <v>0</v>
      </c>
      <c r="Y38" s="426">
        <f>X38/$H$38</f>
        <v>0</v>
      </c>
      <c r="Z38" s="432">
        <v>0</v>
      </c>
      <c r="AA38" s="425">
        <f>ROUND(Z38*$G$38,0)</f>
        <v>0</v>
      </c>
      <c r="AB38" s="426">
        <f t="shared" ref="AB38:AB40" si="32">AA38/I38</f>
        <v>0</v>
      </c>
      <c r="AC38" s="416">
        <f t="shared" ref="AC38:AC40" si="33">K38+N38+Q38+T38+W38+Z38</f>
        <v>1</v>
      </c>
      <c r="AD38" s="175">
        <f t="shared" si="14"/>
        <v>4805428</v>
      </c>
      <c r="AE38" s="176">
        <f t="shared" si="17"/>
        <v>1</v>
      </c>
    </row>
    <row r="39" spans="1:31" ht="28.8" x14ac:dyDescent="0.3">
      <c r="A39" s="1289"/>
      <c r="B39" s="1289"/>
      <c r="C39" s="30" t="s">
        <v>83</v>
      </c>
      <c r="D39" s="30" t="s">
        <v>113</v>
      </c>
      <c r="E39" s="30">
        <v>1</v>
      </c>
      <c r="F39" s="32">
        <v>7451895</v>
      </c>
      <c r="G39" s="32">
        <f t="shared" si="30"/>
        <v>7831942</v>
      </c>
      <c r="H39" s="32">
        <f>ROUND((E39*F39),0)</f>
        <v>7451895</v>
      </c>
      <c r="I39" s="32">
        <f t="shared" si="31"/>
        <v>7831942</v>
      </c>
      <c r="J39" s="1289"/>
      <c r="K39" s="33">
        <v>0</v>
      </c>
      <c r="L39" s="34">
        <f>ROUND(K39*F39,0)</f>
        <v>0</v>
      </c>
      <c r="M39" s="35">
        <f t="shared" si="0"/>
        <v>0</v>
      </c>
      <c r="N39" s="36">
        <v>0.3</v>
      </c>
      <c r="O39" s="37">
        <f>ROUND(N39*F39,0)</f>
        <v>2235569</v>
      </c>
      <c r="P39" s="38">
        <f t="shared" si="16"/>
        <v>0.30000006709702698</v>
      </c>
      <c r="Q39" s="112">
        <v>0</v>
      </c>
      <c r="R39" s="89">
        <f>ROUND(Q39*$F$39,0)</f>
        <v>0</v>
      </c>
      <c r="S39" s="90">
        <f>R39/$H$39</f>
        <v>0</v>
      </c>
      <c r="T39" s="158">
        <v>0</v>
      </c>
      <c r="U39" s="194">
        <f>ROUND(T39*$F$39,0)</f>
        <v>0</v>
      </c>
      <c r="V39" s="195">
        <f>U39/$H$39</f>
        <v>0</v>
      </c>
      <c r="W39" s="432">
        <v>0</v>
      </c>
      <c r="X39" s="425">
        <f>ROUND(W39*$F$39,0)</f>
        <v>0</v>
      </c>
      <c r="Y39" s="426">
        <f>X39/$H$39</f>
        <v>0</v>
      </c>
      <c r="Z39" s="432">
        <v>0</v>
      </c>
      <c r="AA39" s="425">
        <f>ROUND(Z39*$G$39,0)</f>
        <v>0</v>
      </c>
      <c r="AB39" s="426">
        <f t="shared" si="32"/>
        <v>0</v>
      </c>
      <c r="AC39" s="416">
        <f t="shared" si="33"/>
        <v>0.3</v>
      </c>
      <c r="AD39" s="175">
        <f t="shared" si="14"/>
        <v>2235569</v>
      </c>
      <c r="AE39" s="176">
        <f t="shared" si="17"/>
        <v>0.30000006709702698</v>
      </c>
    </row>
    <row r="40" spans="1:31" ht="47.25" customHeight="1" x14ac:dyDescent="0.3">
      <c r="A40" s="1289"/>
      <c r="B40" s="1289"/>
      <c r="C40" s="30" t="s">
        <v>114</v>
      </c>
      <c r="D40" s="30" t="s">
        <v>115</v>
      </c>
      <c r="E40" s="30">
        <v>1</v>
      </c>
      <c r="F40" s="32">
        <v>15286831</v>
      </c>
      <c r="G40" s="32">
        <f t="shared" si="30"/>
        <v>16066459</v>
      </c>
      <c r="H40" s="32">
        <f>ROUND((E40*F40),0)</f>
        <v>15286831</v>
      </c>
      <c r="I40" s="32">
        <f t="shared" si="31"/>
        <v>16066459</v>
      </c>
      <c r="J40" s="1289"/>
      <c r="K40" s="33">
        <v>0</v>
      </c>
      <c r="L40" s="34">
        <f>ROUND(K40*F40,0)</f>
        <v>0</v>
      </c>
      <c r="M40" s="35">
        <f t="shared" si="0"/>
        <v>0</v>
      </c>
      <c r="N40" s="36">
        <v>0.3</v>
      </c>
      <c r="O40" s="37">
        <f>ROUND(N40*F40,0)</f>
        <v>4586049</v>
      </c>
      <c r="P40" s="38">
        <f t="shared" si="16"/>
        <v>0.29999998037526548</v>
      </c>
      <c r="Q40" s="112">
        <v>0</v>
      </c>
      <c r="R40" s="89">
        <f>ROUND(Q40*$F$40,0)</f>
        <v>0</v>
      </c>
      <c r="S40" s="90">
        <f>R40/$H$40</f>
        <v>0</v>
      </c>
      <c r="T40" s="158">
        <v>0</v>
      </c>
      <c r="U40" s="194">
        <f>ROUND(T40*$F$40,0)</f>
        <v>0</v>
      </c>
      <c r="V40" s="195">
        <f>U40/$H$40</f>
        <v>0</v>
      </c>
      <c r="W40" s="432">
        <v>0</v>
      </c>
      <c r="X40" s="425">
        <f>ROUND(W40*$F$40,0)</f>
        <v>0</v>
      </c>
      <c r="Y40" s="426">
        <f>X40/$H$40</f>
        <v>0</v>
      </c>
      <c r="Z40" s="432">
        <v>0</v>
      </c>
      <c r="AA40" s="425">
        <f>ROUND(Z40*$G$40,0)</f>
        <v>0</v>
      </c>
      <c r="AB40" s="426">
        <f t="shared" si="32"/>
        <v>0</v>
      </c>
      <c r="AC40" s="416">
        <f t="shared" si="33"/>
        <v>0.3</v>
      </c>
      <c r="AD40" s="175">
        <f t="shared" si="14"/>
        <v>4586049</v>
      </c>
      <c r="AE40" s="176">
        <f t="shared" si="17"/>
        <v>0.29999998037526548</v>
      </c>
    </row>
    <row r="41" spans="1:31" x14ac:dyDescent="0.3">
      <c r="A41" s="1289"/>
      <c r="B41" s="1289"/>
      <c r="C41" s="39"/>
      <c r="D41" s="39" t="s">
        <v>116</v>
      </c>
      <c r="E41" s="41"/>
      <c r="F41" s="41"/>
      <c r="G41" s="41"/>
      <c r="H41" s="42">
        <f>SUM(H38:H40)</f>
        <v>27544154</v>
      </c>
      <c r="I41" s="42">
        <f>SUM(I38:I40)</f>
        <v>28948906</v>
      </c>
      <c r="J41" s="1289"/>
      <c r="K41" s="43"/>
      <c r="L41" s="44">
        <f>SUM(L38:L40)</f>
        <v>0</v>
      </c>
      <c r="M41" s="45">
        <f t="shared" si="0"/>
        <v>0</v>
      </c>
      <c r="N41" s="45"/>
      <c r="O41" s="46">
        <f>SUM(O38:O40)</f>
        <v>11627046</v>
      </c>
      <c r="P41" s="45">
        <f t="shared" si="16"/>
        <v>0.42212391057645116</v>
      </c>
      <c r="Q41" s="45"/>
      <c r="R41" s="46">
        <f>SUM(R38:R40)</f>
        <v>0</v>
      </c>
      <c r="S41" s="45">
        <f>R41/$H$41</f>
        <v>0</v>
      </c>
      <c r="T41" s="178"/>
      <c r="U41" s="179">
        <f>SUM(U38:U40)</f>
        <v>0</v>
      </c>
      <c r="V41" s="178">
        <f>U41/$H$41</f>
        <v>0</v>
      </c>
      <c r="W41" s="431"/>
      <c r="X41" s="179">
        <f>SUM(X38:X40)</f>
        <v>0</v>
      </c>
      <c r="Y41" s="431">
        <f>X41/$H$41</f>
        <v>0</v>
      </c>
      <c r="Z41" s="431"/>
      <c r="AA41" s="179">
        <f>SUM(AA38:AA40)</f>
        <v>0</v>
      </c>
      <c r="AB41" s="431">
        <f>AA41/$H$41</f>
        <v>0</v>
      </c>
      <c r="AC41" s="43"/>
      <c r="AD41" s="1078">
        <f t="shared" si="14"/>
        <v>11627046</v>
      </c>
      <c r="AE41" s="45">
        <f t="shared" si="17"/>
        <v>0.42212391057645116</v>
      </c>
    </row>
    <row r="42" spans="1:31" ht="28.8" x14ac:dyDescent="0.3">
      <c r="A42" s="1289" t="s">
        <v>131</v>
      </c>
      <c r="B42" s="1290" t="s">
        <v>132</v>
      </c>
      <c r="C42" s="30" t="s">
        <v>81</v>
      </c>
      <c r="D42" s="30" t="s">
        <v>133</v>
      </c>
      <c r="E42" s="30">
        <v>1</v>
      </c>
      <c r="F42" s="32">
        <v>11282308</v>
      </c>
      <c r="G42" s="32">
        <f t="shared" ref="G42:G44" si="34">+ROUND(F42*1.051,0)</f>
        <v>11857706</v>
      </c>
      <c r="H42" s="32">
        <f>ROUND((E42*F42),0)</f>
        <v>11282308</v>
      </c>
      <c r="I42" s="32">
        <f t="shared" ref="I42:I44" si="35">+ROUND(G42*E42,0)</f>
        <v>11857706</v>
      </c>
      <c r="J42" s="1289"/>
      <c r="K42" s="33">
        <v>0</v>
      </c>
      <c r="L42" s="34">
        <f>ROUND(K42*F42,0)</f>
        <v>0</v>
      </c>
      <c r="M42" s="35">
        <f t="shared" si="0"/>
        <v>0</v>
      </c>
      <c r="N42" s="36">
        <v>0.3</v>
      </c>
      <c r="O42" s="37">
        <f>ROUND(N42*F42,0)</f>
        <v>3384692</v>
      </c>
      <c r="P42" s="38">
        <f t="shared" si="16"/>
        <v>0.29999996454626127</v>
      </c>
      <c r="Q42" s="112">
        <v>0</v>
      </c>
      <c r="R42" s="89">
        <f>ROUND(Q42*$F$42,0)</f>
        <v>0</v>
      </c>
      <c r="S42" s="90">
        <f>R42/$H$42</f>
        <v>0</v>
      </c>
      <c r="T42" s="303">
        <v>0.49</v>
      </c>
      <c r="U42" s="304">
        <f>ROUND(T42*$F$42,0)</f>
        <v>5528331</v>
      </c>
      <c r="V42" s="305">
        <f>U42/$H$42</f>
        <v>0.49000000709074776</v>
      </c>
      <c r="W42" s="432">
        <v>0</v>
      </c>
      <c r="X42" s="425">
        <f>ROUND(W42*$F$42,0)</f>
        <v>0</v>
      </c>
      <c r="Y42" s="426">
        <f>X42/$H$42</f>
        <v>0</v>
      </c>
      <c r="Z42" s="432">
        <v>0</v>
      </c>
      <c r="AA42" s="425">
        <f>ROUND(Z42*$G$42,0)</f>
        <v>0</v>
      </c>
      <c r="AB42" s="426">
        <f t="shared" ref="AB42:AB44" si="36">AA42/I42</f>
        <v>0</v>
      </c>
      <c r="AC42" s="416">
        <f t="shared" ref="AC42:AC44" si="37">K42+N42+Q42+T42+W42+Z42</f>
        <v>0.79</v>
      </c>
      <c r="AD42" s="175">
        <f t="shared" si="14"/>
        <v>8913023</v>
      </c>
      <c r="AE42" s="176">
        <f t="shared" si="17"/>
        <v>0.78999997163700897</v>
      </c>
    </row>
    <row r="43" spans="1:31" ht="28.8" x14ac:dyDescent="0.3">
      <c r="A43" s="1289"/>
      <c r="B43" s="1289"/>
      <c r="C43" s="30" t="s">
        <v>83</v>
      </c>
      <c r="D43" s="30" t="s">
        <v>134</v>
      </c>
      <c r="E43" s="30">
        <v>1</v>
      </c>
      <c r="F43" s="32">
        <v>5014359</v>
      </c>
      <c r="G43" s="32">
        <f t="shared" si="34"/>
        <v>5270091</v>
      </c>
      <c r="H43" s="32">
        <f>ROUND((E43*F43),0)</f>
        <v>5014359</v>
      </c>
      <c r="I43" s="32">
        <f t="shared" si="35"/>
        <v>5270091</v>
      </c>
      <c r="J43" s="1289"/>
      <c r="K43" s="33">
        <v>0</v>
      </c>
      <c r="L43" s="34">
        <f>ROUND(K43*F43,0)</f>
        <v>0</v>
      </c>
      <c r="M43" s="35">
        <f t="shared" si="0"/>
        <v>0</v>
      </c>
      <c r="N43" s="36">
        <v>0.3</v>
      </c>
      <c r="O43" s="37">
        <f>ROUND(N43*F43,0)</f>
        <v>1504308</v>
      </c>
      <c r="P43" s="38">
        <f t="shared" si="16"/>
        <v>0.30000005982818539</v>
      </c>
      <c r="Q43" s="112">
        <v>0</v>
      </c>
      <c r="R43" s="89">
        <f>ROUND(Q43*$F$43,0)</f>
        <v>0</v>
      </c>
      <c r="S43" s="90">
        <f>R43/$H$43</f>
        <v>0</v>
      </c>
      <c r="T43" s="158">
        <v>0</v>
      </c>
      <c r="U43" s="194">
        <f>ROUND(T43*$F$43,0)</f>
        <v>0</v>
      </c>
      <c r="V43" s="195">
        <f>U43/$H$43</f>
        <v>0</v>
      </c>
      <c r="W43" s="432">
        <v>0</v>
      </c>
      <c r="X43" s="425">
        <f>ROUND(W43*$F$43,0)</f>
        <v>0</v>
      </c>
      <c r="Y43" s="426">
        <f>X43/$H$43</f>
        <v>0</v>
      </c>
      <c r="Z43" s="432">
        <v>0</v>
      </c>
      <c r="AA43" s="425">
        <f>ROUND(Z43*$G$43,0)</f>
        <v>0</v>
      </c>
      <c r="AB43" s="426">
        <f t="shared" si="36"/>
        <v>0</v>
      </c>
      <c r="AC43" s="416">
        <f t="shared" si="37"/>
        <v>0.3</v>
      </c>
      <c r="AD43" s="175">
        <f t="shared" si="14"/>
        <v>1504308</v>
      </c>
      <c r="AE43" s="176">
        <f t="shared" si="17"/>
        <v>0.30000005982818539</v>
      </c>
    </row>
    <row r="44" spans="1:31" ht="48.75" customHeight="1" x14ac:dyDescent="0.3">
      <c r="A44" s="1289"/>
      <c r="B44" s="1289"/>
      <c r="C44" s="30" t="s">
        <v>61</v>
      </c>
      <c r="D44" s="30" t="s">
        <v>135</v>
      </c>
      <c r="E44" s="30">
        <v>1</v>
      </c>
      <c r="F44" s="32">
        <v>4283098</v>
      </c>
      <c r="G44" s="32">
        <f t="shared" si="34"/>
        <v>4501536</v>
      </c>
      <c r="H44" s="32">
        <f>ROUND((E44*F44),0)</f>
        <v>4283098</v>
      </c>
      <c r="I44" s="32">
        <f t="shared" si="35"/>
        <v>4501536</v>
      </c>
      <c r="J44" s="1289"/>
      <c r="K44" s="33">
        <v>0</v>
      </c>
      <c r="L44" s="34">
        <f>ROUND(K44*F44,0)</f>
        <v>0</v>
      </c>
      <c r="M44" s="35">
        <f t="shared" si="0"/>
        <v>0</v>
      </c>
      <c r="N44" s="36">
        <v>0.3</v>
      </c>
      <c r="O44" s="37">
        <f>ROUND(N44*F44,0)</f>
        <v>1284929</v>
      </c>
      <c r="P44" s="38">
        <f t="shared" si="16"/>
        <v>0.29999990660965498</v>
      </c>
      <c r="Q44" s="112">
        <v>0</v>
      </c>
      <c r="R44" s="89">
        <f>ROUND(Q44*$F$44,0)</f>
        <v>0</v>
      </c>
      <c r="S44" s="90">
        <f>R44/$H$44</f>
        <v>0</v>
      </c>
      <c r="T44" s="158">
        <v>0</v>
      </c>
      <c r="U44" s="194">
        <f>ROUND(T44*$F$44,0)</f>
        <v>0</v>
      </c>
      <c r="V44" s="195">
        <f>U44/$H$44</f>
        <v>0</v>
      </c>
      <c r="W44" s="432">
        <v>0</v>
      </c>
      <c r="X44" s="425">
        <f>ROUND(W44*$F$44,0)</f>
        <v>0</v>
      </c>
      <c r="Y44" s="426">
        <f>X44/$H$44</f>
        <v>0</v>
      </c>
      <c r="Z44" s="432">
        <v>0</v>
      </c>
      <c r="AA44" s="425">
        <f>ROUND(Z44*$G$44,0)</f>
        <v>0</v>
      </c>
      <c r="AB44" s="426">
        <f t="shared" si="36"/>
        <v>0</v>
      </c>
      <c r="AC44" s="416">
        <f t="shared" si="37"/>
        <v>0.3</v>
      </c>
      <c r="AD44" s="175">
        <f t="shared" si="14"/>
        <v>1284929</v>
      </c>
      <c r="AE44" s="176">
        <f t="shared" si="17"/>
        <v>0.29999990660965498</v>
      </c>
    </row>
    <row r="45" spans="1:31" x14ac:dyDescent="0.3">
      <c r="A45" s="1289"/>
      <c r="B45" s="1289"/>
      <c r="C45" s="39"/>
      <c r="D45" s="39" t="s">
        <v>136</v>
      </c>
      <c r="E45" s="41"/>
      <c r="F45" s="41"/>
      <c r="G45" s="41"/>
      <c r="H45" s="42">
        <f>SUM(H42:H44)</f>
        <v>20579765</v>
      </c>
      <c r="I45" s="42">
        <f>SUM(I42:I44)</f>
        <v>21629333</v>
      </c>
      <c r="J45" s="1289"/>
      <c r="K45" s="43"/>
      <c r="L45" s="44">
        <f>SUM(L42:L44)</f>
        <v>0</v>
      </c>
      <c r="M45" s="45">
        <f t="shared" si="0"/>
        <v>0</v>
      </c>
      <c r="N45" s="45"/>
      <c r="O45" s="46">
        <f>SUM(O42:O44)</f>
        <v>6173929</v>
      </c>
      <c r="P45" s="45">
        <f t="shared" si="16"/>
        <v>0.2999999757042901</v>
      </c>
      <c r="Q45" s="45"/>
      <c r="R45" s="46">
        <f>SUM(R42:R44)</f>
        <v>0</v>
      </c>
      <c r="S45" s="45">
        <f>R45/$H$45</f>
        <v>0</v>
      </c>
      <c r="T45" s="178"/>
      <c r="U45" s="179">
        <f>SUM(U42:U44)</f>
        <v>5528331</v>
      </c>
      <c r="V45" s="178">
        <f>U45/$H$45</f>
        <v>0.26862945227994584</v>
      </c>
      <c r="W45" s="431"/>
      <c r="X45" s="179">
        <f>SUM(X42:X44)</f>
        <v>0</v>
      </c>
      <c r="Y45" s="431">
        <f>X45/$H$45</f>
        <v>0</v>
      </c>
      <c r="Z45" s="431"/>
      <c r="AA45" s="179">
        <f>SUM(AA42:AA44)</f>
        <v>0</v>
      </c>
      <c r="AB45" s="431">
        <f>AA45/$H$45</f>
        <v>0</v>
      </c>
      <c r="AC45" s="43"/>
      <c r="AD45" s="1078">
        <f t="shared" si="14"/>
        <v>11702260</v>
      </c>
      <c r="AE45" s="45">
        <f t="shared" si="17"/>
        <v>0.56862942798423599</v>
      </c>
    </row>
    <row r="46" spans="1:31" ht="28.8" x14ac:dyDescent="0.3">
      <c r="A46" s="1289" t="s">
        <v>131</v>
      </c>
      <c r="B46" s="1289" t="s">
        <v>122</v>
      </c>
      <c r="C46" s="30" t="s">
        <v>83</v>
      </c>
      <c r="D46" s="30" t="s">
        <v>123</v>
      </c>
      <c r="E46" s="30">
        <v>1</v>
      </c>
      <c r="F46" s="32">
        <v>1044658</v>
      </c>
      <c r="G46" s="32">
        <f t="shared" ref="G46:G47" si="38">+ROUND(F46*1.051,0)</f>
        <v>1097936</v>
      </c>
      <c r="H46" s="32">
        <f>ROUND((E46*F46),0)</f>
        <v>1044658</v>
      </c>
      <c r="I46" s="32">
        <f t="shared" ref="I46:I49" si="39">+ROUND(G46*E46,0)</f>
        <v>1097936</v>
      </c>
      <c r="J46" s="1290" t="s">
        <v>124</v>
      </c>
      <c r="K46" s="33">
        <v>0</v>
      </c>
      <c r="L46" s="34">
        <f>ROUND(K46*F46,0)</f>
        <v>0</v>
      </c>
      <c r="M46" s="35">
        <f t="shared" si="0"/>
        <v>0</v>
      </c>
      <c r="N46" s="36">
        <v>0.3</v>
      </c>
      <c r="O46" s="37">
        <f>ROUND(N46*F46,0)</f>
        <v>313397</v>
      </c>
      <c r="P46" s="38">
        <f t="shared" si="16"/>
        <v>0.29999961709956752</v>
      </c>
      <c r="Q46" s="288">
        <v>0.7</v>
      </c>
      <c r="R46" s="290">
        <f>ROUND(Q46*$F$46,0)</f>
        <v>731261</v>
      </c>
      <c r="S46" s="291">
        <f>R46/$H$46</f>
        <v>0.70000038290043254</v>
      </c>
      <c r="T46" s="158">
        <v>0</v>
      </c>
      <c r="U46" s="194">
        <f>ROUND(T46*$F$46,0)</f>
        <v>0</v>
      </c>
      <c r="V46" s="195">
        <f>U46/$H$46</f>
        <v>0</v>
      </c>
      <c r="W46" s="432">
        <v>0</v>
      </c>
      <c r="X46" s="425">
        <f>ROUND(W46*$F$46,0)</f>
        <v>0</v>
      </c>
      <c r="Y46" s="426">
        <f>X46/$H$46</f>
        <v>0</v>
      </c>
      <c r="Z46" s="432">
        <v>0</v>
      </c>
      <c r="AA46" s="425">
        <f>ROUND(Z46*$G$46,0)</f>
        <v>0</v>
      </c>
      <c r="AB46" s="426">
        <f t="shared" ref="AB46:AB47" si="40">AA46/I46</f>
        <v>0</v>
      </c>
      <c r="AC46" s="416">
        <f t="shared" ref="AC46:AC47" si="41">K46+N46+Q46+T46+W46+Z46</f>
        <v>1</v>
      </c>
      <c r="AD46" s="175">
        <f t="shared" si="14"/>
        <v>1044658</v>
      </c>
      <c r="AE46" s="176">
        <f t="shared" si="17"/>
        <v>1</v>
      </c>
    </row>
    <row r="47" spans="1:31" ht="42.75" customHeight="1" x14ac:dyDescent="0.3">
      <c r="A47" s="1289"/>
      <c r="B47" s="1289"/>
      <c r="C47" s="30" t="s">
        <v>61</v>
      </c>
      <c r="D47" s="30" t="s">
        <v>125</v>
      </c>
      <c r="E47" s="30">
        <v>1</v>
      </c>
      <c r="F47" s="32">
        <v>1009836</v>
      </c>
      <c r="G47" s="32">
        <f t="shared" si="38"/>
        <v>1061338</v>
      </c>
      <c r="H47" s="32">
        <f>ROUND((E47*F47),0)</f>
        <v>1009836</v>
      </c>
      <c r="I47" s="32">
        <f t="shared" si="39"/>
        <v>1061338</v>
      </c>
      <c r="J47" s="1289"/>
      <c r="K47" s="33">
        <v>0</v>
      </c>
      <c r="L47" s="34">
        <f>ROUND(K47*F47,0)</f>
        <v>0</v>
      </c>
      <c r="M47" s="35">
        <f t="shared" si="0"/>
        <v>0</v>
      </c>
      <c r="N47" s="36">
        <v>0.3</v>
      </c>
      <c r="O47" s="37">
        <f>ROUND(N47*F47,0)</f>
        <v>302951</v>
      </c>
      <c r="P47" s="38">
        <f t="shared" si="16"/>
        <v>0.30000019805196093</v>
      </c>
      <c r="Q47" s="112">
        <v>0</v>
      </c>
      <c r="R47" s="89">
        <f>ROUND(Q47*$F$47,0)</f>
        <v>0</v>
      </c>
      <c r="S47" s="90">
        <f>R47/$H$47</f>
        <v>0</v>
      </c>
      <c r="T47" s="158">
        <v>0</v>
      </c>
      <c r="U47" s="194">
        <f>ROUND(T47*$F$47,0)</f>
        <v>0</v>
      </c>
      <c r="V47" s="195">
        <f>U47/$H$47</f>
        <v>0</v>
      </c>
      <c r="W47" s="432">
        <v>0</v>
      </c>
      <c r="X47" s="425">
        <f>ROUND(W47*$F$47,0)</f>
        <v>0</v>
      </c>
      <c r="Y47" s="426">
        <f>X47/$H$47</f>
        <v>0</v>
      </c>
      <c r="Z47" s="432">
        <v>0</v>
      </c>
      <c r="AA47" s="425">
        <f>ROUND(Z47*$G$47,0)</f>
        <v>0</v>
      </c>
      <c r="AB47" s="426">
        <f t="shared" si="40"/>
        <v>0</v>
      </c>
      <c r="AC47" s="416">
        <f t="shared" si="41"/>
        <v>0.3</v>
      </c>
      <c r="AD47" s="175">
        <f t="shared" si="14"/>
        <v>302951</v>
      </c>
      <c r="AE47" s="176">
        <f t="shared" si="17"/>
        <v>0.30000019805196093</v>
      </c>
    </row>
    <row r="48" spans="1:31" x14ac:dyDescent="0.3">
      <c r="A48" s="1289"/>
      <c r="B48" s="1289"/>
      <c r="C48" s="39"/>
      <c r="D48" s="39" t="s">
        <v>126</v>
      </c>
      <c r="E48" s="41"/>
      <c r="F48" s="41"/>
      <c r="G48" s="41"/>
      <c r="H48" s="42">
        <f>SUM(H46:H47)</f>
        <v>2054494</v>
      </c>
      <c r="I48" s="42">
        <f>SUM(I46:I47)</f>
        <v>2159274</v>
      </c>
      <c r="J48" s="1289"/>
      <c r="K48" s="43"/>
      <c r="L48" s="44">
        <f>SUM(L46:L47)</f>
        <v>0</v>
      </c>
      <c r="M48" s="45">
        <f t="shared" si="0"/>
        <v>0</v>
      </c>
      <c r="N48" s="45"/>
      <c r="O48" s="46">
        <f>SUM(O46:O47)</f>
        <v>616348</v>
      </c>
      <c r="P48" s="45">
        <f t="shared" si="16"/>
        <v>0.29999990265242926</v>
      </c>
      <c r="Q48" s="45"/>
      <c r="R48" s="46">
        <f>SUM(R46:R47)</f>
        <v>731261</v>
      </c>
      <c r="S48" s="45">
        <f>R48/$H$48</f>
        <v>0.35593240963468376</v>
      </c>
      <c r="T48" s="178"/>
      <c r="U48" s="179">
        <f>SUM(U46:U47)</f>
        <v>0</v>
      </c>
      <c r="V48" s="178">
        <f>U48/$H$48</f>
        <v>0</v>
      </c>
      <c r="W48" s="431"/>
      <c r="X48" s="179">
        <f>SUM(X46:X47)</f>
        <v>0</v>
      </c>
      <c r="Y48" s="431">
        <f>X48/$H$48</f>
        <v>0</v>
      </c>
      <c r="Z48" s="431"/>
      <c r="AA48" s="179">
        <f>SUM(AA46:AA47)</f>
        <v>0</v>
      </c>
      <c r="AB48" s="431">
        <f>AA48/$H$48</f>
        <v>0</v>
      </c>
      <c r="AC48" s="43"/>
      <c r="AD48" s="1078">
        <f t="shared" si="14"/>
        <v>1347609</v>
      </c>
      <c r="AE48" s="45">
        <f t="shared" si="17"/>
        <v>0.65593231228711302</v>
      </c>
    </row>
    <row r="49" spans="1:34" ht="32.25" customHeight="1" x14ac:dyDescent="0.3">
      <c r="A49" s="1289" t="s">
        <v>131</v>
      </c>
      <c r="B49" s="1289" t="s">
        <v>137</v>
      </c>
      <c r="C49" s="30" t="s">
        <v>81</v>
      </c>
      <c r="D49" s="30" t="s">
        <v>138</v>
      </c>
      <c r="E49" s="30">
        <v>1</v>
      </c>
      <c r="F49" s="32">
        <v>6546524</v>
      </c>
      <c r="G49" s="32">
        <f>+ROUND(F49*1.051,0)</f>
        <v>6880397</v>
      </c>
      <c r="H49" s="32">
        <f>ROUND((E49*F49),0)</f>
        <v>6546524</v>
      </c>
      <c r="I49" s="32">
        <f t="shared" si="39"/>
        <v>6880397</v>
      </c>
      <c r="J49" s="1289" t="s">
        <v>139</v>
      </c>
      <c r="K49" s="33">
        <v>0</v>
      </c>
      <c r="L49" s="34">
        <f>ROUND(K49*F49,0)</f>
        <v>0</v>
      </c>
      <c r="M49" s="35">
        <f t="shared" si="0"/>
        <v>0</v>
      </c>
      <c r="N49" s="36">
        <v>0.3</v>
      </c>
      <c r="O49" s="37">
        <f>ROUND(N49*F49,0)</f>
        <v>1963957</v>
      </c>
      <c r="P49" s="38">
        <f t="shared" si="16"/>
        <v>0.29999996944943608</v>
      </c>
      <c r="Q49" s="112">
        <v>0</v>
      </c>
      <c r="R49" s="89">
        <f>ROUND(Q49*$F$49,0)</f>
        <v>0</v>
      </c>
      <c r="S49" s="90">
        <f>R49/$H$49</f>
        <v>0</v>
      </c>
      <c r="T49" s="158">
        <v>0</v>
      </c>
      <c r="U49" s="194">
        <f>ROUND(T49*$F$49,0)</f>
        <v>0</v>
      </c>
      <c r="V49" s="195">
        <f>U49/$H$49</f>
        <v>0</v>
      </c>
      <c r="W49" s="433">
        <f>0.7*70%</f>
        <v>0.48999999999999994</v>
      </c>
      <c r="X49" s="429">
        <f>ROUND(W49*$F$49,0)</f>
        <v>3207797</v>
      </c>
      <c r="Y49" s="430">
        <f>X49/$H$49</f>
        <v>0.49000003666067671</v>
      </c>
      <c r="Z49" s="432">
        <v>0</v>
      </c>
      <c r="AA49" s="425">
        <f>ROUND(Z49*$G$49,0)</f>
        <v>0</v>
      </c>
      <c r="AB49" s="426">
        <f>AA49/I49</f>
        <v>0</v>
      </c>
      <c r="AC49" s="416">
        <f>K49+N49+Q49+T49+W49+Z49</f>
        <v>0.78999999999999992</v>
      </c>
      <c r="AD49" s="175">
        <f t="shared" si="14"/>
        <v>5171754</v>
      </c>
      <c r="AE49" s="176">
        <f t="shared" si="17"/>
        <v>0.79000000611011278</v>
      </c>
    </row>
    <row r="50" spans="1:34" x14ac:dyDescent="0.3">
      <c r="A50" s="1289"/>
      <c r="B50" s="1289"/>
      <c r="C50" s="39"/>
      <c r="D50" s="39" t="s">
        <v>140</v>
      </c>
      <c r="E50" s="41"/>
      <c r="F50" s="41"/>
      <c r="G50" s="41"/>
      <c r="H50" s="42">
        <f>H49</f>
        <v>6546524</v>
      </c>
      <c r="I50" s="42">
        <f>SUM(I49)</f>
        <v>6880397</v>
      </c>
      <c r="J50" s="1289"/>
      <c r="K50" s="43"/>
      <c r="L50" s="44">
        <f>SUM(L49)</f>
        <v>0</v>
      </c>
      <c r="M50" s="45">
        <f t="shared" si="0"/>
        <v>0</v>
      </c>
      <c r="N50" s="45"/>
      <c r="O50" s="46">
        <f>O49</f>
        <v>1963957</v>
      </c>
      <c r="P50" s="45">
        <f t="shared" si="16"/>
        <v>0.29999996944943608</v>
      </c>
      <c r="Q50" s="45"/>
      <c r="R50" s="46">
        <f>R49</f>
        <v>0</v>
      </c>
      <c r="S50" s="45">
        <f>R50/$H$50</f>
        <v>0</v>
      </c>
      <c r="T50" s="178"/>
      <c r="U50" s="179">
        <f>U49</f>
        <v>0</v>
      </c>
      <c r="V50" s="178">
        <f>U50/$H$50</f>
        <v>0</v>
      </c>
      <c r="W50" s="431"/>
      <c r="X50" s="179">
        <f>X49</f>
        <v>3207797</v>
      </c>
      <c r="Y50" s="431">
        <f>X50/$H$50</f>
        <v>0.49000003666067671</v>
      </c>
      <c r="Z50" s="431"/>
      <c r="AA50" s="179">
        <f>AA49</f>
        <v>0</v>
      </c>
      <c r="AB50" s="431">
        <f>AA50/$H$50</f>
        <v>0</v>
      </c>
      <c r="AC50" s="43"/>
      <c r="AD50" s="1078">
        <f t="shared" si="14"/>
        <v>5171754</v>
      </c>
      <c r="AE50" s="45">
        <f t="shared" si="17"/>
        <v>0.79000000611011278</v>
      </c>
    </row>
    <row r="51" spans="1:34" s="47" customFormat="1" ht="15" customHeight="1" x14ac:dyDescent="0.3">
      <c r="F51" s="48" t="s">
        <v>64</v>
      </c>
      <c r="G51" s="151"/>
      <c r="H51" s="49">
        <f>SUM(H14:H50)/2</f>
        <v>145207482</v>
      </c>
      <c r="I51" s="138">
        <f>SUM(I14:I50)/2</f>
        <v>152613066</v>
      </c>
      <c r="J51" s="50"/>
      <c r="K51" s="51" t="s">
        <v>64</v>
      </c>
      <c r="L51" s="49">
        <f>SUM(L14:L50)/2</f>
        <v>4492030</v>
      </c>
      <c r="M51" s="50">
        <f>L51/H51</f>
        <v>3.0935251669745228E-2</v>
      </c>
      <c r="N51" s="51" t="s">
        <v>64</v>
      </c>
      <c r="O51" s="49">
        <f>SUM(O14:O50)/2</f>
        <v>45578435</v>
      </c>
      <c r="P51" s="50">
        <f t="shared" si="16"/>
        <v>0.31388489334179076</v>
      </c>
      <c r="Q51" s="51" t="s">
        <v>64</v>
      </c>
      <c r="R51" s="49">
        <f>SUM(R14:R50)/2</f>
        <v>24594736</v>
      </c>
      <c r="S51" s="50">
        <f>R51/$H$51</f>
        <v>0.1693765063703811</v>
      </c>
      <c r="T51" s="152" t="s">
        <v>64</v>
      </c>
      <c r="U51" s="181">
        <f>SUM(U14:U50)/2</f>
        <v>7882991</v>
      </c>
      <c r="V51" s="50">
        <f>U51/$H$51</f>
        <v>5.4287774234663751E-2</v>
      </c>
      <c r="W51" s="484" t="s">
        <v>64</v>
      </c>
      <c r="X51" s="481">
        <f>SUM(X14:X50)/2</f>
        <v>3207797</v>
      </c>
      <c r="Z51" s="484" t="s">
        <v>64</v>
      </c>
      <c r="AA51" s="481">
        <f>SUM(AA10:AA50)/2</f>
        <v>0</v>
      </c>
      <c r="AB51" s="180"/>
      <c r="AC51" s="51" t="s">
        <v>64</v>
      </c>
      <c r="AD51" s="49">
        <f>SUM(AD14:AD50)/2</f>
        <v>85755989</v>
      </c>
    </row>
    <row r="52" spans="1:34" s="47" customFormat="1" ht="15" customHeight="1" x14ac:dyDescent="0.3">
      <c r="A52" s="52"/>
      <c r="B52" s="52"/>
      <c r="C52" s="52"/>
      <c r="D52" s="52"/>
      <c r="E52" s="53"/>
      <c r="F52" s="54" t="s">
        <v>65</v>
      </c>
      <c r="G52" s="816"/>
      <c r="H52" s="55">
        <v>0</v>
      </c>
      <c r="I52" s="138">
        <v>0</v>
      </c>
      <c r="J52" s="52"/>
      <c r="K52" s="54" t="s">
        <v>65</v>
      </c>
      <c r="L52" s="55">
        <v>0</v>
      </c>
      <c r="M52" s="52"/>
      <c r="N52" s="54" t="s">
        <v>65</v>
      </c>
      <c r="O52" s="55">
        <v>0</v>
      </c>
      <c r="P52" s="52"/>
      <c r="Q52" s="54" t="s">
        <v>65</v>
      </c>
      <c r="R52" s="55">
        <v>0</v>
      </c>
      <c r="S52" s="52"/>
      <c r="T52" s="153" t="s">
        <v>65</v>
      </c>
      <c r="U52" s="182">
        <v>0</v>
      </c>
      <c r="V52"/>
      <c r="W52" s="482" t="s">
        <v>65</v>
      </c>
      <c r="X52" s="483">
        <v>0</v>
      </c>
      <c r="Y52" s="302"/>
      <c r="Z52" s="482" t="s">
        <v>65</v>
      </c>
      <c r="AA52" s="483">
        <v>0</v>
      </c>
      <c r="AB52" s="795"/>
      <c r="AC52" s="54" t="s">
        <v>65</v>
      </c>
      <c r="AD52" s="55">
        <v>0</v>
      </c>
      <c r="AE52" s="52"/>
      <c r="AF52" s="52"/>
      <c r="AG52" s="52"/>
      <c r="AH52" s="52"/>
    </row>
    <row r="53" spans="1:34" s="47" customFormat="1" x14ac:dyDescent="0.3">
      <c r="A53" s="52"/>
      <c r="B53" s="52"/>
      <c r="C53" s="52"/>
      <c r="D53" s="52"/>
      <c r="E53" s="53"/>
      <c r="F53" s="51" t="s">
        <v>64</v>
      </c>
      <c r="G53" s="817"/>
      <c r="H53" s="55">
        <f>+H51+H52</f>
        <v>145207482</v>
      </c>
      <c r="I53" s="138">
        <f>SUM(I51:I52)</f>
        <v>152613066</v>
      </c>
      <c r="J53" s="52"/>
      <c r="K53" s="51" t="s">
        <v>64</v>
      </c>
      <c r="L53" s="55">
        <f>+L51+L52</f>
        <v>4492030</v>
      </c>
      <c r="M53" s="52"/>
      <c r="N53" s="51" t="s">
        <v>64</v>
      </c>
      <c r="O53" s="55">
        <f>+O51+O52</f>
        <v>45578435</v>
      </c>
      <c r="P53" s="52"/>
      <c r="Q53" s="51" t="s">
        <v>64</v>
      </c>
      <c r="R53" s="55">
        <f>+R51+R52</f>
        <v>24594736</v>
      </c>
      <c r="S53" s="52"/>
      <c r="T53" s="152" t="s">
        <v>64</v>
      </c>
      <c r="U53" s="182">
        <f>+U51+U52</f>
        <v>7882991</v>
      </c>
      <c r="V53"/>
      <c r="W53" s="484" t="s">
        <v>64</v>
      </c>
      <c r="X53" s="483">
        <f>+X51+X52</f>
        <v>3207797</v>
      </c>
      <c r="Y53" s="302"/>
      <c r="Z53" s="484" t="s">
        <v>64</v>
      </c>
      <c r="AA53" s="483">
        <f>+AA51+AA52</f>
        <v>0</v>
      </c>
      <c r="AB53" s="795"/>
      <c r="AC53" s="51" t="s">
        <v>64</v>
      </c>
      <c r="AD53" s="55">
        <f>+AD51+AD52</f>
        <v>85755989</v>
      </c>
      <c r="AE53" s="52"/>
      <c r="AF53" s="52"/>
      <c r="AG53" s="52"/>
      <c r="AH53" s="52"/>
    </row>
    <row r="54" spans="1:34" s="180" customFormat="1" ht="26.4" x14ac:dyDescent="0.3">
      <c r="A54" s="52"/>
      <c r="B54" s="52"/>
      <c r="C54" s="52"/>
      <c r="D54" s="52"/>
      <c r="E54" s="53"/>
      <c r="F54" s="152"/>
      <c r="G54" s="817"/>
      <c r="H54" s="182"/>
      <c r="I54" s="138"/>
      <c r="J54" s="52"/>
      <c r="K54" s="152"/>
      <c r="L54" s="182"/>
      <c r="M54" s="52"/>
      <c r="N54" s="152"/>
      <c r="O54" s="182"/>
      <c r="P54" s="52"/>
      <c r="Q54" s="152"/>
      <c r="R54" s="182"/>
      <c r="S54" s="52"/>
      <c r="T54" s="152"/>
      <c r="U54" s="182"/>
      <c r="V54" s="302"/>
      <c r="W54" s="484" t="s">
        <v>1439</v>
      </c>
      <c r="X54" s="483">
        <f>ROUND(X53*0.015,0)</f>
        <v>48117</v>
      </c>
      <c r="Y54" s="302"/>
      <c r="Z54" s="484" t="s">
        <v>1439</v>
      </c>
      <c r="AA54" s="483">
        <f>ROUND(AA53*0.015,0)</f>
        <v>0</v>
      </c>
      <c r="AB54" s="795"/>
      <c r="AC54" s="484" t="s">
        <v>1439</v>
      </c>
      <c r="AD54" s="182">
        <f>L54+O54+R54+U54+X54+AA54</f>
        <v>48117</v>
      </c>
      <c r="AE54" s="52"/>
      <c r="AF54" s="52"/>
      <c r="AG54" s="52"/>
      <c r="AH54" s="52"/>
    </row>
    <row r="55" spans="1:34" s="180" customFormat="1" ht="26.4" x14ac:dyDescent="0.3">
      <c r="A55" s="52"/>
      <c r="B55" s="52"/>
      <c r="C55" s="52"/>
      <c r="D55" s="52"/>
      <c r="E55" s="53"/>
      <c r="F55" s="152"/>
      <c r="G55" s="817"/>
      <c r="H55" s="182"/>
      <c r="J55" s="52"/>
      <c r="K55" s="152"/>
      <c r="L55" s="182"/>
      <c r="M55" s="52"/>
      <c r="N55" s="152"/>
      <c r="O55" s="182"/>
      <c r="P55" s="52"/>
      <c r="Q55" s="152"/>
      <c r="R55" s="182"/>
      <c r="S55" s="52"/>
      <c r="T55" s="152"/>
      <c r="U55" s="182"/>
      <c r="V55" s="302"/>
      <c r="W55" s="152" t="s">
        <v>1440</v>
      </c>
      <c r="X55" s="182">
        <f>X53+X54</f>
        <v>3255914</v>
      </c>
      <c r="Y55" s="50">
        <f>X55/$H$51</f>
        <v>2.242249473067786E-2</v>
      </c>
      <c r="Z55" s="152" t="s">
        <v>1440</v>
      </c>
      <c r="AA55" s="182">
        <f>AA53+AA54</f>
        <v>0</v>
      </c>
      <c r="AB55" s="50">
        <f>AA55/$H$51</f>
        <v>0</v>
      </c>
      <c r="AC55" s="152" t="s">
        <v>1440</v>
      </c>
      <c r="AD55" s="182">
        <f>AD53+AD54</f>
        <v>85804106</v>
      </c>
      <c r="AE55" s="50">
        <f>AD55/H51</f>
        <v>0.59090692034725867</v>
      </c>
      <c r="AF55" s="52"/>
      <c r="AG55" s="52"/>
      <c r="AH55" s="52"/>
    </row>
    <row r="56" spans="1:34" s="47" customFormat="1" x14ac:dyDescent="0.3">
      <c r="A56" s="52"/>
      <c r="B56" s="52"/>
      <c r="C56" s="52"/>
      <c r="D56" s="52"/>
      <c r="E56" s="53"/>
      <c r="F56" s="56" t="s">
        <v>66</v>
      </c>
      <c r="G56" s="818"/>
      <c r="H56" s="55">
        <f>+H53*19%</f>
        <v>27589421.580000002</v>
      </c>
      <c r="I56" s="182">
        <f>+I53*19%</f>
        <v>28996482.539999999</v>
      </c>
      <c r="J56" s="52"/>
      <c r="K56" s="56" t="s">
        <v>66</v>
      </c>
      <c r="L56" s="55">
        <f>+L53*19%</f>
        <v>853485.7</v>
      </c>
      <c r="M56" s="52"/>
      <c r="N56" s="56" t="s">
        <v>66</v>
      </c>
      <c r="O56" s="55">
        <f>+O53*19%</f>
        <v>8659902.6500000004</v>
      </c>
      <c r="P56" s="52"/>
      <c r="Q56" s="56" t="s">
        <v>66</v>
      </c>
      <c r="R56" s="55">
        <f>+R53*19%</f>
        <v>4672999.84</v>
      </c>
      <c r="S56" s="52"/>
      <c r="T56" s="154" t="s">
        <v>66</v>
      </c>
      <c r="U56" s="182">
        <f>+U53*19%</f>
        <v>1497768.29</v>
      </c>
      <c r="V56"/>
      <c r="W56" s="485" t="s">
        <v>66</v>
      </c>
      <c r="X56" s="483">
        <f>ROUND(+X55*19%,0)</f>
        <v>618624</v>
      </c>
      <c r="Y56" s="302"/>
      <c r="Z56" s="485" t="s">
        <v>66</v>
      </c>
      <c r="AA56" s="483">
        <f>ROUND(+AA55*19%,0)</f>
        <v>0</v>
      </c>
      <c r="AB56" s="795"/>
      <c r="AC56" s="56" t="s">
        <v>66</v>
      </c>
      <c r="AD56" s="55">
        <f>ROUND(AD55*0.19,0)</f>
        <v>16302780</v>
      </c>
      <c r="AE56" s="52"/>
      <c r="AF56" s="57"/>
      <c r="AG56" s="57"/>
      <c r="AH56" s="52"/>
    </row>
    <row r="57" spans="1:34" s="47" customFormat="1" x14ac:dyDescent="0.3">
      <c r="A57" s="58" t="s">
        <v>67</v>
      </c>
      <c r="B57" s="59"/>
      <c r="C57" s="59"/>
      <c r="D57" s="60" t="s">
        <v>68</v>
      </c>
      <c r="F57" s="61" t="s">
        <v>69</v>
      </c>
      <c r="G57" s="155"/>
      <c r="H57" s="49">
        <f>+H53+H56</f>
        <v>172796903.58000001</v>
      </c>
      <c r="I57" s="181">
        <f>+I53+I56</f>
        <v>181609548.53999999</v>
      </c>
      <c r="J57" s="52"/>
      <c r="K57" s="61" t="s">
        <v>69</v>
      </c>
      <c r="L57" s="49">
        <f>+L53+L56</f>
        <v>5345515.7</v>
      </c>
      <c r="M57" s="52"/>
      <c r="N57" s="61" t="s">
        <v>69</v>
      </c>
      <c r="O57" s="49">
        <f>+O53+O56</f>
        <v>54238337.649999999</v>
      </c>
      <c r="P57" s="52"/>
      <c r="Q57" s="61" t="s">
        <v>69</v>
      </c>
      <c r="R57" s="49">
        <f>+R53+R56</f>
        <v>29267735.84</v>
      </c>
      <c r="S57" s="52"/>
      <c r="T57" s="155" t="s">
        <v>69</v>
      </c>
      <c r="U57" s="181">
        <f>+U53+U56</f>
        <v>9380759.2899999991</v>
      </c>
      <c r="V57"/>
      <c r="W57" s="545" t="s">
        <v>69</v>
      </c>
      <c r="X57" s="481">
        <f>X55+X56</f>
        <v>3874538</v>
      </c>
      <c r="Y57" s="302"/>
      <c r="Z57" s="545" t="s">
        <v>69</v>
      </c>
      <c r="AA57" s="481">
        <f>AA55+AA56</f>
        <v>0</v>
      </c>
      <c r="AB57" s="795"/>
      <c r="AC57" s="61" t="s">
        <v>69</v>
      </c>
      <c r="AD57" s="49">
        <f>+AD55+AD56</f>
        <v>102106886</v>
      </c>
      <c r="AE57" s="52"/>
      <c r="AF57" s="62"/>
      <c r="AG57" s="62"/>
      <c r="AH57"/>
    </row>
    <row r="58" spans="1:34" s="47" customFormat="1" x14ac:dyDescent="0.3">
      <c r="A58" s="58"/>
      <c r="B58" s="59"/>
      <c r="C58" s="59"/>
      <c r="D58" s="60"/>
      <c r="F58" s="52"/>
      <c r="G58" s="52"/>
      <c r="H58" s="52"/>
      <c r="I58" s="52"/>
      <c r="J58" s="52"/>
      <c r="K58" s="52"/>
      <c r="L58" s="52"/>
      <c r="M58" s="52"/>
      <c r="N58" s="52"/>
      <c r="O58" s="52"/>
      <c r="P58" s="52"/>
      <c r="Q58" s="52"/>
      <c r="R58" s="52"/>
      <c r="S58" s="52"/>
      <c r="T58" s="52"/>
      <c r="U58" s="52"/>
      <c r="V58" s="52"/>
      <c r="W58" s="52"/>
      <c r="X58" s="52"/>
      <c r="Y58" s="52"/>
      <c r="Z58" s="52"/>
      <c r="AA58" s="52"/>
      <c r="AB58" s="52"/>
      <c r="AC58" s="63"/>
      <c r="AD58" s="63"/>
      <c r="AE58" s="63"/>
      <c r="AF58" s="62"/>
      <c r="AG58" s="62"/>
      <c r="AH58"/>
    </row>
    <row r="59" spans="1:34" s="47" customFormat="1" x14ac:dyDescent="0.3">
      <c r="A59" s="58"/>
      <c r="B59" s="59"/>
      <c r="C59" s="59"/>
      <c r="D59" s="60"/>
      <c r="G59" s="180"/>
      <c r="I59" s="180"/>
      <c r="K59" s="52"/>
      <c r="L59" s="52"/>
      <c r="M59" s="64"/>
      <c r="N59" s="64"/>
      <c r="O59" s="64"/>
      <c r="P59" s="64"/>
      <c r="Q59" s="64"/>
      <c r="R59" s="64"/>
      <c r="S59" s="64"/>
      <c r="T59" s="64"/>
      <c r="U59" s="64"/>
      <c r="V59" s="64"/>
      <c r="W59" s="64"/>
      <c r="X59" s="64"/>
      <c r="Y59" s="64"/>
      <c r="Z59" s="64"/>
      <c r="AA59" s="64"/>
      <c r="AB59" s="64"/>
      <c r="AC59" s="65"/>
      <c r="AD59" s="65"/>
      <c r="AE59" s="65"/>
      <c r="AF59" s="62"/>
      <c r="AG59" s="62"/>
      <c r="AH59"/>
    </row>
    <row r="60" spans="1:34" s="47" customFormat="1" x14ac:dyDescent="0.3">
      <c r="A60" s="58"/>
      <c r="B60" s="59"/>
      <c r="C60" s="59"/>
      <c r="D60" s="60"/>
      <c r="G60" s="180"/>
      <c r="I60" s="180"/>
      <c r="N60" s="66" t="s">
        <v>70</v>
      </c>
      <c r="O60" s="67" t="s">
        <v>71</v>
      </c>
      <c r="P60" s="66" t="s">
        <v>58</v>
      </c>
      <c r="Q60" s="66" t="s">
        <v>70</v>
      </c>
      <c r="R60" s="67" t="s">
        <v>71</v>
      </c>
      <c r="S60" s="66" t="s">
        <v>58</v>
      </c>
      <c r="T60" s="186" t="s">
        <v>70</v>
      </c>
      <c r="U60" s="187" t="s">
        <v>71</v>
      </c>
      <c r="V60" s="186" t="s">
        <v>58</v>
      </c>
      <c r="W60" s="186" t="s">
        <v>70</v>
      </c>
      <c r="X60" s="187" t="s">
        <v>71</v>
      </c>
      <c r="Y60" s="186" t="s">
        <v>58</v>
      </c>
      <c r="Z60" s="186" t="s">
        <v>70</v>
      </c>
      <c r="AA60" s="187" t="s">
        <v>71</v>
      </c>
      <c r="AB60" s="186" t="s">
        <v>58</v>
      </c>
      <c r="AC60" s="68"/>
      <c r="AD60" s="68"/>
      <c r="AE60" s="68"/>
      <c r="AF60" s="68"/>
      <c r="AG60" s="62"/>
      <c r="AH60"/>
    </row>
    <row r="61" spans="1:34" s="47" customFormat="1" x14ac:dyDescent="0.3">
      <c r="A61" s="58"/>
      <c r="B61" s="59"/>
      <c r="C61" s="59"/>
      <c r="D61" s="60"/>
      <c r="G61" s="180"/>
      <c r="I61" s="180"/>
      <c r="N61" s="69" t="s">
        <v>72</v>
      </c>
      <c r="O61" s="70">
        <f>L51</f>
        <v>4492030</v>
      </c>
      <c r="P61" s="71">
        <f>M51</f>
        <v>3.0935251669745228E-2</v>
      </c>
      <c r="Q61" s="69" t="s">
        <v>72</v>
      </c>
      <c r="R61" s="70">
        <f>$L$51</f>
        <v>4492030</v>
      </c>
      <c r="S61" s="71">
        <f>$M$51</f>
        <v>3.0935251669745228E-2</v>
      </c>
      <c r="T61" s="69" t="s">
        <v>72</v>
      </c>
      <c r="U61" s="70">
        <f>$L$51</f>
        <v>4492030</v>
      </c>
      <c r="V61" s="71">
        <f>$M$51</f>
        <v>3.0935251669745228E-2</v>
      </c>
      <c r="W61" s="69" t="s">
        <v>72</v>
      </c>
      <c r="X61" s="70">
        <f>$L$51</f>
        <v>4492030</v>
      </c>
      <c r="Y61" s="71">
        <f>$M$51</f>
        <v>3.0935251669745228E-2</v>
      </c>
      <c r="Z61" s="69" t="s">
        <v>72</v>
      </c>
      <c r="AA61" s="70">
        <f>$L$51</f>
        <v>4492030</v>
      </c>
      <c r="AB61" s="71">
        <f>$M$51</f>
        <v>3.0935251669745228E-2</v>
      </c>
      <c r="AC61" s="68"/>
      <c r="AD61" s="68"/>
      <c r="AE61" s="68"/>
      <c r="AF61" s="68"/>
      <c r="AG61" s="62"/>
      <c r="AH61"/>
    </row>
    <row r="62" spans="1:34" s="47" customFormat="1" x14ac:dyDescent="0.3">
      <c r="A62" s="58"/>
      <c r="B62" s="59"/>
      <c r="C62" s="59"/>
      <c r="D62" s="60"/>
      <c r="G62" s="180"/>
      <c r="I62" s="180"/>
      <c r="N62" s="69" t="s">
        <v>73</v>
      </c>
      <c r="O62" s="70">
        <f>O51</f>
        <v>45578435</v>
      </c>
      <c r="P62" s="71">
        <f>P51</f>
        <v>0.31388489334179076</v>
      </c>
      <c r="Q62" s="69" t="s">
        <v>73</v>
      </c>
      <c r="R62" s="70">
        <f>$O$51</f>
        <v>45578435</v>
      </c>
      <c r="S62" s="71">
        <f>$P$51</f>
        <v>0.31388489334179076</v>
      </c>
      <c r="T62" s="69" t="s">
        <v>73</v>
      </c>
      <c r="U62" s="70">
        <f>$O$51</f>
        <v>45578435</v>
      </c>
      <c r="V62" s="71">
        <f>$P$51</f>
        <v>0.31388489334179076</v>
      </c>
      <c r="W62" s="69" t="s">
        <v>73</v>
      </c>
      <c r="X62" s="70">
        <f>$O$51</f>
        <v>45578435</v>
      </c>
      <c r="Y62" s="71">
        <f>$P$51</f>
        <v>0.31388489334179076</v>
      </c>
      <c r="Z62" s="69" t="s">
        <v>73</v>
      </c>
      <c r="AA62" s="70">
        <f>$O$51</f>
        <v>45578435</v>
      </c>
      <c r="AB62" s="71">
        <f>$P$51</f>
        <v>0.31388489334179076</v>
      </c>
      <c r="AC62" s="68"/>
      <c r="AD62" s="68"/>
      <c r="AE62" s="68"/>
      <c r="AF62" s="68"/>
      <c r="AG62" s="62"/>
      <c r="AH62"/>
    </row>
    <row r="63" spans="1:34" s="47" customFormat="1" x14ac:dyDescent="0.3">
      <c r="A63" s="58"/>
      <c r="B63" s="59"/>
      <c r="C63" s="59"/>
      <c r="D63" s="60"/>
      <c r="G63" s="180"/>
      <c r="I63" s="180"/>
      <c r="N63" s="69"/>
      <c r="O63" s="70"/>
      <c r="P63" s="71"/>
      <c r="Q63" s="69" t="s">
        <v>74</v>
      </c>
      <c r="R63" s="70">
        <f>$R$51</f>
        <v>24594736</v>
      </c>
      <c r="S63" s="71">
        <f>$S$51</f>
        <v>0.1693765063703811</v>
      </c>
      <c r="T63" s="69" t="s">
        <v>74</v>
      </c>
      <c r="U63" s="70">
        <f>$R$51</f>
        <v>24594736</v>
      </c>
      <c r="V63" s="71">
        <f>$S$51</f>
        <v>0.1693765063703811</v>
      </c>
      <c r="W63" s="69" t="s">
        <v>74</v>
      </c>
      <c r="X63" s="70">
        <f>$R$51</f>
        <v>24594736</v>
      </c>
      <c r="Y63" s="71">
        <f>$S$51</f>
        <v>0.1693765063703811</v>
      </c>
      <c r="Z63" s="69" t="s">
        <v>74</v>
      </c>
      <c r="AA63" s="70">
        <f>$R$51</f>
        <v>24594736</v>
      </c>
      <c r="AB63" s="71">
        <f>$S$51</f>
        <v>0.1693765063703811</v>
      </c>
      <c r="AC63" s="68"/>
      <c r="AD63" s="68"/>
      <c r="AE63" s="68"/>
      <c r="AF63" s="68"/>
      <c r="AG63" s="62"/>
      <c r="AH63"/>
    </row>
    <row r="64" spans="1:34" s="180" customFormat="1" x14ac:dyDescent="0.3">
      <c r="A64" s="183"/>
      <c r="B64" s="184"/>
      <c r="C64" s="184"/>
      <c r="D64" s="185"/>
      <c r="N64" s="69"/>
      <c r="O64" s="70"/>
      <c r="P64" s="71"/>
      <c r="Q64" s="69"/>
      <c r="R64" s="70"/>
      <c r="S64" s="71"/>
      <c r="T64" s="69" t="s">
        <v>155</v>
      </c>
      <c r="U64" s="70">
        <f>$U$51</f>
        <v>7882991</v>
      </c>
      <c r="V64" s="71">
        <f>$V$51</f>
        <v>5.4287774234663751E-2</v>
      </c>
      <c r="W64" s="69" t="s">
        <v>155</v>
      </c>
      <c r="X64" s="70">
        <f>$U$51</f>
        <v>7882991</v>
      </c>
      <c r="Y64" s="71">
        <f>$V$51</f>
        <v>5.4287774234663751E-2</v>
      </c>
      <c r="Z64" s="69" t="s">
        <v>155</v>
      </c>
      <c r="AA64" s="70">
        <f>$U$51</f>
        <v>7882991</v>
      </c>
      <c r="AB64" s="71">
        <f>$V$51</f>
        <v>5.4287774234663751E-2</v>
      </c>
      <c r="AC64" s="68"/>
      <c r="AD64" s="68"/>
      <c r="AE64" s="68"/>
      <c r="AF64" s="68"/>
      <c r="AG64" s="62"/>
      <c r="AH64" s="148"/>
    </row>
    <row r="65" spans="1:34" s="180" customFormat="1" x14ac:dyDescent="0.3">
      <c r="A65" s="183"/>
      <c r="B65" s="184"/>
      <c r="C65" s="184"/>
      <c r="D65" s="185"/>
      <c r="N65" s="69"/>
      <c r="O65" s="70"/>
      <c r="P65" s="71"/>
      <c r="Q65" s="69"/>
      <c r="R65" s="70"/>
      <c r="S65" s="71"/>
      <c r="T65" s="69"/>
      <c r="U65" s="70"/>
      <c r="V65" s="71"/>
      <c r="W65" s="69" t="s">
        <v>352</v>
      </c>
      <c r="X65" s="70">
        <f>$X$55</f>
        <v>3255914</v>
      </c>
      <c r="Y65" s="71">
        <f>$Y$55</f>
        <v>2.242249473067786E-2</v>
      </c>
      <c r="Z65" s="69" t="s">
        <v>352</v>
      </c>
      <c r="AA65" s="70">
        <f>$X$55</f>
        <v>3255914</v>
      </c>
      <c r="AB65" s="71">
        <f>$Y$55</f>
        <v>2.242249473067786E-2</v>
      </c>
      <c r="AC65" s="68"/>
      <c r="AD65" s="68"/>
      <c r="AE65" s="68"/>
      <c r="AF65" s="68"/>
      <c r="AG65" s="62"/>
      <c r="AH65" s="302"/>
    </row>
    <row r="66" spans="1:34" s="180" customFormat="1" x14ac:dyDescent="0.3">
      <c r="A66" s="183"/>
      <c r="B66" s="184"/>
      <c r="C66" s="184"/>
      <c r="D66" s="185"/>
      <c r="N66" s="69"/>
      <c r="O66" s="70"/>
      <c r="P66" s="71"/>
      <c r="Q66" s="69"/>
      <c r="R66" s="70"/>
      <c r="S66" s="71"/>
      <c r="T66" s="69"/>
      <c r="U66" s="70"/>
      <c r="V66" s="71"/>
      <c r="W66" s="69"/>
      <c r="X66" s="70"/>
      <c r="Y66" s="71"/>
      <c r="Z66" s="69" t="s">
        <v>979</v>
      </c>
      <c r="AA66" s="70">
        <f>+AA55</f>
        <v>0</v>
      </c>
      <c r="AB66" s="71">
        <f>+AB55</f>
        <v>0</v>
      </c>
      <c r="AC66" s="68"/>
      <c r="AD66" s="68"/>
      <c r="AE66" s="68"/>
      <c r="AF66" s="68"/>
      <c r="AG66" s="62"/>
      <c r="AH66" s="795"/>
    </row>
    <row r="67" spans="1:34" s="47" customFormat="1" x14ac:dyDescent="0.3">
      <c r="A67" s="58"/>
      <c r="B67" s="59"/>
      <c r="C67" s="59"/>
      <c r="D67" s="60"/>
      <c r="G67" s="180"/>
      <c r="I67" s="180"/>
      <c r="N67" s="72" t="s">
        <v>1</v>
      </c>
      <c r="O67" s="105">
        <f>SUM(O61:O62)</f>
        <v>50070465</v>
      </c>
      <c r="P67" s="73">
        <f>SUM(P61:P62)</f>
        <v>0.34482014501153602</v>
      </c>
      <c r="Q67" s="72" t="s">
        <v>1</v>
      </c>
      <c r="R67" s="105">
        <f>SUM(R61:R63)</f>
        <v>74665201</v>
      </c>
      <c r="S67" s="73">
        <f>SUM(S61:S63)</f>
        <v>0.51419665138191717</v>
      </c>
      <c r="T67" s="72" t="s">
        <v>1</v>
      </c>
      <c r="U67" s="105">
        <f>SUM(U61:U64)</f>
        <v>82548192</v>
      </c>
      <c r="V67" s="73">
        <f>SUM(V61:V64)</f>
        <v>0.56848442561658097</v>
      </c>
      <c r="W67" s="72" t="s">
        <v>1</v>
      </c>
      <c r="X67" s="105">
        <f>SUM(X61:X65)</f>
        <v>85804106</v>
      </c>
      <c r="Y67" s="73">
        <f>SUM(Y61:Y65)</f>
        <v>0.59090692034725878</v>
      </c>
      <c r="Z67" s="72" t="s">
        <v>1</v>
      </c>
      <c r="AA67" s="105">
        <f>SUM(AA61:AA66)</f>
        <v>85804106</v>
      </c>
      <c r="AB67" s="73">
        <f>SUM(AB61:AB66)</f>
        <v>0.59090692034725878</v>
      </c>
      <c r="AC67" s="74"/>
      <c r="AD67" s="74"/>
      <c r="AE67" s="74"/>
      <c r="AF67" s="74"/>
      <c r="AG67" s="62"/>
      <c r="AH67"/>
    </row>
    <row r="68" spans="1:34" s="47" customFormat="1" x14ac:dyDescent="0.3">
      <c r="A68" s="58"/>
      <c r="B68" s="59"/>
      <c r="C68" s="59"/>
      <c r="D68" s="60" t="s">
        <v>75</v>
      </c>
      <c r="G68" s="180"/>
      <c r="I68" s="180"/>
      <c r="N68" s="72" t="s">
        <v>9</v>
      </c>
      <c r="O68" s="1285"/>
      <c r="P68" s="1286"/>
      <c r="Q68" s="72" t="s">
        <v>9</v>
      </c>
      <c r="R68" s="1285"/>
      <c r="S68" s="1286"/>
      <c r="T68" s="72" t="s">
        <v>9</v>
      </c>
      <c r="U68" s="1285"/>
      <c r="V68" s="1286"/>
      <c r="W68" s="72" t="s">
        <v>9</v>
      </c>
      <c r="X68" s="1285"/>
      <c r="Y68" s="1286"/>
      <c r="Z68" s="72" t="s">
        <v>9</v>
      </c>
      <c r="AA68" s="1285"/>
      <c r="AB68" s="1286"/>
      <c r="AC68" s="75"/>
      <c r="AD68" s="75"/>
      <c r="AE68" s="75"/>
      <c r="AF68" s="76"/>
      <c r="AG68" s="62"/>
      <c r="AH68" s="77"/>
    </row>
    <row r="69" spans="1:34" s="47" customFormat="1" x14ac:dyDescent="0.3">
      <c r="A69" s="58" t="s">
        <v>76</v>
      </c>
      <c r="D69" s="60" t="s">
        <v>77</v>
      </c>
      <c r="G69" s="180"/>
      <c r="I69" s="180"/>
      <c r="N69" s="78" t="s">
        <v>78</v>
      </c>
      <c r="O69" s="1285"/>
      <c r="P69" s="1286"/>
      <c r="Q69" s="78" t="s">
        <v>78</v>
      </c>
      <c r="R69" s="1285" t="s">
        <v>670</v>
      </c>
      <c r="S69" s="1286"/>
      <c r="T69" s="156" t="s">
        <v>78</v>
      </c>
      <c r="U69" s="1285" t="s">
        <v>670</v>
      </c>
      <c r="V69" s="1286"/>
      <c r="W69" s="156" t="s">
        <v>78</v>
      </c>
      <c r="X69" s="1285" t="s">
        <v>670</v>
      </c>
      <c r="Y69" s="1286"/>
      <c r="Z69" s="156" t="s">
        <v>78</v>
      </c>
      <c r="AA69" s="1285" t="s">
        <v>670</v>
      </c>
      <c r="AB69" s="1286"/>
      <c r="AC69" s="77"/>
      <c r="AD69" s="77"/>
      <c r="AE69" s="75"/>
      <c r="AF69" s="76"/>
      <c r="AG69" s="62"/>
      <c r="AH69" s="77"/>
    </row>
    <row r="70" spans="1:34" s="47" customFormat="1" x14ac:dyDescent="0.3">
      <c r="A70" s="58" t="s">
        <v>79</v>
      </c>
      <c r="D70" s="60" t="s">
        <v>80</v>
      </c>
      <c r="G70" s="180"/>
      <c r="I70" s="180"/>
      <c r="N70" s="79" t="s">
        <v>8</v>
      </c>
      <c r="O70" s="1287"/>
      <c r="P70" s="1288"/>
      <c r="Q70" s="79" t="s">
        <v>8</v>
      </c>
      <c r="R70" s="1285" t="s">
        <v>671</v>
      </c>
      <c r="S70" s="1286"/>
      <c r="T70" s="157" t="s">
        <v>8</v>
      </c>
      <c r="U70" s="1285" t="s">
        <v>671</v>
      </c>
      <c r="V70" s="1286"/>
      <c r="W70" s="157" t="s">
        <v>8</v>
      </c>
      <c r="X70" s="1285" t="s">
        <v>671</v>
      </c>
      <c r="Y70" s="1286"/>
      <c r="Z70" s="157" t="s">
        <v>8</v>
      </c>
      <c r="AA70" s="1285" t="s">
        <v>671</v>
      </c>
      <c r="AB70" s="1286"/>
      <c r="AC70" s="77"/>
      <c r="AD70" s="77"/>
      <c r="AE70" s="75"/>
      <c r="AF70" s="76"/>
      <c r="AG70" s="62"/>
      <c r="AH70" s="77"/>
    </row>
    <row r="71" spans="1:34" s="47" customFormat="1" x14ac:dyDescent="0.3">
      <c r="A71" s="52"/>
      <c r="B71" s="52"/>
      <c r="C71" s="52"/>
      <c r="D71" s="52"/>
      <c r="E71" s="53"/>
      <c r="F71" s="52"/>
      <c r="G71" s="52"/>
      <c r="H71" s="52"/>
      <c r="I71" s="52"/>
      <c r="J71" s="52"/>
      <c r="L71"/>
      <c r="M71" s="77"/>
      <c r="N71" s="77"/>
      <c r="O71" s="77"/>
      <c r="P71" s="77"/>
      <c r="Q71" s="77"/>
      <c r="R71" s="77"/>
      <c r="S71" s="77"/>
      <c r="T71" s="77"/>
      <c r="U71" s="77"/>
      <c r="V71" s="77"/>
      <c r="W71" s="77"/>
      <c r="X71" s="77"/>
      <c r="Y71" s="77"/>
      <c r="Z71" s="77"/>
      <c r="AA71" s="77"/>
      <c r="AB71" s="77"/>
      <c r="AC71" s="64"/>
      <c r="AD71" s="64"/>
      <c r="AE71" s="64"/>
      <c r="AF71" s="52"/>
      <c r="AG71" s="52"/>
      <c r="AH71" s="52"/>
    </row>
    <row r="80" spans="1:34" ht="61.2" x14ac:dyDescent="1.1000000000000001">
      <c r="A80" s="511" t="s">
        <v>1678</v>
      </c>
    </row>
  </sheetData>
  <sheetProtection formatCells="0" formatColumns="0" formatRows="0" insertColumns="0" insertRows="0" insertHyperlinks="0" deleteColumns="0" deleteRows="0" sort="0" autoFilter="0" pivotTables="0"/>
  <mergeCells count="71">
    <mergeCell ref="R68:S68"/>
    <mergeCell ref="R69:S69"/>
    <mergeCell ref="R70:S70"/>
    <mergeCell ref="B11:J11"/>
    <mergeCell ref="K11:M12"/>
    <mergeCell ref="N11:P12"/>
    <mergeCell ref="B14:B16"/>
    <mergeCell ref="J14:J16"/>
    <mergeCell ref="A6:AE6"/>
    <mergeCell ref="AC1:AE1"/>
    <mergeCell ref="AC2:AE2"/>
    <mergeCell ref="A3:AE3"/>
    <mergeCell ref="A4:AE4"/>
    <mergeCell ref="C1:Y2"/>
    <mergeCell ref="A5:AE5"/>
    <mergeCell ref="A7:AE7"/>
    <mergeCell ref="A8:AE8"/>
    <mergeCell ref="A9:AE9"/>
    <mergeCell ref="A10:AE10"/>
    <mergeCell ref="A14:A16"/>
    <mergeCell ref="W11:Y12"/>
    <mergeCell ref="AC11:AE12"/>
    <mergeCell ref="B12:J12"/>
    <mergeCell ref="Z11:AB12"/>
    <mergeCell ref="T11:V12"/>
    <mergeCell ref="Q11:S12"/>
    <mergeCell ref="A17:A19"/>
    <mergeCell ref="B17:B19"/>
    <mergeCell ref="J17:J19"/>
    <mergeCell ref="A20:A22"/>
    <mergeCell ref="B20:B22"/>
    <mergeCell ref="J20:J22"/>
    <mergeCell ref="A23:A24"/>
    <mergeCell ref="B23:B24"/>
    <mergeCell ref="J23:J24"/>
    <mergeCell ref="A25:A28"/>
    <mergeCell ref="B25:B28"/>
    <mergeCell ref="J25:J28"/>
    <mergeCell ref="A29:A32"/>
    <mergeCell ref="B29:B32"/>
    <mergeCell ref="J29:J32"/>
    <mergeCell ref="A33:A35"/>
    <mergeCell ref="B33:B35"/>
    <mergeCell ref="J33:J35"/>
    <mergeCell ref="A36:A37"/>
    <mergeCell ref="B36:B37"/>
    <mergeCell ref="J36:J37"/>
    <mergeCell ref="A38:A41"/>
    <mergeCell ref="B38:B41"/>
    <mergeCell ref="J38:J41"/>
    <mergeCell ref="A42:A45"/>
    <mergeCell ref="B42:B45"/>
    <mergeCell ref="J42:J45"/>
    <mergeCell ref="O68:P68"/>
    <mergeCell ref="O69:P69"/>
    <mergeCell ref="AA68:AB68"/>
    <mergeCell ref="AA69:AB69"/>
    <mergeCell ref="AA70:AB70"/>
    <mergeCell ref="O70:P70"/>
    <mergeCell ref="A46:A48"/>
    <mergeCell ref="B46:B48"/>
    <mergeCell ref="J46:J48"/>
    <mergeCell ref="A49:A50"/>
    <mergeCell ref="B49:B50"/>
    <mergeCell ref="J49:J50"/>
    <mergeCell ref="X68:Y68"/>
    <mergeCell ref="X69:Y69"/>
    <mergeCell ref="X70:Y70"/>
    <mergeCell ref="U69:V69"/>
    <mergeCell ref="U70:V70"/>
    <mergeCell ref="U68:V68"/>
  </mergeCells>
  <pageMargins left="0.70866141732283472" right="0.70866141732283472" top="0.74803149606299213" bottom="0.74803149606299213" header="0.31496062992125984" footer="0.31496062992125984"/>
  <pageSetup scale="40" fitToHeight="0" orientation="landscape" r:id="rId1"/>
  <rowBreaks count="1" manualBreakCount="1">
    <brk id="32" max="16383" man="1"/>
  </rowBreaks>
  <drawing r:id="rId2"/>
  <legacyDrawing r:id="rId3"/>
  <legacyDrawingHF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tabColor theme="1"/>
  </sheetPr>
  <dimension ref="A1:G53"/>
  <sheetViews>
    <sheetView topLeftCell="A4" zoomScaleNormal="100" workbookViewId="0">
      <selection activeCell="A44" sqref="A44:C4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f>
        <v>Proyecto: SE Concordia - CDIM_CBSGSM_R0120.</v>
      </c>
      <c r="C5" s="1281"/>
      <c r="D5" s="1281"/>
      <c r="E5" s="1281"/>
      <c r="F5" s="1281"/>
      <c r="G5" s="1282"/>
    </row>
    <row r="6" spans="1:7" x14ac:dyDescent="0.25">
      <c r="A6" s="1177"/>
      <c r="B6" s="1177"/>
      <c r="C6" s="1177"/>
      <c r="D6" s="1177"/>
      <c r="E6" s="1177"/>
      <c r="F6" s="1177"/>
      <c r="G6" s="1177"/>
    </row>
    <row r="7" spans="1:7" x14ac:dyDescent="0.25">
      <c r="A7" s="271" t="s">
        <v>0</v>
      </c>
      <c r="B7" s="1264" t="str">
        <f>RESUMEN!B10</f>
        <v>D00249499</v>
      </c>
      <c r="C7" s="1265"/>
      <c r="D7" s="1177"/>
      <c r="E7" s="1266" t="s">
        <v>627</v>
      </c>
      <c r="F7" s="1267"/>
      <c r="G7" s="280" t="str">
        <f>RESUMEN!E10</f>
        <v>17-021</v>
      </c>
    </row>
    <row r="8" spans="1:7" x14ac:dyDescent="0.25">
      <c r="A8" s="271" t="s">
        <v>628</v>
      </c>
      <c r="B8" s="1264" t="str">
        <f>RESUMEN!C10</f>
        <v>D00249499</v>
      </c>
      <c r="C8" s="1265"/>
      <c r="D8" s="1177"/>
      <c r="E8" s="1266" t="s">
        <v>629</v>
      </c>
      <c r="F8" s="1267"/>
      <c r="G8" s="280" t="str">
        <f>RESUMEN!U10</f>
        <v xml:space="preserve">Acta N° 7: Marzo </v>
      </c>
    </row>
    <row r="9" spans="1:7" x14ac:dyDescent="0.25">
      <c r="A9" s="271" t="s">
        <v>630</v>
      </c>
      <c r="B9" s="1283" t="s">
        <v>631</v>
      </c>
      <c r="C9" s="1265"/>
      <c r="D9" s="1177"/>
      <c r="E9" s="1266" t="s">
        <v>632</v>
      </c>
      <c r="F9" s="1267"/>
      <c r="G9" s="1178">
        <f>RESUMEN!H10</f>
        <v>26179156</v>
      </c>
    </row>
    <row r="10" spans="1:7" x14ac:dyDescent="0.25">
      <c r="A10" s="271" t="s">
        <v>633</v>
      </c>
      <c r="B10" s="1283" t="str">
        <f>RESUMEN!D10</f>
        <v>CONCORDIA</v>
      </c>
      <c r="C10" s="1265"/>
      <c r="D10" s="1177"/>
      <c r="E10" s="1266" t="s">
        <v>634</v>
      </c>
      <c r="F10" s="1267"/>
      <c r="G10" s="1178">
        <f>RESUMEN!R10</f>
        <v>1485879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f>
        <v>A los 14 días del mes de Marzo se reunieron en las instalaciones de CODENSA S.A. E.S.P., los ingenieros Ing.Jhon Casanova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SE Concordia - CDIM_CBSGSM_R0120.</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f>
        <v>1463920</v>
      </c>
      <c r="F19" s="1248"/>
      <c r="G19" s="1177"/>
    </row>
    <row r="20" spans="1:7" ht="27" customHeight="1" x14ac:dyDescent="0.25">
      <c r="A20" s="1177"/>
      <c r="B20" s="1244" t="s">
        <v>1498</v>
      </c>
      <c r="C20" s="1245"/>
      <c r="D20" s="1246"/>
      <c r="E20" s="1247">
        <f>RESUMEN!P10</f>
        <v>0</v>
      </c>
      <c r="F20" s="1248"/>
      <c r="G20" s="1177"/>
    </row>
    <row r="21" spans="1:7" ht="27" customHeight="1" x14ac:dyDescent="0.25">
      <c r="A21" s="1177"/>
      <c r="B21" s="1244" t="s">
        <v>1499</v>
      </c>
      <c r="C21" s="1245"/>
      <c r="D21" s="1246"/>
      <c r="E21" s="1247">
        <f>RESUMEN!Q10</f>
        <v>21959</v>
      </c>
      <c r="F21" s="1248"/>
      <c r="G21" s="1177"/>
    </row>
    <row r="22" spans="1:7" x14ac:dyDescent="0.25">
      <c r="A22" s="1177"/>
      <c r="B22" s="1254" t="s">
        <v>64</v>
      </c>
      <c r="C22" s="1254"/>
      <c r="D22" s="1254"/>
      <c r="E22" s="1255">
        <f>RESUMEN!R10</f>
        <v>1485879</v>
      </c>
      <c r="F22" s="1255"/>
      <c r="G22" s="1177"/>
    </row>
    <row r="23" spans="1:7" x14ac:dyDescent="0.25">
      <c r="A23" s="1177"/>
      <c r="B23" s="1256" t="s">
        <v>66</v>
      </c>
      <c r="C23" s="1256"/>
      <c r="D23" s="1256"/>
      <c r="E23" s="1257">
        <f>RESUMEN!S10</f>
        <v>282317.01</v>
      </c>
      <c r="F23" s="1257"/>
      <c r="G23" s="1177"/>
    </row>
    <row r="24" spans="1:7" x14ac:dyDescent="0.25">
      <c r="A24" s="1177"/>
      <c r="B24" s="1258" t="s">
        <v>1</v>
      </c>
      <c r="C24" s="1258"/>
      <c r="D24" s="1258"/>
      <c r="E24" s="1259">
        <f>RESUMEN!T10</f>
        <v>1768196.01</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+'OT17-021 CONCORDIA DR Y CN'!AC34</f>
        <v>ACTA 1</v>
      </c>
      <c r="C28" s="1253">
        <f>+'OT17-021 CONCORDIA DR Y CN'!AD34</f>
        <v>7800128</v>
      </c>
      <c r="D28" s="1253"/>
      <c r="E28" s="267">
        <f>+'OT17-021 CONCORDIA DR Y CN'!AE34</f>
        <v>0.29795185146534137</v>
      </c>
      <c r="F28" s="1177"/>
      <c r="G28" s="1177"/>
    </row>
    <row r="29" spans="1:7" x14ac:dyDescent="0.25">
      <c r="A29" s="1177"/>
      <c r="B29" s="280" t="str">
        <f>+'OT17-021 CONCORDIA DR Y CN'!AC35</f>
        <v>ACTA 2</v>
      </c>
      <c r="C29" s="1253">
        <f>+'OT17-021 CONCORDIA DR Y CN'!AD35</f>
        <v>1392880</v>
      </c>
      <c r="D29" s="1253"/>
      <c r="E29" s="267">
        <f>+'OT17-021 CONCORDIA DR Y CN'!AE35</f>
        <v>5.3205687761668098E-2</v>
      </c>
      <c r="F29" s="1177"/>
      <c r="G29" s="1177"/>
    </row>
    <row r="30" spans="1:7" x14ac:dyDescent="0.25">
      <c r="A30" s="1177"/>
      <c r="B30" s="280" t="str">
        <f>+'OT17-021 CONCORDIA DR Y CN'!AC36</f>
        <v>ACTA 3</v>
      </c>
      <c r="C30" s="1253">
        <f>+'OT17-021 CONCORDIA DR Y CN'!AD36</f>
        <v>5780442</v>
      </c>
      <c r="D30" s="1253"/>
      <c r="E30" s="267">
        <f>+'OT17-021 CONCORDIA DR Y CN'!AE36</f>
        <v>0.2208032222276379</v>
      </c>
      <c r="F30" s="1177"/>
      <c r="G30" s="1177"/>
    </row>
    <row r="31" spans="1:7" x14ac:dyDescent="0.25">
      <c r="A31" s="1177"/>
      <c r="B31" s="280" t="str">
        <f>+'OT17-021 CONCORDIA DR Y CN'!AC37</f>
        <v>ACTA 4</v>
      </c>
      <c r="C31" s="1253">
        <f>+'OT17-021 CONCORDIA DR Y CN'!AD37</f>
        <v>2663878</v>
      </c>
      <c r="D31" s="1253"/>
      <c r="E31" s="267">
        <f>+'OT17-021 CONCORDIA DR Y CN'!AE37</f>
        <v>0.10175568685254788</v>
      </c>
      <c r="F31" s="1177"/>
      <c r="G31" s="1177"/>
    </row>
    <row r="32" spans="1:7" x14ac:dyDescent="0.25">
      <c r="A32" s="1177"/>
      <c r="B32" s="280" t="str">
        <f>+'OT17-021 CONCORDIA DR Y CN'!AC38</f>
        <v>ACTA 5</v>
      </c>
      <c r="C32" s="1253">
        <f>+'OT17-021 CONCORDIA DR Y CN'!AD38</f>
        <v>5279011</v>
      </c>
      <c r="D32" s="1253"/>
      <c r="E32" s="267">
        <f>+'OT17-021 CONCORDIA DR Y CN'!AE38</f>
        <v>0.20164939618374253</v>
      </c>
      <c r="F32" s="1177"/>
      <c r="G32" s="1177"/>
    </row>
    <row r="33" spans="1:7" x14ac:dyDescent="0.25">
      <c r="A33" s="1177"/>
      <c r="B33" s="280" t="str">
        <f>+'OT17-021 CONCORDIA DR Y CN'!AC39</f>
        <v>ACTA 6</v>
      </c>
      <c r="C33" s="1253">
        <f>+'OT17-021 CONCORDIA DR Y CN'!AD39</f>
        <v>1485879</v>
      </c>
      <c r="D33" s="1253"/>
      <c r="E33" s="267">
        <f>+'OT17-021 CONCORDIA DR Y CN'!AE39</f>
        <v>5.675809411120817E-2</v>
      </c>
      <c r="F33" s="1177"/>
      <c r="G33" s="1177"/>
    </row>
    <row r="34" spans="1:7" x14ac:dyDescent="0.25">
      <c r="A34" s="1177"/>
      <c r="B34" s="280" t="str">
        <f>+'OT17-021 CONCORDIA DR Y CN'!AC40</f>
        <v>ACTA 7</v>
      </c>
      <c r="C34" s="1253">
        <f>+'OT17-021 CONCORDIA DR Y CN'!AD40</f>
        <v>0</v>
      </c>
      <c r="D34" s="1253"/>
      <c r="E34" s="267">
        <f>+'OT17-021 CONCORDIA DR Y CN'!AE40</f>
        <v>0</v>
      </c>
      <c r="F34" s="1177"/>
      <c r="G34" s="1177"/>
    </row>
    <row r="35" spans="1:7" x14ac:dyDescent="0.25">
      <c r="A35" s="1177"/>
      <c r="B35" s="280"/>
      <c r="C35" s="1253"/>
      <c r="D35" s="1253"/>
      <c r="E35" s="267"/>
      <c r="F35" s="1177"/>
      <c r="G35" s="1177"/>
    </row>
    <row r="36" spans="1:7" x14ac:dyDescent="0.25">
      <c r="A36" s="1177"/>
      <c r="B36" s="280"/>
      <c r="C36" s="1253"/>
      <c r="D36" s="1253"/>
      <c r="E36" s="267"/>
      <c r="F36" s="1177"/>
      <c r="G36" s="1177"/>
    </row>
    <row r="37" spans="1:7" x14ac:dyDescent="0.25">
      <c r="A37" s="1177"/>
      <c r="B37" s="280"/>
      <c r="C37" s="1253"/>
      <c r="D37" s="1253"/>
      <c r="E37" s="267"/>
      <c r="F37" s="1177"/>
      <c r="G37" s="1177"/>
    </row>
    <row r="38" spans="1:7" x14ac:dyDescent="0.25">
      <c r="A38" s="1177"/>
      <c r="B38" s="263" t="s">
        <v>1</v>
      </c>
      <c r="C38" s="1251">
        <f>SUM(C28:D37)</f>
        <v>24402218</v>
      </c>
      <c r="D38" s="1251"/>
      <c r="E38" s="264">
        <f>SUM(E28:E37)</f>
        <v>0.93212393860214593</v>
      </c>
      <c r="F38" s="1177"/>
      <c r="G38" s="1177"/>
    </row>
    <row r="39" spans="1:7" x14ac:dyDescent="0.25">
      <c r="A39" s="1177"/>
      <c r="B39" s="1177"/>
      <c r="C39" s="1177"/>
      <c r="D39" s="1177"/>
      <c r="E39" s="1177"/>
      <c r="F39" s="1177"/>
      <c r="G39" s="260"/>
    </row>
    <row r="40" spans="1:7" x14ac:dyDescent="0.25">
      <c r="A40" s="1252" t="s">
        <v>1500</v>
      </c>
      <c r="B40" s="1252"/>
      <c r="C40" s="1252"/>
      <c r="D40" s="1252"/>
      <c r="E40" s="1252"/>
      <c r="F40" s="1252"/>
      <c r="G40" s="1252"/>
    </row>
    <row r="41" spans="1:7" x14ac:dyDescent="0.25">
      <c r="A41" s="1177"/>
      <c r="B41" s="1177"/>
      <c r="C41" s="1177"/>
      <c r="D41" s="1177"/>
      <c r="E41" s="1177"/>
      <c r="F41" s="1177"/>
      <c r="G41" s="1177"/>
    </row>
    <row r="42" spans="1:7" x14ac:dyDescent="0.25">
      <c r="A42" s="1177"/>
      <c r="B42" s="1177"/>
      <c r="C42" s="1177"/>
      <c r="D42" s="1177"/>
      <c r="E42" s="1177"/>
      <c r="F42" s="1177"/>
      <c r="G42" s="1177"/>
    </row>
    <row r="43" spans="1:7" x14ac:dyDescent="0.25">
      <c r="A43" s="266"/>
      <c r="B43" s="266"/>
      <c r="C43" s="266"/>
      <c r="D43" s="1177"/>
      <c r="E43" s="266"/>
      <c r="F43" s="266"/>
      <c r="G43" s="266"/>
    </row>
    <row r="44" spans="1:7" x14ac:dyDescent="0.25">
      <c r="A44" s="1250" t="str">
        <f>RESUMEN!V10</f>
        <v>Ing.Jhon Casanova</v>
      </c>
      <c r="B44" s="1250"/>
      <c r="C44" s="1250"/>
      <c r="D44" s="1177"/>
      <c r="E44" s="1250" t="s">
        <v>642</v>
      </c>
      <c r="F44" s="1250"/>
      <c r="G44" s="1250"/>
    </row>
    <row r="45" spans="1:7" x14ac:dyDescent="0.25">
      <c r="A45" s="1249" t="s">
        <v>643</v>
      </c>
      <c r="B45" s="1249"/>
      <c r="C45" s="1249"/>
      <c r="D45" s="1177"/>
      <c r="E45" s="1249" t="s">
        <v>644</v>
      </c>
      <c r="F45" s="1249"/>
      <c r="G45" s="1249"/>
    </row>
    <row r="46" spans="1:7" x14ac:dyDescent="0.25">
      <c r="A46" s="1249" t="s">
        <v>645</v>
      </c>
      <c r="B46" s="1249"/>
      <c r="C46" s="1249"/>
      <c r="D46" s="1177"/>
      <c r="E46" s="1249" t="s">
        <v>645</v>
      </c>
      <c r="F46" s="1249"/>
      <c r="G46" s="1249"/>
    </row>
    <row r="47" spans="1:7" x14ac:dyDescent="0.25">
      <c r="A47" s="1177"/>
      <c r="B47" s="1177"/>
      <c r="C47" s="1177"/>
      <c r="D47" s="1177"/>
      <c r="E47" s="1177"/>
      <c r="F47" s="1177"/>
      <c r="G47" s="1177"/>
    </row>
    <row r="48" spans="1:7" x14ac:dyDescent="0.25">
      <c r="A48" s="1177"/>
      <c r="B48" s="1177"/>
      <c r="C48" s="1177"/>
      <c r="D48" s="1177"/>
      <c r="E48" s="1177"/>
      <c r="F48" s="1177"/>
      <c r="G48" s="1177"/>
    </row>
    <row r="49" spans="1:7" x14ac:dyDescent="0.25">
      <c r="A49" s="1177"/>
      <c r="B49" s="1177"/>
      <c r="C49" s="1177"/>
      <c r="D49" s="1177"/>
      <c r="E49" s="1177"/>
      <c r="F49" s="1177"/>
      <c r="G49" s="1177"/>
    </row>
    <row r="50" spans="1:7" x14ac:dyDescent="0.25">
      <c r="A50" s="266"/>
      <c r="B50" s="266"/>
      <c r="C50" s="266"/>
      <c r="D50" s="1177"/>
      <c r="E50" s="266"/>
      <c r="F50" s="266"/>
      <c r="G50" s="266"/>
    </row>
    <row r="51" spans="1:7" x14ac:dyDescent="0.25">
      <c r="A51" s="1250" t="s">
        <v>646</v>
      </c>
      <c r="B51" s="1250"/>
      <c r="C51" s="1250"/>
      <c r="D51" s="1177"/>
      <c r="E51" s="1250" t="s">
        <v>647</v>
      </c>
      <c r="F51" s="1250"/>
      <c r="G51" s="1250"/>
    </row>
    <row r="52" spans="1:7" x14ac:dyDescent="0.25">
      <c r="A52" s="1249" t="s">
        <v>648</v>
      </c>
      <c r="B52" s="1249"/>
      <c r="C52" s="1249"/>
      <c r="D52" s="1177"/>
      <c r="E52" s="1249" t="s">
        <v>763</v>
      </c>
      <c r="F52" s="1249"/>
      <c r="G52" s="1249"/>
    </row>
    <row r="53" spans="1:7" x14ac:dyDescent="0.25">
      <c r="A53" s="1249" t="s">
        <v>645</v>
      </c>
      <c r="B53" s="1249"/>
      <c r="C53" s="1249"/>
      <c r="D53" s="1177"/>
      <c r="E53" s="1249" t="s">
        <v>764</v>
      </c>
      <c r="F53" s="1249"/>
      <c r="G53" s="1249"/>
    </row>
  </sheetData>
  <mergeCells count="53">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B24:D24"/>
    <mergeCell ref="E24:F24"/>
    <mergeCell ref="C27:D27"/>
    <mergeCell ref="C28:D28"/>
    <mergeCell ref="C29:D29"/>
    <mergeCell ref="A53:C53"/>
    <mergeCell ref="E53:G53"/>
    <mergeCell ref="C34:D34"/>
    <mergeCell ref="A46:C46"/>
    <mergeCell ref="E46:G46"/>
    <mergeCell ref="A52:C52"/>
    <mergeCell ref="E52:G52"/>
    <mergeCell ref="C36:D36"/>
    <mergeCell ref="C37:D37"/>
    <mergeCell ref="A40:G40"/>
    <mergeCell ref="A45:C45"/>
    <mergeCell ref="E45:G45"/>
    <mergeCell ref="C35:D35"/>
    <mergeCell ref="C38:D38"/>
    <mergeCell ref="A44:C44"/>
    <mergeCell ref="E44:G44"/>
    <mergeCell ref="A51:C51"/>
    <mergeCell ref="E51:G51"/>
    <mergeCell ref="C30:D30"/>
    <mergeCell ref="C31:D31"/>
    <mergeCell ref="C32:D32"/>
    <mergeCell ref="C33:D33"/>
  </mergeCells>
  <pageMargins left="0.70866141732283472" right="0.70866141732283472" top="0.74803149606299213" bottom="0.74803149606299213" header="0.31496062992125984" footer="0.31496062992125984"/>
  <pageSetup scale="84"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tabColor rgb="FF72104A"/>
  </sheetPr>
  <dimension ref="A1:AK45"/>
  <sheetViews>
    <sheetView zoomScale="70" zoomScaleNormal="70" zoomScalePageLayoutView="70" workbookViewId="0">
      <selection activeCell="A13" sqref="A13"/>
    </sheetView>
  </sheetViews>
  <sheetFormatPr baseColWidth="10" defaultColWidth="11.44140625" defaultRowHeight="14.4" x14ac:dyDescent="0.3"/>
  <cols>
    <col min="1" max="1" width="16.6640625" style="189" customWidth="1"/>
    <col min="2" max="2" width="25" style="189" customWidth="1"/>
    <col min="3" max="3" width="28.44140625" style="189" customWidth="1"/>
    <col min="4" max="4" width="24.33203125" style="189" customWidth="1"/>
    <col min="5" max="5" width="16.88671875" style="189" bestFit="1" customWidth="1"/>
    <col min="6" max="6" width="17.44140625" style="189" customWidth="1"/>
    <col min="7" max="7" width="17.44140625" style="796" customWidth="1"/>
    <col min="8" max="8" width="18" style="189" customWidth="1"/>
    <col min="9" max="9" width="18" style="796" customWidth="1"/>
    <col min="10" max="10" width="44.88671875" style="189" customWidth="1"/>
    <col min="11" max="11" width="18.44140625" style="189" hidden="1" customWidth="1"/>
    <col min="12" max="12" width="18" style="189" hidden="1" customWidth="1"/>
    <col min="13" max="13" width="11.44140625" style="189" hidden="1" customWidth="1"/>
    <col min="14" max="14" width="18.44140625" style="189" hidden="1" customWidth="1"/>
    <col min="15" max="15" width="17" style="189" hidden="1" customWidth="1"/>
    <col min="16" max="16" width="11.44140625" style="189" hidden="1" customWidth="1"/>
    <col min="17" max="17" width="18.44140625" style="189" hidden="1" customWidth="1"/>
    <col min="18" max="18" width="17.33203125" style="189" hidden="1" customWidth="1"/>
    <col min="19" max="19" width="11.44140625" style="189" hidden="1" customWidth="1"/>
    <col min="20" max="20" width="18.44140625" style="189" hidden="1" customWidth="1"/>
    <col min="21" max="21" width="19.109375" style="189" hidden="1" customWidth="1"/>
    <col min="22" max="22" width="11.44140625" style="189" hidden="1" customWidth="1"/>
    <col min="23" max="23" width="17.88671875" style="189" hidden="1" customWidth="1"/>
    <col min="24" max="24" width="18" style="189" hidden="1" customWidth="1"/>
    <col min="25" max="25" width="11.44140625" style="189" hidden="1" customWidth="1"/>
    <col min="26" max="26" width="17.6640625" style="189" customWidth="1"/>
    <col min="27" max="27" width="17.44140625" style="189" customWidth="1"/>
    <col min="28" max="28" width="15.88671875" style="189" customWidth="1"/>
    <col min="29" max="29" width="17.6640625" style="1045" customWidth="1"/>
    <col min="30" max="30" width="17.44140625" style="1045" customWidth="1"/>
    <col min="31" max="31" width="15.88671875" style="1045" customWidth="1"/>
    <col min="32" max="32" width="18.44140625" style="189" bestFit="1" customWidth="1"/>
    <col min="33" max="33" width="18.6640625" style="189" bestFit="1" customWidth="1"/>
    <col min="34" max="16384" width="11.44140625" style="189"/>
  </cols>
  <sheetData>
    <row r="1" spans="1:34" ht="13.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9"/>
      <c r="AC1" s="1042"/>
      <c r="AD1" s="1042"/>
      <c r="AE1" s="1042"/>
      <c r="AF1" s="1316" t="s">
        <v>171</v>
      </c>
      <c r="AG1" s="1316"/>
      <c r="AH1" s="1317"/>
    </row>
    <row r="2" spans="1:34"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2"/>
      <c r="AC2" s="1043"/>
      <c r="AD2" s="1043"/>
      <c r="AE2" s="1043"/>
      <c r="AF2" s="1305" t="s">
        <v>41</v>
      </c>
      <c r="AG2" s="1305"/>
      <c r="AH2" s="1306"/>
    </row>
    <row r="3" spans="1:34"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c r="AF3" s="1292"/>
      <c r="AG3" s="1292"/>
      <c r="AH3" s="1292"/>
    </row>
    <row r="4" spans="1:34"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c r="AF4" s="1292"/>
      <c r="AG4" s="1292"/>
      <c r="AH4" s="1292"/>
    </row>
    <row r="5" spans="1:34"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c r="AF5" s="1292"/>
      <c r="AG5" s="1292"/>
      <c r="AH5" s="1292"/>
    </row>
    <row r="6" spans="1:34"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c r="AF6" s="1292"/>
      <c r="AG6" s="1292"/>
      <c r="AH6" s="1292"/>
    </row>
    <row r="7" spans="1:34" ht="13.5" customHeight="1" x14ac:dyDescent="0.3">
      <c r="A7" s="1291" t="s">
        <v>172</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c r="AF7" s="1292"/>
      <c r="AG7" s="1292"/>
      <c r="AH7" s="1292"/>
    </row>
    <row r="8" spans="1:34" ht="13.5" customHeight="1" x14ac:dyDescent="0.3">
      <c r="A8" s="1292" t="s">
        <v>2308</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c r="AF8" s="1292"/>
      <c r="AG8" s="1292"/>
      <c r="AH8" s="1292"/>
    </row>
    <row r="9" spans="1:34"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c r="AF9" s="1292"/>
      <c r="AG9" s="1292"/>
      <c r="AH9" s="1292"/>
    </row>
    <row r="10" spans="1:34" ht="13.5" customHeight="1" x14ac:dyDescent="0.3">
      <c r="A10" s="1292" t="s">
        <v>173</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c r="AF10" s="1292"/>
      <c r="AG10" s="1292"/>
      <c r="AH10" s="1292"/>
    </row>
    <row r="11" spans="1:34" ht="13.5" customHeight="1" x14ac:dyDescent="0.3">
      <c r="A11" s="249"/>
      <c r="B11" s="1318"/>
      <c r="C11" s="1320"/>
      <c r="D11" s="1320"/>
      <c r="E11" s="1320"/>
      <c r="F11" s="1320"/>
      <c r="G11" s="1320"/>
      <c r="H11" s="1320"/>
      <c r="I11" s="1320"/>
      <c r="J11" s="1320"/>
      <c r="K11" s="1293" t="s">
        <v>46</v>
      </c>
      <c r="L11" s="1294"/>
      <c r="M11" s="1295"/>
      <c r="N11" s="1293" t="s">
        <v>174</v>
      </c>
      <c r="O11" s="1294"/>
      <c r="P11" s="1295"/>
      <c r="Q11" s="1293" t="s">
        <v>459</v>
      </c>
      <c r="R11" s="1294"/>
      <c r="S11" s="1295"/>
      <c r="T11" s="1293" t="s">
        <v>462</v>
      </c>
      <c r="U11" s="1294"/>
      <c r="V11" s="1295"/>
      <c r="W11" s="1293" t="s">
        <v>675</v>
      </c>
      <c r="X11" s="1294"/>
      <c r="Y11" s="1295"/>
      <c r="Z11" s="1293" t="s">
        <v>2086</v>
      </c>
      <c r="AA11" s="1294"/>
      <c r="AB11" s="1295"/>
      <c r="AC11" s="1293" t="s">
        <v>2306</v>
      </c>
      <c r="AD11" s="1294"/>
      <c r="AE11" s="1295"/>
      <c r="AF11" s="1299" t="s">
        <v>49</v>
      </c>
      <c r="AG11" s="1299"/>
      <c r="AH11" s="1299"/>
    </row>
    <row r="12" spans="1:34" ht="13.5" customHeight="1" x14ac:dyDescent="0.3">
      <c r="A12" s="171"/>
      <c r="B12" s="1318"/>
      <c r="C12" s="1319"/>
      <c r="D12" s="1319"/>
      <c r="E12" s="1319"/>
      <c r="F12" s="1319"/>
      <c r="G12" s="1319"/>
      <c r="H12" s="1319"/>
      <c r="I12" s="1319"/>
      <c r="J12" s="1319"/>
      <c r="K12" s="1296"/>
      <c r="L12" s="1297"/>
      <c r="M12" s="1298"/>
      <c r="N12" s="1296"/>
      <c r="O12" s="1297"/>
      <c r="P12" s="1298"/>
      <c r="Q12" s="1296"/>
      <c r="R12" s="1297"/>
      <c r="S12" s="1298"/>
      <c r="T12" s="1296"/>
      <c r="U12" s="1297"/>
      <c r="V12" s="1298"/>
      <c r="W12" s="1296"/>
      <c r="X12" s="1297"/>
      <c r="Y12" s="1298"/>
      <c r="Z12" s="1296"/>
      <c r="AA12" s="1297"/>
      <c r="AB12" s="1298"/>
      <c r="AC12" s="1296"/>
      <c r="AD12" s="1297"/>
      <c r="AE12" s="1298"/>
      <c r="AF12" s="1300"/>
      <c r="AG12" s="1300"/>
      <c r="AH12" s="1300"/>
    </row>
    <row r="13" spans="1:34" ht="28.8" x14ac:dyDescent="0.3">
      <c r="A13" s="24" t="s">
        <v>50</v>
      </c>
      <c r="B13" s="24" t="s">
        <v>51</v>
      </c>
      <c r="C13" s="24" t="s">
        <v>52</v>
      </c>
      <c r="D13" s="24" t="s">
        <v>53</v>
      </c>
      <c r="E13" s="24" t="s">
        <v>54</v>
      </c>
      <c r="F13" s="25" t="s">
        <v>55</v>
      </c>
      <c r="G13" s="819" t="s">
        <v>2007</v>
      </c>
      <c r="H13" s="24" t="s">
        <v>56</v>
      </c>
      <c r="I13" s="820" t="s">
        <v>56</v>
      </c>
      <c r="J13" s="24">
        <v>9</v>
      </c>
      <c r="K13" s="172" t="s">
        <v>54</v>
      </c>
      <c r="L13" s="173" t="s">
        <v>56</v>
      </c>
      <c r="M13" s="251" t="s">
        <v>58</v>
      </c>
      <c r="N13" s="172" t="s">
        <v>54</v>
      </c>
      <c r="O13" s="173" t="s">
        <v>56</v>
      </c>
      <c r="P13" s="251" t="s">
        <v>58</v>
      </c>
      <c r="Q13" s="172" t="s">
        <v>54</v>
      </c>
      <c r="R13" s="173" t="s">
        <v>56</v>
      </c>
      <c r="S13" s="251" t="s">
        <v>58</v>
      </c>
      <c r="T13" s="172" t="s">
        <v>54</v>
      </c>
      <c r="U13" s="173" t="s">
        <v>56</v>
      </c>
      <c r="V13" s="251" t="s">
        <v>58</v>
      </c>
      <c r="W13" s="251" t="s">
        <v>54</v>
      </c>
      <c r="X13" s="251" t="s">
        <v>56</v>
      </c>
      <c r="Y13" s="251" t="s">
        <v>58</v>
      </c>
      <c r="Z13" s="251" t="s">
        <v>54</v>
      </c>
      <c r="AA13" s="210" t="s">
        <v>2007</v>
      </c>
      <c r="AB13" s="251" t="s">
        <v>58</v>
      </c>
      <c r="AC13" s="251" t="s">
        <v>54</v>
      </c>
      <c r="AD13" s="210" t="s">
        <v>2007</v>
      </c>
      <c r="AE13" s="251" t="s">
        <v>58</v>
      </c>
      <c r="AF13" s="174" t="s">
        <v>54</v>
      </c>
      <c r="AG13" s="210" t="s">
        <v>2017</v>
      </c>
      <c r="AH13" s="251" t="s">
        <v>58</v>
      </c>
    </row>
    <row r="14" spans="1:34" x14ac:dyDescent="0.3">
      <c r="A14" s="1314" t="s">
        <v>175</v>
      </c>
      <c r="B14" s="1314" t="s">
        <v>176</v>
      </c>
      <c r="C14" s="250" t="s">
        <v>160</v>
      </c>
      <c r="D14" s="250" t="s">
        <v>161</v>
      </c>
      <c r="E14" s="250">
        <v>80</v>
      </c>
      <c r="F14" s="192">
        <v>69644</v>
      </c>
      <c r="G14" s="32">
        <f>+ROUND(F14*1.051,0)</f>
        <v>73196</v>
      </c>
      <c r="H14" s="192">
        <f>ROUND((E14*F14),0)</f>
        <v>5571520</v>
      </c>
      <c r="I14" s="32">
        <f>+ROUND(G14*E14,0)</f>
        <v>5855680</v>
      </c>
      <c r="J14" s="1315" t="s">
        <v>177</v>
      </c>
      <c r="K14" s="166">
        <v>80</v>
      </c>
      <c r="L14" s="167">
        <f>ROUND(K14*F14,0)</f>
        <v>5571520</v>
      </c>
      <c r="M14" s="168">
        <f t="shared" ref="M14:M23" si="0">L14/H14</f>
        <v>1</v>
      </c>
      <c r="N14" s="193">
        <v>0</v>
      </c>
      <c r="O14" s="194">
        <f>ROUND(N14*F14,0)</f>
        <v>0</v>
      </c>
      <c r="P14" s="195">
        <f t="shared" ref="P14:P24" si="1">O14/H14</f>
        <v>0</v>
      </c>
      <c r="Q14" s="193">
        <v>0</v>
      </c>
      <c r="R14" s="194">
        <f>ROUND(Q14*F14,0)</f>
        <v>0</v>
      </c>
      <c r="S14" s="195">
        <f t="shared" ref="S14:S24" si="2">R14/H14</f>
        <v>0</v>
      </c>
      <c r="T14" s="193">
        <v>0</v>
      </c>
      <c r="U14" s="194">
        <f>ROUND(T14*$F$14,0)</f>
        <v>0</v>
      </c>
      <c r="V14" s="195">
        <f>U14/$H$14</f>
        <v>0</v>
      </c>
      <c r="W14" s="158">
        <v>0</v>
      </c>
      <c r="X14" s="194">
        <f>ROUND(W14*$F$14,0)</f>
        <v>0</v>
      </c>
      <c r="Y14" s="195">
        <f>X14/$H$14</f>
        <v>0</v>
      </c>
      <c r="Z14" s="158">
        <v>0</v>
      </c>
      <c r="AA14" s="194">
        <f>ROUND(Z14*G14,0)</f>
        <v>0</v>
      </c>
      <c r="AB14" s="426">
        <f>AA14/H14</f>
        <v>0</v>
      </c>
      <c r="AC14" s="891">
        <v>0</v>
      </c>
      <c r="AD14" s="425">
        <f>ROUND(AC14*G14,0)</f>
        <v>0</v>
      </c>
      <c r="AE14" s="426">
        <f>AD14/I14</f>
        <v>0</v>
      </c>
      <c r="AF14" s="86">
        <f>K14+Q14+N14+T14+W14+Z14+AC14</f>
        <v>80</v>
      </c>
      <c r="AG14" s="175">
        <f>L14+R14+O14+U14+X14+AA14+AD14</f>
        <v>5571520</v>
      </c>
      <c r="AH14" s="176">
        <f>AG14/H14</f>
        <v>1</v>
      </c>
    </row>
    <row r="15" spans="1:34" x14ac:dyDescent="0.3">
      <c r="A15" s="1314"/>
      <c r="B15" s="1314"/>
      <c r="C15" s="196"/>
      <c r="D15" s="196" t="s">
        <v>162</v>
      </c>
      <c r="E15" s="198"/>
      <c r="F15" s="198"/>
      <c r="G15" s="198"/>
      <c r="H15" s="199">
        <f>H14</f>
        <v>5571520</v>
      </c>
      <c r="I15" s="199">
        <f>SUM(I14)</f>
        <v>5855680</v>
      </c>
      <c r="J15" s="1314"/>
      <c r="K15" s="200"/>
      <c r="L15" s="177">
        <f>SUM(L14)</f>
        <v>5571520</v>
      </c>
      <c r="M15" s="178">
        <f t="shared" si="0"/>
        <v>1</v>
      </c>
      <c r="N15" s="178"/>
      <c r="O15" s="177">
        <f>SUM(O14)</f>
        <v>0</v>
      </c>
      <c r="P15" s="178">
        <f t="shared" si="1"/>
        <v>0</v>
      </c>
      <c r="Q15" s="178"/>
      <c r="R15" s="179">
        <f>R14</f>
        <v>0</v>
      </c>
      <c r="S15" s="178">
        <f t="shared" si="2"/>
        <v>0</v>
      </c>
      <c r="T15" s="178"/>
      <c r="U15" s="179">
        <f>U14</f>
        <v>0</v>
      </c>
      <c r="V15" s="178">
        <f>U15/$H$15</f>
        <v>0</v>
      </c>
      <c r="W15" s="178"/>
      <c r="X15" s="179">
        <f>X14</f>
        <v>0</v>
      </c>
      <c r="Y15" s="178">
        <f>X15/$H$15</f>
        <v>0</v>
      </c>
      <c r="Z15" s="308"/>
      <c r="AA15" s="179">
        <f>AA14</f>
        <v>0</v>
      </c>
      <c r="AB15" s="308">
        <f>AA15/$H$15</f>
        <v>0</v>
      </c>
      <c r="AC15" s="431"/>
      <c r="AD15" s="179">
        <f>AD14</f>
        <v>0</v>
      </c>
      <c r="AE15" s="431">
        <f>AD15/$I$15</f>
        <v>0</v>
      </c>
      <c r="AF15" s="200"/>
      <c r="AG15" s="177">
        <f t="shared" ref="AG15:AG23" si="3">L15+R15+O15+U15+X15+AA15+AD15</f>
        <v>5571520</v>
      </c>
      <c r="AH15" s="178">
        <f t="shared" ref="AH15:AH23" si="4">AG15/H15</f>
        <v>1</v>
      </c>
    </row>
    <row r="16" spans="1:34" x14ac:dyDescent="0.3">
      <c r="A16" s="1314" t="s">
        <v>175</v>
      </c>
      <c r="B16" s="1314" t="s">
        <v>176</v>
      </c>
      <c r="C16" s="250" t="s">
        <v>160</v>
      </c>
      <c r="D16" s="250" t="s">
        <v>161</v>
      </c>
      <c r="E16" s="250">
        <v>80</v>
      </c>
      <c r="F16" s="192">
        <v>69644</v>
      </c>
      <c r="G16" s="32">
        <f>+ROUND(F16*1.051,0)</f>
        <v>73196</v>
      </c>
      <c r="H16" s="192">
        <f>ROUND((E16*F16),0)</f>
        <v>5571520</v>
      </c>
      <c r="I16" s="32">
        <f>+ROUND(G16*E16,0)</f>
        <v>5855680</v>
      </c>
      <c r="J16" s="1315" t="s">
        <v>178</v>
      </c>
      <c r="K16" s="86">
        <v>0</v>
      </c>
      <c r="L16" s="175">
        <f>ROUND(K16*F16,0)</f>
        <v>0</v>
      </c>
      <c r="M16" s="176">
        <f t="shared" si="0"/>
        <v>0</v>
      </c>
      <c r="N16" s="166">
        <v>20</v>
      </c>
      <c r="O16" s="167">
        <f>ROUND(N16*F16,0)</f>
        <v>1392880</v>
      </c>
      <c r="P16" s="168">
        <f t="shared" si="1"/>
        <v>0.25</v>
      </c>
      <c r="Q16" s="193">
        <v>0</v>
      </c>
      <c r="R16" s="194">
        <f>ROUND(Q16*F16,0)</f>
        <v>0</v>
      </c>
      <c r="S16" s="195">
        <f t="shared" si="2"/>
        <v>0</v>
      </c>
      <c r="T16" s="193">
        <v>0</v>
      </c>
      <c r="U16" s="194">
        <f>ROUND(T16*$F$16,0)</f>
        <v>0</v>
      </c>
      <c r="V16" s="195">
        <f>U16/$H$16</f>
        <v>0</v>
      </c>
      <c r="W16" s="303">
        <v>40</v>
      </c>
      <c r="X16" s="304">
        <f>ROUND(W16*$F$16,0)</f>
        <v>2785760</v>
      </c>
      <c r="Y16" s="305">
        <f>X16/$H$16</f>
        <v>0.5</v>
      </c>
      <c r="Z16" s="433">
        <v>20</v>
      </c>
      <c r="AA16" s="429">
        <f>ROUND(Z16*G16,0)</f>
        <v>1463920</v>
      </c>
      <c r="AB16" s="430">
        <f>AA16/H16</f>
        <v>0.26275055999081043</v>
      </c>
      <c r="AC16" s="891">
        <v>0</v>
      </c>
      <c r="AD16" s="425">
        <f>ROUND(AC16*G16,0)</f>
        <v>0</v>
      </c>
      <c r="AE16" s="426">
        <f>AD16/I16</f>
        <v>0</v>
      </c>
      <c r="AF16" s="86">
        <f>K16+Q16+N16+T16+W16+Z16+AC16</f>
        <v>80</v>
      </c>
      <c r="AG16" s="175">
        <f t="shared" si="3"/>
        <v>5642560</v>
      </c>
      <c r="AH16" s="176">
        <f>AG16/H16</f>
        <v>1.0127505599908104</v>
      </c>
    </row>
    <row r="17" spans="1:37" x14ac:dyDescent="0.3">
      <c r="A17" s="1314"/>
      <c r="B17" s="1314"/>
      <c r="C17" s="196"/>
      <c r="D17" s="196" t="s">
        <v>162</v>
      </c>
      <c r="E17" s="198"/>
      <c r="F17" s="198"/>
      <c r="G17" s="198"/>
      <c r="H17" s="199">
        <f>H16</f>
        <v>5571520</v>
      </c>
      <c r="I17" s="199">
        <f>SUM(I16)</f>
        <v>5855680</v>
      </c>
      <c r="J17" s="1314"/>
      <c r="K17" s="200"/>
      <c r="L17" s="177">
        <f>SUM(L16)</f>
        <v>0</v>
      </c>
      <c r="M17" s="178">
        <f t="shared" si="0"/>
        <v>0</v>
      </c>
      <c r="N17" s="178"/>
      <c r="O17" s="177">
        <f>SUM(O16)</f>
        <v>1392880</v>
      </c>
      <c r="P17" s="178">
        <f t="shared" si="1"/>
        <v>0.25</v>
      </c>
      <c r="Q17" s="178"/>
      <c r="R17" s="179">
        <f>R16</f>
        <v>0</v>
      </c>
      <c r="S17" s="178">
        <f t="shared" si="2"/>
        <v>0</v>
      </c>
      <c r="T17" s="178"/>
      <c r="U17" s="179">
        <f>U16</f>
        <v>0</v>
      </c>
      <c r="V17" s="178">
        <f>U17/$H$17</f>
        <v>0</v>
      </c>
      <c r="W17" s="178"/>
      <c r="X17" s="179">
        <f>X16</f>
        <v>2785760</v>
      </c>
      <c r="Y17" s="178">
        <f>X17/$H$17</f>
        <v>0.5</v>
      </c>
      <c r="Z17" s="308"/>
      <c r="AA17" s="179">
        <f>AA16</f>
        <v>1463920</v>
      </c>
      <c r="AB17" s="308">
        <f>AA17/$H$17</f>
        <v>0.26275055999081043</v>
      </c>
      <c r="AC17" s="431"/>
      <c r="AD17" s="179">
        <f>AD16</f>
        <v>0</v>
      </c>
      <c r="AE17" s="431">
        <f>AD17/$I$17</f>
        <v>0</v>
      </c>
      <c r="AF17" s="200"/>
      <c r="AG17" s="307">
        <f t="shared" si="3"/>
        <v>5642560</v>
      </c>
      <c r="AH17" s="178">
        <f t="shared" si="4"/>
        <v>1.0127505599908104</v>
      </c>
    </row>
    <row r="18" spans="1:37" x14ac:dyDescent="0.3">
      <c r="A18" s="1314" t="s">
        <v>175</v>
      </c>
      <c r="B18" s="1314" t="s">
        <v>176</v>
      </c>
      <c r="C18" s="250" t="s">
        <v>160</v>
      </c>
      <c r="D18" s="250" t="s">
        <v>161</v>
      </c>
      <c r="E18" s="250">
        <v>32</v>
      </c>
      <c r="F18" s="192">
        <v>69644</v>
      </c>
      <c r="G18" s="32">
        <f>+ROUND(F18*1.051,0)</f>
        <v>73196</v>
      </c>
      <c r="H18" s="192">
        <f>ROUND((E18*F18),0)</f>
        <v>2228608</v>
      </c>
      <c r="I18" s="32">
        <f>+ROUND(G18*E18,0)</f>
        <v>2342272</v>
      </c>
      <c r="J18" s="1315" t="s">
        <v>179</v>
      </c>
      <c r="K18" s="166">
        <v>32</v>
      </c>
      <c r="L18" s="167">
        <f>ROUND(K18*F18,0)</f>
        <v>2228608</v>
      </c>
      <c r="M18" s="168">
        <f t="shared" si="0"/>
        <v>1</v>
      </c>
      <c r="N18" s="193">
        <v>0</v>
      </c>
      <c r="O18" s="194">
        <f>ROUND(N18*F18,0)</f>
        <v>0</v>
      </c>
      <c r="P18" s="195">
        <f t="shared" si="1"/>
        <v>0</v>
      </c>
      <c r="Q18" s="193">
        <v>0</v>
      </c>
      <c r="R18" s="194">
        <f>ROUND(Q18*F18,0)</f>
        <v>0</v>
      </c>
      <c r="S18" s="195">
        <f t="shared" si="2"/>
        <v>0</v>
      </c>
      <c r="T18" s="193">
        <v>0</v>
      </c>
      <c r="U18" s="194">
        <f>ROUND(T18*$F$18,0)</f>
        <v>0</v>
      </c>
      <c r="V18" s="195">
        <f>U18/$H$18</f>
        <v>0</v>
      </c>
      <c r="W18" s="158">
        <v>0</v>
      </c>
      <c r="X18" s="194">
        <f>ROUND(W18*$F$18,0)</f>
        <v>0</v>
      </c>
      <c r="Y18" s="195">
        <f>X18/$H$18</f>
        <v>0</v>
      </c>
      <c r="Z18" s="158">
        <v>0</v>
      </c>
      <c r="AA18" s="425">
        <f>ROUND(Z18*G18,0)</f>
        <v>0</v>
      </c>
      <c r="AB18" s="426">
        <f>AA18/H18</f>
        <v>0</v>
      </c>
      <c r="AC18" s="891">
        <v>0</v>
      </c>
      <c r="AD18" s="425">
        <f>ROUND(AC18*G18,0)</f>
        <v>0</v>
      </c>
      <c r="AE18" s="426">
        <f>AD18/I18</f>
        <v>0</v>
      </c>
      <c r="AF18" s="86">
        <f>K18+Q18+N18+T18+W18+Z18+AC18</f>
        <v>32</v>
      </c>
      <c r="AG18" s="175">
        <f t="shared" si="3"/>
        <v>2228608</v>
      </c>
      <c r="AH18" s="176">
        <f>AG18/H18</f>
        <v>1</v>
      </c>
    </row>
    <row r="19" spans="1:37" x14ac:dyDescent="0.3">
      <c r="A19" s="1314"/>
      <c r="B19" s="1314"/>
      <c r="C19" s="196"/>
      <c r="D19" s="196" t="s">
        <v>162</v>
      </c>
      <c r="E19" s="198"/>
      <c r="F19" s="198"/>
      <c r="G19" s="198"/>
      <c r="H19" s="199">
        <f>H18</f>
        <v>2228608</v>
      </c>
      <c r="I19" s="199">
        <f>SUM(I18)</f>
        <v>2342272</v>
      </c>
      <c r="J19" s="1314"/>
      <c r="K19" s="200"/>
      <c r="L19" s="177">
        <f>SUM(L18)</f>
        <v>2228608</v>
      </c>
      <c r="M19" s="178">
        <f t="shared" si="0"/>
        <v>1</v>
      </c>
      <c r="N19" s="178"/>
      <c r="O19" s="177">
        <f>SUM(O18)</f>
        <v>0</v>
      </c>
      <c r="P19" s="178">
        <f t="shared" si="1"/>
        <v>0</v>
      </c>
      <c r="Q19" s="178"/>
      <c r="R19" s="179">
        <f>R18</f>
        <v>0</v>
      </c>
      <c r="S19" s="178">
        <f t="shared" si="2"/>
        <v>0</v>
      </c>
      <c r="T19" s="178"/>
      <c r="U19" s="179">
        <f>U18</f>
        <v>0</v>
      </c>
      <c r="V19" s="178">
        <f>U19/$H$19</f>
        <v>0</v>
      </c>
      <c r="W19" s="178"/>
      <c r="X19" s="179">
        <f>X18</f>
        <v>0</v>
      </c>
      <c r="Y19" s="178">
        <f>X19/$H$19</f>
        <v>0</v>
      </c>
      <c r="Z19" s="308"/>
      <c r="AA19" s="179">
        <f>AA18</f>
        <v>0</v>
      </c>
      <c r="AB19" s="308">
        <f>AA19/$H$19</f>
        <v>0</v>
      </c>
      <c r="AC19" s="431"/>
      <c r="AD19" s="179">
        <f>AD18</f>
        <v>0</v>
      </c>
      <c r="AE19" s="431">
        <f>AD19/$I$19</f>
        <v>0</v>
      </c>
      <c r="AF19" s="200"/>
      <c r="AG19" s="307">
        <f t="shared" si="3"/>
        <v>2228608</v>
      </c>
      <c r="AH19" s="178">
        <f t="shared" si="4"/>
        <v>1</v>
      </c>
    </row>
    <row r="20" spans="1:37" ht="43.2" x14ac:dyDescent="0.3">
      <c r="A20" s="1314" t="s">
        <v>175</v>
      </c>
      <c r="B20" s="1314" t="s">
        <v>180</v>
      </c>
      <c r="C20" s="250" t="s">
        <v>148</v>
      </c>
      <c r="D20" s="250" t="s">
        <v>181</v>
      </c>
      <c r="E20" s="250">
        <v>1.2</v>
      </c>
      <c r="F20" s="192">
        <v>6233127</v>
      </c>
      <c r="G20" s="32">
        <f>+ROUND(F20*1.051,0)</f>
        <v>6551016</v>
      </c>
      <c r="H20" s="192">
        <f>ROUND((E20*F20),0)</f>
        <v>7479752</v>
      </c>
      <c r="I20" s="32">
        <f>+ROUND(G20*E20,0)</f>
        <v>7861219</v>
      </c>
      <c r="J20" s="1315" t="s">
        <v>182</v>
      </c>
      <c r="K20" s="86">
        <v>0</v>
      </c>
      <c r="L20" s="175">
        <f>ROUND(K20*F20,0)</f>
        <v>0</v>
      </c>
      <c r="M20" s="176">
        <f t="shared" si="0"/>
        <v>0</v>
      </c>
      <c r="N20" s="193">
        <v>0</v>
      </c>
      <c r="O20" s="194">
        <f>ROUND(N20*F20,0)</f>
        <v>0</v>
      </c>
      <c r="P20" s="195">
        <f t="shared" si="1"/>
        <v>0</v>
      </c>
      <c r="Q20" s="166">
        <v>0.5</v>
      </c>
      <c r="R20" s="167">
        <f>ROUND(Q20*F20,0)</f>
        <v>3116564</v>
      </c>
      <c r="S20" s="168">
        <f t="shared" si="2"/>
        <v>0.41666675579618145</v>
      </c>
      <c r="T20" s="193">
        <v>0</v>
      </c>
      <c r="U20" s="194">
        <f>ROUND(T20*$F$20,0)</f>
        <v>0</v>
      </c>
      <c r="V20" s="195">
        <f>U20/$H$20</f>
        <v>0</v>
      </c>
      <c r="W20" s="303">
        <v>0.4</v>
      </c>
      <c r="X20" s="304">
        <f>ROUND(W20*$F$20,0)</f>
        <v>2493251</v>
      </c>
      <c r="Y20" s="305">
        <f>X20/$H$20</f>
        <v>0.33333337789809075</v>
      </c>
      <c r="Z20" s="158">
        <v>0</v>
      </c>
      <c r="AA20" s="425">
        <f>ROUND(Z20*G20,0)</f>
        <v>0</v>
      </c>
      <c r="AB20" s="426">
        <f>AA20/H20</f>
        <v>0</v>
      </c>
      <c r="AC20" s="891">
        <v>0</v>
      </c>
      <c r="AD20" s="425">
        <f>ROUND(AC20*G20,0)</f>
        <v>0</v>
      </c>
      <c r="AE20" s="426">
        <f>AD20/I20</f>
        <v>0</v>
      </c>
      <c r="AF20" s="86">
        <f>K20+Q20+N20+T20+W20+Z20+AC20</f>
        <v>0.9</v>
      </c>
      <c r="AG20" s="175">
        <f t="shared" si="3"/>
        <v>5609815</v>
      </c>
      <c r="AH20" s="176">
        <f>AG20/H20</f>
        <v>0.75000013369427221</v>
      </c>
    </row>
    <row r="21" spans="1:37" x14ac:dyDescent="0.3">
      <c r="A21" s="1314"/>
      <c r="B21" s="1314"/>
      <c r="C21" s="196"/>
      <c r="D21" s="196" t="s">
        <v>183</v>
      </c>
      <c r="E21" s="198"/>
      <c r="F21" s="198"/>
      <c r="G21" s="198"/>
      <c r="H21" s="199">
        <f>H20</f>
        <v>7479752</v>
      </c>
      <c r="I21" s="199">
        <f>SUM(I20)</f>
        <v>7861219</v>
      </c>
      <c r="J21" s="1314"/>
      <c r="K21" s="200"/>
      <c r="L21" s="177">
        <f>SUM(L20)</f>
        <v>0</v>
      </c>
      <c r="M21" s="178">
        <f t="shared" si="0"/>
        <v>0</v>
      </c>
      <c r="N21" s="178"/>
      <c r="O21" s="177">
        <f>SUM(O20)</f>
        <v>0</v>
      </c>
      <c r="P21" s="178">
        <f t="shared" si="1"/>
        <v>0</v>
      </c>
      <c r="Q21" s="178"/>
      <c r="R21" s="179">
        <f>R20</f>
        <v>3116564</v>
      </c>
      <c r="S21" s="178">
        <f t="shared" si="2"/>
        <v>0.41666675579618145</v>
      </c>
      <c r="T21" s="178"/>
      <c r="U21" s="179">
        <f>U20</f>
        <v>0</v>
      </c>
      <c r="V21" s="178">
        <f>U21/$H$21</f>
        <v>0</v>
      </c>
      <c r="W21" s="178"/>
      <c r="X21" s="179">
        <f>X20</f>
        <v>2493251</v>
      </c>
      <c r="Y21" s="178">
        <f>X21/$H$21</f>
        <v>0.33333337789809075</v>
      </c>
      <c r="Z21" s="308"/>
      <c r="AA21" s="179">
        <f>AA20</f>
        <v>0</v>
      </c>
      <c r="AB21" s="308">
        <f>AA21/$H$21</f>
        <v>0</v>
      </c>
      <c r="AC21" s="431"/>
      <c r="AD21" s="179">
        <f>AD20</f>
        <v>0</v>
      </c>
      <c r="AE21" s="431">
        <f>AD21/$I$21</f>
        <v>0</v>
      </c>
      <c r="AF21" s="200"/>
      <c r="AG21" s="307">
        <f t="shared" si="3"/>
        <v>5609815</v>
      </c>
      <c r="AH21" s="178">
        <f t="shared" si="4"/>
        <v>0.75000013369427221</v>
      </c>
    </row>
    <row r="22" spans="1:37" ht="28.8" x14ac:dyDescent="0.3">
      <c r="A22" s="1314" t="s">
        <v>175</v>
      </c>
      <c r="B22" s="1314" t="s">
        <v>184</v>
      </c>
      <c r="C22" s="250" t="s">
        <v>81</v>
      </c>
      <c r="D22" s="250" t="s">
        <v>185</v>
      </c>
      <c r="E22" s="250">
        <v>1</v>
      </c>
      <c r="F22" s="192">
        <v>5327756</v>
      </c>
      <c r="G22" s="32">
        <f>+ROUND(F22*1.051,0)</f>
        <v>5599472</v>
      </c>
      <c r="H22" s="192">
        <f>ROUND((E22*F22),0)</f>
        <v>5327756</v>
      </c>
      <c r="I22" s="32">
        <f>+ROUND(G22*E22,0)</f>
        <v>5599472</v>
      </c>
      <c r="J22" s="1315" t="s">
        <v>186</v>
      </c>
      <c r="K22" s="86">
        <v>0</v>
      </c>
      <c r="L22" s="175">
        <f>ROUND(K22*F22,0)</f>
        <v>0</v>
      </c>
      <c r="M22" s="176">
        <f t="shared" si="0"/>
        <v>0</v>
      </c>
      <c r="N22" s="193">
        <v>0</v>
      </c>
      <c r="O22" s="194">
        <f>ROUND(N22*F22,0)</f>
        <v>0</v>
      </c>
      <c r="P22" s="195">
        <f t="shared" si="1"/>
        <v>0</v>
      </c>
      <c r="Q22" s="166">
        <v>0.5</v>
      </c>
      <c r="R22" s="167">
        <f>ROUND(Q22*F22,0)</f>
        <v>2663878</v>
      </c>
      <c r="S22" s="168">
        <f t="shared" si="2"/>
        <v>0.5</v>
      </c>
      <c r="T22" s="293">
        <v>0.5</v>
      </c>
      <c r="U22" s="290">
        <f>ROUND(T22*$F$22,0)</f>
        <v>2663878</v>
      </c>
      <c r="V22" s="291">
        <f>U22/$H$22</f>
        <v>0.5</v>
      </c>
      <c r="W22" s="158">
        <v>0</v>
      </c>
      <c r="X22" s="194">
        <f>ROUND(W22*$F$22,0)</f>
        <v>0</v>
      </c>
      <c r="Y22" s="195">
        <f>X22/$H$22</f>
        <v>0</v>
      </c>
      <c r="Z22" s="158">
        <v>0</v>
      </c>
      <c r="AA22" s="425">
        <f>ROUND(Z22*G22,0)</f>
        <v>0</v>
      </c>
      <c r="AB22" s="426">
        <f>AA22/H22</f>
        <v>0</v>
      </c>
      <c r="AC22" s="891">
        <v>0</v>
      </c>
      <c r="AD22" s="425">
        <f>ROUND(AC22*G22,0)</f>
        <v>0</v>
      </c>
      <c r="AE22" s="426">
        <f>AD22/I22</f>
        <v>0</v>
      </c>
      <c r="AF22" s="86">
        <f>K22+Q22+N22+T22+W22+Z22+AC22</f>
        <v>1</v>
      </c>
      <c r="AG22" s="175">
        <f t="shared" si="3"/>
        <v>5327756</v>
      </c>
      <c r="AH22" s="176">
        <f>AG22/H22</f>
        <v>1</v>
      </c>
    </row>
    <row r="23" spans="1:37" x14ac:dyDescent="0.3">
      <c r="A23" s="1314"/>
      <c r="B23" s="1314"/>
      <c r="C23" s="196"/>
      <c r="D23" s="196" t="s">
        <v>187</v>
      </c>
      <c r="E23" s="198"/>
      <c r="F23" s="198"/>
      <c r="G23" s="198"/>
      <c r="H23" s="199">
        <f>H22</f>
        <v>5327756</v>
      </c>
      <c r="I23" s="199">
        <f>SUM(I22)</f>
        <v>5599472</v>
      </c>
      <c r="J23" s="1314"/>
      <c r="K23" s="200"/>
      <c r="L23" s="177">
        <f>SUM(L22)</f>
        <v>0</v>
      </c>
      <c r="M23" s="178">
        <f t="shared" si="0"/>
        <v>0</v>
      </c>
      <c r="N23" s="178"/>
      <c r="O23" s="177">
        <f>SUM(O22)</f>
        <v>0</v>
      </c>
      <c r="P23" s="178">
        <f t="shared" si="1"/>
        <v>0</v>
      </c>
      <c r="Q23" s="178"/>
      <c r="R23" s="179">
        <f>R22</f>
        <v>2663878</v>
      </c>
      <c r="S23" s="178">
        <f t="shared" si="2"/>
        <v>0.5</v>
      </c>
      <c r="T23" s="178"/>
      <c r="U23" s="179">
        <f>U22</f>
        <v>2663878</v>
      </c>
      <c r="V23" s="178">
        <f>U23/$H$23</f>
        <v>0.5</v>
      </c>
      <c r="W23" s="178"/>
      <c r="X23" s="179">
        <f>X22</f>
        <v>0</v>
      </c>
      <c r="Y23" s="178">
        <f>X23/$H$23</f>
        <v>0</v>
      </c>
      <c r="Z23" s="308"/>
      <c r="AA23" s="179">
        <f>AA22</f>
        <v>0</v>
      </c>
      <c r="AB23" s="308">
        <f>AA23/$H$23</f>
        <v>0</v>
      </c>
      <c r="AC23" s="431"/>
      <c r="AD23" s="179">
        <f>AD22</f>
        <v>0</v>
      </c>
      <c r="AE23" s="431">
        <f>AD23/$I$23</f>
        <v>0</v>
      </c>
      <c r="AF23" s="200"/>
      <c r="AG23" s="307">
        <f t="shared" si="3"/>
        <v>5327756</v>
      </c>
      <c r="AH23" s="178">
        <f t="shared" si="4"/>
        <v>1</v>
      </c>
    </row>
    <row r="24" spans="1:37" s="180" customFormat="1" ht="15" customHeight="1" x14ac:dyDescent="0.3">
      <c r="F24" s="94" t="s">
        <v>64</v>
      </c>
      <c r="G24" s="94"/>
      <c r="H24" s="181">
        <f>SUM(H14:H23)/2</f>
        <v>26179156</v>
      </c>
      <c r="I24" s="181">
        <f>SUM(I14:I23)/2</f>
        <v>27514323</v>
      </c>
      <c r="J24" s="50"/>
      <c r="K24" s="96" t="s">
        <v>64</v>
      </c>
      <c r="L24" s="181">
        <f>SUM(L14:L23)/2</f>
        <v>7800128</v>
      </c>
      <c r="M24" s="50">
        <f>L24/H24</f>
        <v>0.29795185146534137</v>
      </c>
      <c r="N24" s="96" t="s">
        <v>64</v>
      </c>
      <c r="O24" s="181">
        <f>SUM(O14:O23)/2</f>
        <v>1392880</v>
      </c>
      <c r="P24" s="50">
        <f t="shared" si="1"/>
        <v>5.3205687761668098E-2</v>
      </c>
      <c r="Q24" s="96" t="s">
        <v>64</v>
      </c>
      <c r="R24" s="181">
        <f>SUM(R14:R23)/2</f>
        <v>5780442</v>
      </c>
      <c r="S24" s="50">
        <f t="shared" si="2"/>
        <v>0.2208032222276379</v>
      </c>
      <c r="T24" s="96" t="s">
        <v>64</v>
      </c>
      <c r="U24" s="181">
        <f>SUM(U14:U23)/2</f>
        <v>2663878</v>
      </c>
      <c r="V24" s="50">
        <f>U24/$H$24</f>
        <v>0.10175568685254788</v>
      </c>
      <c r="W24" s="96" t="s">
        <v>64</v>
      </c>
      <c r="X24" s="181">
        <f>SUM(X14:X23)/2</f>
        <v>5279011</v>
      </c>
      <c r="Y24" s="50">
        <f>X24/$H$24</f>
        <v>0.20164939618374253</v>
      </c>
      <c r="Z24" s="501" t="s">
        <v>64</v>
      </c>
      <c r="AA24" s="481">
        <f>SUM(AA14:AA23)/2</f>
        <v>1463920</v>
      </c>
      <c r="AC24" s="501" t="s">
        <v>64</v>
      </c>
      <c r="AD24" s="481">
        <f>SUM(AD14:AD23)/2</f>
        <v>0</v>
      </c>
      <c r="AF24" s="96" t="s">
        <v>64</v>
      </c>
      <c r="AG24" s="181">
        <f>SUM(AG14:AG23)/2</f>
        <v>24380259</v>
      </c>
    </row>
    <row r="25" spans="1:37" s="180" customFormat="1" ht="15" customHeight="1" x14ac:dyDescent="0.3">
      <c r="A25" s="52"/>
      <c r="B25" s="52"/>
      <c r="C25" s="52"/>
      <c r="D25" s="52"/>
      <c r="E25" s="53"/>
      <c r="F25" s="99" t="s">
        <v>65</v>
      </c>
      <c r="G25" s="776"/>
      <c r="H25" s="182">
        <v>0</v>
      </c>
      <c r="I25" s="181">
        <v>0</v>
      </c>
      <c r="J25" s="52"/>
      <c r="K25" s="99" t="s">
        <v>65</v>
      </c>
      <c r="L25" s="182">
        <v>0</v>
      </c>
      <c r="M25" s="52"/>
      <c r="N25" s="99" t="s">
        <v>65</v>
      </c>
      <c r="O25" s="182">
        <v>0</v>
      </c>
      <c r="P25" s="52"/>
      <c r="Q25" s="99" t="s">
        <v>65</v>
      </c>
      <c r="R25" s="182">
        <v>0</v>
      </c>
      <c r="S25" s="52"/>
      <c r="T25" s="99" t="s">
        <v>65</v>
      </c>
      <c r="U25" s="182">
        <v>0</v>
      </c>
      <c r="V25" s="52"/>
      <c r="W25" s="99" t="s">
        <v>65</v>
      </c>
      <c r="X25" s="182">
        <v>0</v>
      </c>
      <c r="Y25" s="52"/>
      <c r="Z25" s="566" t="s">
        <v>65</v>
      </c>
      <c r="AA25" s="483">
        <v>0</v>
      </c>
      <c r="AB25" s="52"/>
      <c r="AC25" s="566" t="s">
        <v>65</v>
      </c>
      <c r="AD25" s="483">
        <v>0</v>
      </c>
      <c r="AE25" s="52"/>
      <c r="AF25" s="99" t="s">
        <v>65</v>
      </c>
      <c r="AG25" s="182">
        <v>0</v>
      </c>
      <c r="AH25" s="52"/>
      <c r="AI25" s="52"/>
      <c r="AJ25" s="52"/>
      <c r="AK25" s="52"/>
    </row>
    <row r="26" spans="1:37" s="180" customFormat="1" x14ac:dyDescent="0.3">
      <c r="A26" s="52"/>
      <c r="B26" s="52"/>
      <c r="C26" s="52"/>
      <c r="D26" s="52"/>
      <c r="E26" s="53"/>
      <c r="F26" s="96" t="s">
        <v>64</v>
      </c>
      <c r="G26" s="775"/>
      <c r="H26" s="182">
        <f>+H24+H25</f>
        <v>26179156</v>
      </c>
      <c r="I26" s="181">
        <f>SUM(I24:I25)</f>
        <v>27514323</v>
      </c>
      <c r="J26" s="52"/>
      <c r="K26" s="96" t="s">
        <v>64</v>
      </c>
      <c r="L26" s="182">
        <f>+L24+L25</f>
        <v>7800128</v>
      </c>
      <c r="M26" s="52"/>
      <c r="N26" s="96" t="s">
        <v>64</v>
      </c>
      <c r="O26" s="182">
        <f>+O24+O25</f>
        <v>1392880</v>
      </c>
      <c r="P26" s="52"/>
      <c r="Q26" s="96" t="s">
        <v>64</v>
      </c>
      <c r="R26" s="182">
        <f>+R24+R25</f>
        <v>5780442</v>
      </c>
      <c r="S26" s="52"/>
      <c r="T26" s="96" t="s">
        <v>64</v>
      </c>
      <c r="U26" s="182">
        <f>+U24+U25</f>
        <v>2663878</v>
      </c>
      <c r="V26" s="52"/>
      <c r="W26" s="96" t="s">
        <v>64</v>
      </c>
      <c r="X26" s="182">
        <f>+X24+X25</f>
        <v>5279011</v>
      </c>
      <c r="Y26" s="52"/>
      <c r="Z26" s="501" t="s">
        <v>64</v>
      </c>
      <c r="AA26" s="483">
        <f>+AA24+AA25</f>
        <v>1463920</v>
      </c>
      <c r="AB26" s="52"/>
      <c r="AC26" s="501" t="s">
        <v>64</v>
      </c>
      <c r="AD26" s="483">
        <f>+AD24+AD25</f>
        <v>0</v>
      </c>
      <c r="AE26" s="52"/>
      <c r="AF26" s="96" t="s">
        <v>64</v>
      </c>
      <c r="AG26" s="182">
        <f>+AG24+AG25</f>
        <v>24380259</v>
      </c>
      <c r="AH26" s="52"/>
      <c r="AI26" s="52"/>
      <c r="AJ26" s="52"/>
      <c r="AK26" s="52"/>
    </row>
    <row r="27" spans="1:37" s="180" customFormat="1" ht="26.4" x14ac:dyDescent="0.3">
      <c r="A27" s="52"/>
      <c r="B27" s="52"/>
      <c r="C27" s="52"/>
      <c r="D27" s="52"/>
      <c r="E27" s="53"/>
      <c r="F27" s="96"/>
      <c r="G27" s="775"/>
      <c r="H27" s="182"/>
      <c r="I27" s="181"/>
      <c r="J27" s="52"/>
      <c r="K27" s="96"/>
      <c r="L27" s="182"/>
      <c r="M27" s="52"/>
      <c r="N27" s="96"/>
      <c r="O27" s="182"/>
      <c r="P27" s="52"/>
      <c r="Q27" s="96"/>
      <c r="R27" s="182"/>
      <c r="S27" s="52"/>
      <c r="T27" s="96"/>
      <c r="U27" s="182"/>
      <c r="V27" s="52"/>
      <c r="W27" s="96"/>
      <c r="X27" s="182"/>
      <c r="Y27" s="52"/>
      <c r="Z27" s="484" t="s">
        <v>1439</v>
      </c>
      <c r="AA27" s="483">
        <f>ROUND(AA26*0.015,0)</f>
        <v>21959</v>
      </c>
      <c r="AB27" s="52"/>
      <c r="AC27" s="484" t="s">
        <v>1439</v>
      </c>
      <c r="AD27" s="483">
        <f>ROUND(AD26*0.015,0)</f>
        <v>0</v>
      </c>
      <c r="AE27" s="52"/>
      <c r="AF27" s="484" t="s">
        <v>1439</v>
      </c>
      <c r="AG27" s="182">
        <f>L27+O27+R27+U27+X27+AA27+AD27</f>
        <v>21959</v>
      </c>
      <c r="AH27" s="52"/>
      <c r="AI27" s="52"/>
      <c r="AJ27" s="52"/>
      <c r="AK27" s="52"/>
    </row>
    <row r="28" spans="1:37" s="180" customFormat="1" ht="26.4" x14ac:dyDescent="0.3">
      <c r="A28" s="52"/>
      <c r="B28" s="52"/>
      <c r="C28" s="52"/>
      <c r="D28" s="52"/>
      <c r="E28" s="53"/>
      <c r="F28" s="96"/>
      <c r="G28" s="775"/>
      <c r="H28" s="182"/>
      <c r="I28" s="181"/>
      <c r="J28" s="52"/>
      <c r="K28" s="96"/>
      <c r="L28" s="182"/>
      <c r="M28" s="52"/>
      <c r="N28" s="96"/>
      <c r="O28" s="182"/>
      <c r="P28" s="52"/>
      <c r="Q28" s="96"/>
      <c r="R28" s="182"/>
      <c r="S28" s="52"/>
      <c r="T28" s="96"/>
      <c r="U28" s="182"/>
      <c r="V28" s="52"/>
      <c r="W28" s="96"/>
      <c r="X28" s="182"/>
      <c r="Y28" s="52"/>
      <c r="Z28" s="152" t="s">
        <v>1440</v>
      </c>
      <c r="AA28" s="182">
        <f>AA26+AA27</f>
        <v>1485879</v>
      </c>
      <c r="AB28" s="50">
        <f>AA28/$H$24</f>
        <v>5.675809411120817E-2</v>
      </c>
      <c r="AC28" s="152" t="s">
        <v>1440</v>
      </c>
      <c r="AD28" s="182">
        <f>AD26+AD27</f>
        <v>0</v>
      </c>
      <c r="AE28" s="50">
        <f>AD28/$H$24</f>
        <v>0</v>
      </c>
      <c r="AF28" s="152" t="s">
        <v>1440</v>
      </c>
      <c r="AG28" s="182">
        <f>AG26+AG27</f>
        <v>24402218</v>
      </c>
      <c r="AH28" s="50">
        <f>AG28/H24</f>
        <v>0.93212393860214593</v>
      </c>
      <c r="AI28" s="52"/>
      <c r="AJ28" s="52"/>
      <c r="AK28" s="52"/>
    </row>
    <row r="29" spans="1:37" s="180" customFormat="1" x14ac:dyDescent="0.3">
      <c r="A29" s="52"/>
      <c r="B29" s="52"/>
      <c r="C29" s="52"/>
      <c r="D29" s="52"/>
      <c r="E29" s="53"/>
      <c r="F29" s="100" t="s">
        <v>66</v>
      </c>
      <c r="G29" s="777"/>
      <c r="H29" s="182">
        <f>+H26*19%</f>
        <v>4974039.6399999997</v>
      </c>
      <c r="I29" s="181">
        <f>+I26*19%</f>
        <v>5227721.37</v>
      </c>
      <c r="J29" s="52"/>
      <c r="K29" s="100" t="s">
        <v>66</v>
      </c>
      <c r="L29" s="182">
        <f>+L26*19%</f>
        <v>1482024.32</v>
      </c>
      <c r="M29" s="52"/>
      <c r="N29" s="100" t="s">
        <v>66</v>
      </c>
      <c r="O29" s="182">
        <f>+O26*19%</f>
        <v>264647.2</v>
      </c>
      <c r="P29" s="52"/>
      <c r="Q29" s="100" t="s">
        <v>66</v>
      </c>
      <c r="R29" s="182">
        <f>+R26*19%</f>
        <v>1098283.98</v>
      </c>
      <c r="S29" s="52"/>
      <c r="T29" s="100" t="s">
        <v>66</v>
      </c>
      <c r="U29" s="182">
        <f>+U26*19%</f>
        <v>506136.82</v>
      </c>
      <c r="V29" s="52"/>
      <c r="W29" s="100" t="s">
        <v>66</v>
      </c>
      <c r="X29" s="182">
        <f>+X26*19%</f>
        <v>1003012.09</v>
      </c>
      <c r="Y29" s="52"/>
      <c r="Z29" s="567" t="s">
        <v>66</v>
      </c>
      <c r="AA29" s="483">
        <f>AA28*0.19</f>
        <v>282317.01</v>
      </c>
      <c r="AB29" s="52"/>
      <c r="AC29" s="567" t="s">
        <v>66</v>
      </c>
      <c r="AD29" s="483">
        <f>AD28*0.19</f>
        <v>0</v>
      </c>
      <c r="AE29" s="52"/>
      <c r="AF29" s="100" t="s">
        <v>66</v>
      </c>
      <c r="AG29" s="182">
        <f>ROUND(AG28*0.19,0)</f>
        <v>4636421</v>
      </c>
      <c r="AH29" s="52"/>
      <c r="AI29" s="57"/>
      <c r="AJ29" s="57"/>
      <c r="AK29" s="52"/>
    </row>
    <row r="30" spans="1:37" s="180" customFormat="1" x14ac:dyDescent="0.3">
      <c r="A30" s="183" t="s">
        <v>67</v>
      </c>
      <c r="B30" s="184"/>
      <c r="C30" s="184"/>
      <c r="D30" s="185" t="s">
        <v>68</v>
      </c>
      <c r="F30" s="101" t="s">
        <v>69</v>
      </c>
      <c r="G30" s="101"/>
      <c r="H30" s="181">
        <f>+H26+H29</f>
        <v>31153195.640000001</v>
      </c>
      <c r="I30" s="181">
        <f>+I26+I29</f>
        <v>32742044.370000001</v>
      </c>
      <c r="J30" s="52"/>
      <c r="K30" s="101" t="s">
        <v>69</v>
      </c>
      <c r="L30" s="181">
        <f>+L26+L29</f>
        <v>9282152.3200000003</v>
      </c>
      <c r="M30" s="52"/>
      <c r="N30" s="101" t="s">
        <v>69</v>
      </c>
      <c r="O30" s="181">
        <f>+O26+O29</f>
        <v>1657527.2</v>
      </c>
      <c r="P30" s="52"/>
      <c r="Q30" s="101" t="s">
        <v>69</v>
      </c>
      <c r="R30" s="181">
        <f>+R26+R29</f>
        <v>6878725.9800000004</v>
      </c>
      <c r="S30" s="52"/>
      <c r="T30" s="101" t="s">
        <v>69</v>
      </c>
      <c r="U30" s="181">
        <f>+U26+U29</f>
        <v>3170014.82</v>
      </c>
      <c r="V30" s="52"/>
      <c r="W30" s="101" t="s">
        <v>69</v>
      </c>
      <c r="X30" s="181">
        <f>+X26+X29</f>
        <v>6282023.0899999999</v>
      </c>
      <c r="Y30" s="52"/>
      <c r="Z30" s="568" t="s">
        <v>69</v>
      </c>
      <c r="AA30" s="481">
        <f>AA28+AA29</f>
        <v>1768196.01</v>
      </c>
      <c r="AB30" s="52"/>
      <c r="AC30" s="568" t="s">
        <v>69</v>
      </c>
      <c r="AD30" s="481">
        <f>AD28+AD29</f>
        <v>0</v>
      </c>
      <c r="AE30" s="52"/>
      <c r="AF30" s="101" t="s">
        <v>69</v>
      </c>
      <c r="AG30" s="181">
        <f>AG28+AG29</f>
        <v>29038639</v>
      </c>
      <c r="AH30" s="52"/>
      <c r="AI30" s="102"/>
      <c r="AJ30" s="102"/>
      <c r="AK30" s="189"/>
    </row>
    <row r="31" spans="1:37" s="180" customFormat="1" x14ac:dyDescent="0.3">
      <c r="A31" s="183"/>
      <c r="B31" s="184"/>
      <c r="C31" s="184"/>
      <c r="D31" s="185"/>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63"/>
      <c r="AG31" s="63"/>
      <c r="AH31" s="63"/>
      <c r="AI31" s="102"/>
      <c r="AJ31" s="102"/>
      <c r="AK31" s="189"/>
    </row>
    <row r="32" spans="1:37" s="180" customFormat="1" x14ac:dyDescent="0.3">
      <c r="A32" s="183"/>
      <c r="B32" s="184"/>
      <c r="C32" s="184"/>
      <c r="D32" s="185"/>
      <c r="K32" s="52"/>
      <c r="L32" s="52"/>
      <c r="M32" s="64"/>
      <c r="N32" s="64"/>
      <c r="O32" s="64"/>
      <c r="P32" s="64"/>
      <c r="Q32" s="64"/>
      <c r="R32" s="64"/>
      <c r="S32" s="64"/>
      <c r="T32" s="64"/>
      <c r="U32" s="64"/>
      <c r="V32" s="64"/>
      <c r="W32" s="64"/>
      <c r="X32" s="64"/>
      <c r="Y32" s="64"/>
      <c r="Z32" s="64"/>
      <c r="AA32" s="64"/>
      <c r="AB32" s="64"/>
      <c r="AC32" s="64"/>
      <c r="AD32" s="64"/>
      <c r="AE32" s="64"/>
      <c r="AF32" s="65"/>
      <c r="AG32" s="65"/>
      <c r="AH32" s="65"/>
      <c r="AI32" s="102"/>
      <c r="AJ32" s="102"/>
      <c r="AK32" s="189"/>
    </row>
    <row r="33" spans="1:37" s="180" customFormat="1" x14ac:dyDescent="0.3">
      <c r="A33" s="183"/>
      <c r="B33" s="184"/>
      <c r="C33" s="184"/>
      <c r="D33" s="185"/>
      <c r="Q33"/>
      <c r="R33"/>
      <c r="S33"/>
      <c r="T33" s="186" t="s">
        <v>70</v>
      </c>
      <c r="U33" s="187" t="s">
        <v>71</v>
      </c>
      <c r="V33" s="186" t="s">
        <v>58</v>
      </c>
      <c r="W33" s="186" t="s">
        <v>70</v>
      </c>
      <c r="X33" s="187" t="s">
        <v>71</v>
      </c>
      <c r="Y33" s="186" t="s">
        <v>58</v>
      </c>
      <c r="Z33" s="186" t="s">
        <v>70</v>
      </c>
      <c r="AA33" s="187" t="s">
        <v>71</v>
      </c>
      <c r="AB33" s="186" t="s">
        <v>58</v>
      </c>
      <c r="AC33" s="186" t="s">
        <v>70</v>
      </c>
      <c r="AD33" s="187" t="s">
        <v>71</v>
      </c>
      <c r="AE33" s="186" t="s">
        <v>58</v>
      </c>
      <c r="AF33" s="104"/>
      <c r="AG33" s="104"/>
      <c r="AH33" s="104"/>
      <c r="AI33" s="104"/>
      <c r="AJ33" s="102"/>
      <c r="AK33" s="189"/>
    </row>
    <row r="34" spans="1:37" s="180" customFormat="1" x14ac:dyDescent="0.3">
      <c r="A34" s="183"/>
      <c r="B34" s="184"/>
      <c r="C34" s="184"/>
      <c r="D34" s="185"/>
      <c r="Q34"/>
      <c r="R34"/>
      <c r="S34"/>
      <c r="T34" s="69" t="s">
        <v>72</v>
      </c>
      <c r="U34" s="70">
        <f>$L$24</f>
        <v>7800128</v>
      </c>
      <c r="V34" s="71">
        <f>$M$24</f>
        <v>0.29795185146534137</v>
      </c>
      <c r="W34" s="69" t="s">
        <v>72</v>
      </c>
      <c r="X34" s="70">
        <f>$L$24</f>
        <v>7800128</v>
      </c>
      <c r="Y34" s="71">
        <f>$M$24</f>
        <v>0.29795185146534137</v>
      </c>
      <c r="Z34" s="69" t="s">
        <v>72</v>
      </c>
      <c r="AA34" s="70">
        <f>$L$24</f>
        <v>7800128</v>
      </c>
      <c r="AB34" s="71">
        <f>$M$24</f>
        <v>0.29795185146534137</v>
      </c>
      <c r="AC34" s="69" t="s">
        <v>72</v>
      </c>
      <c r="AD34" s="70">
        <f>$L$24</f>
        <v>7800128</v>
      </c>
      <c r="AE34" s="71">
        <f>$M$24</f>
        <v>0.29795185146534137</v>
      </c>
      <c r="AF34" s="104"/>
      <c r="AG34" s="104"/>
      <c r="AH34" s="104"/>
      <c r="AI34" s="104"/>
      <c r="AJ34" s="102"/>
      <c r="AK34" s="189"/>
    </row>
    <row r="35" spans="1:37" s="180" customFormat="1" x14ac:dyDescent="0.3">
      <c r="A35" s="183"/>
      <c r="B35" s="184"/>
      <c r="C35" s="184"/>
      <c r="D35" s="185"/>
      <c r="Q35"/>
      <c r="R35"/>
      <c r="S35"/>
      <c r="T35" s="69" t="s">
        <v>73</v>
      </c>
      <c r="U35" s="70">
        <f>$O$24</f>
        <v>1392880</v>
      </c>
      <c r="V35" s="71">
        <f>$P$24</f>
        <v>5.3205687761668098E-2</v>
      </c>
      <c r="W35" s="69" t="s">
        <v>73</v>
      </c>
      <c r="X35" s="70">
        <f>$O$24</f>
        <v>1392880</v>
      </c>
      <c r="Y35" s="71">
        <f>$P$24</f>
        <v>5.3205687761668098E-2</v>
      </c>
      <c r="Z35" s="69" t="s">
        <v>73</v>
      </c>
      <c r="AA35" s="70">
        <f>$O$24</f>
        <v>1392880</v>
      </c>
      <c r="AB35" s="71">
        <f>$P$24</f>
        <v>5.3205687761668098E-2</v>
      </c>
      <c r="AC35" s="69" t="s">
        <v>73</v>
      </c>
      <c r="AD35" s="70">
        <f>$O$24</f>
        <v>1392880</v>
      </c>
      <c r="AE35" s="71">
        <f>$P$24</f>
        <v>5.3205687761668098E-2</v>
      </c>
      <c r="AF35" s="104"/>
      <c r="AG35" s="104"/>
      <c r="AH35" s="104"/>
      <c r="AI35" s="104"/>
      <c r="AJ35" s="102"/>
      <c r="AK35" s="189"/>
    </row>
    <row r="36" spans="1:37" s="180" customFormat="1" x14ac:dyDescent="0.3">
      <c r="A36" s="183"/>
      <c r="B36" s="184"/>
      <c r="C36" s="184"/>
      <c r="D36" s="185"/>
      <c r="Q36"/>
      <c r="R36"/>
      <c r="S36"/>
      <c r="T36" s="69" t="s">
        <v>74</v>
      </c>
      <c r="U36" s="70">
        <f>$R$24</f>
        <v>5780442</v>
      </c>
      <c r="V36" s="71">
        <f>$S$24</f>
        <v>0.2208032222276379</v>
      </c>
      <c r="W36" s="69" t="s">
        <v>74</v>
      </c>
      <c r="X36" s="70">
        <f>$R$24</f>
        <v>5780442</v>
      </c>
      <c r="Y36" s="71">
        <f>$S$24</f>
        <v>0.2208032222276379</v>
      </c>
      <c r="Z36" s="69" t="s">
        <v>74</v>
      </c>
      <c r="AA36" s="70">
        <f>$R$24</f>
        <v>5780442</v>
      </c>
      <c r="AB36" s="71">
        <f>$S$24</f>
        <v>0.2208032222276379</v>
      </c>
      <c r="AC36" s="69" t="s">
        <v>74</v>
      </c>
      <c r="AD36" s="70">
        <f>$R$24</f>
        <v>5780442</v>
      </c>
      <c r="AE36" s="71">
        <f>$S$24</f>
        <v>0.2208032222276379</v>
      </c>
      <c r="AF36" s="104"/>
      <c r="AG36" s="104"/>
      <c r="AH36" s="104"/>
      <c r="AI36" s="104"/>
      <c r="AJ36" s="102"/>
      <c r="AK36" s="189"/>
    </row>
    <row r="37" spans="1:37" s="180" customFormat="1" x14ac:dyDescent="0.3">
      <c r="A37" s="183"/>
      <c r="B37" s="184"/>
      <c r="C37" s="184"/>
      <c r="D37" s="185"/>
      <c r="Q37" s="148"/>
      <c r="R37" s="148"/>
      <c r="S37" s="148"/>
      <c r="T37" s="69" t="s">
        <v>155</v>
      </c>
      <c r="U37" s="70">
        <f>$U$24</f>
        <v>2663878</v>
      </c>
      <c r="V37" s="71">
        <f>$V$24</f>
        <v>0.10175568685254788</v>
      </c>
      <c r="W37" s="69" t="s">
        <v>155</v>
      </c>
      <c r="X37" s="70">
        <f>$U$24</f>
        <v>2663878</v>
      </c>
      <c r="Y37" s="71">
        <f>$V$24</f>
        <v>0.10175568685254788</v>
      </c>
      <c r="Z37" s="69" t="s">
        <v>155</v>
      </c>
      <c r="AA37" s="70">
        <f>$U$24</f>
        <v>2663878</v>
      </c>
      <c r="AB37" s="71">
        <f>$V$24</f>
        <v>0.10175568685254788</v>
      </c>
      <c r="AC37" s="69" t="s">
        <v>155</v>
      </c>
      <c r="AD37" s="70">
        <f>$U$24</f>
        <v>2663878</v>
      </c>
      <c r="AE37" s="71">
        <f>$V$24</f>
        <v>0.10175568685254788</v>
      </c>
      <c r="AF37" s="104"/>
      <c r="AG37" s="104"/>
      <c r="AH37" s="104"/>
      <c r="AI37" s="104"/>
      <c r="AJ37" s="102"/>
      <c r="AK37" s="189"/>
    </row>
    <row r="38" spans="1:37" s="180" customFormat="1" x14ac:dyDescent="0.3">
      <c r="A38" s="183"/>
      <c r="B38" s="184"/>
      <c r="C38" s="184"/>
      <c r="D38" s="185"/>
      <c r="Q38" s="148"/>
      <c r="R38" s="148"/>
      <c r="S38" s="148"/>
      <c r="T38" s="69"/>
      <c r="U38" s="70"/>
      <c r="V38" s="71"/>
      <c r="W38" s="69" t="s">
        <v>352</v>
      </c>
      <c r="X38" s="70">
        <f>$X$24</f>
        <v>5279011</v>
      </c>
      <c r="Y38" s="71">
        <f>$Y$24</f>
        <v>0.20164939618374253</v>
      </c>
      <c r="Z38" s="69" t="s">
        <v>352</v>
      </c>
      <c r="AA38" s="70">
        <f>$X$24</f>
        <v>5279011</v>
      </c>
      <c r="AB38" s="71">
        <f>$Y$24</f>
        <v>0.20164939618374253</v>
      </c>
      <c r="AC38" s="69" t="s">
        <v>352</v>
      </c>
      <c r="AD38" s="70">
        <f>$X$24</f>
        <v>5279011</v>
      </c>
      <c r="AE38" s="71">
        <f>$Y$24</f>
        <v>0.20164939618374253</v>
      </c>
      <c r="AF38" s="104"/>
      <c r="AG38" s="104"/>
      <c r="AH38" s="104"/>
      <c r="AI38" s="104"/>
      <c r="AJ38" s="102"/>
      <c r="AK38" s="189"/>
    </row>
    <row r="39" spans="1:37" s="180" customFormat="1" x14ac:dyDescent="0.3">
      <c r="A39" s="183"/>
      <c r="B39" s="184"/>
      <c r="C39" s="184"/>
      <c r="D39" s="185"/>
      <c r="Q39" s="302"/>
      <c r="R39" s="302"/>
      <c r="S39" s="302"/>
      <c r="T39" s="69"/>
      <c r="U39" s="70"/>
      <c r="V39" s="71"/>
      <c r="W39" s="69"/>
      <c r="X39" s="70"/>
      <c r="Y39" s="71"/>
      <c r="Z39" s="69" t="s">
        <v>979</v>
      </c>
      <c r="AA39" s="70">
        <f>$AA$28</f>
        <v>1485879</v>
      </c>
      <c r="AB39" s="71">
        <f>$AB$28</f>
        <v>5.675809411120817E-2</v>
      </c>
      <c r="AC39" s="69" t="s">
        <v>979</v>
      </c>
      <c r="AD39" s="70">
        <f>$AA$28</f>
        <v>1485879</v>
      </c>
      <c r="AE39" s="71">
        <f>$AB$28</f>
        <v>5.675809411120817E-2</v>
      </c>
      <c r="AF39" s="104"/>
      <c r="AG39" s="104"/>
      <c r="AH39" s="104"/>
      <c r="AI39" s="104"/>
      <c r="AJ39" s="102"/>
      <c r="AK39" s="189"/>
    </row>
    <row r="40" spans="1:37" s="180" customFormat="1" x14ac:dyDescent="0.3">
      <c r="A40" s="183"/>
      <c r="B40" s="184"/>
      <c r="C40" s="184"/>
      <c r="D40" s="185"/>
      <c r="Q40" s="1044"/>
      <c r="R40" s="1044"/>
      <c r="S40" s="1044"/>
      <c r="T40" s="69"/>
      <c r="U40" s="70"/>
      <c r="V40" s="71"/>
      <c r="W40" s="69"/>
      <c r="X40" s="70"/>
      <c r="Y40" s="71"/>
      <c r="Z40" s="69"/>
      <c r="AA40" s="70"/>
      <c r="AB40" s="71"/>
      <c r="AC40" s="69" t="s">
        <v>2307</v>
      </c>
      <c r="AD40" s="70">
        <f>+AD28</f>
        <v>0</v>
      </c>
      <c r="AE40" s="71">
        <f>+AE28</f>
        <v>0</v>
      </c>
      <c r="AF40" s="104"/>
      <c r="AG40" s="104"/>
      <c r="AH40" s="104"/>
      <c r="AI40" s="104"/>
      <c r="AJ40" s="102"/>
      <c r="AK40" s="1045"/>
    </row>
    <row r="41" spans="1:37" s="180" customFormat="1" x14ac:dyDescent="0.3">
      <c r="A41" s="183"/>
      <c r="B41" s="184"/>
      <c r="C41" s="184"/>
      <c r="D41" s="185"/>
      <c r="Q41"/>
      <c r="R41"/>
      <c r="S41"/>
      <c r="T41" s="72" t="s">
        <v>1</v>
      </c>
      <c r="U41" s="105">
        <f>SUM(U34:U37)</f>
        <v>17637328</v>
      </c>
      <c r="V41" s="73">
        <f>SUM(V34:V37)</f>
        <v>0.67371644830719524</v>
      </c>
      <c r="W41" s="72" t="s">
        <v>1</v>
      </c>
      <c r="X41" s="105">
        <f>SUM(X34:X38)</f>
        <v>22916339</v>
      </c>
      <c r="Y41" s="73">
        <f>SUM(Y34:Y38)</f>
        <v>0.87536584449093779</v>
      </c>
      <c r="Z41" s="72" t="s">
        <v>1</v>
      </c>
      <c r="AA41" s="105">
        <f>SUM(AA34:AA39)</f>
        <v>24402218</v>
      </c>
      <c r="AB41" s="73">
        <f>SUM(AB34:AB39)</f>
        <v>0.93212393860214593</v>
      </c>
      <c r="AC41" s="72" t="s">
        <v>1</v>
      </c>
      <c r="AD41" s="105">
        <f>SUM(AD34:AD40)</f>
        <v>24402218</v>
      </c>
      <c r="AE41" s="73">
        <f>SUM(AE34:AE40)</f>
        <v>0.93212393860214593</v>
      </c>
      <c r="AF41" s="106"/>
      <c r="AG41" s="106"/>
      <c r="AH41" s="106"/>
      <c r="AI41" s="106"/>
      <c r="AJ41" s="102"/>
      <c r="AK41" s="189"/>
    </row>
    <row r="42" spans="1:37" s="180" customFormat="1" x14ac:dyDescent="0.3">
      <c r="A42" s="183"/>
      <c r="B42" s="184"/>
      <c r="C42" s="184"/>
      <c r="D42" s="185" t="s">
        <v>75</v>
      </c>
      <c r="Q42"/>
      <c r="R42"/>
      <c r="S42"/>
      <c r="T42" s="72" t="s">
        <v>9</v>
      </c>
      <c r="U42" s="1321"/>
      <c r="V42" s="1322"/>
      <c r="W42" s="72" t="s">
        <v>9</v>
      </c>
      <c r="X42" s="1321"/>
      <c r="Y42" s="1322"/>
      <c r="Z42" s="72" t="s">
        <v>9</v>
      </c>
      <c r="AA42" s="1321"/>
      <c r="AB42" s="1322"/>
      <c r="AC42" s="72" t="s">
        <v>9</v>
      </c>
      <c r="AD42" s="1321"/>
      <c r="AE42" s="1322"/>
      <c r="AF42" s="107"/>
      <c r="AG42" s="107"/>
      <c r="AH42" s="107"/>
      <c r="AI42" s="76"/>
      <c r="AJ42" s="102"/>
      <c r="AK42" s="108"/>
    </row>
    <row r="43" spans="1:37" s="180" customFormat="1" x14ac:dyDescent="0.3">
      <c r="A43" s="183" t="s">
        <v>76</v>
      </c>
      <c r="D43" s="185" t="s">
        <v>77</v>
      </c>
      <c r="Q43"/>
      <c r="R43"/>
      <c r="S43"/>
      <c r="T43" s="109" t="s">
        <v>78</v>
      </c>
      <c r="U43" s="1321" t="s">
        <v>188</v>
      </c>
      <c r="V43" s="1322"/>
      <c r="W43" s="109" t="s">
        <v>78</v>
      </c>
      <c r="X43" s="1321" t="s">
        <v>188</v>
      </c>
      <c r="Y43" s="1322"/>
      <c r="Z43" s="109" t="s">
        <v>78</v>
      </c>
      <c r="AA43" s="1321" t="s">
        <v>2237</v>
      </c>
      <c r="AB43" s="1322"/>
      <c r="AC43" s="109" t="s">
        <v>78</v>
      </c>
      <c r="AD43" s="1321" t="s">
        <v>2237</v>
      </c>
      <c r="AE43" s="1322"/>
      <c r="AF43" s="108"/>
      <c r="AG43" s="108"/>
      <c r="AH43" s="107"/>
      <c r="AI43" s="76"/>
      <c r="AJ43" s="102"/>
      <c r="AK43" s="108"/>
    </row>
    <row r="44" spans="1:37" s="180" customFormat="1" ht="26.4" x14ac:dyDescent="0.3">
      <c r="A44" s="183" t="s">
        <v>79</v>
      </c>
      <c r="D44" s="185" t="s">
        <v>80</v>
      </c>
      <c r="Q44"/>
      <c r="R44"/>
      <c r="S44"/>
      <c r="T44" s="110" t="s">
        <v>8</v>
      </c>
      <c r="U44" s="1321" t="s">
        <v>189</v>
      </c>
      <c r="V44" s="1322"/>
      <c r="W44" s="110" t="s">
        <v>8</v>
      </c>
      <c r="X44" s="1321" t="s">
        <v>189</v>
      </c>
      <c r="Y44" s="1322"/>
      <c r="Z44" s="110" t="s">
        <v>8</v>
      </c>
      <c r="AA44" s="1321" t="s">
        <v>2237</v>
      </c>
      <c r="AB44" s="1322"/>
      <c r="AC44" s="110" t="s">
        <v>8</v>
      </c>
      <c r="AD44" s="1321" t="s">
        <v>2237</v>
      </c>
      <c r="AE44" s="1322"/>
      <c r="AF44" s="108"/>
      <c r="AG44" s="108"/>
      <c r="AH44" s="107"/>
      <c r="AI44" s="76"/>
      <c r="AJ44" s="102"/>
      <c r="AK44" s="108"/>
    </row>
    <row r="45" spans="1:37" s="180" customFormat="1" x14ac:dyDescent="0.3">
      <c r="A45" s="52"/>
      <c r="B45" s="52"/>
      <c r="C45" s="52"/>
      <c r="D45" s="52"/>
      <c r="E45" s="53"/>
      <c r="F45" s="52"/>
      <c r="G45" s="52"/>
      <c r="H45" s="52"/>
      <c r="I45" s="52"/>
      <c r="J45" s="52"/>
      <c r="L45" s="189"/>
      <c r="M45" s="108"/>
      <c r="N45" s="108"/>
      <c r="O45" s="108"/>
      <c r="P45" s="108"/>
      <c r="Q45" s="108"/>
      <c r="R45" s="108"/>
      <c r="S45" s="108"/>
      <c r="T45" s="108"/>
      <c r="U45" s="108"/>
      <c r="V45" s="108"/>
      <c r="W45" s="108"/>
      <c r="X45" s="108"/>
      <c r="Y45" s="108"/>
      <c r="Z45" s="108"/>
      <c r="AA45" s="108"/>
      <c r="AB45" s="108"/>
      <c r="AC45" s="108"/>
      <c r="AD45" s="108"/>
      <c r="AE45" s="108"/>
      <c r="AF45" s="64"/>
      <c r="AG45" s="64"/>
      <c r="AH45" s="64"/>
      <c r="AI45" s="52"/>
      <c r="AJ45" s="52"/>
      <c r="AK45" s="52"/>
    </row>
  </sheetData>
  <sheetProtection formatCells="0" formatColumns="0" formatRows="0" insertColumns="0" insertRows="0" insertHyperlinks="0" deleteColumns="0" deleteRows="0" sort="0" autoFilter="0" pivotTables="0"/>
  <mergeCells count="48">
    <mergeCell ref="AD42:AE42"/>
    <mergeCell ref="AD43:AE43"/>
    <mergeCell ref="AD44:AE44"/>
    <mergeCell ref="AA42:AB42"/>
    <mergeCell ref="AA43:AB43"/>
    <mergeCell ref="AA44:AB44"/>
    <mergeCell ref="A6:AH6"/>
    <mergeCell ref="A7:AH7"/>
    <mergeCell ref="A8:AH8"/>
    <mergeCell ref="A9:AH9"/>
    <mergeCell ref="A10:AH10"/>
    <mergeCell ref="X42:Y42"/>
    <mergeCell ref="X43:Y43"/>
    <mergeCell ref="X44:Y44"/>
    <mergeCell ref="T11:V12"/>
    <mergeCell ref="U42:V42"/>
    <mergeCell ref="U43:V43"/>
    <mergeCell ref="U44:V44"/>
    <mergeCell ref="B22:B23"/>
    <mergeCell ref="J22:J23"/>
    <mergeCell ref="A18:A19"/>
    <mergeCell ref="B18:B19"/>
    <mergeCell ref="J18:J19"/>
    <mergeCell ref="A20:A21"/>
    <mergeCell ref="B20:B21"/>
    <mergeCell ref="J20:J21"/>
    <mergeCell ref="A22:A23"/>
    <mergeCell ref="A16:A17"/>
    <mergeCell ref="B16:B17"/>
    <mergeCell ref="J16:J17"/>
    <mergeCell ref="K11:M12"/>
    <mergeCell ref="N11:P12"/>
    <mergeCell ref="B12:J12"/>
    <mergeCell ref="B11:J11"/>
    <mergeCell ref="AF1:AH1"/>
    <mergeCell ref="AF2:AH2"/>
    <mergeCell ref="A3:AH3"/>
    <mergeCell ref="A4:AH4"/>
    <mergeCell ref="A5:AH5"/>
    <mergeCell ref="C1:AB2"/>
    <mergeCell ref="Q11:S12"/>
    <mergeCell ref="AF11:AH12"/>
    <mergeCell ref="A14:A15"/>
    <mergeCell ref="B14:B15"/>
    <mergeCell ref="J14:J15"/>
    <mergeCell ref="W11:Y12"/>
    <mergeCell ref="Z11:AB12"/>
    <mergeCell ref="AC11:AE12"/>
  </mergeCells>
  <pageMargins left="0.7" right="0.7" top="0.75" bottom="0.75" header="0.3" footer="0.3"/>
  <pageSetup scale="41" orientation="landscape" r:id="rId1"/>
  <drawing r:id="rId2"/>
  <legacyDrawing r:id="rId3"/>
  <legacyDrawingHF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theme="1"/>
  </sheetPr>
  <dimension ref="A1:G49"/>
  <sheetViews>
    <sheetView topLeftCell="A13"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f>
        <v>Proyecto : REPOSICIÓN DE PROTECCIONES EN SE AT-MT, CDIM_CBSGSM_R0071, Cambio Protección 87B y Normalización Tableros en SE Calle 67</v>
      </c>
      <c r="C5" s="1281"/>
      <c r="D5" s="1281"/>
      <c r="E5" s="1281"/>
      <c r="F5" s="1281"/>
      <c r="G5" s="1282"/>
    </row>
    <row r="6" spans="1:7" x14ac:dyDescent="0.25">
      <c r="A6" s="1177"/>
      <c r="B6" s="1177"/>
      <c r="C6" s="1177"/>
      <c r="D6" s="1177"/>
      <c r="E6" s="1177"/>
      <c r="F6" s="1177"/>
      <c r="G6" s="1177"/>
    </row>
    <row r="7" spans="1:7" x14ac:dyDescent="0.25">
      <c r="A7" s="271" t="s">
        <v>0</v>
      </c>
      <c r="B7" s="1264" t="str">
        <f>RESUMEN!B11</f>
        <v>D00234809</v>
      </c>
      <c r="C7" s="1265"/>
      <c r="D7" s="1177"/>
      <c r="E7" s="1266" t="s">
        <v>627</v>
      </c>
      <c r="F7" s="1267"/>
      <c r="G7" s="280" t="str">
        <f>RESUMEN!E11</f>
        <v>17-031</v>
      </c>
    </row>
    <row r="8" spans="1:7" x14ac:dyDescent="0.25">
      <c r="A8" s="271" t="s">
        <v>628</v>
      </c>
      <c r="B8" s="1264">
        <f>RESUMEN!C11</f>
        <v>0</v>
      </c>
      <c r="C8" s="1265"/>
      <c r="D8" s="1177"/>
      <c r="E8" s="1266" t="s">
        <v>629</v>
      </c>
      <c r="F8" s="1267"/>
      <c r="G8" s="280" t="str">
        <f>RESUMEN!U11</f>
        <v>Acta N° 3: Marzo</v>
      </c>
    </row>
    <row r="9" spans="1:7" x14ac:dyDescent="0.25">
      <c r="A9" s="271" t="s">
        <v>630</v>
      </c>
      <c r="B9" s="1283" t="s">
        <v>631</v>
      </c>
      <c r="C9" s="1265"/>
      <c r="D9" s="1177"/>
      <c r="E9" s="1266" t="s">
        <v>632</v>
      </c>
      <c r="F9" s="1267"/>
      <c r="G9" s="1178">
        <f>RESUMEN!H11</f>
        <v>21944785.829999998</v>
      </c>
    </row>
    <row r="10" spans="1:7" x14ac:dyDescent="0.25">
      <c r="A10" s="271" t="s">
        <v>633</v>
      </c>
      <c r="B10" s="1283" t="str">
        <f>RESUMEN!D11</f>
        <v>CALLE 67 REP PROT</v>
      </c>
      <c r="C10" s="1265"/>
      <c r="D10" s="1177"/>
      <c r="E10" s="1266" t="s">
        <v>634</v>
      </c>
      <c r="F10" s="1267"/>
      <c r="G10" s="1178">
        <f>RESUMEN!R11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 REPOSICIÓN DE PROTECCIONES EN SE AT-MT, CDIM_CBSGSM_R0071, Cambio Protección 87B y Normalización Tableros en SE Calle 67</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f>
        <v>0</v>
      </c>
      <c r="F19" s="1248"/>
      <c r="G19" s="1177"/>
    </row>
    <row r="20" spans="1:7" ht="27" customHeight="1" x14ac:dyDescent="0.25">
      <c r="A20" s="1177"/>
      <c r="B20" s="1244" t="s">
        <v>1498</v>
      </c>
      <c r="C20" s="1245"/>
      <c r="D20" s="1246"/>
      <c r="E20" s="1247">
        <f>RESUMEN!P11</f>
        <v>0</v>
      </c>
      <c r="F20" s="1248"/>
      <c r="G20" s="1177"/>
    </row>
    <row r="21" spans="1:7" ht="27" customHeight="1" x14ac:dyDescent="0.25">
      <c r="A21" s="1177"/>
      <c r="B21" s="1244" t="s">
        <v>1499</v>
      </c>
      <c r="C21" s="1245"/>
      <c r="D21" s="1246"/>
      <c r="E21" s="1247">
        <f>RESUMEN!Q11</f>
        <v>0</v>
      </c>
      <c r="F21" s="1248"/>
      <c r="G21" s="1177"/>
    </row>
    <row r="22" spans="1:7" x14ac:dyDescent="0.25">
      <c r="A22" s="1177"/>
      <c r="B22" s="1254" t="s">
        <v>64</v>
      </c>
      <c r="C22" s="1254"/>
      <c r="D22" s="1254"/>
      <c r="E22" s="1255">
        <f>RESUMEN!R11</f>
        <v>0</v>
      </c>
      <c r="F22" s="1255"/>
      <c r="G22" s="1177"/>
    </row>
    <row r="23" spans="1:7" x14ac:dyDescent="0.25">
      <c r="A23" s="1177"/>
      <c r="B23" s="1256" t="s">
        <v>66</v>
      </c>
      <c r="C23" s="1256"/>
      <c r="D23" s="1256"/>
      <c r="E23" s="1257">
        <f>RESUMEN!S11</f>
        <v>0</v>
      </c>
      <c r="F23" s="1257"/>
      <c r="G23" s="1177"/>
    </row>
    <row r="24" spans="1:7" x14ac:dyDescent="0.25">
      <c r="A24" s="1177"/>
      <c r="B24" s="1258" t="s">
        <v>1</v>
      </c>
      <c r="C24" s="1258"/>
      <c r="D24" s="1258"/>
      <c r="E24" s="1259">
        <f>RESUMEN!T11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+'OT17-031 CALLE 67 REP PROT'!Q30</f>
        <v>ACTA 1</v>
      </c>
      <c r="C28" s="1253">
        <f>+'OT17-031 CALLE 67 REP PROT'!R30</f>
        <v>5275524</v>
      </c>
      <c r="D28" s="1253"/>
      <c r="E28" s="267">
        <f>+'OT17-031 CALLE 67 REP PROT'!S30</f>
        <v>0.24039988546108315</v>
      </c>
      <c r="F28" s="1177"/>
      <c r="G28" s="1177"/>
    </row>
    <row r="29" spans="1:7" x14ac:dyDescent="0.25">
      <c r="A29" s="1177"/>
      <c r="B29" s="280" t="str">
        <f>+'OT17-031 CALLE 67 REP PROT'!Q31</f>
        <v>ACTA 2</v>
      </c>
      <c r="C29" s="1253">
        <f>+'OT17-031 CALLE 67 REP PROT'!R31</f>
        <v>668581</v>
      </c>
      <c r="D29" s="1253"/>
      <c r="E29" s="267">
        <f>+'OT17-031 CALLE 67 REP PROT'!S31</f>
        <v>3.0466508316795912E-2</v>
      </c>
      <c r="F29" s="1177"/>
      <c r="G29" s="1177"/>
    </row>
    <row r="30" spans="1:7" x14ac:dyDescent="0.25">
      <c r="A30" s="1177"/>
      <c r="B30" s="280" t="str">
        <f>+'OT17-031 CALLE 67 REP PROT'!Q32</f>
        <v>ACTA 3</v>
      </c>
      <c r="C30" s="1253">
        <f>+'OT17-031 CALLE 67 REP PROT'!R32</f>
        <v>0</v>
      </c>
      <c r="D30" s="1253"/>
      <c r="E30" s="267">
        <f>+'OT17-031 CALLE 67 REP PROT'!S32</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5944105</v>
      </c>
      <c r="D34" s="1251"/>
      <c r="E34" s="264">
        <f>SUM(E28:E33)</f>
        <v>0.27086639377787908</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A36:G36"/>
    <mergeCell ref="B21:D21"/>
    <mergeCell ref="E21:F21"/>
    <mergeCell ref="B22:D22"/>
    <mergeCell ref="E22:F22"/>
    <mergeCell ref="B23:D23"/>
    <mergeCell ref="E23:F23"/>
    <mergeCell ref="C30:D30"/>
    <mergeCell ref="C31:D31"/>
    <mergeCell ref="C32:D32"/>
    <mergeCell ref="C33:D33"/>
    <mergeCell ref="C34:D34"/>
    <mergeCell ref="B24:D24"/>
    <mergeCell ref="E24:F24"/>
    <mergeCell ref="C27:D27"/>
    <mergeCell ref="C28:D28"/>
    <mergeCell ref="C29:D29"/>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tabColor theme="9" tint="-0.249977111117893"/>
  </sheetPr>
  <dimension ref="A1:V39"/>
  <sheetViews>
    <sheetView zoomScale="55" zoomScaleNormal="55" workbookViewId="0">
      <selection activeCell="A13" sqref="A13"/>
    </sheetView>
  </sheetViews>
  <sheetFormatPr baseColWidth="10" defaultColWidth="11.44140625" defaultRowHeight="14.4" x14ac:dyDescent="0.3"/>
  <cols>
    <col min="1" max="1" width="20.109375" style="302" customWidth="1"/>
    <col min="2" max="2" width="35.6640625" style="302" customWidth="1"/>
    <col min="3" max="3" width="25.5546875" style="302" customWidth="1"/>
    <col min="4" max="4" width="23.88671875" style="302" customWidth="1"/>
    <col min="5" max="5" width="11.5546875" style="302" bestFit="1" customWidth="1"/>
    <col min="6" max="6" width="18.44140625" style="302" customWidth="1"/>
    <col min="7" max="7" width="18.44140625" style="795" customWidth="1"/>
    <col min="8" max="8" width="17.6640625" style="302" customWidth="1"/>
    <col min="9" max="9" width="17.6640625" style="795" customWidth="1"/>
    <col min="10" max="10" width="51.33203125" style="302" customWidth="1"/>
    <col min="11" max="11" width="18.44140625" style="302" hidden="1" customWidth="1"/>
    <col min="12" max="12" width="17.88671875" style="302" hidden="1" customWidth="1"/>
    <col min="13" max="13" width="11.44140625" style="302" hidden="1" customWidth="1"/>
    <col min="14" max="14" width="18.44140625" style="302" hidden="1" customWidth="1"/>
    <col min="15" max="15" width="19.109375" style="302" hidden="1" customWidth="1"/>
    <col min="16" max="16" width="11.44140625" style="302" hidden="1" customWidth="1"/>
    <col min="17" max="17" width="17.88671875" style="302" bestFit="1" customWidth="1"/>
    <col min="18" max="18" width="18" style="302" bestFit="1" customWidth="1"/>
    <col min="19" max="19" width="11.44140625" style="302"/>
    <col min="20" max="20" width="18.44140625" style="302" bestFit="1" customWidth="1"/>
    <col min="21" max="21" width="18.77734375" style="302" customWidth="1"/>
    <col min="22" max="16384" width="11.44140625" style="302"/>
  </cols>
  <sheetData>
    <row r="1" spans="1:22" ht="13.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16" t="s">
        <v>857</v>
      </c>
      <c r="U1" s="1316"/>
      <c r="V1" s="1317"/>
    </row>
    <row r="2" spans="1:22"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05"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858</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859</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354"/>
      <c r="B11" s="1318"/>
      <c r="C11" s="1320"/>
      <c r="D11" s="1320"/>
      <c r="E11" s="1320"/>
      <c r="F11" s="1320"/>
      <c r="G11" s="1320"/>
      <c r="H11" s="1320"/>
      <c r="I11" s="1320"/>
      <c r="J11" s="1320"/>
      <c r="K11" s="1293" t="s">
        <v>46</v>
      </c>
      <c r="L11" s="1294"/>
      <c r="M11" s="1295"/>
      <c r="N11" s="1293" t="s">
        <v>47</v>
      </c>
      <c r="O11" s="1294"/>
      <c r="P11" s="1295"/>
      <c r="Q11" s="1293" t="s">
        <v>2318</v>
      </c>
      <c r="R11" s="1294"/>
      <c r="S11" s="1295"/>
      <c r="T11" s="1299" t="s">
        <v>49</v>
      </c>
      <c r="U11" s="1299"/>
      <c r="V11" s="1299"/>
    </row>
    <row r="12" spans="1:22"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300"/>
      <c r="U12" s="1300"/>
      <c r="V12" s="1300"/>
    </row>
    <row r="13" spans="1:22" ht="28.8" x14ac:dyDescent="0.3">
      <c r="A13" s="24" t="s">
        <v>50</v>
      </c>
      <c r="B13" s="24" t="s">
        <v>51</v>
      </c>
      <c r="C13" s="24" t="s">
        <v>52</v>
      </c>
      <c r="D13" s="24" t="s">
        <v>164</v>
      </c>
      <c r="E13" s="24" t="s">
        <v>54</v>
      </c>
      <c r="F13" s="25" t="s">
        <v>55</v>
      </c>
      <c r="G13" s="819" t="s">
        <v>2007</v>
      </c>
      <c r="H13" s="24" t="s">
        <v>56</v>
      </c>
      <c r="I13" s="820" t="s">
        <v>56</v>
      </c>
      <c r="J13" s="24" t="s">
        <v>57</v>
      </c>
      <c r="K13" s="172" t="s">
        <v>54</v>
      </c>
      <c r="L13" s="173" t="s">
        <v>56</v>
      </c>
      <c r="M13" s="357" t="s">
        <v>58</v>
      </c>
      <c r="N13" s="172" t="s">
        <v>54</v>
      </c>
      <c r="O13" s="173" t="s">
        <v>56</v>
      </c>
      <c r="P13" s="357" t="s">
        <v>58</v>
      </c>
      <c r="Q13" s="357" t="s">
        <v>54</v>
      </c>
      <c r="R13" s="210" t="s">
        <v>2007</v>
      </c>
      <c r="S13" s="357" t="s">
        <v>58</v>
      </c>
      <c r="T13" s="174" t="s">
        <v>54</v>
      </c>
      <c r="U13" s="210" t="s">
        <v>2017</v>
      </c>
      <c r="V13" s="357" t="s">
        <v>58</v>
      </c>
    </row>
    <row r="14" spans="1:22" ht="39" customHeight="1" x14ac:dyDescent="0.3">
      <c r="A14" s="1289" t="s">
        <v>201</v>
      </c>
      <c r="B14" s="1289" t="s">
        <v>190</v>
      </c>
      <c r="C14" s="353" t="s">
        <v>83</v>
      </c>
      <c r="D14" s="353" t="s">
        <v>191</v>
      </c>
      <c r="E14" s="31">
        <v>1</v>
      </c>
      <c r="F14" s="32">
        <v>2228604</v>
      </c>
      <c r="G14" s="32">
        <f>+ROUND(F14*1.051,0)</f>
        <v>2342263</v>
      </c>
      <c r="H14" s="32">
        <f>ROUND((E14*F14),0)</f>
        <v>2228604</v>
      </c>
      <c r="I14" s="32">
        <f>+ROUND(G14*E14,0)</f>
        <v>2342263</v>
      </c>
      <c r="J14" s="1289" t="s">
        <v>860</v>
      </c>
      <c r="K14" s="149">
        <v>0</v>
      </c>
      <c r="L14" s="175">
        <f>ROUND(K14*F14,0)</f>
        <v>0</v>
      </c>
      <c r="M14" s="176">
        <f>L14/H14</f>
        <v>0</v>
      </c>
      <c r="N14" s="303">
        <v>0.3</v>
      </c>
      <c r="O14" s="304">
        <f>ROUND(N14*$F$14,0)</f>
        <v>668581</v>
      </c>
      <c r="P14" s="305">
        <f>O14/$H$14</f>
        <v>0.29999991025772188</v>
      </c>
      <c r="Q14" s="158">
        <v>0</v>
      </c>
      <c r="R14" s="194">
        <f>ROUND(Q14*$G$14,0)</f>
        <v>0</v>
      </c>
      <c r="S14" s="195">
        <f>R14/I14</f>
        <v>0</v>
      </c>
      <c r="T14" s="149">
        <f>K14+N14+Q14</f>
        <v>0.3</v>
      </c>
      <c r="U14" s="175">
        <f>L14+O14+R14</f>
        <v>668581</v>
      </c>
      <c r="V14" s="176">
        <f>U14/H14</f>
        <v>0.29999991025772188</v>
      </c>
    </row>
    <row r="15" spans="1:22" ht="50.25" customHeight="1" x14ac:dyDescent="0.3">
      <c r="A15" s="1289"/>
      <c r="B15" s="1289"/>
      <c r="C15" s="353" t="s">
        <v>61</v>
      </c>
      <c r="D15" s="353" t="s">
        <v>192</v>
      </c>
      <c r="E15" s="31">
        <v>1</v>
      </c>
      <c r="F15" s="32">
        <v>17585079</v>
      </c>
      <c r="G15" s="32">
        <f>+ROUND(F15*1.051,0)</f>
        <v>18481918</v>
      </c>
      <c r="H15" s="32">
        <f>ROUND((E15*F15),0)</f>
        <v>17585079</v>
      </c>
      <c r="I15" s="32">
        <f>+ROUND(G15*E15,0)</f>
        <v>18481918</v>
      </c>
      <c r="J15" s="1289"/>
      <c r="K15" s="303">
        <v>0.3</v>
      </c>
      <c r="L15" s="304">
        <f>ROUND(K15*F15,0)</f>
        <v>5275524</v>
      </c>
      <c r="M15" s="305">
        <f>L15/H15</f>
        <v>0.30000001705991769</v>
      </c>
      <c r="N15" s="149">
        <v>0</v>
      </c>
      <c r="O15" s="175">
        <f>ROUND(N15*$F$15,0)</f>
        <v>0</v>
      </c>
      <c r="P15" s="176">
        <f>O15/$H$15</f>
        <v>0</v>
      </c>
      <c r="Q15" s="158">
        <v>0</v>
      </c>
      <c r="R15" s="194">
        <f>ROUND(Q15*$G$15,0)</f>
        <v>0</v>
      </c>
      <c r="S15" s="426">
        <f>R15/I15</f>
        <v>0</v>
      </c>
      <c r="T15" s="149">
        <f>K15+N15+Q15</f>
        <v>0.3</v>
      </c>
      <c r="U15" s="175">
        <f>L15+O15+R15</f>
        <v>5275524</v>
      </c>
      <c r="V15" s="176">
        <f>U15/H15</f>
        <v>0.30000001705991769</v>
      </c>
    </row>
    <row r="16" spans="1:22" x14ac:dyDescent="0.3">
      <c r="A16" s="1289"/>
      <c r="B16" s="1289"/>
      <c r="C16" s="39"/>
      <c r="D16" s="39" t="s">
        <v>193</v>
      </c>
      <c r="E16" s="40"/>
      <c r="F16" s="41"/>
      <c r="G16" s="41"/>
      <c r="H16" s="42">
        <f>SUM(H14:H15)</f>
        <v>19813683</v>
      </c>
      <c r="I16" s="42">
        <f>SUM(I14:I15)</f>
        <v>20824181</v>
      </c>
      <c r="J16" s="1289"/>
      <c r="K16" s="306"/>
      <c r="L16" s="307">
        <f>SUM(L14:L15)</f>
        <v>5275524</v>
      </c>
      <c r="M16" s="308">
        <f>L16/H16</f>
        <v>0.26625660660867545</v>
      </c>
      <c r="N16" s="308"/>
      <c r="O16" s="307">
        <f>SUM(O14:O15)</f>
        <v>668581</v>
      </c>
      <c r="P16" s="308">
        <f>O16/$H$16</f>
        <v>3.3743398438341829E-2</v>
      </c>
      <c r="Q16" s="308"/>
      <c r="R16" s="307">
        <f>SUM(R14:R15)</f>
        <v>0</v>
      </c>
      <c r="S16" s="308">
        <f>R16/$H$16</f>
        <v>0</v>
      </c>
      <c r="T16" s="306"/>
      <c r="U16" s="307">
        <f>L16+O16+R16</f>
        <v>5944105</v>
      </c>
      <c r="V16" s="308">
        <f>U16/H16</f>
        <v>0.30000000504701724</v>
      </c>
    </row>
    <row r="17" spans="1:22" ht="43.2" x14ac:dyDescent="0.3">
      <c r="A17" s="1323" t="s">
        <v>201</v>
      </c>
      <c r="B17" s="1323" t="s">
        <v>861</v>
      </c>
      <c r="C17" s="356" t="s">
        <v>83</v>
      </c>
      <c r="D17" s="356" t="s">
        <v>862</v>
      </c>
      <c r="E17" s="358">
        <v>0</v>
      </c>
      <c r="F17" s="32">
        <v>1114302</v>
      </c>
      <c r="G17" s="32">
        <f t="shared" ref="G17:G18" si="0">+ROUND(F17*1.051,0)</f>
        <v>1171131</v>
      </c>
      <c r="H17" s="114">
        <v>0</v>
      </c>
      <c r="I17" s="32">
        <f t="shared" ref="I17:I18" si="1">+ROUND(G17*E17,0)</f>
        <v>0</v>
      </c>
      <c r="J17" s="1324" t="s">
        <v>863</v>
      </c>
      <c r="K17" s="149">
        <v>0</v>
      </c>
      <c r="L17" s="175">
        <f>ROUND(K17*F17,0)</f>
        <v>0</v>
      </c>
      <c r="M17" s="176">
        <v>0</v>
      </c>
      <c r="N17" s="149">
        <v>0</v>
      </c>
      <c r="O17" s="175">
        <f>ROUND(N17*$F$17,0)</f>
        <v>0</v>
      </c>
      <c r="P17" s="176">
        <v>0</v>
      </c>
      <c r="Q17" s="158">
        <v>0</v>
      </c>
      <c r="R17" s="194">
        <f>ROUND(Q17*$G$17,0)</f>
        <v>0</v>
      </c>
      <c r="S17" s="426" t="e">
        <f t="shared" ref="S17:S18" si="2">R17/I17</f>
        <v>#DIV/0!</v>
      </c>
      <c r="T17" s="149">
        <f>K17+N17+Q17</f>
        <v>0</v>
      </c>
      <c r="U17" s="175">
        <f>L17+O17+R17</f>
        <v>0</v>
      </c>
      <c r="V17" s="176">
        <v>0</v>
      </c>
    </row>
    <row r="18" spans="1:22" ht="43.2" x14ac:dyDescent="0.3">
      <c r="A18" s="1323"/>
      <c r="B18" s="1323"/>
      <c r="C18" s="356" t="s">
        <v>61</v>
      </c>
      <c r="D18" s="356" t="s">
        <v>864</v>
      </c>
      <c r="E18" s="358">
        <v>0.51</v>
      </c>
      <c r="F18" s="32">
        <v>4178633</v>
      </c>
      <c r="G18" s="32">
        <f t="shared" si="0"/>
        <v>4391743</v>
      </c>
      <c r="H18" s="114">
        <f>+F18*E18</f>
        <v>2131102.83</v>
      </c>
      <c r="I18" s="32">
        <f t="shared" si="1"/>
        <v>2239789</v>
      </c>
      <c r="J18" s="1323"/>
      <c r="K18" s="149">
        <v>0</v>
      </c>
      <c r="L18" s="175">
        <f>ROUND(K18*F18,0)</f>
        <v>0</v>
      </c>
      <c r="M18" s="176">
        <f>L18/H18</f>
        <v>0</v>
      </c>
      <c r="N18" s="149">
        <v>0</v>
      </c>
      <c r="O18" s="175">
        <f>ROUND(N18*$F$18,0)</f>
        <v>0</v>
      </c>
      <c r="P18" s="176">
        <f>O18/$H$18</f>
        <v>0</v>
      </c>
      <c r="Q18" s="158">
        <v>0</v>
      </c>
      <c r="R18" s="194">
        <f>ROUND(Q18*$G$18,0)</f>
        <v>0</v>
      </c>
      <c r="S18" s="426">
        <f t="shared" si="2"/>
        <v>0</v>
      </c>
      <c r="T18" s="149">
        <f>K18+N18+Q18</f>
        <v>0</v>
      </c>
      <c r="U18" s="175">
        <f>L18+O18+R18</f>
        <v>0</v>
      </c>
      <c r="V18" s="176">
        <f>U18/H18</f>
        <v>0</v>
      </c>
    </row>
    <row r="19" spans="1:22" x14ac:dyDescent="0.3">
      <c r="A19" s="1323"/>
      <c r="B19" s="1323"/>
      <c r="C19" s="115"/>
      <c r="D19" s="115" t="s">
        <v>865</v>
      </c>
      <c r="E19" s="116"/>
      <c r="F19" s="116"/>
      <c r="G19" s="116"/>
      <c r="H19" s="117">
        <f>+H18+H17</f>
        <v>2131102.83</v>
      </c>
      <c r="I19" s="117">
        <f>SUM(I17:I18)</f>
        <v>2239789</v>
      </c>
      <c r="J19" s="1323"/>
      <c r="K19" s="306"/>
      <c r="L19" s="307">
        <f>SUM(L17:L18)</f>
        <v>0</v>
      </c>
      <c r="M19" s="308">
        <f>L19/H19</f>
        <v>0</v>
      </c>
      <c r="N19" s="308"/>
      <c r="O19" s="307">
        <f>SUM(O17:O18)</f>
        <v>0</v>
      </c>
      <c r="P19" s="308">
        <f>O19/$H$19</f>
        <v>0</v>
      </c>
      <c r="Q19" s="308"/>
      <c r="R19" s="307">
        <f>SUM(R17:R18)</f>
        <v>0</v>
      </c>
      <c r="S19" s="308">
        <f>R19/$H$19</f>
        <v>0</v>
      </c>
      <c r="T19" s="306"/>
      <c r="U19" s="307">
        <f>L19+O19+R19</f>
        <v>0</v>
      </c>
      <c r="V19" s="308">
        <f>U19/H19</f>
        <v>0</v>
      </c>
    </row>
    <row r="20" spans="1:22" x14ac:dyDescent="0.3">
      <c r="F20" s="151" t="s">
        <v>64</v>
      </c>
      <c r="G20" s="151"/>
      <c r="H20" s="181">
        <f>SUM(H10:H19)/2</f>
        <v>21944785.829999998</v>
      </c>
      <c r="I20" s="181">
        <f>SUM(I14:I19)/2</f>
        <v>23063970</v>
      </c>
      <c r="K20" s="151" t="s">
        <v>64</v>
      </c>
      <c r="L20" s="181">
        <f>SUM(L10:L19)/2</f>
        <v>5275524</v>
      </c>
      <c r="M20" s="359">
        <f>L20/H20</f>
        <v>0.24039988546108315</v>
      </c>
      <c r="N20" s="151" t="s">
        <v>64</v>
      </c>
      <c r="O20" s="181">
        <f>SUM(O10:O19)/2</f>
        <v>668581</v>
      </c>
      <c r="P20" s="359">
        <f>O20/$H$20</f>
        <v>3.0466508316795912E-2</v>
      </c>
      <c r="Q20" s="480" t="s">
        <v>64</v>
      </c>
      <c r="R20" s="481">
        <f>SUM(R10:R19)/2</f>
        <v>0</v>
      </c>
      <c r="T20" s="569" t="s">
        <v>64</v>
      </c>
      <c r="U20" s="481">
        <f>SUM(U10:U19)/2</f>
        <v>5944105</v>
      </c>
    </row>
    <row r="21" spans="1:22" x14ac:dyDescent="0.3">
      <c r="F21" s="153" t="s">
        <v>65</v>
      </c>
      <c r="G21" s="816"/>
      <c r="H21" s="182">
        <v>0</v>
      </c>
      <c r="I21" s="182">
        <v>0</v>
      </c>
      <c r="K21" s="153" t="s">
        <v>65</v>
      </c>
      <c r="L21" s="182">
        <v>0</v>
      </c>
      <c r="N21" s="153" t="s">
        <v>65</v>
      </c>
      <c r="O21" s="182">
        <v>0</v>
      </c>
      <c r="Q21" s="482" t="s">
        <v>65</v>
      </c>
      <c r="R21" s="483">
        <v>0</v>
      </c>
      <c r="T21" s="482" t="s">
        <v>65</v>
      </c>
      <c r="U21" s="483">
        <v>0</v>
      </c>
    </row>
    <row r="22" spans="1:22" x14ac:dyDescent="0.3">
      <c r="F22" s="152" t="s">
        <v>64</v>
      </c>
      <c r="G22" s="817"/>
      <c r="H22" s="182">
        <f>+H20+H21</f>
        <v>21944785.829999998</v>
      </c>
      <c r="I22" s="182">
        <f>+I20+I21</f>
        <v>23063970</v>
      </c>
      <c r="K22" s="152" t="s">
        <v>64</v>
      </c>
      <c r="L22" s="182">
        <f>+L20+L21</f>
        <v>5275524</v>
      </c>
      <c r="N22" s="152" t="s">
        <v>64</v>
      </c>
      <c r="O22" s="182">
        <f>+O20+O21</f>
        <v>668581</v>
      </c>
      <c r="Q22" s="484" t="s">
        <v>64</v>
      </c>
      <c r="R22" s="483">
        <f>+R20+R21</f>
        <v>0</v>
      </c>
      <c r="T22" s="484" t="s">
        <v>64</v>
      </c>
      <c r="U22" s="483">
        <f>+U20+U21</f>
        <v>5944105</v>
      </c>
    </row>
    <row r="23" spans="1:22" ht="26.4" x14ac:dyDescent="0.3">
      <c r="F23" s="152"/>
      <c r="G23" s="817"/>
      <c r="H23" s="182"/>
      <c r="I23" s="182"/>
      <c r="K23" s="152"/>
      <c r="L23" s="182"/>
      <c r="N23" s="152"/>
      <c r="O23" s="182"/>
      <c r="Q23" s="484" t="s">
        <v>1439</v>
      </c>
      <c r="R23" s="483">
        <f>ROUND(R22*0.015,0)</f>
        <v>0</v>
      </c>
      <c r="T23" s="484" t="s">
        <v>1439</v>
      </c>
      <c r="U23" s="483">
        <f>L23+O23+R23</f>
        <v>0</v>
      </c>
    </row>
    <row r="24" spans="1:22" ht="26.4" x14ac:dyDescent="0.3">
      <c r="F24" s="152"/>
      <c r="G24" s="817"/>
      <c r="H24" s="182"/>
      <c r="I24" s="182"/>
      <c r="K24" s="152"/>
      <c r="L24" s="182"/>
      <c r="N24" s="152"/>
      <c r="O24" s="182"/>
      <c r="Q24" s="152" t="s">
        <v>1440</v>
      </c>
      <c r="R24" s="182">
        <f>R22+R23</f>
        <v>0</v>
      </c>
      <c r="S24" s="359">
        <f>R24/$H$20</f>
        <v>0</v>
      </c>
      <c r="T24" s="152" t="s">
        <v>1440</v>
      </c>
      <c r="U24" s="182">
        <f>U22+U23</f>
        <v>5944105</v>
      </c>
      <c r="V24" s="118">
        <f>U24/H20</f>
        <v>0.27086639377787908</v>
      </c>
    </row>
    <row r="25" spans="1:22" x14ac:dyDescent="0.3">
      <c r="F25" s="154" t="s">
        <v>66</v>
      </c>
      <c r="G25" s="818"/>
      <c r="H25" s="182">
        <f>+H22*19%</f>
        <v>4169509.3076999998</v>
      </c>
      <c r="I25" s="182">
        <f>+I22*19%</f>
        <v>4382154.3</v>
      </c>
      <c r="K25" s="154" t="s">
        <v>66</v>
      </c>
      <c r="L25" s="182">
        <f>+L22*19%</f>
        <v>1002349.56</v>
      </c>
      <c r="N25" s="154" t="s">
        <v>66</v>
      </c>
      <c r="O25" s="182">
        <f>+O22*19%</f>
        <v>127030.39</v>
      </c>
      <c r="Q25" s="485" t="s">
        <v>66</v>
      </c>
      <c r="R25" s="483">
        <f>ROUND(R24*0.19,0)</f>
        <v>0</v>
      </c>
      <c r="T25" s="485" t="s">
        <v>66</v>
      </c>
      <c r="U25" s="483">
        <f>ROUND(U24*0.19,0)</f>
        <v>1129380</v>
      </c>
    </row>
    <row r="26" spans="1:22" x14ac:dyDescent="0.3">
      <c r="F26" s="155" t="s">
        <v>69</v>
      </c>
      <c r="G26" s="155"/>
      <c r="H26" s="181">
        <f>+H22+H25</f>
        <v>26114295.137699999</v>
      </c>
      <c r="I26" s="181">
        <f>+I22+I25</f>
        <v>27446124.300000001</v>
      </c>
      <c r="K26" s="155" t="s">
        <v>69</v>
      </c>
      <c r="L26" s="181">
        <f>+L22+L25</f>
        <v>6277873.5600000005</v>
      </c>
      <c r="N26" s="155" t="s">
        <v>69</v>
      </c>
      <c r="O26" s="181">
        <f>+O22+O25</f>
        <v>795611.39</v>
      </c>
      <c r="Q26" s="545" t="s">
        <v>69</v>
      </c>
      <c r="R26" s="481">
        <f>R24+R25</f>
        <v>0</v>
      </c>
      <c r="T26" s="545" t="s">
        <v>69</v>
      </c>
      <c r="U26" s="481">
        <f>U24+U25</f>
        <v>7073485</v>
      </c>
    </row>
    <row r="29" spans="1:22" x14ac:dyDescent="0.3">
      <c r="A29" s="183" t="s">
        <v>67</v>
      </c>
      <c r="B29" s="184"/>
      <c r="C29" s="184"/>
      <c r="D29" s="185" t="s">
        <v>68</v>
      </c>
      <c r="N29" s="186" t="s">
        <v>70</v>
      </c>
      <c r="O29" s="187" t="s">
        <v>71</v>
      </c>
      <c r="P29" s="186" t="s">
        <v>58</v>
      </c>
      <c r="Q29" s="186" t="s">
        <v>70</v>
      </c>
      <c r="R29" s="187" t="s">
        <v>71</v>
      </c>
      <c r="S29" s="186" t="s">
        <v>58</v>
      </c>
    </row>
    <row r="30" spans="1:22" x14ac:dyDescent="0.3">
      <c r="A30" s="183"/>
      <c r="B30" s="184"/>
      <c r="C30" s="184"/>
      <c r="D30" s="185"/>
      <c r="N30" s="69" t="s">
        <v>72</v>
      </c>
      <c r="O30" s="70">
        <f>$L$22</f>
        <v>5275524</v>
      </c>
      <c r="P30" s="71">
        <f>$M$20</f>
        <v>0.24039988546108315</v>
      </c>
      <c r="Q30" s="69" t="s">
        <v>72</v>
      </c>
      <c r="R30" s="70">
        <f>$L$22</f>
        <v>5275524</v>
      </c>
      <c r="S30" s="71">
        <f>$M$20</f>
        <v>0.24039988546108315</v>
      </c>
    </row>
    <row r="31" spans="1:22" x14ac:dyDescent="0.3">
      <c r="A31" s="183"/>
      <c r="B31" s="184"/>
      <c r="C31" s="184"/>
      <c r="D31" s="185"/>
      <c r="N31" s="69" t="s">
        <v>73</v>
      </c>
      <c r="O31" s="70">
        <f>$O$20</f>
        <v>668581</v>
      </c>
      <c r="P31" s="71">
        <f>$P$20</f>
        <v>3.0466508316795912E-2</v>
      </c>
      <c r="Q31" s="69" t="s">
        <v>73</v>
      </c>
      <c r="R31" s="70">
        <f>$O$20</f>
        <v>668581</v>
      </c>
      <c r="S31" s="71">
        <f>$P$20</f>
        <v>3.0466508316795912E-2</v>
      </c>
    </row>
    <row r="32" spans="1:22" x14ac:dyDescent="0.3">
      <c r="A32" s="183"/>
      <c r="B32" s="184"/>
      <c r="C32" s="184"/>
      <c r="D32" s="185"/>
      <c r="N32" s="69"/>
      <c r="O32" s="70"/>
      <c r="P32" s="71"/>
      <c r="Q32" s="69" t="s">
        <v>74</v>
      </c>
      <c r="R32" s="70">
        <f>$R$24</f>
        <v>0</v>
      </c>
      <c r="S32" s="71">
        <f>$S$24</f>
        <v>0</v>
      </c>
    </row>
    <row r="33" spans="1:19" x14ac:dyDescent="0.3">
      <c r="A33" s="183"/>
      <c r="B33" s="184"/>
      <c r="C33" s="184"/>
      <c r="D33" s="185"/>
      <c r="N33" s="72" t="s">
        <v>1</v>
      </c>
      <c r="O33" s="105">
        <f>SUM(O30:O31)</f>
        <v>5944105</v>
      </c>
      <c r="P33" s="73">
        <f>SUM(P30:P31)</f>
        <v>0.27086639377787908</v>
      </c>
      <c r="Q33" s="72" t="s">
        <v>1</v>
      </c>
      <c r="R33" s="105">
        <f>SUM(R30:R32)</f>
        <v>5944105</v>
      </c>
      <c r="S33" s="73">
        <f>SUM(S30:S32)</f>
        <v>0.27086639377787908</v>
      </c>
    </row>
    <row r="34" spans="1:19" x14ac:dyDescent="0.3">
      <c r="A34" s="183"/>
      <c r="B34" s="184"/>
      <c r="C34" s="184"/>
      <c r="D34" s="185"/>
      <c r="N34" s="72" t="s">
        <v>9</v>
      </c>
      <c r="O34" s="1285"/>
      <c r="P34" s="1286"/>
      <c r="Q34" s="72" t="s">
        <v>9</v>
      </c>
      <c r="R34" s="1285"/>
      <c r="S34" s="1286"/>
    </row>
    <row r="35" spans="1:19" x14ac:dyDescent="0.3">
      <c r="A35" s="183"/>
      <c r="B35" s="184"/>
      <c r="C35" s="184"/>
      <c r="D35" s="185"/>
      <c r="N35" s="156" t="s">
        <v>78</v>
      </c>
      <c r="O35" s="1285" t="s">
        <v>202</v>
      </c>
      <c r="P35" s="1286"/>
      <c r="Q35" s="156" t="s">
        <v>78</v>
      </c>
      <c r="R35" s="1285" t="s">
        <v>202</v>
      </c>
      <c r="S35" s="1286"/>
    </row>
    <row r="36" spans="1:19" x14ac:dyDescent="0.3">
      <c r="A36" s="183"/>
      <c r="B36" s="184"/>
      <c r="C36" s="184"/>
      <c r="D36" s="185"/>
      <c r="N36" s="157" t="s">
        <v>8</v>
      </c>
      <c r="O36" s="1287"/>
      <c r="P36" s="1288"/>
      <c r="Q36" s="157" t="s">
        <v>8</v>
      </c>
      <c r="R36" s="1287"/>
      <c r="S36" s="1288"/>
    </row>
    <row r="37" spans="1:19" x14ac:dyDescent="0.3">
      <c r="A37" s="183"/>
      <c r="B37" s="184"/>
      <c r="C37" s="184"/>
      <c r="D37" s="185" t="s">
        <v>75</v>
      </c>
    </row>
    <row r="38" spans="1:19" x14ac:dyDescent="0.3">
      <c r="A38" s="183" t="s">
        <v>76</v>
      </c>
      <c r="B38" s="180"/>
      <c r="C38" s="180"/>
      <c r="D38" s="185" t="s">
        <v>77</v>
      </c>
    </row>
    <row r="39" spans="1:19" x14ac:dyDescent="0.3">
      <c r="A39" s="183" t="s">
        <v>79</v>
      </c>
      <c r="B39" s="180"/>
      <c r="C39" s="180"/>
      <c r="D39" s="185" t="s">
        <v>80</v>
      </c>
    </row>
  </sheetData>
  <sheetProtection formatCells="0" formatColumns="0" formatRows="0" insertColumns="0" insertRows="0" insertHyperlinks="0" deleteColumns="0" deleteRows="0" sort="0" autoFilter="0" pivotTables="0"/>
  <mergeCells count="29">
    <mergeCell ref="A5:V5"/>
    <mergeCell ref="Q11:S12"/>
    <mergeCell ref="R34:S34"/>
    <mergeCell ref="R35:S35"/>
    <mergeCell ref="R36:S36"/>
    <mergeCell ref="B11:J11"/>
    <mergeCell ref="K11:M12"/>
    <mergeCell ref="N11:P12"/>
    <mergeCell ref="T11:V12"/>
    <mergeCell ref="B12:J12"/>
    <mergeCell ref="A6:V6"/>
    <mergeCell ref="A7:V7"/>
    <mergeCell ref="A8:V8"/>
    <mergeCell ref="A9:V9"/>
    <mergeCell ref="A10:V10"/>
    <mergeCell ref="O34:P34"/>
    <mergeCell ref="T1:V1"/>
    <mergeCell ref="T2:V2"/>
    <mergeCell ref="A3:V3"/>
    <mergeCell ref="A4:V4"/>
    <mergeCell ref="C1:S2"/>
    <mergeCell ref="O35:P35"/>
    <mergeCell ref="O36:P36"/>
    <mergeCell ref="A14:A16"/>
    <mergeCell ref="B14:B16"/>
    <mergeCell ref="J14:J16"/>
    <mergeCell ref="A17:A19"/>
    <mergeCell ref="B17:B19"/>
    <mergeCell ref="J17:J19"/>
  </mergeCells>
  <pageMargins left="0.7" right="0.7" top="0.75" bottom="0.75" header="0.3" footer="0.3"/>
  <pageSetup scale="39" orientation="landscape" r:id="rId1"/>
  <drawing r:id="rId2"/>
  <legacyDrawing r:id="rId3"/>
  <legacyDrawingHF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theme="1"/>
  </sheetPr>
  <dimension ref="A1:G49"/>
  <sheetViews>
    <sheetView topLeftCell="A13" zoomScaleNormal="100" workbookViewId="0">
      <selection activeCell="G27" sqref="G2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f>
        <v>Proyecto: CDIM_CBSGSM_R0161, Normalización y Reposición SE VICTORIA, Pendientes Normalización Módulos D1-D2 SE VICTORIA.</v>
      </c>
      <c r="C5" s="1281"/>
      <c r="D5" s="1281"/>
      <c r="E5" s="1281"/>
      <c r="F5" s="1281"/>
      <c r="G5" s="1282"/>
    </row>
    <row r="6" spans="1:7" x14ac:dyDescent="0.25">
      <c r="A6" s="1177"/>
      <c r="B6" s="1177"/>
      <c r="C6" s="1177"/>
      <c r="D6" s="1177"/>
      <c r="E6" s="1177"/>
      <c r="F6" s="1177"/>
      <c r="G6" s="1177"/>
    </row>
    <row r="7" spans="1:7" x14ac:dyDescent="0.25">
      <c r="A7" s="271" t="s">
        <v>0</v>
      </c>
      <c r="B7" s="1264" t="str">
        <f>RESUMEN!B12</f>
        <v>D00234959</v>
      </c>
      <c r="C7" s="1265"/>
      <c r="D7" s="1177"/>
      <c r="E7" s="1266" t="s">
        <v>627</v>
      </c>
      <c r="F7" s="1267"/>
      <c r="G7" s="280" t="str">
        <f>RESUMEN!E12</f>
        <v>17-043</v>
      </c>
    </row>
    <row r="8" spans="1:7" x14ac:dyDescent="0.25">
      <c r="A8" s="271" t="s">
        <v>628</v>
      </c>
      <c r="B8" s="1264">
        <f>RESUMEN!C12</f>
        <v>0</v>
      </c>
      <c r="C8" s="1265"/>
      <c r="D8" s="1177"/>
      <c r="E8" s="1266" t="s">
        <v>629</v>
      </c>
      <c r="F8" s="1267"/>
      <c r="G8" s="280" t="str">
        <f>RESUMEN!U12</f>
        <v>Acta N° 4: Marzo</v>
      </c>
    </row>
    <row r="9" spans="1:7" x14ac:dyDescent="0.25">
      <c r="A9" s="271" t="s">
        <v>630</v>
      </c>
      <c r="B9" s="1283" t="s">
        <v>631</v>
      </c>
      <c r="C9" s="1265"/>
      <c r="D9" s="1177"/>
      <c r="E9" s="1266" t="s">
        <v>632</v>
      </c>
      <c r="F9" s="1267"/>
      <c r="G9" s="1178">
        <f>RESUMEN!H12</f>
        <v>14834147</v>
      </c>
    </row>
    <row r="10" spans="1:7" x14ac:dyDescent="0.25">
      <c r="A10" s="271" t="s">
        <v>633</v>
      </c>
      <c r="B10" s="1283" t="str">
        <f>RESUMEN!D12</f>
        <v xml:space="preserve"> VICTORIA PTES D1 D2</v>
      </c>
      <c r="C10" s="1265"/>
      <c r="D10" s="1177"/>
      <c r="E10" s="1266" t="s">
        <v>634</v>
      </c>
      <c r="F10" s="1267"/>
      <c r="G10" s="1178">
        <f>RESUMEN!R12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 Pendientes Normalización Módulos D1-D2 SE VICTORIA.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f>
        <v>0</v>
      </c>
      <c r="F19" s="1248"/>
      <c r="G19" s="1177"/>
    </row>
    <row r="20" spans="1:7" ht="27" customHeight="1" x14ac:dyDescent="0.25">
      <c r="A20" s="1177"/>
      <c r="B20" s="1244" t="s">
        <v>1498</v>
      </c>
      <c r="C20" s="1245"/>
      <c r="D20" s="1246"/>
      <c r="E20" s="1247">
        <f>RESUMEN!P12</f>
        <v>0</v>
      </c>
      <c r="F20" s="1248"/>
      <c r="G20" s="1177"/>
    </row>
    <row r="21" spans="1:7" ht="27" customHeight="1" x14ac:dyDescent="0.25">
      <c r="A21" s="1177"/>
      <c r="B21" s="1244" t="s">
        <v>1499</v>
      </c>
      <c r="C21" s="1245"/>
      <c r="D21" s="1246"/>
      <c r="E21" s="1247">
        <f>RESUMEN!Q12</f>
        <v>0</v>
      </c>
      <c r="F21" s="1248"/>
      <c r="G21" s="1177"/>
    </row>
    <row r="22" spans="1:7" x14ac:dyDescent="0.25">
      <c r="A22" s="1177"/>
      <c r="B22" s="1254" t="s">
        <v>64</v>
      </c>
      <c r="C22" s="1254"/>
      <c r="D22" s="1254"/>
      <c r="E22" s="1255">
        <f>RESUMEN!R12</f>
        <v>0</v>
      </c>
      <c r="F22" s="1255"/>
      <c r="G22" s="1177"/>
    </row>
    <row r="23" spans="1:7" x14ac:dyDescent="0.25">
      <c r="A23" s="1177"/>
      <c r="B23" s="1256" t="s">
        <v>66</v>
      </c>
      <c r="C23" s="1256"/>
      <c r="D23" s="1256"/>
      <c r="E23" s="1257">
        <f>RESUMEN!S12</f>
        <v>0</v>
      </c>
      <c r="F23" s="1257"/>
      <c r="G23" s="1177"/>
    </row>
    <row r="24" spans="1:7" x14ac:dyDescent="0.25">
      <c r="A24" s="1177"/>
      <c r="B24" s="1258" t="s">
        <v>1</v>
      </c>
      <c r="C24" s="1258"/>
      <c r="D24" s="1258"/>
      <c r="E24" s="1259">
        <f>RESUMEN!T12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+'OT17-043 VICTORIA PTES D1 D2'!T32</f>
        <v>ACTA 1</v>
      </c>
      <c r="C28" s="1253">
        <f>+'OT17-043 VICTORIA PTES D1 D2'!U32</f>
        <v>5118825</v>
      </c>
      <c r="D28" s="1253"/>
      <c r="E28" s="267">
        <f>+'OT17-043 VICTORIA PTES D1 D2'!V32</f>
        <v>0.34507039737438222</v>
      </c>
      <c r="F28" s="1177"/>
      <c r="G28" s="1177"/>
    </row>
    <row r="29" spans="1:7" x14ac:dyDescent="0.25">
      <c r="A29" s="1177"/>
      <c r="B29" s="280" t="str">
        <f>+'OT17-043 VICTORIA PTES D1 D2'!T33</f>
        <v>ACTA 2</v>
      </c>
      <c r="C29" s="1253">
        <f>+'OT17-043 VICTORIA PTES D1 D2'!U33</f>
        <v>8601020</v>
      </c>
      <c r="D29" s="1253"/>
      <c r="E29" s="267">
        <f>+'OT17-043 VICTORIA PTES D1 D2'!V33</f>
        <v>0.5798122399622978</v>
      </c>
      <c r="F29" s="1177"/>
      <c r="G29" s="1177"/>
    </row>
    <row r="30" spans="1:7" x14ac:dyDescent="0.25">
      <c r="A30" s="1177"/>
      <c r="B30" s="280" t="str">
        <f>+'OT17-043 VICTORIA PTES D1 D2'!T34</f>
        <v>ACTA 3</v>
      </c>
      <c r="C30" s="1253">
        <f>+'OT17-043 VICTORIA PTES D1 D2'!U34</f>
        <v>832089</v>
      </c>
      <c r="D30" s="1253"/>
      <c r="E30" s="267">
        <f>+'OT17-043 VICTORIA PTES D1 D2'!V34</f>
        <v>5.6092810729191235E-2</v>
      </c>
      <c r="F30" s="1177"/>
      <c r="G30" s="1177"/>
    </row>
    <row r="31" spans="1:7" x14ac:dyDescent="0.25">
      <c r="A31" s="1177"/>
      <c r="B31" s="280" t="str">
        <f>+'OT17-043 VICTORIA PTES D1 D2'!T35</f>
        <v>ACTA 4</v>
      </c>
      <c r="C31" s="1253">
        <f>+'OT17-043 VICTORIA PTES D1 D2'!U35</f>
        <v>0</v>
      </c>
      <c r="D31" s="1253"/>
      <c r="E31" s="267">
        <f>+'OT17-043 VICTORIA PTES D1 D2'!V35</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14551934</v>
      </c>
      <c r="D34" s="1251"/>
      <c r="E34" s="264">
        <f>SUM(E28:E33)</f>
        <v>0.98097544806587134</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A36:G36"/>
    <mergeCell ref="B21:D21"/>
    <mergeCell ref="E21:F21"/>
    <mergeCell ref="B22:D22"/>
    <mergeCell ref="E22:F22"/>
    <mergeCell ref="B23:D23"/>
    <mergeCell ref="E23:F23"/>
    <mergeCell ref="C30:D30"/>
    <mergeCell ref="C31:D31"/>
    <mergeCell ref="C32:D32"/>
    <mergeCell ref="C33:D33"/>
    <mergeCell ref="C34:D34"/>
    <mergeCell ref="B24:D24"/>
    <mergeCell ref="E24:F24"/>
    <mergeCell ref="C27:D27"/>
    <mergeCell ref="C28:D28"/>
    <mergeCell ref="C29:D29"/>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5"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Y42"/>
  <sheetViews>
    <sheetView zoomScale="70" zoomScaleNormal="70" workbookViewId="0">
      <selection activeCell="A13" sqref="A13"/>
    </sheetView>
  </sheetViews>
  <sheetFormatPr baseColWidth="10" defaultColWidth="11.44140625" defaultRowHeight="14.4" x14ac:dyDescent="0.3"/>
  <cols>
    <col min="1" max="1" width="17" style="189" customWidth="1"/>
    <col min="2" max="2" width="24.33203125" style="189" customWidth="1"/>
    <col min="3" max="3" width="33.88671875" style="189" customWidth="1"/>
    <col min="4" max="4" width="23.44140625" style="189" customWidth="1"/>
    <col min="5" max="5" width="12.5546875" style="189" bestFit="1" customWidth="1"/>
    <col min="6" max="6" width="17.88671875" style="189" customWidth="1"/>
    <col min="7" max="7" width="17.88671875" style="796" customWidth="1"/>
    <col min="8" max="8" width="17.5546875" style="189" customWidth="1"/>
    <col min="9" max="9" width="17.5546875" style="796" customWidth="1"/>
    <col min="10" max="10" width="19.44140625" style="189" bestFit="1"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2.33203125" style="189" hidden="1" customWidth="1"/>
    <col min="17" max="17" width="17.88671875" style="189" customWidth="1"/>
    <col min="18" max="18" width="18.33203125" style="189" bestFit="1" customWidth="1"/>
    <col min="19" max="19" width="12.33203125" style="189" customWidth="1"/>
    <col min="20" max="20" width="19.21875" style="1055" customWidth="1"/>
    <col min="21" max="21" width="20.109375" style="1055" customWidth="1"/>
    <col min="22" max="22" width="12.33203125" style="1055" customWidth="1"/>
    <col min="23" max="23" width="17.88671875" style="189" bestFit="1" customWidth="1"/>
    <col min="24" max="24" width="16.88671875" style="189" bestFit="1" customWidth="1"/>
    <col min="25" max="25" width="12" style="189" bestFit="1" customWidth="1"/>
    <col min="26" max="16384" width="11.44140625" style="189"/>
  </cols>
  <sheetData>
    <row r="1" spans="1:25" s="302" customFormat="1" ht="15" thickBot="1" x14ac:dyDescent="0.35">
      <c r="A1" s="169"/>
      <c r="B1" s="188"/>
      <c r="C1" s="1307" t="s">
        <v>40</v>
      </c>
      <c r="D1" s="1308"/>
      <c r="E1" s="1308"/>
      <c r="F1" s="1308"/>
      <c r="G1" s="1308"/>
      <c r="H1" s="1308"/>
      <c r="I1" s="1308"/>
      <c r="J1" s="1308"/>
      <c r="K1" s="1308"/>
      <c r="L1" s="1308"/>
      <c r="M1" s="1308"/>
      <c r="N1" s="1308"/>
      <c r="O1" s="1308"/>
      <c r="P1" s="1308"/>
      <c r="Q1" s="1308"/>
      <c r="R1" s="1308"/>
      <c r="S1" s="1309"/>
      <c r="T1" s="1052"/>
      <c r="U1" s="1052"/>
      <c r="V1" s="1052"/>
      <c r="W1" s="1303" t="s">
        <v>866</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053"/>
      <c r="U2" s="1053"/>
      <c r="V2" s="1053"/>
      <c r="W2" s="1305"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x14ac:dyDescent="0.3">
      <c r="A7" s="1291" t="s">
        <v>867</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868</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54"/>
      <c r="B11" s="1318"/>
      <c r="C11" s="1320"/>
      <c r="D11" s="1320"/>
      <c r="E11" s="1320"/>
      <c r="F11" s="1320"/>
      <c r="G11" s="1320"/>
      <c r="H11" s="1320"/>
      <c r="I11" s="1320"/>
      <c r="J11" s="1320"/>
      <c r="K11" s="1293" t="s">
        <v>46</v>
      </c>
      <c r="L11" s="1294"/>
      <c r="M11" s="1295"/>
      <c r="N11" s="1293" t="s">
        <v>353</v>
      </c>
      <c r="O11" s="1294"/>
      <c r="P11" s="1295"/>
      <c r="Q11" s="1293" t="s">
        <v>2088</v>
      </c>
      <c r="R11" s="1294"/>
      <c r="S11" s="1295"/>
      <c r="T11" s="1293" t="s">
        <v>2319</v>
      </c>
      <c r="U11" s="1294"/>
      <c r="V11" s="1295"/>
      <c r="W11" s="1299" t="s">
        <v>49</v>
      </c>
      <c r="X11" s="1299"/>
      <c r="Y11" s="1299"/>
    </row>
    <row r="12" spans="1:25" s="302" customFormat="1"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09" t="s">
        <v>54</v>
      </c>
      <c r="L13" s="210" t="s">
        <v>55</v>
      </c>
      <c r="M13" s="209" t="s">
        <v>58</v>
      </c>
      <c r="N13" s="209" t="s">
        <v>54</v>
      </c>
      <c r="O13" s="210" t="s">
        <v>55</v>
      </c>
      <c r="P13" s="209" t="s">
        <v>58</v>
      </c>
      <c r="Q13" s="209" t="s">
        <v>54</v>
      </c>
      <c r="R13" s="210" t="s">
        <v>2007</v>
      </c>
      <c r="S13" s="209" t="s">
        <v>58</v>
      </c>
      <c r="T13" s="209" t="s">
        <v>54</v>
      </c>
      <c r="U13" s="210" t="s">
        <v>2007</v>
      </c>
      <c r="V13" s="209" t="s">
        <v>58</v>
      </c>
      <c r="W13" s="209" t="s">
        <v>54</v>
      </c>
      <c r="X13" s="210" t="s">
        <v>2017</v>
      </c>
      <c r="Y13" s="209" t="s">
        <v>58</v>
      </c>
    </row>
    <row r="14" spans="1:25" ht="28.8" x14ac:dyDescent="0.3">
      <c r="A14" s="1314" t="s">
        <v>109</v>
      </c>
      <c r="B14" s="1314" t="s">
        <v>216</v>
      </c>
      <c r="C14" s="355" t="s">
        <v>81</v>
      </c>
      <c r="D14" s="355" t="s">
        <v>82</v>
      </c>
      <c r="E14" s="355">
        <v>1</v>
      </c>
      <c r="F14" s="192">
        <v>1880385</v>
      </c>
      <c r="G14" s="32">
        <f>+ROUND(F14*1.051,0)</f>
        <v>1976285</v>
      </c>
      <c r="H14" s="192">
        <f>ROUND((E14*F14),0)</f>
        <v>1880385</v>
      </c>
      <c r="I14" s="32">
        <f>+ROUND(G14*E14,0)</f>
        <v>1976285</v>
      </c>
      <c r="J14" s="1314"/>
      <c r="K14" s="149">
        <v>0</v>
      </c>
      <c r="L14" s="175">
        <f>ROUND(K14*F14,0)</f>
        <v>0</v>
      </c>
      <c r="M14" s="176">
        <f t="shared" ref="M14:M20" si="0">L14/H14</f>
        <v>0</v>
      </c>
      <c r="N14" s="303">
        <v>1</v>
      </c>
      <c r="O14" s="304">
        <f>ROUND(N14*$F$14,0)</f>
        <v>1880385</v>
      </c>
      <c r="P14" s="305">
        <f>O14/$H$14</f>
        <v>1</v>
      </c>
      <c r="Q14" s="158">
        <v>0</v>
      </c>
      <c r="R14" s="194">
        <f>ROUND(Q14*$G$14,0)</f>
        <v>0</v>
      </c>
      <c r="S14" s="195">
        <f>R14/H14</f>
        <v>0</v>
      </c>
      <c r="T14" s="432">
        <v>0</v>
      </c>
      <c r="U14" s="425">
        <f>ROUND(T14*$G$14,0)</f>
        <v>0</v>
      </c>
      <c r="V14" s="426">
        <f>U14/I14</f>
        <v>0</v>
      </c>
      <c r="W14" s="149">
        <f>K14+N14+Q14+T14</f>
        <v>1</v>
      </c>
      <c r="X14" s="175">
        <f>L14+O14+R14+U14</f>
        <v>1880385</v>
      </c>
      <c r="Y14" s="176">
        <f>X14/H14</f>
        <v>1</v>
      </c>
    </row>
    <row r="15" spans="1:25" ht="28.8" x14ac:dyDescent="0.3">
      <c r="A15" s="1314"/>
      <c r="B15" s="1314"/>
      <c r="C15" s="355" t="s">
        <v>83</v>
      </c>
      <c r="D15" s="355" t="s">
        <v>84</v>
      </c>
      <c r="E15" s="355">
        <v>1</v>
      </c>
      <c r="F15" s="192">
        <v>1845563</v>
      </c>
      <c r="G15" s="32">
        <f t="shared" ref="G15:G19" si="1">+ROUND(F15*1.051,0)</f>
        <v>1939687</v>
      </c>
      <c r="H15" s="192">
        <f>ROUND((E15*F15),0)</f>
        <v>1845563</v>
      </c>
      <c r="I15" s="32">
        <f t="shared" ref="I15:I19" si="2">+ROUND(G15*E15,0)</f>
        <v>1939687</v>
      </c>
      <c r="J15" s="1314"/>
      <c r="K15" s="149">
        <v>0</v>
      </c>
      <c r="L15" s="175">
        <f>ROUND(K15*F15,0)</f>
        <v>0</v>
      </c>
      <c r="M15" s="176">
        <f t="shared" si="0"/>
        <v>0</v>
      </c>
      <c r="N15" s="303">
        <v>1</v>
      </c>
      <c r="O15" s="304">
        <f>ROUND(N15*$F$15,0)</f>
        <v>1845563</v>
      </c>
      <c r="P15" s="305">
        <f>O15/$H$15</f>
        <v>1</v>
      </c>
      <c r="Q15" s="158">
        <v>0</v>
      </c>
      <c r="R15" s="425">
        <f t="shared" ref="R15:R19" si="3">ROUND(Q15*$G$14,0)</f>
        <v>0</v>
      </c>
      <c r="S15" s="426">
        <f>R15/H15</f>
        <v>0</v>
      </c>
      <c r="T15" s="432">
        <v>0</v>
      </c>
      <c r="U15" s="425">
        <f>ROUND(T15*$G$14,0)</f>
        <v>0</v>
      </c>
      <c r="V15" s="426">
        <f t="shared" ref="V15:V16" si="4">U15/I15</f>
        <v>0</v>
      </c>
      <c r="W15" s="149">
        <f>K15+N15+Q15+T15</f>
        <v>1</v>
      </c>
      <c r="X15" s="175">
        <f>L15+O15+R15+U15</f>
        <v>1845563</v>
      </c>
      <c r="Y15" s="176">
        <f t="shared" ref="Y15:Y17" si="5">X15/H15</f>
        <v>1</v>
      </c>
    </row>
    <row r="16" spans="1:25" ht="28.8" x14ac:dyDescent="0.3">
      <c r="A16" s="1314"/>
      <c r="B16" s="1314"/>
      <c r="C16" s="355" t="s">
        <v>61</v>
      </c>
      <c r="D16" s="355" t="s">
        <v>85</v>
      </c>
      <c r="E16" s="355">
        <v>1</v>
      </c>
      <c r="F16" s="192">
        <v>7312607</v>
      </c>
      <c r="G16" s="32">
        <f t="shared" si="1"/>
        <v>7685550</v>
      </c>
      <c r="H16" s="192">
        <f>ROUND((E16*F16),0)</f>
        <v>7312607</v>
      </c>
      <c r="I16" s="32">
        <f t="shared" si="2"/>
        <v>7685550</v>
      </c>
      <c r="J16" s="1314"/>
      <c r="K16" s="303">
        <v>0.7</v>
      </c>
      <c r="L16" s="304">
        <f>ROUND(K16*F16,0)</f>
        <v>5118825</v>
      </c>
      <c r="M16" s="305">
        <f>L16/H16</f>
        <v>0.70000001367501352</v>
      </c>
      <c r="N16" s="303">
        <v>0.3</v>
      </c>
      <c r="O16" s="304">
        <f>ROUND(N16*$F$16,0)</f>
        <v>2193782</v>
      </c>
      <c r="P16" s="305">
        <f>O16/$H$16</f>
        <v>0.29999998632498642</v>
      </c>
      <c r="Q16" s="158">
        <v>0</v>
      </c>
      <c r="R16" s="425">
        <f t="shared" si="3"/>
        <v>0</v>
      </c>
      <c r="S16" s="426">
        <f>R16/H16</f>
        <v>0</v>
      </c>
      <c r="T16" s="432">
        <v>0</v>
      </c>
      <c r="U16" s="425">
        <f t="shared" ref="U16" si="6">ROUND(T16*$G$14,0)</f>
        <v>0</v>
      </c>
      <c r="V16" s="426">
        <f t="shared" si="4"/>
        <v>0</v>
      </c>
      <c r="W16" s="149">
        <f>K16+N16+Q16+T16</f>
        <v>1</v>
      </c>
      <c r="X16" s="175">
        <f t="shared" ref="X16" si="7">L16+O16+R16+U16</f>
        <v>7312607</v>
      </c>
      <c r="Y16" s="176">
        <f t="shared" si="5"/>
        <v>1</v>
      </c>
    </row>
    <row r="17" spans="1:25" x14ac:dyDescent="0.3">
      <c r="A17" s="1314"/>
      <c r="B17" s="1314"/>
      <c r="C17" s="196"/>
      <c r="D17" s="196" t="s">
        <v>86</v>
      </c>
      <c r="E17" s="198"/>
      <c r="F17" s="198"/>
      <c r="G17" s="198"/>
      <c r="H17" s="199">
        <f>SUM(H14:H16)</f>
        <v>11038555</v>
      </c>
      <c r="I17" s="199">
        <f>SUM(I14:I16)</f>
        <v>11601522</v>
      </c>
      <c r="J17" s="1314"/>
      <c r="K17" s="306"/>
      <c r="L17" s="307">
        <f>SUM(L14:L16)</f>
        <v>5118825</v>
      </c>
      <c r="M17" s="308">
        <f>L17/H17</f>
        <v>0.46372238032967178</v>
      </c>
      <c r="N17" s="306"/>
      <c r="O17" s="307">
        <f>SUM(O14:O16)</f>
        <v>5919730</v>
      </c>
      <c r="P17" s="308">
        <f>O17/$H$17</f>
        <v>0.53627761967032828</v>
      </c>
      <c r="Q17" s="306"/>
      <c r="R17" s="307">
        <f>SUM(R14:R16)</f>
        <v>0</v>
      </c>
      <c r="S17" s="308">
        <f>R17/$H$17</f>
        <v>0</v>
      </c>
      <c r="T17" s="428"/>
      <c r="U17" s="307">
        <f>SUM(U14:U16)</f>
        <v>0</v>
      </c>
      <c r="V17" s="431">
        <f>U17/$H$17</f>
        <v>0</v>
      </c>
      <c r="W17" s="306"/>
      <c r="X17" s="307">
        <f>L17+O17+R17+U17</f>
        <v>11038555</v>
      </c>
      <c r="Y17" s="308">
        <f t="shared" si="5"/>
        <v>1</v>
      </c>
    </row>
    <row r="18" spans="1:25" ht="28.8" x14ac:dyDescent="0.3">
      <c r="A18" s="1314" t="s">
        <v>109</v>
      </c>
      <c r="B18" s="1314" t="s">
        <v>869</v>
      </c>
      <c r="C18" s="355" t="s">
        <v>83</v>
      </c>
      <c r="D18" s="355" t="s">
        <v>870</v>
      </c>
      <c r="E18" s="355">
        <v>1</v>
      </c>
      <c r="F18" s="192">
        <v>1114302</v>
      </c>
      <c r="G18" s="32">
        <f t="shared" si="1"/>
        <v>1171131</v>
      </c>
      <c r="H18" s="192">
        <f>ROUND((E18*F18),0)</f>
        <v>1114302</v>
      </c>
      <c r="I18" s="32">
        <f t="shared" si="2"/>
        <v>1171131</v>
      </c>
      <c r="J18" s="1314"/>
      <c r="K18" s="149">
        <v>0</v>
      </c>
      <c r="L18" s="175">
        <f>ROUND(K18*F18,0)</f>
        <v>0</v>
      </c>
      <c r="M18" s="176">
        <f t="shared" si="0"/>
        <v>0</v>
      </c>
      <c r="N18" s="158">
        <v>0</v>
      </c>
      <c r="O18" s="194">
        <f>ROUND(N18*$F$18,0)</f>
        <v>0</v>
      </c>
      <c r="P18" s="195">
        <f>O18/$H$18</f>
        <v>0</v>
      </c>
      <c r="Q18" s="433">
        <v>0.7</v>
      </c>
      <c r="R18" s="429">
        <f>ROUND(Q18*$G$18,0)</f>
        <v>819792</v>
      </c>
      <c r="S18" s="430">
        <f>R18/H18</f>
        <v>0.73570001669206375</v>
      </c>
      <c r="T18" s="432">
        <v>0</v>
      </c>
      <c r="U18" s="425">
        <f>ROUND(T18*$G$18,0)</f>
        <v>0</v>
      </c>
      <c r="V18" s="426">
        <f>U18/I18</f>
        <v>0</v>
      </c>
      <c r="W18" s="149">
        <f>K18+N18+Q18+T18</f>
        <v>0.7</v>
      </c>
      <c r="X18" s="175">
        <f>L18+O18+R18+U18</f>
        <v>819792</v>
      </c>
      <c r="Y18" s="176">
        <f>X18/H18</f>
        <v>0.73570001669206375</v>
      </c>
    </row>
    <row r="19" spans="1:25" ht="28.8" x14ac:dyDescent="0.3">
      <c r="A19" s="1314"/>
      <c r="B19" s="1314"/>
      <c r="C19" s="355" t="s">
        <v>61</v>
      </c>
      <c r="D19" s="355" t="s">
        <v>871</v>
      </c>
      <c r="E19" s="355">
        <v>1</v>
      </c>
      <c r="F19" s="192">
        <v>2681290</v>
      </c>
      <c r="G19" s="32">
        <f t="shared" si="1"/>
        <v>2818036</v>
      </c>
      <c r="H19" s="192">
        <f>ROUND((E19*F19),0)</f>
        <v>2681290</v>
      </c>
      <c r="I19" s="32">
        <f t="shared" si="2"/>
        <v>2818036</v>
      </c>
      <c r="J19" s="1314"/>
      <c r="K19" s="149">
        <v>0</v>
      </c>
      <c r="L19" s="175">
        <f>ROUND(K19*F19,0)</f>
        <v>0</v>
      </c>
      <c r="M19" s="176">
        <f t="shared" si="0"/>
        <v>0</v>
      </c>
      <c r="N19" s="303">
        <v>1</v>
      </c>
      <c r="O19" s="304">
        <f>ROUND(N19*$F$19,0)</f>
        <v>2681290</v>
      </c>
      <c r="P19" s="305">
        <f>O19/$H$19</f>
        <v>1</v>
      </c>
      <c r="Q19" s="158">
        <v>0</v>
      </c>
      <c r="R19" s="425">
        <f t="shared" si="3"/>
        <v>0</v>
      </c>
      <c r="S19" s="426">
        <f>R19/H19</f>
        <v>0</v>
      </c>
      <c r="T19" s="432">
        <v>0</v>
      </c>
      <c r="U19" s="425">
        <f t="shared" ref="U19" si="8">ROUND(T19*$G$14,0)</f>
        <v>0</v>
      </c>
      <c r="V19" s="426">
        <f>U19/I19</f>
        <v>0</v>
      </c>
      <c r="W19" s="149">
        <f>K19+N19+Q19+T19</f>
        <v>1</v>
      </c>
      <c r="X19" s="175">
        <f>L19+O19+R19+U19</f>
        <v>2681290</v>
      </c>
      <c r="Y19" s="176">
        <f>X19/H19</f>
        <v>1</v>
      </c>
    </row>
    <row r="20" spans="1:25" x14ac:dyDescent="0.3">
      <c r="A20" s="1314"/>
      <c r="B20" s="1314"/>
      <c r="C20" s="196"/>
      <c r="D20" s="196" t="s">
        <v>872</v>
      </c>
      <c r="E20" s="198"/>
      <c r="F20" s="198"/>
      <c r="G20" s="198"/>
      <c r="H20" s="199">
        <f>SUM(H18:H19)</f>
        <v>3795592</v>
      </c>
      <c r="I20" s="199">
        <f>SUM(I18:I19)</f>
        <v>3989167</v>
      </c>
      <c r="J20" s="1314"/>
      <c r="K20" s="306"/>
      <c r="L20" s="307">
        <f>SUM(L18:L19)</f>
        <v>0</v>
      </c>
      <c r="M20" s="308">
        <f t="shared" si="0"/>
        <v>0</v>
      </c>
      <c r="N20" s="306"/>
      <c r="O20" s="307">
        <f>SUM(O18:O19)</f>
        <v>2681290</v>
      </c>
      <c r="P20" s="308">
        <f>O20/$H$20</f>
        <v>0.70642208119313143</v>
      </c>
      <c r="Q20" s="306"/>
      <c r="R20" s="307">
        <f>SUM(R18:R19)</f>
        <v>819792</v>
      </c>
      <c r="S20" s="308">
        <f>R20/$H$20</f>
        <v>0.21598527976663456</v>
      </c>
      <c r="T20" s="428"/>
      <c r="U20" s="307">
        <f>SUM(U18:U19)</f>
        <v>0</v>
      </c>
      <c r="V20" s="431">
        <f>U20/$H$20</f>
        <v>0</v>
      </c>
      <c r="W20" s="306"/>
      <c r="X20" s="307">
        <f>L20+O20+R20+U20</f>
        <v>3501082</v>
      </c>
      <c r="Y20" s="308">
        <f>X20/H20</f>
        <v>0.92240736095976594</v>
      </c>
    </row>
    <row r="21" spans="1:25" x14ac:dyDescent="0.3">
      <c r="F21" s="151" t="s">
        <v>64</v>
      </c>
      <c r="G21" s="151"/>
      <c r="H21" s="181">
        <f>SUM(H3:H20)/2</f>
        <v>14834147</v>
      </c>
      <c r="I21" s="181">
        <f>SUM(I14:I20)/2</f>
        <v>15590689</v>
      </c>
      <c r="K21" s="151" t="s">
        <v>64</v>
      </c>
      <c r="L21" s="181">
        <f>SUM(L3:L20)/2</f>
        <v>5118825</v>
      </c>
      <c r="M21" s="118">
        <f>L21/H21</f>
        <v>0.34507039737438222</v>
      </c>
      <c r="N21" s="151" t="s">
        <v>64</v>
      </c>
      <c r="O21" s="181">
        <f>SUM(O3:O20)/2</f>
        <v>8601020</v>
      </c>
      <c r="P21" s="118">
        <f>O21/$H$21</f>
        <v>0.5798122399622978</v>
      </c>
      <c r="Q21" s="480" t="s">
        <v>64</v>
      </c>
      <c r="R21" s="481">
        <f>SUM(R3:R20)/2</f>
        <v>819792</v>
      </c>
      <c r="T21" s="480" t="s">
        <v>64</v>
      </c>
      <c r="U21" s="481">
        <f>SUM(U14:U20)/2</f>
        <v>0</v>
      </c>
      <c r="W21" s="480" t="s">
        <v>64</v>
      </c>
      <c r="X21" s="481">
        <f>SUM(X14:X20)/2</f>
        <v>14539637</v>
      </c>
    </row>
    <row r="22" spans="1:25" x14ac:dyDescent="0.3">
      <c r="F22" s="153" t="s">
        <v>65</v>
      </c>
      <c r="G22" s="816"/>
      <c r="H22" s="182">
        <v>0</v>
      </c>
      <c r="I22" s="182">
        <v>0</v>
      </c>
      <c r="K22" s="153" t="s">
        <v>65</v>
      </c>
      <c r="L22" s="182">
        <v>0</v>
      </c>
      <c r="M22" s="302"/>
      <c r="N22" s="153" t="s">
        <v>65</v>
      </c>
      <c r="O22" s="182">
        <v>0</v>
      </c>
      <c r="P22" s="302"/>
      <c r="Q22" s="482" t="s">
        <v>65</v>
      </c>
      <c r="R22" s="483">
        <v>0</v>
      </c>
      <c r="S22" s="302"/>
      <c r="T22" s="482" t="s">
        <v>65</v>
      </c>
      <c r="U22" s="483">
        <v>0</v>
      </c>
      <c r="V22" s="1054"/>
      <c r="W22" s="482" t="s">
        <v>65</v>
      </c>
      <c r="X22" s="483">
        <v>0</v>
      </c>
      <c r="Y22" s="302"/>
    </row>
    <row r="23" spans="1:25" x14ac:dyDescent="0.3">
      <c r="F23" s="152" t="s">
        <v>64</v>
      </c>
      <c r="G23" s="817"/>
      <c r="H23" s="182">
        <f>+H21+H22</f>
        <v>14834147</v>
      </c>
      <c r="I23" s="182">
        <f>+I21+I22</f>
        <v>15590689</v>
      </c>
      <c r="K23" s="152" t="s">
        <v>64</v>
      </c>
      <c r="L23" s="182">
        <f>+L21+L22</f>
        <v>5118825</v>
      </c>
      <c r="M23" s="302"/>
      <c r="N23" s="152" t="s">
        <v>64</v>
      </c>
      <c r="O23" s="182">
        <f>+O21+O22</f>
        <v>8601020</v>
      </c>
      <c r="P23" s="302"/>
      <c r="Q23" s="484" t="s">
        <v>64</v>
      </c>
      <c r="R23" s="483">
        <f>+R21+R22</f>
        <v>819792</v>
      </c>
      <c r="S23" s="302"/>
      <c r="T23" s="484" t="s">
        <v>64</v>
      </c>
      <c r="U23" s="483">
        <f>+U21+U22</f>
        <v>0</v>
      </c>
      <c r="V23" s="1054"/>
      <c r="W23" s="484" t="s">
        <v>64</v>
      </c>
      <c r="X23" s="483">
        <f>+X21+X22</f>
        <v>14539637</v>
      </c>
      <c r="Y23" s="302"/>
    </row>
    <row r="24" spans="1:25" ht="26.4" x14ac:dyDescent="0.3">
      <c r="F24" s="152"/>
      <c r="G24" s="817"/>
      <c r="H24" s="182"/>
      <c r="I24" s="182"/>
      <c r="K24" s="152"/>
      <c r="L24" s="182"/>
      <c r="M24" s="302"/>
      <c r="N24" s="152"/>
      <c r="O24" s="182"/>
      <c r="P24" s="302"/>
      <c r="Q24" s="484" t="s">
        <v>1439</v>
      </c>
      <c r="R24" s="483">
        <f>ROUND(R23*0.015,0)</f>
        <v>12297</v>
      </c>
      <c r="S24" s="302"/>
      <c r="T24" s="484" t="s">
        <v>1439</v>
      </c>
      <c r="U24" s="483">
        <f>ROUND(U23*0.015,0)</f>
        <v>0</v>
      </c>
      <c r="V24" s="1054"/>
      <c r="W24" s="484" t="s">
        <v>1439</v>
      </c>
      <c r="X24" s="483">
        <f>L24+O24+R24+U24</f>
        <v>12297</v>
      </c>
      <c r="Y24" s="302"/>
    </row>
    <row r="25" spans="1:25" ht="26.4" x14ac:dyDescent="0.3">
      <c r="F25" s="152"/>
      <c r="G25" s="817"/>
      <c r="H25" s="182"/>
      <c r="I25" s="182"/>
      <c r="K25" s="152"/>
      <c r="L25" s="182"/>
      <c r="M25" s="302"/>
      <c r="N25" s="152"/>
      <c r="O25" s="182"/>
      <c r="P25" s="302"/>
      <c r="Q25" s="152" t="s">
        <v>1440</v>
      </c>
      <c r="R25" s="182">
        <f>R23+R24</f>
        <v>832089</v>
      </c>
      <c r="S25" s="211">
        <f>R25/$H$21</f>
        <v>5.6092810729191235E-2</v>
      </c>
      <c r="T25" s="152" t="s">
        <v>1440</v>
      </c>
      <c r="U25" s="182">
        <f>U23+U24</f>
        <v>0</v>
      </c>
      <c r="V25" s="211">
        <f>U25/$H$21</f>
        <v>0</v>
      </c>
      <c r="W25" s="152" t="s">
        <v>1440</v>
      </c>
      <c r="X25" s="182">
        <f>X23+X24</f>
        <v>14551934</v>
      </c>
      <c r="Y25" s="118">
        <f>X25/H21</f>
        <v>0.98097544806587123</v>
      </c>
    </row>
    <row r="26" spans="1:25" x14ac:dyDescent="0.3">
      <c r="F26" s="154" t="s">
        <v>66</v>
      </c>
      <c r="G26" s="818"/>
      <c r="H26" s="182">
        <f>+H23*19%</f>
        <v>2818487.93</v>
      </c>
      <c r="I26" s="182">
        <f>+I23*19%</f>
        <v>2962230.91</v>
      </c>
      <c r="K26" s="154" t="s">
        <v>66</v>
      </c>
      <c r="L26" s="182">
        <f>+L23*19%</f>
        <v>972576.75</v>
      </c>
      <c r="M26" s="302"/>
      <c r="N26" s="154" t="s">
        <v>66</v>
      </c>
      <c r="O26" s="182">
        <f>+O23*19%</f>
        <v>1634193.8</v>
      </c>
      <c r="P26" s="302"/>
      <c r="Q26" s="485" t="s">
        <v>66</v>
      </c>
      <c r="R26" s="483">
        <f>ROUND(R25*0.19,0)</f>
        <v>158097</v>
      </c>
      <c r="S26" s="302"/>
      <c r="T26" s="485" t="s">
        <v>66</v>
      </c>
      <c r="U26" s="483">
        <f>ROUND(U25*0.19,0)</f>
        <v>0</v>
      </c>
      <c r="V26" s="1054"/>
      <c r="W26" s="485" t="s">
        <v>66</v>
      </c>
      <c r="X26" s="483">
        <f>ROUND(X23*0.19,0)</f>
        <v>2762531</v>
      </c>
      <c r="Y26" s="302"/>
    </row>
    <row r="27" spans="1:25" x14ac:dyDescent="0.3">
      <c r="F27" s="155" t="s">
        <v>69</v>
      </c>
      <c r="G27" s="155"/>
      <c r="H27" s="181">
        <f>+H23+H26</f>
        <v>17652634.93</v>
      </c>
      <c r="I27" s="181">
        <f>+I23+I26</f>
        <v>18552919.91</v>
      </c>
      <c r="K27" s="155" t="s">
        <v>69</v>
      </c>
      <c r="L27" s="181">
        <f>+L23+L26</f>
        <v>6091401.75</v>
      </c>
      <c r="M27" s="302"/>
      <c r="N27" s="155" t="s">
        <v>69</v>
      </c>
      <c r="O27" s="181">
        <f>+O23+O26</f>
        <v>10235213.800000001</v>
      </c>
      <c r="P27" s="302"/>
      <c r="Q27" s="545" t="s">
        <v>69</v>
      </c>
      <c r="R27" s="481">
        <f>R25+R26</f>
        <v>990186</v>
      </c>
      <c r="S27" s="302"/>
      <c r="T27" s="545" t="s">
        <v>69</v>
      </c>
      <c r="U27" s="481">
        <f>U25+U26</f>
        <v>0</v>
      </c>
      <c r="V27" s="1054"/>
      <c r="W27" s="545" t="s">
        <v>69</v>
      </c>
      <c r="X27" s="481">
        <f>X25+X26</f>
        <v>17314465</v>
      </c>
      <c r="Y27" s="302"/>
    </row>
    <row r="31" spans="1:25" s="302" customFormat="1" x14ac:dyDescent="0.3">
      <c r="A31" s="183" t="s">
        <v>67</v>
      </c>
      <c r="B31" s="184"/>
      <c r="C31" s="184"/>
      <c r="D31" s="185" t="s">
        <v>68</v>
      </c>
      <c r="G31" s="795"/>
      <c r="I31" s="795"/>
      <c r="K31" s="186" t="s">
        <v>70</v>
      </c>
      <c r="L31" s="187" t="s">
        <v>71</v>
      </c>
      <c r="M31" s="186" t="s">
        <v>58</v>
      </c>
      <c r="N31" s="186" t="s">
        <v>70</v>
      </c>
      <c r="O31" s="187" t="s">
        <v>71</v>
      </c>
      <c r="P31" s="186" t="s">
        <v>58</v>
      </c>
      <c r="Q31" s="186" t="s">
        <v>70</v>
      </c>
      <c r="R31" s="187" t="s">
        <v>71</v>
      </c>
      <c r="S31" s="186" t="s">
        <v>58</v>
      </c>
      <c r="T31" s="186" t="s">
        <v>70</v>
      </c>
      <c r="U31" s="187" t="s">
        <v>71</v>
      </c>
      <c r="V31" s="186" t="s">
        <v>58</v>
      </c>
      <c r="W31" s="189"/>
      <c r="X31" s="189"/>
      <c r="Y31" s="189"/>
    </row>
    <row r="32" spans="1:25" s="302" customFormat="1" x14ac:dyDescent="0.3">
      <c r="A32" s="183"/>
      <c r="B32" s="184"/>
      <c r="C32" s="184"/>
      <c r="D32" s="185"/>
      <c r="G32" s="795"/>
      <c r="I32" s="795"/>
      <c r="K32" s="69" t="s">
        <v>72</v>
      </c>
      <c r="L32" s="70">
        <f>L21</f>
        <v>5118825</v>
      </c>
      <c r="M32" s="71">
        <f>M21</f>
        <v>0.34507039737438222</v>
      </c>
      <c r="N32" s="69" t="s">
        <v>72</v>
      </c>
      <c r="O32" s="70">
        <f>$L$21</f>
        <v>5118825</v>
      </c>
      <c r="P32" s="360">
        <f>$M$21</f>
        <v>0.34507039737438222</v>
      </c>
      <c r="Q32" s="69" t="s">
        <v>72</v>
      </c>
      <c r="R32" s="70">
        <f>$L$21</f>
        <v>5118825</v>
      </c>
      <c r="S32" s="360">
        <f>$M$21</f>
        <v>0.34507039737438222</v>
      </c>
      <c r="T32" s="69" t="s">
        <v>72</v>
      </c>
      <c r="U32" s="70">
        <f>$L$21</f>
        <v>5118825</v>
      </c>
      <c r="V32" s="360">
        <f>$M$21</f>
        <v>0.34507039737438222</v>
      </c>
      <c r="W32" s="189"/>
      <c r="X32" s="189"/>
      <c r="Y32" s="189"/>
    </row>
    <row r="33" spans="1:25" s="302" customFormat="1" x14ac:dyDescent="0.3">
      <c r="A33" s="183"/>
      <c r="B33" s="184"/>
      <c r="C33" s="184"/>
      <c r="D33" s="185"/>
      <c r="G33" s="795"/>
      <c r="I33" s="795"/>
      <c r="K33" s="69"/>
      <c r="L33" s="70"/>
      <c r="M33" s="71"/>
      <c r="N33" s="69" t="s">
        <v>73</v>
      </c>
      <c r="O33" s="70">
        <f>$O$21</f>
        <v>8601020</v>
      </c>
      <c r="P33" s="360">
        <f>$P$21</f>
        <v>0.5798122399622978</v>
      </c>
      <c r="Q33" s="69" t="s">
        <v>73</v>
      </c>
      <c r="R33" s="70">
        <f>$O$21</f>
        <v>8601020</v>
      </c>
      <c r="S33" s="360">
        <f>$P$21</f>
        <v>0.5798122399622978</v>
      </c>
      <c r="T33" s="69" t="s">
        <v>73</v>
      </c>
      <c r="U33" s="70">
        <f>$O$21</f>
        <v>8601020</v>
      </c>
      <c r="V33" s="360">
        <f>$P$21</f>
        <v>0.5798122399622978</v>
      </c>
      <c r="W33" s="189"/>
      <c r="X33" s="189"/>
      <c r="Y33" s="189"/>
    </row>
    <row r="34" spans="1:25" s="302" customFormat="1" x14ac:dyDescent="0.3">
      <c r="A34" s="183"/>
      <c r="B34" s="184"/>
      <c r="C34" s="184"/>
      <c r="D34" s="185"/>
      <c r="G34" s="795"/>
      <c r="I34" s="795"/>
      <c r="K34" s="69"/>
      <c r="L34" s="70"/>
      <c r="M34" s="71"/>
      <c r="N34" s="69"/>
      <c r="O34" s="70"/>
      <c r="P34" s="360"/>
      <c r="Q34" s="69" t="s">
        <v>74</v>
      </c>
      <c r="R34" s="70">
        <f>$R$25</f>
        <v>832089</v>
      </c>
      <c r="S34" s="360">
        <f>$S$25</f>
        <v>5.6092810729191235E-2</v>
      </c>
      <c r="T34" s="69" t="s">
        <v>74</v>
      </c>
      <c r="U34" s="70">
        <f>$R$25</f>
        <v>832089</v>
      </c>
      <c r="V34" s="360">
        <f>$S$25</f>
        <v>5.6092810729191235E-2</v>
      </c>
      <c r="W34" s="189"/>
      <c r="X34" s="189"/>
      <c r="Y34" s="189"/>
    </row>
    <row r="35" spans="1:25" s="302" customFormat="1" x14ac:dyDescent="0.3">
      <c r="A35" s="183"/>
      <c r="B35" s="184"/>
      <c r="C35" s="184"/>
      <c r="D35" s="185"/>
      <c r="G35" s="795"/>
      <c r="I35" s="795"/>
      <c r="K35" s="72" t="s">
        <v>1</v>
      </c>
      <c r="L35" s="105">
        <f>SUM(L32:L32)</f>
        <v>5118825</v>
      </c>
      <c r="M35" s="73">
        <f>SUM(M32:M32)</f>
        <v>0.34507039737438222</v>
      </c>
      <c r="N35" s="72" t="s">
        <v>1</v>
      </c>
      <c r="O35" s="105">
        <f>SUM(O32:O33)</f>
        <v>13719845</v>
      </c>
      <c r="P35" s="361">
        <f>SUM(P32:P33)</f>
        <v>0.92488263733668008</v>
      </c>
      <c r="Q35" s="1076"/>
      <c r="R35" s="70"/>
      <c r="S35" s="360"/>
      <c r="T35" s="1076" t="s">
        <v>155</v>
      </c>
      <c r="U35" s="70">
        <f>$U$25</f>
        <v>0</v>
      </c>
      <c r="V35" s="360">
        <f>$V$25</f>
        <v>0</v>
      </c>
      <c r="W35" s="189"/>
      <c r="X35" s="189"/>
      <c r="Y35" s="189"/>
    </row>
    <row r="36" spans="1:25" s="302" customFormat="1" x14ac:dyDescent="0.3">
      <c r="A36" s="183"/>
      <c r="B36" s="184"/>
      <c r="C36" s="184"/>
      <c r="D36" s="185"/>
      <c r="G36" s="795"/>
      <c r="I36" s="795"/>
      <c r="K36" s="72" t="s">
        <v>9</v>
      </c>
      <c r="L36" s="1285"/>
      <c r="M36" s="1286"/>
      <c r="N36" s="72" t="s">
        <v>9</v>
      </c>
      <c r="O36" s="1285"/>
      <c r="P36" s="1286"/>
      <c r="Q36" s="72" t="s">
        <v>1</v>
      </c>
      <c r="R36" s="105">
        <f>SUM(R32:R35)</f>
        <v>14551934</v>
      </c>
      <c r="S36" s="361">
        <f>SUM(S32:S35)</f>
        <v>0.98097544806587134</v>
      </c>
      <c r="T36" s="72" t="s">
        <v>1</v>
      </c>
      <c r="U36" s="105">
        <f>SUM(U32:U35)</f>
        <v>14551934</v>
      </c>
      <c r="V36" s="361">
        <f>SUM(V32:V35)</f>
        <v>0.98097544806587134</v>
      </c>
      <c r="W36" s="189"/>
      <c r="X36" s="189"/>
      <c r="Y36" s="189"/>
    </row>
    <row r="37" spans="1:25" s="302" customFormat="1" x14ac:dyDescent="0.3">
      <c r="A37" s="183"/>
      <c r="B37" s="184"/>
      <c r="C37" s="184"/>
      <c r="D37" s="185"/>
      <c r="G37" s="795"/>
      <c r="I37" s="795"/>
      <c r="K37" s="156" t="s">
        <v>78</v>
      </c>
      <c r="L37" s="1285" t="s">
        <v>228</v>
      </c>
      <c r="M37" s="1286"/>
      <c r="N37" s="156" t="s">
        <v>78</v>
      </c>
      <c r="O37" s="1285" t="s">
        <v>228</v>
      </c>
      <c r="P37" s="1286"/>
      <c r="Q37" s="72" t="s">
        <v>9</v>
      </c>
      <c r="R37" s="1285"/>
      <c r="S37" s="1286"/>
      <c r="T37" s="72" t="s">
        <v>9</v>
      </c>
      <c r="U37" s="1285"/>
      <c r="V37" s="1286"/>
      <c r="W37" s="189"/>
      <c r="X37" s="189"/>
      <c r="Y37" s="189"/>
    </row>
    <row r="38" spans="1:25" s="302" customFormat="1" x14ac:dyDescent="0.3">
      <c r="A38" s="183"/>
      <c r="B38" s="184"/>
      <c r="C38" s="184"/>
      <c r="D38" s="185"/>
      <c r="G38" s="795"/>
      <c r="I38" s="795"/>
      <c r="K38" s="157" t="s">
        <v>8</v>
      </c>
      <c r="L38" s="1287"/>
      <c r="M38" s="1288"/>
      <c r="N38" s="157" t="s">
        <v>8</v>
      </c>
      <c r="O38" s="1287"/>
      <c r="P38" s="1288"/>
      <c r="Q38" s="156" t="s">
        <v>78</v>
      </c>
      <c r="R38" s="1285" t="s">
        <v>228</v>
      </c>
      <c r="S38" s="1286"/>
      <c r="T38" s="156" t="s">
        <v>78</v>
      </c>
      <c r="U38" s="1285" t="s">
        <v>228</v>
      </c>
      <c r="V38" s="1286"/>
      <c r="W38" s="189"/>
      <c r="X38" s="189"/>
      <c r="Y38" s="189"/>
    </row>
    <row r="39" spans="1:25" s="302" customFormat="1" x14ac:dyDescent="0.3">
      <c r="A39" s="183"/>
      <c r="B39" s="184"/>
      <c r="C39" s="184"/>
      <c r="D39" s="185" t="s">
        <v>75</v>
      </c>
      <c r="G39" s="795"/>
      <c r="I39" s="795"/>
      <c r="Q39" s="157" t="s">
        <v>8</v>
      </c>
      <c r="R39" s="1287"/>
      <c r="S39" s="1288"/>
      <c r="T39" s="157" t="s">
        <v>8</v>
      </c>
      <c r="U39" s="1287"/>
      <c r="V39" s="1288"/>
    </row>
    <row r="40" spans="1:25" s="302" customFormat="1" x14ac:dyDescent="0.3">
      <c r="A40" s="183" t="s">
        <v>76</v>
      </c>
      <c r="B40" s="180"/>
      <c r="C40" s="180"/>
      <c r="D40" s="185" t="s">
        <v>77</v>
      </c>
      <c r="G40" s="795"/>
      <c r="I40" s="795"/>
      <c r="T40" s="1054"/>
      <c r="U40" s="1054"/>
      <c r="V40" s="1054"/>
    </row>
    <row r="41" spans="1:25" s="302" customFormat="1" ht="26.4" x14ac:dyDescent="0.3">
      <c r="A41" s="183" t="s">
        <v>79</v>
      </c>
      <c r="B41" s="180"/>
      <c r="C41" s="180"/>
      <c r="D41" s="185" t="s">
        <v>80</v>
      </c>
      <c r="G41" s="795"/>
      <c r="I41" s="795"/>
      <c r="T41" s="1054"/>
      <c r="U41" s="1054"/>
      <c r="V41" s="1054"/>
    </row>
    <row r="42" spans="1:25" x14ac:dyDescent="0.3">
      <c r="Q42" s="302"/>
      <c r="R42" s="302"/>
      <c r="S42" s="302"/>
    </row>
  </sheetData>
  <sheetProtection formatCells="0" formatColumns="0" formatRows="0" insertColumns="0" insertRows="0" insertHyperlinks="0" deleteColumns="0" deleteRows="0" sort="0" autoFilter="0" pivotTables="0"/>
  <mergeCells count="36">
    <mergeCell ref="A5:Y5"/>
    <mergeCell ref="C1:S2"/>
    <mergeCell ref="Q11:S12"/>
    <mergeCell ref="R37:S37"/>
    <mergeCell ref="R38:S38"/>
    <mergeCell ref="W1:Y1"/>
    <mergeCell ref="W2:Y2"/>
    <mergeCell ref="A3:Y3"/>
    <mergeCell ref="A4:Y4"/>
    <mergeCell ref="B11:J11"/>
    <mergeCell ref="K11:M12"/>
    <mergeCell ref="N11:P12"/>
    <mergeCell ref="W11:Y12"/>
    <mergeCell ref="B12:J12"/>
    <mergeCell ref="A6:Y6"/>
    <mergeCell ref="A7:Y7"/>
    <mergeCell ref="A8:Y8"/>
    <mergeCell ref="A9:Y9"/>
    <mergeCell ref="A10:Y10"/>
    <mergeCell ref="A14:A17"/>
    <mergeCell ref="B14:B17"/>
    <mergeCell ref="J14:J17"/>
    <mergeCell ref="T11:V12"/>
    <mergeCell ref="A18:A20"/>
    <mergeCell ref="B18:B20"/>
    <mergeCell ref="J18:J20"/>
    <mergeCell ref="L36:M36"/>
    <mergeCell ref="O36:P36"/>
    <mergeCell ref="U37:V37"/>
    <mergeCell ref="U38:V38"/>
    <mergeCell ref="U39:V39"/>
    <mergeCell ref="L37:M37"/>
    <mergeCell ref="O37:P37"/>
    <mergeCell ref="L38:M38"/>
    <mergeCell ref="O38:P38"/>
    <mergeCell ref="R39:S39"/>
  </mergeCells>
  <pageMargins left="0.7" right="0.7" top="0.75" bottom="0.75" header="0.3" footer="0.3"/>
  <pageSetup scale="45" orientation="landscape" r:id="rId1"/>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theme="1"/>
  </sheetPr>
  <dimension ref="A1:G49"/>
  <sheetViews>
    <sheetView topLeftCell="A10" zoomScaleNormal="100" workbookViewId="0">
      <selection activeCell="F31" sqref="F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f>
        <v>Proyecto: CDIM_CBSGSM_R0161, Normalización y Reposición SE VICTORIA, Cambio Protecciones módulos 87B, D3, y R1</v>
      </c>
      <c r="C5" s="1281"/>
      <c r="D5" s="1281"/>
      <c r="E5" s="1281"/>
      <c r="F5" s="1281"/>
      <c r="G5" s="1282"/>
    </row>
    <row r="6" spans="1:7" x14ac:dyDescent="0.25">
      <c r="A6" s="1177"/>
      <c r="B6" s="1177"/>
      <c r="C6" s="1177"/>
      <c r="D6" s="1177"/>
      <c r="E6" s="1177"/>
      <c r="F6" s="1177"/>
      <c r="G6" s="1177"/>
    </row>
    <row r="7" spans="1:7" x14ac:dyDescent="0.25">
      <c r="A7" s="271" t="s">
        <v>0</v>
      </c>
      <c r="B7" s="1264" t="str">
        <f>RESUMEN!B13</f>
        <v>D00234959</v>
      </c>
      <c r="C7" s="1265"/>
      <c r="D7" s="1177"/>
      <c r="E7" s="1266" t="s">
        <v>627</v>
      </c>
      <c r="F7" s="1267"/>
      <c r="G7" s="280" t="str">
        <f>RESUMEN!E13</f>
        <v xml:space="preserve">17-045 </v>
      </c>
    </row>
    <row r="8" spans="1:7" x14ac:dyDescent="0.25">
      <c r="A8" s="271" t="s">
        <v>628</v>
      </c>
      <c r="B8" s="1264">
        <f>RESUMEN!C13</f>
        <v>0</v>
      </c>
      <c r="C8" s="1265"/>
      <c r="D8" s="1177"/>
      <c r="E8" s="1266" t="s">
        <v>629</v>
      </c>
      <c r="F8" s="1267"/>
      <c r="G8" s="280" t="str">
        <f>RESUMEN!U13</f>
        <v>Acta N° 4: Marzo</v>
      </c>
    </row>
    <row r="9" spans="1:7" x14ac:dyDescent="0.25">
      <c r="A9" s="271" t="s">
        <v>630</v>
      </c>
      <c r="B9" s="1283" t="s">
        <v>631</v>
      </c>
      <c r="C9" s="1265"/>
      <c r="D9" s="1177"/>
      <c r="E9" s="1266" t="s">
        <v>632</v>
      </c>
      <c r="F9" s="1267"/>
      <c r="G9" s="1178">
        <f>RESUMEN!H13</f>
        <v>48506960</v>
      </c>
    </row>
    <row r="10" spans="1:7" x14ac:dyDescent="0.25">
      <c r="A10" s="271" t="s">
        <v>633</v>
      </c>
      <c r="B10" s="1283" t="str">
        <f>RESUMEN!D13</f>
        <v>VICTORIA CONT Y PR</v>
      </c>
      <c r="C10" s="1265"/>
      <c r="D10" s="1177"/>
      <c r="E10" s="1266" t="s">
        <v>634</v>
      </c>
      <c r="F10" s="1267"/>
      <c r="G10" s="1178">
        <f>RESUMEN!R13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 Cambio Protecciones módulos 87B, D3, y R1</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f>
        <v>0</v>
      </c>
      <c r="F19" s="1248"/>
      <c r="G19" s="1177"/>
    </row>
    <row r="20" spans="1:7" ht="27" customHeight="1" x14ac:dyDescent="0.25">
      <c r="A20" s="1177"/>
      <c r="B20" s="1244" t="s">
        <v>1498</v>
      </c>
      <c r="C20" s="1245"/>
      <c r="D20" s="1246"/>
      <c r="E20" s="1247">
        <f>RESUMEN!P13</f>
        <v>0</v>
      </c>
      <c r="F20" s="1248"/>
      <c r="G20" s="1177"/>
    </row>
    <row r="21" spans="1:7" ht="27" customHeight="1" x14ac:dyDescent="0.25">
      <c r="A21" s="1177"/>
      <c r="B21" s="1244" t="s">
        <v>1499</v>
      </c>
      <c r="C21" s="1245"/>
      <c r="D21" s="1246"/>
      <c r="E21" s="1247">
        <f>RESUMEN!Q13</f>
        <v>0</v>
      </c>
      <c r="F21" s="1248"/>
      <c r="G21" s="1177"/>
    </row>
    <row r="22" spans="1:7" x14ac:dyDescent="0.25">
      <c r="A22" s="1177"/>
      <c r="B22" s="1254" t="s">
        <v>64</v>
      </c>
      <c r="C22" s="1254"/>
      <c r="D22" s="1254"/>
      <c r="E22" s="1255">
        <f>RESUMEN!R13</f>
        <v>0</v>
      </c>
      <c r="F22" s="1255"/>
      <c r="G22" s="1177"/>
    </row>
    <row r="23" spans="1:7" x14ac:dyDescent="0.25">
      <c r="A23" s="1177"/>
      <c r="B23" s="1256" t="s">
        <v>66</v>
      </c>
      <c r="C23" s="1256"/>
      <c r="D23" s="1256"/>
      <c r="E23" s="1257">
        <f>RESUMEN!S13</f>
        <v>0</v>
      </c>
      <c r="F23" s="1257"/>
      <c r="G23" s="1177"/>
    </row>
    <row r="24" spans="1:7" x14ac:dyDescent="0.25">
      <c r="A24" s="1177"/>
      <c r="B24" s="1258" t="s">
        <v>1</v>
      </c>
      <c r="C24" s="1258"/>
      <c r="D24" s="1258"/>
      <c r="E24" s="1259">
        <f>RESUMEN!T13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+'OT17-045 VICTORIA CONT Y PR'!T35</f>
        <v>ACTA 1</v>
      </c>
      <c r="C28" s="1253">
        <f>+'OT17-045 VICTORIA CONT Y PR'!U35</f>
        <v>29981688.899999999</v>
      </c>
      <c r="D28" s="1253"/>
      <c r="E28" s="267">
        <f>+'OT17-045 VICTORIA CONT Y PR'!V35</f>
        <v>0.61809045341122182</v>
      </c>
      <c r="F28" s="1177"/>
      <c r="G28" s="1177"/>
    </row>
    <row r="29" spans="1:7" x14ac:dyDescent="0.25">
      <c r="A29" s="1177"/>
      <c r="B29" s="280" t="str">
        <f>+'OT17-045 VICTORIA CONT Y PR'!T36</f>
        <v>ACTA 2</v>
      </c>
      <c r="C29" s="1253">
        <f>+'OT17-045 VICTORIA CONT Y PR'!U36</f>
        <v>5275524</v>
      </c>
      <c r="D29" s="1253"/>
      <c r="E29" s="267">
        <f>+'OT17-045 VICTORIA CONT Y PR'!V36</f>
        <v>0.10875808337607634</v>
      </c>
      <c r="F29" s="1177"/>
      <c r="G29" s="1177"/>
    </row>
    <row r="30" spans="1:7" x14ac:dyDescent="0.25">
      <c r="A30" s="1177"/>
      <c r="B30" s="280" t="str">
        <f>+'OT17-045 VICTORIA CONT Y PR'!T37</f>
        <v>ACTA 3</v>
      </c>
      <c r="C30" s="1253">
        <f>+'OT17-045 VICTORIA CONT Y PR'!U37</f>
        <v>9422815</v>
      </c>
      <c r="D30" s="1253"/>
      <c r="E30" s="267">
        <f>+'OT17-045 VICTORIA CONT Y PR'!V37</f>
        <v>0.19425696848452265</v>
      </c>
      <c r="F30" s="1177"/>
      <c r="G30" s="1177"/>
    </row>
    <row r="31" spans="1:7" x14ac:dyDescent="0.25">
      <c r="A31" s="1177"/>
      <c r="B31" s="280" t="str">
        <f>+'OT17-045 VICTORIA CONT Y PR'!T38</f>
        <v>ACTA 4</v>
      </c>
      <c r="C31" s="1253">
        <f>+'OT17-045 VICTORIA CONT Y PR'!U38</f>
        <v>0</v>
      </c>
      <c r="D31" s="1253"/>
      <c r="E31" s="267">
        <f>+'OT17-045 VICTORIA CONT Y PR'!V38</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44680027.899999999</v>
      </c>
      <c r="D34" s="1251"/>
      <c r="E34" s="264">
        <f>SUM(E28:E33)</f>
        <v>0.92110550527182078</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tabColor theme="9" tint="-0.249977111117893"/>
  </sheetPr>
  <dimension ref="A1:AB45"/>
  <sheetViews>
    <sheetView zoomScale="60" zoomScaleNormal="60" zoomScaleSheetLayoutView="85" workbookViewId="0">
      <selection activeCell="A10" sqref="A10:Y10"/>
    </sheetView>
  </sheetViews>
  <sheetFormatPr baseColWidth="10" defaultColWidth="11.44140625" defaultRowHeight="14.4" x14ac:dyDescent="0.3"/>
  <cols>
    <col min="1" max="1" width="17" style="189" customWidth="1"/>
    <col min="2" max="2" width="24.33203125" style="189" customWidth="1"/>
    <col min="3" max="3" width="32.109375" style="189" customWidth="1"/>
    <col min="4" max="4" width="23.44140625" style="189" customWidth="1"/>
    <col min="5" max="5" width="8.6640625" style="189" customWidth="1"/>
    <col min="6" max="6" width="17.88671875" style="189" customWidth="1"/>
    <col min="7" max="7" width="17.88671875" style="796" customWidth="1"/>
    <col min="8" max="8" width="17.33203125" style="189" customWidth="1"/>
    <col min="9" max="9" width="17.33203125" style="796" customWidth="1"/>
    <col min="10" max="10" width="39"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hidden="1" customWidth="1"/>
    <col min="18" max="18" width="18.5546875" style="189" hidden="1" customWidth="1"/>
    <col min="19" max="19" width="11.44140625" style="189" hidden="1" customWidth="1"/>
    <col min="20" max="20" width="17.88671875" style="189" bestFit="1" customWidth="1"/>
    <col min="21" max="21" width="18.5546875" style="189" customWidth="1"/>
    <col min="22" max="22" width="11.44140625" style="189"/>
    <col min="23" max="24" width="17.88671875" style="189" bestFit="1" customWidth="1"/>
    <col min="25" max="16384" width="11.44140625" style="189"/>
  </cols>
  <sheetData>
    <row r="1" spans="1:25" s="148" customFormat="1" ht="57.7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9"/>
      <c r="W1" s="1328" t="s">
        <v>358</v>
      </c>
      <c r="X1" s="1303"/>
      <c r="Y1" s="1304"/>
    </row>
    <row r="2" spans="1:25"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2"/>
      <c r="W2" s="1329" t="s">
        <v>41</v>
      </c>
      <c r="X2" s="1305"/>
      <c r="Y2" s="1306"/>
    </row>
    <row r="3" spans="1:25"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148" customFormat="1" ht="12.75" customHeight="1" x14ac:dyDescent="0.3">
      <c r="A7" s="1291" t="s">
        <v>359</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148"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148" customFormat="1" ht="13.5" customHeight="1" x14ac:dyDescent="0.3">
      <c r="A10" s="1292" t="s">
        <v>360</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148" customFormat="1" ht="13.5" customHeight="1" x14ac:dyDescent="0.3">
      <c r="A11" s="249"/>
      <c r="B11" s="1318"/>
      <c r="C11" s="1320"/>
      <c r="D11" s="1320"/>
      <c r="E11" s="1320"/>
      <c r="F11" s="1320"/>
      <c r="G11" s="1320"/>
      <c r="H11" s="1320"/>
      <c r="I11" s="1320"/>
      <c r="J11" s="1320"/>
      <c r="K11" s="1293" t="s">
        <v>46</v>
      </c>
      <c r="L11" s="1294"/>
      <c r="M11" s="1295"/>
      <c r="N11" s="1293" t="s">
        <v>677</v>
      </c>
      <c r="O11" s="1294"/>
      <c r="P11" s="1295"/>
      <c r="Q11" s="1293" t="s">
        <v>980</v>
      </c>
      <c r="R11" s="1294"/>
      <c r="S11" s="1295"/>
      <c r="T11" s="1293" t="s">
        <v>2319</v>
      </c>
      <c r="U11" s="1294"/>
      <c r="V11" s="1295"/>
      <c r="W11" s="1299" t="s">
        <v>49</v>
      </c>
      <c r="X11" s="1299"/>
      <c r="Y11" s="1299"/>
    </row>
    <row r="12" spans="1:25" s="148" customFormat="1" ht="13.5" customHeight="1" x14ac:dyDescent="0.3">
      <c r="A12" s="171"/>
      <c r="B12" s="1318"/>
      <c r="C12" s="1319"/>
      <c r="D12" s="1319"/>
      <c r="E12" s="1319"/>
      <c r="F12" s="1319"/>
      <c r="G12" s="1319"/>
      <c r="H12" s="1319"/>
      <c r="I12" s="1319"/>
      <c r="J12" s="1319"/>
      <c r="K12" s="1325"/>
      <c r="L12" s="1326"/>
      <c r="M12" s="1327"/>
      <c r="N12" s="1325"/>
      <c r="O12" s="1326"/>
      <c r="P12" s="1327"/>
      <c r="Q12" s="1325"/>
      <c r="R12" s="1326"/>
      <c r="S12" s="1327"/>
      <c r="T12" s="1325"/>
      <c r="U12" s="1326"/>
      <c r="V12" s="1327"/>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09" t="s">
        <v>54</v>
      </c>
      <c r="L13" s="210" t="s">
        <v>55</v>
      </c>
      <c r="M13" s="209" t="s">
        <v>58</v>
      </c>
      <c r="N13" s="209" t="s">
        <v>54</v>
      </c>
      <c r="O13" s="210" t="s">
        <v>55</v>
      </c>
      <c r="P13" s="209" t="s">
        <v>58</v>
      </c>
      <c r="Q13" s="209" t="s">
        <v>54</v>
      </c>
      <c r="R13" s="210" t="s">
        <v>55</v>
      </c>
      <c r="S13" s="209" t="s">
        <v>58</v>
      </c>
      <c r="T13" s="209" t="s">
        <v>54</v>
      </c>
      <c r="U13" s="210" t="s">
        <v>2007</v>
      </c>
      <c r="V13" s="209" t="s">
        <v>58</v>
      </c>
      <c r="W13" s="209" t="s">
        <v>54</v>
      </c>
      <c r="X13" s="210" t="s">
        <v>2017</v>
      </c>
      <c r="Y13" s="209" t="s">
        <v>58</v>
      </c>
    </row>
    <row r="14" spans="1:25" ht="28.8" x14ac:dyDescent="0.3">
      <c r="A14" s="1314" t="s">
        <v>201</v>
      </c>
      <c r="B14" s="1314" t="s">
        <v>190</v>
      </c>
      <c r="C14" s="250" t="s">
        <v>83</v>
      </c>
      <c r="D14" s="250" t="s">
        <v>191</v>
      </c>
      <c r="E14" s="191">
        <v>1</v>
      </c>
      <c r="F14" s="192">
        <v>2228604.2496447708</v>
      </c>
      <c r="G14" s="32">
        <f>+ROUND(F14*1.051,0)</f>
        <v>2342263</v>
      </c>
      <c r="H14" s="192">
        <f>ROUND((E14*F14),0)</f>
        <v>2228604</v>
      </c>
      <c r="I14" s="32">
        <f>+ROUND(G14*E14,0)</f>
        <v>2342263</v>
      </c>
      <c r="J14" s="1314" t="s">
        <v>355</v>
      </c>
      <c r="K14" s="147">
        <v>0.3</v>
      </c>
      <c r="L14" s="167">
        <f>H14*K14</f>
        <v>668581.19999999995</v>
      </c>
      <c r="M14" s="168">
        <v>0.70000008974227812</v>
      </c>
      <c r="N14" s="158">
        <v>0</v>
      </c>
      <c r="O14" s="194">
        <f>ROUND(F14*$N$14,0)</f>
        <v>0</v>
      </c>
      <c r="P14" s="195">
        <f>O14/$H$14</f>
        <v>0</v>
      </c>
      <c r="Q14" s="303">
        <v>0.7</v>
      </c>
      <c r="R14" s="304">
        <f>ROUND(Q14*$F$14,0)</f>
        <v>1560023</v>
      </c>
      <c r="S14" s="305">
        <f>R14/$H$14</f>
        <v>0.70000008974227812</v>
      </c>
      <c r="T14" s="432">
        <v>0</v>
      </c>
      <c r="U14" s="425">
        <f>ROUND(T14*$G$14,0)</f>
        <v>0</v>
      </c>
      <c r="V14" s="426">
        <f>U14/I14</f>
        <v>0</v>
      </c>
      <c r="W14" s="149">
        <f>K14+N14+Q14+T14</f>
        <v>1</v>
      </c>
      <c r="X14" s="175">
        <f>L14+O14+R14+U14</f>
        <v>2228604.2000000002</v>
      </c>
      <c r="Y14" s="176">
        <f>X14/H14</f>
        <v>1.0000000897422783</v>
      </c>
    </row>
    <row r="15" spans="1:25" ht="28.8" x14ac:dyDescent="0.3">
      <c r="A15" s="1314"/>
      <c r="B15" s="1314"/>
      <c r="C15" s="250" t="s">
        <v>61</v>
      </c>
      <c r="D15" s="250" t="s">
        <v>192</v>
      </c>
      <c r="E15" s="191">
        <v>1</v>
      </c>
      <c r="F15" s="192">
        <v>17585079.126775928</v>
      </c>
      <c r="G15" s="32">
        <f>+ROUND(F15*1.051,0)</f>
        <v>18481918</v>
      </c>
      <c r="H15" s="192">
        <f>ROUND((E15*F15),0)</f>
        <v>17585079</v>
      </c>
      <c r="I15" s="32">
        <f>+ROUND(G15*E15,0)</f>
        <v>18481918</v>
      </c>
      <c r="J15" s="1314"/>
      <c r="K15" s="147">
        <v>0.7</v>
      </c>
      <c r="L15" s="167">
        <f>H15*K15</f>
        <v>12309555.299999999</v>
      </c>
      <c r="M15" s="168">
        <v>0.30000001705991769</v>
      </c>
      <c r="N15" s="303">
        <v>0.3</v>
      </c>
      <c r="O15" s="304">
        <f>ROUND(F15*$N$15,0)</f>
        <v>5275524</v>
      </c>
      <c r="P15" s="305">
        <f>O15/$H$15</f>
        <v>0.30000001705991769</v>
      </c>
      <c r="Q15" s="158">
        <v>0</v>
      </c>
      <c r="R15" s="194">
        <f>ROUND(Q15*$F$15,0)</f>
        <v>0</v>
      </c>
      <c r="S15" s="195">
        <f>R15/$H$15</f>
        <v>0</v>
      </c>
      <c r="T15" s="432">
        <v>0</v>
      </c>
      <c r="U15" s="425">
        <f>ROUND(T15*$G$15,0)</f>
        <v>0</v>
      </c>
      <c r="V15" s="426">
        <f>U15/I15</f>
        <v>0</v>
      </c>
      <c r="W15" s="416">
        <f>K15+N15+Q15+T15</f>
        <v>1</v>
      </c>
      <c r="X15" s="175">
        <f>L15+O15+R15+U15</f>
        <v>17585079.299999997</v>
      </c>
      <c r="Y15" s="176">
        <f t="shared" ref="Y15:Y25" si="0">X15/H15</f>
        <v>1.0000000170599175</v>
      </c>
    </row>
    <row r="16" spans="1:25" x14ac:dyDescent="0.3">
      <c r="A16" s="1314"/>
      <c r="B16" s="1314"/>
      <c r="C16" s="196"/>
      <c r="D16" s="196" t="s">
        <v>193</v>
      </c>
      <c r="E16" s="197"/>
      <c r="F16" s="198"/>
      <c r="G16" s="198"/>
      <c r="H16" s="199">
        <f>SUM(H14:H15)</f>
        <v>19813683</v>
      </c>
      <c r="I16" s="199">
        <f>SUM(I14:I15)</f>
        <v>20824181</v>
      </c>
      <c r="J16" s="1314"/>
      <c r="K16" s="150"/>
      <c r="L16" s="177">
        <f>SUM(L14:L15)</f>
        <v>12978136.499999998</v>
      </c>
      <c r="M16" s="178">
        <f>+L16/H16</f>
        <v>0.65500878862349809</v>
      </c>
      <c r="N16" s="150"/>
      <c r="O16" s="177">
        <f>SUM(O14:O15)</f>
        <v>5275524</v>
      </c>
      <c r="P16" s="178">
        <f>+O16/$H$16</f>
        <v>0.26625660660867545</v>
      </c>
      <c r="Q16" s="306"/>
      <c r="R16" s="307">
        <f>SUM(R14:R15)</f>
        <v>1560023</v>
      </c>
      <c r="S16" s="308">
        <f>+R16/$H$16</f>
        <v>7.8734630002912628E-2</v>
      </c>
      <c r="T16" s="428"/>
      <c r="U16" s="307">
        <f>SUM(U14:U15)</f>
        <v>0</v>
      </c>
      <c r="V16" s="431">
        <f>+U16/$H$16</f>
        <v>0</v>
      </c>
      <c r="W16" s="150"/>
      <c r="X16" s="177">
        <f t="shared" ref="X16:X24" si="1">L16+O16+R16+U16</f>
        <v>19813683.5</v>
      </c>
      <c r="Y16" s="178">
        <f t="shared" si="0"/>
        <v>1.0000000252350862</v>
      </c>
    </row>
    <row r="17" spans="1:25" ht="28.8" x14ac:dyDescent="0.3">
      <c r="A17" s="1314" t="s">
        <v>237</v>
      </c>
      <c r="B17" s="1314" t="s">
        <v>222</v>
      </c>
      <c r="C17" s="250" t="s">
        <v>83</v>
      </c>
      <c r="D17" s="250" t="s">
        <v>223</v>
      </c>
      <c r="E17" s="191">
        <v>1</v>
      </c>
      <c r="F17" s="192">
        <v>1915206.1949578647</v>
      </c>
      <c r="G17" s="32">
        <f t="shared" ref="G17:G18" si="2">+ROUND(F17*1.051,0)</f>
        <v>2012882</v>
      </c>
      <c r="H17" s="192">
        <f>ROUND((E17*F17),0)</f>
        <v>1915206</v>
      </c>
      <c r="I17" s="32">
        <f t="shared" ref="I17:I18" si="3">+ROUND(G17*E17,0)</f>
        <v>2012882</v>
      </c>
      <c r="J17" s="1314" t="s">
        <v>356</v>
      </c>
      <c r="K17" s="147">
        <v>0.3</v>
      </c>
      <c r="L17" s="167">
        <f>H17*K17</f>
        <v>574561.79999999993</v>
      </c>
      <c r="M17" s="168">
        <v>0.30000010442740899</v>
      </c>
      <c r="N17" s="158">
        <v>0</v>
      </c>
      <c r="O17" s="194">
        <f>ROUND(F17*$N$17,0)</f>
        <v>0</v>
      </c>
      <c r="P17" s="195">
        <f>O17/$H$17</f>
        <v>0</v>
      </c>
      <c r="Q17" s="303">
        <v>0.7</v>
      </c>
      <c r="R17" s="304">
        <f>ROUND(Q17*$F$17,0)</f>
        <v>1340644</v>
      </c>
      <c r="S17" s="305">
        <f>R17/$H$17</f>
        <v>0.69999989557259112</v>
      </c>
      <c r="T17" s="432">
        <v>0</v>
      </c>
      <c r="U17" s="425">
        <f>ROUND(T17*$G$17,0)</f>
        <v>0</v>
      </c>
      <c r="V17" s="426">
        <f t="shared" ref="V17:V18" si="4">U17/I17</f>
        <v>0</v>
      </c>
      <c r="W17" s="416">
        <f>K17+N17+Q17+T17</f>
        <v>1</v>
      </c>
      <c r="X17" s="175">
        <f t="shared" si="1"/>
        <v>1915205.7999999998</v>
      </c>
      <c r="Y17" s="176">
        <f t="shared" si="0"/>
        <v>0.99999989557259106</v>
      </c>
    </row>
    <row r="18" spans="1:25" ht="28.8" x14ac:dyDescent="0.3">
      <c r="A18" s="1314"/>
      <c r="B18" s="1314"/>
      <c r="C18" s="250" t="s">
        <v>61</v>
      </c>
      <c r="D18" s="250" t="s">
        <v>224</v>
      </c>
      <c r="E18" s="191">
        <v>1</v>
      </c>
      <c r="F18" s="192">
        <v>9123347.6158690564</v>
      </c>
      <c r="G18" s="32">
        <f t="shared" si="2"/>
        <v>9588638</v>
      </c>
      <c r="H18" s="192">
        <f>ROUND((E18*F18),0)</f>
        <v>9123348</v>
      </c>
      <c r="I18" s="32">
        <f t="shared" si="3"/>
        <v>9588638</v>
      </c>
      <c r="J18" s="1314"/>
      <c r="K18" s="147">
        <v>1</v>
      </c>
      <c r="L18" s="167">
        <f>H18*K18</f>
        <v>9123348</v>
      </c>
      <c r="M18" s="168">
        <v>1</v>
      </c>
      <c r="N18" s="158">
        <v>0</v>
      </c>
      <c r="O18" s="194">
        <f>ROUND(F18*$N$18,0)</f>
        <v>0</v>
      </c>
      <c r="P18" s="195">
        <f>O18/$H$18</f>
        <v>0</v>
      </c>
      <c r="Q18" s="158">
        <v>0</v>
      </c>
      <c r="R18" s="194">
        <f>ROUND(Q18*$F$18,0)</f>
        <v>0</v>
      </c>
      <c r="S18" s="195">
        <f>R18/$H$18</f>
        <v>0</v>
      </c>
      <c r="T18" s="432">
        <v>0</v>
      </c>
      <c r="U18" s="425">
        <f>ROUND(T18*$G$18,0)</f>
        <v>0</v>
      </c>
      <c r="V18" s="426">
        <f t="shared" si="4"/>
        <v>0</v>
      </c>
      <c r="W18" s="416">
        <f>K18+N18+Q18+T18</f>
        <v>1</v>
      </c>
      <c r="X18" s="175">
        <f t="shared" si="1"/>
        <v>9123348</v>
      </c>
      <c r="Y18" s="176">
        <f t="shared" si="0"/>
        <v>1</v>
      </c>
    </row>
    <row r="19" spans="1:25" x14ac:dyDescent="0.3">
      <c r="A19" s="1314"/>
      <c r="B19" s="1314"/>
      <c r="C19" s="196"/>
      <c r="D19" s="196" t="s">
        <v>225</v>
      </c>
      <c r="E19" s="197"/>
      <c r="F19" s="198"/>
      <c r="G19" s="198"/>
      <c r="H19" s="199">
        <f>SUM(H17:H18)</f>
        <v>11038554</v>
      </c>
      <c r="I19" s="199">
        <f>SUM(I17:I18)</f>
        <v>11601520</v>
      </c>
      <c r="J19" s="1314"/>
      <c r="K19" s="150"/>
      <c r="L19" s="177">
        <f>SUM(L17:L18)</f>
        <v>9697909.8000000007</v>
      </c>
      <c r="M19" s="178">
        <f>+L19/H19</f>
        <v>0.87854892950652785</v>
      </c>
      <c r="N19" s="150"/>
      <c r="O19" s="177">
        <f>SUM(O17:O18)</f>
        <v>0</v>
      </c>
      <c r="P19" s="178">
        <f>+O19/$H$19</f>
        <v>0</v>
      </c>
      <c r="Q19" s="306"/>
      <c r="R19" s="307">
        <f>SUM(R17:R18)</f>
        <v>1340644</v>
      </c>
      <c r="S19" s="308">
        <f>+R19/$H$19</f>
        <v>0.1214510523751571</v>
      </c>
      <c r="T19" s="428"/>
      <c r="U19" s="307">
        <f>SUM(U17:U18)</f>
        <v>0</v>
      </c>
      <c r="V19" s="431">
        <f>+U19/$H$19</f>
        <v>0</v>
      </c>
      <c r="W19" s="150"/>
      <c r="X19" s="307">
        <f t="shared" si="1"/>
        <v>11038553.800000001</v>
      </c>
      <c r="Y19" s="178">
        <f t="shared" si="0"/>
        <v>0.99999998188168493</v>
      </c>
    </row>
    <row r="20" spans="1:25" ht="28.8" x14ac:dyDescent="0.3">
      <c r="A20" s="1314" t="s">
        <v>200</v>
      </c>
      <c r="B20" s="1314" t="s">
        <v>222</v>
      </c>
      <c r="C20" s="250" t="s">
        <v>83</v>
      </c>
      <c r="D20" s="250" t="s">
        <v>223</v>
      </c>
      <c r="E20" s="191">
        <v>1</v>
      </c>
      <c r="F20" s="192">
        <v>1915206.1949578647</v>
      </c>
      <c r="G20" s="32">
        <f t="shared" ref="G20:G21" si="5">+ROUND(F20*1.051,0)</f>
        <v>2012882</v>
      </c>
      <c r="H20" s="192">
        <f>ROUND((E20*F20),0)</f>
        <v>1915206</v>
      </c>
      <c r="I20" s="32">
        <f t="shared" ref="I20:I21" si="6">+ROUND(G20*E20,0)</f>
        <v>2012882</v>
      </c>
      <c r="J20" s="1314"/>
      <c r="K20" s="147">
        <v>0.3</v>
      </c>
      <c r="L20" s="167">
        <f>H20*K20</f>
        <v>574561.79999999993</v>
      </c>
      <c r="M20" s="168">
        <v>0.30000010442740888</v>
      </c>
      <c r="N20" s="158">
        <v>0</v>
      </c>
      <c r="O20" s="194">
        <f>ROUND(F20*$N$20,0)</f>
        <v>0</v>
      </c>
      <c r="P20" s="195">
        <f>O20/$H$20</f>
        <v>0</v>
      </c>
      <c r="Q20" s="303">
        <v>0.7</v>
      </c>
      <c r="R20" s="304">
        <f>ROUND(Q20*$F$20,0)</f>
        <v>1340644</v>
      </c>
      <c r="S20" s="305">
        <f>R20/$H$20</f>
        <v>0.69999989557259112</v>
      </c>
      <c r="T20" s="432">
        <v>0</v>
      </c>
      <c r="U20" s="425">
        <f>ROUND(T20*$G$20,0)</f>
        <v>0</v>
      </c>
      <c r="V20" s="426">
        <f t="shared" ref="V20:V21" si="7">U20/I20</f>
        <v>0</v>
      </c>
      <c r="W20" s="416">
        <f>K20+N20+Q20+T20</f>
        <v>1</v>
      </c>
      <c r="X20" s="175">
        <f t="shared" si="1"/>
        <v>1915205.7999999998</v>
      </c>
      <c r="Y20" s="176">
        <f t="shared" si="0"/>
        <v>0.99999989557259106</v>
      </c>
    </row>
    <row r="21" spans="1:25" ht="28.8" x14ac:dyDescent="0.3">
      <c r="A21" s="1314"/>
      <c r="B21" s="1314"/>
      <c r="C21" s="250" t="s">
        <v>61</v>
      </c>
      <c r="D21" s="250" t="s">
        <v>224</v>
      </c>
      <c r="E21" s="191">
        <v>1</v>
      </c>
      <c r="F21" s="192">
        <v>9123347.6158690564</v>
      </c>
      <c r="G21" s="32">
        <f t="shared" si="5"/>
        <v>9588638</v>
      </c>
      <c r="H21" s="192">
        <f>ROUND((E21*F21),0)</f>
        <v>9123348</v>
      </c>
      <c r="I21" s="32">
        <f t="shared" si="6"/>
        <v>9588638</v>
      </c>
      <c r="J21" s="1314"/>
      <c r="K21" s="147">
        <v>0.7</v>
      </c>
      <c r="L21" s="167">
        <f>H21*K21</f>
        <v>6386343.5999999996</v>
      </c>
      <c r="M21" s="168">
        <v>0.69999993423466911</v>
      </c>
      <c r="N21" s="158">
        <v>0</v>
      </c>
      <c r="O21" s="194">
        <f>ROUND(F21*$N$21,0)</f>
        <v>0</v>
      </c>
      <c r="P21" s="195">
        <f>O21/$H$21</f>
        <v>0</v>
      </c>
      <c r="Q21" s="303">
        <v>0.3</v>
      </c>
      <c r="R21" s="304">
        <f>ROUND(Q21*$F$21,0)</f>
        <v>2737004</v>
      </c>
      <c r="S21" s="305">
        <f>R21/$H$21</f>
        <v>0.29999995615644609</v>
      </c>
      <c r="T21" s="432">
        <v>0</v>
      </c>
      <c r="U21" s="425">
        <f>ROUND(T21*$G$21,0)</f>
        <v>0</v>
      </c>
      <c r="V21" s="426">
        <f t="shared" si="7"/>
        <v>0</v>
      </c>
      <c r="W21" s="416">
        <f>K21+N21+Q21+T21</f>
        <v>1</v>
      </c>
      <c r="X21" s="175">
        <f t="shared" si="1"/>
        <v>9123347.5999999996</v>
      </c>
      <c r="Y21" s="176">
        <f t="shared" si="0"/>
        <v>0.99999995615644599</v>
      </c>
    </row>
    <row r="22" spans="1:25" x14ac:dyDescent="0.3">
      <c r="A22" s="1314"/>
      <c r="B22" s="1314"/>
      <c r="C22" s="196"/>
      <c r="D22" s="196" t="s">
        <v>225</v>
      </c>
      <c r="E22" s="197"/>
      <c r="F22" s="198"/>
      <c r="G22" s="198"/>
      <c r="H22" s="199">
        <f>SUM(H20:H21)</f>
        <v>11038554</v>
      </c>
      <c r="I22" s="199">
        <f>SUM(I20:I21)</f>
        <v>11601520</v>
      </c>
      <c r="J22" s="1314"/>
      <c r="K22" s="150"/>
      <c r="L22" s="177">
        <f>SUM(L20:L21)</f>
        <v>6960905.3999999994</v>
      </c>
      <c r="M22" s="178">
        <f>+L22/H22</f>
        <v>0.6305993882894444</v>
      </c>
      <c r="N22" s="150"/>
      <c r="O22" s="177">
        <f>SUM(O20:O21)</f>
        <v>0</v>
      </c>
      <c r="P22" s="178">
        <f>+O22/$H$22</f>
        <v>0</v>
      </c>
      <c r="Q22" s="306"/>
      <c r="R22" s="307">
        <f>SUM(R20:R21)</f>
        <v>4077648</v>
      </c>
      <c r="S22" s="308">
        <f>+R22/$H$22</f>
        <v>0.36940055735561017</v>
      </c>
      <c r="T22" s="428"/>
      <c r="U22" s="307">
        <f>SUM(U20:U21)</f>
        <v>0</v>
      </c>
      <c r="V22" s="431">
        <f>+U22/$H$22</f>
        <v>0</v>
      </c>
      <c r="W22" s="150"/>
      <c r="X22" s="307">
        <f t="shared" si="1"/>
        <v>11038553.399999999</v>
      </c>
      <c r="Y22" s="178">
        <f t="shared" si="0"/>
        <v>0.99999994564505446</v>
      </c>
    </row>
    <row r="23" spans="1:25" ht="28.8" x14ac:dyDescent="0.3">
      <c r="A23" s="1314" t="s">
        <v>200</v>
      </c>
      <c r="B23" s="1314" t="s">
        <v>357</v>
      </c>
      <c r="C23" s="250" t="s">
        <v>83</v>
      </c>
      <c r="D23" s="250" t="s">
        <v>300</v>
      </c>
      <c r="E23" s="191">
        <v>1</v>
      </c>
      <c r="F23" s="192">
        <v>1149123.7169747187</v>
      </c>
      <c r="G23" s="32">
        <f t="shared" ref="G23:G24" si="8">+ROUND(F23*1.051,0)</f>
        <v>1207729</v>
      </c>
      <c r="H23" s="192">
        <f>ROUND((E23*F23),0)</f>
        <v>1149124</v>
      </c>
      <c r="I23" s="32">
        <f t="shared" ref="I23:I24" si="9">+ROUND(G23*E23,0)</f>
        <v>1207729</v>
      </c>
      <c r="J23" s="1314"/>
      <c r="K23" s="147">
        <v>0.3</v>
      </c>
      <c r="L23" s="167">
        <f>H23*K23</f>
        <v>344737.2</v>
      </c>
      <c r="M23" s="168">
        <v>0.29999982595437918</v>
      </c>
      <c r="N23" s="158">
        <v>0</v>
      </c>
      <c r="O23" s="194">
        <f>ROUND(F23*$N$23,0)</f>
        <v>0</v>
      </c>
      <c r="P23" s="195">
        <f>O23/$H$23</f>
        <v>0</v>
      </c>
      <c r="Q23" s="303">
        <v>0.7</v>
      </c>
      <c r="R23" s="304">
        <f>ROUND(Q23*$F$23,0)</f>
        <v>804387</v>
      </c>
      <c r="S23" s="305">
        <f>R23/$H$23</f>
        <v>0.70000017404562087</v>
      </c>
      <c r="T23" s="432">
        <v>0</v>
      </c>
      <c r="U23" s="425">
        <f>ROUND(T23*$G$23,0)</f>
        <v>0</v>
      </c>
      <c r="V23" s="426">
        <f t="shared" ref="V23:V24" si="10">U23/I23</f>
        <v>0</v>
      </c>
      <c r="W23" s="416">
        <f>K23+N23+Q23+T23</f>
        <v>1</v>
      </c>
      <c r="X23" s="175">
        <f t="shared" si="1"/>
        <v>1149124.2</v>
      </c>
      <c r="Y23" s="176">
        <f t="shared" si="0"/>
        <v>1.0000001740456208</v>
      </c>
    </row>
    <row r="24" spans="1:25" ht="28.8" x14ac:dyDescent="0.3">
      <c r="A24" s="1314"/>
      <c r="B24" s="1314"/>
      <c r="C24" s="250" t="s">
        <v>61</v>
      </c>
      <c r="D24" s="250" t="s">
        <v>302</v>
      </c>
      <c r="E24" s="191">
        <v>1</v>
      </c>
      <c r="F24" s="192">
        <v>5467044.7832789542</v>
      </c>
      <c r="G24" s="32">
        <f t="shared" si="8"/>
        <v>5745864</v>
      </c>
      <c r="H24" s="192">
        <f>ROUND((E24*F24),0)</f>
        <v>5467045</v>
      </c>
      <c r="I24" s="32">
        <f t="shared" si="9"/>
        <v>5745864</v>
      </c>
      <c r="J24" s="1314"/>
      <c r="K24" s="158">
        <v>0</v>
      </c>
      <c r="L24" s="194">
        <v>0</v>
      </c>
      <c r="M24" s="195">
        <v>0</v>
      </c>
      <c r="N24" s="158">
        <v>0</v>
      </c>
      <c r="O24" s="194">
        <f>ROUND(F24*$N$24,0)</f>
        <v>0</v>
      </c>
      <c r="P24" s="195">
        <f>O24/$H$24</f>
        <v>0</v>
      </c>
      <c r="Q24" s="303">
        <v>0.3</v>
      </c>
      <c r="R24" s="304">
        <f>ROUND(Q24*$F$24,0)</f>
        <v>1640113</v>
      </c>
      <c r="S24" s="305">
        <f>R24/$H$24</f>
        <v>0.29999990854291486</v>
      </c>
      <c r="T24" s="432">
        <v>0</v>
      </c>
      <c r="U24" s="425">
        <f>ROUND(T24*$G$24,0)</f>
        <v>0</v>
      </c>
      <c r="V24" s="426">
        <f t="shared" si="10"/>
        <v>0</v>
      </c>
      <c r="W24" s="416">
        <f>K24+N24+Q24+T24</f>
        <v>0.3</v>
      </c>
      <c r="X24" s="175">
        <f t="shared" si="1"/>
        <v>1640113</v>
      </c>
      <c r="Y24" s="176">
        <f>X24/H24</f>
        <v>0.29999990854291486</v>
      </c>
    </row>
    <row r="25" spans="1:25" x14ac:dyDescent="0.3">
      <c r="A25" s="1314"/>
      <c r="B25" s="1314"/>
      <c r="C25" s="196"/>
      <c r="D25" s="196" t="s">
        <v>303</v>
      </c>
      <c r="E25" s="198"/>
      <c r="F25" s="198"/>
      <c r="G25" s="198"/>
      <c r="H25" s="199">
        <f>SUM(H23:H24)</f>
        <v>6616169</v>
      </c>
      <c r="I25" s="199">
        <f>SUM(I23:I24)</f>
        <v>6953593</v>
      </c>
      <c r="J25" s="1314"/>
      <c r="K25" s="150"/>
      <c r="L25" s="177">
        <f>SUM(L23:L24)</f>
        <v>344737.2</v>
      </c>
      <c r="M25" s="178">
        <v>5.210522887187434E-2</v>
      </c>
      <c r="N25" s="150"/>
      <c r="O25" s="177">
        <f>SUM(O23:O24)</f>
        <v>0</v>
      </c>
      <c r="P25" s="178">
        <f>+O25/$H$25</f>
        <v>0</v>
      </c>
      <c r="Q25" s="306"/>
      <c r="R25" s="307">
        <f>SUM(R23:R24)</f>
        <v>2444500</v>
      </c>
      <c r="S25" s="308">
        <f>+R25/$H$25</f>
        <v>0.36947363345767015</v>
      </c>
      <c r="T25" s="428"/>
      <c r="U25" s="307">
        <f>SUM(U23:U24)</f>
        <v>0</v>
      </c>
      <c r="V25" s="431">
        <f>+U25/$H$25</f>
        <v>0</v>
      </c>
      <c r="W25" s="150"/>
      <c r="X25" s="307">
        <f>L25+O25+R25+U25</f>
        <v>2789237.2</v>
      </c>
      <c r="Y25" s="178">
        <f t="shared" si="0"/>
        <v>0.42157889255851844</v>
      </c>
    </row>
    <row r="26" spans="1:25" x14ac:dyDescent="0.3">
      <c r="F26" s="151" t="s">
        <v>64</v>
      </c>
      <c r="G26" s="151"/>
      <c r="H26" s="181">
        <f>SUM(H14:H25)/2</f>
        <v>48506960</v>
      </c>
      <c r="I26" s="181">
        <f>SUM(I14:I25)/2</f>
        <v>50980814</v>
      </c>
      <c r="K26" s="151" t="s">
        <v>64</v>
      </c>
      <c r="L26" s="181">
        <f>SUM(L8:L25)/2</f>
        <v>29981688.899999999</v>
      </c>
      <c r="M26" s="118">
        <f t="shared" ref="M26" si="11">L26/H26</f>
        <v>0.61809045341122182</v>
      </c>
      <c r="N26" s="151" t="s">
        <v>64</v>
      </c>
      <c r="O26" s="181">
        <f>SUM(O8:O25)/2</f>
        <v>5275524</v>
      </c>
      <c r="P26" s="118">
        <f>O26/$H$26</f>
        <v>0.10875808337607634</v>
      </c>
      <c r="Q26" s="151" t="s">
        <v>64</v>
      </c>
      <c r="R26" s="181">
        <f>SUM(R8:R25)/2</f>
        <v>9422815</v>
      </c>
      <c r="S26" s="118">
        <f>R26/$H$26</f>
        <v>0.19425696848452265</v>
      </c>
      <c r="T26" s="480" t="s">
        <v>64</v>
      </c>
      <c r="U26" s="481">
        <f>SUM(U8:U25)/2</f>
        <v>0</v>
      </c>
      <c r="W26" s="480" t="s">
        <v>64</v>
      </c>
      <c r="X26" s="481">
        <f>SUM(X8:X25)/2</f>
        <v>44680027.899999991</v>
      </c>
    </row>
    <row r="27" spans="1:25" x14ac:dyDescent="0.3">
      <c r="F27" s="153" t="s">
        <v>65</v>
      </c>
      <c r="G27" s="816"/>
      <c r="H27" s="182">
        <v>0</v>
      </c>
      <c r="I27" s="182">
        <v>0</v>
      </c>
      <c r="K27" s="153" t="s">
        <v>65</v>
      </c>
      <c r="L27" s="182">
        <v>0</v>
      </c>
      <c r="M27" s="148"/>
      <c r="N27" s="153" t="s">
        <v>65</v>
      </c>
      <c r="O27" s="182">
        <v>0</v>
      </c>
      <c r="P27" s="148"/>
      <c r="Q27" s="153" t="s">
        <v>65</v>
      </c>
      <c r="R27" s="182">
        <v>0</v>
      </c>
      <c r="S27" s="302"/>
      <c r="T27" s="482" t="s">
        <v>65</v>
      </c>
      <c r="U27" s="483">
        <v>0</v>
      </c>
      <c r="V27" s="302"/>
      <c r="W27" s="482" t="s">
        <v>65</v>
      </c>
      <c r="X27" s="483">
        <v>0</v>
      </c>
      <c r="Y27" s="148"/>
    </row>
    <row r="28" spans="1:25" x14ac:dyDescent="0.3">
      <c r="F28" s="152" t="s">
        <v>64</v>
      </c>
      <c r="G28" s="817"/>
      <c r="H28" s="182">
        <f>+H26+H27</f>
        <v>48506960</v>
      </c>
      <c r="I28" s="182">
        <f>+I26+I27</f>
        <v>50980814</v>
      </c>
      <c r="K28" s="152" t="s">
        <v>64</v>
      </c>
      <c r="L28" s="182">
        <f>+L26+L27</f>
        <v>29981688.899999999</v>
      </c>
      <c r="M28" s="148"/>
      <c r="N28" s="152" t="s">
        <v>64</v>
      </c>
      <c r="O28" s="182">
        <f>+O26+O27</f>
        <v>5275524</v>
      </c>
      <c r="P28" s="148"/>
      <c r="Q28" s="152" t="s">
        <v>64</v>
      </c>
      <c r="R28" s="182">
        <f>+R26+R27</f>
        <v>9422815</v>
      </c>
      <c r="S28" s="302"/>
      <c r="T28" s="484" t="s">
        <v>64</v>
      </c>
      <c r="U28" s="483">
        <f>+U26+U27</f>
        <v>0</v>
      </c>
      <c r="V28" s="302"/>
      <c r="W28" s="484" t="s">
        <v>64</v>
      </c>
      <c r="X28" s="483">
        <f>+X26+X27</f>
        <v>44680027.899999991</v>
      </c>
      <c r="Y28" s="148"/>
    </row>
    <row r="29" spans="1:25" ht="26.4" x14ac:dyDescent="0.3">
      <c r="F29" s="152"/>
      <c r="G29" s="817"/>
      <c r="H29" s="182"/>
      <c r="I29" s="182"/>
      <c r="K29" s="152"/>
      <c r="L29" s="182"/>
      <c r="M29" s="302"/>
      <c r="N29" s="152"/>
      <c r="O29" s="182"/>
      <c r="P29" s="302"/>
      <c r="Q29" s="152"/>
      <c r="R29" s="182"/>
      <c r="S29" s="302"/>
      <c r="T29" s="484" t="s">
        <v>1439</v>
      </c>
      <c r="U29" s="483">
        <f>ROUND(U28*0.015,0)</f>
        <v>0</v>
      </c>
      <c r="V29" s="302"/>
      <c r="W29" s="484" t="s">
        <v>1439</v>
      </c>
      <c r="X29" s="483">
        <f>L29+O29+R29+U29</f>
        <v>0</v>
      </c>
      <c r="Y29" s="302"/>
    </row>
    <row r="30" spans="1:25" ht="26.4" x14ac:dyDescent="0.3">
      <c r="F30" s="152"/>
      <c r="G30" s="817"/>
      <c r="H30" s="182"/>
      <c r="I30" s="182"/>
      <c r="K30" s="152"/>
      <c r="L30" s="182"/>
      <c r="M30" s="302"/>
      <c r="N30" s="152"/>
      <c r="O30" s="182"/>
      <c r="P30" s="302"/>
      <c r="Q30" s="152"/>
      <c r="R30" s="182"/>
      <c r="S30" s="302"/>
      <c r="T30" s="152" t="s">
        <v>1440</v>
      </c>
      <c r="U30" s="182">
        <f>U28+U29</f>
        <v>0</v>
      </c>
      <c r="V30" s="118">
        <f>U30/$H$26</f>
        <v>0</v>
      </c>
      <c r="W30" s="484" t="s">
        <v>1440</v>
      </c>
      <c r="X30" s="483">
        <f>X28+X29</f>
        <v>44680027.899999991</v>
      </c>
      <c r="Y30" s="118">
        <f>X30/H26</f>
        <v>0.92110550527182056</v>
      </c>
    </row>
    <row r="31" spans="1:25" x14ac:dyDescent="0.3">
      <c r="F31" s="154" t="s">
        <v>66</v>
      </c>
      <c r="G31" s="818"/>
      <c r="H31" s="182">
        <f>+H28*19%</f>
        <v>9216322.4000000004</v>
      </c>
      <c r="I31" s="182">
        <f>+I28*19%</f>
        <v>9686354.6600000001</v>
      </c>
      <c r="K31" s="154" t="s">
        <v>66</v>
      </c>
      <c r="L31" s="182">
        <f>+L28*19%</f>
        <v>5696520.8909999998</v>
      </c>
      <c r="M31" s="148"/>
      <c r="N31" s="154" t="s">
        <v>66</v>
      </c>
      <c r="O31" s="182">
        <f>+O28*19%</f>
        <v>1002349.56</v>
      </c>
      <c r="P31" s="148"/>
      <c r="Q31" s="154" t="s">
        <v>66</v>
      </c>
      <c r="R31" s="182">
        <f>+R28*19%</f>
        <v>1790334.85</v>
      </c>
      <c r="S31" s="302"/>
      <c r="T31" s="485" t="s">
        <v>66</v>
      </c>
      <c r="U31" s="483">
        <f>ROUND(U30*0.19,0)</f>
        <v>0</v>
      </c>
      <c r="V31" s="302"/>
      <c r="W31" s="485" t="s">
        <v>66</v>
      </c>
      <c r="X31" s="483">
        <f>ROUND(X30*0.19,0)</f>
        <v>8489205</v>
      </c>
      <c r="Y31" s="148"/>
    </row>
    <row r="32" spans="1:25" x14ac:dyDescent="0.3">
      <c r="F32" s="155" t="s">
        <v>69</v>
      </c>
      <c r="G32" s="155"/>
      <c r="H32" s="181">
        <f>+H28+H31</f>
        <v>57723282.399999999</v>
      </c>
      <c r="I32" s="181">
        <f>+I28+I31</f>
        <v>60667168.659999996</v>
      </c>
      <c r="K32" s="155" t="s">
        <v>69</v>
      </c>
      <c r="L32" s="181">
        <f>+L28+L31</f>
        <v>35678209.791000001</v>
      </c>
      <c r="M32" s="148"/>
      <c r="N32" s="155" t="s">
        <v>69</v>
      </c>
      <c r="O32" s="181">
        <f>+O28+O31</f>
        <v>6277873.5600000005</v>
      </c>
      <c r="P32" s="148"/>
      <c r="Q32" s="155" t="s">
        <v>69</v>
      </c>
      <c r="R32" s="181">
        <f>+R28+R31</f>
        <v>11213149.85</v>
      </c>
      <c r="S32" s="302"/>
      <c r="T32" s="545" t="s">
        <v>69</v>
      </c>
      <c r="U32" s="481">
        <f>U30+U31</f>
        <v>0</v>
      </c>
      <c r="V32" s="302"/>
      <c r="W32" s="545" t="s">
        <v>69</v>
      </c>
      <c r="X32" s="481">
        <f>X30+X31</f>
        <v>53169232.899999991</v>
      </c>
      <c r="Y32" s="148"/>
    </row>
    <row r="34" spans="1:28" s="148" customFormat="1" x14ac:dyDescent="0.3">
      <c r="A34" s="183" t="s">
        <v>67</v>
      </c>
      <c r="B34" s="184"/>
      <c r="C34" s="184"/>
      <c r="D34" s="185" t="s">
        <v>68</v>
      </c>
      <c r="G34" s="795"/>
      <c r="I34" s="795"/>
      <c r="K34" s="186" t="s">
        <v>70</v>
      </c>
      <c r="L34" s="187" t="s">
        <v>71</v>
      </c>
      <c r="M34" s="186" t="s">
        <v>58</v>
      </c>
      <c r="N34" s="186" t="s">
        <v>70</v>
      </c>
      <c r="O34" s="187" t="s">
        <v>71</v>
      </c>
      <c r="P34" s="186" t="s">
        <v>58</v>
      </c>
      <c r="Q34" s="186" t="s">
        <v>70</v>
      </c>
      <c r="R34" s="187" t="s">
        <v>71</v>
      </c>
      <c r="S34" s="186" t="s">
        <v>58</v>
      </c>
      <c r="T34" s="186" t="s">
        <v>70</v>
      </c>
      <c r="U34" s="187" t="s">
        <v>71</v>
      </c>
      <c r="V34" s="186" t="s">
        <v>58</v>
      </c>
      <c r="Z34" s="189"/>
      <c r="AA34" s="189"/>
      <c r="AB34" s="189"/>
    </row>
    <row r="35" spans="1:28" s="148" customFormat="1" x14ac:dyDescent="0.3">
      <c r="A35" s="183"/>
      <c r="B35" s="184"/>
      <c r="C35" s="184"/>
      <c r="D35" s="185"/>
      <c r="G35" s="795"/>
      <c r="I35" s="795"/>
      <c r="K35" s="69" t="s">
        <v>72</v>
      </c>
      <c r="L35" s="70">
        <f>L26</f>
        <v>29981688.899999999</v>
      </c>
      <c r="M35" s="71">
        <f>M26</f>
        <v>0.61809045341122182</v>
      </c>
      <c r="N35" s="69" t="s">
        <v>72</v>
      </c>
      <c r="O35" s="70">
        <f>$L$26</f>
        <v>29981688.899999999</v>
      </c>
      <c r="P35" s="71">
        <f>$M$26</f>
        <v>0.61809045341122182</v>
      </c>
      <c r="Q35" s="69" t="s">
        <v>72</v>
      </c>
      <c r="R35" s="70">
        <f>$L$26</f>
        <v>29981688.899999999</v>
      </c>
      <c r="S35" s="71">
        <f>$M$26</f>
        <v>0.61809045341122182</v>
      </c>
      <c r="T35" s="69" t="s">
        <v>72</v>
      </c>
      <c r="U35" s="70">
        <f>$L$26</f>
        <v>29981688.899999999</v>
      </c>
      <c r="V35" s="71">
        <f>$M$26</f>
        <v>0.61809045341122182</v>
      </c>
      <c r="Z35" s="189"/>
      <c r="AA35" s="189"/>
      <c r="AB35" s="189"/>
    </row>
    <row r="36" spans="1:28" s="148" customFormat="1" x14ac:dyDescent="0.3">
      <c r="A36" s="183"/>
      <c r="B36" s="184"/>
      <c r="C36" s="184"/>
      <c r="D36" s="185"/>
      <c r="G36" s="795"/>
      <c r="I36" s="795"/>
      <c r="K36" s="69"/>
      <c r="L36" s="70"/>
      <c r="M36" s="71"/>
      <c r="N36" s="69" t="s">
        <v>73</v>
      </c>
      <c r="O36" s="70">
        <f>$O$26</f>
        <v>5275524</v>
      </c>
      <c r="P36" s="71">
        <f>$P$26</f>
        <v>0.10875808337607634</v>
      </c>
      <c r="Q36" s="69" t="s">
        <v>73</v>
      </c>
      <c r="R36" s="70">
        <f>$O$26</f>
        <v>5275524</v>
      </c>
      <c r="S36" s="71">
        <f>$P$26</f>
        <v>0.10875808337607634</v>
      </c>
      <c r="T36" s="69" t="s">
        <v>73</v>
      </c>
      <c r="U36" s="70">
        <f>$O$26</f>
        <v>5275524</v>
      </c>
      <c r="V36" s="71">
        <f>$P$26</f>
        <v>0.10875808337607634</v>
      </c>
      <c r="Z36" s="189"/>
      <c r="AA36" s="189"/>
      <c r="AB36" s="189"/>
    </row>
    <row r="37" spans="1:28" s="302" customFormat="1" x14ac:dyDescent="0.3">
      <c r="A37" s="183"/>
      <c r="B37" s="184"/>
      <c r="C37" s="184"/>
      <c r="D37" s="185"/>
      <c r="G37" s="795"/>
      <c r="I37" s="795"/>
      <c r="K37" s="69"/>
      <c r="L37" s="70"/>
      <c r="M37" s="71"/>
      <c r="N37" s="69"/>
      <c r="O37" s="70"/>
      <c r="P37" s="71"/>
      <c r="Q37" s="69" t="s">
        <v>74</v>
      </c>
      <c r="R37" s="70">
        <f>R26</f>
        <v>9422815</v>
      </c>
      <c r="S37" s="71">
        <f>S26</f>
        <v>0.19425696848452265</v>
      </c>
      <c r="T37" s="69" t="s">
        <v>74</v>
      </c>
      <c r="U37" s="70">
        <f>R26</f>
        <v>9422815</v>
      </c>
      <c r="V37" s="71">
        <f>S26</f>
        <v>0.19425696848452265</v>
      </c>
      <c r="Z37" s="189"/>
      <c r="AA37" s="189"/>
      <c r="AB37" s="189"/>
    </row>
    <row r="38" spans="1:28" s="302" customFormat="1" x14ac:dyDescent="0.3">
      <c r="A38" s="183"/>
      <c r="B38" s="184"/>
      <c r="C38" s="184"/>
      <c r="D38" s="185"/>
      <c r="G38" s="795"/>
      <c r="I38" s="795"/>
      <c r="K38" s="69"/>
      <c r="L38" s="70"/>
      <c r="M38" s="71"/>
      <c r="N38" s="69"/>
      <c r="O38" s="70"/>
      <c r="P38" s="71"/>
      <c r="Q38" s="69"/>
      <c r="R38" s="70"/>
      <c r="S38" s="71"/>
      <c r="T38" s="69" t="s">
        <v>155</v>
      </c>
      <c r="U38" s="70">
        <f>$U$30</f>
        <v>0</v>
      </c>
      <c r="V38" s="71">
        <f>$V$30</f>
        <v>0</v>
      </c>
      <c r="Z38" s="189"/>
      <c r="AA38" s="189"/>
      <c r="AB38" s="189"/>
    </row>
    <row r="39" spans="1:28" s="148" customFormat="1" x14ac:dyDescent="0.3">
      <c r="A39" s="183"/>
      <c r="B39" s="184"/>
      <c r="C39" s="184"/>
      <c r="D39" s="185"/>
      <c r="G39" s="795"/>
      <c r="I39" s="795"/>
      <c r="K39" s="72" t="s">
        <v>1</v>
      </c>
      <c r="L39" s="105">
        <f>SUM(L35:L35)</f>
        <v>29981688.899999999</v>
      </c>
      <c r="M39" s="73">
        <f>SUM(M35:M35)</f>
        <v>0.61809045341122182</v>
      </c>
      <c r="N39" s="72" t="s">
        <v>1</v>
      </c>
      <c r="O39" s="105">
        <f>SUM(O35:O36)</f>
        <v>35257212.899999999</v>
      </c>
      <c r="P39" s="73">
        <f>SUM(P35:P36)</f>
        <v>0.72684853678729811</v>
      </c>
      <c r="Q39" s="72" t="s">
        <v>1</v>
      </c>
      <c r="R39" s="105">
        <f>SUM(R35:R37)</f>
        <v>44680027.899999999</v>
      </c>
      <c r="S39" s="73">
        <f>SUM(S35:S37)</f>
        <v>0.92110550527182078</v>
      </c>
      <c r="T39" s="72" t="s">
        <v>1</v>
      </c>
      <c r="U39" s="105">
        <f>SUM(U35:U38)</f>
        <v>44680027.899999999</v>
      </c>
      <c r="V39" s="73">
        <f>SUM(V35:V38)</f>
        <v>0.92110550527182078</v>
      </c>
      <c r="Z39" s="189"/>
      <c r="AA39" s="189"/>
      <c r="AB39" s="189"/>
    </row>
    <row r="40" spans="1:28" s="148" customFormat="1" x14ac:dyDescent="0.3">
      <c r="A40" s="183"/>
      <c r="B40" s="184"/>
      <c r="C40" s="184"/>
      <c r="D40" s="185"/>
      <c r="G40" s="795"/>
      <c r="I40" s="795"/>
      <c r="K40" s="72" t="s">
        <v>9</v>
      </c>
      <c r="L40" s="1285"/>
      <c r="M40" s="1286"/>
      <c r="N40" s="72" t="s">
        <v>9</v>
      </c>
      <c r="O40" s="1285"/>
      <c r="P40" s="1286"/>
      <c r="Q40" s="72" t="s">
        <v>9</v>
      </c>
      <c r="R40" s="1285"/>
      <c r="S40" s="1286"/>
      <c r="T40" s="72" t="s">
        <v>9</v>
      </c>
      <c r="U40" s="1285"/>
      <c r="V40" s="1286"/>
      <c r="Z40" s="189"/>
      <c r="AA40" s="189"/>
      <c r="AB40" s="189"/>
    </row>
    <row r="41" spans="1:28" s="148" customFormat="1" x14ac:dyDescent="0.3">
      <c r="A41" s="183"/>
      <c r="B41" s="184"/>
      <c r="C41" s="184"/>
      <c r="D41" s="185"/>
      <c r="G41" s="795"/>
      <c r="I41" s="795"/>
      <c r="K41" s="156" t="s">
        <v>78</v>
      </c>
      <c r="L41" s="1285" t="s">
        <v>228</v>
      </c>
      <c r="M41" s="1286"/>
      <c r="N41" s="156" t="s">
        <v>78</v>
      </c>
      <c r="O41" s="1285" t="s">
        <v>228</v>
      </c>
      <c r="P41" s="1286"/>
      <c r="Q41" s="156" t="s">
        <v>78</v>
      </c>
      <c r="R41" s="1285" t="s">
        <v>228</v>
      </c>
      <c r="S41" s="1286"/>
      <c r="T41" s="156" t="s">
        <v>78</v>
      </c>
      <c r="U41" s="1285" t="s">
        <v>228</v>
      </c>
      <c r="V41" s="1286"/>
      <c r="Z41" s="189"/>
      <c r="AA41" s="189"/>
      <c r="AB41" s="189"/>
    </row>
    <row r="42" spans="1:28" s="148" customFormat="1" x14ac:dyDescent="0.3">
      <c r="A42" s="183"/>
      <c r="B42" s="184"/>
      <c r="C42" s="184"/>
      <c r="D42" s="185"/>
      <c r="G42" s="795"/>
      <c r="I42" s="795"/>
      <c r="K42" s="157" t="s">
        <v>8</v>
      </c>
      <c r="L42" s="1287"/>
      <c r="M42" s="1288"/>
      <c r="N42" s="157" t="s">
        <v>8</v>
      </c>
      <c r="O42" s="1287"/>
      <c r="P42" s="1288"/>
      <c r="Q42" s="157" t="s">
        <v>8</v>
      </c>
      <c r="R42" s="1287"/>
      <c r="S42" s="1288"/>
      <c r="T42" s="157" t="s">
        <v>8</v>
      </c>
      <c r="U42" s="1287"/>
      <c r="V42" s="1288"/>
      <c r="Z42" s="189"/>
      <c r="AA42" s="189"/>
      <c r="AB42" s="189"/>
    </row>
    <row r="43" spans="1:28" s="148" customFormat="1" x14ac:dyDescent="0.3">
      <c r="A43" s="183"/>
      <c r="B43" s="184"/>
      <c r="C43" s="184"/>
      <c r="D43" s="185" t="s">
        <v>75</v>
      </c>
      <c r="G43" s="795"/>
      <c r="I43" s="795"/>
      <c r="Q43" s="302"/>
      <c r="R43" s="302"/>
      <c r="S43" s="302"/>
      <c r="T43" s="302"/>
      <c r="U43" s="302"/>
      <c r="V43" s="302"/>
    </row>
    <row r="44" spans="1:28" s="148" customFormat="1" x14ac:dyDescent="0.3">
      <c r="A44" s="183" t="s">
        <v>76</v>
      </c>
      <c r="B44" s="180"/>
      <c r="C44" s="180"/>
      <c r="D44" s="185" t="s">
        <v>77</v>
      </c>
      <c r="G44" s="795"/>
      <c r="I44" s="795"/>
      <c r="Q44" s="302"/>
      <c r="R44" s="302"/>
      <c r="S44" s="302"/>
      <c r="T44" s="302"/>
      <c r="U44" s="302"/>
      <c r="V44" s="302"/>
    </row>
    <row r="45" spans="1:28" s="148" customFormat="1" ht="26.4" x14ac:dyDescent="0.3">
      <c r="A45" s="183" t="s">
        <v>79</v>
      </c>
      <c r="B45" s="180"/>
      <c r="C45" s="180"/>
      <c r="D45" s="185" t="s">
        <v>80</v>
      </c>
      <c r="G45" s="795"/>
      <c r="I45" s="795"/>
      <c r="Q45" s="302"/>
      <c r="R45" s="302"/>
      <c r="S45" s="302"/>
      <c r="T45" s="302"/>
      <c r="U45" s="302"/>
      <c r="V45" s="302"/>
    </row>
  </sheetData>
  <sheetProtection formatCells="0" formatColumns="0" formatRows="0" insertColumns="0" insertRows="0" insertHyperlinks="0" deleteColumns="0" deleteRows="0" sort="0" autoFilter="0" pivotTables="0"/>
  <mergeCells count="42">
    <mergeCell ref="A23:A25"/>
    <mergeCell ref="B23:B25"/>
    <mergeCell ref="J23:J25"/>
    <mergeCell ref="A17:A19"/>
    <mergeCell ref="B17:B19"/>
    <mergeCell ref="J17:J19"/>
    <mergeCell ref="A20:A22"/>
    <mergeCell ref="B20:B22"/>
    <mergeCell ref="J20:J22"/>
    <mergeCell ref="B11:J11"/>
    <mergeCell ref="K11:M12"/>
    <mergeCell ref="B12:J12"/>
    <mergeCell ref="A14:A16"/>
    <mergeCell ref="B14:B16"/>
    <mergeCell ref="J14:J16"/>
    <mergeCell ref="A6:Y6"/>
    <mergeCell ref="A7:Y7"/>
    <mergeCell ref="A8:Y8"/>
    <mergeCell ref="A9:Y9"/>
    <mergeCell ref="A10:Y10"/>
    <mergeCell ref="W1:Y1"/>
    <mergeCell ref="W2:Y2"/>
    <mergeCell ref="A3:Y3"/>
    <mergeCell ref="A4:Y4"/>
    <mergeCell ref="A5:Y5"/>
    <mergeCell ref="C1:V2"/>
    <mergeCell ref="L40:M40"/>
    <mergeCell ref="L41:M41"/>
    <mergeCell ref="L42:M42"/>
    <mergeCell ref="W11:Y12"/>
    <mergeCell ref="R40:S40"/>
    <mergeCell ref="R41:S41"/>
    <mergeCell ref="R42:S42"/>
    <mergeCell ref="O40:P40"/>
    <mergeCell ref="O41:P41"/>
    <mergeCell ref="O42:P42"/>
    <mergeCell ref="T11:V12"/>
    <mergeCell ref="U40:V40"/>
    <mergeCell ref="U41:V41"/>
    <mergeCell ref="U42:V42"/>
    <mergeCell ref="N11:P12"/>
    <mergeCell ref="Q11:S12"/>
  </mergeCells>
  <pageMargins left="0.7" right="0.7" top="0.75" bottom="0.75" header="0.3" footer="0.3"/>
  <pageSetup scale="66" orientation="landscape" r:id="rId1"/>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theme="1"/>
  </sheetPr>
  <dimension ref="A1:G52"/>
  <sheetViews>
    <sheetView zoomScaleNormal="100" workbookViewId="0">
      <selection activeCell="C31" sqref="C31:D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f>
        <v>Proyecto: CDIM_CBSGSM_R0161, Normalización y Reposición SE VICTORIA, Cambio, y Normalización, de Control, Protección, y Potencia, en Módulos de Línea de 115 kV</v>
      </c>
      <c r="C5" s="1281"/>
      <c r="D5" s="1281"/>
      <c r="E5" s="1281"/>
      <c r="F5" s="1281"/>
      <c r="G5" s="1282"/>
    </row>
    <row r="6" spans="1:7" x14ac:dyDescent="0.25">
      <c r="A6" s="1177"/>
      <c r="B6" s="1177"/>
      <c r="C6" s="1177"/>
      <c r="D6" s="1177"/>
      <c r="E6" s="1177"/>
      <c r="F6" s="1177"/>
      <c r="G6" s="1177"/>
    </row>
    <row r="7" spans="1:7" x14ac:dyDescent="0.25">
      <c r="A7" s="271" t="s">
        <v>0</v>
      </c>
      <c r="B7" s="1264" t="str">
        <f>RESUMEN!B14</f>
        <v>D00234959</v>
      </c>
      <c r="C7" s="1265"/>
      <c r="D7" s="1177"/>
      <c r="E7" s="1266" t="s">
        <v>627</v>
      </c>
      <c r="F7" s="1267"/>
      <c r="G7" s="280" t="str">
        <f>RESUMEN!E14</f>
        <v xml:space="preserve">17-046 </v>
      </c>
    </row>
    <row r="8" spans="1:7" x14ac:dyDescent="0.25">
      <c r="A8" s="271" t="s">
        <v>628</v>
      </c>
      <c r="B8" s="1264" t="str">
        <f>RESUMEN!C14</f>
        <v>D00234959000</v>
      </c>
      <c r="C8" s="1265"/>
      <c r="D8" s="1177"/>
      <c r="E8" s="1266" t="s">
        <v>629</v>
      </c>
      <c r="F8" s="1267"/>
      <c r="G8" s="280" t="str">
        <f>RESUMEN!U14</f>
        <v>Acta N° 5: Marzo</v>
      </c>
    </row>
    <row r="9" spans="1:7" x14ac:dyDescent="0.25">
      <c r="A9" s="271" t="s">
        <v>630</v>
      </c>
      <c r="B9" s="1283" t="s">
        <v>631</v>
      </c>
      <c r="C9" s="1265"/>
      <c r="D9" s="1177"/>
      <c r="E9" s="1266" t="s">
        <v>632</v>
      </c>
      <c r="F9" s="1267"/>
      <c r="G9" s="1178">
        <f>RESUMEN!H14</f>
        <v>186767461</v>
      </c>
    </row>
    <row r="10" spans="1:7" x14ac:dyDescent="0.25">
      <c r="A10" s="271" t="s">
        <v>633</v>
      </c>
      <c r="B10" s="1283" t="str">
        <f>RESUMEN!D14</f>
        <v>VICTORIA POTENCIA</v>
      </c>
      <c r="C10" s="1265"/>
      <c r="D10" s="1177"/>
      <c r="E10" s="1266" t="s">
        <v>634</v>
      </c>
      <c r="F10" s="1267"/>
      <c r="G10" s="1178">
        <f>RESUMEN!R14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 Cambio, y Normalización, de Control, Protección, y Potencia, en Módulos de Línea de 115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f>
        <v>0</v>
      </c>
      <c r="F19" s="1248"/>
      <c r="G19" s="1177"/>
    </row>
    <row r="20" spans="1:7" ht="27" customHeight="1" x14ac:dyDescent="0.25">
      <c r="A20" s="1177"/>
      <c r="B20" s="1244" t="s">
        <v>1498</v>
      </c>
      <c r="C20" s="1245"/>
      <c r="D20" s="1246"/>
      <c r="E20" s="1247">
        <f>RESUMEN!P14</f>
        <v>0</v>
      </c>
      <c r="F20" s="1248"/>
      <c r="G20" s="1177"/>
    </row>
    <row r="21" spans="1:7" ht="27" customHeight="1" x14ac:dyDescent="0.25">
      <c r="A21" s="1177"/>
      <c r="B21" s="1244" t="s">
        <v>1499</v>
      </c>
      <c r="C21" s="1245"/>
      <c r="D21" s="1246"/>
      <c r="E21" s="1247">
        <f>RESUMEN!Q14</f>
        <v>0</v>
      </c>
      <c r="F21" s="1248"/>
      <c r="G21" s="1177"/>
    </row>
    <row r="22" spans="1:7" x14ac:dyDescent="0.25">
      <c r="A22" s="1177"/>
      <c r="B22" s="1254" t="s">
        <v>64</v>
      </c>
      <c r="C22" s="1254"/>
      <c r="D22" s="1254"/>
      <c r="E22" s="1255">
        <f>RESUMEN!R14</f>
        <v>0</v>
      </c>
      <c r="F22" s="1255"/>
      <c r="G22" s="1177"/>
    </row>
    <row r="23" spans="1:7" x14ac:dyDescent="0.25">
      <c r="A23" s="1177"/>
      <c r="B23" s="1256" t="s">
        <v>66</v>
      </c>
      <c r="C23" s="1256"/>
      <c r="D23" s="1256"/>
      <c r="E23" s="1257">
        <f>RESUMEN!S14</f>
        <v>0</v>
      </c>
      <c r="F23" s="1257"/>
      <c r="G23" s="1177"/>
    </row>
    <row r="24" spans="1:7" x14ac:dyDescent="0.25">
      <c r="A24" s="1177"/>
      <c r="B24" s="1258" t="s">
        <v>1</v>
      </c>
      <c r="C24" s="1258"/>
      <c r="D24" s="1258"/>
      <c r="E24" s="1259">
        <f>RESUMEN!T14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+'OT17-046 VICTORIA POTENCIA'!Z111</f>
        <v>ACTA 1</v>
      </c>
      <c r="C28" s="1253">
        <f>+'OT17-046 VICTORIA POTENCIA'!AA111</f>
        <v>64251699</v>
      </c>
      <c r="D28" s="1253"/>
      <c r="E28" s="267">
        <f>+'OT17-046 VICTORIA POTENCIA'!AB111</f>
        <v>0.34401977012473278</v>
      </c>
      <c r="F28" s="1177"/>
      <c r="G28" s="1177"/>
    </row>
    <row r="29" spans="1:7" x14ac:dyDescent="0.25">
      <c r="A29" s="1177"/>
      <c r="B29" s="280" t="str">
        <f>+'OT17-046 VICTORIA POTENCIA'!Z112</f>
        <v>ACTA 2</v>
      </c>
      <c r="C29" s="1253">
        <f>+'OT17-046 VICTORIA POTENCIA'!AA112</f>
        <v>105160508</v>
      </c>
      <c r="D29" s="1253"/>
      <c r="E29" s="267">
        <f>+'OT17-046 VICTORIA POTENCIA'!AB112</f>
        <v>0.56305583122961655</v>
      </c>
      <c r="F29" s="1177"/>
      <c r="G29" s="1177"/>
    </row>
    <row r="30" spans="1:7" x14ac:dyDescent="0.25">
      <c r="A30" s="1177"/>
      <c r="B30" s="280" t="str">
        <f>+'OT17-046 VICTORIA POTENCIA'!Z113</f>
        <v>ACTA 3</v>
      </c>
      <c r="C30" s="1253">
        <f>+'OT17-046 VICTORIA POTENCIA'!AA113</f>
        <v>2656914</v>
      </c>
      <c r="D30" s="1253"/>
      <c r="E30" s="267">
        <f>+'OT17-046 VICTORIA POTENCIA'!AB113</f>
        <v>1.4225786364360331E-2</v>
      </c>
      <c r="F30" s="1177"/>
      <c r="G30" s="1177"/>
    </row>
    <row r="31" spans="1:7" x14ac:dyDescent="0.25">
      <c r="A31" s="1177"/>
      <c r="B31" s="280" t="str">
        <f>+'OT17-046 VICTORIA POTENCIA'!Z114</f>
        <v>ACTA 4</v>
      </c>
      <c r="C31" s="1253">
        <f>+'OT17-046 VICTORIA POTENCIA'!AA114</f>
        <v>5557581</v>
      </c>
      <c r="D31" s="1253"/>
      <c r="E31" s="267">
        <f>+'OT17-046 VICTORIA POTENCIA'!AB114</f>
        <v>2.9756687649140339E-2</v>
      </c>
      <c r="F31" s="1177"/>
      <c r="G31" s="1177"/>
    </row>
    <row r="32" spans="1:7" x14ac:dyDescent="0.25">
      <c r="A32" s="1177"/>
      <c r="B32" s="280" t="str">
        <f>+'OT17-046 VICTORIA POTENCIA'!Z115</f>
        <v>ACTA 5</v>
      </c>
      <c r="C32" s="1253">
        <f>+'OT17-046 VICTORIA POTENCIA'!AA115</f>
        <v>3933817</v>
      </c>
      <c r="D32" s="1253"/>
      <c r="E32" s="267">
        <f>+'OT17-046 VICTORIA POTENCIA'!AB115</f>
        <v>2.1062646453174197E-2</v>
      </c>
      <c r="F32" s="1177"/>
      <c r="G32" s="1177"/>
    </row>
    <row r="33" spans="1:7" x14ac:dyDescent="0.25">
      <c r="A33" s="1177"/>
      <c r="B33" s="280" t="str">
        <f>+'OT17-046 VICTORIA POTENCIA'!Z116</f>
        <v>ACTA 6</v>
      </c>
      <c r="C33" s="1253">
        <f>+'OT17-046 VICTORIA POTENCIA'!AA116</f>
        <v>0</v>
      </c>
      <c r="D33" s="1253"/>
      <c r="E33" s="267">
        <f>+'OT17-046 VICTORIA POTENCIA'!AB116</f>
        <v>0</v>
      </c>
      <c r="F33" s="1177"/>
      <c r="G33" s="1177"/>
    </row>
    <row r="34" spans="1:7" x14ac:dyDescent="0.25">
      <c r="A34" s="1177"/>
      <c r="B34" s="280"/>
      <c r="C34" s="1253"/>
      <c r="D34" s="1253"/>
      <c r="E34" s="267"/>
      <c r="F34" s="1177"/>
      <c r="G34" s="1177"/>
    </row>
    <row r="35" spans="1:7" x14ac:dyDescent="0.25">
      <c r="A35" s="1177"/>
      <c r="B35" s="280"/>
      <c r="C35" s="1253"/>
      <c r="D35" s="1253"/>
      <c r="E35" s="267"/>
      <c r="F35" s="1177"/>
      <c r="G35" s="1177"/>
    </row>
    <row r="36" spans="1:7" x14ac:dyDescent="0.25">
      <c r="A36" s="1177"/>
      <c r="B36" s="280"/>
      <c r="C36" s="1253"/>
      <c r="D36" s="1253"/>
      <c r="E36" s="267"/>
      <c r="F36" s="1177"/>
      <c r="G36" s="1177"/>
    </row>
    <row r="37" spans="1:7" x14ac:dyDescent="0.25">
      <c r="A37" s="1177"/>
      <c r="B37" s="263" t="s">
        <v>1</v>
      </c>
      <c r="C37" s="1251">
        <f>SUM(C28:D36)</f>
        <v>181560519</v>
      </c>
      <c r="D37" s="1251"/>
      <c r="E37" s="264">
        <f>SUM(E28:E36)</f>
        <v>0.97212072182102416</v>
      </c>
      <c r="F37" s="1177"/>
      <c r="G37" s="1177"/>
    </row>
    <row r="38" spans="1:7" x14ac:dyDescent="0.25">
      <c r="A38" s="1177"/>
      <c r="B38" s="1177"/>
      <c r="C38" s="1177"/>
      <c r="D38" s="1177"/>
      <c r="E38" s="1177"/>
      <c r="F38" s="1177"/>
      <c r="G38" s="260"/>
    </row>
    <row r="39" spans="1:7" x14ac:dyDescent="0.25">
      <c r="A39" s="1252" t="s">
        <v>1500</v>
      </c>
      <c r="B39" s="1252"/>
      <c r="C39" s="1252"/>
      <c r="D39" s="1252"/>
      <c r="E39" s="1252"/>
      <c r="F39" s="1252"/>
      <c r="G39" s="1252"/>
    </row>
    <row r="40" spans="1:7" x14ac:dyDescent="0.25">
      <c r="A40" s="1177"/>
      <c r="B40" s="1177"/>
      <c r="C40" s="1177"/>
      <c r="D40" s="1177"/>
      <c r="E40" s="1177"/>
      <c r="F40" s="1177"/>
      <c r="G40" s="1177"/>
    </row>
    <row r="41" spans="1:7" x14ac:dyDescent="0.25">
      <c r="A41" s="1177"/>
      <c r="B41" s="1177"/>
      <c r="C41" s="1177"/>
      <c r="D41" s="1177"/>
      <c r="E41" s="1177"/>
      <c r="F41" s="1177"/>
      <c r="G41" s="1177"/>
    </row>
    <row r="42" spans="1:7" x14ac:dyDescent="0.25">
      <c r="A42" s="266"/>
      <c r="B42" s="266"/>
      <c r="C42" s="266"/>
      <c r="D42" s="1177"/>
      <c r="E42" s="266"/>
      <c r="F42" s="266"/>
      <c r="G42" s="266"/>
    </row>
    <row r="43" spans="1:7" x14ac:dyDescent="0.25">
      <c r="A43" s="1250">
        <f>RESUMEN!V14</f>
        <v>0</v>
      </c>
      <c r="B43" s="1250"/>
      <c r="C43" s="1250"/>
      <c r="D43" s="1177"/>
      <c r="E43" s="1250" t="s">
        <v>642</v>
      </c>
      <c r="F43" s="1250"/>
      <c r="G43" s="1250"/>
    </row>
    <row r="44" spans="1:7" x14ac:dyDescent="0.25">
      <c r="A44" s="1249" t="s">
        <v>643</v>
      </c>
      <c r="B44" s="1249"/>
      <c r="C44" s="1249"/>
      <c r="D44" s="1177"/>
      <c r="E44" s="1249" t="s">
        <v>644</v>
      </c>
      <c r="F44" s="1249"/>
      <c r="G44" s="1249"/>
    </row>
    <row r="45" spans="1:7" x14ac:dyDescent="0.25">
      <c r="A45" s="1249" t="s">
        <v>645</v>
      </c>
      <c r="B45" s="1249"/>
      <c r="C45" s="1249"/>
      <c r="D45" s="1177"/>
      <c r="E45" s="1249" t="s">
        <v>645</v>
      </c>
      <c r="F45" s="1249"/>
      <c r="G45" s="1249"/>
    </row>
    <row r="46" spans="1:7" x14ac:dyDescent="0.25">
      <c r="A46" s="1177"/>
      <c r="B46" s="1177"/>
      <c r="C46" s="1177"/>
      <c r="D46" s="1177"/>
      <c r="E46" s="1177"/>
      <c r="F46" s="1177"/>
      <c r="G46" s="1177"/>
    </row>
    <row r="47" spans="1:7" x14ac:dyDescent="0.25">
      <c r="A47" s="1177"/>
      <c r="B47" s="1177"/>
      <c r="C47" s="1177"/>
      <c r="D47" s="1177"/>
      <c r="E47" s="1177"/>
      <c r="F47" s="1177"/>
      <c r="G47" s="1177"/>
    </row>
    <row r="48" spans="1:7" x14ac:dyDescent="0.25">
      <c r="A48" s="1177"/>
      <c r="B48" s="1177"/>
      <c r="C48" s="1177"/>
      <c r="D48" s="1177"/>
      <c r="E48" s="1177"/>
      <c r="F48" s="1177"/>
      <c r="G48" s="1177"/>
    </row>
    <row r="49" spans="1:7" x14ac:dyDescent="0.25">
      <c r="A49" s="266"/>
      <c r="B49" s="266"/>
      <c r="C49" s="266"/>
      <c r="D49" s="1177"/>
      <c r="E49" s="266"/>
      <c r="F49" s="266"/>
      <c r="G49" s="266"/>
    </row>
    <row r="50" spans="1:7" x14ac:dyDescent="0.25">
      <c r="A50" s="1250" t="s">
        <v>646</v>
      </c>
      <c r="B50" s="1250"/>
      <c r="C50" s="1250"/>
      <c r="D50" s="1177"/>
      <c r="E50" s="1250" t="s">
        <v>647</v>
      </c>
      <c r="F50" s="1250"/>
      <c r="G50" s="1250"/>
    </row>
    <row r="51" spans="1:7" x14ac:dyDescent="0.25">
      <c r="A51" s="1249" t="s">
        <v>648</v>
      </c>
      <c r="B51" s="1249"/>
      <c r="C51" s="1249"/>
      <c r="D51" s="1177"/>
      <c r="E51" s="1249" t="s">
        <v>763</v>
      </c>
      <c r="F51" s="1249"/>
      <c r="G51" s="1249"/>
    </row>
    <row r="52" spans="1:7" x14ac:dyDescent="0.25">
      <c r="A52" s="1249" t="s">
        <v>645</v>
      </c>
      <c r="B52" s="1249"/>
      <c r="C52" s="1249"/>
      <c r="D52" s="1177"/>
      <c r="E52" s="1249" t="s">
        <v>764</v>
      </c>
      <c r="F52" s="1249"/>
      <c r="G52" s="1249"/>
    </row>
  </sheetData>
  <mergeCells count="52">
    <mergeCell ref="A51:C51"/>
    <mergeCell ref="E51:G51"/>
    <mergeCell ref="A52:C52"/>
    <mergeCell ref="E52:G52"/>
    <mergeCell ref="A44:C44"/>
    <mergeCell ref="E44:G44"/>
    <mergeCell ref="A45:C45"/>
    <mergeCell ref="E45:G45"/>
    <mergeCell ref="A50:C50"/>
    <mergeCell ref="E50:G50"/>
    <mergeCell ref="C34:D34"/>
    <mergeCell ref="C35:D35"/>
    <mergeCell ref="C37:D37"/>
    <mergeCell ref="A39:G39"/>
    <mergeCell ref="A43:C43"/>
    <mergeCell ref="E43:G43"/>
    <mergeCell ref="C36:D36"/>
    <mergeCell ref="C33:D33"/>
    <mergeCell ref="B21:D21"/>
    <mergeCell ref="E21:F21"/>
    <mergeCell ref="B22:D22"/>
    <mergeCell ref="E22:F22"/>
    <mergeCell ref="B23:D23"/>
    <mergeCell ref="E23:F23"/>
    <mergeCell ref="B24:D24"/>
    <mergeCell ref="E24:F24"/>
    <mergeCell ref="C27:D27"/>
    <mergeCell ref="C28:D28"/>
    <mergeCell ref="C29:D29"/>
    <mergeCell ref="C30:D30"/>
    <mergeCell ref="C31:D31"/>
    <mergeCell ref="C32:D32"/>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tabColor theme="9" tint="-0.249977111117893"/>
  </sheetPr>
  <dimension ref="A1:AF123"/>
  <sheetViews>
    <sheetView topLeftCell="A61" zoomScale="55" zoomScaleNormal="55" workbookViewId="0">
      <selection activeCell="J26" sqref="J26:J29"/>
    </sheetView>
  </sheetViews>
  <sheetFormatPr baseColWidth="10" defaultColWidth="11.44140625" defaultRowHeight="14.4" x14ac:dyDescent="0.3"/>
  <cols>
    <col min="1" max="1" width="16.33203125" style="189" customWidth="1"/>
    <col min="2" max="2" width="25.109375" style="189" customWidth="1"/>
    <col min="3" max="3" width="32" style="189" customWidth="1"/>
    <col min="4" max="4" width="23.6640625" style="189" customWidth="1"/>
    <col min="5" max="5" width="15.44140625" style="189" customWidth="1"/>
    <col min="6" max="6" width="17.88671875" style="189" customWidth="1"/>
    <col min="7" max="7" width="17.88671875" style="796" customWidth="1"/>
    <col min="8" max="8" width="19.88671875" style="189" bestFit="1" customWidth="1"/>
    <col min="9" max="9" width="19.88671875" style="796" customWidth="1"/>
    <col min="10" max="10" width="14.88671875" style="189" customWidth="1"/>
    <col min="11" max="11" width="17.88671875" style="189" hidden="1" customWidth="1"/>
    <col min="12" max="12" width="17.5546875" style="189" hidden="1" customWidth="1"/>
    <col min="13" max="13" width="11.44140625" style="189" hidden="1" customWidth="1"/>
    <col min="14" max="14" width="17.88671875" style="189" hidden="1" customWidth="1"/>
    <col min="15" max="15" width="18.88671875" style="189" hidden="1" customWidth="1"/>
    <col min="16" max="16" width="11.44140625" style="189" hidden="1" customWidth="1"/>
    <col min="17" max="17" width="17.88671875" style="189" hidden="1" customWidth="1"/>
    <col min="18" max="18" width="18.88671875" style="189" hidden="1" customWidth="1"/>
    <col min="19" max="19" width="11.44140625" style="189" hidden="1" customWidth="1"/>
    <col min="20" max="20" width="17.88671875" style="189" hidden="1" customWidth="1"/>
    <col min="21" max="21" width="18" style="189" hidden="1" customWidth="1"/>
    <col min="22" max="22" width="11.44140625" style="189" hidden="1" customWidth="1"/>
    <col min="23" max="23" width="17.88671875" style="189" hidden="1" customWidth="1"/>
    <col min="24" max="24" width="18" style="189" hidden="1" customWidth="1"/>
    <col min="25" max="25" width="0" style="189" hidden="1" customWidth="1"/>
    <col min="26" max="26" width="17.88671875" style="796" bestFit="1" customWidth="1"/>
    <col min="27" max="27" width="18" style="796" bestFit="1" customWidth="1"/>
    <col min="28" max="28" width="11.44140625" style="796"/>
    <col min="29" max="29" width="17.88671875" style="189" bestFit="1" customWidth="1"/>
    <col min="30" max="30" width="18.88671875" style="189" bestFit="1" customWidth="1"/>
    <col min="31" max="31" width="12" style="189" bestFit="1" customWidth="1"/>
    <col min="32" max="16384" width="11.44140625" style="189"/>
  </cols>
  <sheetData>
    <row r="1" spans="1:31" s="302" customFormat="1" ht="14.2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9"/>
      <c r="Z1" s="792"/>
      <c r="AA1" s="792"/>
      <c r="AB1" s="792"/>
      <c r="AC1" s="1303" t="s">
        <v>866</v>
      </c>
      <c r="AD1" s="1303"/>
      <c r="AE1" s="1304"/>
    </row>
    <row r="2" spans="1:31"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1"/>
      <c r="W2" s="1311"/>
      <c r="X2" s="1311"/>
      <c r="Y2" s="1312"/>
      <c r="Z2" s="793"/>
      <c r="AA2" s="793"/>
      <c r="AB2" s="793"/>
      <c r="AC2" s="1305" t="s">
        <v>41</v>
      </c>
      <c r="AD2" s="1305"/>
      <c r="AE2" s="1306"/>
    </row>
    <row r="3" spans="1:31"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1"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1"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1"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1" s="302" customFormat="1" x14ac:dyDescent="0.3">
      <c r="A7" s="1291" t="s">
        <v>873</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row>
    <row r="8" spans="1:31" s="302" customFormat="1"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1"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1" s="302" customFormat="1" ht="13.5" customHeight="1" x14ac:dyDescent="0.3">
      <c r="A10" s="1292" t="s">
        <v>874</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1" s="302" customFormat="1" ht="13.5" customHeight="1" x14ac:dyDescent="0.3">
      <c r="A11" s="354"/>
      <c r="B11" s="1318"/>
      <c r="C11" s="1320"/>
      <c r="D11" s="1320"/>
      <c r="E11" s="1320"/>
      <c r="F11" s="1320"/>
      <c r="G11" s="1320"/>
      <c r="H11" s="1320"/>
      <c r="I11" s="1320"/>
      <c r="J11" s="1320"/>
      <c r="K11" s="1293" t="s">
        <v>46</v>
      </c>
      <c r="L11" s="1294"/>
      <c r="M11" s="1295"/>
      <c r="N11" s="1293" t="s">
        <v>353</v>
      </c>
      <c r="O11" s="1294"/>
      <c r="P11" s="1295"/>
      <c r="Q11" s="1293" t="s">
        <v>463</v>
      </c>
      <c r="R11" s="1294"/>
      <c r="S11" s="1295"/>
      <c r="T11" s="1293" t="s">
        <v>978</v>
      </c>
      <c r="U11" s="1294"/>
      <c r="V11" s="1295"/>
      <c r="W11" s="1293" t="s">
        <v>1428</v>
      </c>
      <c r="X11" s="1294"/>
      <c r="Y11" s="1295"/>
      <c r="Z11" s="1293" t="s">
        <v>2322</v>
      </c>
      <c r="AA11" s="1294"/>
      <c r="AB11" s="1295"/>
      <c r="AC11" s="1299" t="s">
        <v>49</v>
      </c>
      <c r="AD11" s="1299"/>
      <c r="AE11" s="1299"/>
    </row>
    <row r="12" spans="1:31" s="302" customFormat="1" ht="13.5" customHeight="1" x14ac:dyDescent="0.3">
      <c r="A12" s="171"/>
      <c r="B12" s="1318"/>
      <c r="C12" s="1319"/>
      <c r="D12" s="1319"/>
      <c r="E12" s="1319"/>
      <c r="F12" s="1319"/>
      <c r="G12" s="1319"/>
      <c r="H12" s="1319"/>
      <c r="I12" s="1319"/>
      <c r="J12" s="1319"/>
      <c r="K12" s="1325"/>
      <c r="L12" s="1326"/>
      <c r="M12" s="1327"/>
      <c r="N12" s="1325"/>
      <c r="O12" s="1326"/>
      <c r="P12" s="1327"/>
      <c r="Q12" s="1325"/>
      <c r="R12" s="1326"/>
      <c r="S12" s="1327"/>
      <c r="T12" s="1296"/>
      <c r="U12" s="1297"/>
      <c r="V12" s="1298"/>
      <c r="W12" s="1296"/>
      <c r="X12" s="1297"/>
      <c r="Y12" s="1298"/>
      <c r="Z12" s="1296"/>
      <c r="AA12" s="1297"/>
      <c r="AB12" s="1298"/>
      <c r="AC12" s="1300"/>
      <c r="AD12" s="1300"/>
      <c r="AE12" s="1300"/>
    </row>
    <row r="13" spans="1:31" ht="28.8" x14ac:dyDescent="0.3">
      <c r="A13" s="209" t="s">
        <v>50</v>
      </c>
      <c r="B13" s="209" t="s">
        <v>51</v>
      </c>
      <c r="C13" s="209" t="s">
        <v>52</v>
      </c>
      <c r="D13" s="209" t="s">
        <v>164</v>
      </c>
      <c r="E13" s="209" t="s">
        <v>54</v>
      </c>
      <c r="F13" s="210" t="s">
        <v>55</v>
      </c>
      <c r="G13" s="821" t="s">
        <v>2007</v>
      </c>
      <c r="H13" s="209" t="s">
        <v>56</v>
      </c>
      <c r="I13" s="822" t="s">
        <v>56</v>
      </c>
      <c r="J13" s="209" t="s">
        <v>57</v>
      </c>
      <c r="K13" s="209" t="s">
        <v>54</v>
      </c>
      <c r="L13" s="210" t="s">
        <v>55</v>
      </c>
      <c r="M13" s="209" t="s">
        <v>58</v>
      </c>
      <c r="N13" s="209" t="s">
        <v>54</v>
      </c>
      <c r="O13" s="210" t="s">
        <v>55</v>
      </c>
      <c r="P13" s="209" t="s">
        <v>58</v>
      </c>
      <c r="Q13" s="209" t="s">
        <v>54</v>
      </c>
      <c r="R13" s="210" t="s">
        <v>55</v>
      </c>
      <c r="S13" s="209" t="s">
        <v>58</v>
      </c>
      <c r="T13" s="209" t="s">
        <v>54</v>
      </c>
      <c r="U13" s="210" t="s">
        <v>55</v>
      </c>
      <c r="V13" s="209" t="s">
        <v>58</v>
      </c>
      <c r="W13" s="209" t="s">
        <v>54</v>
      </c>
      <c r="X13" s="210" t="s">
        <v>2007</v>
      </c>
      <c r="Y13" s="209" t="s">
        <v>58</v>
      </c>
      <c r="Z13" s="209" t="s">
        <v>54</v>
      </c>
      <c r="AA13" s="210" t="s">
        <v>2007</v>
      </c>
      <c r="AB13" s="209" t="s">
        <v>58</v>
      </c>
      <c r="AC13" s="209" t="s">
        <v>54</v>
      </c>
      <c r="AD13" s="210" t="s">
        <v>2017</v>
      </c>
      <c r="AE13" s="209" t="s">
        <v>58</v>
      </c>
    </row>
    <row r="14" spans="1:31" ht="28.8" x14ac:dyDescent="0.3">
      <c r="A14" s="1314" t="s">
        <v>875</v>
      </c>
      <c r="B14" s="1314" t="s">
        <v>216</v>
      </c>
      <c r="C14" s="355" t="s">
        <v>81</v>
      </c>
      <c r="D14" s="355" t="s">
        <v>82</v>
      </c>
      <c r="E14" s="355">
        <v>0.3</v>
      </c>
      <c r="F14" s="192">
        <v>1880385</v>
      </c>
      <c r="G14" s="32">
        <f>+ROUND(F14*1.051,0)</f>
        <v>1976285</v>
      </c>
      <c r="H14" s="192">
        <f>ROUND((E14*F14),0)</f>
        <v>564116</v>
      </c>
      <c r="I14" s="32">
        <f>+ROUND(G14*E14,0)</f>
        <v>592886</v>
      </c>
      <c r="J14" s="1314" t="s">
        <v>876</v>
      </c>
      <c r="K14" s="149">
        <v>0</v>
      </c>
      <c r="L14" s="175">
        <v>0</v>
      </c>
      <c r="M14" s="176">
        <f t="shared" ref="M14:M25" si="0">L14/H14</f>
        <v>0</v>
      </c>
      <c r="N14" s="303">
        <v>0.3</v>
      </c>
      <c r="O14" s="304">
        <f>+ROUND((N14*F14),0)</f>
        <v>564116</v>
      </c>
      <c r="P14" s="305">
        <f t="shared" ref="P14:P25" si="1">O14/H14</f>
        <v>1</v>
      </c>
      <c r="Q14" s="158">
        <v>0</v>
      </c>
      <c r="R14" s="194">
        <f>+ROUND((Q14*F14),0)</f>
        <v>0</v>
      </c>
      <c r="S14" s="195">
        <f>R14/$H$14</f>
        <v>0</v>
      </c>
      <c r="T14" s="158">
        <v>0</v>
      </c>
      <c r="U14" s="194">
        <f>+ROUND((T14*K14),0)</f>
        <v>0</v>
      </c>
      <c r="V14" s="195">
        <f>U14/$H$14</f>
        <v>0</v>
      </c>
      <c r="W14" s="432">
        <v>0</v>
      </c>
      <c r="X14" s="425">
        <f>+ROUND((W14*N14),0)</f>
        <v>0</v>
      </c>
      <c r="Y14" s="426">
        <f>X14/$H$14</f>
        <v>0</v>
      </c>
      <c r="Z14" s="432">
        <v>0</v>
      </c>
      <c r="AA14" s="425">
        <f>+ROUND((Z14*G14),0)</f>
        <v>0</v>
      </c>
      <c r="AB14" s="426">
        <f>AA14/I14</f>
        <v>0</v>
      </c>
      <c r="AC14" s="149">
        <f>K14+N14+Q14+T14+W14+Z14</f>
        <v>0.3</v>
      </c>
      <c r="AD14" s="175">
        <f>L14+O14+R14+U14+X14+AA14</f>
        <v>564116</v>
      </c>
      <c r="AE14" s="176">
        <f t="shared" ref="AE14:AE25" si="2">AD14/H14</f>
        <v>1</v>
      </c>
    </row>
    <row r="15" spans="1:31" ht="28.8" x14ac:dyDescent="0.3">
      <c r="A15" s="1314"/>
      <c r="B15" s="1314"/>
      <c r="C15" s="355" t="s">
        <v>83</v>
      </c>
      <c r="D15" s="355" t="s">
        <v>84</v>
      </c>
      <c r="E15" s="355">
        <v>0.3</v>
      </c>
      <c r="F15" s="192">
        <v>1845563</v>
      </c>
      <c r="G15" s="32">
        <f t="shared" ref="G15:G80" si="3">+ROUND(F15*1.051,0)</f>
        <v>1939687</v>
      </c>
      <c r="H15" s="192">
        <f>ROUND((E15*F15),0)</f>
        <v>553669</v>
      </c>
      <c r="I15" s="32">
        <f>+ROUND(G15*E15,0)</f>
        <v>581906</v>
      </c>
      <c r="J15" s="1314"/>
      <c r="K15" s="149">
        <v>0</v>
      </c>
      <c r="L15" s="175">
        <v>0</v>
      </c>
      <c r="M15" s="176">
        <f t="shared" si="0"/>
        <v>0</v>
      </c>
      <c r="N15" s="303">
        <v>0.3</v>
      </c>
      <c r="O15" s="304">
        <f>+ROUND((N15*F15),0)</f>
        <v>553669</v>
      </c>
      <c r="P15" s="305">
        <f t="shared" si="1"/>
        <v>1</v>
      </c>
      <c r="Q15" s="158">
        <v>0</v>
      </c>
      <c r="R15" s="194">
        <f>+ROUND((Q15*F15),0)</f>
        <v>0</v>
      </c>
      <c r="S15" s="195">
        <f>R15/$H$15</f>
        <v>0</v>
      </c>
      <c r="T15" s="158">
        <v>0</v>
      </c>
      <c r="U15" s="194">
        <f>+ROUND((T15*K15),0)</f>
        <v>0</v>
      </c>
      <c r="V15" s="195">
        <f>U15/$H$15</f>
        <v>0</v>
      </c>
      <c r="W15" s="432">
        <v>0</v>
      </c>
      <c r="X15" s="425">
        <f>+ROUND((W15*N15),0)</f>
        <v>0</v>
      </c>
      <c r="Y15" s="426">
        <f>X15/$H$15</f>
        <v>0</v>
      </c>
      <c r="Z15" s="432">
        <v>0</v>
      </c>
      <c r="AA15" s="425">
        <f t="shared" ref="AA15:AA16" si="4">+ROUND((Z15*G15),0)</f>
        <v>0</v>
      </c>
      <c r="AB15" s="426">
        <f t="shared" ref="AB15:AB16" si="5">AA15/I15</f>
        <v>0</v>
      </c>
      <c r="AC15" s="416">
        <f t="shared" ref="AC15:AC16" si="6">K15+N15+Q15+T15+W15+Z15</f>
        <v>0.3</v>
      </c>
      <c r="AD15" s="175">
        <f t="shared" ref="AD15:AD16" si="7">L15+O15+R15+U15+X15+AA15</f>
        <v>553669</v>
      </c>
      <c r="AE15" s="176">
        <f t="shared" si="2"/>
        <v>1</v>
      </c>
    </row>
    <row r="16" spans="1:31" ht="28.8" x14ac:dyDescent="0.3">
      <c r="A16" s="1314"/>
      <c r="B16" s="1314"/>
      <c r="C16" s="355" t="s">
        <v>61</v>
      </c>
      <c r="D16" s="355" t="s">
        <v>85</v>
      </c>
      <c r="E16" s="355">
        <v>0.3</v>
      </c>
      <c r="F16" s="192">
        <v>7312607</v>
      </c>
      <c r="G16" s="32">
        <f t="shared" si="3"/>
        <v>7685550</v>
      </c>
      <c r="H16" s="192">
        <f>ROUND((E16*F16),0)</f>
        <v>2193782</v>
      </c>
      <c r="I16" s="32">
        <f>+ROUND(G16*E16,0)</f>
        <v>2305665</v>
      </c>
      <c r="J16" s="1314"/>
      <c r="K16" s="303">
        <v>0.3</v>
      </c>
      <c r="L16" s="304">
        <f>ROUND(K16*F16,0)</f>
        <v>2193782</v>
      </c>
      <c r="M16" s="305">
        <f t="shared" si="0"/>
        <v>1</v>
      </c>
      <c r="N16" s="158">
        <v>0</v>
      </c>
      <c r="O16" s="194">
        <v>0</v>
      </c>
      <c r="P16" s="195">
        <f t="shared" si="1"/>
        <v>0</v>
      </c>
      <c r="Q16" s="158">
        <v>0</v>
      </c>
      <c r="R16" s="194">
        <f>+ROUND((Q16*F16),0)</f>
        <v>0</v>
      </c>
      <c r="S16" s="195">
        <f>R16/$H$16</f>
        <v>0</v>
      </c>
      <c r="T16" s="158">
        <v>0</v>
      </c>
      <c r="U16" s="194">
        <f>+ROUND((T16*K16),0)</f>
        <v>0</v>
      </c>
      <c r="V16" s="195">
        <f>U16/$H$16</f>
        <v>0</v>
      </c>
      <c r="W16" s="432">
        <v>0</v>
      </c>
      <c r="X16" s="425">
        <f>+ROUND((W16*N16),0)</f>
        <v>0</v>
      </c>
      <c r="Y16" s="426">
        <f>X16/$H$16</f>
        <v>0</v>
      </c>
      <c r="Z16" s="432">
        <v>0</v>
      </c>
      <c r="AA16" s="425">
        <f t="shared" si="4"/>
        <v>0</v>
      </c>
      <c r="AB16" s="426">
        <f t="shared" si="5"/>
        <v>0</v>
      </c>
      <c r="AC16" s="416">
        <f t="shared" si="6"/>
        <v>0.3</v>
      </c>
      <c r="AD16" s="175">
        <f t="shared" si="7"/>
        <v>2193782</v>
      </c>
      <c r="AE16" s="176">
        <f t="shared" si="2"/>
        <v>1</v>
      </c>
    </row>
    <row r="17" spans="1:31" x14ac:dyDescent="0.3">
      <c r="A17" s="1314"/>
      <c r="B17" s="1314"/>
      <c r="C17" s="196"/>
      <c r="D17" s="196" t="s">
        <v>86</v>
      </c>
      <c r="E17" s="198"/>
      <c r="F17" s="198"/>
      <c r="G17" s="198"/>
      <c r="H17" s="199">
        <f>SUM(H14:H16)</f>
        <v>3311567</v>
      </c>
      <c r="I17" s="199">
        <f>SUM(I14:I16)</f>
        <v>3480457</v>
      </c>
      <c r="J17" s="1314"/>
      <c r="K17" s="306"/>
      <c r="L17" s="307">
        <f>SUM(L14:L16)</f>
        <v>2193782</v>
      </c>
      <c r="M17" s="308">
        <f t="shared" si="0"/>
        <v>0.66246040016705088</v>
      </c>
      <c r="N17" s="306"/>
      <c r="O17" s="307">
        <f>SUM(O14:O16)</f>
        <v>1117785</v>
      </c>
      <c r="P17" s="308">
        <f t="shared" si="1"/>
        <v>0.33753959983294918</v>
      </c>
      <c r="Q17" s="306"/>
      <c r="R17" s="307">
        <f>SUM(R14:R16)</f>
        <v>0</v>
      </c>
      <c r="S17" s="308">
        <f>R17/$H$17</f>
        <v>0</v>
      </c>
      <c r="T17" s="306"/>
      <c r="U17" s="307">
        <f>SUM(U14:U16)</f>
        <v>0</v>
      </c>
      <c r="V17" s="308">
        <f>U17/$H$17</f>
        <v>0</v>
      </c>
      <c r="W17" s="428"/>
      <c r="X17" s="307">
        <f>SUM(X14:X16)</f>
        <v>0</v>
      </c>
      <c r="Y17" s="431">
        <f>X17/$H$17</f>
        <v>0</v>
      </c>
      <c r="Z17" s="428"/>
      <c r="AA17" s="307">
        <f>SUM(AA14:AA16)</f>
        <v>0</v>
      </c>
      <c r="AB17" s="431">
        <f>AA17/$H$17</f>
        <v>0</v>
      </c>
      <c r="AC17" s="306"/>
      <c r="AD17" s="1078">
        <f>L17+O17+R17+U17+X17+AA17</f>
        <v>3311567</v>
      </c>
      <c r="AE17" s="308">
        <f t="shared" si="2"/>
        <v>1</v>
      </c>
    </row>
    <row r="18" spans="1:31" ht="28.8" x14ac:dyDescent="0.3">
      <c r="A18" s="1314" t="s">
        <v>875</v>
      </c>
      <c r="B18" s="1314" t="s">
        <v>877</v>
      </c>
      <c r="C18" s="355" t="s">
        <v>81</v>
      </c>
      <c r="D18" s="355" t="s">
        <v>878</v>
      </c>
      <c r="E18" s="355">
        <v>1</v>
      </c>
      <c r="F18" s="192">
        <v>5536688</v>
      </c>
      <c r="G18" s="32">
        <f t="shared" si="3"/>
        <v>5819059</v>
      </c>
      <c r="H18" s="192">
        <f>ROUND((E18*F18),0)</f>
        <v>5536688</v>
      </c>
      <c r="I18" s="32">
        <f t="shared" ref="I18:I20" si="8">+ROUND(G18*E18,0)</f>
        <v>5819059</v>
      </c>
      <c r="J18" s="1314"/>
      <c r="K18" s="149">
        <v>0</v>
      </c>
      <c r="L18" s="175">
        <v>0</v>
      </c>
      <c r="M18" s="176">
        <f t="shared" si="0"/>
        <v>0</v>
      </c>
      <c r="N18" s="303">
        <v>0.3</v>
      </c>
      <c r="O18" s="304">
        <f>+ROUND((N18*F18),0)</f>
        <v>1661006</v>
      </c>
      <c r="P18" s="305">
        <f t="shared" si="1"/>
        <v>0.29999992775464324</v>
      </c>
      <c r="Q18" s="158">
        <v>0</v>
      </c>
      <c r="R18" s="194">
        <f>+ROUND((Q18*$F$18),0)</f>
        <v>0</v>
      </c>
      <c r="S18" s="195">
        <f>R18/$H$18</f>
        <v>0</v>
      </c>
      <c r="T18" s="158">
        <v>0</v>
      </c>
      <c r="U18" s="194">
        <f>+ROUND((T18*$F$18),0)</f>
        <v>0</v>
      </c>
      <c r="V18" s="195">
        <f>U18/$H$18</f>
        <v>0</v>
      </c>
      <c r="W18" s="433">
        <v>0.7</v>
      </c>
      <c r="X18" s="429">
        <f>+ROUND((W18*$F$18),0)</f>
        <v>3875682</v>
      </c>
      <c r="Y18" s="430">
        <f>X18/$H$18</f>
        <v>0.70000007224535676</v>
      </c>
      <c r="Z18" s="432">
        <v>0</v>
      </c>
      <c r="AA18" s="425">
        <f t="shared" ref="AA18:AA20" si="9">+ROUND((Z18*G18),0)</f>
        <v>0</v>
      </c>
      <c r="AB18" s="426">
        <f t="shared" ref="AB18:AB20" si="10">AA18/I18</f>
        <v>0</v>
      </c>
      <c r="AC18" s="416">
        <f t="shared" ref="AC18:AC20" si="11">K18+N18+Q18+T18+W18+Z18</f>
        <v>1</v>
      </c>
      <c r="AD18" s="175">
        <f t="shared" ref="AD18:AD81" si="12">L18+O18+R18+U18+X18+AA18</f>
        <v>5536688</v>
      </c>
      <c r="AE18" s="176">
        <f t="shared" si="2"/>
        <v>1</v>
      </c>
    </row>
    <row r="19" spans="1:31" ht="28.8" x14ac:dyDescent="0.3">
      <c r="A19" s="1314"/>
      <c r="B19" s="1314"/>
      <c r="C19" s="355" t="s">
        <v>83</v>
      </c>
      <c r="D19" s="355" t="s">
        <v>879</v>
      </c>
      <c r="E19" s="355">
        <v>1</v>
      </c>
      <c r="F19" s="192">
        <v>8566197</v>
      </c>
      <c r="G19" s="32">
        <f t="shared" si="3"/>
        <v>9003073</v>
      </c>
      <c r="H19" s="192">
        <f>ROUND((E19*F19),0)</f>
        <v>8566197</v>
      </c>
      <c r="I19" s="32">
        <f t="shared" si="8"/>
        <v>9003073</v>
      </c>
      <c r="J19" s="1314"/>
      <c r="K19" s="149">
        <v>0</v>
      </c>
      <c r="L19" s="175">
        <v>0</v>
      </c>
      <c r="M19" s="176">
        <f t="shared" si="0"/>
        <v>0</v>
      </c>
      <c r="N19" s="303">
        <v>1</v>
      </c>
      <c r="O19" s="304">
        <f>+ROUND((N19*F19),0)</f>
        <v>8566197</v>
      </c>
      <c r="P19" s="305">
        <f t="shared" si="1"/>
        <v>1</v>
      </c>
      <c r="Q19" s="158">
        <v>0</v>
      </c>
      <c r="R19" s="194">
        <f>+ROUND((Q19*$F$19),0)</f>
        <v>0</v>
      </c>
      <c r="S19" s="195">
        <f>R19/$H$19</f>
        <v>0</v>
      </c>
      <c r="T19" s="158">
        <v>0</v>
      </c>
      <c r="U19" s="194">
        <f>+ROUND((T19*$F$19),0)</f>
        <v>0</v>
      </c>
      <c r="V19" s="195">
        <f>U19/$H$19</f>
        <v>0</v>
      </c>
      <c r="W19" s="432">
        <v>0</v>
      </c>
      <c r="X19" s="425">
        <f>+ROUND((W19*$F$19),0)</f>
        <v>0</v>
      </c>
      <c r="Y19" s="426">
        <f>X19/$H$19</f>
        <v>0</v>
      </c>
      <c r="Z19" s="432">
        <v>0</v>
      </c>
      <c r="AA19" s="425">
        <f>+ROUND((Z19*G19),0)</f>
        <v>0</v>
      </c>
      <c r="AB19" s="426">
        <f t="shared" si="10"/>
        <v>0</v>
      </c>
      <c r="AC19" s="416">
        <f t="shared" si="11"/>
        <v>1</v>
      </c>
      <c r="AD19" s="175">
        <f t="shared" si="12"/>
        <v>8566197</v>
      </c>
      <c r="AE19" s="176">
        <f t="shared" si="2"/>
        <v>1</v>
      </c>
    </row>
    <row r="20" spans="1:31" ht="28.8" x14ac:dyDescent="0.3">
      <c r="A20" s="1314"/>
      <c r="B20" s="1314"/>
      <c r="C20" s="355" t="s">
        <v>61</v>
      </c>
      <c r="D20" s="355" t="s">
        <v>880</v>
      </c>
      <c r="E20" s="355">
        <v>1</v>
      </c>
      <c r="F20" s="192">
        <v>17585079</v>
      </c>
      <c r="G20" s="32">
        <f t="shared" si="3"/>
        <v>18481918</v>
      </c>
      <c r="H20" s="192">
        <f>ROUND((E20*F20),0)</f>
        <v>17585079</v>
      </c>
      <c r="I20" s="32">
        <f t="shared" si="8"/>
        <v>18481918</v>
      </c>
      <c r="J20" s="1314"/>
      <c r="K20" s="303">
        <v>1</v>
      </c>
      <c r="L20" s="304">
        <f>ROUND(K20*F20,0)</f>
        <v>17585079</v>
      </c>
      <c r="M20" s="305">
        <f t="shared" si="0"/>
        <v>1</v>
      </c>
      <c r="N20" s="158">
        <v>0</v>
      </c>
      <c r="O20" s="194">
        <v>0</v>
      </c>
      <c r="P20" s="195">
        <f t="shared" si="1"/>
        <v>0</v>
      </c>
      <c r="Q20" s="158">
        <v>0</v>
      </c>
      <c r="R20" s="194">
        <f>+ROUND((Q20*$F$20),0)</f>
        <v>0</v>
      </c>
      <c r="S20" s="195">
        <f>R20/$H$20</f>
        <v>0</v>
      </c>
      <c r="T20" s="158">
        <v>0</v>
      </c>
      <c r="U20" s="194">
        <f>+ROUND((T20*$F$20),0)</f>
        <v>0</v>
      </c>
      <c r="V20" s="195">
        <f>U20/$H$20</f>
        <v>0</v>
      </c>
      <c r="W20" s="432">
        <v>0</v>
      </c>
      <c r="X20" s="425">
        <f>+ROUND((W20*$F$20),0)</f>
        <v>0</v>
      </c>
      <c r="Y20" s="426">
        <f>X20/$H$20</f>
        <v>0</v>
      </c>
      <c r="Z20" s="432">
        <v>0</v>
      </c>
      <c r="AA20" s="425">
        <f t="shared" si="9"/>
        <v>0</v>
      </c>
      <c r="AB20" s="426">
        <f t="shared" si="10"/>
        <v>0</v>
      </c>
      <c r="AC20" s="416">
        <f t="shared" si="11"/>
        <v>1</v>
      </c>
      <c r="AD20" s="175">
        <f t="shared" si="12"/>
        <v>17585079</v>
      </c>
      <c r="AE20" s="176">
        <f t="shared" si="2"/>
        <v>1</v>
      </c>
    </row>
    <row r="21" spans="1:31" x14ac:dyDescent="0.3">
      <c r="A21" s="1314"/>
      <c r="B21" s="1314"/>
      <c r="C21" s="196"/>
      <c r="D21" s="196" t="s">
        <v>229</v>
      </c>
      <c r="E21" s="198"/>
      <c r="F21" s="198"/>
      <c r="G21" s="198"/>
      <c r="H21" s="199">
        <f>SUM(H18:H20)</f>
        <v>31687964</v>
      </c>
      <c r="I21" s="199">
        <f>SUM(I18:I20)</f>
        <v>33304050</v>
      </c>
      <c r="J21" s="1314"/>
      <c r="K21" s="306"/>
      <c r="L21" s="307">
        <f>SUM(L18:L20)</f>
        <v>17585079</v>
      </c>
      <c r="M21" s="308">
        <f t="shared" si="0"/>
        <v>0.55494505737257216</v>
      </c>
      <c r="N21" s="306"/>
      <c r="O21" s="307">
        <f>SUM(O18:O20)</f>
        <v>10227203</v>
      </c>
      <c r="P21" s="308">
        <f t="shared" si="1"/>
        <v>0.32274724245457992</v>
      </c>
      <c r="Q21" s="306"/>
      <c r="R21" s="307">
        <f>SUM(R18:R20)</f>
        <v>0</v>
      </c>
      <c r="S21" s="308">
        <f>R21/$H$21</f>
        <v>0</v>
      </c>
      <c r="T21" s="306"/>
      <c r="U21" s="307">
        <f>SUM(U18:U20)</f>
        <v>0</v>
      </c>
      <c r="V21" s="308">
        <f>U21/$H$21</f>
        <v>0</v>
      </c>
      <c r="W21" s="428"/>
      <c r="X21" s="307">
        <f>SUM(X18:X20)</f>
        <v>3875682</v>
      </c>
      <c r="Y21" s="431">
        <f>X21/$H$21</f>
        <v>0.12230770017284796</v>
      </c>
      <c r="Z21" s="428"/>
      <c r="AA21" s="307">
        <f>SUM(AA18:AA20)</f>
        <v>0</v>
      </c>
      <c r="AB21" s="431">
        <f>AA21/$H$21</f>
        <v>0</v>
      </c>
      <c r="AC21" s="306"/>
      <c r="AD21" s="1078">
        <f t="shared" si="12"/>
        <v>31687964</v>
      </c>
      <c r="AE21" s="308">
        <f t="shared" si="2"/>
        <v>1</v>
      </c>
    </row>
    <row r="22" spans="1:31" ht="28.8" x14ac:dyDescent="0.3">
      <c r="A22" s="1314" t="s">
        <v>875</v>
      </c>
      <c r="B22" s="1314" t="s">
        <v>217</v>
      </c>
      <c r="C22" s="355" t="s">
        <v>81</v>
      </c>
      <c r="D22" s="355" t="s">
        <v>218</v>
      </c>
      <c r="E22" s="355">
        <v>0.3</v>
      </c>
      <c r="F22" s="192">
        <v>1149124</v>
      </c>
      <c r="G22" s="32">
        <f t="shared" si="3"/>
        <v>1207729</v>
      </c>
      <c r="H22" s="192">
        <f>ROUND((E22*F22),0)</f>
        <v>344737</v>
      </c>
      <c r="I22" s="32">
        <f t="shared" ref="I22:I24" si="13">+ROUND(G22*E22,0)</f>
        <v>362319</v>
      </c>
      <c r="J22" s="1314" t="s">
        <v>881</v>
      </c>
      <c r="K22" s="149">
        <v>0</v>
      </c>
      <c r="L22" s="175">
        <v>0</v>
      </c>
      <c r="M22" s="176">
        <f t="shared" si="0"/>
        <v>0</v>
      </c>
      <c r="N22" s="303">
        <v>0.3</v>
      </c>
      <c r="O22" s="304">
        <f>+ROUND((N22*F22),0)</f>
        <v>344737</v>
      </c>
      <c r="P22" s="305">
        <f t="shared" si="1"/>
        <v>1</v>
      </c>
      <c r="Q22" s="158">
        <v>0</v>
      </c>
      <c r="R22" s="194">
        <f>+ROUND((Q22*$F$22),0)</f>
        <v>0</v>
      </c>
      <c r="S22" s="195">
        <f>R22/$H$22</f>
        <v>0</v>
      </c>
      <c r="T22" s="158">
        <v>0</v>
      </c>
      <c r="U22" s="194">
        <f>+ROUND((T22*$F$22),0)</f>
        <v>0</v>
      </c>
      <c r="V22" s="195">
        <f>U22/$H$22</f>
        <v>0</v>
      </c>
      <c r="W22" s="432">
        <v>0</v>
      </c>
      <c r="X22" s="425">
        <f>+ROUND((W22*$F$22),0)</f>
        <v>0</v>
      </c>
      <c r="Y22" s="426">
        <f>X22/$H$22</f>
        <v>0</v>
      </c>
      <c r="Z22" s="432">
        <v>0</v>
      </c>
      <c r="AA22" s="425">
        <f t="shared" ref="AA22:AA24" si="14">+ROUND((Z22*G22),0)</f>
        <v>0</v>
      </c>
      <c r="AB22" s="426">
        <f t="shared" ref="AB22:AB24" si="15">AA22/I22</f>
        <v>0</v>
      </c>
      <c r="AC22" s="416">
        <f t="shared" ref="AC22:AC24" si="16">K22+N22+Q22+T22+W22+Z22</f>
        <v>0.3</v>
      </c>
      <c r="AD22" s="175">
        <f t="shared" si="12"/>
        <v>344737</v>
      </c>
      <c r="AE22" s="176">
        <f t="shared" si="2"/>
        <v>1</v>
      </c>
    </row>
    <row r="23" spans="1:31" ht="28.8" x14ac:dyDescent="0.3">
      <c r="A23" s="1314"/>
      <c r="B23" s="1314"/>
      <c r="C23" s="355" t="s">
        <v>83</v>
      </c>
      <c r="D23" s="355" t="s">
        <v>219</v>
      </c>
      <c r="E23" s="355">
        <v>0.3</v>
      </c>
      <c r="F23" s="192">
        <v>2646468</v>
      </c>
      <c r="G23" s="32">
        <f t="shared" si="3"/>
        <v>2781438</v>
      </c>
      <c r="H23" s="192">
        <f>ROUND((E23*F23),0)</f>
        <v>793940</v>
      </c>
      <c r="I23" s="32">
        <f t="shared" si="13"/>
        <v>834431</v>
      </c>
      <c r="J23" s="1314"/>
      <c r="K23" s="149">
        <v>0</v>
      </c>
      <c r="L23" s="175">
        <v>0</v>
      </c>
      <c r="M23" s="176">
        <f t="shared" si="0"/>
        <v>0</v>
      </c>
      <c r="N23" s="303">
        <v>0.3</v>
      </c>
      <c r="O23" s="304">
        <f>+ROUND((N23*F23),0)</f>
        <v>793940</v>
      </c>
      <c r="P23" s="305">
        <f t="shared" si="1"/>
        <v>1</v>
      </c>
      <c r="Q23" s="158">
        <v>0</v>
      </c>
      <c r="R23" s="194">
        <f>+ROUND((Q23*$F$23),0)</f>
        <v>0</v>
      </c>
      <c r="S23" s="195">
        <f>R23/$H$23</f>
        <v>0</v>
      </c>
      <c r="T23" s="158">
        <v>0</v>
      </c>
      <c r="U23" s="194">
        <f>+ROUND((T23*$F$23),0)</f>
        <v>0</v>
      </c>
      <c r="V23" s="195">
        <f>U23/$H$23</f>
        <v>0</v>
      </c>
      <c r="W23" s="432">
        <v>0</v>
      </c>
      <c r="X23" s="425">
        <f>+ROUND((W23*$F$23),0)</f>
        <v>0</v>
      </c>
      <c r="Y23" s="426">
        <f>X23/$H$23</f>
        <v>0</v>
      </c>
      <c r="Z23" s="432">
        <v>0</v>
      </c>
      <c r="AA23" s="425">
        <f t="shared" si="14"/>
        <v>0</v>
      </c>
      <c r="AB23" s="426">
        <f t="shared" si="15"/>
        <v>0</v>
      </c>
      <c r="AC23" s="416">
        <f t="shared" si="16"/>
        <v>0.3</v>
      </c>
      <c r="AD23" s="175">
        <f t="shared" si="12"/>
        <v>793940</v>
      </c>
      <c r="AE23" s="176">
        <f t="shared" si="2"/>
        <v>1</v>
      </c>
    </row>
    <row r="24" spans="1:31" ht="28.8" x14ac:dyDescent="0.3">
      <c r="A24" s="1314"/>
      <c r="B24" s="1314"/>
      <c r="C24" s="355" t="s">
        <v>61</v>
      </c>
      <c r="D24" s="355" t="s">
        <v>220</v>
      </c>
      <c r="E24" s="355">
        <v>0.3</v>
      </c>
      <c r="F24" s="192">
        <v>3203618</v>
      </c>
      <c r="G24" s="32">
        <f t="shared" si="3"/>
        <v>3367003</v>
      </c>
      <c r="H24" s="192">
        <f>ROUND((E24*F24),0)</f>
        <v>961085</v>
      </c>
      <c r="I24" s="32">
        <f t="shared" si="13"/>
        <v>1010101</v>
      </c>
      <c r="J24" s="1314"/>
      <c r="K24" s="303">
        <v>0.3</v>
      </c>
      <c r="L24" s="304">
        <f>ROUND(K24*F24,0)</f>
        <v>961085</v>
      </c>
      <c r="M24" s="305">
        <f t="shared" si="0"/>
        <v>1</v>
      </c>
      <c r="N24" s="158">
        <v>0</v>
      </c>
      <c r="O24" s="194">
        <v>0</v>
      </c>
      <c r="P24" s="195">
        <f t="shared" si="1"/>
        <v>0</v>
      </c>
      <c r="Q24" s="158">
        <v>0</v>
      </c>
      <c r="R24" s="194">
        <f>+ROUND((Q24*$F$24),0)</f>
        <v>0</v>
      </c>
      <c r="S24" s="195">
        <f>R24/$H$24</f>
        <v>0</v>
      </c>
      <c r="T24" s="158">
        <v>0</v>
      </c>
      <c r="U24" s="194">
        <f>+ROUND((T24*$F$24),0)</f>
        <v>0</v>
      </c>
      <c r="V24" s="195">
        <f>U24/$H$24</f>
        <v>0</v>
      </c>
      <c r="W24" s="432">
        <v>0</v>
      </c>
      <c r="X24" s="425">
        <f>+ROUND((W24*$F$24),0)</f>
        <v>0</v>
      </c>
      <c r="Y24" s="426">
        <f>X24/$H$24</f>
        <v>0</v>
      </c>
      <c r="Z24" s="432">
        <v>0</v>
      </c>
      <c r="AA24" s="425">
        <f t="shared" si="14"/>
        <v>0</v>
      </c>
      <c r="AB24" s="426">
        <f t="shared" si="15"/>
        <v>0</v>
      </c>
      <c r="AC24" s="416">
        <f t="shared" si="16"/>
        <v>0.3</v>
      </c>
      <c r="AD24" s="175">
        <f t="shared" si="12"/>
        <v>961085</v>
      </c>
      <c r="AE24" s="176">
        <f t="shared" si="2"/>
        <v>1</v>
      </c>
    </row>
    <row r="25" spans="1:31" x14ac:dyDescent="0.3">
      <c r="A25" s="1314"/>
      <c r="B25" s="1314"/>
      <c r="C25" s="196"/>
      <c r="D25" s="196" t="s">
        <v>221</v>
      </c>
      <c r="E25" s="198"/>
      <c r="F25" s="198"/>
      <c r="G25" s="198"/>
      <c r="H25" s="199">
        <f>SUM(H22:H24)</f>
        <v>2099762</v>
      </c>
      <c r="I25" s="199">
        <f>SUM(I22:I24)</f>
        <v>2206851</v>
      </c>
      <c r="J25" s="1314"/>
      <c r="K25" s="306"/>
      <c r="L25" s="307">
        <f>SUM(L22:L24)</f>
        <v>961085</v>
      </c>
      <c r="M25" s="308">
        <f t="shared" si="0"/>
        <v>0.45771139776793751</v>
      </c>
      <c r="N25" s="306"/>
      <c r="O25" s="307">
        <f>SUM(O22:O24)</f>
        <v>1138677</v>
      </c>
      <c r="P25" s="308">
        <f t="shared" si="1"/>
        <v>0.54228860223206254</v>
      </c>
      <c r="Q25" s="306"/>
      <c r="R25" s="307">
        <f>SUM(R22:R24)</f>
        <v>0</v>
      </c>
      <c r="S25" s="308">
        <f>R25/$H$25</f>
        <v>0</v>
      </c>
      <c r="T25" s="306"/>
      <c r="U25" s="307">
        <f>SUM(U22:U24)</f>
        <v>0</v>
      </c>
      <c r="V25" s="308">
        <f>U25/$H$25</f>
        <v>0</v>
      </c>
      <c r="W25" s="428"/>
      <c r="X25" s="307">
        <f>SUM(X22:X24)</f>
        <v>0</v>
      </c>
      <c r="Y25" s="431">
        <f>X25/$H$25</f>
        <v>0</v>
      </c>
      <c r="Z25" s="428"/>
      <c r="AA25" s="307">
        <f>SUM(AA22:AA24)</f>
        <v>0</v>
      </c>
      <c r="AB25" s="431">
        <f>AA25/$H$25</f>
        <v>0</v>
      </c>
      <c r="AC25" s="306"/>
      <c r="AD25" s="1078">
        <f t="shared" si="12"/>
        <v>2099762</v>
      </c>
      <c r="AE25" s="308">
        <f t="shared" si="2"/>
        <v>1</v>
      </c>
    </row>
    <row r="26" spans="1:31" ht="28.8" x14ac:dyDescent="0.3">
      <c r="A26" s="1314" t="s">
        <v>875</v>
      </c>
      <c r="B26" s="1314" t="s">
        <v>165</v>
      </c>
      <c r="C26" s="355" t="s">
        <v>81</v>
      </c>
      <c r="D26" s="355" t="s">
        <v>166</v>
      </c>
      <c r="E26" s="355">
        <v>0</v>
      </c>
      <c r="F26" s="192">
        <v>1149124</v>
      </c>
      <c r="G26" s="32">
        <f t="shared" si="3"/>
        <v>1207729</v>
      </c>
      <c r="H26" s="192">
        <f>ROUND((E26*F26),0)</f>
        <v>0</v>
      </c>
      <c r="I26" s="32">
        <f t="shared" ref="I26:I28" si="17">+ROUND(G26*E26,0)</f>
        <v>0</v>
      </c>
      <c r="J26" s="1314" t="s">
        <v>882</v>
      </c>
      <c r="K26" s="149">
        <v>0</v>
      </c>
      <c r="L26" s="175">
        <v>0</v>
      </c>
      <c r="M26" s="176">
        <v>0</v>
      </c>
      <c r="N26" s="158">
        <v>0</v>
      </c>
      <c r="O26" s="194">
        <v>0</v>
      </c>
      <c r="P26" s="195">
        <v>0</v>
      </c>
      <c r="Q26" s="158">
        <v>0</v>
      </c>
      <c r="R26" s="194">
        <f>+ROUND((Q26*$F$26),0)</f>
        <v>0</v>
      </c>
      <c r="S26" s="195">
        <v>0</v>
      </c>
      <c r="T26" s="158">
        <v>0</v>
      </c>
      <c r="U26" s="194">
        <f>+ROUND((T26*$F$26),0)</f>
        <v>0</v>
      </c>
      <c r="V26" s="195">
        <v>0</v>
      </c>
      <c r="W26" s="432">
        <v>0</v>
      </c>
      <c r="X26" s="425">
        <f>+ROUND((W26*$F$26),0)</f>
        <v>0</v>
      </c>
      <c r="Y26" s="426">
        <v>0</v>
      </c>
      <c r="Z26" s="432">
        <v>0</v>
      </c>
      <c r="AA26" s="425">
        <f t="shared" ref="AA26:AA28" si="18">+ROUND((Z26*G26),0)</f>
        <v>0</v>
      </c>
      <c r="AB26" s="426" t="e">
        <f t="shared" ref="AB26:AB28" si="19">AA26/I26</f>
        <v>#DIV/0!</v>
      </c>
      <c r="AC26" s="416">
        <f t="shared" ref="AC26:AC28" si="20">K26+N26+Q26+T26+W26+Z26</f>
        <v>0</v>
      </c>
      <c r="AD26" s="175">
        <f t="shared" si="12"/>
        <v>0</v>
      </c>
      <c r="AE26" s="176">
        <v>0</v>
      </c>
    </row>
    <row r="27" spans="1:31" ht="28.8" x14ac:dyDescent="0.3">
      <c r="A27" s="1314"/>
      <c r="B27" s="1314"/>
      <c r="C27" s="355" t="s">
        <v>83</v>
      </c>
      <c r="D27" s="355" t="s">
        <v>167</v>
      </c>
      <c r="E27" s="355">
        <v>0.3</v>
      </c>
      <c r="F27" s="192">
        <v>2646468</v>
      </c>
      <c r="G27" s="32">
        <f t="shared" si="3"/>
        <v>2781438</v>
      </c>
      <c r="H27" s="192">
        <f>ROUND((E27*F27),0)</f>
        <v>793940</v>
      </c>
      <c r="I27" s="32">
        <f t="shared" si="17"/>
        <v>834431</v>
      </c>
      <c r="J27" s="1314"/>
      <c r="K27" s="149">
        <v>0</v>
      </c>
      <c r="L27" s="175">
        <v>0</v>
      </c>
      <c r="M27" s="176">
        <f t="shared" ref="M27:M47" si="21">L27/H27</f>
        <v>0</v>
      </c>
      <c r="N27" s="303">
        <v>0.3</v>
      </c>
      <c r="O27" s="304">
        <f>+ROUND((N27*F27),0)</f>
        <v>793940</v>
      </c>
      <c r="P27" s="305">
        <f t="shared" ref="P27:P47" si="22">O27/H27</f>
        <v>1</v>
      </c>
      <c r="Q27" s="158">
        <v>0</v>
      </c>
      <c r="R27" s="194">
        <f>+ROUND((Q27*$F$27),0)</f>
        <v>0</v>
      </c>
      <c r="S27" s="195">
        <f>R27/$H$27</f>
        <v>0</v>
      </c>
      <c r="T27" s="158">
        <v>0</v>
      </c>
      <c r="U27" s="194">
        <f>+ROUND((T27*$F$27),0)</f>
        <v>0</v>
      </c>
      <c r="V27" s="195">
        <f>U27/$H$27</f>
        <v>0</v>
      </c>
      <c r="W27" s="432">
        <v>0</v>
      </c>
      <c r="X27" s="425">
        <f>+ROUND((W27*$F$27),0)</f>
        <v>0</v>
      </c>
      <c r="Y27" s="426">
        <f>X27/$H$27</f>
        <v>0</v>
      </c>
      <c r="Z27" s="432">
        <v>0</v>
      </c>
      <c r="AA27" s="425">
        <f t="shared" si="18"/>
        <v>0</v>
      </c>
      <c r="AB27" s="426">
        <f t="shared" si="19"/>
        <v>0</v>
      </c>
      <c r="AC27" s="416">
        <f t="shared" si="20"/>
        <v>0.3</v>
      </c>
      <c r="AD27" s="175">
        <f t="shared" si="12"/>
        <v>793940</v>
      </c>
      <c r="AE27" s="176">
        <f t="shared" ref="AE27:AE90" si="23">AD27/H27</f>
        <v>1</v>
      </c>
    </row>
    <row r="28" spans="1:31" ht="28.8" x14ac:dyDescent="0.3">
      <c r="A28" s="1314"/>
      <c r="B28" s="1314"/>
      <c r="C28" s="355" t="s">
        <v>61</v>
      </c>
      <c r="D28" s="355" t="s">
        <v>168</v>
      </c>
      <c r="E28" s="355">
        <v>0.15</v>
      </c>
      <c r="F28" s="192">
        <v>2542001</v>
      </c>
      <c r="G28" s="32">
        <f t="shared" si="3"/>
        <v>2671643</v>
      </c>
      <c r="H28" s="192">
        <f>ROUND((E28*F28),0)</f>
        <v>381300</v>
      </c>
      <c r="I28" s="32">
        <f t="shared" si="17"/>
        <v>400746</v>
      </c>
      <c r="J28" s="1314"/>
      <c r="K28" s="303">
        <v>0.15</v>
      </c>
      <c r="L28" s="304">
        <f>ROUND(K28*F28,0)</f>
        <v>381300</v>
      </c>
      <c r="M28" s="305">
        <f t="shared" si="21"/>
        <v>1</v>
      </c>
      <c r="N28" s="158">
        <v>0</v>
      </c>
      <c r="O28" s="194">
        <v>0</v>
      </c>
      <c r="P28" s="195">
        <f t="shared" si="22"/>
        <v>0</v>
      </c>
      <c r="Q28" s="158">
        <v>0</v>
      </c>
      <c r="R28" s="194">
        <f>+ROUND((Q28*$F$28),0)</f>
        <v>0</v>
      </c>
      <c r="S28" s="195">
        <f>R28/$H$28</f>
        <v>0</v>
      </c>
      <c r="T28" s="158">
        <v>0</v>
      </c>
      <c r="U28" s="194">
        <f>+ROUND((T28*$F$28),0)</f>
        <v>0</v>
      </c>
      <c r="V28" s="195">
        <f>U28/$H$28</f>
        <v>0</v>
      </c>
      <c r="W28" s="432">
        <v>0</v>
      </c>
      <c r="X28" s="425">
        <f>+ROUND((W28*$F$28),0)</f>
        <v>0</v>
      </c>
      <c r="Y28" s="426">
        <f>X28/$H$28</f>
        <v>0</v>
      </c>
      <c r="Z28" s="432">
        <v>0</v>
      </c>
      <c r="AA28" s="425">
        <f t="shared" si="18"/>
        <v>0</v>
      </c>
      <c r="AB28" s="426">
        <f t="shared" si="19"/>
        <v>0</v>
      </c>
      <c r="AC28" s="416">
        <f t="shared" si="20"/>
        <v>0.15</v>
      </c>
      <c r="AD28" s="175">
        <f t="shared" si="12"/>
        <v>381300</v>
      </c>
      <c r="AE28" s="176">
        <f t="shared" si="23"/>
        <v>1</v>
      </c>
    </row>
    <row r="29" spans="1:31" x14ac:dyDescent="0.3">
      <c r="A29" s="1314"/>
      <c r="B29" s="1314"/>
      <c r="C29" s="196"/>
      <c r="D29" s="196" t="s">
        <v>169</v>
      </c>
      <c r="E29" s="198"/>
      <c r="F29" s="198"/>
      <c r="G29" s="198"/>
      <c r="H29" s="199">
        <f>SUM(H26:H28)</f>
        <v>1175240</v>
      </c>
      <c r="I29" s="199">
        <f>SUM(I26:I28)</f>
        <v>1235177</v>
      </c>
      <c r="J29" s="1314"/>
      <c r="K29" s="306"/>
      <c r="L29" s="307">
        <f>SUM(L26:L28)</f>
        <v>381300</v>
      </c>
      <c r="M29" s="308">
        <f t="shared" si="21"/>
        <v>0.32444436880977501</v>
      </c>
      <c r="N29" s="306"/>
      <c r="O29" s="307">
        <f>SUM(O26:O28)</f>
        <v>793940</v>
      </c>
      <c r="P29" s="308">
        <f t="shared" si="22"/>
        <v>0.67555563119022499</v>
      </c>
      <c r="Q29" s="306"/>
      <c r="R29" s="307">
        <f>SUM(R26:R28)</f>
        <v>0</v>
      </c>
      <c r="S29" s="308">
        <f>R29/$H$29</f>
        <v>0</v>
      </c>
      <c r="T29" s="306"/>
      <c r="U29" s="307">
        <f>SUM(U26:U28)</f>
        <v>0</v>
      </c>
      <c r="V29" s="308">
        <f>U29/$H$29</f>
        <v>0</v>
      </c>
      <c r="W29" s="428"/>
      <c r="X29" s="307">
        <f>SUM(X26:X28)</f>
        <v>0</v>
      </c>
      <c r="Y29" s="431">
        <f>X29/$H$29</f>
        <v>0</v>
      </c>
      <c r="Z29" s="428"/>
      <c r="AA29" s="307">
        <f>SUM(AA26:AA28)</f>
        <v>0</v>
      </c>
      <c r="AB29" s="431">
        <f>AA29/$H$29</f>
        <v>0</v>
      </c>
      <c r="AC29" s="306"/>
      <c r="AD29" s="1078">
        <f t="shared" si="12"/>
        <v>1175240</v>
      </c>
      <c r="AE29" s="308">
        <f t="shared" si="23"/>
        <v>1</v>
      </c>
    </row>
    <row r="30" spans="1:31" ht="28.8" x14ac:dyDescent="0.3">
      <c r="A30" s="1314" t="s">
        <v>875</v>
      </c>
      <c r="B30" s="1314" t="s">
        <v>883</v>
      </c>
      <c r="C30" s="355" t="s">
        <v>81</v>
      </c>
      <c r="D30" s="355" t="s">
        <v>230</v>
      </c>
      <c r="E30" s="355">
        <v>0.6</v>
      </c>
      <c r="F30" s="192">
        <v>1497343</v>
      </c>
      <c r="G30" s="32">
        <f t="shared" si="3"/>
        <v>1573707</v>
      </c>
      <c r="H30" s="192">
        <f>ROUND((E30*F30),0)</f>
        <v>898406</v>
      </c>
      <c r="I30" s="32">
        <f t="shared" ref="I30:I32" si="24">+ROUND(G30*E30,0)</f>
        <v>944224</v>
      </c>
      <c r="J30" s="1314" t="s">
        <v>884</v>
      </c>
      <c r="K30" s="149">
        <v>0</v>
      </c>
      <c r="L30" s="175">
        <v>0</v>
      </c>
      <c r="M30" s="176">
        <f t="shared" si="21"/>
        <v>0</v>
      </c>
      <c r="N30" s="303">
        <v>0.6</v>
      </c>
      <c r="O30" s="304">
        <f>+ROUND((N30*F30),0)</f>
        <v>898406</v>
      </c>
      <c r="P30" s="305">
        <f t="shared" si="22"/>
        <v>1</v>
      </c>
      <c r="Q30" s="158">
        <v>0</v>
      </c>
      <c r="R30" s="194">
        <f>+ROUND((Q30*$F$30),0)</f>
        <v>0</v>
      </c>
      <c r="S30" s="195">
        <f>R30/$H$30</f>
        <v>0</v>
      </c>
      <c r="T30" s="158">
        <v>0</v>
      </c>
      <c r="U30" s="194">
        <f>+ROUND((T30*$F$30),0)</f>
        <v>0</v>
      </c>
      <c r="V30" s="195">
        <f>U30/$H$30</f>
        <v>0</v>
      </c>
      <c r="W30" s="432">
        <v>0</v>
      </c>
      <c r="X30" s="425">
        <f>+ROUND((W30*$F$30),0)</f>
        <v>0</v>
      </c>
      <c r="Y30" s="426">
        <f>X30/$H$30</f>
        <v>0</v>
      </c>
      <c r="Z30" s="432">
        <v>0</v>
      </c>
      <c r="AA30" s="425">
        <f t="shared" ref="AA30:AA32" si="25">+ROUND((Z30*G30),0)</f>
        <v>0</v>
      </c>
      <c r="AB30" s="426">
        <f t="shared" ref="AB30:AB32" si="26">AA30/I30</f>
        <v>0</v>
      </c>
      <c r="AC30" s="416">
        <f t="shared" ref="AC30:AC32" si="27">K30+N30+Q30+T30+W30+Z30</f>
        <v>0.6</v>
      </c>
      <c r="AD30" s="175">
        <f t="shared" si="12"/>
        <v>898406</v>
      </c>
      <c r="AE30" s="176">
        <f t="shared" si="23"/>
        <v>1</v>
      </c>
    </row>
    <row r="31" spans="1:31" ht="28.8" x14ac:dyDescent="0.3">
      <c r="A31" s="1314"/>
      <c r="B31" s="1314"/>
      <c r="C31" s="355" t="s">
        <v>83</v>
      </c>
      <c r="D31" s="355" t="s">
        <v>231</v>
      </c>
      <c r="E31" s="355">
        <v>0.6</v>
      </c>
      <c r="F31" s="192">
        <v>3133974</v>
      </c>
      <c r="G31" s="32">
        <f t="shared" si="3"/>
        <v>3293807</v>
      </c>
      <c r="H31" s="192">
        <f>ROUND((E31*F31),0)</f>
        <v>1880384</v>
      </c>
      <c r="I31" s="32">
        <f t="shared" si="24"/>
        <v>1976284</v>
      </c>
      <c r="J31" s="1314"/>
      <c r="K31" s="149">
        <v>0</v>
      </c>
      <c r="L31" s="175">
        <v>0</v>
      </c>
      <c r="M31" s="176">
        <f t="shared" si="21"/>
        <v>0</v>
      </c>
      <c r="N31" s="303">
        <v>0.6</v>
      </c>
      <c r="O31" s="304">
        <f>+ROUND((N31*F31),0)</f>
        <v>1880384</v>
      </c>
      <c r="P31" s="305">
        <f t="shared" si="22"/>
        <v>1</v>
      </c>
      <c r="Q31" s="158">
        <v>0</v>
      </c>
      <c r="R31" s="194">
        <f>+ROUND((Q31*$F$31),0)</f>
        <v>0</v>
      </c>
      <c r="S31" s="195">
        <f>R31/$H$31</f>
        <v>0</v>
      </c>
      <c r="T31" s="158">
        <v>0</v>
      </c>
      <c r="U31" s="194">
        <f>+ROUND((T31*$F$31),0)</f>
        <v>0</v>
      </c>
      <c r="V31" s="195">
        <f>U31/$H$31</f>
        <v>0</v>
      </c>
      <c r="W31" s="432">
        <v>0</v>
      </c>
      <c r="X31" s="425">
        <f>+ROUND((W31*$F$31),0)</f>
        <v>0</v>
      </c>
      <c r="Y31" s="426">
        <f>X31/$H$31</f>
        <v>0</v>
      </c>
      <c r="Z31" s="432">
        <v>0</v>
      </c>
      <c r="AA31" s="425">
        <f>+ROUND((Z31*G31),0)</f>
        <v>0</v>
      </c>
      <c r="AB31" s="426">
        <f t="shared" si="26"/>
        <v>0</v>
      </c>
      <c r="AC31" s="416">
        <f t="shared" si="27"/>
        <v>0.6</v>
      </c>
      <c r="AD31" s="175">
        <f t="shared" si="12"/>
        <v>1880384</v>
      </c>
      <c r="AE31" s="176">
        <f t="shared" si="23"/>
        <v>1</v>
      </c>
    </row>
    <row r="32" spans="1:31" ht="28.8" x14ac:dyDescent="0.3">
      <c r="A32" s="1314"/>
      <c r="B32" s="1314"/>
      <c r="C32" s="355" t="s">
        <v>61</v>
      </c>
      <c r="D32" s="355" t="s">
        <v>232</v>
      </c>
      <c r="E32" s="355">
        <v>0.6</v>
      </c>
      <c r="F32" s="192">
        <v>4004523</v>
      </c>
      <c r="G32" s="32">
        <f t="shared" si="3"/>
        <v>4208754</v>
      </c>
      <c r="H32" s="192">
        <f>ROUND((E32*F32),0)</f>
        <v>2402714</v>
      </c>
      <c r="I32" s="32">
        <f t="shared" si="24"/>
        <v>2525252</v>
      </c>
      <c r="J32" s="1314"/>
      <c r="K32" s="303">
        <v>0.6</v>
      </c>
      <c r="L32" s="304">
        <f>ROUND(K32*F32,0)</f>
        <v>2402714</v>
      </c>
      <c r="M32" s="305">
        <f t="shared" si="21"/>
        <v>1</v>
      </c>
      <c r="N32" s="158">
        <v>0</v>
      </c>
      <c r="O32" s="194">
        <v>0</v>
      </c>
      <c r="P32" s="195">
        <f t="shared" si="22"/>
        <v>0</v>
      </c>
      <c r="Q32" s="158">
        <v>0</v>
      </c>
      <c r="R32" s="194">
        <f>+ROUND((Q32*$F$32),0)</f>
        <v>0</v>
      </c>
      <c r="S32" s="195">
        <f>R32/$H$32</f>
        <v>0</v>
      </c>
      <c r="T32" s="158">
        <v>0</v>
      </c>
      <c r="U32" s="194">
        <f>+ROUND((T32*$F$32),0)</f>
        <v>0</v>
      </c>
      <c r="V32" s="195">
        <f>U32/$H$32</f>
        <v>0</v>
      </c>
      <c r="W32" s="432">
        <v>0</v>
      </c>
      <c r="X32" s="425">
        <f>+ROUND((W32*$F$32),0)</f>
        <v>0</v>
      </c>
      <c r="Y32" s="426">
        <f>X32/$H$32</f>
        <v>0</v>
      </c>
      <c r="Z32" s="432">
        <v>0</v>
      </c>
      <c r="AA32" s="425">
        <f t="shared" si="25"/>
        <v>0</v>
      </c>
      <c r="AB32" s="426">
        <f t="shared" si="26"/>
        <v>0</v>
      </c>
      <c r="AC32" s="416">
        <f t="shared" si="27"/>
        <v>0.6</v>
      </c>
      <c r="AD32" s="175">
        <f t="shared" si="12"/>
        <v>2402714</v>
      </c>
      <c r="AE32" s="176">
        <f t="shared" si="23"/>
        <v>1</v>
      </c>
    </row>
    <row r="33" spans="1:31" x14ac:dyDescent="0.3">
      <c r="A33" s="1314"/>
      <c r="B33" s="1314"/>
      <c r="C33" s="196"/>
      <c r="D33" s="196" t="s">
        <v>233</v>
      </c>
      <c r="E33" s="198"/>
      <c r="F33" s="198"/>
      <c r="G33" s="198"/>
      <c r="H33" s="199">
        <f>SUM(H30:H32)</f>
        <v>5181504</v>
      </c>
      <c r="I33" s="199">
        <f>SUM(I30:I32)</f>
        <v>5445760</v>
      </c>
      <c r="J33" s="1314"/>
      <c r="K33" s="306"/>
      <c r="L33" s="307">
        <f>SUM(L30:L32)</f>
        <v>2402714</v>
      </c>
      <c r="M33" s="308">
        <f t="shared" si="21"/>
        <v>0.46370976457800672</v>
      </c>
      <c r="N33" s="306"/>
      <c r="O33" s="307">
        <f>SUM(O30:O32)</f>
        <v>2778790</v>
      </c>
      <c r="P33" s="308">
        <f t="shared" si="22"/>
        <v>0.53629023542199328</v>
      </c>
      <c r="Q33" s="306"/>
      <c r="R33" s="307">
        <f>SUM(R30:R32)</f>
        <v>0</v>
      </c>
      <c r="S33" s="308">
        <f>R33/$H$33</f>
        <v>0</v>
      </c>
      <c r="T33" s="306"/>
      <c r="U33" s="307">
        <f>SUM(U30:U32)</f>
        <v>0</v>
      </c>
      <c r="V33" s="308">
        <f>U33/$H$33</f>
        <v>0</v>
      </c>
      <c r="W33" s="428"/>
      <c r="X33" s="307">
        <f>SUM(X30:X32)</f>
        <v>0</v>
      </c>
      <c r="Y33" s="431">
        <f>X33/$H$33</f>
        <v>0</v>
      </c>
      <c r="Z33" s="428"/>
      <c r="AA33" s="307">
        <f>SUM(AA30:AA32)</f>
        <v>0</v>
      </c>
      <c r="AB33" s="431">
        <f>AA33/$H$33</f>
        <v>0</v>
      </c>
      <c r="AC33" s="306"/>
      <c r="AD33" s="1078">
        <f t="shared" si="12"/>
        <v>5181504</v>
      </c>
      <c r="AE33" s="308">
        <f t="shared" si="23"/>
        <v>1</v>
      </c>
    </row>
    <row r="34" spans="1:31" ht="43.2" x14ac:dyDescent="0.3">
      <c r="A34" s="1314" t="s">
        <v>875</v>
      </c>
      <c r="B34" s="1314" t="s">
        <v>234</v>
      </c>
      <c r="C34" s="355" t="s">
        <v>59</v>
      </c>
      <c r="D34" s="355" t="s">
        <v>235</v>
      </c>
      <c r="E34" s="355">
        <v>0.3</v>
      </c>
      <c r="F34" s="192">
        <v>2298247</v>
      </c>
      <c r="G34" s="32">
        <f t="shared" si="3"/>
        <v>2415458</v>
      </c>
      <c r="H34" s="192">
        <f>ROUND((E34*F34),0)</f>
        <v>689474</v>
      </c>
      <c r="I34" s="32">
        <f>+ROUND(G34*E34,0)</f>
        <v>724637</v>
      </c>
      <c r="J34" s="1314"/>
      <c r="K34" s="149">
        <v>0</v>
      </c>
      <c r="L34" s="175">
        <v>0</v>
      </c>
      <c r="M34" s="176">
        <f t="shared" si="21"/>
        <v>0</v>
      </c>
      <c r="N34" s="303">
        <v>0.3</v>
      </c>
      <c r="O34" s="304">
        <f>+ROUND((N34*F34),0)</f>
        <v>689474</v>
      </c>
      <c r="P34" s="305">
        <f t="shared" si="22"/>
        <v>1</v>
      </c>
      <c r="Q34" s="158">
        <v>0</v>
      </c>
      <c r="R34" s="194">
        <f>+ROUND((Q34*$F$34),0)</f>
        <v>0</v>
      </c>
      <c r="S34" s="195">
        <f>R34/$H$34</f>
        <v>0</v>
      </c>
      <c r="T34" s="158">
        <v>0</v>
      </c>
      <c r="U34" s="194">
        <f>+ROUND((T34*$F$34),0)</f>
        <v>0</v>
      </c>
      <c r="V34" s="195">
        <f>U34/$H$34</f>
        <v>0</v>
      </c>
      <c r="W34" s="432">
        <v>0</v>
      </c>
      <c r="X34" s="425">
        <f>+ROUND((W34*$F$34),0)</f>
        <v>0</v>
      </c>
      <c r="Y34" s="426">
        <f>X34/$H$34</f>
        <v>0</v>
      </c>
      <c r="Z34" s="432">
        <v>0</v>
      </c>
      <c r="AA34" s="425">
        <f>+ROUND((Z34*G34),0)</f>
        <v>0</v>
      </c>
      <c r="AB34" s="426">
        <f>AA34/I34</f>
        <v>0</v>
      </c>
      <c r="AC34" s="416">
        <f t="shared" ref="AC34" si="28">K34+N34+Q34+T34+W34+Z34</f>
        <v>0.3</v>
      </c>
      <c r="AD34" s="175">
        <f t="shared" si="12"/>
        <v>689474</v>
      </c>
      <c r="AE34" s="176">
        <f t="shared" si="23"/>
        <v>1</v>
      </c>
    </row>
    <row r="35" spans="1:31" x14ac:dyDescent="0.3">
      <c r="A35" s="1314"/>
      <c r="B35" s="1314"/>
      <c r="C35" s="196"/>
      <c r="D35" s="196" t="s">
        <v>236</v>
      </c>
      <c r="E35" s="198"/>
      <c r="F35" s="198"/>
      <c r="G35" s="198"/>
      <c r="H35" s="199">
        <f>H34</f>
        <v>689474</v>
      </c>
      <c r="I35" s="199">
        <f>SUM(I34)</f>
        <v>724637</v>
      </c>
      <c r="J35" s="1314"/>
      <c r="K35" s="306"/>
      <c r="L35" s="307">
        <f>L34</f>
        <v>0</v>
      </c>
      <c r="M35" s="308">
        <f t="shared" si="21"/>
        <v>0</v>
      </c>
      <c r="N35" s="306"/>
      <c r="O35" s="307">
        <f>SUM(O34)</f>
        <v>689474</v>
      </c>
      <c r="P35" s="308">
        <f t="shared" si="22"/>
        <v>1</v>
      </c>
      <c r="Q35" s="306"/>
      <c r="R35" s="307">
        <f>SUM(R34)</f>
        <v>0</v>
      </c>
      <c r="S35" s="308">
        <f>R35/$H$35</f>
        <v>0</v>
      </c>
      <c r="T35" s="306"/>
      <c r="U35" s="307">
        <f>SUM(U34)</f>
        <v>0</v>
      </c>
      <c r="V35" s="308">
        <f>U35/$H$35</f>
        <v>0</v>
      </c>
      <c r="W35" s="428"/>
      <c r="X35" s="307">
        <f>SUM(X34)</f>
        <v>0</v>
      </c>
      <c r="Y35" s="431">
        <f>X35/$H$35</f>
        <v>0</v>
      </c>
      <c r="Z35" s="428"/>
      <c r="AA35" s="307">
        <f>SUM(AA34)</f>
        <v>0</v>
      </c>
      <c r="AB35" s="431">
        <f>AA35/$H$35</f>
        <v>0</v>
      </c>
      <c r="AC35" s="306"/>
      <c r="AD35" s="1078">
        <f t="shared" si="12"/>
        <v>689474</v>
      </c>
      <c r="AE35" s="308">
        <f t="shared" si="23"/>
        <v>1</v>
      </c>
    </row>
    <row r="36" spans="1:31" ht="28.8" x14ac:dyDescent="0.3">
      <c r="A36" s="1314" t="s">
        <v>885</v>
      </c>
      <c r="B36" s="1314" t="s">
        <v>216</v>
      </c>
      <c r="C36" s="355" t="s">
        <v>81</v>
      </c>
      <c r="D36" s="355" t="s">
        <v>82</v>
      </c>
      <c r="E36" s="355">
        <v>0.3</v>
      </c>
      <c r="F36" s="192">
        <v>1880385</v>
      </c>
      <c r="G36" s="32">
        <f t="shared" si="3"/>
        <v>1976285</v>
      </c>
      <c r="H36" s="192">
        <f>ROUND((E36*F36),0)</f>
        <v>564116</v>
      </c>
      <c r="I36" s="32">
        <f t="shared" ref="I36:I38" si="29">+ROUND(G36*E36,0)</f>
        <v>592886</v>
      </c>
      <c r="J36" s="1314" t="s">
        <v>876</v>
      </c>
      <c r="K36" s="149">
        <v>0</v>
      </c>
      <c r="L36" s="175">
        <v>0</v>
      </c>
      <c r="M36" s="176">
        <f t="shared" si="21"/>
        <v>0</v>
      </c>
      <c r="N36" s="303">
        <v>0.3</v>
      </c>
      <c r="O36" s="304">
        <f>+ROUND((N36*F36),0)</f>
        <v>564116</v>
      </c>
      <c r="P36" s="305">
        <f t="shared" si="22"/>
        <v>1</v>
      </c>
      <c r="Q36" s="158">
        <v>0</v>
      </c>
      <c r="R36" s="194">
        <f>+ROUND((Q36*$F$36),0)</f>
        <v>0</v>
      </c>
      <c r="S36" s="195">
        <f>R36/$H$36</f>
        <v>0</v>
      </c>
      <c r="T36" s="158">
        <v>0</v>
      </c>
      <c r="U36" s="194">
        <f>+ROUND((T36*$F$36),0)</f>
        <v>0</v>
      </c>
      <c r="V36" s="195">
        <f>U36/$H$36</f>
        <v>0</v>
      </c>
      <c r="W36" s="432">
        <v>0</v>
      </c>
      <c r="X36" s="425">
        <f>+ROUND((W36*$F$36),0)</f>
        <v>0</v>
      </c>
      <c r="Y36" s="426">
        <f>X36/$H$36</f>
        <v>0</v>
      </c>
      <c r="Z36" s="432">
        <v>0</v>
      </c>
      <c r="AA36" s="425">
        <f t="shared" ref="AA36:AA38" si="30">+ROUND((Z36*G36),0)</f>
        <v>0</v>
      </c>
      <c r="AB36" s="426">
        <f t="shared" ref="AB36:AB38" si="31">AA36/I36</f>
        <v>0</v>
      </c>
      <c r="AC36" s="416">
        <f t="shared" ref="AC36:AC38" si="32">K36+N36+Q36+T36+W36+Z36</f>
        <v>0.3</v>
      </c>
      <c r="AD36" s="175">
        <f t="shared" si="12"/>
        <v>564116</v>
      </c>
      <c r="AE36" s="176">
        <f t="shared" si="23"/>
        <v>1</v>
      </c>
    </row>
    <row r="37" spans="1:31" ht="28.8" x14ac:dyDescent="0.3">
      <c r="A37" s="1314"/>
      <c r="B37" s="1314"/>
      <c r="C37" s="355" t="s">
        <v>83</v>
      </c>
      <c r="D37" s="355" t="s">
        <v>84</v>
      </c>
      <c r="E37" s="355">
        <v>0.3</v>
      </c>
      <c r="F37" s="192">
        <v>1845563</v>
      </c>
      <c r="G37" s="32">
        <f t="shared" si="3"/>
        <v>1939687</v>
      </c>
      <c r="H37" s="192">
        <f>ROUND((E37*F37),0)</f>
        <v>553669</v>
      </c>
      <c r="I37" s="32">
        <f t="shared" si="29"/>
        <v>581906</v>
      </c>
      <c r="J37" s="1314"/>
      <c r="K37" s="149">
        <v>0</v>
      </c>
      <c r="L37" s="175">
        <v>0</v>
      </c>
      <c r="M37" s="176">
        <f t="shared" si="21"/>
        <v>0</v>
      </c>
      <c r="N37" s="303">
        <v>0.3</v>
      </c>
      <c r="O37" s="304">
        <f>+ROUND((N37*F37),0)</f>
        <v>553669</v>
      </c>
      <c r="P37" s="305">
        <f t="shared" si="22"/>
        <v>1</v>
      </c>
      <c r="Q37" s="158">
        <v>0</v>
      </c>
      <c r="R37" s="194">
        <f>+ROUND((Q37*$F$37),0)</f>
        <v>0</v>
      </c>
      <c r="S37" s="195">
        <f>R37/$H$37</f>
        <v>0</v>
      </c>
      <c r="T37" s="158">
        <v>0</v>
      </c>
      <c r="U37" s="194">
        <f>+ROUND((T37*$F$37),0)</f>
        <v>0</v>
      </c>
      <c r="V37" s="195">
        <f>U37/$H$37</f>
        <v>0</v>
      </c>
      <c r="W37" s="432">
        <v>0</v>
      </c>
      <c r="X37" s="425">
        <f>+ROUND((W37*$F$37),0)</f>
        <v>0</v>
      </c>
      <c r="Y37" s="426">
        <f>X37/$H$37</f>
        <v>0</v>
      </c>
      <c r="Z37" s="432">
        <v>0</v>
      </c>
      <c r="AA37" s="425">
        <f t="shared" si="30"/>
        <v>0</v>
      </c>
      <c r="AB37" s="426">
        <f t="shared" si="31"/>
        <v>0</v>
      </c>
      <c r="AC37" s="416">
        <f t="shared" si="32"/>
        <v>0.3</v>
      </c>
      <c r="AD37" s="175">
        <f t="shared" si="12"/>
        <v>553669</v>
      </c>
      <c r="AE37" s="176">
        <f t="shared" si="23"/>
        <v>1</v>
      </c>
    </row>
    <row r="38" spans="1:31" ht="28.8" x14ac:dyDescent="0.3">
      <c r="A38" s="1314"/>
      <c r="B38" s="1314"/>
      <c r="C38" s="355" t="s">
        <v>61</v>
      </c>
      <c r="D38" s="355" t="s">
        <v>85</v>
      </c>
      <c r="E38" s="355">
        <v>0.3</v>
      </c>
      <c r="F38" s="192">
        <v>7312607</v>
      </c>
      <c r="G38" s="32">
        <f t="shared" si="3"/>
        <v>7685550</v>
      </c>
      <c r="H38" s="192">
        <f>ROUND((E38*F38),0)</f>
        <v>2193782</v>
      </c>
      <c r="I38" s="32">
        <f t="shared" si="29"/>
        <v>2305665</v>
      </c>
      <c r="J38" s="1314"/>
      <c r="K38" s="149">
        <v>0</v>
      </c>
      <c r="L38" s="175">
        <v>0</v>
      </c>
      <c r="M38" s="176">
        <f t="shared" si="21"/>
        <v>0</v>
      </c>
      <c r="N38" s="303">
        <v>0.3</v>
      </c>
      <c r="O38" s="304">
        <f>+ROUND((N38*F38),0)</f>
        <v>2193782</v>
      </c>
      <c r="P38" s="305">
        <f t="shared" si="22"/>
        <v>1</v>
      </c>
      <c r="Q38" s="158">
        <v>0</v>
      </c>
      <c r="R38" s="194">
        <f>+ROUND((Q38*$F$38),0)</f>
        <v>0</v>
      </c>
      <c r="S38" s="195">
        <f>R38/$H$38</f>
        <v>0</v>
      </c>
      <c r="T38" s="158">
        <v>0</v>
      </c>
      <c r="U38" s="194">
        <f>+ROUND((T38*$F$38),0)</f>
        <v>0</v>
      </c>
      <c r="V38" s="195">
        <f>U38/$H$38</f>
        <v>0</v>
      </c>
      <c r="W38" s="432">
        <v>0</v>
      </c>
      <c r="X38" s="425">
        <f>+ROUND((W38*$F$38),0)</f>
        <v>0</v>
      </c>
      <c r="Y38" s="426">
        <f>X38/$H$38</f>
        <v>0</v>
      </c>
      <c r="Z38" s="432">
        <v>0</v>
      </c>
      <c r="AA38" s="425">
        <f t="shared" si="30"/>
        <v>0</v>
      </c>
      <c r="AB38" s="426">
        <f t="shared" si="31"/>
        <v>0</v>
      </c>
      <c r="AC38" s="416">
        <f t="shared" si="32"/>
        <v>0.3</v>
      </c>
      <c r="AD38" s="175">
        <f t="shared" si="12"/>
        <v>2193782</v>
      </c>
      <c r="AE38" s="176">
        <f t="shared" si="23"/>
        <v>1</v>
      </c>
    </row>
    <row r="39" spans="1:31" x14ac:dyDescent="0.3">
      <c r="A39" s="1314"/>
      <c r="B39" s="1314"/>
      <c r="C39" s="196"/>
      <c r="D39" s="196" t="s">
        <v>86</v>
      </c>
      <c r="E39" s="198"/>
      <c r="F39" s="198"/>
      <c r="G39" s="198"/>
      <c r="H39" s="199">
        <f>SUM(H36:H38)</f>
        <v>3311567</v>
      </c>
      <c r="I39" s="199">
        <f>SUM(I36:I38)</f>
        <v>3480457</v>
      </c>
      <c r="J39" s="1314"/>
      <c r="K39" s="306"/>
      <c r="L39" s="307">
        <f>SUM(L36:L38)</f>
        <v>0</v>
      </c>
      <c r="M39" s="308">
        <f t="shared" si="21"/>
        <v>0</v>
      </c>
      <c r="N39" s="306"/>
      <c r="O39" s="307">
        <f>SUM(O36:O38)</f>
        <v>3311567</v>
      </c>
      <c r="P39" s="308">
        <f t="shared" si="22"/>
        <v>1</v>
      </c>
      <c r="Q39" s="306"/>
      <c r="R39" s="307">
        <f>SUM(R36:R38)</f>
        <v>0</v>
      </c>
      <c r="S39" s="308">
        <f>R39/$H$39</f>
        <v>0</v>
      </c>
      <c r="T39" s="306"/>
      <c r="U39" s="307">
        <f>SUM(U36:U38)</f>
        <v>0</v>
      </c>
      <c r="V39" s="308">
        <f>U39/$H$39</f>
        <v>0</v>
      </c>
      <c r="W39" s="428"/>
      <c r="X39" s="307">
        <f>SUM(X36:X38)</f>
        <v>0</v>
      </c>
      <c r="Y39" s="431">
        <f>X39/$H$39</f>
        <v>0</v>
      </c>
      <c r="Z39" s="428"/>
      <c r="AA39" s="307">
        <f>SUM(AA36:AA38)</f>
        <v>0</v>
      </c>
      <c r="AB39" s="431">
        <f>AA39/$H$39</f>
        <v>0</v>
      </c>
      <c r="AC39" s="306"/>
      <c r="AD39" s="1078">
        <f t="shared" si="12"/>
        <v>3311567</v>
      </c>
      <c r="AE39" s="308">
        <f t="shared" si="23"/>
        <v>1</v>
      </c>
    </row>
    <row r="40" spans="1:31" ht="28.8" x14ac:dyDescent="0.3">
      <c r="A40" s="1314" t="s">
        <v>885</v>
      </c>
      <c r="B40" s="1314" t="s">
        <v>877</v>
      </c>
      <c r="C40" s="355" t="s">
        <v>81</v>
      </c>
      <c r="D40" s="355" t="s">
        <v>878</v>
      </c>
      <c r="E40" s="355">
        <v>1</v>
      </c>
      <c r="F40" s="192">
        <v>5536688</v>
      </c>
      <c r="G40" s="32">
        <f t="shared" si="3"/>
        <v>5819059</v>
      </c>
      <c r="H40" s="192">
        <f>ROUND((E40*F40),0)</f>
        <v>5536688</v>
      </c>
      <c r="I40" s="32">
        <f t="shared" ref="I40:I42" si="33">+ROUND(G40*E40,0)</f>
        <v>5819059</v>
      </c>
      <c r="J40" s="1314"/>
      <c r="K40" s="149">
        <v>0</v>
      </c>
      <c r="L40" s="175">
        <v>0</v>
      </c>
      <c r="M40" s="176">
        <f t="shared" si="21"/>
        <v>0</v>
      </c>
      <c r="N40" s="303">
        <v>1</v>
      </c>
      <c r="O40" s="304">
        <f>+ROUND((N40*F40),0)</f>
        <v>5536688</v>
      </c>
      <c r="P40" s="305">
        <f t="shared" si="22"/>
        <v>1</v>
      </c>
      <c r="Q40" s="158">
        <v>0</v>
      </c>
      <c r="R40" s="194">
        <f>+ROUND((Q40*$F$40),0)</f>
        <v>0</v>
      </c>
      <c r="S40" s="195">
        <f>R40/$H$40</f>
        <v>0</v>
      </c>
      <c r="T40" s="158">
        <v>0</v>
      </c>
      <c r="U40" s="194">
        <f>+ROUND((T40*$F$40),0)</f>
        <v>0</v>
      </c>
      <c r="V40" s="195">
        <f>U40/$H$40</f>
        <v>0</v>
      </c>
      <c r="W40" s="432">
        <v>0</v>
      </c>
      <c r="X40" s="425">
        <f>+ROUND((W40*$F$40),0)</f>
        <v>0</v>
      </c>
      <c r="Y40" s="426">
        <f>X40/$H$40</f>
        <v>0</v>
      </c>
      <c r="Z40" s="432">
        <v>0</v>
      </c>
      <c r="AA40" s="425">
        <f t="shared" ref="AA40:AA42" si="34">+ROUND((Z40*G40),0)</f>
        <v>0</v>
      </c>
      <c r="AB40" s="426">
        <f t="shared" ref="AB40:AB42" si="35">AA40/I40</f>
        <v>0</v>
      </c>
      <c r="AC40" s="416">
        <f t="shared" ref="AC40:AC42" si="36">K40+N40+Q40+T40+W40+Z40</f>
        <v>1</v>
      </c>
      <c r="AD40" s="175">
        <f t="shared" si="12"/>
        <v>5536688</v>
      </c>
      <c r="AE40" s="176">
        <f t="shared" si="23"/>
        <v>1</v>
      </c>
    </row>
    <row r="41" spans="1:31" ht="28.8" x14ac:dyDescent="0.3">
      <c r="A41" s="1314"/>
      <c r="B41" s="1314"/>
      <c r="C41" s="355" t="s">
        <v>83</v>
      </c>
      <c r="D41" s="355" t="s">
        <v>879</v>
      </c>
      <c r="E41" s="355">
        <v>1</v>
      </c>
      <c r="F41" s="192">
        <v>8566197</v>
      </c>
      <c r="G41" s="32">
        <f t="shared" si="3"/>
        <v>9003073</v>
      </c>
      <c r="H41" s="192">
        <f>ROUND((E41*F41),0)</f>
        <v>8566197</v>
      </c>
      <c r="I41" s="32">
        <f t="shared" si="33"/>
        <v>9003073</v>
      </c>
      <c r="J41" s="1314"/>
      <c r="K41" s="149">
        <v>0</v>
      </c>
      <c r="L41" s="175">
        <v>0</v>
      </c>
      <c r="M41" s="176">
        <f t="shared" si="21"/>
        <v>0</v>
      </c>
      <c r="N41" s="303">
        <v>1</v>
      </c>
      <c r="O41" s="304">
        <f>+ROUND((N41*F41),0)</f>
        <v>8566197</v>
      </c>
      <c r="P41" s="305">
        <f t="shared" si="22"/>
        <v>1</v>
      </c>
      <c r="Q41" s="158">
        <v>0</v>
      </c>
      <c r="R41" s="194">
        <f>+ROUND((Q41*$F$41),0)</f>
        <v>0</v>
      </c>
      <c r="S41" s="195">
        <f>R41/$H$41</f>
        <v>0</v>
      </c>
      <c r="T41" s="158">
        <v>0</v>
      </c>
      <c r="U41" s="194">
        <f>+ROUND((T41*$F$41),0)</f>
        <v>0</v>
      </c>
      <c r="V41" s="195">
        <f>U41/$H$41</f>
        <v>0</v>
      </c>
      <c r="W41" s="432">
        <v>0</v>
      </c>
      <c r="X41" s="425">
        <f>+ROUND((W41*$F$41),0)</f>
        <v>0</v>
      </c>
      <c r="Y41" s="426">
        <f>X41/$H$41</f>
        <v>0</v>
      </c>
      <c r="Z41" s="432">
        <v>0</v>
      </c>
      <c r="AA41" s="425">
        <f t="shared" si="34"/>
        <v>0</v>
      </c>
      <c r="AB41" s="426">
        <f t="shared" si="35"/>
        <v>0</v>
      </c>
      <c r="AC41" s="416">
        <f t="shared" si="36"/>
        <v>1</v>
      </c>
      <c r="AD41" s="175">
        <f t="shared" si="12"/>
        <v>8566197</v>
      </c>
      <c r="AE41" s="176">
        <f t="shared" si="23"/>
        <v>1</v>
      </c>
    </row>
    <row r="42" spans="1:31" ht="28.8" x14ac:dyDescent="0.3">
      <c r="A42" s="1314"/>
      <c r="B42" s="1314"/>
      <c r="C42" s="355" t="s">
        <v>61</v>
      </c>
      <c r="D42" s="355" t="s">
        <v>880</v>
      </c>
      <c r="E42" s="355">
        <v>1</v>
      </c>
      <c r="F42" s="192">
        <v>17585079</v>
      </c>
      <c r="G42" s="32">
        <f t="shared" si="3"/>
        <v>18481918</v>
      </c>
      <c r="H42" s="192">
        <f>ROUND((E42*F42),0)</f>
        <v>17585079</v>
      </c>
      <c r="I42" s="32">
        <f t="shared" si="33"/>
        <v>18481918</v>
      </c>
      <c r="J42" s="1314"/>
      <c r="K42" s="149">
        <v>0</v>
      </c>
      <c r="L42" s="175">
        <v>0</v>
      </c>
      <c r="M42" s="176">
        <f t="shared" si="21"/>
        <v>0</v>
      </c>
      <c r="N42" s="303">
        <v>1</v>
      </c>
      <c r="O42" s="304">
        <f t="shared" ref="O42" si="37">H42*N42</f>
        <v>17585079</v>
      </c>
      <c r="P42" s="305">
        <f t="shared" si="22"/>
        <v>1</v>
      </c>
      <c r="Q42" s="158">
        <v>0</v>
      </c>
      <c r="R42" s="194">
        <f>+ROUND((Q42*$F$42),0)</f>
        <v>0</v>
      </c>
      <c r="S42" s="195">
        <f>R42/H42</f>
        <v>0</v>
      </c>
      <c r="T42" s="158">
        <v>0</v>
      </c>
      <c r="U42" s="194">
        <f>+ROUND((T42*$F$42),0)</f>
        <v>0</v>
      </c>
      <c r="V42" s="195">
        <v>0</v>
      </c>
      <c r="W42" s="432">
        <v>0</v>
      </c>
      <c r="X42" s="425">
        <f>+ROUND((W42*$F$42),0)</f>
        <v>0</v>
      </c>
      <c r="Y42" s="426">
        <v>0</v>
      </c>
      <c r="Z42" s="432">
        <v>0</v>
      </c>
      <c r="AA42" s="425">
        <f t="shared" si="34"/>
        <v>0</v>
      </c>
      <c r="AB42" s="426">
        <f t="shared" si="35"/>
        <v>0</v>
      </c>
      <c r="AC42" s="416">
        <f t="shared" si="36"/>
        <v>1</v>
      </c>
      <c r="AD42" s="175">
        <f t="shared" si="12"/>
        <v>17585079</v>
      </c>
      <c r="AE42" s="176">
        <f t="shared" si="23"/>
        <v>1</v>
      </c>
    </row>
    <row r="43" spans="1:31" x14ac:dyDescent="0.3">
      <c r="A43" s="1314"/>
      <c r="B43" s="1314"/>
      <c r="C43" s="196"/>
      <c r="D43" s="196" t="s">
        <v>229</v>
      </c>
      <c r="E43" s="198"/>
      <c r="F43" s="198"/>
      <c r="G43" s="198"/>
      <c r="H43" s="199">
        <f>SUM(H40:H42)</f>
        <v>31687964</v>
      </c>
      <c r="I43" s="199">
        <f>SUM(I40:I42)</f>
        <v>33304050</v>
      </c>
      <c r="J43" s="1314"/>
      <c r="K43" s="306"/>
      <c r="L43" s="307">
        <f>SUM(L40:L42)</f>
        <v>0</v>
      </c>
      <c r="M43" s="308">
        <f t="shared" si="21"/>
        <v>0</v>
      </c>
      <c r="N43" s="306"/>
      <c r="O43" s="307">
        <f>SUM(O40:O42)</f>
        <v>31687964</v>
      </c>
      <c r="P43" s="308">
        <f t="shared" si="22"/>
        <v>1</v>
      </c>
      <c r="Q43" s="306"/>
      <c r="R43" s="307">
        <f>SUM(R40:R42)</f>
        <v>0</v>
      </c>
      <c r="S43" s="308">
        <f>R43/$H$43</f>
        <v>0</v>
      </c>
      <c r="T43" s="306"/>
      <c r="U43" s="307">
        <f>SUM(U40:U42)</f>
        <v>0</v>
      </c>
      <c r="V43" s="308">
        <f>U43/$H$43</f>
        <v>0</v>
      </c>
      <c r="W43" s="428"/>
      <c r="X43" s="307">
        <f>SUM(X40:X42)</f>
        <v>0</v>
      </c>
      <c r="Y43" s="431">
        <f>X43/$H$43</f>
        <v>0</v>
      </c>
      <c r="Z43" s="428"/>
      <c r="AA43" s="307">
        <f>SUM(AA40:AA42)</f>
        <v>0</v>
      </c>
      <c r="AB43" s="431">
        <f>AA43/$H$43</f>
        <v>0</v>
      </c>
      <c r="AC43" s="306"/>
      <c r="AD43" s="1078">
        <f t="shared" si="12"/>
        <v>31687964</v>
      </c>
      <c r="AE43" s="308">
        <f t="shared" si="23"/>
        <v>1</v>
      </c>
    </row>
    <row r="44" spans="1:31" ht="28.8" x14ac:dyDescent="0.3">
      <c r="A44" s="1314" t="s">
        <v>885</v>
      </c>
      <c r="B44" s="1314" t="s">
        <v>217</v>
      </c>
      <c r="C44" s="355" t="s">
        <v>81</v>
      </c>
      <c r="D44" s="355" t="s">
        <v>218</v>
      </c>
      <c r="E44" s="355">
        <v>0.3</v>
      </c>
      <c r="F44" s="192">
        <v>1149124</v>
      </c>
      <c r="G44" s="32">
        <f t="shared" si="3"/>
        <v>1207729</v>
      </c>
      <c r="H44" s="192">
        <f>ROUND((E44*F44),0)</f>
        <v>344737</v>
      </c>
      <c r="I44" s="32">
        <f t="shared" ref="I44:I46" si="38">+ROUND(G44*E44,0)</f>
        <v>362319</v>
      </c>
      <c r="J44" s="1314" t="s">
        <v>881</v>
      </c>
      <c r="K44" s="149">
        <v>0</v>
      </c>
      <c r="L44" s="175">
        <v>0</v>
      </c>
      <c r="M44" s="176">
        <f t="shared" si="21"/>
        <v>0</v>
      </c>
      <c r="N44" s="303">
        <v>0.3</v>
      </c>
      <c r="O44" s="304">
        <f>+ROUND((N44*F44),0)</f>
        <v>344737</v>
      </c>
      <c r="P44" s="305">
        <f t="shared" si="22"/>
        <v>1</v>
      </c>
      <c r="Q44" s="158">
        <v>0</v>
      </c>
      <c r="R44" s="194">
        <f>+ROUND((Q44*$F$44),0)</f>
        <v>0</v>
      </c>
      <c r="S44" s="195">
        <f>R44/$H$44</f>
        <v>0</v>
      </c>
      <c r="T44" s="158">
        <v>0</v>
      </c>
      <c r="U44" s="194">
        <f>+ROUND((T44*$F$44),0)</f>
        <v>0</v>
      </c>
      <c r="V44" s="195">
        <f>U44/$H$44</f>
        <v>0</v>
      </c>
      <c r="W44" s="432">
        <v>0</v>
      </c>
      <c r="X44" s="425">
        <f>+ROUND((W44*$F$44),0)</f>
        <v>0</v>
      </c>
      <c r="Y44" s="426">
        <f>X44/$H$44</f>
        <v>0</v>
      </c>
      <c r="Z44" s="432">
        <v>0</v>
      </c>
      <c r="AA44" s="425">
        <f t="shared" ref="AA44:AA46" si="39">+ROUND((Z44*G44),0)</f>
        <v>0</v>
      </c>
      <c r="AB44" s="426">
        <f t="shared" ref="AB44:AB46" si="40">AA44/I44</f>
        <v>0</v>
      </c>
      <c r="AC44" s="416">
        <f t="shared" ref="AC44:AC46" si="41">K44+N44+Q44+T44+W44+Z44</f>
        <v>0.3</v>
      </c>
      <c r="AD44" s="175">
        <f t="shared" si="12"/>
        <v>344737</v>
      </c>
      <c r="AE44" s="176">
        <f t="shared" si="23"/>
        <v>1</v>
      </c>
    </row>
    <row r="45" spans="1:31" ht="28.8" x14ac:dyDescent="0.3">
      <c r="A45" s="1314"/>
      <c r="B45" s="1314"/>
      <c r="C45" s="355" t="s">
        <v>83</v>
      </c>
      <c r="D45" s="355" t="s">
        <v>219</v>
      </c>
      <c r="E45" s="355">
        <v>0.3</v>
      </c>
      <c r="F45" s="192">
        <v>2646468</v>
      </c>
      <c r="G45" s="32">
        <f t="shared" si="3"/>
        <v>2781438</v>
      </c>
      <c r="H45" s="192">
        <f>ROUND((E45*F45),0)</f>
        <v>793940</v>
      </c>
      <c r="I45" s="32">
        <f t="shared" si="38"/>
        <v>834431</v>
      </c>
      <c r="J45" s="1314"/>
      <c r="K45" s="149">
        <v>0</v>
      </c>
      <c r="L45" s="175">
        <v>0</v>
      </c>
      <c r="M45" s="176">
        <f t="shared" si="21"/>
        <v>0</v>
      </c>
      <c r="N45" s="303">
        <v>0.3</v>
      </c>
      <c r="O45" s="304">
        <f>+ROUND((N45*F45),0)</f>
        <v>793940</v>
      </c>
      <c r="P45" s="305">
        <f t="shared" si="22"/>
        <v>1</v>
      </c>
      <c r="Q45" s="158">
        <v>0</v>
      </c>
      <c r="R45" s="194">
        <f>+ROUND((Q45*$F$45),0)</f>
        <v>0</v>
      </c>
      <c r="S45" s="195">
        <f>R45/$H$45</f>
        <v>0</v>
      </c>
      <c r="T45" s="158">
        <v>0</v>
      </c>
      <c r="U45" s="194">
        <f>+ROUND((T45*$F$45),0)</f>
        <v>0</v>
      </c>
      <c r="V45" s="195">
        <f>U45/$H$45</f>
        <v>0</v>
      </c>
      <c r="W45" s="432">
        <v>0</v>
      </c>
      <c r="X45" s="425">
        <f>+ROUND((W45*$F$45),0)</f>
        <v>0</v>
      </c>
      <c r="Y45" s="426">
        <f>X45/$H$45</f>
        <v>0</v>
      </c>
      <c r="Z45" s="432">
        <v>0</v>
      </c>
      <c r="AA45" s="425">
        <f t="shared" si="39"/>
        <v>0</v>
      </c>
      <c r="AB45" s="426">
        <f t="shared" si="40"/>
        <v>0</v>
      </c>
      <c r="AC45" s="416">
        <f t="shared" si="41"/>
        <v>0.3</v>
      </c>
      <c r="AD45" s="175">
        <f t="shared" si="12"/>
        <v>793940</v>
      </c>
      <c r="AE45" s="176">
        <f t="shared" si="23"/>
        <v>1</v>
      </c>
    </row>
    <row r="46" spans="1:31" ht="28.8" x14ac:dyDescent="0.3">
      <c r="A46" s="1314"/>
      <c r="B46" s="1314"/>
      <c r="C46" s="355" t="s">
        <v>61</v>
      </c>
      <c r="D46" s="355" t="s">
        <v>220</v>
      </c>
      <c r="E46" s="355">
        <v>0.3</v>
      </c>
      <c r="F46" s="192">
        <v>3203618</v>
      </c>
      <c r="G46" s="32">
        <f t="shared" si="3"/>
        <v>3367003</v>
      </c>
      <c r="H46" s="192">
        <f>ROUND((E46*F46),0)</f>
        <v>961085</v>
      </c>
      <c r="I46" s="32">
        <f t="shared" si="38"/>
        <v>1010101</v>
      </c>
      <c r="J46" s="1314"/>
      <c r="K46" s="149">
        <v>0</v>
      </c>
      <c r="L46" s="175">
        <v>0</v>
      </c>
      <c r="M46" s="176">
        <f t="shared" si="21"/>
        <v>0</v>
      </c>
      <c r="N46" s="303">
        <v>0.3</v>
      </c>
      <c r="O46" s="304">
        <f>+ROUND((N46*F46),0)</f>
        <v>961085</v>
      </c>
      <c r="P46" s="305">
        <f t="shared" si="22"/>
        <v>1</v>
      </c>
      <c r="Q46" s="158">
        <v>0</v>
      </c>
      <c r="R46" s="194">
        <f>+ROUND((Q46*$F$46),0)</f>
        <v>0</v>
      </c>
      <c r="S46" s="195">
        <f>R46/$H$46</f>
        <v>0</v>
      </c>
      <c r="T46" s="158">
        <v>0</v>
      </c>
      <c r="U46" s="194">
        <f>+ROUND((T46*$F$46),0)</f>
        <v>0</v>
      </c>
      <c r="V46" s="195">
        <f>U46/$H$46</f>
        <v>0</v>
      </c>
      <c r="W46" s="432">
        <v>0</v>
      </c>
      <c r="X46" s="425">
        <f>+ROUND((W46*$F$46),0)</f>
        <v>0</v>
      </c>
      <c r="Y46" s="426">
        <f>X46/$H$46</f>
        <v>0</v>
      </c>
      <c r="Z46" s="432">
        <v>0</v>
      </c>
      <c r="AA46" s="425">
        <f t="shared" si="39"/>
        <v>0</v>
      </c>
      <c r="AB46" s="426">
        <f t="shared" si="40"/>
        <v>0</v>
      </c>
      <c r="AC46" s="416">
        <f t="shared" si="41"/>
        <v>0.3</v>
      </c>
      <c r="AD46" s="175">
        <f t="shared" si="12"/>
        <v>961085</v>
      </c>
      <c r="AE46" s="176">
        <f t="shared" si="23"/>
        <v>1</v>
      </c>
    </row>
    <row r="47" spans="1:31" x14ac:dyDescent="0.3">
      <c r="A47" s="1314"/>
      <c r="B47" s="1314"/>
      <c r="C47" s="196"/>
      <c r="D47" s="196" t="s">
        <v>221</v>
      </c>
      <c r="E47" s="198"/>
      <c r="F47" s="198"/>
      <c r="G47" s="198"/>
      <c r="H47" s="199">
        <f>SUM(H44:H46)</f>
        <v>2099762</v>
      </c>
      <c r="I47" s="199">
        <f>SUM(I44:I46)</f>
        <v>2206851</v>
      </c>
      <c r="J47" s="1314"/>
      <c r="K47" s="306"/>
      <c r="L47" s="307">
        <f>SUM(L44:L46)</f>
        <v>0</v>
      </c>
      <c r="M47" s="308">
        <f t="shared" si="21"/>
        <v>0</v>
      </c>
      <c r="N47" s="306"/>
      <c r="O47" s="307">
        <f>SUM(O44:O46)</f>
        <v>2099762</v>
      </c>
      <c r="P47" s="308">
        <f t="shared" si="22"/>
        <v>1</v>
      </c>
      <c r="Q47" s="306"/>
      <c r="R47" s="307">
        <f>SUM(R44:R46)</f>
        <v>0</v>
      </c>
      <c r="S47" s="308">
        <f>R47/$H$47</f>
        <v>0</v>
      </c>
      <c r="T47" s="306"/>
      <c r="U47" s="307">
        <f>SUM(U44:U46)</f>
        <v>0</v>
      </c>
      <c r="V47" s="308">
        <f>U47/$H$47</f>
        <v>0</v>
      </c>
      <c r="W47" s="428"/>
      <c r="X47" s="307">
        <f>SUM(X44:X46)</f>
        <v>0</v>
      </c>
      <c r="Y47" s="431">
        <f>X47/$H$47</f>
        <v>0</v>
      </c>
      <c r="Z47" s="428"/>
      <c r="AA47" s="307">
        <f>SUM(AA44:AA46)</f>
        <v>0</v>
      </c>
      <c r="AB47" s="431">
        <f>AA47/$H$47</f>
        <v>0</v>
      </c>
      <c r="AC47" s="306"/>
      <c r="AD47" s="1078">
        <f t="shared" si="12"/>
        <v>2099762</v>
      </c>
      <c r="AE47" s="308">
        <f t="shared" si="23"/>
        <v>1</v>
      </c>
    </row>
    <row r="48" spans="1:31" ht="28.8" x14ac:dyDescent="0.3">
      <c r="A48" s="1314" t="s">
        <v>885</v>
      </c>
      <c r="B48" s="1314" t="s">
        <v>165</v>
      </c>
      <c r="C48" s="355" t="s">
        <v>81</v>
      </c>
      <c r="D48" s="355" t="s">
        <v>166</v>
      </c>
      <c r="E48" s="355">
        <v>0</v>
      </c>
      <c r="F48" s="192">
        <v>1149124</v>
      </c>
      <c r="G48" s="32">
        <f t="shared" si="3"/>
        <v>1207729</v>
      </c>
      <c r="H48" s="192">
        <f>ROUND((E48*F48),0)</f>
        <v>0</v>
      </c>
      <c r="I48" s="32">
        <f t="shared" ref="I48:I50" si="42">+ROUND(G48*E48,0)</f>
        <v>0</v>
      </c>
      <c r="J48" s="1314" t="s">
        <v>886</v>
      </c>
      <c r="K48" s="149">
        <v>0</v>
      </c>
      <c r="L48" s="175">
        <v>0</v>
      </c>
      <c r="M48" s="176">
        <v>0</v>
      </c>
      <c r="N48" s="158">
        <v>0</v>
      </c>
      <c r="O48" s="194">
        <v>0</v>
      </c>
      <c r="P48" s="195">
        <v>0</v>
      </c>
      <c r="Q48" s="158">
        <v>0</v>
      </c>
      <c r="R48" s="194">
        <f>+ROUND((Q48*$F$48),0)</f>
        <v>0</v>
      </c>
      <c r="S48" s="195">
        <v>0</v>
      </c>
      <c r="T48" s="158">
        <v>0</v>
      </c>
      <c r="U48" s="194">
        <f>+ROUND((T48*$F$48),0)</f>
        <v>0</v>
      </c>
      <c r="V48" s="195">
        <v>0</v>
      </c>
      <c r="W48" s="432">
        <v>0</v>
      </c>
      <c r="X48" s="425">
        <f>+ROUND((W48*$F$48),0)</f>
        <v>0</v>
      </c>
      <c r="Y48" s="426">
        <v>0</v>
      </c>
      <c r="Z48" s="432">
        <v>0</v>
      </c>
      <c r="AA48" s="425">
        <f t="shared" ref="AA48:AA50" si="43">+ROUND((Z48*G48),0)</f>
        <v>0</v>
      </c>
      <c r="AB48" s="426">
        <v>0</v>
      </c>
      <c r="AC48" s="416">
        <f t="shared" ref="AC48:AC50" si="44">K48+N48+Q48+T48+W48+Z48</f>
        <v>0</v>
      </c>
      <c r="AD48" s="175">
        <f t="shared" si="12"/>
        <v>0</v>
      </c>
      <c r="AE48" s="176">
        <v>0</v>
      </c>
    </row>
    <row r="49" spans="1:31" ht="28.8" x14ac:dyDescent="0.3">
      <c r="A49" s="1314"/>
      <c r="B49" s="1314"/>
      <c r="C49" s="355" t="s">
        <v>83</v>
      </c>
      <c r="D49" s="355" t="s">
        <v>167</v>
      </c>
      <c r="E49" s="355">
        <v>0.3</v>
      </c>
      <c r="F49" s="192">
        <v>2646468</v>
      </c>
      <c r="G49" s="32">
        <f t="shared" si="3"/>
        <v>2781438</v>
      </c>
      <c r="H49" s="192">
        <f>ROUND((E49*F49),0)</f>
        <v>793940</v>
      </c>
      <c r="I49" s="32">
        <f t="shared" si="42"/>
        <v>834431</v>
      </c>
      <c r="J49" s="1314"/>
      <c r="K49" s="149">
        <v>0</v>
      </c>
      <c r="L49" s="175">
        <v>0</v>
      </c>
      <c r="M49" s="176">
        <f t="shared" ref="M49:M101" si="45">L49/H49</f>
        <v>0</v>
      </c>
      <c r="N49" s="303">
        <v>0.3</v>
      </c>
      <c r="O49" s="304">
        <f>+ROUND((N49*F49),0)</f>
        <v>793940</v>
      </c>
      <c r="P49" s="305">
        <f t="shared" ref="P49:P101" si="46">O49/H49</f>
        <v>1</v>
      </c>
      <c r="Q49" s="158">
        <v>0</v>
      </c>
      <c r="R49" s="194">
        <f>+ROUND((Q49*$F$49),0)</f>
        <v>0</v>
      </c>
      <c r="S49" s="195">
        <f>R49/$H$49</f>
        <v>0</v>
      </c>
      <c r="T49" s="158">
        <v>0</v>
      </c>
      <c r="U49" s="194">
        <f>+ROUND((T49*$F$49),0)</f>
        <v>0</v>
      </c>
      <c r="V49" s="195">
        <f>U49/$H$49</f>
        <v>0</v>
      </c>
      <c r="W49" s="432">
        <v>0</v>
      </c>
      <c r="X49" s="425">
        <f>+ROUND((W49*$F$49),0)</f>
        <v>0</v>
      </c>
      <c r="Y49" s="426">
        <f>X49/$H$49</f>
        <v>0</v>
      </c>
      <c r="Z49" s="432">
        <v>0</v>
      </c>
      <c r="AA49" s="425">
        <f t="shared" si="43"/>
        <v>0</v>
      </c>
      <c r="AB49" s="426">
        <f t="shared" ref="AB49:AB50" si="47">AA49/I49</f>
        <v>0</v>
      </c>
      <c r="AC49" s="416">
        <f t="shared" si="44"/>
        <v>0.3</v>
      </c>
      <c r="AD49" s="175">
        <f t="shared" si="12"/>
        <v>793940</v>
      </c>
      <c r="AE49" s="176">
        <f t="shared" si="23"/>
        <v>1</v>
      </c>
    </row>
    <row r="50" spans="1:31" ht="28.8" x14ac:dyDescent="0.3">
      <c r="A50" s="1314"/>
      <c r="B50" s="1314"/>
      <c r="C50" s="355" t="s">
        <v>61</v>
      </c>
      <c r="D50" s="355" t="s">
        <v>168</v>
      </c>
      <c r="E50" s="355">
        <v>0.15</v>
      </c>
      <c r="F50" s="192">
        <v>2542001</v>
      </c>
      <c r="G50" s="32">
        <f t="shared" si="3"/>
        <v>2671643</v>
      </c>
      <c r="H50" s="192">
        <f>ROUND((E50*F50),0)</f>
        <v>381300</v>
      </c>
      <c r="I50" s="32">
        <f t="shared" si="42"/>
        <v>400746</v>
      </c>
      <c r="J50" s="1314"/>
      <c r="K50" s="149">
        <v>0</v>
      </c>
      <c r="L50" s="175">
        <v>0</v>
      </c>
      <c r="M50" s="176">
        <f t="shared" si="45"/>
        <v>0</v>
      </c>
      <c r="N50" s="303">
        <v>0.15</v>
      </c>
      <c r="O50" s="304">
        <f>+ROUND((N50*F50),0)</f>
        <v>381300</v>
      </c>
      <c r="P50" s="305">
        <f t="shared" si="46"/>
        <v>1</v>
      </c>
      <c r="Q50" s="158">
        <v>0</v>
      </c>
      <c r="R50" s="194">
        <f>+ROUND((Q50*$F$50),0)</f>
        <v>0</v>
      </c>
      <c r="S50" s="195">
        <f>R50/$H$50</f>
        <v>0</v>
      </c>
      <c r="T50" s="158">
        <v>0</v>
      </c>
      <c r="U50" s="194">
        <f>+ROUND((T50*$F$50),0)</f>
        <v>0</v>
      </c>
      <c r="V50" s="195">
        <f>U50/$H$50</f>
        <v>0</v>
      </c>
      <c r="W50" s="432">
        <v>0</v>
      </c>
      <c r="X50" s="425">
        <f>+ROUND((W50*$F$50),0)</f>
        <v>0</v>
      </c>
      <c r="Y50" s="426">
        <f>X50/$H$50</f>
        <v>0</v>
      </c>
      <c r="Z50" s="432">
        <v>0</v>
      </c>
      <c r="AA50" s="425">
        <f t="shared" si="43"/>
        <v>0</v>
      </c>
      <c r="AB50" s="426">
        <f t="shared" si="47"/>
        <v>0</v>
      </c>
      <c r="AC50" s="416">
        <f t="shared" si="44"/>
        <v>0.15</v>
      </c>
      <c r="AD50" s="175">
        <f t="shared" si="12"/>
        <v>381300</v>
      </c>
      <c r="AE50" s="176">
        <f t="shared" si="23"/>
        <v>1</v>
      </c>
    </row>
    <row r="51" spans="1:31" x14ac:dyDescent="0.3">
      <c r="A51" s="1314"/>
      <c r="B51" s="1314"/>
      <c r="C51" s="196"/>
      <c r="D51" s="196" t="s">
        <v>169</v>
      </c>
      <c r="E51" s="198"/>
      <c r="F51" s="198"/>
      <c r="G51" s="198"/>
      <c r="H51" s="199">
        <f>SUM(H48:H50)</f>
        <v>1175240</v>
      </c>
      <c r="I51" s="199">
        <f>SUM(I48:I50)</f>
        <v>1235177</v>
      </c>
      <c r="J51" s="1314"/>
      <c r="K51" s="306"/>
      <c r="L51" s="307">
        <f>SUM(L48:L50)</f>
        <v>0</v>
      </c>
      <c r="M51" s="308">
        <f t="shared" si="45"/>
        <v>0</v>
      </c>
      <c r="N51" s="306"/>
      <c r="O51" s="307">
        <f>SUM(O48:O50)</f>
        <v>1175240</v>
      </c>
      <c r="P51" s="308">
        <f t="shared" si="46"/>
        <v>1</v>
      </c>
      <c r="Q51" s="306"/>
      <c r="R51" s="307">
        <f>SUM(R48:R50)</f>
        <v>0</v>
      </c>
      <c r="S51" s="308">
        <f>R51/$H$51</f>
        <v>0</v>
      </c>
      <c r="T51" s="306"/>
      <c r="U51" s="307">
        <f>SUM(U48:U50)</f>
        <v>0</v>
      </c>
      <c r="V51" s="308">
        <f>U51/$H$51</f>
        <v>0</v>
      </c>
      <c r="W51" s="428"/>
      <c r="X51" s="307">
        <f>SUM(X48:X50)</f>
        <v>0</v>
      </c>
      <c r="Y51" s="431">
        <f>X51/$H$51</f>
        <v>0</v>
      </c>
      <c r="Z51" s="428"/>
      <c r="AA51" s="307">
        <f>SUM(AA48:AA50)</f>
        <v>0</v>
      </c>
      <c r="AB51" s="431">
        <f>AA51/$H$51</f>
        <v>0</v>
      </c>
      <c r="AC51" s="306"/>
      <c r="AD51" s="1078">
        <f t="shared" si="12"/>
        <v>1175240</v>
      </c>
      <c r="AE51" s="308">
        <f t="shared" si="23"/>
        <v>1</v>
      </c>
    </row>
    <row r="52" spans="1:31" ht="28.8" x14ac:dyDescent="0.3">
      <c r="A52" s="1314" t="s">
        <v>885</v>
      </c>
      <c r="B52" s="1314" t="s">
        <v>883</v>
      </c>
      <c r="C52" s="355" t="s">
        <v>81</v>
      </c>
      <c r="D52" s="355" t="s">
        <v>230</v>
      </c>
      <c r="E52" s="355">
        <v>0.6</v>
      </c>
      <c r="F52" s="192">
        <v>1497343</v>
      </c>
      <c r="G52" s="32">
        <f t="shared" si="3"/>
        <v>1573707</v>
      </c>
      <c r="H52" s="192">
        <f>ROUND((E52*F52),0)</f>
        <v>898406</v>
      </c>
      <c r="I52" s="32">
        <f t="shared" ref="I52:I54" si="48">+ROUND(G52*E52,0)</f>
        <v>944224</v>
      </c>
      <c r="J52" s="1314" t="s">
        <v>884</v>
      </c>
      <c r="K52" s="149">
        <v>0</v>
      </c>
      <c r="L52" s="175">
        <v>0</v>
      </c>
      <c r="M52" s="176">
        <f t="shared" si="45"/>
        <v>0</v>
      </c>
      <c r="N52" s="303">
        <v>0.6</v>
      </c>
      <c r="O52" s="304">
        <f>+ROUND((N52*F52),0)</f>
        <v>898406</v>
      </c>
      <c r="P52" s="305">
        <f t="shared" si="46"/>
        <v>1</v>
      </c>
      <c r="Q52" s="158">
        <v>0</v>
      </c>
      <c r="R52" s="194">
        <f>+ROUND((Q52*$F$52),0)</f>
        <v>0</v>
      </c>
      <c r="S52" s="195">
        <f>R52/$H$52</f>
        <v>0</v>
      </c>
      <c r="T52" s="158">
        <v>0</v>
      </c>
      <c r="U52" s="194">
        <f>+ROUND((T52*$F$52),0)</f>
        <v>0</v>
      </c>
      <c r="V52" s="195">
        <f>U52/$H$52</f>
        <v>0</v>
      </c>
      <c r="W52" s="432">
        <v>0</v>
      </c>
      <c r="X52" s="425">
        <f>+ROUND((W52*$F$52),0)</f>
        <v>0</v>
      </c>
      <c r="Y52" s="426">
        <f>X52/$H$52</f>
        <v>0</v>
      </c>
      <c r="Z52" s="432">
        <v>0</v>
      </c>
      <c r="AA52" s="425">
        <f t="shared" ref="AA52:AA54" si="49">+ROUND((Z52*G52),0)</f>
        <v>0</v>
      </c>
      <c r="AB52" s="426">
        <f t="shared" ref="AB52:AB54" si="50">AA52/I52</f>
        <v>0</v>
      </c>
      <c r="AC52" s="416">
        <f t="shared" ref="AC52:AC54" si="51">K52+N52+Q52+T52+W52+Z52</f>
        <v>0.6</v>
      </c>
      <c r="AD52" s="175">
        <f t="shared" si="12"/>
        <v>898406</v>
      </c>
      <c r="AE52" s="176">
        <f t="shared" si="23"/>
        <v>1</v>
      </c>
    </row>
    <row r="53" spans="1:31" ht="28.8" x14ac:dyDescent="0.3">
      <c r="A53" s="1314"/>
      <c r="B53" s="1314"/>
      <c r="C53" s="355" t="s">
        <v>83</v>
      </c>
      <c r="D53" s="355" t="s">
        <v>231</v>
      </c>
      <c r="E53" s="355">
        <v>0.6</v>
      </c>
      <c r="F53" s="192">
        <v>3133974</v>
      </c>
      <c r="G53" s="32">
        <f t="shared" si="3"/>
        <v>3293807</v>
      </c>
      <c r="H53" s="192">
        <f>ROUND((E53*F53),0)</f>
        <v>1880384</v>
      </c>
      <c r="I53" s="32">
        <f t="shared" si="48"/>
        <v>1976284</v>
      </c>
      <c r="J53" s="1314"/>
      <c r="K53" s="149">
        <v>0</v>
      </c>
      <c r="L53" s="175">
        <v>0</v>
      </c>
      <c r="M53" s="176">
        <f t="shared" si="45"/>
        <v>0</v>
      </c>
      <c r="N53" s="303">
        <v>0.6</v>
      </c>
      <c r="O53" s="304">
        <f>+ROUND((N53*F53),0)</f>
        <v>1880384</v>
      </c>
      <c r="P53" s="305">
        <f t="shared" si="46"/>
        <v>1</v>
      </c>
      <c r="Q53" s="158">
        <v>0</v>
      </c>
      <c r="R53" s="194">
        <f>+ROUND((Q53*$F$53),0)</f>
        <v>0</v>
      </c>
      <c r="S53" s="195">
        <f>R53/$H$53</f>
        <v>0</v>
      </c>
      <c r="T53" s="158">
        <v>0</v>
      </c>
      <c r="U53" s="194">
        <f>+ROUND((T53*$F$53),0)</f>
        <v>0</v>
      </c>
      <c r="V53" s="195">
        <f>U53/$H$53</f>
        <v>0</v>
      </c>
      <c r="W53" s="432">
        <v>0</v>
      </c>
      <c r="X53" s="425">
        <f>+ROUND((W53*$F$53),0)</f>
        <v>0</v>
      </c>
      <c r="Y53" s="426">
        <f>X53/$H$53</f>
        <v>0</v>
      </c>
      <c r="Z53" s="432">
        <v>0</v>
      </c>
      <c r="AA53" s="425">
        <f t="shared" si="49"/>
        <v>0</v>
      </c>
      <c r="AB53" s="426">
        <f t="shared" si="50"/>
        <v>0</v>
      </c>
      <c r="AC53" s="416">
        <f t="shared" si="51"/>
        <v>0.6</v>
      </c>
      <c r="AD53" s="175">
        <f t="shared" si="12"/>
        <v>1880384</v>
      </c>
      <c r="AE53" s="176">
        <f t="shared" si="23"/>
        <v>1</v>
      </c>
    </row>
    <row r="54" spans="1:31" ht="28.8" x14ac:dyDescent="0.3">
      <c r="A54" s="1314"/>
      <c r="B54" s="1314"/>
      <c r="C54" s="355" t="s">
        <v>61</v>
      </c>
      <c r="D54" s="355" t="s">
        <v>232</v>
      </c>
      <c r="E54" s="355">
        <v>0.6</v>
      </c>
      <c r="F54" s="192">
        <v>4004523</v>
      </c>
      <c r="G54" s="32">
        <f t="shared" si="3"/>
        <v>4208754</v>
      </c>
      <c r="H54" s="192">
        <f>ROUND((E54*F54),0)</f>
        <v>2402714</v>
      </c>
      <c r="I54" s="32">
        <f t="shared" si="48"/>
        <v>2525252</v>
      </c>
      <c r="J54" s="1314"/>
      <c r="K54" s="149">
        <v>0</v>
      </c>
      <c r="L54" s="175">
        <v>0</v>
      </c>
      <c r="M54" s="176">
        <f t="shared" si="45"/>
        <v>0</v>
      </c>
      <c r="N54" s="303">
        <v>0.6</v>
      </c>
      <c r="O54" s="304">
        <f>+ROUND((N54*F54),0)</f>
        <v>2402714</v>
      </c>
      <c r="P54" s="305">
        <f t="shared" si="46"/>
        <v>1</v>
      </c>
      <c r="Q54" s="158">
        <v>0</v>
      </c>
      <c r="R54" s="194">
        <f>+ROUND((Q54*$F$54),0)</f>
        <v>0</v>
      </c>
      <c r="S54" s="195">
        <f>R54/$H$54</f>
        <v>0</v>
      </c>
      <c r="T54" s="158">
        <v>0</v>
      </c>
      <c r="U54" s="194">
        <f>+ROUND((T54*$F$54),0)</f>
        <v>0</v>
      </c>
      <c r="V54" s="195">
        <f>U54/$H$54</f>
        <v>0</v>
      </c>
      <c r="W54" s="432">
        <v>0</v>
      </c>
      <c r="X54" s="425">
        <f>+ROUND((W54*$F$54),0)</f>
        <v>0</v>
      </c>
      <c r="Y54" s="426">
        <f>X54/$H$54</f>
        <v>0</v>
      </c>
      <c r="Z54" s="432">
        <v>0</v>
      </c>
      <c r="AA54" s="425">
        <f t="shared" si="49"/>
        <v>0</v>
      </c>
      <c r="AB54" s="426">
        <f t="shared" si="50"/>
        <v>0</v>
      </c>
      <c r="AC54" s="416">
        <f t="shared" si="51"/>
        <v>0.6</v>
      </c>
      <c r="AD54" s="175">
        <f t="shared" si="12"/>
        <v>2402714</v>
      </c>
      <c r="AE54" s="176">
        <f t="shared" si="23"/>
        <v>1</v>
      </c>
    </row>
    <row r="55" spans="1:31" x14ac:dyDescent="0.3">
      <c r="A55" s="1314"/>
      <c r="B55" s="1314"/>
      <c r="C55" s="196"/>
      <c r="D55" s="196" t="s">
        <v>233</v>
      </c>
      <c r="E55" s="198"/>
      <c r="F55" s="198"/>
      <c r="G55" s="198"/>
      <c r="H55" s="199">
        <f>SUM(H52:H54)</f>
        <v>5181504</v>
      </c>
      <c r="I55" s="199">
        <f>SUM(I52:I54)</f>
        <v>5445760</v>
      </c>
      <c r="J55" s="1314"/>
      <c r="K55" s="306"/>
      <c r="L55" s="307">
        <f>SUM(L52:L54)</f>
        <v>0</v>
      </c>
      <c r="M55" s="308">
        <f t="shared" si="45"/>
        <v>0</v>
      </c>
      <c r="N55" s="306"/>
      <c r="O55" s="307">
        <f>SUM(O52:O54)</f>
        <v>5181504</v>
      </c>
      <c r="P55" s="308">
        <f t="shared" si="46"/>
        <v>1</v>
      </c>
      <c r="Q55" s="306"/>
      <c r="R55" s="307">
        <f>SUM(R52:R54)</f>
        <v>0</v>
      </c>
      <c r="S55" s="308">
        <f>R55/$H$55</f>
        <v>0</v>
      </c>
      <c r="T55" s="306"/>
      <c r="U55" s="307">
        <f>SUM(U52:U54)</f>
        <v>0</v>
      </c>
      <c r="V55" s="308">
        <f>U55/$H$55</f>
        <v>0</v>
      </c>
      <c r="W55" s="428"/>
      <c r="X55" s="307">
        <f>SUM(X52:X54)</f>
        <v>0</v>
      </c>
      <c r="Y55" s="431">
        <f>X55/$H$55</f>
        <v>0</v>
      </c>
      <c r="Z55" s="428"/>
      <c r="AA55" s="307">
        <f>SUM(AA52:AA54)</f>
        <v>0</v>
      </c>
      <c r="AB55" s="431">
        <f>AA55/$H$55</f>
        <v>0</v>
      </c>
      <c r="AC55" s="306"/>
      <c r="AD55" s="1078">
        <f t="shared" si="12"/>
        <v>5181504</v>
      </c>
      <c r="AE55" s="308">
        <f t="shared" si="23"/>
        <v>1</v>
      </c>
    </row>
    <row r="56" spans="1:31" ht="43.2" x14ac:dyDescent="0.3">
      <c r="A56" s="1314" t="s">
        <v>885</v>
      </c>
      <c r="B56" s="1314" t="s">
        <v>234</v>
      </c>
      <c r="C56" s="355" t="s">
        <v>59</v>
      </c>
      <c r="D56" s="355" t="s">
        <v>235</v>
      </c>
      <c r="E56" s="355">
        <v>0.3</v>
      </c>
      <c r="F56" s="192">
        <v>2298247</v>
      </c>
      <c r="G56" s="32">
        <f t="shared" si="3"/>
        <v>2415458</v>
      </c>
      <c r="H56" s="192">
        <f>ROUND((E56*F56),0)</f>
        <v>689474</v>
      </c>
      <c r="I56" s="32">
        <f>+ROUND(G56*E56,0)</f>
        <v>724637</v>
      </c>
      <c r="J56" s="1314"/>
      <c r="K56" s="149">
        <v>0</v>
      </c>
      <c r="L56" s="175">
        <v>0</v>
      </c>
      <c r="M56" s="176">
        <f t="shared" si="45"/>
        <v>0</v>
      </c>
      <c r="N56" s="303">
        <v>0.3</v>
      </c>
      <c r="O56" s="304">
        <f>+ROUND((N56*F56),0)</f>
        <v>689474</v>
      </c>
      <c r="P56" s="305">
        <f t="shared" si="46"/>
        <v>1</v>
      </c>
      <c r="Q56" s="158">
        <v>0</v>
      </c>
      <c r="R56" s="194">
        <f>+ROUND((Q56*$F$56),0)</f>
        <v>0</v>
      </c>
      <c r="S56" s="195">
        <f>R56/$H$56</f>
        <v>0</v>
      </c>
      <c r="T56" s="158">
        <v>0</v>
      </c>
      <c r="U56" s="194">
        <f>+ROUND((T56*$F$56),0)</f>
        <v>0</v>
      </c>
      <c r="V56" s="195">
        <f>U56/$H$56</f>
        <v>0</v>
      </c>
      <c r="W56" s="432">
        <v>0</v>
      </c>
      <c r="X56" s="425">
        <f>+ROUND((W56*$F$56),0)</f>
        <v>0</v>
      </c>
      <c r="Y56" s="426">
        <f>X56/$H$56</f>
        <v>0</v>
      </c>
      <c r="Z56" s="432">
        <v>0</v>
      </c>
      <c r="AA56" s="425">
        <f>+ROUND((Z56*G56),0)</f>
        <v>0</v>
      </c>
      <c r="AB56" s="426">
        <f>AA56/I56</f>
        <v>0</v>
      </c>
      <c r="AC56" s="416">
        <f t="shared" ref="AC56" si="52">K56+N56+Q56+T56+W56+Z56</f>
        <v>0.3</v>
      </c>
      <c r="AD56" s="175">
        <f t="shared" si="12"/>
        <v>689474</v>
      </c>
      <c r="AE56" s="176">
        <f t="shared" si="23"/>
        <v>1</v>
      </c>
    </row>
    <row r="57" spans="1:31" x14ac:dyDescent="0.3">
      <c r="A57" s="1314"/>
      <c r="B57" s="1314"/>
      <c r="C57" s="196"/>
      <c r="D57" s="196" t="s">
        <v>236</v>
      </c>
      <c r="E57" s="198"/>
      <c r="F57" s="198"/>
      <c r="G57" s="198"/>
      <c r="H57" s="199">
        <f>H56</f>
        <v>689474</v>
      </c>
      <c r="I57" s="199">
        <f>SUM(I56)</f>
        <v>724637</v>
      </c>
      <c r="J57" s="1314"/>
      <c r="K57" s="306"/>
      <c r="L57" s="307">
        <f>L56</f>
        <v>0</v>
      </c>
      <c r="M57" s="308">
        <f t="shared" si="45"/>
        <v>0</v>
      </c>
      <c r="N57" s="306"/>
      <c r="O57" s="307">
        <f>SUM(O56)</f>
        <v>689474</v>
      </c>
      <c r="P57" s="308">
        <f t="shared" si="46"/>
        <v>1</v>
      </c>
      <c r="Q57" s="306"/>
      <c r="R57" s="307">
        <f>SUM(R56)</f>
        <v>0</v>
      </c>
      <c r="S57" s="308">
        <f>R57/$H$57</f>
        <v>0</v>
      </c>
      <c r="T57" s="306"/>
      <c r="U57" s="307">
        <f>SUM(U56)</f>
        <v>0</v>
      </c>
      <c r="V57" s="308">
        <f>U57/$H$57</f>
        <v>0</v>
      </c>
      <c r="W57" s="428"/>
      <c r="X57" s="307">
        <f>SUM(X56)</f>
        <v>0</v>
      </c>
      <c r="Y57" s="431">
        <f>X57/$H$57</f>
        <v>0</v>
      </c>
      <c r="Z57" s="428"/>
      <c r="AA57" s="307">
        <f>SUM(AA56)</f>
        <v>0</v>
      </c>
      <c r="AB57" s="431">
        <f>AA57/$H$57</f>
        <v>0</v>
      </c>
      <c r="AC57" s="306"/>
      <c r="AD57" s="1078">
        <f t="shared" si="12"/>
        <v>689474</v>
      </c>
      <c r="AE57" s="308">
        <f t="shared" si="23"/>
        <v>1</v>
      </c>
    </row>
    <row r="58" spans="1:31" ht="28.8" x14ac:dyDescent="0.3">
      <c r="A58" s="1314" t="s">
        <v>887</v>
      </c>
      <c r="B58" s="1314" t="s">
        <v>216</v>
      </c>
      <c r="C58" s="355" t="s">
        <v>81</v>
      </c>
      <c r="D58" s="355" t="s">
        <v>82</v>
      </c>
      <c r="E58" s="355">
        <v>0.3</v>
      </c>
      <c r="F58" s="192">
        <v>1880385</v>
      </c>
      <c r="G58" s="32">
        <f t="shared" si="3"/>
        <v>1976285</v>
      </c>
      <c r="H58" s="192">
        <f>ROUND((E58*F58),0)</f>
        <v>564116</v>
      </c>
      <c r="I58" s="32">
        <f t="shared" ref="I58:I60" si="53">+ROUND(G58*E58,0)</f>
        <v>592886</v>
      </c>
      <c r="J58" s="1314" t="s">
        <v>876</v>
      </c>
      <c r="K58" s="149">
        <v>0</v>
      </c>
      <c r="L58" s="175">
        <v>0</v>
      </c>
      <c r="M58" s="176">
        <f t="shared" si="45"/>
        <v>0</v>
      </c>
      <c r="N58" s="303">
        <v>0.3</v>
      </c>
      <c r="O58" s="304">
        <f>+ROUND((N58*F58),0)</f>
        <v>564116</v>
      </c>
      <c r="P58" s="305">
        <f t="shared" si="46"/>
        <v>1</v>
      </c>
      <c r="Q58" s="158">
        <v>0</v>
      </c>
      <c r="R58" s="194">
        <f>+ROUND((Q58*$F$58),0)</f>
        <v>0</v>
      </c>
      <c r="S58" s="195">
        <f>R58/$H$58</f>
        <v>0</v>
      </c>
      <c r="T58" s="158">
        <v>0</v>
      </c>
      <c r="U58" s="194">
        <f>+ROUND((T58*$F$58),0)</f>
        <v>0</v>
      </c>
      <c r="V58" s="195">
        <f>U58/$H$58</f>
        <v>0</v>
      </c>
      <c r="W58" s="432">
        <v>0</v>
      </c>
      <c r="X58" s="425">
        <f>+ROUND((W58*$F$58),0)</f>
        <v>0</v>
      </c>
      <c r="Y58" s="426">
        <f>X58/$H$58</f>
        <v>0</v>
      </c>
      <c r="Z58" s="432">
        <v>0</v>
      </c>
      <c r="AA58" s="425">
        <f t="shared" ref="AA58:AA60" si="54">+ROUND((Z58*G58),0)</f>
        <v>0</v>
      </c>
      <c r="AB58" s="426">
        <f t="shared" ref="AB58:AB59" si="55">AA58/I58</f>
        <v>0</v>
      </c>
      <c r="AC58" s="416">
        <f t="shared" ref="AC58:AC60" si="56">K58+N58+Q58+T58+W58+Z58</f>
        <v>0.3</v>
      </c>
      <c r="AD58" s="175">
        <f t="shared" si="12"/>
        <v>564116</v>
      </c>
      <c r="AE58" s="176">
        <f t="shared" si="23"/>
        <v>1</v>
      </c>
    </row>
    <row r="59" spans="1:31" ht="28.8" x14ac:dyDescent="0.3">
      <c r="A59" s="1314"/>
      <c r="B59" s="1314"/>
      <c r="C59" s="355" t="s">
        <v>83</v>
      </c>
      <c r="D59" s="355" t="s">
        <v>84</v>
      </c>
      <c r="E59" s="355">
        <v>0.3</v>
      </c>
      <c r="F59" s="192">
        <v>1845563</v>
      </c>
      <c r="G59" s="32">
        <f t="shared" si="3"/>
        <v>1939687</v>
      </c>
      <c r="H59" s="192">
        <f>ROUND((E59*F59),0)</f>
        <v>553669</v>
      </c>
      <c r="I59" s="32">
        <f t="shared" si="53"/>
        <v>581906</v>
      </c>
      <c r="J59" s="1314"/>
      <c r="K59" s="149">
        <v>0</v>
      </c>
      <c r="L59" s="175">
        <v>0</v>
      </c>
      <c r="M59" s="176">
        <f t="shared" si="45"/>
        <v>0</v>
      </c>
      <c r="N59" s="303">
        <v>0.3</v>
      </c>
      <c r="O59" s="304">
        <f>+ROUND((N59*F59),0)</f>
        <v>553669</v>
      </c>
      <c r="P59" s="305">
        <f t="shared" si="46"/>
        <v>1</v>
      </c>
      <c r="Q59" s="158">
        <v>0</v>
      </c>
      <c r="R59" s="194">
        <f>+ROUND((Q59*$F$59),0)</f>
        <v>0</v>
      </c>
      <c r="S59" s="195">
        <f>R59/$H$59</f>
        <v>0</v>
      </c>
      <c r="T59" s="158">
        <v>0</v>
      </c>
      <c r="U59" s="194">
        <f>+ROUND((T59*$F$59),0)</f>
        <v>0</v>
      </c>
      <c r="V59" s="195">
        <f>U59/$H$59</f>
        <v>0</v>
      </c>
      <c r="W59" s="432">
        <v>0</v>
      </c>
      <c r="X59" s="425">
        <f>+ROUND((W59*$F$59),0)</f>
        <v>0</v>
      </c>
      <c r="Y59" s="426">
        <f>X59/$H$59</f>
        <v>0</v>
      </c>
      <c r="Z59" s="432">
        <v>0</v>
      </c>
      <c r="AA59" s="425">
        <f t="shared" si="54"/>
        <v>0</v>
      </c>
      <c r="AB59" s="426">
        <f t="shared" si="55"/>
        <v>0</v>
      </c>
      <c r="AC59" s="416">
        <f t="shared" si="56"/>
        <v>0.3</v>
      </c>
      <c r="AD59" s="175">
        <f t="shared" si="12"/>
        <v>553669</v>
      </c>
      <c r="AE59" s="176">
        <f t="shared" si="23"/>
        <v>1</v>
      </c>
    </row>
    <row r="60" spans="1:31" ht="28.8" x14ac:dyDescent="0.3">
      <c r="A60" s="1314"/>
      <c r="B60" s="1314"/>
      <c r="C60" s="355" t="s">
        <v>61</v>
      </c>
      <c r="D60" s="355" t="s">
        <v>85</v>
      </c>
      <c r="E60" s="355">
        <v>0.3</v>
      </c>
      <c r="F60" s="192">
        <v>7312607</v>
      </c>
      <c r="G60" s="32">
        <f t="shared" si="3"/>
        <v>7685550</v>
      </c>
      <c r="H60" s="192">
        <f>ROUND((E60*F60),0)</f>
        <v>2193782</v>
      </c>
      <c r="I60" s="32">
        <f t="shared" si="53"/>
        <v>2305665</v>
      </c>
      <c r="J60" s="1314"/>
      <c r="K60" s="303">
        <v>0.3</v>
      </c>
      <c r="L60" s="304">
        <f>ROUND(K60*F60,0)</f>
        <v>2193782</v>
      </c>
      <c r="M60" s="305">
        <f t="shared" si="45"/>
        <v>1</v>
      </c>
      <c r="N60" s="158">
        <v>0</v>
      </c>
      <c r="O60" s="194">
        <v>0</v>
      </c>
      <c r="P60" s="195">
        <f t="shared" si="46"/>
        <v>0</v>
      </c>
      <c r="Q60" s="158">
        <v>0</v>
      </c>
      <c r="R60" s="194">
        <f>+ROUND((Q60*$F$60),0)</f>
        <v>0</v>
      </c>
      <c r="S60" s="195">
        <f>R60/$H$60</f>
        <v>0</v>
      </c>
      <c r="T60" s="158">
        <v>0</v>
      </c>
      <c r="U60" s="194">
        <f>+ROUND((T60*$F$60),0)</f>
        <v>0</v>
      </c>
      <c r="V60" s="195">
        <f>U60/$H$60</f>
        <v>0</v>
      </c>
      <c r="W60" s="432">
        <v>0</v>
      </c>
      <c r="X60" s="425">
        <f>+ROUND((W60*$F$60),0)</f>
        <v>0</v>
      </c>
      <c r="Y60" s="426">
        <f>X60/$H$60</f>
        <v>0</v>
      </c>
      <c r="Z60" s="432">
        <v>0</v>
      </c>
      <c r="AA60" s="425">
        <f t="shared" si="54"/>
        <v>0</v>
      </c>
      <c r="AB60" s="426">
        <f>AA60/I60</f>
        <v>0</v>
      </c>
      <c r="AC60" s="416">
        <f t="shared" si="56"/>
        <v>0.3</v>
      </c>
      <c r="AD60" s="175">
        <f t="shared" si="12"/>
        <v>2193782</v>
      </c>
      <c r="AE60" s="176">
        <f t="shared" si="23"/>
        <v>1</v>
      </c>
    </row>
    <row r="61" spans="1:31" x14ac:dyDescent="0.3">
      <c r="A61" s="1314"/>
      <c r="B61" s="1314"/>
      <c r="C61" s="196"/>
      <c r="D61" s="196" t="s">
        <v>86</v>
      </c>
      <c r="E61" s="198"/>
      <c r="F61" s="198"/>
      <c r="G61" s="198"/>
      <c r="H61" s="199">
        <f>SUM(H58:H60)</f>
        <v>3311567</v>
      </c>
      <c r="I61" s="199">
        <f>SUM(I58:I60)</f>
        <v>3480457</v>
      </c>
      <c r="J61" s="1314"/>
      <c r="K61" s="306"/>
      <c r="L61" s="307">
        <f>SUM(L58:L60)</f>
        <v>2193782</v>
      </c>
      <c r="M61" s="308">
        <f t="shared" si="45"/>
        <v>0.66246040016705088</v>
      </c>
      <c r="N61" s="306"/>
      <c r="O61" s="307">
        <f>SUM(O58:O60)</f>
        <v>1117785</v>
      </c>
      <c r="P61" s="308">
        <f t="shared" si="46"/>
        <v>0.33753959983294918</v>
      </c>
      <c r="Q61" s="306"/>
      <c r="R61" s="307">
        <f>SUM(R58:R60)</f>
        <v>0</v>
      </c>
      <c r="S61" s="308">
        <f>R61/$H$61</f>
        <v>0</v>
      </c>
      <c r="T61" s="306"/>
      <c r="U61" s="307">
        <f>SUM(U58:U60)</f>
        <v>0</v>
      </c>
      <c r="V61" s="308">
        <f>U61/$H$61</f>
        <v>0</v>
      </c>
      <c r="W61" s="428"/>
      <c r="X61" s="307">
        <f>SUM(X58:X60)</f>
        <v>0</v>
      </c>
      <c r="Y61" s="431">
        <f>X61/$H$61</f>
        <v>0</v>
      </c>
      <c r="Z61" s="428"/>
      <c r="AA61" s="307">
        <f>SUM(AA58:AA60)</f>
        <v>0</v>
      </c>
      <c r="AB61" s="431">
        <f>AA61/$H$61</f>
        <v>0</v>
      </c>
      <c r="AC61" s="306"/>
      <c r="AD61" s="1078">
        <f t="shared" si="12"/>
        <v>3311567</v>
      </c>
      <c r="AE61" s="308">
        <f t="shared" si="23"/>
        <v>1</v>
      </c>
    </row>
    <row r="62" spans="1:31" ht="28.8" x14ac:dyDescent="0.3">
      <c r="A62" s="1314" t="s">
        <v>887</v>
      </c>
      <c r="B62" s="1314" t="s">
        <v>877</v>
      </c>
      <c r="C62" s="355" t="s">
        <v>81</v>
      </c>
      <c r="D62" s="355" t="s">
        <v>878</v>
      </c>
      <c r="E62" s="355">
        <v>1</v>
      </c>
      <c r="F62" s="192">
        <v>5536688</v>
      </c>
      <c r="G62" s="32">
        <f t="shared" si="3"/>
        <v>5819059</v>
      </c>
      <c r="H62" s="192">
        <f>ROUND((E62*F62),0)</f>
        <v>5536688</v>
      </c>
      <c r="I62" s="32">
        <f t="shared" ref="I62:I64" si="57">+ROUND(G62*E62,0)</f>
        <v>5819059</v>
      </c>
      <c r="J62" s="1314"/>
      <c r="K62" s="149">
        <v>0</v>
      </c>
      <c r="L62" s="175">
        <v>0</v>
      </c>
      <c r="M62" s="176">
        <f t="shared" si="45"/>
        <v>0</v>
      </c>
      <c r="N62" s="303">
        <v>1</v>
      </c>
      <c r="O62" s="304">
        <f>+ROUND((N62*F62),0)</f>
        <v>5536688</v>
      </c>
      <c r="P62" s="305">
        <f t="shared" si="46"/>
        <v>1</v>
      </c>
      <c r="Q62" s="158">
        <v>0</v>
      </c>
      <c r="R62" s="194">
        <f>+ROUND((Q62*$F$62),0)</f>
        <v>0</v>
      </c>
      <c r="S62" s="195">
        <f>R62/$H$62</f>
        <v>0</v>
      </c>
      <c r="T62" s="158">
        <v>0</v>
      </c>
      <c r="U62" s="194">
        <f>+ROUND((T62*$F$62),0)</f>
        <v>0</v>
      </c>
      <c r="V62" s="195">
        <f>U62/$H$62</f>
        <v>0</v>
      </c>
      <c r="W62" s="432">
        <v>0</v>
      </c>
      <c r="X62" s="425">
        <f>+ROUND((W62*$F$62),0)</f>
        <v>0</v>
      </c>
      <c r="Y62" s="426">
        <f>X62/$H$62</f>
        <v>0</v>
      </c>
      <c r="Z62" s="432">
        <v>0</v>
      </c>
      <c r="AA62" s="425">
        <f t="shared" ref="AA62:AA64" si="58">+ROUND((Z62*G62),0)</f>
        <v>0</v>
      </c>
      <c r="AB62" s="426">
        <f t="shared" ref="AB62:AB64" si="59">AA62/I62</f>
        <v>0</v>
      </c>
      <c r="AC62" s="416">
        <f t="shared" ref="AC62:AC64" si="60">K62+N62+Q62+T62+W62+Z62</f>
        <v>1</v>
      </c>
      <c r="AD62" s="175">
        <f t="shared" si="12"/>
        <v>5536688</v>
      </c>
      <c r="AE62" s="176">
        <f t="shared" si="23"/>
        <v>1</v>
      </c>
    </row>
    <row r="63" spans="1:31" ht="28.8" x14ac:dyDescent="0.3">
      <c r="A63" s="1314"/>
      <c r="B63" s="1314"/>
      <c r="C63" s="355" t="s">
        <v>83</v>
      </c>
      <c r="D63" s="355" t="s">
        <v>879</v>
      </c>
      <c r="E63" s="355">
        <v>1</v>
      </c>
      <c r="F63" s="192">
        <v>8566197</v>
      </c>
      <c r="G63" s="32">
        <f t="shared" si="3"/>
        <v>9003073</v>
      </c>
      <c r="H63" s="192">
        <f>ROUND((E63*F63),0)</f>
        <v>8566197</v>
      </c>
      <c r="I63" s="32">
        <f t="shared" si="57"/>
        <v>9003073</v>
      </c>
      <c r="J63" s="1314"/>
      <c r="K63" s="149">
        <v>0</v>
      </c>
      <c r="L63" s="175">
        <v>0</v>
      </c>
      <c r="M63" s="176">
        <f t="shared" si="45"/>
        <v>0</v>
      </c>
      <c r="N63" s="303">
        <v>1</v>
      </c>
      <c r="O63" s="304">
        <f>+ROUND((N63*F63),0)</f>
        <v>8566197</v>
      </c>
      <c r="P63" s="305">
        <f t="shared" si="46"/>
        <v>1</v>
      </c>
      <c r="Q63" s="158">
        <v>0</v>
      </c>
      <c r="R63" s="194">
        <f>+ROUND((Q63*$F$63),0)</f>
        <v>0</v>
      </c>
      <c r="S63" s="195">
        <f>R63/$H$63</f>
        <v>0</v>
      </c>
      <c r="T63" s="158">
        <v>0</v>
      </c>
      <c r="U63" s="194">
        <f>+ROUND((T63*$F$63),0)</f>
        <v>0</v>
      </c>
      <c r="V63" s="195">
        <f>U63/$H$63</f>
        <v>0</v>
      </c>
      <c r="W63" s="432">
        <v>0</v>
      </c>
      <c r="X63" s="425">
        <f>+ROUND((W63*$F$63),0)</f>
        <v>0</v>
      </c>
      <c r="Y63" s="426">
        <f>X63/$H$63</f>
        <v>0</v>
      </c>
      <c r="Z63" s="432">
        <v>0</v>
      </c>
      <c r="AA63" s="425">
        <f t="shared" si="58"/>
        <v>0</v>
      </c>
      <c r="AB63" s="426">
        <f t="shared" si="59"/>
        <v>0</v>
      </c>
      <c r="AC63" s="416">
        <f t="shared" si="60"/>
        <v>1</v>
      </c>
      <c r="AD63" s="175">
        <f t="shared" si="12"/>
        <v>8566197</v>
      </c>
      <c r="AE63" s="176">
        <f t="shared" si="23"/>
        <v>1</v>
      </c>
    </row>
    <row r="64" spans="1:31" ht="28.8" x14ac:dyDescent="0.3">
      <c r="A64" s="1314"/>
      <c r="B64" s="1314"/>
      <c r="C64" s="355" t="s">
        <v>61</v>
      </c>
      <c r="D64" s="355" t="s">
        <v>880</v>
      </c>
      <c r="E64" s="355">
        <v>1</v>
      </c>
      <c r="F64" s="192">
        <v>17585079</v>
      </c>
      <c r="G64" s="32">
        <f t="shared" si="3"/>
        <v>18481918</v>
      </c>
      <c r="H64" s="192">
        <f>ROUND((E64*F64),0)</f>
        <v>17585079</v>
      </c>
      <c r="I64" s="32">
        <f t="shared" si="57"/>
        <v>18481918</v>
      </c>
      <c r="J64" s="1314"/>
      <c r="K64" s="303">
        <v>1</v>
      </c>
      <c r="L64" s="304">
        <f>ROUND(K64*F64,0)</f>
        <v>17585079</v>
      </c>
      <c r="M64" s="305">
        <f t="shared" si="45"/>
        <v>1</v>
      </c>
      <c r="N64" s="158">
        <v>0</v>
      </c>
      <c r="O64" s="194">
        <v>0</v>
      </c>
      <c r="P64" s="195">
        <f t="shared" si="46"/>
        <v>0</v>
      </c>
      <c r="Q64" s="158">
        <v>0</v>
      </c>
      <c r="R64" s="194">
        <f>+ROUND((Q64*$F$64),0)</f>
        <v>0</v>
      </c>
      <c r="S64" s="195">
        <f>R64/$H$64</f>
        <v>0</v>
      </c>
      <c r="T64" s="158">
        <v>0</v>
      </c>
      <c r="U64" s="194">
        <f>+ROUND((T64*$F$64),0)</f>
        <v>0</v>
      </c>
      <c r="V64" s="195">
        <f>U64/$H$64</f>
        <v>0</v>
      </c>
      <c r="W64" s="432">
        <v>0</v>
      </c>
      <c r="X64" s="425">
        <f>+ROUND((W64*$F$64),0)</f>
        <v>0</v>
      </c>
      <c r="Y64" s="426">
        <f>X64/$H$64</f>
        <v>0</v>
      </c>
      <c r="Z64" s="432">
        <v>0</v>
      </c>
      <c r="AA64" s="425">
        <f t="shared" si="58"/>
        <v>0</v>
      </c>
      <c r="AB64" s="426">
        <f t="shared" si="59"/>
        <v>0</v>
      </c>
      <c r="AC64" s="416">
        <f t="shared" si="60"/>
        <v>1</v>
      </c>
      <c r="AD64" s="175">
        <f t="shared" si="12"/>
        <v>17585079</v>
      </c>
      <c r="AE64" s="176">
        <f t="shared" si="23"/>
        <v>1</v>
      </c>
    </row>
    <row r="65" spans="1:31" x14ac:dyDescent="0.3">
      <c r="A65" s="1314"/>
      <c r="B65" s="1314"/>
      <c r="C65" s="196"/>
      <c r="D65" s="196" t="s">
        <v>229</v>
      </c>
      <c r="E65" s="198"/>
      <c r="F65" s="198"/>
      <c r="G65" s="198"/>
      <c r="H65" s="199">
        <f>SUM(H62:H64)</f>
        <v>31687964</v>
      </c>
      <c r="I65" s="199">
        <f>SUM(I62:I64)</f>
        <v>33304050</v>
      </c>
      <c r="J65" s="1314"/>
      <c r="K65" s="306"/>
      <c r="L65" s="307">
        <f>SUM(L62:L64)</f>
        <v>17585079</v>
      </c>
      <c r="M65" s="308">
        <f t="shared" si="45"/>
        <v>0.55494505737257216</v>
      </c>
      <c r="N65" s="306"/>
      <c r="O65" s="307">
        <f>SUM(O62:O64)</f>
        <v>14102885</v>
      </c>
      <c r="P65" s="308">
        <f t="shared" si="46"/>
        <v>0.4450549426274279</v>
      </c>
      <c r="Q65" s="306"/>
      <c r="R65" s="307">
        <f>SUM(R62:R64)</f>
        <v>0</v>
      </c>
      <c r="S65" s="308">
        <f>R65/$H$65</f>
        <v>0</v>
      </c>
      <c r="T65" s="306"/>
      <c r="U65" s="307">
        <f>SUM(U62:U64)</f>
        <v>0</v>
      </c>
      <c r="V65" s="308">
        <f>U65/$H$65</f>
        <v>0</v>
      </c>
      <c r="W65" s="428"/>
      <c r="X65" s="307">
        <f>SUM(X62:X64)</f>
        <v>0</v>
      </c>
      <c r="Y65" s="431">
        <f>X65/$H$65</f>
        <v>0</v>
      </c>
      <c r="Z65" s="428"/>
      <c r="AA65" s="307">
        <f>SUM(AA62:AA64)</f>
        <v>0</v>
      </c>
      <c r="AB65" s="431">
        <f>AA65/$H$65</f>
        <v>0</v>
      </c>
      <c r="AC65" s="306"/>
      <c r="AD65" s="1078">
        <f t="shared" si="12"/>
        <v>31687964</v>
      </c>
      <c r="AE65" s="308">
        <f t="shared" si="23"/>
        <v>1</v>
      </c>
    </row>
    <row r="66" spans="1:31" ht="28.8" x14ac:dyDescent="0.3">
      <c r="A66" s="1314" t="s">
        <v>887</v>
      </c>
      <c r="B66" s="1314" t="s">
        <v>217</v>
      </c>
      <c r="C66" s="355" t="s">
        <v>81</v>
      </c>
      <c r="D66" s="355" t="s">
        <v>218</v>
      </c>
      <c r="E66" s="355">
        <v>0.3</v>
      </c>
      <c r="F66" s="192">
        <v>1149124</v>
      </c>
      <c r="G66" s="32">
        <f t="shared" si="3"/>
        <v>1207729</v>
      </c>
      <c r="H66" s="192">
        <f>ROUND((E66*F66),0)</f>
        <v>344737</v>
      </c>
      <c r="I66" s="32">
        <f t="shared" ref="I66:I68" si="61">+ROUND(G66*E66,0)</f>
        <v>362319</v>
      </c>
      <c r="J66" s="1314" t="s">
        <v>881</v>
      </c>
      <c r="K66" s="149">
        <v>0</v>
      </c>
      <c r="L66" s="175">
        <v>0</v>
      </c>
      <c r="M66" s="176">
        <f t="shared" si="45"/>
        <v>0</v>
      </c>
      <c r="N66" s="303">
        <v>0.3</v>
      </c>
      <c r="O66" s="304">
        <f>+ROUND((N66*F66),0)</f>
        <v>344737</v>
      </c>
      <c r="P66" s="305">
        <f t="shared" si="46"/>
        <v>1</v>
      </c>
      <c r="Q66" s="158">
        <v>0</v>
      </c>
      <c r="R66" s="194">
        <f>+ROUND((Q66*$F$66),0)</f>
        <v>0</v>
      </c>
      <c r="S66" s="195">
        <f>R66/$H$66</f>
        <v>0</v>
      </c>
      <c r="T66" s="158">
        <v>0</v>
      </c>
      <c r="U66" s="194">
        <f>+ROUND((T66*$F$66),0)</f>
        <v>0</v>
      </c>
      <c r="V66" s="195">
        <f>U66/$H$66</f>
        <v>0</v>
      </c>
      <c r="W66" s="432">
        <v>0</v>
      </c>
      <c r="X66" s="425">
        <f>+ROUND((W66*$F$66),0)</f>
        <v>0</v>
      </c>
      <c r="Y66" s="426">
        <f>X66/$H$66</f>
        <v>0</v>
      </c>
      <c r="Z66" s="432">
        <v>0</v>
      </c>
      <c r="AA66" s="425">
        <f t="shared" ref="AA66:AA68" si="62">+ROUND((Z66*G66),0)</f>
        <v>0</v>
      </c>
      <c r="AB66" s="426">
        <f t="shared" ref="AB66:AB68" si="63">AA66/I66</f>
        <v>0</v>
      </c>
      <c r="AC66" s="416">
        <f t="shared" ref="AC66:AC68" si="64">K66+N66+Q66+T66+W66+Z66</f>
        <v>0.3</v>
      </c>
      <c r="AD66" s="175">
        <f t="shared" si="12"/>
        <v>344737</v>
      </c>
      <c r="AE66" s="176">
        <f t="shared" si="23"/>
        <v>1</v>
      </c>
    </row>
    <row r="67" spans="1:31" ht="28.8" x14ac:dyDescent="0.3">
      <c r="A67" s="1314"/>
      <c r="B67" s="1314"/>
      <c r="C67" s="355" t="s">
        <v>83</v>
      </c>
      <c r="D67" s="355" t="s">
        <v>219</v>
      </c>
      <c r="E67" s="355">
        <v>0.3</v>
      </c>
      <c r="F67" s="192">
        <v>2646468</v>
      </c>
      <c r="G67" s="32">
        <f t="shared" si="3"/>
        <v>2781438</v>
      </c>
      <c r="H67" s="192">
        <f>ROUND((E67*F67),0)</f>
        <v>793940</v>
      </c>
      <c r="I67" s="32">
        <f t="shared" si="61"/>
        <v>834431</v>
      </c>
      <c r="J67" s="1314"/>
      <c r="K67" s="149">
        <v>0</v>
      </c>
      <c r="L67" s="175">
        <v>0</v>
      </c>
      <c r="M67" s="176">
        <f t="shared" si="45"/>
        <v>0</v>
      </c>
      <c r="N67" s="303">
        <v>0.3</v>
      </c>
      <c r="O67" s="304">
        <f>+ROUND((N67*F67),0)</f>
        <v>793940</v>
      </c>
      <c r="P67" s="305">
        <f t="shared" si="46"/>
        <v>1</v>
      </c>
      <c r="Q67" s="158">
        <v>0</v>
      </c>
      <c r="R67" s="194">
        <f>+ROUND((Q67*$F$67),0)</f>
        <v>0</v>
      </c>
      <c r="S67" s="195">
        <f>R67/$H$67</f>
        <v>0</v>
      </c>
      <c r="T67" s="158">
        <v>0</v>
      </c>
      <c r="U67" s="194">
        <f>+ROUND((T67*$F$67),0)</f>
        <v>0</v>
      </c>
      <c r="V67" s="195">
        <f>U67/$H$67</f>
        <v>0</v>
      </c>
      <c r="W67" s="432">
        <v>0</v>
      </c>
      <c r="X67" s="425">
        <f>+ROUND((W67*$F$67),0)</f>
        <v>0</v>
      </c>
      <c r="Y67" s="426">
        <f>X67/$H$67</f>
        <v>0</v>
      </c>
      <c r="Z67" s="432">
        <v>0</v>
      </c>
      <c r="AA67" s="425">
        <f t="shared" si="62"/>
        <v>0</v>
      </c>
      <c r="AB67" s="426">
        <f t="shared" si="63"/>
        <v>0</v>
      </c>
      <c r="AC67" s="416">
        <f t="shared" si="64"/>
        <v>0.3</v>
      </c>
      <c r="AD67" s="175">
        <f t="shared" si="12"/>
        <v>793940</v>
      </c>
      <c r="AE67" s="176">
        <f t="shared" si="23"/>
        <v>1</v>
      </c>
    </row>
    <row r="68" spans="1:31" ht="28.8" x14ac:dyDescent="0.3">
      <c r="A68" s="1314"/>
      <c r="B68" s="1314"/>
      <c r="C68" s="355" t="s">
        <v>61</v>
      </c>
      <c r="D68" s="355" t="s">
        <v>220</v>
      </c>
      <c r="E68" s="355">
        <v>0.3</v>
      </c>
      <c r="F68" s="192">
        <v>3203618</v>
      </c>
      <c r="G68" s="32">
        <f t="shared" si="3"/>
        <v>3367003</v>
      </c>
      <c r="H68" s="192">
        <f>ROUND((E68*F68),0)</f>
        <v>961085</v>
      </c>
      <c r="I68" s="32">
        <f t="shared" si="61"/>
        <v>1010101</v>
      </c>
      <c r="J68" s="1314"/>
      <c r="K68" s="303">
        <v>0.3</v>
      </c>
      <c r="L68" s="304">
        <f>ROUND(K68*F68,0)</f>
        <v>961085</v>
      </c>
      <c r="M68" s="305">
        <f t="shared" si="45"/>
        <v>1</v>
      </c>
      <c r="N68" s="158">
        <v>0</v>
      </c>
      <c r="O68" s="194">
        <v>0</v>
      </c>
      <c r="P68" s="195">
        <f t="shared" si="46"/>
        <v>0</v>
      </c>
      <c r="Q68" s="158">
        <v>0</v>
      </c>
      <c r="R68" s="194">
        <f>+ROUND((Q68*$F$68),0)</f>
        <v>0</v>
      </c>
      <c r="S68" s="195">
        <f>R68/$H$68</f>
        <v>0</v>
      </c>
      <c r="T68" s="158">
        <v>0</v>
      </c>
      <c r="U68" s="194">
        <f>+ROUND((T68*$F$68),0)</f>
        <v>0</v>
      </c>
      <c r="V68" s="195">
        <f>U68/$H$68</f>
        <v>0</v>
      </c>
      <c r="W68" s="432">
        <v>0</v>
      </c>
      <c r="X68" s="425">
        <f>+ROUND((W68*$F$68),0)</f>
        <v>0</v>
      </c>
      <c r="Y68" s="426">
        <f>X68/$H$68</f>
        <v>0</v>
      </c>
      <c r="Z68" s="432">
        <v>0</v>
      </c>
      <c r="AA68" s="425">
        <f t="shared" si="62"/>
        <v>0</v>
      </c>
      <c r="AB68" s="426">
        <f t="shared" si="63"/>
        <v>0</v>
      </c>
      <c r="AC68" s="416">
        <f t="shared" si="64"/>
        <v>0.3</v>
      </c>
      <c r="AD68" s="175">
        <f t="shared" si="12"/>
        <v>961085</v>
      </c>
      <c r="AE68" s="176">
        <f t="shared" si="23"/>
        <v>1</v>
      </c>
    </row>
    <row r="69" spans="1:31" x14ac:dyDescent="0.3">
      <c r="A69" s="1314"/>
      <c r="B69" s="1314"/>
      <c r="C69" s="196"/>
      <c r="D69" s="196" t="s">
        <v>221</v>
      </c>
      <c r="E69" s="198"/>
      <c r="F69" s="198"/>
      <c r="G69" s="198"/>
      <c r="H69" s="199">
        <f>SUM(H66:H68)</f>
        <v>2099762</v>
      </c>
      <c r="I69" s="199">
        <f>SUM(I66:I68)</f>
        <v>2206851</v>
      </c>
      <c r="J69" s="1314"/>
      <c r="K69" s="306"/>
      <c r="L69" s="307">
        <f>SUM(L66:L68)</f>
        <v>961085</v>
      </c>
      <c r="M69" s="308">
        <f t="shared" si="45"/>
        <v>0.45771139776793751</v>
      </c>
      <c r="N69" s="306"/>
      <c r="O69" s="307">
        <f>SUM(O66:O68)</f>
        <v>1138677</v>
      </c>
      <c r="P69" s="308">
        <f t="shared" si="46"/>
        <v>0.54228860223206254</v>
      </c>
      <c r="Q69" s="306"/>
      <c r="R69" s="307">
        <f>SUM(R66:R68)</f>
        <v>0</v>
      </c>
      <c r="S69" s="308">
        <f>R69/$H$69</f>
        <v>0</v>
      </c>
      <c r="T69" s="306"/>
      <c r="U69" s="307">
        <f>SUM(U66:U68)</f>
        <v>0</v>
      </c>
      <c r="V69" s="308">
        <f>U69/$H$69</f>
        <v>0</v>
      </c>
      <c r="W69" s="428"/>
      <c r="X69" s="307">
        <f>SUM(X66:X68)</f>
        <v>0</v>
      </c>
      <c r="Y69" s="431">
        <f>X69/$H$69</f>
        <v>0</v>
      </c>
      <c r="Z69" s="428"/>
      <c r="AA69" s="307">
        <f>SUM(AA66:AA68)</f>
        <v>0</v>
      </c>
      <c r="AB69" s="431">
        <f>AA69/$H$69</f>
        <v>0</v>
      </c>
      <c r="AC69" s="306"/>
      <c r="AD69" s="1078">
        <f t="shared" si="12"/>
        <v>2099762</v>
      </c>
      <c r="AE69" s="308">
        <f t="shared" si="23"/>
        <v>1</v>
      </c>
    </row>
    <row r="70" spans="1:31" ht="28.8" x14ac:dyDescent="0.3">
      <c r="A70" s="1314" t="s">
        <v>887</v>
      </c>
      <c r="B70" s="1314" t="s">
        <v>883</v>
      </c>
      <c r="C70" s="355" t="s">
        <v>81</v>
      </c>
      <c r="D70" s="355" t="s">
        <v>230</v>
      </c>
      <c r="E70" s="355">
        <v>0.6</v>
      </c>
      <c r="F70" s="192">
        <v>1497343</v>
      </c>
      <c r="G70" s="32">
        <f t="shared" si="3"/>
        <v>1573707</v>
      </c>
      <c r="H70" s="192">
        <f>ROUND((E70*F70),0)</f>
        <v>898406</v>
      </c>
      <c r="I70" s="32">
        <f t="shared" ref="I70:I72" si="65">+ROUND(G70*E70,0)</f>
        <v>944224</v>
      </c>
      <c r="J70" s="1314" t="s">
        <v>884</v>
      </c>
      <c r="K70" s="149">
        <v>0</v>
      </c>
      <c r="L70" s="175">
        <v>0</v>
      </c>
      <c r="M70" s="176">
        <f t="shared" si="45"/>
        <v>0</v>
      </c>
      <c r="N70" s="303">
        <v>0.6</v>
      </c>
      <c r="O70" s="304">
        <f>+ROUND((N70*F70),0)</f>
        <v>898406</v>
      </c>
      <c r="P70" s="305">
        <f t="shared" si="46"/>
        <v>1</v>
      </c>
      <c r="Q70" s="158">
        <v>0</v>
      </c>
      <c r="R70" s="194">
        <f>+ROUND((Q70*$F$70),0)</f>
        <v>0</v>
      </c>
      <c r="S70" s="195">
        <f>R70/$H$70</f>
        <v>0</v>
      </c>
      <c r="T70" s="158">
        <v>0</v>
      </c>
      <c r="U70" s="194">
        <f>+ROUND((T70*$F$70),0)</f>
        <v>0</v>
      </c>
      <c r="V70" s="195">
        <f>U70/$H$70</f>
        <v>0</v>
      </c>
      <c r="W70" s="432">
        <v>0</v>
      </c>
      <c r="X70" s="425">
        <f>+ROUND((W70*$F$70),0)</f>
        <v>0</v>
      </c>
      <c r="Y70" s="426">
        <f>X70/$H$70</f>
        <v>0</v>
      </c>
      <c r="Z70" s="432">
        <v>0</v>
      </c>
      <c r="AA70" s="425">
        <f t="shared" ref="AA70:AA72" si="66">+ROUND((Z70*G70),0)</f>
        <v>0</v>
      </c>
      <c r="AB70" s="426">
        <f t="shared" ref="AB70:AB72" si="67">AA70/I70</f>
        <v>0</v>
      </c>
      <c r="AC70" s="416">
        <f t="shared" ref="AC70:AC72" si="68">K70+N70+Q70+T70+W70+Z70</f>
        <v>0.6</v>
      </c>
      <c r="AD70" s="175">
        <f t="shared" si="12"/>
        <v>898406</v>
      </c>
      <c r="AE70" s="176">
        <f t="shared" si="23"/>
        <v>1</v>
      </c>
    </row>
    <row r="71" spans="1:31" ht="28.8" x14ac:dyDescent="0.3">
      <c r="A71" s="1314"/>
      <c r="B71" s="1314"/>
      <c r="C71" s="355" t="s">
        <v>83</v>
      </c>
      <c r="D71" s="355" t="s">
        <v>231</v>
      </c>
      <c r="E71" s="355">
        <v>0.6</v>
      </c>
      <c r="F71" s="192">
        <v>3133974</v>
      </c>
      <c r="G71" s="32">
        <f t="shared" si="3"/>
        <v>3293807</v>
      </c>
      <c r="H71" s="192">
        <f>ROUND((E71*F71),0)</f>
        <v>1880384</v>
      </c>
      <c r="I71" s="32">
        <f t="shared" si="65"/>
        <v>1976284</v>
      </c>
      <c r="J71" s="1314"/>
      <c r="K71" s="149">
        <v>0</v>
      </c>
      <c r="L71" s="175">
        <v>0</v>
      </c>
      <c r="M71" s="176">
        <f t="shared" si="45"/>
        <v>0</v>
      </c>
      <c r="N71" s="303">
        <v>0.6</v>
      </c>
      <c r="O71" s="304">
        <f>+ROUND((N71*F71),0)</f>
        <v>1880384</v>
      </c>
      <c r="P71" s="305">
        <f t="shared" si="46"/>
        <v>1</v>
      </c>
      <c r="Q71" s="158">
        <v>0</v>
      </c>
      <c r="R71" s="194">
        <f>+ROUND((Q71*$F$71),0)</f>
        <v>0</v>
      </c>
      <c r="S71" s="195">
        <f>R71/$H$71</f>
        <v>0</v>
      </c>
      <c r="T71" s="158">
        <v>0</v>
      </c>
      <c r="U71" s="194">
        <f>+ROUND((T71*$F$71),0)</f>
        <v>0</v>
      </c>
      <c r="V71" s="195">
        <f>U71/$H$71</f>
        <v>0</v>
      </c>
      <c r="W71" s="432">
        <v>0</v>
      </c>
      <c r="X71" s="425">
        <f>+ROUND((W71*$F$71),0)</f>
        <v>0</v>
      </c>
      <c r="Y71" s="426">
        <f>X71/$H$71</f>
        <v>0</v>
      </c>
      <c r="Z71" s="432">
        <v>0</v>
      </c>
      <c r="AA71" s="425">
        <f t="shared" si="66"/>
        <v>0</v>
      </c>
      <c r="AB71" s="426">
        <f t="shared" si="67"/>
        <v>0</v>
      </c>
      <c r="AC71" s="416">
        <f t="shared" si="68"/>
        <v>0.6</v>
      </c>
      <c r="AD71" s="175">
        <f t="shared" si="12"/>
        <v>1880384</v>
      </c>
      <c r="AE71" s="176">
        <f t="shared" si="23"/>
        <v>1</v>
      </c>
    </row>
    <row r="72" spans="1:31" ht="28.8" x14ac:dyDescent="0.3">
      <c r="A72" s="1314"/>
      <c r="B72" s="1314"/>
      <c r="C72" s="355" t="s">
        <v>61</v>
      </c>
      <c r="D72" s="355" t="s">
        <v>232</v>
      </c>
      <c r="E72" s="355">
        <v>0.6</v>
      </c>
      <c r="F72" s="192">
        <v>4004523</v>
      </c>
      <c r="G72" s="32">
        <f t="shared" si="3"/>
        <v>4208754</v>
      </c>
      <c r="H72" s="192">
        <f>ROUND((E72*F72),0)</f>
        <v>2402714</v>
      </c>
      <c r="I72" s="32">
        <f t="shared" si="65"/>
        <v>2525252</v>
      </c>
      <c r="J72" s="1314"/>
      <c r="K72" s="303">
        <v>0.6</v>
      </c>
      <c r="L72" s="304">
        <f>ROUND(K72*F72,0)</f>
        <v>2402714</v>
      </c>
      <c r="M72" s="305">
        <f t="shared" si="45"/>
        <v>1</v>
      </c>
      <c r="N72" s="158">
        <v>0</v>
      </c>
      <c r="O72" s="194">
        <v>0</v>
      </c>
      <c r="P72" s="195">
        <f t="shared" si="46"/>
        <v>0</v>
      </c>
      <c r="Q72" s="158">
        <v>0</v>
      </c>
      <c r="R72" s="194">
        <f>+ROUND((Q72*$F$72),0)</f>
        <v>0</v>
      </c>
      <c r="S72" s="195">
        <f>R72/$H$72</f>
        <v>0</v>
      </c>
      <c r="T72" s="158">
        <v>0</v>
      </c>
      <c r="U72" s="194">
        <f>+ROUND((T72*$F$72),0)</f>
        <v>0</v>
      </c>
      <c r="V72" s="195">
        <f>U72/$H$72</f>
        <v>0</v>
      </c>
      <c r="W72" s="432">
        <v>0</v>
      </c>
      <c r="X72" s="425">
        <f>+ROUND((W72*$F$72),0)</f>
        <v>0</v>
      </c>
      <c r="Y72" s="426">
        <f>X72/$H$72</f>
        <v>0</v>
      </c>
      <c r="Z72" s="432">
        <v>0</v>
      </c>
      <c r="AA72" s="425">
        <f t="shared" si="66"/>
        <v>0</v>
      </c>
      <c r="AB72" s="426">
        <f t="shared" si="67"/>
        <v>0</v>
      </c>
      <c r="AC72" s="416">
        <f t="shared" si="68"/>
        <v>0.6</v>
      </c>
      <c r="AD72" s="175">
        <f t="shared" si="12"/>
        <v>2402714</v>
      </c>
      <c r="AE72" s="176">
        <f t="shared" si="23"/>
        <v>1</v>
      </c>
    </row>
    <row r="73" spans="1:31" x14ac:dyDescent="0.3">
      <c r="A73" s="1314"/>
      <c r="B73" s="1314"/>
      <c r="C73" s="196"/>
      <c r="D73" s="196" t="s">
        <v>233</v>
      </c>
      <c r="E73" s="198"/>
      <c r="F73" s="198"/>
      <c r="G73" s="198"/>
      <c r="H73" s="199">
        <f>SUM(H70:H72)</f>
        <v>5181504</v>
      </c>
      <c r="I73" s="199">
        <f>SUM(I70:I72)</f>
        <v>5445760</v>
      </c>
      <c r="J73" s="1314"/>
      <c r="K73" s="306"/>
      <c r="L73" s="307">
        <f>SUM(L70:L72)</f>
        <v>2402714</v>
      </c>
      <c r="M73" s="308">
        <f t="shared" si="45"/>
        <v>0.46370976457800672</v>
      </c>
      <c r="N73" s="306"/>
      <c r="O73" s="307">
        <f>SUM(O70:O72)</f>
        <v>2778790</v>
      </c>
      <c r="P73" s="308">
        <f t="shared" si="46"/>
        <v>0.53629023542199328</v>
      </c>
      <c r="Q73" s="306"/>
      <c r="R73" s="307">
        <f>SUM(R70:R72)</f>
        <v>0</v>
      </c>
      <c r="S73" s="308">
        <f>R73/$H$73</f>
        <v>0</v>
      </c>
      <c r="T73" s="306"/>
      <c r="U73" s="307">
        <f>SUM(U70:U72)</f>
        <v>0</v>
      </c>
      <c r="V73" s="308">
        <f>U73/$H$73</f>
        <v>0</v>
      </c>
      <c r="W73" s="428"/>
      <c r="X73" s="307">
        <f>SUM(X70:X72)</f>
        <v>0</v>
      </c>
      <c r="Y73" s="431">
        <f>X73/$H$73</f>
        <v>0</v>
      </c>
      <c r="Z73" s="428"/>
      <c r="AA73" s="307">
        <f>SUM(AA70:AA72)</f>
        <v>0</v>
      </c>
      <c r="AB73" s="431">
        <f>AA73/$H$73</f>
        <v>0</v>
      </c>
      <c r="AC73" s="306"/>
      <c r="AD73" s="1078">
        <f t="shared" si="12"/>
        <v>5181504</v>
      </c>
      <c r="AE73" s="308">
        <f t="shared" si="23"/>
        <v>1</v>
      </c>
    </row>
    <row r="74" spans="1:31" ht="43.2" x14ac:dyDescent="0.3">
      <c r="A74" s="1314" t="s">
        <v>887</v>
      </c>
      <c r="B74" s="1314" t="s">
        <v>234</v>
      </c>
      <c r="C74" s="355" t="s">
        <v>59</v>
      </c>
      <c r="D74" s="355" t="s">
        <v>235</v>
      </c>
      <c r="E74" s="355">
        <v>0.3</v>
      </c>
      <c r="F74" s="192">
        <v>2298247</v>
      </c>
      <c r="G74" s="32">
        <f t="shared" si="3"/>
        <v>2415458</v>
      </c>
      <c r="H74" s="192">
        <f>ROUND((E74*F74),0)</f>
        <v>689474</v>
      </c>
      <c r="I74" s="32">
        <f>+ROUND(G74*E74,0)</f>
        <v>724637</v>
      </c>
      <c r="J74" s="1314"/>
      <c r="K74" s="149">
        <v>0</v>
      </c>
      <c r="L74" s="175">
        <v>0</v>
      </c>
      <c r="M74" s="176">
        <f t="shared" si="45"/>
        <v>0</v>
      </c>
      <c r="N74" s="303">
        <v>0.3</v>
      </c>
      <c r="O74" s="304">
        <f>+ROUND((N74*F74),0)</f>
        <v>689474</v>
      </c>
      <c r="P74" s="305">
        <f t="shared" si="46"/>
        <v>1</v>
      </c>
      <c r="Q74" s="158">
        <v>0</v>
      </c>
      <c r="R74" s="194">
        <f>+ROUND((Q74*$F$74),0)</f>
        <v>0</v>
      </c>
      <c r="S74" s="195">
        <f>R74/$H$74</f>
        <v>0</v>
      </c>
      <c r="T74" s="158">
        <v>0</v>
      </c>
      <c r="U74" s="194">
        <f>+ROUND((T74*$F$74),0)</f>
        <v>0</v>
      </c>
      <c r="V74" s="195">
        <f>U74/$H$74</f>
        <v>0</v>
      </c>
      <c r="W74" s="432">
        <v>0</v>
      </c>
      <c r="X74" s="425">
        <f>+ROUND((W74*$F$74),0)</f>
        <v>0</v>
      </c>
      <c r="Y74" s="426">
        <f>X74/$H$74</f>
        <v>0</v>
      </c>
      <c r="Z74" s="432">
        <v>0</v>
      </c>
      <c r="AA74" s="425">
        <f>+ROUND((Z74*G74),0)</f>
        <v>0</v>
      </c>
      <c r="AB74" s="426">
        <f>AA74/I74</f>
        <v>0</v>
      </c>
      <c r="AC74" s="416">
        <f t="shared" ref="AC74" si="69">K74+N74+Q74+T74+W74+Z74</f>
        <v>0.3</v>
      </c>
      <c r="AD74" s="175">
        <f t="shared" si="12"/>
        <v>689474</v>
      </c>
      <c r="AE74" s="176">
        <f t="shared" si="23"/>
        <v>1</v>
      </c>
    </row>
    <row r="75" spans="1:31" x14ac:dyDescent="0.3">
      <c r="A75" s="1314"/>
      <c r="B75" s="1314"/>
      <c r="C75" s="196"/>
      <c r="D75" s="196" t="s">
        <v>236</v>
      </c>
      <c r="E75" s="198"/>
      <c r="F75" s="198"/>
      <c r="G75" s="198"/>
      <c r="H75" s="199">
        <f>H74</f>
        <v>689474</v>
      </c>
      <c r="I75" s="199">
        <f>SUM(I74)</f>
        <v>724637</v>
      </c>
      <c r="J75" s="1314"/>
      <c r="K75" s="306"/>
      <c r="L75" s="307">
        <f>L74</f>
        <v>0</v>
      </c>
      <c r="M75" s="308">
        <f t="shared" si="45"/>
        <v>0</v>
      </c>
      <c r="N75" s="306"/>
      <c r="O75" s="307">
        <f>SUM(O74)</f>
        <v>689474</v>
      </c>
      <c r="P75" s="308">
        <f t="shared" si="46"/>
        <v>1</v>
      </c>
      <c r="Q75" s="306"/>
      <c r="R75" s="307">
        <f>SUM(R74)</f>
        <v>0</v>
      </c>
      <c r="S75" s="308">
        <f>R75/$H$75</f>
        <v>0</v>
      </c>
      <c r="T75" s="306"/>
      <c r="U75" s="307">
        <f>SUM(U74)</f>
        <v>0</v>
      </c>
      <c r="V75" s="308">
        <f>U75/$H$75</f>
        <v>0</v>
      </c>
      <c r="W75" s="428"/>
      <c r="X75" s="307">
        <f>SUM(X74)</f>
        <v>0</v>
      </c>
      <c r="Y75" s="431">
        <f>X75/$H$75</f>
        <v>0</v>
      </c>
      <c r="Z75" s="428"/>
      <c r="AA75" s="307">
        <f>SUM(AA74)</f>
        <v>0</v>
      </c>
      <c r="AB75" s="431">
        <f>AA75/$H$75</f>
        <v>0</v>
      </c>
      <c r="AC75" s="306"/>
      <c r="AD75" s="1078">
        <f t="shared" si="12"/>
        <v>689474</v>
      </c>
      <c r="AE75" s="308">
        <f t="shared" si="23"/>
        <v>1</v>
      </c>
    </row>
    <row r="76" spans="1:31" ht="28.8" x14ac:dyDescent="0.3">
      <c r="A76" s="1330" t="s">
        <v>888</v>
      </c>
      <c r="B76" s="1314" t="s">
        <v>216</v>
      </c>
      <c r="C76" s="355" t="s">
        <v>81</v>
      </c>
      <c r="D76" s="355" t="s">
        <v>82</v>
      </c>
      <c r="E76" s="355">
        <v>0.3</v>
      </c>
      <c r="F76" s="192">
        <v>1880385</v>
      </c>
      <c r="G76" s="32">
        <f t="shared" si="3"/>
        <v>1976285</v>
      </c>
      <c r="H76" s="192">
        <f>ROUND((E76*F76),0)</f>
        <v>564116</v>
      </c>
      <c r="I76" s="32">
        <f t="shared" ref="I76:I78" si="70">+ROUND(G76*E76,0)</f>
        <v>592886</v>
      </c>
      <c r="J76" s="1314" t="s">
        <v>876</v>
      </c>
      <c r="K76" s="149">
        <v>0</v>
      </c>
      <c r="L76" s="175">
        <v>0</v>
      </c>
      <c r="M76" s="176">
        <f t="shared" si="45"/>
        <v>0</v>
      </c>
      <c r="N76" s="303">
        <v>0.3</v>
      </c>
      <c r="O76" s="304">
        <f>+ROUND((N76*F76),0)</f>
        <v>564116</v>
      </c>
      <c r="P76" s="305">
        <f t="shared" si="46"/>
        <v>1</v>
      </c>
      <c r="Q76" s="158">
        <v>0</v>
      </c>
      <c r="R76" s="194">
        <f>+ROUND((Q76*$F$76),0)</f>
        <v>0</v>
      </c>
      <c r="S76" s="195">
        <f>R76/$H$76</f>
        <v>0</v>
      </c>
      <c r="T76" s="158">
        <v>0</v>
      </c>
      <c r="U76" s="194">
        <f>+ROUND((T76*$F$76),0)</f>
        <v>0</v>
      </c>
      <c r="V76" s="195">
        <f>U76/$H$76</f>
        <v>0</v>
      </c>
      <c r="W76" s="432">
        <v>0</v>
      </c>
      <c r="X76" s="425">
        <f>+ROUND((W76*$F$76),0)</f>
        <v>0</v>
      </c>
      <c r="Y76" s="426">
        <f>X76/$H$76</f>
        <v>0</v>
      </c>
      <c r="Z76" s="432">
        <v>0</v>
      </c>
      <c r="AA76" s="425">
        <f t="shared" ref="AA76:AA78" si="71">+ROUND((Z76*G76),0)</f>
        <v>0</v>
      </c>
      <c r="AB76" s="426">
        <f t="shared" ref="AB76:AB78" si="72">AA76/I76</f>
        <v>0</v>
      </c>
      <c r="AC76" s="416">
        <f t="shared" ref="AC76:AC78" si="73">K76+N76+Q76+T76+W76+Z76</f>
        <v>0.3</v>
      </c>
      <c r="AD76" s="175">
        <f t="shared" si="12"/>
        <v>564116</v>
      </c>
      <c r="AE76" s="176">
        <f t="shared" si="23"/>
        <v>1</v>
      </c>
    </row>
    <row r="77" spans="1:31" ht="28.8" x14ac:dyDescent="0.3">
      <c r="A77" s="1330"/>
      <c r="B77" s="1314"/>
      <c r="C77" s="355" t="s">
        <v>83</v>
      </c>
      <c r="D77" s="355" t="s">
        <v>84</v>
      </c>
      <c r="E77" s="355">
        <v>0.3</v>
      </c>
      <c r="F77" s="192">
        <v>1845563</v>
      </c>
      <c r="G77" s="32">
        <f t="shared" si="3"/>
        <v>1939687</v>
      </c>
      <c r="H77" s="192">
        <f>ROUND((E77*F77),0)</f>
        <v>553669</v>
      </c>
      <c r="I77" s="32">
        <f t="shared" si="70"/>
        <v>581906</v>
      </c>
      <c r="J77" s="1314"/>
      <c r="K77" s="149">
        <v>0</v>
      </c>
      <c r="L77" s="175">
        <v>0</v>
      </c>
      <c r="M77" s="176">
        <f t="shared" si="45"/>
        <v>0</v>
      </c>
      <c r="N77" s="303">
        <v>0.3</v>
      </c>
      <c r="O77" s="304">
        <f>+ROUND((N77*F77),0)</f>
        <v>553669</v>
      </c>
      <c r="P77" s="305">
        <f t="shared" si="46"/>
        <v>1</v>
      </c>
      <c r="Q77" s="158">
        <v>0</v>
      </c>
      <c r="R77" s="194">
        <f>+ROUND((Q77*$F$77),0)</f>
        <v>0</v>
      </c>
      <c r="S77" s="195">
        <f>R77/$H$77</f>
        <v>0</v>
      </c>
      <c r="T77" s="158">
        <v>0</v>
      </c>
      <c r="U77" s="194">
        <f>+ROUND((T77*$F$77),0)</f>
        <v>0</v>
      </c>
      <c r="V77" s="195">
        <f>U77/$H$77</f>
        <v>0</v>
      </c>
      <c r="W77" s="432">
        <v>0</v>
      </c>
      <c r="X77" s="425">
        <f>+ROUND((W77*$F$77),0)</f>
        <v>0</v>
      </c>
      <c r="Y77" s="426">
        <f>X77/$H$77</f>
        <v>0</v>
      </c>
      <c r="Z77" s="432">
        <v>0</v>
      </c>
      <c r="AA77" s="425">
        <f t="shared" si="71"/>
        <v>0</v>
      </c>
      <c r="AB77" s="426">
        <f t="shared" si="72"/>
        <v>0</v>
      </c>
      <c r="AC77" s="416">
        <f t="shared" si="73"/>
        <v>0.3</v>
      </c>
      <c r="AD77" s="175">
        <f t="shared" si="12"/>
        <v>553669</v>
      </c>
      <c r="AE77" s="176">
        <f t="shared" si="23"/>
        <v>1</v>
      </c>
    </row>
    <row r="78" spans="1:31" ht="28.8" x14ac:dyDescent="0.3">
      <c r="A78" s="1330"/>
      <c r="B78" s="1314"/>
      <c r="C78" s="355" t="s">
        <v>61</v>
      </c>
      <c r="D78" s="355" t="s">
        <v>85</v>
      </c>
      <c r="E78" s="355">
        <v>0.3</v>
      </c>
      <c r="F78" s="192">
        <v>7312607</v>
      </c>
      <c r="G78" s="32">
        <f t="shared" si="3"/>
        <v>7685550</v>
      </c>
      <c r="H78" s="192">
        <f>ROUND((E78*F78),0)</f>
        <v>2193782</v>
      </c>
      <c r="I78" s="32">
        <f t="shared" si="70"/>
        <v>2305665</v>
      </c>
      <c r="J78" s="1314"/>
      <c r="K78" s="149">
        <v>0</v>
      </c>
      <c r="L78" s="175">
        <v>0</v>
      </c>
      <c r="M78" s="176">
        <f t="shared" si="45"/>
        <v>0</v>
      </c>
      <c r="N78" s="158">
        <v>0</v>
      </c>
      <c r="O78" s="194">
        <v>0</v>
      </c>
      <c r="P78" s="195">
        <f t="shared" si="46"/>
        <v>0</v>
      </c>
      <c r="Q78" s="158">
        <v>0</v>
      </c>
      <c r="R78" s="194">
        <f>+ROUND((Q78*$F$78),0)</f>
        <v>0</v>
      </c>
      <c r="S78" s="195">
        <f>R78/$H$78</f>
        <v>0</v>
      </c>
      <c r="T78" s="303">
        <v>0.3</v>
      </c>
      <c r="U78" s="304">
        <f>+ROUND((T78*$F$78),0)</f>
        <v>2193782</v>
      </c>
      <c r="V78" s="305">
        <f>U78/$H$78</f>
        <v>1</v>
      </c>
      <c r="W78" s="432">
        <v>0</v>
      </c>
      <c r="X78" s="425">
        <f>+ROUND((W78*$F$78),0)</f>
        <v>0</v>
      </c>
      <c r="Y78" s="426">
        <f>X78/$H$78</f>
        <v>0</v>
      </c>
      <c r="Z78" s="432">
        <v>0</v>
      </c>
      <c r="AA78" s="425">
        <f t="shared" si="71"/>
        <v>0</v>
      </c>
      <c r="AB78" s="426">
        <f t="shared" si="72"/>
        <v>0</v>
      </c>
      <c r="AC78" s="416">
        <f t="shared" si="73"/>
        <v>0.3</v>
      </c>
      <c r="AD78" s="175">
        <f t="shared" si="12"/>
        <v>2193782</v>
      </c>
      <c r="AE78" s="176">
        <f t="shared" si="23"/>
        <v>1</v>
      </c>
    </row>
    <row r="79" spans="1:31" x14ac:dyDescent="0.3">
      <c r="A79" s="1330"/>
      <c r="B79" s="1314"/>
      <c r="C79" s="196"/>
      <c r="D79" s="196" t="s">
        <v>86</v>
      </c>
      <c r="E79" s="198"/>
      <c r="F79" s="198"/>
      <c r="G79" s="198"/>
      <c r="H79" s="199">
        <f>SUM(H76:H78)</f>
        <v>3311567</v>
      </c>
      <c r="I79" s="199">
        <f>SUM(I76:I78)</f>
        <v>3480457</v>
      </c>
      <c r="J79" s="1314"/>
      <c r="K79" s="306"/>
      <c r="L79" s="307">
        <f>SUM(L76:L78)</f>
        <v>0</v>
      </c>
      <c r="M79" s="308">
        <f t="shared" si="45"/>
        <v>0</v>
      </c>
      <c r="N79" s="306"/>
      <c r="O79" s="307">
        <f>SUM(O76:O78)</f>
        <v>1117785</v>
      </c>
      <c r="P79" s="308">
        <f t="shared" si="46"/>
        <v>0.33753959983294918</v>
      </c>
      <c r="Q79" s="306"/>
      <c r="R79" s="307">
        <f>SUM(R76:R78)</f>
        <v>0</v>
      </c>
      <c r="S79" s="308">
        <f>R79/$H$79</f>
        <v>0</v>
      </c>
      <c r="T79" s="306"/>
      <c r="U79" s="307">
        <f>SUM(U76:U78)</f>
        <v>2193782</v>
      </c>
      <c r="V79" s="308">
        <f>U79/$H$79</f>
        <v>0.66246040016705088</v>
      </c>
      <c r="W79" s="428"/>
      <c r="X79" s="307">
        <f>SUM(X76:X78)</f>
        <v>0</v>
      </c>
      <c r="Y79" s="431">
        <f>X79/$H$79</f>
        <v>0</v>
      </c>
      <c r="Z79" s="428"/>
      <c r="AA79" s="307">
        <f>SUM(AA76:AA78)</f>
        <v>0</v>
      </c>
      <c r="AB79" s="431">
        <f>AA79/$H$79</f>
        <v>0</v>
      </c>
      <c r="AC79" s="306"/>
      <c r="AD79" s="1078">
        <f t="shared" si="12"/>
        <v>3311567</v>
      </c>
      <c r="AE79" s="308">
        <f t="shared" si="23"/>
        <v>1</v>
      </c>
    </row>
    <row r="80" spans="1:31" ht="28.8" x14ac:dyDescent="0.3">
      <c r="A80" s="1314" t="s">
        <v>888</v>
      </c>
      <c r="B80" s="1314" t="s">
        <v>877</v>
      </c>
      <c r="C80" s="355" t="s">
        <v>81</v>
      </c>
      <c r="D80" s="355" t="s">
        <v>878</v>
      </c>
      <c r="E80" s="355">
        <v>1</v>
      </c>
      <c r="F80" s="192">
        <v>5536688</v>
      </c>
      <c r="G80" s="32">
        <f t="shared" si="3"/>
        <v>5819059</v>
      </c>
      <c r="H80" s="192">
        <f>ROUND((E80*F80),0)</f>
        <v>5536688</v>
      </c>
      <c r="I80" s="32">
        <f t="shared" ref="I80:I82" si="74">+ROUND(G80*E80,0)</f>
        <v>5819059</v>
      </c>
      <c r="J80" s="1314"/>
      <c r="K80" s="149">
        <v>0</v>
      </c>
      <c r="L80" s="175">
        <v>0</v>
      </c>
      <c r="M80" s="176">
        <f t="shared" si="45"/>
        <v>0</v>
      </c>
      <c r="N80" s="303">
        <v>1</v>
      </c>
      <c r="O80" s="304">
        <f>+ROUND((N80*F80),0)</f>
        <v>5536688</v>
      </c>
      <c r="P80" s="305">
        <f t="shared" si="46"/>
        <v>1</v>
      </c>
      <c r="Q80" s="158">
        <v>0</v>
      </c>
      <c r="R80" s="194">
        <f>+ROUND((Q80*$F$80),0)</f>
        <v>0</v>
      </c>
      <c r="S80" s="195">
        <f>R80/$H$80</f>
        <v>0</v>
      </c>
      <c r="T80" s="158">
        <v>0</v>
      </c>
      <c r="U80" s="194">
        <f>+ROUND((T80*$F$80),0)</f>
        <v>0</v>
      </c>
      <c r="V80" s="195">
        <f>U80/$H$80</f>
        <v>0</v>
      </c>
      <c r="W80" s="432">
        <v>0</v>
      </c>
      <c r="X80" s="425">
        <f>+ROUND((W80*$F$80),0)</f>
        <v>0</v>
      </c>
      <c r="Y80" s="426">
        <f>X80/$H$80</f>
        <v>0</v>
      </c>
      <c r="Z80" s="432">
        <v>0</v>
      </c>
      <c r="AA80" s="425">
        <f t="shared" ref="AA80:AA82" si="75">+ROUND((Z80*G80),0)</f>
        <v>0</v>
      </c>
      <c r="AB80" s="426">
        <f t="shared" ref="AB80:AB82" si="76">AA80/I80</f>
        <v>0</v>
      </c>
      <c r="AC80" s="416">
        <f t="shared" ref="AC80:AC82" si="77">K80+N80+Q80+T80+W80+Z80</f>
        <v>1</v>
      </c>
      <c r="AD80" s="175">
        <f t="shared" si="12"/>
        <v>5536688</v>
      </c>
      <c r="AE80" s="176">
        <f t="shared" si="23"/>
        <v>1</v>
      </c>
    </row>
    <row r="81" spans="1:32" ht="28.8" x14ac:dyDescent="0.3">
      <c r="A81" s="1314"/>
      <c r="B81" s="1314"/>
      <c r="C81" s="355" t="s">
        <v>83</v>
      </c>
      <c r="D81" s="355" t="s">
        <v>879</v>
      </c>
      <c r="E81" s="355">
        <v>1</v>
      </c>
      <c r="F81" s="192">
        <v>8566197</v>
      </c>
      <c r="G81" s="32">
        <f t="shared" ref="G81:G82" si="78">+ROUND(F81*1.051,0)</f>
        <v>9003073</v>
      </c>
      <c r="H81" s="192">
        <f>ROUND((E81*F81),0)</f>
        <v>8566197</v>
      </c>
      <c r="I81" s="32">
        <f t="shared" si="74"/>
        <v>9003073</v>
      </c>
      <c r="J81" s="1314"/>
      <c r="K81" s="149">
        <v>0</v>
      </c>
      <c r="L81" s="175">
        <v>0</v>
      </c>
      <c r="M81" s="176">
        <f t="shared" si="45"/>
        <v>0</v>
      </c>
      <c r="N81" s="303">
        <v>1</v>
      </c>
      <c r="O81" s="304">
        <f>+ROUND((N81*F81),0)</f>
        <v>8566197</v>
      </c>
      <c r="P81" s="305">
        <f t="shared" si="46"/>
        <v>1</v>
      </c>
      <c r="Q81" s="158">
        <v>0</v>
      </c>
      <c r="R81" s="194">
        <f>+ROUND((Q81*$F$81),0)</f>
        <v>0</v>
      </c>
      <c r="S81" s="195">
        <f>R81/$H$81</f>
        <v>0</v>
      </c>
      <c r="T81" s="158">
        <v>0</v>
      </c>
      <c r="U81" s="194">
        <f>+ROUND((T81*$F$81),0)</f>
        <v>0</v>
      </c>
      <c r="V81" s="195">
        <f>U81/$H$81</f>
        <v>0</v>
      </c>
      <c r="W81" s="432">
        <v>0</v>
      </c>
      <c r="X81" s="425">
        <f>+ROUND((W81*$F$81),0)</f>
        <v>0</v>
      </c>
      <c r="Y81" s="426">
        <f>X81/$H$81</f>
        <v>0</v>
      </c>
      <c r="Z81" s="432">
        <v>0</v>
      </c>
      <c r="AA81" s="425">
        <f t="shared" si="75"/>
        <v>0</v>
      </c>
      <c r="AB81" s="426">
        <f t="shared" si="76"/>
        <v>0</v>
      </c>
      <c r="AC81" s="416">
        <f t="shared" si="77"/>
        <v>1</v>
      </c>
      <c r="AD81" s="175">
        <f t="shared" si="12"/>
        <v>8566197</v>
      </c>
      <c r="AE81" s="176">
        <f t="shared" si="23"/>
        <v>1</v>
      </c>
    </row>
    <row r="82" spans="1:32" ht="28.8" x14ac:dyDescent="0.3">
      <c r="A82" s="1314"/>
      <c r="B82" s="1314"/>
      <c r="C82" s="355" t="s">
        <v>61</v>
      </c>
      <c r="D82" s="355" t="s">
        <v>880</v>
      </c>
      <c r="E82" s="355">
        <v>1</v>
      </c>
      <c r="F82" s="192">
        <v>17585079</v>
      </c>
      <c r="G82" s="32">
        <f t="shared" si="78"/>
        <v>18481918</v>
      </c>
      <c r="H82" s="192">
        <f>ROUND((E82*F82),0)</f>
        <v>17585079</v>
      </c>
      <c r="I82" s="32">
        <f t="shared" si="74"/>
        <v>18481918</v>
      </c>
      <c r="J82" s="1314"/>
      <c r="K82" s="303">
        <v>1</v>
      </c>
      <c r="L82" s="304">
        <f>ROUND(K82*F82,0)</f>
        <v>17585079</v>
      </c>
      <c r="M82" s="305">
        <f t="shared" si="45"/>
        <v>1</v>
      </c>
      <c r="N82" s="158">
        <v>0</v>
      </c>
      <c r="O82" s="194">
        <v>0</v>
      </c>
      <c r="P82" s="195">
        <f t="shared" si="46"/>
        <v>0</v>
      </c>
      <c r="Q82" s="158">
        <v>0</v>
      </c>
      <c r="R82" s="194">
        <f>+ROUND((Q82*$F$82),0)</f>
        <v>0</v>
      </c>
      <c r="S82" s="195">
        <f>R82/$H$82</f>
        <v>0</v>
      </c>
      <c r="T82" s="158">
        <v>0</v>
      </c>
      <c r="U82" s="194">
        <f>+ROUND((T82*$F$82),0)</f>
        <v>0</v>
      </c>
      <c r="V82" s="195">
        <f>U82/$H$82</f>
        <v>0</v>
      </c>
      <c r="W82" s="432">
        <v>0</v>
      </c>
      <c r="X82" s="425">
        <f>+ROUND((W82*$F$82),0)</f>
        <v>0</v>
      </c>
      <c r="Y82" s="426">
        <f>X82/$H$82</f>
        <v>0</v>
      </c>
      <c r="Z82" s="432">
        <v>0</v>
      </c>
      <c r="AA82" s="425">
        <f t="shared" si="75"/>
        <v>0</v>
      </c>
      <c r="AB82" s="426">
        <f t="shared" si="76"/>
        <v>0</v>
      </c>
      <c r="AC82" s="416">
        <f t="shared" si="77"/>
        <v>1</v>
      </c>
      <c r="AD82" s="175">
        <f t="shared" ref="AD82:AD100" si="79">L82+O82+R82+U82+X82+AA82</f>
        <v>17585079</v>
      </c>
      <c r="AE82" s="176">
        <f t="shared" si="23"/>
        <v>1</v>
      </c>
    </row>
    <row r="83" spans="1:32" x14ac:dyDescent="0.3">
      <c r="A83" s="1314"/>
      <c r="B83" s="1314"/>
      <c r="C83" s="196"/>
      <c r="D83" s="196" t="s">
        <v>229</v>
      </c>
      <c r="E83" s="198"/>
      <c r="F83" s="198"/>
      <c r="G83" s="198"/>
      <c r="H83" s="199">
        <f>SUM(H80:H82)</f>
        <v>31687964</v>
      </c>
      <c r="I83" s="199">
        <f>SUM(I80:I82)</f>
        <v>33304050</v>
      </c>
      <c r="J83" s="1314"/>
      <c r="K83" s="306"/>
      <c r="L83" s="307">
        <f>SUM(L80:L82)</f>
        <v>17585079</v>
      </c>
      <c r="M83" s="308">
        <f t="shared" si="45"/>
        <v>0.55494505737257216</v>
      </c>
      <c r="N83" s="306"/>
      <c r="O83" s="307">
        <f>SUM(O80:O82)</f>
        <v>14102885</v>
      </c>
      <c r="P83" s="308">
        <f t="shared" si="46"/>
        <v>0.4450549426274279</v>
      </c>
      <c r="Q83" s="306"/>
      <c r="R83" s="307">
        <f>SUM(R80:R82)</f>
        <v>0</v>
      </c>
      <c r="S83" s="308">
        <f>R83/$H$83</f>
        <v>0</v>
      </c>
      <c r="T83" s="306"/>
      <c r="U83" s="307">
        <f>SUM(U80:U82)</f>
        <v>0</v>
      </c>
      <c r="V83" s="308">
        <f>U83/$H$83</f>
        <v>0</v>
      </c>
      <c r="W83" s="428"/>
      <c r="X83" s="307">
        <f>SUM(X80:X82)</f>
        <v>0</v>
      </c>
      <c r="Y83" s="431">
        <f>X83/$H$83</f>
        <v>0</v>
      </c>
      <c r="Z83" s="428"/>
      <c r="AA83" s="307">
        <f>SUM(AA80:AA82)</f>
        <v>0</v>
      </c>
      <c r="AB83" s="431">
        <f>AA83/$H$83</f>
        <v>0</v>
      </c>
      <c r="AC83" s="306"/>
      <c r="AD83" s="1078">
        <f t="shared" si="79"/>
        <v>31687964</v>
      </c>
      <c r="AE83" s="308">
        <f t="shared" si="23"/>
        <v>1</v>
      </c>
    </row>
    <row r="84" spans="1:32" ht="28.8" x14ac:dyDescent="0.3">
      <c r="A84" s="1314" t="s">
        <v>888</v>
      </c>
      <c r="B84" s="1314" t="s">
        <v>217</v>
      </c>
      <c r="C84" s="355" t="s">
        <v>81</v>
      </c>
      <c r="D84" s="355" t="s">
        <v>218</v>
      </c>
      <c r="E84" s="355">
        <v>0.3</v>
      </c>
      <c r="F84" s="192">
        <v>1149124</v>
      </c>
      <c r="G84" s="32">
        <f t="shared" ref="G84:G86" si="80">+ROUND(F84*1.051,0)</f>
        <v>1207729</v>
      </c>
      <c r="H84" s="192">
        <f>ROUND((E84*F84),0)</f>
        <v>344737</v>
      </c>
      <c r="I84" s="32">
        <f t="shared" ref="I84:I86" si="81">+ROUND(G84*E84,0)</f>
        <v>362319</v>
      </c>
      <c r="J84" s="1314" t="s">
        <v>881</v>
      </c>
      <c r="K84" s="149">
        <v>0</v>
      </c>
      <c r="L84" s="175">
        <v>0</v>
      </c>
      <c r="M84" s="176">
        <f t="shared" si="45"/>
        <v>0</v>
      </c>
      <c r="N84" s="303">
        <v>0.3</v>
      </c>
      <c r="O84" s="304">
        <f>+ROUND((N84*F84),0)</f>
        <v>344737</v>
      </c>
      <c r="P84" s="305">
        <f t="shared" si="46"/>
        <v>1</v>
      </c>
      <c r="Q84" s="158">
        <v>0</v>
      </c>
      <c r="R84" s="194">
        <f>+ROUND((Q84*$F$84),0)</f>
        <v>0</v>
      </c>
      <c r="S84" s="195">
        <f>R84/$H$84</f>
        <v>0</v>
      </c>
      <c r="T84" s="158">
        <v>0</v>
      </c>
      <c r="U84" s="194">
        <f>+ROUND((T84*$F$84),0)</f>
        <v>0</v>
      </c>
      <c r="V84" s="195">
        <f>U84/$H$84</f>
        <v>0</v>
      </c>
      <c r="W84" s="432">
        <v>0</v>
      </c>
      <c r="X84" s="425">
        <f>+ROUND((W84*$F$84),0)</f>
        <v>0</v>
      </c>
      <c r="Y84" s="426">
        <f>X84/$H$84</f>
        <v>0</v>
      </c>
      <c r="Z84" s="432">
        <v>0</v>
      </c>
      <c r="AA84" s="425">
        <f t="shared" ref="AA84:AA86" si="82">+ROUND((Z84*G84),0)</f>
        <v>0</v>
      </c>
      <c r="AB84" s="426">
        <f t="shared" ref="AB84:AB86" si="83">AA84/I84</f>
        <v>0</v>
      </c>
      <c r="AC84" s="416">
        <f t="shared" ref="AC84:AC86" si="84">K84+N84+Q84+T84+W84+Z84</f>
        <v>0.3</v>
      </c>
      <c r="AD84" s="175">
        <f t="shared" si="79"/>
        <v>344737</v>
      </c>
      <c r="AE84" s="176">
        <f t="shared" si="23"/>
        <v>1</v>
      </c>
    </row>
    <row r="85" spans="1:32" ht="28.8" x14ac:dyDescent="0.3">
      <c r="A85" s="1314"/>
      <c r="B85" s="1314"/>
      <c r="C85" s="355" t="s">
        <v>83</v>
      </c>
      <c r="D85" s="355" t="s">
        <v>219</v>
      </c>
      <c r="E85" s="355">
        <v>0.3</v>
      </c>
      <c r="F85" s="192">
        <v>2646468</v>
      </c>
      <c r="G85" s="32">
        <f t="shared" si="80"/>
        <v>2781438</v>
      </c>
      <c r="H85" s="192">
        <f>ROUND((E85*F85),0)</f>
        <v>793940</v>
      </c>
      <c r="I85" s="32">
        <f t="shared" si="81"/>
        <v>834431</v>
      </c>
      <c r="J85" s="1314"/>
      <c r="K85" s="149">
        <v>0</v>
      </c>
      <c r="L85" s="175">
        <v>0</v>
      </c>
      <c r="M85" s="176">
        <f t="shared" si="45"/>
        <v>0</v>
      </c>
      <c r="N85" s="303">
        <v>0.3</v>
      </c>
      <c r="O85" s="304">
        <f>+ROUND((N85*F85),0)</f>
        <v>793940</v>
      </c>
      <c r="P85" s="305">
        <f t="shared" si="46"/>
        <v>1</v>
      </c>
      <c r="Q85" s="158">
        <v>0</v>
      </c>
      <c r="R85" s="194">
        <f>+ROUND((Q85*$F$85),0)</f>
        <v>0</v>
      </c>
      <c r="S85" s="195">
        <f>R85/$H$85</f>
        <v>0</v>
      </c>
      <c r="T85" s="158">
        <v>0</v>
      </c>
      <c r="U85" s="194">
        <f>+ROUND((T85*$F$85),0)</f>
        <v>0</v>
      </c>
      <c r="V85" s="195">
        <f>U85/$H$85</f>
        <v>0</v>
      </c>
      <c r="W85" s="432">
        <v>0</v>
      </c>
      <c r="X85" s="425">
        <f>+ROUND((W85*$F$85),0)</f>
        <v>0</v>
      </c>
      <c r="Y85" s="426">
        <f>X85/$H$85</f>
        <v>0</v>
      </c>
      <c r="Z85" s="432">
        <v>0</v>
      </c>
      <c r="AA85" s="425">
        <f t="shared" si="82"/>
        <v>0</v>
      </c>
      <c r="AB85" s="426">
        <f t="shared" si="83"/>
        <v>0</v>
      </c>
      <c r="AC85" s="416">
        <f t="shared" si="84"/>
        <v>0.3</v>
      </c>
      <c r="AD85" s="175">
        <f t="shared" si="79"/>
        <v>793940</v>
      </c>
      <c r="AE85" s="176">
        <f t="shared" si="23"/>
        <v>1</v>
      </c>
    </row>
    <row r="86" spans="1:32" ht="28.8" x14ac:dyDescent="0.3">
      <c r="A86" s="1314"/>
      <c r="B86" s="1314"/>
      <c r="C86" s="355" t="s">
        <v>61</v>
      </c>
      <c r="D86" s="355" t="s">
        <v>220</v>
      </c>
      <c r="E86" s="355">
        <v>0.3</v>
      </c>
      <c r="F86" s="192">
        <v>3203618</v>
      </c>
      <c r="G86" s="32">
        <f t="shared" si="80"/>
        <v>3367003</v>
      </c>
      <c r="H86" s="192">
        <f>ROUND((E86*F86),0)</f>
        <v>961085</v>
      </c>
      <c r="I86" s="32">
        <f t="shared" si="81"/>
        <v>1010101</v>
      </c>
      <c r="J86" s="1314"/>
      <c r="K86" s="149">
        <v>0</v>
      </c>
      <c r="L86" s="175">
        <v>0</v>
      </c>
      <c r="M86" s="176">
        <f t="shared" si="45"/>
        <v>0</v>
      </c>
      <c r="N86" s="158">
        <v>0</v>
      </c>
      <c r="O86" s="194">
        <v>0</v>
      </c>
      <c r="P86" s="195">
        <f t="shared" si="46"/>
        <v>0</v>
      </c>
      <c r="Q86" s="158">
        <v>0</v>
      </c>
      <c r="R86" s="194">
        <f>+ROUND((Q86*$F$86),0)</f>
        <v>0</v>
      </c>
      <c r="S86" s="195">
        <f>R86/$H$86</f>
        <v>0</v>
      </c>
      <c r="T86" s="303">
        <v>0.3</v>
      </c>
      <c r="U86" s="304">
        <f>+ROUND((T86*$F$86),0)</f>
        <v>961085</v>
      </c>
      <c r="V86" s="305">
        <f>U86/$H$86</f>
        <v>1</v>
      </c>
      <c r="W86" s="432">
        <v>0</v>
      </c>
      <c r="X86" s="425">
        <f>+ROUND((W86*$F$86),0)</f>
        <v>0</v>
      </c>
      <c r="Y86" s="426">
        <f>X86/$H$86</f>
        <v>0</v>
      </c>
      <c r="Z86" s="432">
        <v>0</v>
      </c>
      <c r="AA86" s="425">
        <f t="shared" si="82"/>
        <v>0</v>
      </c>
      <c r="AB86" s="426">
        <f t="shared" si="83"/>
        <v>0</v>
      </c>
      <c r="AC86" s="416">
        <f t="shared" si="84"/>
        <v>0.3</v>
      </c>
      <c r="AD86" s="175">
        <f t="shared" si="79"/>
        <v>961085</v>
      </c>
      <c r="AE86" s="176">
        <f t="shared" si="23"/>
        <v>1</v>
      </c>
    </row>
    <row r="87" spans="1:32" x14ac:dyDescent="0.3">
      <c r="A87" s="1314"/>
      <c r="B87" s="1314"/>
      <c r="C87" s="196"/>
      <c r="D87" s="196" t="s">
        <v>221</v>
      </c>
      <c r="E87" s="198"/>
      <c r="F87" s="198"/>
      <c r="G87" s="198"/>
      <c r="H87" s="199">
        <f>SUM(H84:H86)</f>
        <v>2099762</v>
      </c>
      <c r="I87" s="199">
        <f>SUM(I84:I86)</f>
        <v>2206851</v>
      </c>
      <c r="J87" s="1314"/>
      <c r="K87" s="306"/>
      <c r="L87" s="307">
        <f>SUM(L84:L86)</f>
        <v>0</v>
      </c>
      <c r="M87" s="308">
        <f t="shared" si="45"/>
        <v>0</v>
      </c>
      <c r="N87" s="306"/>
      <c r="O87" s="307">
        <f>SUM(O84:O86)</f>
        <v>1138677</v>
      </c>
      <c r="P87" s="308">
        <f t="shared" si="46"/>
        <v>0.54228860223206254</v>
      </c>
      <c r="Q87" s="306"/>
      <c r="R87" s="307">
        <f>SUM(R84:R86)</f>
        <v>0</v>
      </c>
      <c r="S87" s="308">
        <f>R87/$H$87</f>
        <v>0</v>
      </c>
      <c r="T87" s="306"/>
      <c r="U87" s="307">
        <f>SUM(U84:U86)</f>
        <v>961085</v>
      </c>
      <c r="V87" s="308">
        <f>U87/$H$87</f>
        <v>0.45771139776793751</v>
      </c>
      <c r="W87" s="428"/>
      <c r="X87" s="307">
        <f>SUM(X84:X86)</f>
        <v>0</v>
      </c>
      <c r="Y87" s="431">
        <f>X87/$H$87</f>
        <v>0</v>
      </c>
      <c r="Z87" s="428"/>
      <c r="AA87" s="307">
        <f>SUM(AA84:AA86)</f>
        <v>0</v>
      </c>
      <c r="AB87" s="431">
        <f>AA87/$H$87</f>
        <v>0</v>
      </c>
      <c r="AC87" s="306"/>
      <c r="AD87" s="1078">
        <f t="shared" si="79"/>
        <v>2099762</v>
      </c>
      <c r="AE87" s="308">
        <f t="shared" si="23"/>
        <v>1</v>
      </c>
    </row>
    <row r="88" spans="1:32" ht="28.8" x14ac:dyDescent="0.3">
      <c r="A88" s="1314" t="s">
        <v>888</v>
      </c>
      <c r="B88" s="1314" t="s">
        <v>883</v>
      </c>
      <c r="C88" s="355" t="s">
        <v>81</v>
      </c>
      <c r="D88" s="355" t="s">
        <v>230</v>
      </c>
      <c r="E88" s="355">
        <v>0.6</v>
      </c>
      <c r="F88" s="192">
        <v>1497343</v>
      </c>
      <c r="G88" s="32">
        <f t="shared" ref="G88:G90" si="85">+ROUND(F88*1.051,0)</f>
        <v>1573707</v>
      </c>
      <c r="H88" s="192">
        <f>ROUND((E88*F88),0)</f>
        <v>898406</v>
      </c>
      <c r="I88" s="32">
        <f t="shared" ref="I88:I90" si="86">+ROUND(G88*E88,0)</f>
        <v>944224</v>
      </c>
      <c r="J88" s="1314" t="s">
        <v>884</v>
      </c>
      <c r="K88" s="149">
        <v>0</v>
      </c>
      <c r="L88" s="175">
        <v>0</v>
      </c>
      <c r="M88" s="176">
        <f t="shared" si="45"/>
        <v>0</v>
      </c>
      <c r="N88" s="303">
        <v>0.6</v>
      </c>
      <c r="O88" s="304">
        <f>+ROUND((N88*F88),0)</f>
        <v>898406</v>
      </c>
      <c r="P88" s="305">
        <f t="shared" si="46"/>
        <v>1</v>
      </c>
      <c r="Q88" s="158">
        <v>0</v>
      </c>
      <c r="R88" s="194">
        <f>+ROUND((Q88*$F$88),0)</f>
        <v>0</v>
      </c>
      <c r="S88" s="195">
        <f>R88/$H$88</f>
        <v>0</v>
      </c>
      <c r="T88" s="158">
        <v>0</v>
      </c>
      <c r="U88" s="194">
        <f>+ROUND((T88*$F$88),0)</f>
        <v>0</v>
      </c>
      <c r="V88" s="195">
        <f>U88/$H$88</f>
        <v>0</v>
      </c>
      <c r="W88" s="432">
        <v>0</v>
      </c>
      <c r="X88" s="425">
        <f>+ROUND((W88*$F$88),0)</f>
        <v>0</v>
      </c>
      <c r="Y88" s="426">
        <f>X88/$H$88</f>
        <v>0</v>
      </c>
      <c r="Z88" s="432">
        <v>0</v>
      </c>
      <c r="AA88" s="425">
        <f t="shared" ref="AA88:AA90" si="87">+ROUND((Z88*G88),0)</f>
        <v>0</v>
      </c>
      <c r="AB88" s="426">
        <f t="shared" ref="AB88:AB90" si="88">AA88/I88</f>
        <v>0</v>
      </c>
      <c r="AC88" s="416">
        <f t="shared" ref="AC88:AC90" si="89">K88+N88+Q88+T88+W88+Z88</f>
        <v>0.6</v>
      </c>
      <c r="AD88" s="175">
        <f t="shared" si="79"/>
        <v>898406</v>
      </c>
      <c r="AE88" s="176">
        <f t="shared" si="23"/>
        <v>1</v>
      </c>
    </row>
    <row r="89" spans="1:32" ht="28.8" x14ac:dyDescent="0.3">
      <c r="A89" s="1314"/>
      <c r="B89" s="1314"/>
      <c r="C89" s="355" t="s">
        <v>83</v>
      </c>
      <c r="D89" s="355" t="s">
        <v>231</v>
      </c>
      <c r="E89" s="355">
        <v>0.6</v>
      </c>
      <c r="F89" s="192">
        <v>3133974</v>
      </c>
      <c r="G89" s="32">
        <f t="shared" si="85"/>
        <v>3293807</v>
      </c>
      <c r="H89" s="192">
        <f>ROUND((E89*F89),0)</f>
        <v>1880384</v>
      </c>
      <c r="I89" s="32">
        <f t="shared" si="86"/>
        <v>1976284</v>
      </c>
      <c r="J89" s="1314"/>
      <c r="K89" s="149">
        <v>0</v>
      </c>
      <c r="L89" s="175">
        <v>0</v>
      </c>
      <c r="M89" s="176">
        <f t="shared" si="45"/>
        <v>0</v>
      </c>
      <c r="N89" s="303">
        <v>0.6</v>
      </c>
      <c r="O89" s="304">
        <f>+ROUND((N89*F89),0)</f>
        <v>1880384</v>
      </c>
      <c r="P89" s="305">
        <f t="shared" si="46"/>
        <v>1</v>
      </c>
      <c r="Q89" s="158">
        <v>0</v>
      </c>
      <c r="R89" s="194">
        <f>+ROUND((Q89*$F$89),0)</f>
        <v>0</v>
      </c>
      <c r="S89" s="195">
        <f>R89/$H$89</f>
        <v>0</v>
      </c>
      <c r="T89" s="158">
        <v>0</v>
      </c>
      <c r="U89" s="194">
        <f>+ROUND((T89*$F$89),0)</f>
        <v>0</v>
      </c>
      <c r="V89" s="195">
        <f>U89/$H$89</f>
        <v>0</v>
      </c>
      <c r="W89" s="432">
        <v>0</v>
      </c>
      <c r="X89" s="425">
        <f>+ROUND((W89*$F$89),0)</f>
        <v>0</v>
      </c>
      <c r="Y89" s="426">
        <f>X89/$H$89</f>
        <v>0</v>
      </c>
      <c r="Z89" s="432">
        <v>0</v>
      </c>
      <c r="AA89" s="425">
        <f t="shared" si="87"/>
        <v>0</v>
      </c>
      <c r="AB89" s="426">
        <f t="shared" si="88"/>
        <v>0</v>
      </c>
      <c r="AC89" s="416">
        <f t="shared" si="89"/>
        <v>0.6</v>
      </c>
      <c r="AD89" s="175">
        <f t="shared" si="79"/>
        <v>1880384</v>
      </c>
      <c r="AE89" s="176">
        <f t="shared" si="23"/>
        <v>1</v>
      </c>
    </row>
    <row r="90" spans="1:32" ht="28.8" x14ac:dyDescent="0.3">
      <c r="A90" s="1314"/>
      <c r="B90" s="1314"/>
      <c r="C90" s="355" t="s">
        <v>61</v>
      </c>
      <c r="D90" s="355" t="s">
        <v>232</v>
      </c>
      <c r="E90" s="355">
        <v>0.6</v>
      </c>
      <c r="F90" s="192">
        <v>4004523</v>
      </c>
      <c r="G90" s="32">
        <f t="shared" si="85"/>
        <v>4208754</v>
      </c>
      <c r="H90" s="192">
        <f>ROUND((E90*F90),0)</f>
        <v>2402714</v>
      </c>
      <c r="I90" s="32">
        <f t="shared" si="86"/>
        <v>2525252</v>
      </c>
      <c r="J90" s="1314"/>
      <c r="K90" s="149">
        <v>0</v>
      </c>
      <c r="L90" s="175">
        <v>0</v>
      </c>
      <c r="M90" s="176">
        <f t="shared" si="45"/>
        <v>0</v>
      </c>
      <c r="N90" s="158">
        <v>0</v>
      </c>
      <c r="O90" s="194">
        <v>0</v>
      </c>
      <c r="P90" s="195">
        <f t="shared" si="46"/>
        <v>0</v>
      </c>
      <c r="Q90" s="158">
        <v>0</v>
      </c>
      <c r="R90" s="194">
        <f>+ROUND((Q90*$F$90),0)</f>
        <v>0</v>
      </c>
      <c r="S90" s="195">
        <f>R90/$H$90</f>
        <v>0</v>
      </c>
      <c r="T90" s="303">
        <v>0.6</v>
      </c>
      <c r="U90" s="304">
        <f>+ROUND((T90*$F$90),0)</f>
        <v>2402714</v>
      </c>
      <c r="V90" s="305">
        <f>U90/$H$90</f>
        <v>1</v>
      </c>
      <c r="W90" s="432">
        <v>0</v>
      </c>
      <c r="X90" s="425">
        <f>+ROUND((W90*$F$90),0)</f>
        <v>0</v>
      </c>
      <c r="Y90" s="426">
        <f>X90/$H$90</f>
        <v>0</v>
      </c>
      <c r="Z90" s="432">
        <v>0</v>
      </c>
      <c r="AA90" s="425">
        <f t="shared" si="87"/>
        <v>0</v>
      </c>
      <c r="AB90" s="426">
        <f t="shared" si="88"/>
        <v>0</v>
      </c>
      <c r="AC90" s="416">
        <f t="shared" si="89"/>
        <v>0.6</v>
      </c>
      <c r="AD90" s="175">
        <f t="shared" si="79"/>
        <v>2402714</v>
      </c>
      <c r="AE90" s="176">
        <f t="shared" si="23"/>
        <v>1</v>
      </c>
    </row>
    <row r="91" spans="1:32" x14ac:dyDescent="0.3">
      <c r="A91" s="1314"/>
      <c r="B91" s="1314"/>
      <c r="C91" s="196"/>
      <c r="D91" s="196" t="s">
        <v>233</v>
      </c>
      <c r="E91" s="198"/>
      <c r="F91" s="198"/>
      <c r="G91" s="198"/>
      <c r="H91" s="199">
        <f>SUM(H88:H90)</f>
        <v>5181504</v>
      </c>
      <c r="I91" s="199">
        <f>SUM(I88:I90)</f>
        <v>5445760</v>
      </c>
      <c r="J91" s="1314"/>
      <c r="K91" s="306"/>
      <c r="L91" s="307">
        <f>SUM(L88:L90)</f>
        <v>0</v>
      </c>
      <c r="M91" s="308">
        <f t="shared" si="45"/>
        <v>0</v>
      </c>
      <c r="N91" s="306"/>
      <c r="O91" s="307">
        <f>SUM(O88:O90)</f>
        <v>2778790</v>
      </c>
      <c r="P91" s="308">
        <f t="shared" si="46"/>
        <v>0.53629023542199328</v>
      </c>
      <c r="Q91" s="306"/>
      <c r="R91" s="307">
        <f>SUM(R88:R90)</f>
        <v>0</v>
      </c>
      <c r="S91" s="308">
        <f>R91/$H$91</f>
        <v>0</v>
      </c>
      <c r="T91" s="306"/>
      <c r="U91" s="307">
        <f>SUM(U88:U90)</f>
        <v>2402714</v>
      </c>
      <c r="V91" s="308">
        <f>U91/$H$91</f>
        <v>0.46370976457800672</v>
      </c>
      <c r="W91" s="428"/>
      <c r="X91" s="307">
        <f>SUM(X88:X90)</f>
        <v>0</v>
      </c>
      <c r="Y91" s="431">
        <f>X91/$H$91</f>
        <v>0</v>
      </c>
      <c r="Z91" s="428"/>
      <c r="AA91" s="307">
        <f>SUM(AA88:AA90)</f>
        <v>0</v>
      </c>
      <c r="AB91" s="431">
        <f>AA91/$H$91</f>
        <v>0</v>
      </c>
      <c r="AC91" s="306"/>
      <c r="AD91" s="1078">
        <f t="shared" si="79"/>
        <v>5181504</v>
      </c>
      <c r="AE91" s="308">
        <f t="shared" ref="AE91:AE100" si="90">AD91/H91</f>
        <v>1</v>
      </c>
    </row>
    <row r="92" spans="1:32" ht="43.2" x14ac:dyDescent="0.3">
      <c r="A92" s="1314" t="s">
        <v>888</v>
      </c>
      <c r="B92" s="1314" t="s">
        <v>234</v>
      </c>
      <c r="C92" s="355" t="s">
        <v>59</v>
      </c>
      <c r="D92" s="355" t="s">
        <v>235</v>
      </c>
      <c r="E92" s="355">
        <v>0.3</v>
      </c>
      <c r="F92" s="192">
        <v>2298247</v>
      </c>
      <c r="G92" s="32">
        <f t="shared" ref="G92" si="91">+ROUND(F92*1.051,0)</f>
        <v>2415458</v>
      </c>
      <c r="H92" s="192">
        <f>ROUND((E92*F92),0)</f>
        <v>689474</v>
      </c>
      <c r="I92" s="32">
        <f>+ROUND(G92*E92,0)</f>
        <v>724637</v>
      </c>
      <c r="J92" s="1314"/>
      <c r="K92" s="149">
        <v>0</v>
      </c>
      <c r="L92" s="175">
        <v>0</v>
      </c>
      <c r="M92" s="176">
        <f t="shared" si="45"/>
        <v>0</v>
      </c>
      <c r="N92" s="303">
        <v>0.3</v>
      </c>
      <c r="O92" s="304">
        <f>+ROUND((N92*F92),0)</f>
        <v>689474</v>
      </c>
      <c r="P92" s="305">
        <f t="shared" si="46"/>
        <v>1</v>
      </c>
      <c r="Q92" s="158">
        <v>0</v>
      </c>
      <c r="R92" s="194">
        <f>+ROUND((Q92*$F$92),0)</f>
        <v>0</v>
      </c>
      <c r="S92" s="195">
        <f>R92/$H$92</f>
        <v>0</v>
      </c>
      <c r="T92" s="158">
        <v>0</v>
      </c>
      <c r="U92" s="194">
        <f>+ROUND((T92*$F$92),0)</f>
        <v>0</v>
      </c>
      <c r="V92" s="195">
        <f>U92/$H$92</f>
        <v>0</v>
      </c>
      <c r="W92" s="432">
        <v>0</v>
      </c>
      <c r="X92" s="425">
        <f>+ROUND((W92*$F$92),0)</f>
        <v>0</v>
      </c>
      <c r="Y92" s="426">
        <f>X92/$H$92</f>
        <v>0</v>
      </c>
      <c r="Z92" s="432">
        <v>0</v>
      </c>
      <c r="AA92" s="425">
        <f>+ROUND((Z92*G92),0)</f>
        <v>0</v>
      </c>
      <c r="AB92" s="426">
        <f>AA92/I92</f>
        <v>0</v>
      </c>
      <c r="AC92" s="416">
        <f t="shared" ref="AC92" si="92">K92+N92+Q92+T92+W92+Z92</f>
        <v>0.3</v>
      </c>
      <c r="AD92" s="175">
        <f t="shared" si="79"/>
        <v>689474</v>
      </c>
      <c r="AE92" s="176">
        <f t="shared" si="90"/>
        <v>1</v>
      </c>
    </row>
    <row r="93" spans="1:32" x14ac:dyDescent="0.3">
      <c r="A93" s="1314"/>
      <c r="B93" s="1314"/>
      <c r="C93" s="196"/>
      <c r="D93" s="196" t="s">
        <v>236</v>
      </c>
      <c r="E93" s="198"/>
      <c r="F93" s="198"/>
      <c r="G93" s="198"/>
      <c r="H93" s="199">
        <f>H92</f>
        <v>689474</v>
      </c>
      <c r="I93" s="199">
        <f>SUM(I92)</f>
        <v>724637</v>
      </c>
      <c r="J93" s="1314"/>
      <c r="K93" s="306"/>
      <c r="L93" s="307">
        <f>L92</f>
        <v>0</v>
      </c>
      <c r="M93" s="308">
        <f t="shared" si="45"/>
        <v>0</v>
      </c>
      <c r="N93" s="306"/>
      <c r="O93" s="307">
        <f>SUM(O92)</f>
        <v>689474</v>
      </c>
      <c r="P93" s="308">
        <f t="shared" si="46"/>
        <v>1</v>
      </c>
      <c r="Q93" s="306"/>
      <c r="R93" s="307">
        <f>SUM(R92)</f>
        <v>0</v>
      </c>
      <c r="S93" s="308">
        <f>R93/$H$93</f>
        <v>0</v>
      </c>
      <c r="T93" s="306"/>
      <c r="U93" s="307">
        <f>SUM(U92)</f>
        <v>0</v>
      </c>
      <c r="V93" s="308">
        <f>U93/$H$93</f>
        <v>0</v>
      </c>
      <c r="W93" s="428"/>
      <c r="X93" s="307">
        <f>SUM(X92)</f>
        <v>0</v>
      </c>
      <c r="Y93" s="431">
        <f>X93/$H$93</f>
        <v>0</v>
      </c>
      <c r="Z93" s="428"/>
      <c r="AA93" s="307">
        <f>SUM(AA92)</f>
        <v>0</v>
      </c>
      <c r="AB93" s="431">
        <f>AA93/$H$93</f>
        <v>0</v>
      </c>
      <c r="AC93" s="306"/>
      <c r="AD93" s="1078">
        <f t="shared" si="79"/>
        <v>689474</v>
      </c>
      <c r="AE93" s="308">
        <f t="shared" si="90"/>
        <v>1</v>
      </c>
    </row>
    <row r="94" spans="1:32" ht="28.8" x14ac:dyDescent="0.3">
      <c r="A94" s="1323" t="s">
        <v>237</v>
      </c>
      <c r="B94" s="1323" t="s">
        <v>238</v>
      </c>
      <c r="C94" s="356" t="s">
        <v>81</v>
      </c>
      <c r="D94" s="356" t="s">
        <v>128</v>
      </c>
      <c r="E94" s="356">
        <v>1</v>
      </c>
      <c r="F94" s="114">
        <v>3621481.772625756</v>
      </c>
      <c r="G94" s="32">
        <f t="shared" ref="G94" si="93">+ROUND(F94*1.051,0)</f>
        <v>3806177</v>
      </c>
      <c r="H94" s="114">
        <v>3621482</v>
      </c>
      <c r="I94" s="32">
        <f>+ROUND(G94*E94,0)</f>
        <v>3806177</v>
      </c>
      <c r="J94" s="1324" t="s">
        <v>889</v>
      </c>
      <c r="K94" s="149">
        <v>0</v>
      </c>
      <c r="L94" s="175">
        <v>0</v>
      </c>
      <c r="M94" s="176">
        <f t="shared" si="45"/>
        <v>0</v>
      </c>
      <c r="N94" s="303">
        <v>0.3</v>
      </c>
      <c r="O94" s="304">
        <f>+ROUND((N94*F94),0)</f>
        <v>1086445</v>
      </c>
      <c r="P94" s="305">
        <f t="shared" si="46"/>
        <v>0.30000011045201935</v>
      </c>
      <c r="Q94" s="158">
        <v>0</v>
      </c>
      <c r="R94" s="194">
        <f>+ROUND((Q94*$F$94),0)</f>
        <v>0</v>
      </c>
      <c r="S94" s="195">
        <f>R94/$H$94</f>
        <v>0</v>
      </c>
      <c r="T94" s="158">
        <v>0</v>
      </c>
      <c r="U94" s="194">
        <f>+ROUND((T94*$F$94),0)</f>
        <v>0</v>
      </c>
      <c r="V94" s="195">
        <f>U94/$H$94</f>
        <v>0</v>
      </c>
      <c r="W94" s="432">
        <v>0</v>
      </c>
      <c r="X94" s="425">
        <f>+ROUND((W94*$F$94),0)</f>
        <v>0</v>
      </c>
      <c r="Y94" s="426">
        <f>X94/$H$94</f>
        <v>0</v>
      </c>
      <c r="Z94" s="432">
        <v>0</v>
      </c>
      <c r="AA94" s="425">
        <f>+ROUND((Z94*G94),0)</f>
        <v>0</v>
      </c>
      <c r="AB94" s="426">
        <f>AA94/I94</f>
        <v>0</v>
      </c>
      <c r="AC94" s="416">
        <f t="shared" ref="AC94" si="94">K94+N94+Q94+T94+W94+Z94</f>
        <v>0.3</v>
      </c>
      <c r="AD94" s="175">
        <f t="shared" si="79"/>
        <v>1086445</v>
      </c>
      <c r="AE94" s="176">
        <f t="shared" si="90"/>
        <v>0.30000011045201935</v>
      </c>
      <c r="AF94" s="580" t="s">
        <v>1720</v>
      </c>
    </row>
    <row r="95" spans="1:32" x14ac:dyDescent="0.3">
      <c r="A95" s="1323"/>
      <c r="B95" s="1323"/>
      <c r="C95" s="115"/>
      <c r="D95" s="115" t="s">
        <v>130</v>
      </c>
      <c r="E95" s="116"/>
      <c r="F95" s="116"/>
      <c r="G95" s="116"/>
      <c r="H95" s="117">
        <v>3621482</v>
      </c>
      <c r="I95" s="117">
        <f>SUM(I94)</f>
        <v>3806177</v>
      </c>
      <c r="J95" s="1323"/>
      <c r="K95" s="306"/>
      <c r="L95" s="307">
        <f>L94</f>
        <v>0</v>
      </c>
      <c r="M95" s="308">
        <f t="shared" si="45"/>
        <v>0</v>
      </c>
      <c r="N95" s="306"/>
      <c r="O95" s="307">
        <f>SUM(O94)</f>
        <v>1086445</v>
      </c>
      <c r="P95" s="308">
        <f t="shared" si="46"/>
        <v>0.30000011045201935</v>
      </c>
      <c r="Q95" s="306"/>
      <c r="R95" s="307">
        <f>SUM(R94)</f>
        <v>0</v>
      </c>
      <c r="S95" s="308">
        <f>R95/$H$95</f>
        <v>0</v>
      </c>
      <c r="T95" s="306"/>
      <c r="U95" s="307">
        <f>SUM(U94)</f>
        <v>0</v>
      </c>
      <c r="V95" s="308">
        <f>U95/$H$95</f>
        <v>0</v>
      </c>
      <c r="W95" s="428"/>
      <c r="X95" s="307">
        <f>SUM(X94)</f>
        <v>0</v>
      </c>
      <c r="Y95" s="431">
        <f>X95/$H$95</f>
        <v>0</v>
      </c>
      <c r="Z95" s="428"/>
      <c r="AA95" s="307">
        <f>SUM(AA94)</f>
        <v>0</v>
      </c>
      <c r="AB95" s="431">
        <f>AA95/$H$95</f>
        <v>0</v>
      </c>
      <c r="AC95" s="306"/>
      <c r="AD95" s="1078">
        <f t="shared" si="79"/>
        <v>1086445</v>
      </c>
      <c r="AE95" s="308">
        <f t="shared" si="90"/>
        <v>0.30000011045201935</v>
      </c>
    </row>
    <row r="96" spans="1:32" ht="28.8" x14ac:dyDescent="0.3">
      <c r="A96" s="1323" t="s">
        <v>237</v>
      </c>
      <c r="B96" s="1323" t="s">
        <v>890</v>
      </c>
      <c r="C96" s="356" t="s">
        <v>81</v>
      </c>
      <c r="D96" s="356" t="s">
        <v>891</v>
      </c>
      <c r="E96" s="356">
        <v>1</v>
      </c>
      <c r="F96" s="114">
        <v>2890220.3546069567</v>
      </c>
      <c r="G96" s="32">
        <f t="shared" ref="G96" si="95">+ROUND(F96*1.051,0)</f>
        <v>3037622</v>
      </c>
      <c r="H96" s="114">
        <v>2890220</v>
      </c>
      <c r="I96" s="32">
        <f>+ROUND(G96*E96,0)</f>
        <v>3037622</v>
      </c>
      <c r="J96" s="1323"/>
      <c r="K96" s="149">
        <v>0</v>
      </c>
      <c r="L96" s="175">
        <v>0</v>
      </c>
      <c r="M96" s="176">
        <f t="shared" si="45"/>
        <v>0</v>
      </c>
      <c r="N96" s="303">
        <v>1</v>
      </c>
      <c r="O96" s="304">
        <f>+ROUND((N96*F96),0)</f>
        <v>2890220</v>
      </c>
      <c r="P96" s="305">
        <f t="shared" si="46"/>
        <v>1</v>
      </c>
      <c r="Q96" s="158">
        <v>0</v>
      </c>
      <c r="R96" s="194">
        <f>+ROUND((Q96*$F$96),0)</f>
        <v>0</v>
      </c>
      <c r="S96" s="195">
        <f>R96/$H$96</f>
        <v>0</v>
      </c>
      <c r="T96" s="158">
        <v>0</v>
      </c>
      <c r="U96" s="194">
        <f>+ROUND((T96*$F$96),0)</f>
        <v>0</v>
      </c>
      <c r="V96" s="195">
        <f>U96/$H$96</f>
        <v>0</v>
      </c>
      <c r="W96" s="432">
        <v>0</v>
      </c>
      <c r="X96" s="425">
        <f>+ROUND((W96*$F$96),0)</f>
        <v>0</v>
      </c>
      <c r="Y96" s="426">
        <f>X96/$H$96</f>
        <v>0</v>
      </c>
      <c r="Z96" s="432">
        <v>0</v>
      </c>
      <c r="AA96" s="425">
        <f>+ROUND((Z96*G96),0)</f>
        <v>0</v>
      </c>
      <c r="AB96" s="426">
        <f>AA96/I96</f>
        <v>0</v>
      </c>
      <c r="AC96" s="416">
        <f t="shared" ref="AC96" si="96">K96+N96+Q96+T96+W96+Z96</f>
        <v>1</v>
      </c>
      <c r="AD96" s="175">
        <f t="shared" si="79"/>
        <v>2890220</v>
      </c>
      <c r="AE96" s="176">
        <f t="shared" si="90"/>
        <v>1</v>
      </c>
    </row>
    <row r="97" spans="1:32" x14ac:dyDescent="0.3">
      <c r="A97" s="1323"/>
      <c r="B97" s="1323"/>
      <c r="C97" s="115"/>
      <c r="D97" s="115" t="s">
        <v>892</v>
      </c>
      <c r="E97" s="116"/>
      <c r="F97" s="116"/>
      <c r="G97" s="116"/>
      <c r="H97" s="117">
        <v>2890220</v>
      </c>
      <c r="I97" s="117">
        <f>SUM(I96)</f>
        <v>3037622</v>
      </c>
      <c r="J97" s="1323"/>
      <c r="K97" s="306"/>
      <c r="L97" s="307">
        <f>L96</f>
        <v>0</v>
      </c>
      <c r="M97" s="308">
        <f t="shared" si="45"/>
        <v>0</v>
      </c>
      <c r="N97" s="306"/>
      <c r="O97" s="307">
        <f>SUM(O96)</f>
        <v>2890220</v>
      </c>
      <c r="P97" s="308">
        <f t="shared" si="46"/>
        <v>1</v>
      </c>
      <c r="Q97" s="306"/>
      <c r="R97" s="307">
        <f>SUM(R96)</f>
        <v>0</v>
      </c>
      <c r="S97" s="308">
        <f>R97/$H$97</f>
        <v>0</v>
      </c>
      <c r="T97" s="306"/>
      <c r="U97" s="307">
        <f>SUM(U96)</f>
        <v>0</v>
      </c>
      <c r="V97" s="308">
        <f>U97/$H$97</f>
        <v>0</v>
      </c>
      <c r="W97" s="428"/>
      <c r="X97" s="307">
        <f>SUM(X96)</f>
        <v>0</v>
      </c>
      <c r="Y97" s="431">
        <f>X97/$H$97</f>
        <v>0</v>
      </c>
      <c r="Z97" s="428"/>
      <c r="AA97" s="307">
        <f>SUM(AA96)</f>
        <v>0</v>
      </c>
      <c r="AB97" s="431">
        <f>AA97/$H$97</f>
        <v>0</v>
      </c>
      <c r="AC97" s="306"/>
      <c r="AD97" s="1078">
        <f t="shared" si="79"/>
        <v>2890220</v>
      </c>
      <c r="AE97" s="308">
        <f t="shared" si="90"/>
        <v>1</v>
      </c>
    </row>
    <row r="98" spans="1:32" ht="43.2" x14ac:dyDescent="0.3">
      <c r="A98" s="1323" t="s">
        <v>237</v>
      </c>
      <c r="B98" s="1323" t="s">
        <v>239</v>
      </c>
      <c r="C98" s="356" t="s">
        <v>59</v>
      </c>
      <c r="D98" s="356" t="s">
        <v>204</v>
      </c>
      <c r="E98" s="356">
        <v>1</v>
      </c>
      <c r="F98" s="114">
        <v>2124137.8766238112</v>
      </c>
      <c r="G98" s="32">
        <f t="shared" ref="G98:G99" si="97">+ROUND(F98*1.051,0)</f>
        <v>2232469</v>
      </c>
      <c r="H98" s="114">
        <v>2124138</v>
      </c>
      <c r="I98" s="32">
        <f t="shared" ref="I98:I99" si="98">+ROUND(G98*E98,0)</f>
        <v>2232469</v>
      </c>
      <c r="J98" s="1323"/>
      <c r="K98" s="149">
        <v>0</v>
      </c>
      <c r="L98" s="175">
        <v>0</v>
      </c>
      <c r="M98" s="176">
        <f t="shared" si="45"/>
        <v>0</v>
      </c>
      <c r="N98" s="303">
        <v>0.3</v>
      </c>
      <c r="O98" s="304">
        <f>+ROUND((N98*F98),0)</f>
        <v>637241</v>
      </c>
      <c r="P98" s="305">
        <f t="shared" si="46"/>
        <v>0.2999998116883178</v>
      </c>
      <c r="Q98" s="303">
        <v>0.7</v>
      </c>
      <c r="R98" s="304">
        <f>+ROUND((Q98*$F$98),0)</f>
        <v>1486897</v>
      </c>
      <c r="S98" s="305">
        <f>R98/$H$98</f>
        <v>0.7000001883116822</v>
      </c>
      <c r="T98" s="158">
        <v>0</v>
      </c>
      <c r="U98" s="194">
        <f>+ROUND((T98*$F$98),0)</f>
        <v>0</v>
      </c>
      <c r="V98" s="195">
        <f>U98/$H$98</f>
        <v>0</v>
      </c>
      <c r="W98" s="432">
        <v>0</v>
      </c>
      <c r="X98" s="425">
        <f>+ROUND((W98*$F$98),0)</f>
        <v>0</v>
      </c>
      <c r="Y98" s="426">
        <f>X98/$H$98</f>
        <v>0</v>
      </c>
      <c r="Z98" s="432">
        <v>0</v>
      </c>
      <c r="AA98" s="425">
        <f t="shared" ref="AA98:AA99" si="99">+ROUND((Z98*G98),0)</f>
        <v>0</v>
      </c>
      <c r="AB98" s="426">
        <f t="shared" ref="AB98:AB99" si="100">AA98/I98</f>
        <v>0</v>
      </c>
      <c r="AC98" s="416">
        <f t="shared" ref="AC98:AC99" si="101">K98+N98+Q98+T98+W98+Z98</f>
        <v>1</v>
      </c>
      <c r="AD98" s="175">
        <f t="shared" si="79"/>
        <v>2124138</v>
      </c>
      <c r="AE98" s="176">
        <f t="shared" si="90"/>
        <v>1</v>
      </c>
    </row>
    <row r="99" spans="1:32" ht="28.8" x14ac:dyDescent="0.3">
      <c r="A99" s="1323"/>
      <c r="B99" s="1323"/>
      <c r="C99" s="356" t="s">
        <v>61</v>
      </c>
      <c r="D99" s="356" t="s">
        <v>205</v>
      </c>
      <c r="E99" s="356">
        <v>1</v>
      </c>
      <c r="F99" s="114">
        <v>3900056.638596369</v>
      </c>
      <c r="G99" s="32">
        <f t="shared" si="97"/>
        <v>4098960</v>
      </c>
      <c r="H99" s="114">
        <v>3900057</v>
      </c>
      <c r="I99" s="32">
        <f t="shared" si="98"/>
        <v>4098960</v>
      </c>
      <c r="J99" s="1323"/>
      <c r="K99" s="149">
        <v>0</v>
      </c>
      <c r="L99" s="175">
        <v>0</v>
      </c>
      <c r="M99" s="176">
        <f t="shared" si="45"/>
        <v>0</v>
      </c>
      <c r="N99" s="158">
        <v>0</v>
      </c>
      <c r="O99" s="194">
        <v>0</v>
      </c>
      <c r="P99" s="195">
        <f t="shared" si="46"/>
        <v>0</v>
      </c>
      <c r="Q99" s="303">
        <v>0.3</v>
      </c>
      <c r="R99" s="304">
        <f>+ROUND((Q99*$F$99),0)</f>
        <v>1170017</v>
      </c>
      <c r="S99" s="305">
        <f>R99/$H$99</f>
        <v>0.29999997435934911</v>
      </c>
      <c r="T99" s="158">
        <v>0</v>
      </c>
      <c r="U99" s="194">
        <f>+ROUND((T99*$F$99),0)</f>
        <v>0</v>
      </c>
      <c r="V99" s="195">
        <f>U99/$H$99</f>
        <v>0</v>
      </c>
      <c r="W99" s="432">
        <v>0</v>
      </c>
      <c r="X99" s="425">
        <f>+ROUND((W99*$F$99),0)</f>
        <v>0</v>
      </c>
      <c r="Y99" s="426">
        <f>X99/$H$99</f>
        <v>0</v>
      </c>
      <c r="Z99" s="432">
        <v>0</v>
      </c>
      <c r="AA99" s="425">
        <f t="shared" si="99"/>
        <v>0</v>
      </c>
      <c r="AB99" s="426">
        <f t="shared" si="100"/>
        <v>0</v>
      </c>
      <c r="AC99" s="416">
        <f t="shared" si="101"/>
        <v>0.3</v>
      </c>
      <c r="AD99" s="175">
        <f t="shared" si="79"/>
        <v>1170017</v>
      </c>
      <c r="AE99" s="176">
        <f t="shared" si="90"/>
        <v>0.29999997435934911</v>
      </c>
      <c r="AF99" s="189" t="s">
        <v>1720</v>
      </c>
    </row>
    <row r="100" spans="1:32" x14ac:dyDescent="0.3">
      <c r="A100" s="1323"/>
      <c r="B100" s="1323"/>
      <c r="C100" s="115"/>
      <c r="D100" s="115" t="s">
        <v>206</v>
      </c>
      <c r="E100" s="116"/>
      <c r="F100" s="116"/>
      <c r="G100" s="116"/>
      <c r="H100" s="117">
        <v>6024195</v>
      </c>
      <c r="I100" s="117">
        <f>SUM(I98:I99)</f>
        <v>6331429</v>
      </c>
      <c r="J100" s="1323"/>
      <c r="K100" s="306"/>
      <c r="L100" s="307">
        <f>SUM(L98:L99)</f>
        <v>0</v>
      </c>
      <c r="M100" s="308">
        <f t="shared" si="45"/>
        <v>0</v>
      </c>
      <c r="N100" s="306"/>
      <c r="O100" s="307">
        <f>SUM(O98:O99)</f>
        <v>637241</v>
      </c>
      <c r="P100" s="308">
        <f t="shared" si="46"/>
        <v>0.10578027437690846</v>
      </c>
      <c r="Q100" s="306"/>
      <c r="R100" s="307">
        <f>SUM(R98:R99)</f>
        <v>2656914</v>
      </c>
      <c r="S100" s="308">
        <f>R100/$H$100</f>
        <v>0.44104050416694679</v>
      </c>
      <c r="T100" s="306"/>
      <c r="U100" s="307">
        <f>SUM(U98:U99)</f>
        <v>0</v>
      </c>
      <c r="V100" s="308">
        <f>U100/$H$100</f>
        <v>0</v>
      </c>
      <c r="W100" s="428"/>
      <c r="X100" s="307">
        <f>SUM(X98:X99)</f>
        <v>0</v>
      </c>
      <c r="Y100" s="431">
        <f>X100/$H$100</f>
        <v>0</v>
      </c>
      <c r="Z100" s="428"/>
      <c r="AA100" s="307">
        <f>SUM(AA98:AA99)</f>
        <v>0</v>
      </c>
      <c r="AB100" s="431">
        <f>AA100/$H$100</f>
        <v>0</v>
      </c>
      <c r="AC100" s="306"/>
      <c r="AD100" s="1078">
        <f t="shared" si="79"/>
        <v>3294155</v>
      </c>
      <c r="AE100" s="308">
        <f t="shared" si="90"/>
        <v>0.54682077854385525</v>
      </c>
    </row>
    <row r="101" spans="1:32" x14ac:dyDescent="0.3">
      <c r="F101" s="151" t="s">
        <v>64</v>
      </c>
      <c r="G101" s="151"/>
      <c r="H101" s="181">
        <f>SUM(H14:H100)/2</f>
        <v>186767461</v>
      </c>
      <c r="I101" s="138"/>
      <c r="K101" s="151" t="s">
        <v>64</v>
      </c>
      <c r="L101" s="181">
        <f>SUM(L14:L100)/2</f>
        <v>64251699</v>
      </c>
      <c r="M101" s="118">
        <f t="shared" si="45"/>
        <v>0.34401977012473278</v>
      </c>
      <c r="N101" s="151" t="s">
        <v>64</v>
      </c>
      <c r="O101" s="181">
        <f>SUM(O14:O100)/2</f>
        <v>105160508</v>
      </c>
      <c r="P101" s="118">
        <f t="shared" si="46"/>
        <v>0.56305583122961655</v>
      </c>
      <c r="Q101" s="151" t="s">
        <v>64</v>
      </c>
      <c r="R101" s="181">
        <f>SUM(R14:R100)/2</f>
        <v>2656914</v>
      </c>
      <c r="S101" s="118">
        <f>R101/$H$101</f>
        <v>1.4225786364360331E-2</v>
      </c>
      <c r="T101" s="151" t="s">
        <v>64</v>
      </c>
      <c r="U101" s="181">
        <f>SUM(U14:U100)/2</f>
        <v>5557581</v>
      </c>
      <c r="V101" s="118">
        <f>U101/$H$101</f>
        <v>2.9756687649140339E-2</v>
      </c>
      <c r="W101" s="480" t="s">
        <v>64</v>
      </c>
      <c r="X101" s="481">
        <f>SUM(X14:X100)/2</f>
        <v>3875682</v>
      </c>
      <c r="Z101" s="480" t="s">
        <v>64</v>
      </c>
      <c r="AA101" s="481">
        <f>SUM(AA14:AA100)/2</f>
        <v>0</v>
      </c>
      <c r="AC101" s="480" t="s">
        <v>64</v>
      </c>
      <c r="AD101" s="481">
        <f>SUM(AD14:AD100)/2</f>
        <v>181502384</v>
      </c>
    </row>
    <row r="102" spans="1:32" x14ac:dyDescent="0.3">
      <c r="F102" s="153" t="s">
        <v>65</v>
      </c>
      <c r="G102" s="816"/>
      <c r="H102" s="182">
        <v>0</v>
      </c>
      <c r="I102" s="138"/>
      <c r="K102" s="153" t="s">
        <v>65</v>
      </c>
      <c r="L102" s="182">
        <v>0</v>
      </c>
      <c r="M102" s="302"/>
      <c r="N102" s="153" t="s">
        <v>65</v>
      </c>
      <c r="O102" s="182">
        <v>0</v>
      </c>
      <c r="P102" s="302"/>
      <c r="Q102" s="153" t="s">
        <v>65</v>
      </c>
      <c r="R102" s="182">
        <v>0</v>
      </c>
      <c r="S102" s="302"/>
      <c r="T102" s="153" t="s">
        <v>65</v>
      </c>
      <c r="U102" s="182">
        <v>0</v>
      </c>
      <c r="V102" s="302"/>
      <c r="W102" s="482" t="s">
        <v>65</v>
      </c>
      <c r="X102" s="483">
        <v>0</v>
      </c>
      <c r="Y102" s="302"/>
      <c r="Z102" s="482" t="s">
        <v>65</v>
      </c>
      <c r="AA102" s="483">
        <v>0</v>
      </c>
      <c r="AB102" s="795"/>
      <c r="AC102" s="482" t="s">
        <v>65</v>
      </c>
      <c r="AD102" s="483">
        <v>0</v>
      </c>
      <c r="AE102" s="302"/>
    </row>
    <row r="103" spans="1:32" x14ac:dyDescent="0.3">
      <c r="F103" s="152" t="s">
        <v>64</v>
      </c>
      <c r="G103" s="817"/>
      <c r="H103" s="182">
        <f>+H101+H102</f>
        <v>186767461</v>
      </c>
      <c r="I103" s="138"/>
      <c r="K103" s="152" t="s">
        <v>64</v>
      </c>
      <c r="L103" s="182">
        <f>+L101+L102</f>
        <v>64251699</v>
      </c>
      <c r="M103" s="302"/>
      <c r="N103" s="152" t="s">
        <v>64</v>
      </c>
      <c r="O103" s="182">
        <f>+O101+O102</f>
        <v>105160508</v>
      </c>
      <c r="P103" s="302"/>
      <c r="Q103" s="152" t="s">
        <v>64</v>
      </c>
      <c r="R103" s="182">
        <f>+R101+R102</f>
        <v>2656914</v>
      </c>
      <c r="S103" s="302"/>
      <c r="T103" s="152" t="s">
        <v>64</v>
      </c>
      <c r="U103" s="182">
        <f>+U101+U102</f>
        <v>5557581</v>
      </c>
      <c r="V103" s="302"/>
      <c r="W103" s="484" t="s">
        <v>64</v>
      </c>
      <c r="X103" s="483">
        <f>+X101+X102</f>
        <v>3875682</v>
      </c>
      <c r="Y103" s="302"/>
      <c r="Z103" s="484" t="s">
        <v>64</v>
      </c>
      <c r="AA103" s="483">
        <f>+AA101+AA102</f>
        <v>0</v>
      </c>
      <c r="AB103" s="795"/>
      <c r="AC103" s="484" t="s">
        <v>64</v>
      </c>
      <c r="AD103" s="483">
        <f>+AD101+AD102</f>
        <v>181502384</v>
      </c>
      <c r="AE103" s="302"/>
    </row>
    <row r="104" spans="1:32" ht="26.4" x14ac:dyDescent="0.3">
      <c r="F104" s="152"/>
      <c r="G104" s="817"/>
      <c r="H104" s="182"/>
      <c r="I104" s="138"/>
      <c r="K104" s="152"/>
      <c r="L104" s="182"/>
      <c r="M104" s="302"/>
      <c r="N104" s="152"/>
      <c r="O104" s="182"/>
      <c r="P104" s="302"/>
      <c r="Q104" s="152"/>
      <c r="R104" s="182"/>
      <c r="S104" s="302"/>
      <c r="T104" s="152"/>
      <c r="U104" s="182"/>
      <c r="V104" s="302"/>
      <c r="W104" s="484" t="s">
        <v>1439</v>
      </c>
      <c r="X104" s="483">
        <f>ROUND(X103*0.015,0)</f>
        <v>58135</v>
      </c>
      <c r="Y104" s="302"/>
      <c r="Z104" s="484" t="s">
        <v>1439</v>
      </c>
      <c r="AA104" s="483">
        <f>ROUND(AA103*0.015,0)</f>
        <v>0</v>
      </c>
      <c r="AB104" s="795"/>
      <c r="AC104" s="484" t="s">
        <v>1439</v>
      </c>
      <c r="AD104" s="483">
        <f>L104+O104+R104+U104+X104</f>
        <v>58135</v>
      </c>
      <c r="AE104" s="302"/>
    </row>
    <row r="105" spans="1:32" ht="26.4" x14ac:dyDescent="0.3">
      <c r="F105" s="152"/>
      <c r="G105" s="817"/>
      <c r="H105" s="182"/>
      <c r="I105" s="138"/>
      <c r="K105" s="152"/>
      <c r="L105" s="182"/>
      <c r="M105" s="302"/>
      <c r="N105" s="152"/>
      <c r="O105" s="182"/>
      <c r="P105" s="302"/>
      <c r="Q105" s="152"/>
      <c r="R105" s="182"/>
      <c r="S105" s="302"/>
      <c r="T105" s="152"/>
      <c r="U105" s="182"/>
      <c r="V105" s="302"/>
      <c r="W105" s="152" t="s">
        <v>1440</v>
      </c>
      <c r="X105" s="182">
        <f>X103+X104</f>
        <v>3933817</v>
      </c>
      <c r="Y105" s="211">
        <f>X105/$H$101</f>
        <v>2.1062646453174197E-2</v>
      </c>
      <c r="Z105" s="152" t="s">
        <v>1440</v>
      </c>
      <c r="AA105" s="182">
        <f>AA103+AA104</f>
        <v>0</v>
      </c>
      <c r="AB105" s="211">
        <f>AA105/$H$101</f>
        <v>0</v>
      </c>
      <c r="AC105" s="152" t="s">
        <v>1440</v>
      </c>
      <c r="AD105" s="182">
        <f>AD103+AD104</f>
        <v>181560519</v>
      </c>
      <c r="AE105" s="118">
        <f>AD105/H101</f>
        <v>0.97212072182102427</v>
      </c>
    </row>
    <row r="106" spans="1:32" x14ac:dyDescent="0.3">
      <c r="F106" s="154" t="s">
        <v>66</v>
      </c>
      <c r="G106" s="818"/>
      <c r="H106" s="182">
        <f>+H103*19%</f>
        <v>35485817.590000004</v>
      </c>
      <c r="I106" s="138"/>
      <c r="K106" s="154" t="s">
        <v>66</v>
      </c>
      <c r="L106" s="182">
        <f>+L103*19%</f>
        <v>12207822.810000001</v>
      </c>
      <c r="M106" s="302"/>
      <c r="N106" s="154" t="s">
        <v>66</v>
      </c>
      <c r="O106" s="182">
        <f>+O103*19%</f>
        <v>19980496.52</v>
      </c>
      <c r="P106" s="302"/>
      <c r="Q106" s="154" t="s">
        <v>66</v>
      </c>
      <c r="R106" s="182">
        <f>+R103*19%</f>
        <v>504813.66000000003</v>
      </c>
      <c r="S106" s="302"/>
      <c r="T106" s="154" t="s">
        <v>66</v>
      </c>
      <c r="U106" s="182">
        <f>+U103*19%</f>
        <v>1055940.3899999999</v>
      </c>
      <c r="V106" s="302"/>
      <c r="W106" s="485" t="s">
        <v>66</v>
      </c>
      <c r="X106" s="483">
        <f>ROUND(X105*0.19,0)</f>
        <v>747425</v>
      </c>
      <c r="Y106" s="302"/>
      <c r="Z106" s="485" t="s">
        <v>66</v>
      </c>
      <c r="AA106" s="483">
        <f>ROUND(AA105*0.19,0)</f>
        <v>0</v>
      </c>
      <c r="AB106" s="795"/>
      <c r="AC106" s="485" t="s">
        <v>66</v>
      </c>
      <c r="AD106" s="483">
        <f>ROUND(AD105*0.19,0)</f>
        <v>34496499</v>
      </c>
      <c r="AE106" s="302"/>
    </row>
    <row r="107" spans="1:32" x14ac:dyDescent="0.3">
      <c r="F107" s="155" t="s">
        <v>69</v>
      </c>
      <c r="G107" s="155"/>
      <c r="H107" s="181">
        <f>+H103+H106</f>
        <v>222253278.59</v>
      </c>
      <c r="I107" s="138"/>
      <c r="K107" s="155" t="s">
        <v>69</v>
      </c>
      <c r="L107" s="181">
        <f>+L103+L106</f>
        <v>76459521.810000002</v>
      </c>
      <c r="M107" s="302"/>
      <c r="N107" s="155" t="s">
        <v>69</v>
      </c>
      <c r="O107" s="181">
        <f>+O103+O106</f>
        <v>125141004.52</v>
      </c>
      <c r="P107" s="302"/>
      <c r="Q107" s="155" t="s">
        <v>69</v>
      </c>
      <c r="R107" s="181">
        <f>+R103+R106</f>
        <v>3161727.66</v>
      </c>
      <c r="S107" s="302"/>
      <c r="T107" s="155" t="s">
        <v>69</v>
      </c>
      <c r="U107" s="181">
        <f>+U103+U106</f>
        <v>6613521.3899999997</v>
      </c>
      <c r="V107" s="302"/>
      <c r="W107" s="545" t="s">
        <v>69</v>
      </c>
      <c r="X107" s="481">
        <f>X105+X106</f>
        <v>4681242</v>
      </c>
      <c r="Y107" s="302"/>
      <c r="Z107" s="545" t="s">
        <v>69</v>
      </c>
      <c r="AA107" s="481">
        <f>AA105+AA106</f>
        <v>0</v>
      </c>
      <c r="AB107" s="795"/>
      <c r="AC107" s="545" t="s">
        <v>69</v>
      </c>
      <c r="AD107" s="481">
        <f>AD105+AD106</f>
        <v>216057018</v>
      </c>
      <c r="AE107" s="302"/>
    </row>
    <row r="110" spans="1:32" s="302" customFormat="1" x14ac:dyDescent="0.3">
      <c r="A110" s="183" t="s">
        <v>67</v>
      </c>
      <c r="B110" s="184"/>
      <c r="C110" s="184"/>
      <c r="D110" s="185" t="s">
        <v>68</v>
      </c>
      <c r="G110" s="795"/>
      <c r="I110" s="795"/>
      <c r="K110" s="186" t="s">
        <v>70</v>
      </c>
      <c r="L110" s="187" t="s">
        <v>71</v>
      </c>
      <c r="M110" s="186" t="s">
        <v>58</v>
      </c>
      <c r="N110" s="186" t="s">
        <v>70</v>
      </c>
      <c r="O110" s="187" t="s">
        <v>71</v>
      </c>
      <c r="P110" s="186" t="s">
        <v>58</v>
      </c>
      <c r="Q110" s="186" t="s">
        <v>70</v>
      </c>
      <c r="R110" s="187" t="s">
        <v>71</v>
      </c>
      <c r="S110" s="186" t="s">
        <v>58</v>
      </c>
      <c r="T110" s="186" t="s">
        <v>70</v>
      </c>
      <c r="U110" s="187" t="s">
        <v>71</v>
      </c>
      <c r="V110" s="186" t="s">
        <v>58</v>
      </c>
      <c r="W110" s="186" t="s">
        <v>70</v>
      </c>
      <c r="X110" s="187" t="s">
        <v>71</v>
      </c>
      <c r="Y110" s="186" t="s">
        <v>58</v>
      </c>
      <c r="Z110" s="186" t="s">
        <v>70</v>
      </c>
      <c r="AA110" s="187" t="s">
        <v>71</v>
      </c>
      <c r="AB110" s="186" t="s">
        <v>58</v>
      </c>
      <c r="AC110" s="189"/>
      <c r="AD110" s="189"/>
      <c r="AE110" s="189"/>
    </row>
    <row r="111" spans="1:32" s="302" customFormat="1" x14ac:dyDescent="0.3">
      <c r="A111" s="183"/>
      <c r="B111" s="184"/>
      <c r="C111" s="184"/>
      <c r="D111" s="185"/>
      <c r="G111" s="795"/>
      <c r="I111" s="795"/>
      <c r="K111" s="69" t="s">
        <v>72</v>
      </c>
      <c r="L111" s="70">
        <f>L101</f>
        <v>64251699</v>
      </c>
      <c r="M111" s="71">
        <f>M101</f>
        <v>0.34401977012473278</v>
      </c>
      <c r="N111" s="69" t="s">
        <v>72</v>
      </c>
      <c r="O111" s="70">
        <f>L101</f>
        <v>64251699</v>
      </c>
      <c r="P111" s="360">
        <f>M101</f>
        <v>0.34401977012473278</v>
      </c>
      <c r="Q111" s="69" t="s">
        <v>72</v>
      </c>
      <c r="R111" s="70">
        <f>$L$101</f>
        <v>64251699</v>
      </c>
      <c r="S111" s="71">
        <f>$M$101</f>
        <v>0.34401977012473278</v>
      </c>
      <c r="T111" s="69" t="s">
        <v>72</v>
      </c>
      <c r="U111" s="70">
        <f>$L$101</f>
        <v>64251699</v>
      </c>
      <c r="V111" s="71">
        <f>$M$101</f>
        <v>0.34401977012473278</v>
      </c>
      <c r="W111" s="69" t="s">
        <v>72</v>
      </c>
      <c r="X111" s="70">
        <f>$L$101</f>
        <v>64251699</v>
      </c>
      <c r="Y111" s="71">
        <f>$M$101</f>
        <v>0.34401977012473278</v>
      </c>
      <c r="Z111" s="69" t="s">
        <v>72</v>
      </c>
      <c r="AA111" s="70">
        <f>$L$101</f>
        <v>64251699</v>
      </c>
      <c r="AB111" s="71">
        <f>$M$101</f>
        <v>0.34401977012473278</v>
      </c>
      <c r="AC111" s="189"/>
      <c r="AD111" s="189"/>
      <c r="AE111" s="189"/>
    </row>
    <row r="112" spans="1:32" s="302" customFormat="1" x14ac:dyDescent="0.3">
      <c r="A112" s="183"/>
      <c r="B112" s="184"/>
      <c r="C112" s="184"/>
      <c r="D112" s="185"/>
      <c r="G112" s="795"/>
      <c r="I112" s="795"/>
      <c r="K112" s="69"/>
      <c r="L112" s="70"/>
      <c r="M112" s="71"/>
      <c r="N112" s="69" t="s">
        <v>73</v>
      </c>
      <c r="O112" s="70">
        <f>O101</f>
        <v>105160508</v>
      </c>
      <c r="P112" s="360">
        <f>P101</f>
        <v>0.56305583122961655</v>
      </c>
      <c r="Q112" s="69" t="s">
        <v>73</v>
      </c>
      <c r="R112" s="70">
        <f>$O$101</f>
        <v>105160508</v>
      </c>
      <c r="S112" s="71">
        <f>$P$101</f>
        <v>0.56305583122961655</v>
      </c>
      <c r="T112" s="69" t="s">
        <v>73</v>
      </c>
      <c r="U112" s="70">
        <f>$O$101</f>
        <v>105160508</v>
      </c>
      <c r="V112" s="71">
        <f>$P$101</f>
        <v>0.56305583122961655</v>
      </c>
      <c r="W112" s="69" t="s">
        <v>73</v>
      </c>
      <c r="X112" s="70">
        <f>$O$101</f>
        <v>105160508</v>
      </c>
      <c r="Y112" s="71">
        <f>$P$101</f>
        <v>0.56305583122961655</v>
      </c>
      <c r="Z112" s="69" t="s">
        <v>73</v>
      </c>
      <c r="AA112" s="70">
        <f>$O$101</f>
        <v>105160508</v>
      </c>
      <c r="AB112" s="71">
        <f>$P$101</f>
        <v>0.56305583122961655</v>
      </c>
      <c r="AC112" s="189"/>
      <c r="AD112" s="189"/>
      <c r="AE112" s="189"/>
    </row>
    <row r="113" spans="1:31" s="302" customFormat="1" x14ac:dyDescent="0.3">
      <c r="A113" s="183"/>
      <c r="B113" s="184"/>
      <c r="C113" s="184"/>
      <c r="D113" s="185"/>
      <c r="G113" s="795"/>
      <c r="I113" s="795"/>
      <c r="K113" s="69"/>
      <c r="L113" s="70"/>
      <c r="M113" s="71"/>
      <c r="N113" s="69"/>
      <c r="O113" s="70"/>
      <c r="P113" s="360"/>
      <c r="Q113" s="69" t="s">
        <v>74</v>
      </c>
      <c r="R113" s="70">
        <f>$R$101</f>
        <v>2656914</v>
      </c>
      <c r="S113" s="71">
        <f>$S$101</f>
        <v>1.4225786364360331E-2</v>
      </c>
      <c r="T113" s="69" t="s">
        <v>74</v>
      </c>
      <c r="U113" s="70">
        <f>$R$101</f>
        <v>2656914</v>
      </c>
      <c r="V113" s="71">
        <f>$S$101</f>
        <v>1.4225786364360331E-2</v>
      </c>
      <c r="W113" s="69" t="s">
        <v>74</v>
      </c>
      <c r="X113" s="70">
        <f>$R$101</f>
        <v>2656914</v>
      </c>
      <c r="Y113" s="71">
        <f>$S$101</f>
        <v>1.4225786364360331E-2</v>
      </c>
      <c r="Z113" s="69" t="s">
        <v>74</v>
      </c>
      <c r="AA113" s="70">
        <f>$R$101</f>
        <v>2656914</v>
      </c>
      <c r="AB113" s="71">
        <f>$S$101</f>
        <v>1.4225786364360331E-2</v>
      </c>
      <c r="AC113" s="189"/>
      <c r="AD113" s="189"/>
      <c r="AE113" s="189"/>
    </row>
    <row r="114" spans="1:31" s="302" customFormat="1" x14ac:dyDescent="0.3">
      <c r="A114" s="183"/>
      <c r="B114" s="184"/>
      <c r="C114" s="184"/>
      <c r="D114" s="185"/>
      <c r="G114" s="795"/>
      <c r="I114" s="795"/>
      <c r="K114" s="69"/>
      <c r="L114" s="70"/>
      <c r="M114" s="71"/>
      <c r="N114" s="69"/>
      <c r="O114" s="70"/>
      <c r="P114" s="360"/>
      <c r="Q114" s="69"/>
      <c r="R114" s="70"/>
      <c r="S114" s="71"/>
      <c r="T114" s="69" t="s">
        <v>155</v>
      </c>
      <c r="U114" s="70">
        <f>U101</f>
        <v>5557581</v>
      </c>
      <c r="V114" s="71">
        <f>V101</f>
        <v>2.9756687649140339E-2</v>
      </c>
      <c r="W114" s="69" t="s">
        <v>155</v>
      </c>
      <c r="X114" s="70">
        <f>$U$101</f>
        <v>5557581</v>
      </c>
      <c r="Y114" s="71">
        <f>$V$101</f>
        <v>2.9756687649140339E-2</v>
      </c>
      <c r="Z114" s="69" t="s">
        <v>155</v>
      </c>
      <c r="AA114" s="70">
        <f>$U$101</f>
        <v>5557581</v>
      </c>
      <c r="AB114" s="71">
        <f>$V$101</f>
        <v>2.9756687649140339E-2</v>
      </c>
      <c r="AC114" s="189"/>
      <c r="AD114" s="189"/>
      <c r="AE114" s="189"/>
    </row>
    <row r="115" spans="1:31" s="302" customFormat="1" x14ac:dyDescent="0.3">
      <c r="A115" s="183"/>
      <c r="B115" s="184"/>
      <c r="C115" s="184"/>
      <c r="D115" s="185"/>
      <c r="G115" s="795"/>
      <c r="I115" s="795"/>
      <c r="K115" s="69"/>
      <c r="L115" s="70"/>
      <c r="M115" s="71"/>
      <c r="N115" s="69"/>
      <c r="O115" s="70"/>
      <c r="P115" s="360"/>
      <c r="Q115" s="69"/>
      <c r="R115" s="70"/>
      <c r="S115" s="71"/>
      <c r="T115" s="69"/>
      <c r="U115" s="70"/>
      <c r="V115" s="71"/>
      <c r="W115" s="69" t="s">
        <v>352</v>
      </c>
      <c r="X115" s="70">
        <f>$X$105</f>
        <v>3933817</v>
      </c>
      <c r="Y115" s="71">
        <f>$Y$105</f>
        <v>2.1062646453174197E-2</v>
      </c>
      <c r="Z115" s="69" t="s">
        <v>352</v>
      </c>
      <c r="AA115" s="70">
        <f>$X$105</f>
        <v>3933817</v>
      </c>
      <c r="AB115" s="71">
        <f>$Y$105</f>
        <v>2.1062646453174197E-2</v>
      </c>
      <c r="AC115" s="189"/>
      <c r="AD115" s="189"/>
      <c r="AE115" s="189"/>
    </row>
    <row r="116" spans="1:31" s="795" customFormat="1" x14ac:dyDescent="0.3">
      <c r="A116" s="183"/>
      <c r="B116" s="184"/>
      <c r="C116" s="184"/>
      <c r="D116" s="185"/>
      <c r="K116" s="69"/>
      <c r="L116" s="70"/>
      <c r="M116" s="71"/>
      <c r="N116" s="69"/>
      <c r="O116" s="70"/>
      <c r="P116" s="360"/>
      <c r="Q116" s="69"/>
      <c r="R116" s="70"/>
      <c r="S116" s="71"/>
      <c r="T116" s="69"/>
      <c r="U116" s="70"/>
      <c r="V116" s="71"/>
      <c r="W116" s="69"/>
      <c r="X116" s="70"/>
      <c r="Y116" s="71"/>
      <c r="Z116" s="69" t="s">
        <v>979</v>
      </c>
      <c r="AA116" s="70">
        <f>+AA105</f>
        <v>0</v>
      </c>
      <c r="AB116" s="71">
        <f>+AB105</f>
        <v>0</v>
      </c>
      <c r="AC116" s="796"/>
      <c r="AD116" s="796"/>
      <c r="AE116" s="796"/>
    </row>
    <row r="117" spans="1:31" s="302" customFormat="1" x14ac:dyDescent="0.3">
      <c r="A117" s="183"/>
      <c r="B117" s="184"/>
      <c r="C117" s="184"/>
      <c r="D117" s="185"/>
      <c r="G117" s="795"/>
      <c r="I117" s="795"/>
      <c r="K117" s="72" t="s">
        <v>1</v>
      </c>
      <c r="L117" s="105">
        <f>SUM(L111:L111)</f>
        <v>64251699</v>
      </c>
      <c r="M117" s="73">
        <f>SUM(M111:M111)</f>
        <v>0.34401977012473278</v>
      </c>
      <c r="N117" s="72" t="s">
        <v>1</v>
      </c>
      <c r="O117" s="105">
        <f>SUM(O111:O112)</f>
        <v>169412207</v>
      </c>
      <c r="P117" s="361">
        <f>SUM(P111:P112)</f>
        <v>0.90707560135434928</v>
      </c>
      <c r="Q117" s="72" t="s">
        <v>1</v>
      </c>
      <c r="R117" s="105">
        <f>SUM(R111:R113)</f>
        <v>172069121</v>
      </c>
      <c r="S117" s="73">
        <f>SUM(S111:S113)</f>
        <v>0.92130138771870962</v>
      </c>
      <c r="T117" s="72" t="s">
        <v>1</v>
      </c>
      <c r="U117" s="105">
        <f>SUM(U111:U114)</f>
        <v>177626702</v>
      </c>
      <c r="V117" s="73">
        <f>SUM(V111:V114)</f>
        <v>0.95105807536784992</v>
      </c>
      <c r="W117" s="72" t="s">
        <v>1</v>
      </c>
      <c r="X117" s="105">
        <f>SUM(X111:X115)</f>
        <v>181560519</v>
      </c>
      <c r="Y117" s="73">
        <f>SUM(Y111:Y115)</f>
        <v>0.97212072182102416</v>
      </c>
      <c r="Z117" s="72" t="s">
        <v>1</v>
      </c>
      <c r="AA117" s="105">
        <f>SUM(AA111:AA116)</f>
        <v>181560519</v>
      </c>
      <c r="AB117" s="73">
        <f>SUM(AB111:AB116)</f>
        <v>0.97212072182102416</v>
      </c>
      <c r="AC117" s="189"/>
      <c r="AD117" s="189"/>
      <c r="AE117" s="189"/>
    </row>
    <row r="118" spans="1:31" s="302" customFormat="1" x14ac:dyDescent="0.3">
      <c r="A118" s="183"/>
      <c r="B118" s="184"/>
      <c r="C118" s="184"/>
      <c r="D118" s="185"/>
      <c r="G118" s="795"/>
      <c r="I118" s="795"/>
      <c r="K118" s="72" t="s">
        <v>9</v>
      </c>
      <c r="L118" s="1285"/>
      <c r="M118" s="1286"/>
      <c r="N118" s="72" t="s">
        <v>9</v>
      </c>
      <c r="O118" s="1285"/>
      <c r="P118" s="1286"/>
      <c r="Q118" s="72" t="s">
        <v>9</v>
      </c>
      <c r="R118" s="1285"/>
      <c r="S118" s="1286"/>
      <c r="T118" s="72" t="s">
        <v>9</v>
      </c>
      <c r="U118" s="1285"/>
      <c r="V118" s="1286"/>
      <c r="W118" s="72" t="s">
        <v>9</v>
      </c>
      <c r="X118" s="1285"/>
      <c r="Y118" s="1286"/>
      <c r="Z118" s="72" t="s">
        <v>9</v>
      </c>
      <c r="AA118" s="1285"/>
      <c r="AB118" s="1286"/>
      <c r="AC118" s="189"/>
      <c r="AD118" s="189"/>
      <c r="AE118" s="189"/>
    </row>
    <row r="119" spans="1:31" s="302" customFormat="1" x14ac:dyDescent="0.3">
      <c r="A119" s="183"/>
      <c r="B119" s="184"/>
      <c r="C119" s="184"/>
      <c r="D119" s="185"/>
      <c r="G119" s="795"/>
      <c r="I119" s="795"/>
      <c r="K119" s="156" t="s">
        <v>78</v>
      </c>
      <c r="L119" s="1285" t="s">
        <v>228</v>
      </c>
      <c r="M119" s="1286"/>
      <c r="N119" s="156" t="s">
        <v>78</v>
      </c>
      <c r="O119" s="1285" t="s">
        <v>228</v>
      </c>
      <c r="P119" s="1286"/>
      <c r="Q119" s="156" t="s">
        <v>78</v>
      </c>
      <c r="R119" s="1285" t="s">
        <v>228</v>
      </c>
      <c r="S119" s="1286"/>
      <c r="T119" s="156" t="s">
        <v>78</v>
      </c>
      <c r="U119" s="1285" t="s">
        <v>228</v>
      </c>
      <c r="V119" s="1286"/>
      <c r="W119" s="156" t="s">
        <v>78</v>
      </c>
      <c r="X119" s="1285" t="s">
        <v>228</v>
      </c>
      <c r="Y119" s="1286"/>
      <c r="Z119" s="156" t="s">
        <v>78</v>
      </c>
      <c r="AA119" s="1285" t="s">
        <v>228</v>
      </c>
      <c r="AB119" s="1286"/>
      <c r="AC119" s="189"/>
      <c r="AD119" s="189"/>
      <c r="AE119" s="189"/>
    </row>
    <row r="120" spans="1:31" s="302" customFormat="1" x14ac:dyDescent="0.3">
      <c r="A120" s="183"/>
      <c r="B120" s="184"/>
      <c r="C120" s="184"/>
      <c r="D120" s="185"/>
      <c r="G120" s="795"/>
      <c r="I120" s="795"/>
      <c r="K120" s="157" t="s">
        <v>8</v>
      </c>
      <c r="L120" s="1287"/>
      <c r="M120" s="1288"/>
      <c r="N120" s="157" t="s">
        <v>8</v>
      </c>
      <c r="O120" s="1287"/>
      <c r="P120" s="1288"/>
      <c r="Q120" s="157" t="s">
        <v>8</v>
      </c>
      <c r="R120" s="1285" t="s">
        <v>672</v>
      </c>
      <c r="S120" s="1286"/>
      <c r="T120" s="157" t="s">
        <v>8</v>
      </c>
      <c r="U120" s="1285" t="s">
        <v>672</v>
      </c>
      <c r="V120" s="1286"/>
      <c r="W120" s="157" t="s">
        <v>8</v>
      </c>
      <c r="X120" s="1285" t="s">
        <v>672</v>
      </c>
      <c r="Y120" s="1286"/>
      <c r="Z120" s="157" t="s">
        <v>8</v>
      </c>
      <c r="AA120" s="1285" t="s">
        <v>672</v>
      </c>
      <c r="AB120" s="1286"/>
      <c r="AC120" s="189"/>
      <c r="AD120" s="189"/>
      <c r="AE120" s="189"/>
    </row>
    <row r="121" spans="1:31" s="302" customFormat="1" x14ac:dyDescent="0.3">
      <c r="A121" s="183"/>
      <c r="B121" s="184"/>
      <c r="C121" s="184"/>
      <c r="D121" s="185" t="s">
        <v>75</v>
      </c>
      <c r="G121" s="795"/>
      <c r="I121" s="795"/>
      <c r="Z121" s="795"/>
      <c r="AA121" s="795"/>
      <c r="AB121" s="795"/>
    </row>
    <row r="122" spans="1:31" s="302" customFormat="1" x14ac:dyDescent="0.3">
      <c r="A122" s="183" t="s">
        <v>76</v>
      </c>
      <c r="B122" s="180"/>
      <c r="C122" s="180"/>
      <c r="D122" s="185" t="s">
        <v>77</v>
      </c>
      <c r="G122" s="795"/>
      <c r="I122" s="795"/>
      <c r="Z122" s="795"/>
      <c r="AA122" s="795"/>
      <c r="AB122" s="795"/>
    </row>
    <row r="123" spans="1:31" s="302" customFormat="1" ht="15.75" customHeight="1" x14ac:dyDescent="0.3">
      <c r="A123" s="183" t="s">
        <v>79</v>
      </c>
      <c r="B123" s="180"/>
      <c r="C123" s="180"/>
      <c r="D123" s="185" t="s">
        <v>80</v>
      </c>
      <c r="G123" s="795"/>
      <c r="I123" s="795"/>
      <c r="Z123" s="795"/>
      <c r="AA123" s="795"/>
      <c r="AB123" s="795"/>
    </row>
  </sheetData>
  <sheetProtection formatCells="0" formatColumns="0" formatRows="0" insertColumns="0" insertRows="0" insertHyperlinks="0" deleteColumns="0" deleteRows="0" sort="0" autoFilter="0" pivotTables="0"/>
  <mergeCells count="113">
    <mergeCell ref="C1:Y2"/>
    <mergeCell ref="A9:AE9"/>
    <mergeCell ref="A10:AE10"/>
    <mergeCell ref="B11:J11"/>
    <mergeCell ref="K11:M12"/>
    <mergeCell ref="AC1:AE1"/>
    <mergeCell ref="AC2:AE2"/>
    <mergeCell ref="A3:AE3"/>
    <mergeCell ref="A4:AE4"/>
    <mergeCell ref="A5:AE5"/>
    <mergeCell ref="A6:AE6"/>
    <mergeCell ref="A7:AE7"/>
    <mergeCell ref="A8:AE8"/>
    <mergeCell ref="N11:P12"/>
    <mergeCell ref="Q11:S12"/>
    <mergeCell ref="AC11:AE12"/>
    <mergeCell ref="W11:Y12"/>
    <mergeCell ref="Z11:AB12"/>
    <mergeCell ref="B34:B35"/>
    <mergeCell ref="J34:J35"/>
    <mergeCell ref="A26:A29"/>
    <mergeCell ref="B26:B29"/>
    <mergeCell ref="J26:J29"/>
    <mergeCell ref="A22:A25"/>
    <mergeCell ref="B22:B25"/>
    <mergeCell ref="J22:J25"/>
    <mergeCell ref="T11:V12"/>
    <mergeCell ref="B12:J12"/>
    <mergeCell ref="A14:A17"/>
    <mergeCell ref="B14:B17"/>
    <mergeCell ref="J14:J17"/>
    <mergeCell ref="A18:A21"/>
    <mergeCell ref="B18:B21"/>
    <mergeCell ref="J18:J21"/>
    <mergeCell ref="A30:A33"/>
    <mergeCell ref="B30:B33"/>
    <mergeCell ref="J30:J33"/>
    <mergeCell ref="A34:A35"/>
    <mergeCell ref="A44:A47"/>
    <mergeCell ref="B44:B47"/>
    <mergeCell ref="J44:J47"/>
    <mergeCell ref="A48:A51"/>
    <mergeCell ref="B48:B51"/>
    <mergeCell ref="J48:J51"/>
    <mergeCell ref="A36:A39"/>
    <mergeCell ref="B36:B39"/>
    <mergeCell ref="J36:J39"/>
    <mergeCell ref="A40:A43"/>
    <mergeCell ref="B40:B43"/>
    <mergeCell ref="J40:J43"/>
    <mergeCell ref="A58:A61"/>
    <mergeCell ref="B58:B61"/>
    <mergeCell ref="J58:J61"/>
    <mergeCell ref="A62:A65"/>
    <mergeCell ref="B62:B65"/>
    <mergeCell ref="J62:J65"/>
    <mergeCell ref="A52:A55"/>
    <mergeCell ref="B52:B55"/>
    <mergeCell ref="J52:J55"/>
    <mergeCell ref="A56:A57"/>
    <mergeCell ref="B56:B57"/>
    <mergeCell ref="J56:J57"/>
    <mergeCell ref="A74:A75"/>
    <mergeCell ref="B74:B75"/>
    <mergeCell ref="J74:J75"/>
    <mergeCell ref="A76:A79"/>
    <mergeCell ref="B76:B79"/>
    <mergeCell ref="J76:J79"/>
    <mergeCell ref="A66:A69"/>
    <mergeCell ref="B66:B69"/>
    <mergeCell ref="J66:J69"/>
    <mergeCell ref="A70:A73"/>
    <mergeCell ref="B70:B73"/>
    <mergeCell ref="J70:J73"/>
    <mergeCell ref="A88:A91"/>
    <mergeCell ref="B88:B91"/>
    <mergeCell ref="J88:J91"/>
    <mergeCell ref="A92:A93"/>
    <mergeCell ref="B92:B93"/>
    <mergeCell ref="J92:J93"/>
    <mergeCell ref="A80:A83"/>
    <mergeCell ref="B80:B83"/>
    <mergeCell ref="J80:J83"/>
    <mergeCell ref="A84:A87"/>
    <mergeCell ref="B84:B87"/>
    <mergeCell ref="J84:J87"/>
    <mergeCell ref="A98:A100"/>
    <mergeCell ref="B98:B100"/>
    <mergeCell ref="J98:J100"/>
    <mergeCell ref="L118:M118"/>
    <mergeCell ref="O118:P118"/>
    <mergeCell ref="R118:S118"/>
    <mergeCell ref="A94:A95"/>
    <mergeCell ref="B94:B95"/>
    <mergeCell ref="J94:J95"/>
    <mergeCell ref="A96:A97"/>
    <mergeCell ref="B96:B97"/>
    <mergeCell ref="J96:J97"/>
    <mergeCell ref="AA118:AB118"/>
    <mergeCell ref="AA119:AB119"/>
    <mergeCell ref="AA120:AB120"/>
    <mergeCell ref="U118:V118"/>
    <mergeCell ref="U119:V119"/>
    <mergeCell ref="U120:V120"/>
    <mergeCell ref="L119:M119"/>
    <mergeCell ref="O119:P119"/>
    <mergeCell ref="R119:S119"/>
    <mergeCell ref="L120:M120"/>
    <mergeCell ref="O120:P120"/>
    <mergeCell ref="R120:S120"/>
    <mergeCell ref="X118:Y118"/>
    <mergeCell ref="X119:Y119"/>
    <mergeCell ref="X120:Y120"/>
  </mergeCells>
  <pageMargins left="0.70866141732283472" right="0.70866141732283472" top="0.74803149606299213" bottom="0.74803149606299213" header="0.31496062992125984" footer="0.31496062992125984"/>
  <pageSetup scale="44" orientation="landscape" r:id="rId1"/>
  <rowBreaks count="2" manualBreakCount="2">
    <brk id="39" max="16383" man="1"/>
    <brk id="65" max="16383" man="1"/>
  </rowBreaks>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tabColor theme="1"/>
  </sheetPr>
  <dimension ref="A1:G49"/>
  <sheetViews>
    <sheetView zoomScaleNormal="100" workbookViewId="0">
      <selection activeCell="F33" sqref="F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f>
        <v>Proyecto: CDIM_CBSGSM_R0071 REPOSICIÓN DE PROTECCIONES EN SE AT-MT, Planos As-Built Cambio Protecciones - SE MORATO</v>
      </c>
      <c r="C5" s="1281"/>
      <c r="D5" s="1281"/>
      <c r="E5" s="1281"/>
      <c r="F5" s="1281"/>
      <c r="G5" s="1282"/>
    </row>
    <row r="6" spans="1:7" x14ac:dyDescent="0.25">
      <c r="A6" s="1177"/>
      <c r="B6" s="1177"/>
      <c r="C6" s="1177"/>
      <c r="D6" s="1177"/>
      <c r="E6" s="1177"/>
      <c r="F6" s="1177"/>
      <c r="G6" s="1177"/>
    </row>
    <row r="7" spans="1:7" x14ac:dyDescent="0.25">
      <c r="A7" s="271" t="s">
        <v>0</v>
      </c>
      <c r="B7" s="1264" t="str">
        <f>RESUMEN!B15</f>
        <v>D00234809</v>
      </c>
      <c r="C7" s="1265"/>
      <c r="D7" s="1177"/>
      <c r="E7" s="1266" t="s">
        <v>627</v>
      </c>
      <c r="F7" s="1267"/>
      <c r="G7" s="280" t="str">
        <f>RESUMEN!E15</f>
        <v>17-047</v>
      </c>
    </row>
    <row r="8" spans="1:7" x14ac:dyDescent="0.25">
      <c r="A8" s="271" t="s">
        <v>628</v>
      </c>
      <c r="B8" s="1264" t="str">
        <f>RESUMEN!C15</f>
        <v>D00234809000</v>
      </c>
      <c r="C8" s="1265"/>
      <c r="D8" s="1177"/>
      <c r="E8" s="1266" t="s">
        <v>629</v>
      </c>
      <c r="F8" s="1267"/>
      <c r="G8" s="280" t="str">
        <f>RESUMEN!U15</f>
        <v>Acta N° 2: Marzo</v>
      </c>
    </row>
    <row r="9" spans="1:7" x14ac:dyDescent="0.25">
      <c r="A9" s="271" t="s">
        <v>630</v>
      </c>
      <c r="B9" s="1283" t="s">
        <v>631</v>
      </c>
      <c r="C9" s="1265"/>
      <c r="D9" s="1177"/>
      <c r="E9" s="1266" t="s">
        <v>632</v>
      </c>
      <c r="F9" s="1267"/>
      <c r="G9" s="1178">
        <f>RESUMEN!H15</f>
        <v>6339336</v>
      </c>
    </row>
    <row r="10" spans="1:7" x14ac:dyDescent="0.25">
      <c r="A10" s="271" t="s">
        <v>633</v>
      </c>
      <c r="B10" s="1283" t="str">
        <f>RESUMEN!D15</f>
        <v>MORATO AS BUILT</v>
      </c>
      <c r="C10" s="1265"/>
      <c r="D10" s="1177"/>
      <c r="E10" s="1266" t="s">
        <v>634</v>
      </c>
      <c r="F10" s="1267"/>
      <c r="G10" s="1178">
        <f>RESUMEN!R15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CDIM_CBSGSM_R0071 REPOSICIÓN DE PROTECCIONES EN SE AT-MT, Planos As-Built Cambio Protecciones - SE MORATO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f>
        <v>0</v>
      </c>
      <c r="F19" s="1248"/>
      <c r="G19" s="1177"/>
    </row>
    <row r="20" spans="1:7" ht="27" customHeight="1" x14ac:dyDescent="0.25">
      <c r="A20" s="1177"/>
      <c r="B20" s="1244" t="s">
        <v>1498</v>
      </c>
      <c r="C20" s="1245"/>
      <c r="D20" s="1246"/>
      <c r="E20" s="1247">
        <f>RESUMEN!P15</f>
        <v>0</v>
      </c>
      <c r="F20" s="1248"/>
      <c r="G20" s="1177"/>
    </row>
    <row r="21" spans="1:7" ht="27" customHeight="1" x14ac:dyDescent="0.25">
      <c r="A21" s="1177"/>
      <c r="B21" s="1244" t="s">
        <v>1499</v>
      </c>
      <c r="C21" s="1245"/>
      <c r="D21" s="1246"/>
      <c r="E21" s="1247">
        <f>RESUMEN!Q15</f>
        <v>0</v>
      </c>
      <c r="F21" s="1248"/>
      <c r="G21" s="1177"/>
    </row>
    <row r="22" spans="1:7" x14ac:dyDescent="0.25">
      <c r="A22" s="1177"/>
      <c r="B22" s="1254" t="s">
        <v>64</v>
      </c>
      <c r="C22" s="1254"/>
      <c r="D22" s="1254"/>
      <c r="E22" s="1255">
        <f>RESUMEN!R15</f>
        <v>0</v>
      </c>
      <c r="F22" s="1255"/>
      <c r="G22" s="1177"/>
    </row>
    <row r="23" spans="1:7" x14ac:dyDescent="0.25">
      <c r="A23" s="1177"/>
      <c r="B23" s="1256" t="s">
        <v>66</v>
      </c>
      <c r="C23" s="1256"/>
      <c r="D23" s="1256"/>
      <c r="E23" s="1257">
        <f>RESUMEN!S15</f>
        <v>0</v>
      </c>
      <c r="F23" s="1257"/>
      <c r="G23" s="1177"/>
    </row>
    <row r="24" spans="1:7" x14ac:dyDescent="0.25">
      <c r="A24" s="1177"/>
      <c r="B24" s="1258" t="s">
        <v>1</v>
      </c>
      <c r="C24" s="1258"/>
      <c r="D24" s="1258"/>
      <c r="E24" s="1259">
        <f>RESUMEN!T15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+'OT-047 MORATO AS BUILT'!N68</f>
        <v>ACTA 1</v>
      </c>
      <c r="C28" s="1253">
        <f>+'OT-047 MORATO AS BUILT'!O68</f>
        <v>5332980</v>
      </c>
      <c r="D28" s="1253"/>
      <c r="E28" s="267">
        <f>+'OT-047 MORATO AS BUILT'!P68</f>
        <v>0.84125214375764279</v>
      </c>
      <c r="F28" s="1177"/>
      <c r="G28" s="1177"/>
    </row>
    <row r="29" spans="1:7" x14ac:dyDescent="0.25">
      <c r="A29" s="1177"/>
      <c r="B29" s="280" t="str">
        <f>+'OT-047 MORATO AS BUILT'!N69</f>
        <v>ACTA 2</v>
      </c>
      <c r="C29" s="1253">
        <f>+'OT-047 MORATO AS BUILT'!O69</f>
        <v>0</v>
      </c>
      <c r="D29" s="1253"/>
      <c r="E29" s="267">
        <f>+'OT-047 MORATO AS BUILT'!P69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5332980</v>
      </c>
      <c r="D34" s="1251"/>
      <c r="E34" s="264">
        <f>SUM(E28:E33)</f>
        <v>0.84125214375764279</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tabColor theme="9" tint="-0.249977111117893"/>
  </sheetPr>
  <dimension ref="A1:AB76"/>
  <sheetViews>
    <sheetView topLeftCell="A43" zoomScale="55" zoomScaleNormal="55" workbookViewId="0">
      <selection activeCell="O51" sqref="O51"/>
    </sheetView>
  </sheetViews>
  <sheetFormatPr baseColWidth="10" defaultColWidth="11.44140625" defaultRowHeight="14.4" x14ac:dyDescent="0.3"/>
  <cols>
    <col min="1" max="1" width="17.33203125" style="302" customWidth="1"/>
    <col min="2" max="2" width="24.88671875" style="302" customWidth="1"/>
    <col min="3" max="3" width="32.109375" style="302" customWidth="1"/>
    <col min="4" max="4" width="23" style="302" customWidth="1"/>
    <col min="5" max="5" width="10.5546875" style="302" bestFit="1" customWidth="1"/>
    <col min="6" max="6" width="17.88671875" style="302" bestFit="1" customWidth="1"/>
    <col min="7" max="7" width="17.88671875" style="795" customWidth="1"/>
    <col min="8" max="8" width="16" style="302" bestFit="1" customWidth="1"/>
    <col min="9" max="9" width="16" style="795" customWidth="1"/>
    <col min="10" max="10" width="40.33203125" style="302" customWidth="1"/>
    <col min="11" max="11" width="17.88671875" style="302" hidden="1" customWidth="1"/>
    <col min="12" max="12" width="18" style="302" hidden="1" customWidth="1"/>
    <col min="13" max="13" width="11.44140625" style="302" hidden="1" customWidth="1"/>
    <col min="14" max="14" width="17.88671875" style="302" bestFit="1" customWidth="1"/>
    <col min="15" max="15" width="18" style="302" bestFit="1" customWidth="1"/>
    <col min="16" max="16" width="11.44140625" style="302"/>
    <col min="17" max="17" width="17.88671875" style="302" bestFit="1" customWidth="1"/>
    <col min="18" max="18" width="22.21875" style="302" customWidth="1"/>
    <col min="19" max="16384" width="11.44140625" style="302"/>
  </cols>
  <sheetData>
    <row r="1" spans="1:19" ht="14.25" customHeight="1" thickBot="1" x14ac:dyDescent="0.35">
      <c r="A1" s="169"/>
      <c r="B1" s="188"/>
      <c r="C1" s="1307" t="s">
        <v>40</v>
      </c>
      <c r="D1" s="1308"/>
      <c r="E1" s="1308"/>
      <c r="F1" s="1308"/>
      <c r="G1" s="1308"/>
      <c r="H1" s="1308"/>
      <c r="I1" s="1308"/>
      <c r="J1" s="1308"/>
      <c r="K1" s="1308"/>
      <c r="L1" s="1308"/>
      <c r="M1" s="1308"/>
      <c r="N1" s="1308"/>
      <c r="O1" s="1308"/>
      <c r="P1" s="1309"/>
      <c r="Q1" s="1328" t="s">
        <v>857</v>
      </c>
      <c r="R1" s="1303"/>
      <c r="S1" s="1304"/>
    </row>
    <row r="2" spans="1:19"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1007</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1008</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373"/>
      <c r="B11" s="1318"/>
      <c r="C11" s="1320"/>
      <c r="D11" s="1320"/>
      <c r="E11" s="1320"/>
      <c r="F11" s="1320"/>
      <c r="G11" s="1320"/>
      <c r="H11" s="1320"/>
      <c r="I11" s="1320"/>
      <c r="J11" s="1320"/>
      <c r="K11" s="1293" t="s">
        <v>46</v>
      </c>
      <c r="L11" s="1294"/>
      <c r="M11" s="1295"/>
      <c r="N11" s="1293" t="s">
        <v>2324</v>
      </c>
      <c r="O11" s="1294"/>
      <c r="P11" s="1295"/>
      <c r="Q11" s="1299" t="s">
        <v>49</v>
      </c>
      <c r="R11" s="1299"/>
      <c r="S11" s="1299"/>
    </row>
    <row r="12" spans="1:19" ht="13.5" customHeight="1" x14ac:dyDescent="0.3">
      <c r="A12" s="171"/>
      <c r="B12" s="1318"/>
      <c r="C12" s="1319"/>
      <c r="D12" s="1319"/>
      <c r="E12" s="1319"/>
      <c r="F12" s="1319"/>
      <c r="G12" s="1319"/>
      <c r="H12" s="1319"/>
      <c r="I12" s="1319"/>
      <c r="J12" s="1319"/>
      <c r="K12" s="1325"/>
      <c r="L12" s="1326"/>
      <c r="M12" s="1327"/>
      <c r="N12" s="1325"/>
      <c r="O12" s="1326"/>
      <c r="P12" s="1327"/>
      <c r="Q12" s="1300"/>
      <c r="R12" s="1300"/>
      <c r="S12" s="1300"/>
    </row>
    <row r="13" spans="1:19" ht="28.8" x14ac:dyDescent="0.3">
      <c r="A13" s="159" t="s">
        <v>50</v>
      </c>
      <c r="B13" s="159" t="s">
        <v>51</v>
      </c>
      <c r="C13" s="159" t="s">
        <v>52</v>
      </c>
      <c r="D13" s="159" t="s">
        <v>164</v>
      </c>
      <c r="E13" s="159" t="s">
        <v>54</v>
      </c>
      <c r="F13" s="141" t="s">
        <v>55</v>
      </c>
      <c r="G13" s="823" t="s">
        <v>2007</v>
      </c>
      <c r="H13" s="159" t="s">
        <v>56</v>
      </c>
      <c r="I13" s="824" t="s">
        <v>56</v>
      </c>
      <c r="J13" s="159" t="s">
        <v>57</v>
      </c>
      <c r="K13" s="209" t="s">
        <v>54</v>
      </c>
      <c r="L13" s="210" t="s">
        <v>55</v>
      </c>
      <c r="M13" s="209" t="s">
        <v>58</v>
      </c>
      <c r="N13" s="209" t="s">
        <v>54</v>
      </c>
      <c r="O13" s="210" t="s">
        <v>55</v>
      </c>
      <c r="P13" s="209" t="s">
        <v>58</v>
      </c>
      <c r="Q13" s="209" t="s">
        <v>54</v>
      </c>
      <c r="R13" s="210" t="s">
        <v>55</v>
      </c>
      <c r="S13" s="209" t="s">
        <v>58</v>
      </c>
    </row>
    <row r="14" spans="1:19" ht="28.8" x14ac:dyDescent="0.3">
      <c r="A14" s="1289" t="s">
        <v>201</v>
      </c>
      <c r="B14" s="1289" t="s">
        <v>987</v>
      </c>
      <c r="C14" s="372" t="s">
        <v>83</v>
      </c>
      <c r="D14" s="372" t="s">
        <v>687</v>
      </c>
      <c r="E14" s="372">
        <v>0.05</v>
      </c>
      <c r="F14" s="32">
        <v>2228604</v>
      </c>
      <c r="G14" s="32">
        <f>+ROUND(F14*1.051,0)</f>
        <v>2342263</v>
      </c>
      <c r="H14" s="32">
        <f>ROUND((E14*F14),0)</f>
        <v>111430</v>
      </c>
      <c r="I14" s="32">
        <f>+ROUND(G14*E14,0)</f>
        <v>117113</v>
      </c>
      <c r="J14" s="1289" t="s">
        <v>988</v>
      </c>
      <c r="K14" s="406">
        <v>0</v>
      </c>
      <c r="L14" s="194">
        <f>ROUND(K14*$F$14,0)</f>
        <v>0</v>
      </c>
      <c r="M14" s="195">
        <f>L14/$H$14</f>
        <v>0</v>
      </c>
      <c r="N14" s="432">
        <v>0</v>
      </c>
      <c r="O14" s="425">
        <f>ROUND(N14*$G$14,0)</f>
        <v>0</v>
      </c>
      <c r="P14" s="426">
        <f>O14/I14</f>
        <v>0</v>
      </c>
      <c r="Q14" s="149">
        <f>K14+N14</f>
        <v>0</v>
      </c>
      <c r="R14" s="175">
        <f>L14+O14</f>
        <v>0</v>
      </c>
      <c r="S14" s="176">
        <f>R14/I14</f>
        <v>0</v>
      </c>
    </row>
    <row r="15" spans="1:19" ht="28.8" x14ac:dyDescent="0.3">
      <c r="A15" s="1289"/>
      <c r="B15" s="1289"/>
      <c r="C15" s="372" t="s">
        <v>61</v>
      </c>
      <c r="D15" s="372" t="s">
        <v>688</v>
      </c>
      <c r="E15" s="372">
        <v>0.05</v>
      </c>
      <c r="F15" s="32">
        <v>11874281</v>
      </c>
      <c r="G15" s="32">
        <f>+ROUND(F15*1.051,0)</f>
        <v>12479869</v>
      </c>
      <c r="H15" s="32">
        <f>ROUND((E15*F15),0)</f>
        <v>593714</v>
      </c>
      <c r="I15" s="32">
        <f>+ROUND(G15*E15,0)</f>
        <v>623993</v>
      </c>
      <c r="J15" s="1289"/>
      <c r="K15" s="402">
        <v>0.05</v>
      </c>
      <c r="L15" s="396">
        <f>ROUND(K15*$F$15,0)</f>
        <v>593714</v>
      </c>
      <c r="M15" s="397">
        <f>L15/$H$15</f>
        <v>1</v>
      </c>
      <c r="N15" s="432">
        <v>0</v>
      </c>
      <c r="O15" s="425">
        <f>ROUND(N15*$G$15,0)</f>
        <v>0</v>
      </c>
      <c r="P15" s="426">
        <f>O15/I15</f>
        <v>0</v>
      </c>
      <c r="Q15" s="416">
        <f>K15+N15</f>
        <v>0.05</v>
      </c>
      <c r="R15" s="175">
        <f>L15+O15</f>
        <v>593714</v>
      </c>
      <c r="S15" s="176">
        <f t="shared" ref="S15:S57" si="0">R15/H15</f>
        <v>1</v>
      </c>
    </row>
    <row r="16" spans="1:19" x14ac:dyDescent="0.3">
      <c r="A16" s="1289"/>
      <c r="B16" s="1289"/>
      <c r="C16" s="377"/>
      <c r="D16" s="377" t="s">
        <v>689</v>
      </c>
      <c r="E16" s="378"/>
      <c r="F16" s="378"/>
      <c r="G16" s="378"/>
      <c r="H16" s="379">
        <f>SUM(H14:H15)</f>
        <v>705144</v>
      </c>
      <c r="I16" s="379">
        <f>SUM(I14:I15)</f>
        <v>741106</v>
      </c>
      <c r="J16" s="1289"/>
      <c r="K16" s="405"/>
      <c r="L16" s="307">
        <f>SUM(L14:L15)</f>
        <v>593714</v>
      </c>
      <c r="M16" s="308">
        <f>L16/$H$16</f>
        <v>0.84197553974790962</v>
      </c>
      <c r="N16" s="428"/>
      <c r="O16" s="307">
        <f>SUM(O14:O15)</f>
        <v>0</v>
      </c>
      <c r="P16" s="431">
        <f>O16/$H$16</f>
        <v>0</v>
      </c>
      <c r="Q16" s="306"/>
      <c r="R16" s="307">
        <f t="shared" ref="R16:R57" si="1">L16+O16</f>
        <v>593714</v>
      </c>
      <c r="S16" s="308">
        <f t="shared" si="0"/>
        <v>0.84197553974790962</v>
      </c>
    </row>
    <row r="17" spans="1:19" ht="28.8" x14ac:dyDescent="0.3">
      <c r="A17" s="1289" t="s">
        <v>989</v>
      </c>
      <c r="B17" s="1289" t="s">
        <v>990</v>
      </c>
      <c r="C17" s="372" t="s">
        <v>83</v>
      </c>
      <c r="D17" s="372" t="s">
        <v>123</v>
      </c>
      <c r="E17" s="372">
        <v>0.05</v>
      </c>
      <c r="F17" s="32">
        <v>1044658</v>
      </c>
      <c r="G17" s="32">
        <f t="shared" ref="G17:G18" si="2">+ROUND(F17*1.051,0)</f>
        <v>1097936</v>
      </c>
      <c r="H17" s="32">
        <f>ROUND((E17*F17),0)</f>
        <v>52233</v>
      </c>
      <c r="I17" s="32">
        <f t="shared" ref="I17:I18" si="3">+ROUND(G17*E17,0)</f>
        <v>54897</v>
      </c>
      <c r="J17" s="1289" t="s">
        <v>988</v>
      </c>
      <c r="K17" s="406">
        <v>0</v>
      </c>
      <c r="L17" s="194">
        <f>ROUND(K17*$F$17,0)</f>
        <v>0</v>
      </c>
      <c r="M17" s="195">
        <f>L17/$H$17</f>
        <v>0</v>
      </c>
      <c r="N17" s="432">
        <v>0</v>
      </c>
      <c r="O17" s="425">
        <f>ROUND(N17*$G$17,0)</f>
        <v>0</v>
      </c>
      <c r="P17" s="426">
        <f t="shared" ref="P17:P18" si="4">O17/I17</f>
        <v>0</v>
      </c>
      <c r="Q17" s="416">
        <f>K17+N17</f>
        <v>0</v>
      </c>
      <c r="R17" s="175">
        <f t="shared" si="1"/>
        <v>0</v>
      </c>
      <c r="S17" s="176">
        <f>R17/I17</f>
        <v>0</v>
      </c>
    </row>
    <row r="18" spans="1:19" ht="28.8" x14ac:dyDescent="0.3">
      <c r="A18" s="1289"/>
      <c r="B18" s="1289"/>
      <c r="C18" s="372" t="s">
        <v>61</v>
      </c>
      <c r="D18" s="372" t="s">
        <v>125</v>
      </c>
      <c r="E18" s="372">
        <v>0.05</v>
      </c>
      <c r="F18" s="32">
        <v>1009836</v>
      </c>
      <c r="G18" s="32">
        <f t="shared" si="2"/>
        <v>1061338</v>
      </c>
      <c r="H18" s="32">
        <f>ROUND((E18*F18),0)</f>
        <v>50492</v>
      </c>
      <c r="I18" s="32">
        <f t="shared" si="3"/>
        <v>53067</v>
      </c>
      <c r="J18" s="1289"/>
      <c r="K18" s="402">
        <v>0.05</v>
      </c>
      <c r="L18" s="403">
        <f>ROUND(K18*$F$18,0)</f>
        <v>50492</v>
      </c>
      <c r="M18" s="404">
        <f>L18/$H$18</f>
        <v>1</v>
      </c>
      <c r="N18" s="432">
        <v>0</v>
      </c>
      <c r="O18" s="425">
        <f>ROUND(N18*$G$18,0)</f>
        <v>0</v>
      </c>
      <c r="P18" s="426">
        <f t="shared" si="4"/>
        <v>0</v>
      </c>
      <c r="Q18" s="416">
        <f>K18+N18</f>
        <v>0.05</v>
      </c>
      <c r="R18" s="175">
        <f t="shared" si="1"/>
        <v>50492</v>
      </c>
      <c r="S18" s="176">
        <f t="shared" si="0"/>
        <v>1</v>
      </c>
    </row>
    <row r="19" spans="1:19" x14ac:dyDescent="0.3">
      <c r="A19" s="1289"/>
      <c r="B19" s="1289"/>
      <c r="C19" s="377"/>
      <c r="D19" s="377" t="s">
        <v>126</v>
      </c>
      <c r="E19" s="378"/>
      <c r="F19" s="378"/>
      <c r="G19" s="378"/>
      <c r="H19" s="379">
        <f>SUM(H17:H18)</f>
        <v>102725</v>
      </c>
      <c r="I19" s="379">
        <f>SUM(I17:I18)</f>
        <v>107964</v>
      </c>
      <c r="J19" s="1289"/>
      <c r="K19" s="405"/>
      <c r="L19" s="307">
        <f>SUM(L17:L18)</f>
        <v>50492</v>
      </c>
      <c r="M19" s="308">
        <f>L19/$H$19</f>
        <v>0.49152591871501583</v>
      </c>
      <c r="N19" s="428"/>
      <c r="O19" s="307">
        <f>SUM(O17:O18)</f>
        <v>0</v>
      </c>
      <c r="P19" s="431">
        <f>O19/$H$19</f>
        <v>0</v>
      </c>
      <c r="Q19" s="306"/>
      <c r="R19" s="307">
        <f t="shared" si="1"/>
        <v>50492</v>
      </c>
      <c r="S19" s="308">
        <f t="shared" si="0"/>
        <v>0.49152591871501583</v>
      </c>
    </row>
    <row r="20" spans="1:19" ht="28.8" x14ac:dyDescent="0.3">
      <c r="A20" s="1289" t="s">
        <v>991</v>
      </c>
      <c r="B20" s="1289" t="s">
        <v>992</v>
      </c>
      <c r="C20" s="372" t="s">
        <v>83</v>
      </c>
      <c r="D20" s="372" t="s">
        <v>993</v>
      </c>
      <c r="E20" s="372">
        <v>0.05</v>
      </c>
      <c r="F20" s="32">
        <v>2228604</v>
      </c>
      <c r="G20" s="32">
        <f t="shared" ref="G20:G21" si="5">+ROUND(F20*1.051,0)</f>
        <v>2342263</v>
      </c>
      <c r="H20" s="32">
        <f>ROUND((E20*F20),0)</f>
        <v>111430</v>
      </c>
      <c r="I20" s="32">
        <f t="shared" ref="I20:I21" si="6">+ROUND(G20*E20,0)</f>
        <v>117113</v>
      </c>
      <c r="J20" s="1289" t="s">
        <v>988</v>
      </c>
      <c r="K20" s="406">
        <v>0</v>
      </c>
      <c r="L20" s="194">
        <f>ROUND(K20*$F$20,0)</f>
        <v>0</v>
      </c>
      <c r="M20" s="195">
        <f>L20/$H$20</f>
        <v>0</v>
      </c>
      <c r="N20" s="432">
        <v>0</v>
      </c>
      <c r="O20" s="425">
        <f>ROUND(N20*$G$20,0)</f>
        <v>0</v>
      </c>
      <c r="P20" s="426">
        <f t="shared" ref="P20:P21" si="7">O20/I20</f>
        <v>0</v>
      </c>
      <c r="Q20" s="416">
        <f>K20+N20</f>
        <v>0</v>
      </c>
      <c r="R20" s="175">
        <f t="shared" si="1"/>
        <v>0</v>
      </c>
      <c r="S20" s="176">
        <f>R20/I20</f>
        <v>0</v>
      </c>
    </row>
    <row r="21" spans="1:19" ht="28.8" x14ac:dyDescent="0.3">
      <c r="A21" s="1289"/>
      <c r="B21" s="1289"/>
      <c r="C21" s="372" t="s">
        <v>61</v>
      </c>
      <c r="D21" s="372" t="s">
        <v>994</v>
      </c>
      <c r="E21" s="372">
        <v>0.05</v>
      </c>
      <c r="F21" s="32">
        <v>23783383</v>
      </c>
      <c r="G21" s="32">
        <f t="shared" si="5"/>
        <v>24996336</v>
      </c>
      <c r="H21" s="32">
        <f>ROUND((E21*F21),0)</f>
        <v>1189169</v>
      </c>
      <c r="I21" s="32">
        <f t="shared" si="6"/>
        <v>1249817</v>
      </c>
      <c r="J21" s="1289"/>
      <c r="K21" s="402">
        <v>0.05</v>
      </c>
      <c r="L21" s="403">
        <f>ROUND(K21*$F$21,0)</f>
        <v>1189169</v>
      </c>
      <c r="M21" s="404">
        <f>L21/$H$21</f>
        <v>1</v>
      </c>
      <c r="N21" s="432">
        <v>0</v>
      </c>
      <c r="O21" s="425">
        <f>ROUND(N21*$G$21,0)</f>
        <v>0</v>
      </c>
      <c r="P21" s="426">
        <f t="shared" si="7"/>
        <v>0</v>
      </c>
      <c r="Q21" s="416">
        <f>K21+N21</f>
        <v>0.05</v>
      </c>
      <c r="R21" s="175">
        <f t="shared" si="1"/>
        <v>1189169</v>
      </c>
      <c r="S21" s="176">
        <f t="shared" si="0"/>
        <v>1</v>
      </c>
    </row>
    <row r="22" spans="1:19" x14ac:dyDescent="0.3">
      <c r="A22" s="1289"/>
      <c r="B22" s="1289"/>
      <c r="C22" s="377"/>
      <c r="D22" s="377" t="s">
        <v>995</v>
      </c>
      <c r="E22" s="378"/>
      <c r="F22" s="378"/>
      <c r="G22" s="378"/>
      <c r="H22" s="379">
        <f>SUM(H20:H21)</f>
        <v>1300599</v>
      </c>
      <c r="I22" s="379">
        <f>SUM(I20:I21)</f>
        <v>1366930</v>
      </c>
      <c r="J22" s="1289"/>
      <c r="K22" s="405"/>
      <c r="L22" s="307">
        <f>SUM(L20:L21)</f>
        <v>1189169</v>
      </c>
      <c r="M22" s="308">
        <f>L22/$H$22</f>
        <v>0.91432409220674471</v>
      </c>
      <c r="N22" s="428"/>
      <c r="O22" s="307">
        <f>SUM(O20:O21)</f>
        <v>0</v>
      </c>
      <c r="P22" s="431">
        <f>O22/$H$22</f>
        <v>0</v>
      </c>
      <c r="Q22" s="306"/>
      <c r="R22" s="307">
        <f t="shared" si="1"/>
        <v>1189169</v>
      </c>
      <c r="S22" s="308">
        <f t="shared" si="0"/>
        <v>0.91432409220674471</v>
      </c>
    </row>
    <row r="23" spans="1:19" ht="30" customHeight="1" x14ac:dyDescent="0.3">
      <c r="A23" s="1289" t="s">
        <v>991</v>
      </c>
      <c r="B23" s="1289" t="s">
        <v>996</v>
      </c>
      <c r="C23" s="372" t="s">
        <v>160</v>
      </c>
      <c r="D23" s="372" t="s">
        <v>161</v>
      </c>
      <c r="E23" s="372">
        <v>10.4</v>
      </c>
      <c r="F23" s="32">
        <v>69644</v>
      </c>
      <c r="G23" s="32">
        <f>+ROUND(F23*1.051,0)</f>
        <v>73196</v>
      </c>
      <c r="H23" s="32">
        <f>ROUND((E23*F23),0)</f>
        <v>724298</v>
      </c>
      <c r="I23" s="32">
        <f>+ROUND(G23*E23,0)</f>
        <v>761238</v>
      </c>
      <c r="J23" s="1289" t="s">
        <v>997</v>
      </c>
      <c r="K23" s="402">
        <v>10.4</v>
      </c>
      <c r="L23" s="403">
        <f>ROUND(K23*$F$23,0)</f>
        <v>724298</v>
      </c>
      <c r="M23" s="404">
        <f>L23/$H$23</f>
        <v>1</v>
      </c>
      <c r="N23" s="432">
        <v>0</v>
      </c>
      <c r="O23" s="425">
        <f>ROUND(N23*$G$23,0)</f>
        <v>0</v>
      </c>
      <c r="P23" s="426">
        <f>O23/I23</f>
        <v>0</v>
      </c>
      <c r="Q23" s="416">
        <f>K23+N23</f>
        <v>10.4</v>
      </c>
      <c r="R23" s="175">
        <f t="shared" si="1"/>
        <v>724298</v>
      </c>
      <c r="S23" s="176">
        <f t="shared" si="0"/>
        <v>1</v>
      </c>
    </row>
    <row r="24" spans="1:19" x14ac:dyDescent="0.3">
      <c r="A24" s="1289"/>
      <c r="B24" s="1289"/>
      <c r="C24" s="377"/>
      <c r="D24" s="377" t="s">
        <v>162</v>
      </c>
      <c r="E24" s="378"/>
      <c r="F24" s="378"/>
      <c r="G24" s="378"/>
      <c r="H24" s="379">
        <f>H23</f>
        <v>724298</v>
      </c>
      <c r="I24" s="379">
        <f>SUM(I23)</f>
        <v>761238</v>
      </c>
      <c r="J24" s="1289"/>
      <c r="K24" s="405"/>
      <c r="L24" s="307">
        <f>SUM(L23)</f>
        <v>724298</v>
      </c>
      <c r="M24" s="308">
        <f>L24/$H$24</f>
        <v>1</v>
      </c>
      <c r="N24" s="428"/>
      <c r="O24" s="307">
        <f>SUM(O23)</f>
        <v>0</v>
      </c>
      <c r="P24" s="431">
        <f>O24/$H$24</f>
        <v>0</v>
      </c>
      <c r="Q24" s="306"/>
      <c r="R24" s="307">
        <f t="shared" si="1"/>
        <v>724298</v>
      </c>
      <c r="S24" s="308">
        <f t="shared" si="0"/>
        <v>1</v>
      </c>
    </row>
    <row r="25" spans="1:19" ht="28.8" x14ac:dyDescent="0.3">
      <c r="A25" s="1289" t="s">
        <v>998</v>
      </c>
      <c r="B25" s="1289" t="s">
        <v>990</v>
      </c>
      <c r="C25" s="372" t="s">
        <v>83</v>
      </c>
      <c r="D25" s="372" t="s">
        <v>123</v>
      </c>
      <c r="E25" s="372">
        <v>0.05</v>
      </c>
      <c r="F25" s="32">
        <v>1044658</v>
      </c>
      <c r="G25" s="32">
        <f t="shared" ref="G25:G26" si="8">+ROUND(F25*1.051,0)</f>
        <v>1097936</v>
      </c>
      <c r="H25" s="32">
        <f>ROUND((E25*F25),0)</f>
        <v>52233</v>
      </c>
      <c r="I25" s="32">
        <f t="shared" ref="I25:I26" si="9">+ROUND(G25*E25,0)</f>
        <v>54897</v>
      </c>
      <c r="J25" s="1289" t="s">
        <v>988</v>
      </c>
      <c r="K25" s="406">
        <v>0</v>
      </c>
      <c r="L25" s="194">
        <f>ROUND(K25*$F$25,0)</f>
        <v>0</v>
      </c>
      <c r="M25" s="195">
        <f>L25/$H$25</f>
        <v>0</v>
      </c>
      <c r="N25" s="432">
        <v>0</v>
      </c>
      <c r="O25" s="425">
        <f>ROUND(N25*$G$25,0)</f>
        <v>0</v>
      </c>
      <c r="P25" s="426">
        <f t="shared" ref="P25:P26" si="10">O25/I25</f>
        <v>0</v>
      </c>
      <c r="Q25" s="416">
        <f>K25+N25</f>
        <v>0</v>
      </c>
      <c r="R25" s="175">
        <f t="shared" si="1"/>
        <v>0</v>
      </c>
      <c r="S25" s="176">
        <f>R25/I25</f>
        <v>0</v>
      </c>
    </row>
    <row r="26" spans="1:19" ht="28.8" x14ac:dyDescent="0.3">
      <c r="A26" s="1289"/>
      <c r="B26" s="1289"/>
      <c r="C26" s="372" t="s">
        <v>61</v>
      </c>
      <c r="D26" s="372" t="s">
        <v>125</v>
      </c>
      <c r="E26" s="372">
        <v>0.05</v>
      </c>
      <c r="F26" s="32">
        <v>1009836</v>
      </c>
      <c r="G26" s="32">
        <f t="shared" si="8"/>
        <v>1061338</v>
      </c>
      <c r="H26" s="32">
        <f>ROUND((E26*F26),0)</f>
        <v>50492</v>
      </c>
      <c r="I26" s="32">
        <f t="shared" si="9"/>
        <v>53067</v>
      </c>
      <c r="J26" s="1289"/>
      <c r="K26" s="402">
        <v>0.05</v>
      </c>
      <c r="L26" s="403">
        <f>ROUND(K26*$F$26,0)</f>
        <v>50492</v>
      </c>
      <c r="M26" s="404">
        <f>L26/$H$26</f>
        <v>1</v>
      </c>
      <c r="N26" s="432">
        <v>0</v>
      </c>
      <c r="O26" s="425">
        <f>ROUND(N26*$G$26,0)</f>
        <v>0</v>
      </c>
      <c r="P26" s="426">
        <f t="shared" si="10"/>
        <v>0</v>
      </c>
      <c r="Q26" s="416">
        <f>K26+N26</f>
        <v>0.05</v>
      </c>
      <c r="R26" s="175">
        <f t="shared" si="1"/>
        <v>50492</v>
      </c>
      <c r="S26" s="176">
        <f t="shared" si="0"/>
        <v>1</v>
      </c>
    </row>
    <row r="27" spans="1:19" x14ac:dyDescent="0.3">
      <c r="A27" s="1289"/>
      <c r="B27" s="1289"/>
      <c r="C27" s="377"/>
      <c r="D27" s="377" t="s">
        <v>126</v>
      </c>
      <c r="E27" s="378"/>
      <c r="F27" s="378"/>
      <c r="G27" s="378"/>
      <c r="H27" s="379">
        <f>SUM(H25:H26)</f>
        <v>102725</v>
      </c>
      <c r="I27" s="379">
        <f>SUM(I25:I26)</f>
        <v>107964</v>
      </c>
      <c r="J27" s="1289"/>
      <c r="K27" s="405"/>
      <c r="L27" s="307">
        <f>SUM(L25:L26)</f>
        <v>50492</v>
      </c>
      <c r="M27" s="308">
        <f>L27/$H$27</f>
        <v>0.49152591871501583</v>
      </c>
      <c r="N27" s="428"/>
      <c r="O27" s="307">
        <f>SUM(O25:O26)</f>
        <v>0</v>
      </c>
      <c r="P27" s="431">
        <f>O27/$H$27</f>
        <v>0</v>
      </c>
      <c r="Q27" s="306"/>
      <c r="R27" s="307">
        <f t="shared" si="1"/>
        <v>50492</v>
      </c>
      <c r="S27" s="308">
        <f t="shared" si="0"/>
        <v>0.49152591871501583</v>
      </c>
    </row>
    <row r="28" spans="1:19" ht="28.8" x14ac:dyDescent="0.3">
      <c r="A28" s="1289" t="s">
        <v>999</v>
      </c>
      <c r="B28" s="1289" t="s">
        <v>990</v>
      </c>
      <c r="C28" s="372" t="s">
        <v>83</v>
      </c>
      <c r="D28" s="372" t="s">
        <v>123</v>
      </c>
      <c r="E28" s="372">
        <v>0.05</v>
      </c>
      <c r="F28" s="32">
        <v>1044658</v>
      </c>
      <c r="G28" s="32">
        <f t="shared" ref="G28:G29" si="11">+ROUND(F28*1.051,0)</f>
        <v>1097936</v>
      </c>
      <c r="H28" s="32">
        <f>ROUND((E28*F28),0)</f>
        <v>52233</v>
      </c>
      <c r="I28" s="32">
        <f t="shared" ref="I28:I29" si="12">+ROUND(G28*E28,0)</f>
        <v>54897</v>
      </c>
      <c r="J28" s="1289" t="s">
        <v>988</v>
      </c>
      <c r="K28" s="406">
        <v>0</v>
      </c>
      <c r="L28" s="194">
        <f>ROUND(K28*$F$28,0)</f>
        <v>0</v>
      </c>
      <c r="M28" s="195">
        <f>L28/$H$28</f>
        <v>0</v>
      </c>
      <c r="N28" s="432">
        <v>0</v>
      </c>
      <c r="O28" s="425">
        <f>ROUND(N28*$G$28,0)</f>
        <v>0</v>
      </c>
      <c r="P28" s="426">
        <f t="shared" ref="P28:P29" si="13">O28/I28</f>
        <v>0</v>
      </c>
      <c r="Q28" s="416">
        <f>K28+N28</f>
        <v>0</v>
      </c>
      <c r="R28" s="175">
        <f t="shared" si="1"/>
        <v>0</v>
      </c>
      <c r="S28" s="176">
        <f>R28/I28</f>
        <v>0</v>
      </c>
    </row>
    <row r="29" spans="1:19" ht="28.8" x14ac:dyDescent="0.3">
      <c r="A29" s="1289"/>
      <c r="B29" s="1289"/>
      <c r="C29" s="372" t="s">
        <v>61</v>
      </c>
      <c r="D29" s="372" t="s">
        <v>125</v>
      </c>
      <c r="E29" s="372">
        <v>0.05</v>
      </c>
      <c r="F29" s="32">
        <v>1009836</v>
      </c>
      <c r="G29" s="32">
        <f t="shared" si="11"/>
        <v>1061338</v>
      </c>
      <c r="H29" s="32">
        <f>ROUND((E29*F29),0)</f>
        <v>50492</v>
      </c>
      <c r="I29" s="32">
        <f t="shared" si="12"/>
        <v>53067</v>
      </c>
      <c r="J29" s="1289"/>
      <c r="K29" s="402">
        <v>0.05</v>
      </c>
      <c r="L29" s="403">
        <f>ROUND(K29*$F$29,0)</f>
        <v>50492</v>
      </c>
      <c r="M29" s="404">
        <f>L29/$H$29</f>
        <v>1</v>
      </c>
      <c r="N29" s="432">
        <v>0</v>
      </c>
      <c r="O29" s="425">
        <f>ROUND(N29*$G$29,0)</f>
        <v>0</v>
      </c>
      <c r="P29" s="426">
        <f t="shared" si="13"/>
        <v>0</v>
      </c>
      <c r="Q29" s="416">
        <f>K29+N29</f>
        <v>0.05</v>
      </c>
      <c r="R29" s="175">
        <f t="shared" si="1"/>
        <v>50492</v>
      </c>
      <c r="S29" s="176">
        <f t="shared" si="0"/>
        <v>1</v>
      </c>
    </row>
    <row r="30" spans="1:19" x14ac:dyDescent="0.3">
      <c r="A30" s="1289"/>
      <c r="B30" s="1289"/>
      <c r="C30" s="377"/>
      <c r="D30" s="377" t="s">
        <v>126</v>
      </c>
      <c r="E30" s="378"/>
      <c r="F30" s="378"/>
      <c r="G30" s="378"/>
      <c r="H30" s="379">
        <f>SUM(H28:H29)</f>
        <v>102725</v>
      </c>
      <c r="I30" s="379">
        <f>SUM(I28:I29)</f>
        <v>107964</v>
      </c>
      <c r="J30" s="1289"/>
      <c r="K30" s="405"/>
      <c r="L30" s="307">
        <f>SUM(L28:L29)</f>
        <v>50492</v>
      </c>
      <c r="M30" s="308">
        <f>L30/$H$30</f>
        <v>0.49152591871501583</v>
      </c>
      <c r="N30" s="428"/>
      <c r="O30" s="307">
        <f>SUM(O28:O29)</f>
        <v>0</v>
      </c>
      <c r="P30" s="431">
        <f>O30/$H$30</f>
        <v>0</v>
      </c>
      <c r="Q30" s="306"/>
      <c r="R30" s="307">
        <f t="shared" si="1"/>
        <v>50492</v>
      </c>
      <c r="S30" s="308">
        <f t="shared" si="0"/>
        <v>0.49152591871501583</v>
      </c>
    </row>
    <row r="31" spans="1:19" ht="28.8" x14ac:dyDescent="0.3">
      <c r="A31" s="1289" t="s">
        <v>1000</v>
      </c>
      <c r="B31" s="1289" t="s">
        <v>990</v>
      </c>
      <c r="C31" s="372" t="s">
        <v>83</v>
      </c>
      <c r="D31" s="372" t="s">
        <v>123</v>
      </c>
      <c r="E31" s="372">
        <v>0.05</v>
      </c>
      <c r="F31" s="32">
        <v>1044658</v>
      </c>
      <c r="G31" s="32">
        <f t="shared" ref="G31:G32" si="14">+ROUND(F31*1.051,0)</f>
        <v>1097936</v>
      </c>
      <c r="H31" s="32">
        <f>ROUND((E31*F31),0)</f>
        <v>52233</v>
      </c>
      <c r="I31" s="32">
        <f t="shared" ref="I31:I32" si="15">+ROUND(G31*E31,0)</f>
        <v>54897</v>
      </c>
      <c r="J31" s="1289" t="s">
        <v>988</v>
      </c>
      <c r="K31" s="406">
        <v>0</v>
      </c>
      <c r="L31" s="194">
        <f>ROUND(K31*$F$31,0)</f>
        <v>0</v>
      </c>
      <c r="M31" s="195">
        <f>L31/$H$31</f>
        <v>0</v>
      </c>
      <c r="N31" s="432">
        <v>0</v>
      </c>
      <c r="O31" s="425">
        <f>ROUND(N31*$G$31,0)</f>
        <v>0</v>
      </c>
      <c r="P31" s="426">
        <f t="shared" ref="P31:P32" si="16">O31/I31</f>
        <v>0</v>
      </c>
      <c r="Q31" s="416">
        <f>K31+N31</f>
        <v>0</v>
      </c>
      <c r="R31" s="175">
        <f t="shared" si="1"/>
        <v>0</v>
      </c>
      <c r="S31" s="176">
        <f>R31/I31</f>
        <v>0</v>
      </c>
    </row>
    <row r="32" spans="1:19" ht="28.8" x14ac:dyDescent="0.3">
      <c r="A32" s="1289"/>
      <c r="B32" s="1289"/>
      <c r="C32" s="372" t="s">
        <v>61</v>
      </c>
      <c r="D32" s="372" t="s">
        <v>125</v>
      </c>
      <c r="E32" s="372">
        <v>0.05</v>
      </c>
      <c r="F32" s="32">
        <v>1009836</v>
      </c>
      <c r="G32" s="32">
        <f t="shared" si="14"/>
        <v>1061338</v>
      </c>
      <c r="H32" s="32">
        <f>ROUND((E32*F32),0)</f>
        <v>50492</v>
      </c>
      <c r="I32" s="32">
        <f t="shared" si="15"/>
        <v>53067</v>
      </c>
      <c r="J32" s="1289"/>
      <c r="K32" s="402">
        <v>0.05</v>
      </c>
      <c r="L32" s="403">
        <f>ROUND(K32*$F$32,0)</f>
        <v>50492</v>
      </c>
      <c r="M32" s="404">
        <f>L32/$H$32</f>
        <v>1</v>
      </c>
      <c r="N32" s="432">
        <v>0</v>
      </c>
      <c r="O32" s="425">
        <f>ROUND(N32*$G$32,0)</f>
        <v>0</v>
      </c>
      <c r="P32" s="426">
        <f t="shared" si="16"/>
        <v>0</v>
      </c>
      <c r="Q32" s="416">
        <f>K32+N32</f>
        <v>0.05</v>
      </c>
      <c r="R32" s="175">
        <f t="shared" si="1"/>
        <v>50492</v>
      </c>
      <c r="S32" s="176">
        <f t="shared" si="0"/>
        <v>1</v>
      </c>
    </row>
    <row r="33" spans="1:19" x14ac:dyDescent="0.3">
      <c r="A33" s="1289"/>
      <c r="B33" s="1289"/>
      <c r="C33" s="377"/>
      <c r="D33" s="377" t="s">
        <v>126</v>
      </c>
      <c r="E33" s="378"/>
      <c r="F33" s="378"/>
      <c r="G33" s="378"/>
      <c r="H33" s="379">
        <f>SUM(H31:H32)</f>
        <v>102725</v>
      </c>
      <c r="I33" s="379">
        <f>SUM(I31:I32)</f>
        <v>107964</v>
      </c>
      <c r="J33" s="1289"/>
      <c r="K33" s="405"/>
      <c r="L33" s="307">
        <f>SUM(L31:L32)</f>
        <v>50492</v>
      </c>
      <c r="M33" s="308">
        <f>L33/$H$33</f>
        <v>0.49152591871501583</v>
      </c>
      <c r="N33" s="428"/>
      <c r="O33" s="307">
        <f>SUM(O31:O32)</f>
        <v>0</v>
      </c>
      <c r="P33" s="431">
        <f>O33/$H$33</f>
        <v>0</v>
      </c>
      <c r="Q33" s="306"/>
      <c r="R33" s="307">
        <f t="shared" si="1"/>
        <v>50492</v>
      </c>
      <c r="S33" s="308">
        <f t="shared" si="0"/>
        <v>0.49152591871501583</v>
      </c>
    </row>
    <row r="34" spans="1:19" ht="28.8" x14ac:dyDescent="0.3">
      <c r="A34" s="1289" t="s">
        <v>1001</v>
      </c>
      <c r="B34" s="1289" t="s">
        <v>990</v>
      </c>
      <c r="C34" s="372" t="s">
        <v>83</v>
      </c>
      <c r="D34" s="372" t="s">
        <v>123</v>
      </c>
      <c r="E34" s="372">
        <v>0.05</v>
      </c>
      <c r="F34" s="32">
        <v>1044658</v>
      </c>
      <c r="G34" s="32">
        <f t="shared" ref="G34:G35" si="17">+ROUND(F34*1.051,0)</f>
        <v>1097936</v>
      </c>
      <c r="H34" s="32">
        <f>ROUND((E34*F34),0)</f>
        <v>52233</v>
      </c>
      <c r="I34" s="32">
        <f t="shared" ref="I34:I35" si="18">+ROUND(G34*E34,0)</f>
        <v>54897</v>
      </c>
      <c r="J34" s="1289" t="s">
        <v>988</v>
      </c>
      <c r="K34" s="406">
        <v>0</v>
      </c>
      <c r="L34" s="194">
        <f>ROUND(K34*$F$34,0)</f>
        <v>0</v>
      </c>
      <c r="M34" s="195">
        <f>L34/$H$34</f>
        <v>0</v>
      </c>
      <c r="N34" s="432">
        <v>0</v>
      </c>
      <c r="O34" s="425">
        <f>ROUND(N34*$G$34,0)</f>
        <v>0</v>
      </c>
      <c r="P34" s="426">
        <f t="shared" ref="P34:P35" si="19">O34/I34</f>
        <v>0</v>
      </c>
      <c r="Q34" s="416">
        <f>K34+N34</f>
        <v>0</v>
      </c>
      <c r="R34" s="175">
        <f t="shared" si="1"/>
        <v>0</v>
      </c>
      <c r="S34" s="176">
        <f>R34/I34</f>
        <v>0</v>
      </c>
    </row>
    <row r="35" spans="1:19" ht="28.8" x14ac:dyDescent="0.3">
      <c r="A35" s="1289"/>
      <c r="B35" s="1289"/>
      <c r="C35" s="372" t="s">
        <v>61</v>
      </c>
      <c r="D35" s="372" t="s">
        <v>125</v>
      </c>
      <c r="E35" s="372">
        <v>0.05</v>
      </c>
      <c r="F35" s="32">
        <v>1009836</v>
      </c>
      <c r="G35" s="32">
        <f t="shared" si="17"/>
        <v>1061338</v>
      </c>
      <c r="H35" s="32">
        <f>ROUND((E35*F35),0)</f>
        <v>50492</v>
      </c>
      <c r="I35" s="32">
        <f t="shared" si="18"/>
        <v>53067</v>
      </c>
      <c r="J35" s="1289"/>
      <c r="K35" s="402">
        <v>0.05</v>
      </c>
      <c r="L35" s="403">
        <f>ROUND(K35*$F$35,0)</f>
        <v>50492</v>
      </c>
      <c r="M35" s="404">
        <f>L35/$H$35</f>
        <v>1</v>
      </c>
      <c r="N35" s="432">
        <v>0</v>
      </c>
      <c r="O35" s="425">
        <f>ROUND(N35*$G$35,0)</f>
        <v>0</v>
      </c>
      <c r="P35" s="426">
        <f t="shared" si="19"/>
        <v>0</v>
      </c>
      <c r="Q35" s="416">
        <f>K35+N35</f>
        <v>0.05</v>
      </c>
      <c r="R35" s="175">
        <f t="shared" si="1"/>
        <v>50492</v>
      </c>
      <c r="S35" s="176">
        <f t="shared" si="0"/>
        <v>1</v>
      </c>
    </row>
    <row r="36" spans="1:19" x14ac:dyDescent="0.3">
      <c r="A36" s="1289"/>
      <c r="B36" s="1289"/>
      <c r="C36" s="377"/>
      <c r="D36" s="377" t="s">
        <v>126</v>
      </c>
      <c r="E36" s="378"/>
      <c r="F36" s="378"/>
      <c r="G36" s="378"/>
      <c r="H36" s="379">
        <f>SUM(H34:H35)</f>
        <v>102725</v>
      </c>
      <c r="I36" s="379">
        <f>SUM(I34:I35)</f>
        <v>107964</v>
      </c>
      <c r="J36" s="1289"/>
      <c r="K36" s="405"/>
      <c r="L36" s="307">
        <f>SUM(L34:L35)</f>
        <v>50492</v>
      </c>
      <c r="M36" s="308">
        <f>L36/$H$36</f>
        <v>0.49152591871501583</v>
      </c>
      <c r="N36" s="428"/>
      <c r="O36" s="307">
        <f>SUM(O34:O35)</f>
        <v>0</v>
      </c>
      <c r="P36" s="431">
        <f>O36/$H$36</f>
        <v>0</v>
      </c>
      <c r="Q36" s="306"/>
      <c r="R36" s="307">
        <f t="shared" si="1"/>
        <v>50492</v>
      </c>
      <c r="S36" s="308">
        <f t="shared" si="0"/>
        <v>0.49152591871501583</v>
      </c>
    </row>
    <row r="37" spans="1:19" ht="28.8" x14ac:dyDescent="0.3">
      <c r="A37" s="1289" t="s">
        <v>1002</v>
      </c>
      <c r="B37" s="1289" t="s">
        <v>1003</v>
      </c>
      <c r="C37" s="372" t="s">
        <v>83</v>
      </c>
      <c r="D37" s="372" t="s">
        <v>91</v>
      </c>
      <c r="E37" s="372">
        <v>0.05</v>
      </c>
      <c r="F37" s="32">
        <v>1671452</v>
      </c>
      <c r="G37" s="32">
        <f t="shared" ref="G37:G38" si="20">+ROUND(F37*1.051,0)</f>
        <v>1756696</v>
      </c>
      <c r="H37" s="32">
        <f>ROUND((E37*F37),0)</f>
        <v>83573</v>
      </c>
      <c r="I37" s="32">
        <f t="shared" ref="I37:I38" si="21">+ROUND(G37*E37,0)</f>
        <v>87835</v>
      </c>
      <c r="J37" s="1289" t="s">
        <v>988</v>
      </c>
      <c r="K37" s="406">
        <v>0</v>
      </c>
      <c r="L37" s="194">
        <f>ROUND(K37*$F$37,0)</f>
        <v>0</v>
      </c>
      <c r="M37" s="195">
        <f>L37/$H$37</f>
        <v>0</v>
      </c>
      <c r="N37" s="432">
        <v>0</v>
      </c>
      <c r="O37" s="425">
        <f>ROUND(N37*$G$37,0)</f>
        <v>0</v>
      </c>
      <c r="P37" s="426">
        <f t="shared" ref="P37:P38" si="22">O37/I37</f>
        <v>0</v>
      </c>
      <c r="Q37" s="416">
        <f>K37+N37</f>
        <v>0</v>
      </c>
      <c r="R37" s="175">
        <f t="shared" si="1"/>
        <v>0</v>
      </c>
      <c r="S37" s="176">
        <f>R37/I37</f>
        <v>0</v>
      </c>
    </row>
    <row r="38" spans="1:19" ht="28.8" x14ac:dyDescent="0.3">
      <c r="A38" s="1289"/>
      <c r="B38" s="1289"/>
      <c r="C38" s="372" t="s">
        <v>61</v>
      </c>
      <c r="D38" s="372" t="s">
        <v>92</v>
      </c>
      <c r="E38" s="372">
        <v>0.05</v>
      </c>
      <c r="F38" s="32">
        <v>6233126</v>
      </c>
      <c r="G38" s="32">
        <f t="shared" si="20"/>
        <v>6551015</v>
      </c>
      <c r="H38" s="32">
        <f>ROUND((E38*F38),0)</f>
        <v>311656</v>
      </c>
      <c r="I38" s="32">
        <f t="shared" si="21"/>
        <v>327551</v>
      </c>
      <c r="J38" s="1289"/>
      <c r="K38" s="402">
        <v>0.05</v>
      </c>
      <c r="L38" s="403">
        <f>ROUND(K38*$F$38,0)</f>
        <v>311656</v>
      </c>
      <c r="M38" s="404">
        <f>L38/$H$38</f>
        <v>1</v>
      </c>
      <c r="N38" s="432">
        <v>0</v>
      </c>
      <c r="O38" s="425">
        <f>ROUND(N38*$G$38,0)</f>
        <v>0</v>
      </c>
      <c r="P38" s="426">
        <f t="shared" si="22"/>
        <v>0</v>
      </c>
      <c r="Q38" s="416">
        <f>K38+N38</f>
        <v>0.05</v>
      </c>
      <c r="R38" s="175">
        <f t="shared" si="1"/>
        <v>311656</v>
      </c>
      <c r="S38" s="176">
        <f t="shared" si="0"/>
        <v>1</v>
      </c>
    </row>
    <row r="39" spans="1:19" x14ac:dyDescent="0.3">
      <c r="A39" s="1289"/>
      <c r="B39" s="1289"/>
      <c r="C39" s="377"/>
      <c r="D39" s="377" t="s">
        <v>63</v>
      </c>
      <c r="E39" s="378"/>
      <c r="F39" s="378"/>
      <c r="G39" s="378"/>
      <c r="H39" s="379">
        <f>SUM(H37:H38)</f>
        <v>395229</v>
      </c>
      <c r="I39" s="379">
        <f>SUM(I37:I38)</f>
        <v>415386</v>
      </c>
      <c r="J39" s="1289"/>
      <c r="K39" s="405"/>
      <c r="L39" s="307">
        <f>SUM(L37:L38)</f>
        <v>311656</v>
      </c>
      <c r="M39" s="308">
        <f>L39/$H$39</f>
        <v>0.78854537495983346</v>
      </c>
      <c r="N39" s="428"/>
      <c r="O39" s="307">
        <f>SUM(O37:O38)</f>
        <v>0</v>
      </c>
      <c r="P39" s="431">
        <f>O39/$H$39</f>
        <v>0</v>
      </c>
      <c r="Q39" s="306"/>
      <c r="R39" s="307">
        <f t="shared" si="1"/>
        <v>311656</v>
      </c>
      <c r="S39" s="308">
        <f t="shared" si="0"/>
        <v>0.78854537495983346</v>
      </c>
    </row>
    <row r="40" spans="1:19" ht="28.8" x14ac:dyDescent="0.3">
      <c r="A40" s="1289" t="s">
        <v>151</v>
      </c>
      <c r="B40" s="1289" t="s">
        <v>1003</v>
      </c>
      <c r="C40" s="372" t="s">
        <v>83</v>
      </c>
      <c r="D40" s="372" t="s">
        <v>91</v>
      </c>
      <c r="E40" s="372">
        <v>0.05</v>
      </c>
      <c r="F40" s="32">
        <v>1671452</v>
      </c>
      <c r="G40" s="32">
        <f t="shared" ref="G40:G41" si="23">+ROUND(F40*1.051,0)</f>
        <v>1756696</v>
      </c>
      <c r="H40" s="32">
        <f>ROUND((E40*F40),0)</f>
        <v>83573</v>
      </c>
      <c r="I40" s="32">
        <f t="shared" ref="I40:I41" si="24">+ROUND(G40*E40,0)</f>
        <v>87835</v>
      </c>
      <c r="J40" s="1289" t="s">
        <v>988</v>
      </c>
      <c r="K40" s="406">
        <v>0</v>
      </c>
      <c r="L40" s="194">
        <f>ROUND(K40*$F$40,0)</f>
        <v>0</v>
      </c>
      <c r="M40" s="195">
        <f>L40/$H$40</f>
        <v>0</v>
      </c>
      <c r="N40" s="432">
        <v>0</v>
      </c>
      <c r="O40" s="425">
        <f>ROUND(N40*$G$40,0)</f>
        <v>0</v>
      </c>
      <c r="P40" s="426">
        <f t="shared" ref="P40:P41" si="25">O40/I40</f>
        <v>0</v>
      </c>
      <c r="Q40" s="416">
        <f>K40+N40</f>
        <v>0</v>
      </c>
      <c r="R40" s="175">
        <f t="shared" si="1"/>
        <v>0</v>
      </c>
      <c r="S40" s="176">
        <f>R40/I40</f>
        <v>0</v>
      </c>
    </row>
    <row r="41" spans="1:19" ht="28.8" x14ac:dyDescent="0.3">
      <c r="A41" s="1289"/>
      <c r="B41" s="1289"/>
      <c r="C41" s="372" t="s">
        <v>61</v>
      </c>
      <c r="D41" s="372" t="s">
        <v>92</v>
      </c>
      <c r="E41" s="372">
        <v>0.05</v>
      </c>
      <c r="F41" s="32">
        <v>6233126</v>
      </c>
      <c r="G41" s="32">
        <f t="shared" si="23"/>
        <v>6551015</v>
      </c>
      <c r="H41" s="32">
        <f>ROUND((E41*F41),0)</f>
        <v>311656</v>
      </c>
      <c r="I41" s="32">
        <f t="shared" si="24"/>
        <v>327551</v>
      </c>
      <c r="J41" s="1289"/>
      <c r="K41" s="402">
        <v>0.05</v>
      </c>
      <c r="L41" s="403">
        <f>ROUND(K41*$F$41,0)</f>
        <v>311656</v>
      </c>
      <c r="M41" s="404">
        <f>L41/$H$41</f>
        <v>1</v>
      </c>
      <c r="N41" s="432">
        <v>0</v>
      </c>
      <c r="O41" s="425">
        <f>ROUND(N41*$G$41,0)</f>
        <v>0</v>
      </c>
      <c r="P41" s="426">
        <f t="shared" si="25"/>
        <v>0</v>
      </c>
      <c r="Q41" s="416">
        <f>K41+N41</f>
        <v>0.05</v>
      </c>
      <c r="R41" s="175">
        <f t="shared" si="1"/>
        <v>311656</v>
      </c>
      <c r="S41" s="176">
        <f t="shared" si="0"/>
        <v>1</v>
      </c>
    </row>
    <row r="42" spans="1:19" x14ac:dyDescent="0.3">
      <c r="A42" s="1289"/>
      <c r="B42" s="1289"/>
      <c r="C42" s="377"/>
      <c r="D42" s="377" t="s">
        <v>63</v>
      </c>
      <c r="E42" s="378"/>
      <c r="F42" s="378"/>
      <c r="G42" s="378"/>
      <c r="H42" s="379">
        <f>SUM(H40:H41)</f>
        <v>395229</v>
      </c>
      <c r="I42" s="379">
        <f>SUM(I40:I41)</f>
        <v>415386</v>
      </c>
      <c r="J42" s="1289"/>
      <c r="K42" s="405"/>
      <c r="L42" s="307">
        <f>SUM(L40:L41)</f>
        <v>311656</v>
      </c>
      <c r="M42" s="308">
        <f>L42/$H$42</f>
        <v>0.78854537495983346</v>
      </c>
      <c r="N42" s="428"/>
      <c r="O42" s="307">
        <f>SUM(O40:O41)</f>
        <v>0</v>
      </c>
      <c r="P42" s="431">
        <f>O42/$H$42</f>
        <v>0</v>
      </c>
      <c r="Q42" s="306"/>
      <c r="R42" s="307">
        <f t="shared" si="1"/>
        <v>311656</v>
      </c>
      <c r="S42" s="308">
        <f t="shared" si="0"/>
        <v>0.78854537495983346</v>
      </c>
    </row>
    <row r="43" spans="1:19" ht="28.8" x14ac:dyDescent="0.3">
      <c r="A43" s="1289" t="s">
        <v>151</v>
      </c>
      <c r="B43" s="1289" t="s">
        <v>1004</v>
      </c>
      <c r="C43" s="372" t="s">
        <v>83</v>
      </c>
      <c r="D43" s="372" t="s">
        <v>693</v>
      </c>
      <c r="E43" s="372">
        <v>0.05</v>
      </c>
      <c r="F43" s="32">
        <v>1323233</v>
      </c>
      <c r="G43" s="32">
        <f t="shared" ref="G43:G44" si="26">+ROUND(F43*1.051,0)</f>
        <v>1390718</v>
      </c>
      <c r="H43" s="32">
        <f>ROUND((E43*F43),0)</f>
        <v>66162</v>
      </c>
      <c r="I43" s="32">
        <f t="shared" ref="I43:I44" si="27">+ROUND(G43*E43,0)</f>
        <v>69536</v>
      </c>
      <c r="J43" s="1289" t="s">
        <v>988</v>
      </c>
      <c r="K43" s="406">
        <v>0</v>
      </c>
      <c r="L43" s="194">
        <f>ROUND(K43*$F$43,0)</f>
        <v>0</v>
      </c>
      <c r="M43" s="195">
        <f>L43/$H$43</f>
        <v>0</v>
      </c>
      <c r="N43" s="432">
        <v>0</v>
      </c>
      <c r="O43" s="425">
        <f>ROUND(N43*$G$43,0)</f>
        <v>0</v>
      </c>
      <c r="P43" s="426">
        <f t="shared" ref="P43:P44" si="28">O43/I43</f>
        <v>0</v>
      </c>
      <c r="Q43" s="416">
        <f>K43+N43</f>
        <v>0</v>
      </c>
      <c r="R43" s="175">
        <f t="shared" si="1"/>
        <v>0</v>
      </c>
      <c r="S43" s="176">
        <f>R43/I43</f>
        <v>0</v>
      </c>
    </row>
    <row r="44" spans="1:19" ht="28.8" x14ac:dyDescent="0.3">
      <c r="A44" s="1289"/>
      <c r="B44" s="1289"/>
      <c r="C44" s="372" t="s">
        <v>61</v>
      </c>
      <c r="D44" s="372" t="s">
        <v>695</v>
      </c>
      <c r="E44" s="372">
        <v>0.05</v>
      </c>
      <c r="F44" s="32">
        <v>10516225</v>
      </c>
      <c r="G44" s="32">
        <f t="shared" si="26"/>
        <v>11052552</v>
      </c>
      <c r="H44" s="32">
        <f>ROUND((E44*F44),0)</f>
        <v>525811</v>
      </c>
      <c r="I44" s="32">
        <f t="shared" si="27"/>
        <v>552628</v>
      </c>
      <c r="J44" s="1289"/>
      <c r="K44" s="402">
        <v>0.05</v>
      </c>
      <c r="L44" s="403">
        <f>ROUND(K44*$F$44,0)</f>
        <v>525811</v>
      </c>
      <c r="M44" s="404">
        <f>L44/$H$44</f>
        <v>1</v>
      </c>
      <c r="N44" s="432">
        <v>0</v>
      </c>
      <c r="O44" s="425">
        <f>ROUND(N44*$G$44,0)</f>
        <v>0</v>
      </c>
      <c r="P44" s="426">
        <f t="shared" si="28"/>
        <v>0</v>
      </c>
      <c r="Q44" s="416">
        <f>K44+N44</f>
        <v>0.05</v>
      </c>
      <c r="R44" s="175">
        <f t="shared" si="1"/>
        <v>525811</v>
      </c>
      <c r="S44" s="176">
        <f t="shared" si="0"/>
        <v>1</v>
      </c>
    </row>
    <row r="45" spans="1:19" x14ac:dyDescent="0.3">
      <c r="A45" s="1289"/>
      <c r="B45" s="1289"/>
      <c r="C45" s="377"/>
      <c r="D45" s="377" t="s">
        <v>696</v>
      </c>
      <c r="E45" s="378"/>
      <c r="F45" s="378"/>
      <c r="G45" s="378"/>
      <c r="H45" s="379">
        <f>SUM(H43:H44)</f>
        <v>591973</v>
      </c>
      <c r="I45" s="379">
        <f>SUM(I43:I44)</f>
        <v>622164</v>
      </c>
      <c r="J45" s="1289"/>
      <c r="K45" s="405"/>
      <c r="L45" s="307">
        <f>SUM(L43:L44)</f>
        <v>525811</v>
      </c>
      <c r="M45" s="308">
        <f>L45/$H$45</f>
        <v>0.88823476746405661</v>
      </c>
      <c r="N45" s="428"/>
      <c r="O45" s="307">
        <f>SUM(O43:O44)</f>
        <v>0</v>
      </c>
      <c r="P45" s="431">
        <f>O45/$H$45</f>
        <v>0</v>
      </c>
      <c r="Q45" s="306"/>
      <c r="R45" s="307">
        <f t="shared" si="1"/>
        <v>525811</v>
      </c>
      <c r="S45" s="308">
        <f t="shared" si="0"/>
        <v>0.88823476746405661</v>
      </c>
    </row>
    <row r="46" spans="1:19" ht="28.8" x14ac:dyDescent="0.3">
      <c r="A46" s="1289" t="s">
        <v>109</v>
      </c>
      <c r="B46" s="1289" t="s">
        <v>1003</v>
      </c>
      <c r="C46" s="372" t="s">
        <v>83</v>
      </c>
      <c r="D46" s="372" t="s">
        <v>91</v>
      </c>
      <c r="E46" s="372">
        <v>0.05</v>
      </c>
      <c r="F46" s="32">
        <v>1671452</v>
      </c>
      <c r="G46" s="32">
        <f t="shared" ref="G46:G47" si="29">+ROUND(F46*1.051,0)</f>
        <v>1756696</v>
      </c>
      <c r="H46" s="32">
        <f>ROUND((E46*F46),0)</f>
        <v>83573</v>
      </c>
      <c r="I46" s="32">
        <f t="shared" ref="I46:I47" si="30">+ROUND(G46*E46,0)</f>
        <v>87835</v>
      </c>
      <c r="J46" s="1289" t="s">
        <v>988</v>
      </c>
      <c r="K46" s="406">
        <v>0</v>
      </c>
      <c r="L46" s="194">
        <f>ROUND(K46*$F$46,0)</f>
        <v>0</v>
      </c>
      <c r="M46" s="195">
        <f>L46/$H$46</f>
        <v>0</v>
      </c>
      <c r="N46" s="432">
        <v>0</v>
      </c>
      <c r="O46" s="425">
        <f>ROUND(N46*$G$46,0)</f>
        <v>0</v>
      </c>
      <c r="P46" s="426">
        <f t="shared" ref="P46:P47" si="31">O46/I46</f>
        <v>0</v>
      </c>
      <c r="Q46" s="416">
        <f>K46+N46</f>
        <v>0</v>
      </c>
      <c r="R46" s="175">
        <f t="shared" si="1"/>
        <v>0</v>
      </c>
      <c r="S46" s="176">
        <f>R46/I46</f>
        <v>0</v>
      </c>
    </row>
    <row r="47" spans="1:19" ht="28.8" x14ac:dyDescent="0.3">
      <c r="A47" s="1289"/>
      <c r="B47" s="1289"/>
      <c r="C47" s="372" t="s">
        <v>61</v>
      </c>
      <c r="D47" s="372" t="s">
        <v>92</v>
      </c>
      <c r="E47" s="372">
        <v>0.05</v>
      </c>
      <c r="F47" s="32">
        <v>6233126</v>
      </c>
      <c r="G47" s="32">
        <f t="shared" si="29"/>
        <v>6551015</v>
      </c>
      <c r="H47" s="32">
        <f>ROUND((E47*F47),0)</f>
        <v>311656</v>
      </c>
      <c r="I47" s="32">
        <f t="shared" si="30"/>
        <v>327551</v>
      </c>
      <c r="J47" s="1289"/>
      <c r="K47" s="402">
        <v>0.05</v>
      </c>
      <c r="L47" s="403">
        <f>ROUND(K47*$F$47,0)</f>
        <v>311656</v>
      </c>
      <c r="M47" s="404">
        <f>L47/$H$47</f>
        <v>1</v>
      </c>
      <c r="N47" s="432">
        <v>0</v>
      </c>
      <c r="O47" s="425">
        <f>ROUND(N47*$G$47,0)</f>
        <v>0</v>
      </c>
      <c r="P47" s="426">
        <f t="shared" si="31"/>
        <v>0</v>
      </c>
      <c r="Q47" s="416">
        <f>K47+N47</f>
        <v>0.05</v>
      </c>
      <c r="R47" s="175">
        <f t="shared" si="1"/>
        <v>311656</v>
      </c>
      <c r="S47" s="176">
        <f t="shared" si="0"/>
        <v>1</v>
      </c>
    </row>
    <row r="48" spans="1:19" x14ac:dyDescent="0.3">
      <c r="A48" s="1289"/>
      <c r="B48" s="1289"/>
      <c r="C48" s="377"/>
      <c r="D48" s="377" t="s">
        <v>63</v>
      </c>
      <c r="E48" s="378"/>
      <c r="F48" s="378"/>
      <c r="G48" s="378"/>
      <c r="H48" s="379">
        <f>SUM(H46:H47)</f>
        <v>395229</v>
      </c>
      <c r="I48" s="379">
        <f>SUM(I46:I47)</f>
        <v>415386</v>
      </c>
      <c r="J48" s="1289"/>
      <c r="K48" s="405"/>
      <c r="L48" s="307">
        <f>SUM(L46:L47)</f>
        <v>311656</v>
      </c>
      <c r="M48" s="308">
        <f>L48/$H$48</f>
        <v>0.78854537495983346</v>
      </c>
      <c r="N48" s="428"/>
      <c r="O48" s="307">
        <f>SUM(O46:O47)</f>
        <v>0</v>
      </c>
      <c r="P48" s="431">
        <f>O48/$H$48</f>
        <v>0</v>
      </c>
      <c r="Q48" s="306"/>
      <c r="R48" s="307">
        <f t="shared" si="1"/>
        <v>311656</v>
      </c>
      <c r="S48" s="308">
        <f t="shared" si="0"/>
        <v>0.78854537495983346</v>
      </c>
    </row>
    <row r="49" spans="1:19" ht="28.8" x14ac:dyDescent="0.3">
      <c r="A49" s="1289" t="s">
        <v>109</v>
      </c>
      <c r="B49" s="1289" t="s">
        <v>1004</v>
      </c>
      <c r="C49" s="372" t="s">
        <v>83</v>
      </c>
      <c r="D49" s="372" t="s">
        <v>693</v>
      </c>
      <c r="E49" s="372">
        <v>0.05</v>
      </c>
      <c r="F49" s="32">
        <v>1323233</v>
      </c>
      <c r="G49" s="32">
        <f t="shared" ref="G49:G50" si="32">+ROUND(F49*1.051,0)</f>
        <v>1390718</v>
      </c>
      <c r="H49" s="32">
        <f>ROUND((E49*F49),0)</f>
        <v>66162</v>
      </c>
      <c r="I49" s="32">
        <f t="shared" ref="I49:I50" si="33">+ROUND(G49*E49,0)</f>
        <v>69536</v>
      </c>
      <c r="J49" s="1289" t="s">
        <v>988</v>
      </c>
      <c r="K49" s="406">
        <v>0</v>
      </c>
      <c r="L49" s="194">
        <f>ROUND(K49*$F$49,0)</f>
        <v>0</v>
      </c>
      <c r="M49" s="195">
        <f>L49/$H$49</f>
        <v>0</v>
      </c>
      <c r="N49" s="432">
        <v>0</v>
      </c>
      <c r="O49" s="425">
        <f>ROUND(N49*$G$49,0)</f>
        <v>0</v>
      </c>
      <c r="P49" s="426">
        <f t="shared" ref="P49:P50" si="34">O49/I49</f>
        <v>0</v>
      </c>
      <c r="Q49" s="416">
        <f>K49+N49</f>
        <v>0</v>
      </c>
      <c r="R49" s="175">
        <f t="shared" si="1"/>
        <v>0</v>
      </c>
      <c r="S49" s="176">
        <f>R49/I49</f>
        <v>0</v>
      </c>
    </row>
    <row r="50" spans="1:19" ht="28.8" x14ac:dyDescent="0.3">
      <c r="A50" s="1289"/>
      <c r="B50" s="1289"/>
      <c r="C50" s="372" t="s">
        <v>61</v>
      </c>
      <c r="D50" s="372" t="s">
        <v>695</v>
      </c>
      <c r="E50" s="372">
        <v>0.05</v>
      </c>
      <c r="F50" s="32">
        <v>10516225</v>
      </c>
      <c r="G50" s="32">
        <f t="shared" si="32"/>
        <v>11052552</v>
      </c>
      <c r="H50" s="32">
        <f>ROUND((E50*F50),0)</f>
        <v>525811</v>
      </c>
      <c r="I50" s="32">
        <f t="shared" si="33"/>
        <v>552628</v>
      </c>
      <c r="J50" s="1289"/>
      <c r="K50" s="402">
        <v>0.05</v>
      </c>
      <c r="L50" s="403">
        <f>ROUND(K50*$F$50,0)</f>
        <v>525811</v>
      </c>
      <c r="M50" s="404">
        <f>L50/$H$50</f>
        <v>1</v>
      </c>
      <c r="N50" s="432">
        <v>0</v>
      </c>
      <c r="O50" s="425">
        <f>ROUND(N50*$G$50,0)</f>
        <v>0</v>
      </c>
      <c r="P50" s="426">
        <f t="shared" si="34"/>
        <v>0</v>
      </c>
      <c r="Q50" s="416">
        <f>K50+N50</f>
        <v>0.05</v>
      </c>
      <c r="R50" s="175">
        <f t="shared" si="1"/>
        <v>525811</v>
      </c>
      <c r="S50" s="176">
        <f t="shared" si="0"/>
        <v>1</v>
      </c>
    </row>
    <row r="51" spans="1:19" x14ac:dyDescent="0.3">
      <c r="A51" s="1289"/>
      <c r="B51" s="1289"/>
      <c r="C51" s="377"/>
      <c r="D51" s="377" t="s">
        <v>696</v>
      </c>
      <c r="E51" s="378"/>
      <c r="F51" s="378"/>
      <c r="G51" s="378"/>
      <c r="H51" s="379">
        <f>SUM(H49:H50)</f>
        <v>591973</v>
      </c>
      <c r="I51" s="379">
        <f>SUM(I49:I50)</f>
        <v>622164</v>
      </c>
      <c r="J51" s="1289"/>
      <c r="K51" s="405"/>
      <c r="L51" s="307">
        <f>SUM(L49:L50)</f>
        <v>525811</v>
      </c>
      <c r="M51" s="308">
        <f>L51/$H$51</f>
        <v>0.88823476746405661</v>
      </c>
      <c r="N51" s="428"/>
      <c r="O51" s="307">
        <f>SUM(O49:O50)</f>
        <v>0</v>
      </c>
      <c r="P51" s="431">
        <f>O51/$H$51</f>
        <v>0</v>
      </c>
      <c r="Q51" s="306"/>
      <c r="R51" s="307">
        <f t="shared" si="1"/>
        <v>525811</v>
      </c>
      <c r="S51" s="308">
        <f t="shared" si="0"/>
        <v>0.88823476746405661</v>
      </c>
    </row>
    <row r="52" spans="1:19" ht="28.8" x14ac:dyDescent="0.3">
      <c r="A52" s="1289" t="s">
        <v>237</v>
      </c>
      <c r="B52" s="1289" t="s">
        <v>1003</v>
      </c>
      <c r="C52" s="372" t="s">
        <v>83</v>
      </c>
      <c r="D52" s="372" t="s">
        <v>91</v>
      </c>
      <c r="E52" s="372">
        <v>0.05</v>
      </c>
      <c r="F52" s="32">
        <v>1671452</v>
      </c>
      <c r="G52" s="32">
        <f>+ROUND(F52*1.051,0)</f>
        <v>1756696</v>
      </c>
      <c r="H52" s="32">
        <f>ROUND((E52*F52),0)</f>
        <v>83573</v>
      </c>
      <c r="I52" s="32">
        <f t="shared" ref="I52:I53" si="35">+ROUND(G52*E52,0)</f>
        <v>87835</v>
      </c>
      <c r="J52" s="1289" t="s">
        <v>988</v>
      </c>
      <c r="K52" s="406">
        <v>0</v>
      </c>
      <c r="L52" s="194">
        <f>ROUND(K52*$F$52,0)</f>
        <v>0</v>
      </c>
      <c r="M52" s="195">
        <f>L52/$H$52</f>
        <v>0</v>
      </c>
      <c r="N52" s="432">
        <v>0</v>
      </c>
      <c r="O52" s="425">
        <f>ROUND(N52*$G$52,0)</f>
        <v>0</v>
      </c>
      <c r="P52" s="426">
        <f t="shared" ref="P52:P53" si="36">O52/I52</f>
        <v>0</v>
      </c>
      <c r="Q52" s="416">
        <f>K52+N52</f>
        <v>0</v>
      </c>
      <c r="R52" s="175">
        <f t="shared" si="1"/>
        <v>0</v>
      </c>
      <c r="S52" s="176">
        <f>R52/I52</f>
        <v>0</v>
      </c>
    </row>
    <row r="53" spans="1:19" ht="28.8" x14ac:dyDescent="0.3">
      <c r="A53" s="1289"/>
      <c r="B53" s="1289"/>
      <c r="C53" s="372" t="s">
        <v>61</v>
      </c>
      <c r="D53" s="372" t="s">
        <v>92</v>
      </c>
      <c r="E53" s="372">
        <v>0.05</v>
      </c>
      <c r="F53" s="32">
        <v>6233126</v>
      </c>
      <c r="G53" s="32">
        <f>+ROUND(F53*1.051,0)</f>
        <v>6551015</v>
      </c>
      <c r="H53" s="32">
        <f>ROUND((E53*F53),0)</f>
        <v>311656</v>
      </c>
      <c r="I53" s="32">
        <f t="shared" si="35"/>
        <v>327551</v>
      </c>
      <c r="J53" s="1289"/>
      <c r="K53" s="402">
        <v>0.05</v>
      </c>
      <c r="L53" s="403">
        <f>ROUND(K53*$F$53,0)</f>
        <v>311656</v>
      </c>
      <c r="M53" s="404">
        <f>L53/$H$53</f>
        <v>1</v>
      </c>
      <c r="N53" s="432">
        <v>0</v>
      </c>
      <c r="O53" s="425">
        <f>ROUND(N53*$G$53,0)</f>
        <v>0</v>
      </c>
      <c r="P53" s="426">
        <f t="shared" si="36"/>
        <v>0</v>
      </c>
      <c r="Q53" s="416">
        <f>K53+N53</f>
        <v>0.05</v>
      </c>
      <c r="R53" s="175">
        <f t="shared" si="1"/>
        <v>311656</v>
      </c>
      <c r="S53" s="176">
        <f t="shared" si="0"/>
        <v>1</v>
      </c>
    </row>
    <row r="54" spans="1:19" x14ac:dyDescent="0.3">
      <c r="A54" s="1289"/>
      <c r="B54" s="1289"/>
      <c r="C54" s="377"/>
      <c r="D54" s="377" t="s">
        <v>63</v>
      </c>
      <c r="E54" s="378"/>
      <c r="F54" s="378"/>
      <c r="G54" s="378"/>
      <c r="H54" s="379">
        <f>SUM(H52:H53)</f>
        <v>395229</v>
      </c>
      <c r="I54" s="379">
        <f>SUM(I52:I53)</f>
        <v>415386</v>
      </c>
      <c r="J54" s="1289"/>
      <c r="K54" s="405"/>
      <c r="L54" s="307">
        <f>SUM(L52:L53)</f>
        <v>311656</v>
      </c>
      <c r="M54" s="308">
        <f>L54/$H$54</f>
        <v>0.78854537495983346</v>
      </c>
      <c r="N54" s="428"/>
      <c r="O54" s="307">
        <f>SUM(O52:O53)</f>
        <v>0</v>
      </c>
      <c r="P54" s="431">
        <f>O54/$H$54</f>
        <v>0</v>
      </c>
      <c r="Q54" s="306"/>
      <c r="R54" s="307">
        <f t="shared" si="1"/>
        <v>311656</v>
      </c>
      <c r="S54" s="308">
        <f t="shared" si="0"/>
        <v>0.78854537495983346</v>
      </c>
    </row>
    <row r="55" spans="1:19" ht="28.8" x14ac:dyDescent="0.3">
      <c r="A55" s="1289" t="s">
        <v>237</v>
      </c>
      <c r="B55" s="1289" t="s">
        <v>1005</v>
      </c>
      <c r="C55" s="372" t="s">
        <v>83</v>
      </c>
      <c r="D55" s="372" t="s">
        <v>197</v>
      </c>
      <c r="E55" s="372">
        <v>0.05</v>
      </c>
      <c r="F55" s="32">
        <v>1114302</v>
      </c>
      <c r="G55" s="32">
        <f t="shared" ref="G55:G56" si="37">+ROUND(F55*1.051,0)</f>
        <v>1171131</v>
      </c>
      <c r="H55" s="32">
        <f>ROUND((E55*F55),0)</f>
        <v>55715</v>
      </c>
      <c r="I55" s="32">
        <f t="shared" ref="I55:I56" si="38">+ROUND(G55*E55,0)</f>
        <v>58557</v>
      </c>
      <c r="J55" s="1289" t="s">
        <v>988</v>
      </c>
      <c r="K55" s="406">
        <v>0</v>
      </c>
      <c r="L55" s="194">
        <f>ROUND(K55*$F$55,0)</f>
        <v>0</v>
      </c>
      <c r="M55" s="195">
        <f>L55/$H$55</f>
        <v>0</v>
      </c>
      <c r="N55" s="432">
        <v>0</v>
      </c>
      <c r="O55" s="425">
        <f>ROUND(N55*$G$55,0)</f>
        <v>0</v>
      </c>
      <c r="P55" s="426">
        <f>O55/I55</f>
        <v>0</v>
      </c>
      <c r="Q55" s="416">
        <f>K55+N55</f>
        <v>0</v>
      </c>
      <c r="R55" s="175">
        <f t="shared" si="1"/>
        <v>0</v>
      </c>
      <c r="S55" s="176">
        <f>R55/I55</f>
        <v>0</v>
      </c>
    </row>
    <row r="56" spans="1:19" ht="28.8" x14ac:dyDescent="0.3">
      <c r="A56" s="1289"/>
      <c r="B56" s="1289"/>
      <c r="C56" s="372" t="s">
        <v>61</v>
      </c>
      <c r="D56" s="372" t="s">
        <v>198</v>
      </c>
      <c r="E56" s="372">
        <v>0.05</v>
      </c>
      <c r="F56" s="32">
        <v>5501866</v>
      </c>
      <c r="G56" s="32">
        <f t="shared" si="37"/>
        <v>5782461</v>
      </c>
      <c r="H56" s="32">
        <f>ROUND((E56*F56),0)</f>
        <v>275093</v>
      </c>
      <c r="I56" s="32">
        <f t="shared" si="38"/>
        <v>289123</v>
      </c>
      <c r="J56" s="1289"/>
      <c r="K56" s="402">
        <v>0.05</v>
      </c>
      <c r="L56" s="403">
        <f>ROUND(K56*$F$56,0)</f>
        <v>275093</v>
      </c>
      <c r="M56" s="404">
        <f>L56/$H$56</f>
        <v>1</v>
      </c>
      <c r="N56" s="432">
        <v>0</v>
      </c>
      <c r="O56" s="425">
        <f>ROUND(N56*$G$56,0)</f>
        <v>0</v>
      </c>
      <c r="P56" s="426">
        <f t="shared" ref="P56" si="39">O56/I56</f>
        <v>0</v>
      </c>
      <c r="Q56" s="416">
        <f>K56+N56</f>
        <v>0.05</v>
      </c>
      <c r="R56" s="175">
        <f t="shared" si="1"/>
        <v>275093</v>
      </c>
      <c r="S56" s="176">
        <f t="shared" si="0"/>
        <v>1</v>
      </c>
    </row>
    <row r="57" spans="1:19" x14ac:dyDescent="0.3">
      <c r="A57" s="1289"/>
      <c r="B57" s="1289"/>
      <c r="C57" s="377"/>
      <c r="D57" s="377" t="s">
        <v>199</v>
      </c>
      <c r="E57" s="378"/>
      <c r="F57" s="378"/>
      <c r="G57" s="378"/>
      <c r="H57" s="379">
        <f>SUM(H55:H56)</f>
        <v>330808</v>
      </c>
      <c r="I57" s="379">
        <f>SUM(I55:I56)</f>
        <v>347680</v>
      </c>
      <c r="J57" s="1289"/>
      <c r="K57" s="306"/>
      <c r="L57" s="307">
        <f>SUM(L55:L56)</f>
        <v>275093</v>
      </c>
      <c r="M57" s="308">
        <f>L57/$H$57</f>
        <v>0.83157904282846851</v>
      </c>
      <c r="N57" s="428"/>
      <c r="O57" s="307">
        <f>SUM(O55:O56)</f>
        <v>0</v>
      </c>
      <c r="P57" s="431">
        <f>O57/$H$57</f>
        <v>0</v>
      </c>
      <c r="Q57" s="306"/>
      <c r="R57" s="307">
        <f t="shared" si="1"/>
        <v>275093</v>
      </c>
      <c r="S57" s="308">
        <f t="shared" si="0"/>
        <v>0.83157904282846851</v>
      </c>
    </row>
    <row r="58" spans="1:19" x14ac:dyDescent="0.3">
      <c r="F58" s="151" t="s">
        <v>64</v>
      </c>
      <c r="G58" s="151"/>
      <c r="H58" s="181">
        <f>SUM(H14:H57)/2</f>
        <v>6339336</v>
      </c>
      <c r="I58" s="181">
        <f>SUM(I14:I57)/2</f>
        <v>6662646</v>
      </c>
      <c r="K58" s="151" t="s">
        <v>64</v>
      </c>
      <c r="L58" s="181">
        <f>SUM(L14:L57)/2</f>
        <v>5332980</v>
      </c>
      <c r="M58" s="322">
        <f>L58/$H$58</f>
        <v>0.84125214375764279</v>
      </c>
      <c r="N58" s="480" t="s">
        <v>64</v>
      </c>
      <c r="O58" s="481">
        <f>SUM(O14:O57)/2</f>
        <v>0</v>
      </c>
      <c r="Q58" s="480" t="s">
        <v>64</v>
      </c>
      <c r="R58" s="481">
        <f>SUM(R14:R57)/2</f>
        <v>5332980</v>
      </c>
    </row>
    <row r="59" spans="1:19" x14ac:dyDescent="0.3">
      <c r="F59" s="153" t="s">
        <v>65</v>
      </c>
      <c r="G59" s="816"/>
      <c r="H59" s="182">
        <v>0</v>
      </c>
      <c r="I59" s="182">
        <v>0</v>
      </c>
      <c r="K59" s="153" t="s">
        <v>65</v>
      </c>
      <c r="L59" s="182">
        <v>0</v>
      </c>
      <c r="N59" s="482" t="s">
        <v>65</v>
      </c>
      <c r="O59" s="483">
        <v>0</v>
      </c>
      <c r="Q59" s="482" t="s">
        <v>65</v>
      </c>
      <c r="R59" s="483">
        <v>0</v>
      </c>
    </row>
    <row r="60" spans="1:19" x14ac:dyDescent="0.3">
      <c r="F60" s="152" t="s">
        <v>64</v>
      </c>
      <c r="G60" s="817"/>
      <c r="H60" s="182">
        <f>+H58+H59</f>
        <v>6339336</v>
      </c>
      <c r="I60" s="182">
        <f>+I58+I59</f>
        <v>6662646</v>
      </c>
      <c r="K60" s="152" t="s">
        <v>64</v>
      </c>
      <c r="L60" s="182">
        <f>+L58+L59</f>
        <v>5332980</v>
      </c>
      <c r="N60" s="484" t="s">
        <v>64</v>
      </c>
      <c r="O60" s="483">
        <f>+O58+O59</f>
        <v>0</v>
      </c>
      <c r="Q60" s="484" t="s">
        <v>64</v>
      </c>
      <c r="R60" s="483">
        <f>+R58+R59</f>
        <v>5332980</v>
      </c>
    </row>
    <row r="61" spans="1:19" ht="26.4" x14ac:dyDescent="0.3">
      <c r="F61" s="152"/>
      <c r="G61" s="817"/>
      <c r="H61" s="182"/>
      <c r="I61" s="182"/>
      <c r="K61" s="152"/>
      <c r="L61" s="182"/>
      <c r="N61" s="484" t="s">
        <v>1439</v>
      </c>
      <c r="O61" s="483">
        <f>ROUND(O60*0.015,0)</f>
        <v>0</v>
      </c>
      <c r="Q61" s="484" t="s">
        <v>1439</v>
      </c>
      <c r="R61" s="483">
        <f>L61+O61</f>
        <v>0</v>
      </c>
    </row>
    <row r="62" spans="1:19" ht="26.4" x14ac:dyDescent="0.3">
      <c r="F62" s="152"/>
      <c r="G62" s="817"/>
      <c r="H62" s="182"/>
      <c r="I62" s="182"/>
      <c r="K62" s="152"/>
      <c r="L62" s="182"/>
      <c r="N62" s="152" t="s">
        <v>1440</v>
      </c>
      <c r="O62" s="182">
        <f>O60+O61</f>
        <v>0</v>
      </c>
      <c r="P62" s="322">
        <f>O62/$H$58</f>
        <v>0</v>
      </c>
      <c r="Q62" s="152" t="s">
        <v>1440</v>
      </c>
      <c r="R62" s="182">
        <f>R60+R61</f>
        <v>5332980</v>
      </c>
      <c r="S62" s="322">
        <f>R62/H58</f>
        <v>0.84125214375764279</v>
      </c>
    </row>
    <row r="63" spans="1:19" x14ac:dyDescent="0.3">
      <c r="F63" s="154" t="s">
        <v>66</v>
      </c>
      <c r="G63" s="818"/>
      <c r="H63" s="182">
        <f>+H60*19%</f>
        <v>1204473.8400000001</v>
      </c>
      <c r="I63" s="182">
        <f>+I60*19%</f>
        <v>1265902.74</v>
      </c>
      <c r="K63" s="154" t="s">
        <v>66</v>
      </c>
      <c r="L63" s="182">
        <f>+L60*19%</f>
        <v>1013266.2000000001</v>
      </c>
      <c r="N63" s="485" t="s">
        <v>66</v>
      </c>
      <c r="O63" s="483">
        <f>ROUND(O62*0.19,0)</f>
        <v>0</v>
      </c>
      <c r="Q63" s="485" t="s">
        <v>66</v>
      </c>
      <c r="R63" s="483">
        <f>ROUND(R62*0.19,0)</f>
        <v>1013266</v>
      </c>
    </row>
    <row r="64" spans="1:19" x14ac:dyDescent="0.3">
      <c r="F64" s="155" t="s">
        <v>69</v>
      </c>
      <c r="G64" s="155"/>
      <c r="H64" s="181">
        <f>+H60+H63</f>
        <v>7543809.8399999999</v>
      </c>
      <c r="I64" s="181">
        <f>+I60+I63</f>
        <v>7928548.7400000002</v>
      </c>
      <c r="K64" s="155" t="s">
        <v>69</v>
      </c>
      <c r="L64" s="181">
        <f>+L60+L63</f>
        <v>6346246.2000000002</v>
      </c>
      <c r="N64" s="545" t="s">
        <v>69</v>
      </c>
      <c r="O64" s="481">
        <f>O62+O63</f>
        <v>0</v>
      </c>
      <c r="Q64" s="545" t="s">
        <v>69</v>
      </c>
      <c r="R64" s="481">
        <f>R62+R63</f>
        <v>6346246</v>
      </c>
    </row>
    <row r="67" spans="1:28" x14ac:dyDescent="0.3">
      <c r="A67" s="183" t="s">
        <v>67</v>
      </c>
      <c r="B67" s="184"/>
      <c r="C67" s="184"/>
      <c r="D67" s="185" t="s">
        <v>68</v>
      </c>
      <c r="K67" s="186" t="s">
        <v>70</v>
      </c>
      <c r="L67" s="187" t="s">
        <v>71</v>
      </c>
      <c r="M67" s="186" t="s">
        <v>58</v>
      </c>
      <c r="N67" s="186" t="s">
        <v>70</v>
      </c>
      <c r="O67" s="187" t="s">
        <v>71</v>
      </c>
      <c r="P67" s="186" t="s">
        <v>58</v>
      </c>
      <c r="Q67"/>
      <c r="R67"/>
      <c r="S67"/>
      <c r="T67"/>
      <c r="U67"/>
      <c r="V67"/>
      <c r="W67"/>
      <c r="X67"/>
      <c r="Y67"/>
      <c r="Z67" s="189"/>
      <c r="AA67" s="189"/>
      <c r="AB67" s="189"/>
    </row>
    <row r="68" spans="1:28" x14ac:dyDescent="0.3">
      <c r="A68" s="183"/>
      <c r="B68" s="184"/>
      <c r="C68" s="184"/>
      <c r="D68" s="185"/>
      <c r="K68" s="69" t="s">
        <v>72</v>
      </c>
      <c r="L68" s="70">
        <f>$L$58</f>
        <v>5332980</v>
      </c>
      <c r="M68" s="71">
        <f>$M$58</f>
        <v>0.84125214375764279</v>
      </c>
      <c r="N68" s="69" t="s">
        <v>72</v>
      </c>
      <c r="O68" s="70">
        <f>$L$58</f>
        <v>5332980</v>
      </c>
      <c r="P68" s="71">
        <f>$M$58</f>
        <v>0.84125214375764279</v>
      </c>
      <c r="Q68"/>
      <c r="R68"/>
      <c r="S68"/>
      <c r="T68"/>
      <c r="U68"/>
      <c r="V68"/>
      <c r="W68"/>
      <c r="X68"/>
      <c r="Y68"/>
      <c r="Z68" s="189"/>
      <c r="AA68" s="189"/>
      <c r="AB68" s="189"/>
    </row>
    <row r="69" spans="1:28" x14ac:dyDescent="0.3">
      <c r="A69" s="183"/>
      <c r="B69" s="184"/>
      <c r="C69" s="184"/>
      <c r="D69" s="185"/>
      <c r="K69" s="69"/>
      <c r="L69" s="70"/>
      <c r="M69" s="71"/>
      <c r="N69" s="69" t="s">
        <v>73</v>
      </c>
      <c r="O69" s="70">
        <f>$O$62</f>
        <v>0</v>
      </c>
      <c r="P69" s="71">
        <f>$P$62</f>
        <v>0</v>
      </c>
      <c r="Z69" s="189"/>
      <c r="AA69" s="189"/>
      <c r="AB69" s="189"/>
    </row>
    <row r="70" spans="1:28" x14ac:dyDescent="0.3">
      <c r="A70" s="183"/>
      <c r="B70" s="184"/>
      <c r="C70" s="184"/>
      <c r="D70" s="185"/>
      <c r="K70" s="72" t="s">
        <v>1</v>
      </c>
      <c r="L70" s="105">
        <f>SUM(L68:L68)</f>
        <v>5332980</v>
      </c>
      <c r="M70" s="73">
        <f>SUM(M68:M68)</f>
        <v>0.84125214375764279</v>
      </c>
      <c r="N70" s="72" t="s">
        <v>1</v>
      </c>
      <c r="O70" s="105">
        <f>SUM(O68:O69)</f>
        <v>5332980</v>
      </c>
      <c r="P70" s="73">
        <f>SUM(P68:P69)</f>
        <v>0.84125214375764279</v>
      </c>
      <c r="Q70"/>
      <c r="R70"/>
      <c r="S70"/>
      <c r="T70"/>
      <c r="U70"/>
      <c r="V70"/>
      <c r="W70"/>
      <c r="X70"/>
      <c r="Y70"/>
      <c r="Z70" s="189"/>
      <c r="AA70" s="189"/>
      <c r="AB70" s="189"/>
    </row>
    <row r="71" spans="1:28" x14ac:dyDescent="0.3">
      <c r="A71" s="183"/>
      <c r="B71" s="184"/>
      <c r="C71" s="184"/>
      <c r="D71" s="185"/>
      <c r="K71" s="72" t="s">
        <v>9</v>
      </c>
      <c r="L71" s="1285"/>
      <c r="M71" s="1286"/>
      <c r="N71" s="72" t="s">
        <v>9</v>
      </c>
      <c r="O71" s="1285"/>
      <c r="P71" s="1286"/>
      <c r="Q71"/>
      <c r="R71"/>
      <c r="S71"/>
      <c r="T71"/>
      <c r="U71"/>
      <c r="V71"/>
      <c r="W71"/>
      <c r="X71"/>
      <c r="Y71"/>
      <c r="Z71" s="189"/>
      <c r="AA71" s="189"/>
      <c r="AB71" s="189"/>
    </row>
    <row r="72" spans="1:28" x14ac:dyDescent="0.3">
      <c r="A72" s="183"/>
      <c r="B72" s="184"/>
      <c r="C72" s="184"/>
      <c r="D72" s="185"/>
      <c r="K72" s="156" t="s">
        <v>78</v>
      </c>
      <c r="L72" s="1285" t="s">
        <v>202</v>
      </c>
      <c r="M72" s="1286"/>
      <c r="N72" s="156" t="s">
        <v>78</v>
      </c>
      <c r="O72" s="1285" t="s">
        <v>202</v>
      </c>
      <c r="P72" s="1286"/>
      <c r="Q72"/>
      <c r="R72"/>
      <c r="S72"/>
      <c r="T72"/>
      <c r="U72"/>
      <c r="V72"/>
      <c r="W72"/>
      <c r="X72"/>
      <c r="Y72"/>
      <c r="Z72" s="189"/>
      <c r="AA72" s="189"/>
      <c r="AB72" s="189"/>
    </row>
    <row r="73" spans="1:28" x14ac:dyDescent="0.3">
      <c r="A73" s="183"/>
      <c r="B73" s="184"/>
      <c r="C73" s="184"/>
      <c r="D73" s="185"/>
      <c r="K73" s="157" t="s">
        <v>8</v>
      </c>
      <c r="L73" s="1287" t="s">
        <v>1006</v>
      </c>
      <c r="M73" s="1288"/>
      <c r="N73" s="157" t="s">
        <v>8</v>
      </c>
      <c r="O73" s="1287" t="s">
        <v>1006</v>
      </c>
      <c r="P73" s="1288"/>
      <c r="Q73"/>
      <c r="R73"/>
      <c r="S73"/>
      <c r="T73"/>
      <c r="U73"/>
      <c r="V73"/>
      <c r="W73"/>
      <c r="X73"/>
      <c r="Y73"/>
      <c r="Z73" s="189"/>
      <c r="AA73" s="189"/>
      <c r="AB73" s="189"/>
    </row>
    <row r="74" spans="1:28" x14ac:dyDescent="0.3">
      <c r="A74" s="183"/>
      <c r="B74" s="184"/>
      <c r="C74" s="184"/>
      <c r="D74" s="185" t="s">
        <v>75</v>
      </c>
    </row>
    <row r="75" spans="1:28" x14ac:dyDescent="0.3">
      <c r="A75" s="183" t="s">
        <v>76</v>
      </c>
      <c r="B75" s="180"/>
      <c r="C75" s="180"/>
      <c r="D75" s="185" t="s">
        <v>77</v>
      </c>
    </row>
    <row r="76" spans="1:28" ht="15.75" customHeight="1" x14ac:dyDescent="0.3">
      <c r="A76" s="183" t="s">
        <v>79</v>
      </c>
      <c r="B76" s="180"/>
      <c r="C76" s="180"/>
      <c r="D76" s="185" t="s">
        <v>80</v>
      </c>
    </row>
  </sheetData>
  <sheetProtection formatCells="0" formatColumns="0" formatRows="0" insertColumns="0" insertRows="0" insertHyperlinks="0" deleteColumns="0" deleteRows="0" sort="0" autoFilter="0" pivotTables="0"/>
  <mergeCells count="67">
    <mergeCell ref="O71:P71"/>
    <mergeCell ref="O72:P72"/>
    <mergeCell ref="O73:P73"/>
    <mergeCell ref="C1:P2"/>
    <mergeCell ref="A7:S7"/>
    <mergeCell ref="A8:S8"/>
    <mergeCell ref="A14:A16"/>
    <mergeCell ref="B14:B16"/>
    <mergeCell ref="J14:J16"/>
    <mergeCell ref="N11:P12"/>
    <mergeCell ref="A17:A19"/>
    <mergeCell ref="B17:B19"/>
    <mergeCell ref="J17:J19"/>
    <mergeCell ref="A20:A22"/>
    <mergeCell ref="B20:B22"/>
    <mergeCell ref="J20:J22"/>
    <mergeCell ref="B28:B30"/>
    <mergeCell ref="J28:J30"/>
    <mergeCell ref="B31:B33"/>
    <mergeCell ref="J31:J33"/>
    <mergeCell ref="A23:A24"/>
    <mergeCell ref="B23:B24"/>
    <mergeCell ref="J23:J24"/>
    <mergeCell ref="A25:A27"/>
    <mergeCell ref="B25:B27"/>
    <mergeCell ref="J25:J27"/>
    <mergeCell ref="A55:A57"/>
    <mergeCell ref="B55:B57"/>
    <mergeCell ref="J55:J57"/>
    <mergeCell ref="A49:A51"/>
    <mergeCell ref="B49:B51"/>
    <mergeCell ref="J49:J51"/>
    <mergeCell ref="A52:A54"/>
    <mergeCell ref="B52:B54"/>
    <mergeCell ref="J52:J54"/>
    <mergeCell ref="A46:A48"/>
    <mergeCell ref="B46:B48"/>
    <mergeCell ref="J46:J48"/>
    <mergeCell ref="Q1:S1"/>
    <mergeCell ref="Q2:S2"/>
    <mergeCell ref="A3:S3"/>
    <mergeCell ref="A4:S4"/>
    <mergeCell ref="A5:S5"/>
    <mergeCell ref="A34:A36"/>
    <mergeCell ref="B34:B36"/>
    <mergeCell ref="J34:J36"/>
    <mergeCell ref="A6:S6"/>
    <mergeCell ref="A43:A45"/>
    <mergeCell ref="B43:B45"/>
    <mergeCell ref="J43:J45"/>
    <mergeCell ref="A28:A30"/>
    <mergeCell ref="L73:M73"/>
    <mergeCell ref="L71:M71"/>
    <mergeCell ref="L72:M72"/>
    <mergeCell ref="A9:S9"/>
    <mergeCell ref="A10:S10"/>
    <mergeCell ref="B11:J11"/>
    <mergeCell ref="K11:M12"/>
    <mergeCell ref="Q11:S12"/>
    <mergeCell ref="B12:J12"/>
    <mergeCell ref="A37:A39"/>
    <mergeCell ref="B37:B39"/>
    <mergeCell ref="J37:J39"/>
    <mergeCell ref="A40:A42"/>
    <mergeCell ref="B40:B42"/>
    <mergeCell ref="J40:J42"/>
    <mergeCell ref="A31:A33"/>
  </mergeCells>
  <pageMargins left="0.70866141732283472" right="0.70866141732283472" top="0.74803149606299213" bottom="0.74803149606299213" header="0.31496062992125984" footer="0.31496062992125984"/>
  <pageSetup scale="70" orientation="landscape" r:id="rId1"/>
  <rowBreaks count="1" manualBreakCount="1">
    <brk id="51" max="16383" man="1"/>
  </rowBreaks>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tabColor theme="1"/>
  </sheetPr>
  <dimension ref="A1:G49"/>
  <sheetViews>
    <sheetView topLeftCell="A10" zoomScaleNormal="100" workbookViewId="0">
      <selection activeCell="F35" sqref="F3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f>
        <v>Proyecto: CDIM_CBSGSM_R0071 REPOSICIÓN DE PROTECCIONES EN SE AT-MT, Planos As-Built Cambio Protecciones - SE TECHO</v>
      </c>
      <c r="C5" s="1281"/>
      <c r="D5" s="1281"/>
      <c r="E5" s="1281"/>
      <c r="F5" s="1281"/>
      <c r="G5" s="1282"/>
    </row>
    <row r="6" spans="1:7" x14ac:dyDescent="0.25">
      <c r="A6" s="1177"/>
      <c r="B6" s="1177"/>
      <c r="C6" s="1177"/>
      <c r="D6" s="1177"/>
      <c r="E6" s="1177"/>
      <c r="F6" s="1177"/>
      <c r="G6" s="1177"/>
    </row>
    <row r="7" spans="1:7" x14ac:dyDescent="0.25">
      <c r="A7" s="271" t="s">
        <v>0</v>
      </c>
      <c r="B7" s="1264" t="str">
        <f>RESUMEN!B16</f>
        <v>D00234810</v>
      </c>
      <c r="C7" s="1265"/>
      <c r="D7" s="1177"/>
      <c r="E7" s="1266" t="s">
        <v>627</v>
      </c>
      <c r="F7" s="1267"/>
      <c r="G7" s="280" t="str">
        <f>RESUMEN!E16</f>
        <v xml:space="preserve">17-048 </v>
      </c>
    </row>
    <row r="8" spans="1:7" x14ac:dyDescent="0.25">
      <c r="A8" s="271" t="s">
        <v>628</v>
      </c>
      <c r="B8" s="1264" t="str">
        <f>RESUMEN!C16</f>
        <v>D00234810000</v>
      </c>
      <c r="C8" s="1265"/>
      <c r="D8" s="1177"/>
      <c r="E8" s="1266" t="s">
        <v>629</v>
      </c>
      <c r="F8" s="1267"/>
      <c r="G8" s="280" t="str">
        <f>RESUMEN!U16</f>
        <v>Acta N° 2: Marzo</v>
      </c>
    </row>
    <row r="9" spans="1:7" x14ac:dyDescent="0.25">
      <c r="A9" s="271" t="s">
        <v>630</v>
      </c>
      <c r="B9" s="1283" t="s">
        <v>631</v>
      </c>
      <c r="C9" s="1265"/>
      <c r="D9" s="1177"/>
      <c r="E9" s="1266" t="s">
        <v>632</v>
      </c>
      <c r="F9" s="1267"/>
      <c r="G9" s="1178">
        <f>RESUMEN!H16</f>
        <v>5281800</v>
      </c>
    </row>
    <row r="10" spans="1:7" x14ac:dyDescent="0.25">
      <c r="A10" s="271" t="s">
        <v>633</v>
      </c>
      <c r="B10" s="1283" t="str">
        <f>RESUMEN!D16</f>
        <v>TECHO PLANOS AS BUILT</v>
      </c>
      <c r="C10" s="1265"/>
      <c r="D10" s="1177"/>
      <c r="E10" s="1266" t="s">
        <v>634</v>
      </c>
      <c r="F10" s="1267"/>
      <c r="G10" s="1178">
        <f>RESUMEN!R16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CDIM_CBSGSM_R0071 REPOSICIÓN DE PROTECCIONES EN SE AT-MT, Planos As-Built Cambio Protecciones - SE TECHO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f>
        <v>0</v>
      </c>
      <c r="F19" s="1248"/>
      <c r="G19" s="1177"/>
    </row>
    <row r="20" spans="1:7" ht="27" customHeight="1" x14ac:dyDescent="0.25">
      <c r="A20" s="1177"/>
      <c r="B20" s="1244" t="s">
        <v>1498</v>
      </c>
      <c r="C20" s="1245"/>
      <c r="D20" s="1246"/>
      <c r="E20" s="1247">
        <f>RESUMEN!P16</f>
        <v>0</v>
      </c>
      <c r="F20" s="1248"/>
      <c r="G20" s="1177"/>
    </row>
    <row r="21" spans="1:7" ht="27" customHeight="1" x14ac:dyDescent="0.25">
      <c r="A21" s="1177"/>
      <c r="B21" s="1244" t="s">
        <v>1499</v>
      </c>
      <c r="C21" s="1245"/>
      <c r="D21" s="1246"/>
      <c r="E21" s="1247">
        <f>RESUMEN!Q16</f>
        <v>0</v>
      </c>
      <c r="F21" s="1248"/>
      <c r="G21" s="1177"/>
    </row>
    <row r="22" spans="1:7" x14ac:dyDescent="0.25">
      <c r="A22" s="1177"/>
      <c r="B22" s="1254" t="s">
        <v>64</v>
      </c>
      <c r="C22" s="1254"/>
      <c r="D22" s="1254"/>
      <c r="E22" s="1255">
        <f>RESUMEN!R16</f>
        <v>0</v>
      </c>
      <c r="F22" s="1255"/>
      <c r="G22" s="1177"/>
    </row>
    <row r="23" spans="1:7" x14ac:dyDescent="0.25">
      <c r="A23" s="1177"/>
      <c r="B23" s="1256" t="s">
        <v>66</v>
      </c>
      <c r="C23" s="1256"/>
      <c r="D23" s="1256"/>
      <c r="E23" s="1257">
        <f>RESUMEN!S16</f>
        <v>0</v>
      </c>
      <c r="F23" s="1257"/>
      <c r="G23" s="1177"/>
    </row>
    <row r="24" spans="1:7" x14ac:dyDescent="0.25">
      <c r="A24" s="1177"/>
      <c r="B24" s="1258" t="s">
        <v>1</v>
      </c>
      <c r="C24" s="1258"/>
      <c r="D24" s="1258"/>
      <c r="E24" s="1259">
        <f>RESUMEN!T16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+'OT17-048 TECHO PLANOS AS BUILT'!N95</f>
        <v>ACTA 1</v>
      </c>
      <c r="C28" s="1253">
        <f>+'OT17-048 TECHO PLANOS AS BUILT'!O95</f>
        <v>4212072</v>
      </c>
      <c r="D28" s="1253"/>
      <c r="E28" s="267">
        <f>+'OT17-048 TECHO PLANOS AS BUILT'!P95</f>
        <v>0.79746904464387136</v>
      </c>
      <c r="F28" s="1177"/>
      <c r="G28" s="1177"/>
    </row>
    <row r="29" spans="1:7" x14ac:dyDescent="0.25">
      <c r="A29" s="1177"/>
      <c r="B29" s="280" t="str">
        <f>+'OT17-048 TECHO PLANOS AS BUILT'!N96</f>
        <v>ACTA 2</v>
      </c>
      <c r="C29" s="1253">
        <f>+'OT17-048 TECHO PLANOS AS BUILT'!O96</f>
        <v>0</v>
      </c>
      <c r="D29" s="1253"/>
      <c r="E29" s="267">
        <f>+'OT17-048 TECHO PLANOS AS BUILT'!P96</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4212072</v>
      </c>
      <c r="D34" s="1251"/>
      <c r="E34" s="264">
        <f>SUM(E28:E33)</f>
        <v>0.79746904464387136</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tabColor theme="9" tint="-0.249977111117893"/>
  </sheetPr>
  <dimension ref="A1:AB103"/>
  <sheetViews>
    <sheetView topLeftCell="A73" zoomScale="55" zoomScaleNormal="55" workbookViewId="0">
      <selection activeCell="D72" sqref="D72"/>
    </sheetView>
  </sheetViews>
  <sheetFormatPr baseColWidth="10" defaultColWidth="11.44140625" defaultRowHeight="14.4" x14ac:dyDescent="0.3"/>
  <cols>
    <col min="1" max="1" width="18.109375" style="189" customWidth="1"/>
    <col min="2" max="2" width="23.109375" style="189" customWidth="1"/>
    <col min="3" max="3" width="32.33203125" style="189" customWidth="1"/>
    <col min="4" max="4" width="23.5546875" style="189" customWidth="1"/>
    <col min="5" max="5" width="10.5546875" style="189" bestFit="1" customWidth="1"/>
    <col min="6" max="6" width="17.88671875" style="189" bestFit="1" customWidth="1"/>
    <col min="7" max="7" width="17.88671875" style="796" customWidth="1"/>
    <col min="8" max="8" width="16.6640625" style="189" customWidth="1"/>
    <col min="9" max="9" width="16.6640625" style="796" customWidth="1"/>
    <col min="10" max="10" width="44.88671875" style="189" customWidth="1"/>
    <col min="11" max="11" width="17.88671875" style="189" hidden="1" customWidth="1"/>
    <col min="12" max="12" width="18" style="189" hidden="1" customWidth="1"/>
    <col min="13" max="13" width="11.44140625" style="189" hidden="1" customWidth="1"/>
    <col min="14" max="14" width="17.88671875" style="189" bestFit="1" customWidth="1"/>
    <col min="15" max="15" width="18" style="189" bestFit="1" customWidth="1"/>
    <col min="16" max="16" width="11.44140625" style="189"/>
    <col min="17" max="17" width="17.88671875" style="189" bestFit="1" customWidth="1"/>
    <col min="18" max="18" width="16.33203125" style="189" bestFit="1" customWidth="1"/>
    <col min="19" max="16384" width="11.44140625" style="189"/>
  </cols>
  <sheetData>
    <row r="1" spans="1:19" s="302" customFormat="1" ht="14.25" customHeight="1" thickBot="1" x14ac:dyDescent="0.35">
      <c r="A1" s="169"/>
      <c r="B1" s="188"/>
      <c r="C1" s="1307" t="s">
        <v>40</v>
      </c>
      <c r="D1" s="1308"/>
      <c r="E1" s="1308"/>
      <c r="F1" s="1308"/>
      <c r="G1" s="1308"/>
      <c r="H1" s="1308"/>
      <c r="I1" s="1308"/>
      <c r="J1" s="1308"/>
      <c r="K1" s="1308"/>
      <c r="L1" s="1308"/>
      <c r="M1" s="1308"/>
      <c r="N1" s="1308"/>
      <c r="O1" s="1308"/>
      <c r="P1" s="1309"/>
      <c r="Q1" s="1328" t="s">
        <v>857</v>
      </c>
      <c r="R1" s="1303"/>
      <c r="S1" s="1304"/>
    </row>
    <row r="2" spans="1:19" s="302" customFormat="1"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x14ac:dyDescent="0.3">
      <c r="A7" s="1291" t="s">
        <v>1040</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1041</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73"/>
      <c r="B11" s="1318"/>
      <c r="C11" s="1320"/>
      <c r="D11" s="1320"/>
      <c r="E11" s="1320"/>
      <c r="F11" s="1320"/>
      <c r="G11" s="1320"/>
      <c r="H11" s="1320"/>
      <c r="I11" s="1320"/>
      <c r="J11" s="1320"/>
      <c r="K11" s="1293" t="s">
        <v>46</v>
      </c>
      <c r="L11" s="1294"/>
      <c r="M11" s="1295"/>
      <c r="N11" s="1293" t="s">
        <v>2324</v>
      </c>
      <c r="O11" s="1294"/>
      <c r="P11" s="1295"/>
      <c r="Q11" s="1299" t="s">
        <v>49</v>
      </c>
      <c r="R11" s="1299"/>
      <c r="S11" s="1299"/>
    </row>
    <row r="12" spans="1:19" s="302" customFormat="1" ht="13.5" customHeight="1" x14ac:dyDescent="0.3">
      <c r="A12" s="171"/>
      <c r="B12" s="1318"/>
      <c r="C12" s="1319"/>
      <c r="D12" s="1319"/>
      <c r="E12" s="1319"/>
      <c r="F12" s="1319"/>
      <c r="G12" s="1319"/>
      <c r="H12" s="1319"/>
      <c r="I12" s="1319"/>
      <c r="J12" s="1319"/>
      <c r="K12" s="1325"/>
      <c r="L12" s="1326"/>
      <c r="M12" s="1327"/>
      <c r="N12" s="1325"/>
      <c r="O12" s="1326"/>
      <c r="P12" s="1327"/>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209" t="s">
        <v>54</v>
      </c>
      <c r="L13" s="210" t="s">
        <v>55</v>
      </c>
      <c r="M13" s="209" t="s">
        <v>58</v>
      </c>
      <c r="N13" s="209" t="s">
        <v>54</v>
      </c>
      <c r="O13" s="210" t="s">
        <v>2007</v>
      </c>
      <c r="P13" s="209" t="s">
        <v>58</v>
      </c>
      <c r="Q13" s="209" t="s">
        <v>54</v>
      </c>
      <c r="R13" s="209" t="s">
        <v>56</v>
      </c>
      <c r="S13" s="209" t="s">
        <v>58</v>
      </c>
    </row>
    <row r="14" spans="1:19" ht="42.75" customHeight="1" x14ac:dyDescent="0.3">
      <c r="A14" s="1314" t="s">
        <v>1009</v>
      </c>
      <c r="B14" s="1314" t="s">
        <v>1010</v>
      </c>
      <c r="C14" s="374" t="s">
        <v>83</v>
      </c>
      <c r="D14" s="374" t="s">
        <v>1011</v>
      </c>
      <c r="E14" s="374">
        <v>0.04</v>
      </c>
      <c r="F14" s="192">
        <v>1114302</v>
      </c>
      <c r="G14" s="32">
        <f>+ROUND(F14*1.051,0)</f>
        <v>1171131</v>
      </c>
      <c r="H14" s="192">
        <f>ROUND((E14*F14),0)</f>
        <v>44572</v>
      </c>
      <c r="I14" s="32">
        <f>+ROUND(G14*E14,0)</f>
        <v>46845</v>
      </c>
      <c r="J14" s="1314" t="s">
        <v>1012</v>
      </c>
      <c r="K14" s="158">
        <v>0</v>
      </c>
      <c r="L14" s="194">
        <f>ROUND(K14*$F$14,0)</f>
        <v>0</v>
      </c>
      <c r="M14" s="195">
        <f>L14/$H$14</f>
        <v>0</v>
      </c>
      <c r="N14" s="432">
        <v>0</v>
      </c>
      <c r="O14" s="425">
        <f>ROUND(N14*$G$14,0)</f>
        <v>0</v>
      </c>
      <c r="P14" s="426">
        <f>O14/I14</f>
        <v>0</v>
      </c>
      <c r="Q14" s="149">
        <f>K14+N14</f>
        <v>0</v>
      </c>
      <c r="R14" s="175">
        <f>L14+O14</f>
        <v>0</v>
      </c>
      <c r="S14" s="176">
        <f>R14/I14</f>
        <v>0</v>
      </c>
    </row>
    <row r="15" spans="1:19" ht="28.5" customHeight="1" x14ac:dyDescent="0.3">
      <c r="A15" s="1314"/>
      <c r="B15" s="1314"/>
      <c r="C15" s="374" t="s">
        <v>61</v>
      </c>
      <c r="D15" s="374" t="s">
        <v>1013</v>
      </c>
      <c r="E15" s="374">
        <v>0.04</v>
      </c>
      <c r="F15" s="192">
        <v>4387564</v>
      </c>
      <c r="G15" s="32">
        <f>+ROUND(F15*1.051,0)</f>
        <v>4611330</v>
      </c>
      <c r="H15" s="192">
        <f>ROUND((E15*F15),0)</f>
        <v>175503</v>
      </c>
      <c r="I15" s="32">
        <f>+ROUND(G15*E15,0)</f>
        <v>184453</v>
      </c>
      <c r="J15" s="1314"/>
      <c r="K15" s="395">
        <v>0.04</v>
      </c>
      <c r="L15" s="396">
        <f>ROUND(K15*$F$15,0)</f>
        <v>175503</v>
      </c>
      <c r="M15" s="397">
        <f>L15/$H$15</f>
        <v>1</v>
      </c>
      <c r="N15" s="432">
        <v>0</v>
      </c>
      <c r="O15" s="425">
        <f>ROUND(N15*$G$15,0)</f>
        <v>0</v>
      </c>
      <c r="P15" s="426">
        <f>O15/I15</f>
        <v>0</v>
      </c>
      <c r="Q15" s="416">
        <f>K15+N15</f>
        <v>0.04</v>
      </c>
      <c r="R15" s="175">
        <f>L15+O15</f>
        <v>175503</v>
      </c>
      <c r="S15" s="176">
        <f t="shared" ref="S15:S45" si="0">R15/H15</f>
        <v>1</v>
      </c>
    </row>
    <row r="16" spans="1:19" x14ac:dyDescent="0.3">
      <c r="A16" s="1314"/>
      <c r="B16" s="1314"/>
      <c r="C16" s="196"/>
      <c r="D16" s="196" t="s">
        <v>1014</v>
      </c>
      <c r="E16" s="198"/>
      <c r="F16" s="198"/>
      <c r="G16" s="198"/>
      <c r="H16" s="199">
        <f>SUM(H14:H15)</f>
        <v>220075</v>
      </c>
      <c r="I16" s="199">
        <f>SUM(I14:I15)</f>
        <v>231298</v>
      </c>
      <c r="J16" s="1314"/>
      <c r="K16" s="306"/>
      <c r="L16" s="307">
        <f>SUM(L14:L15)</f>
        <v>175503</v>
      </c>
      <c r="M16" s="308">
        <f>L16/$H$16</f>
        <v>0.79746904464387136</v>
      </c>
      <c r="N16" s="428"/>
      <c r="O16" s="307">
        <f>SUM(O14:O15)</f>
        <v>0</v>
      </c>
      <c r="P16" s="431">
        <f>O16/$H$16</f>
        <v>0</v>
      </c>
      <c r="Q16" s="306"/>
      <c r="R16" s="307">
        <f t="shared" ref="R16:R47" si="1">L16+O16</f>
        <v>175503</v>
      </c>
      <c r="S16" s="308">
        <f t="shared" si="0"/>
        <v>0.79746904464387136</v>
      </c>
    </row>
    <row r="17" spans="1:19" ht="38.25" customHeight="1" x14ac:dyDescent="0.3">
      <c r="A17" s="1314" t="s">
        <v>1015</v>
      </c>
      <c r="B17" s="1314" t="s">
        <v>1010</v>
      </c>
      <c r="C17" s="374" t="s">
        <v>83</v>
      </c>
      <c r="D17" s="374" t="s">
        <v>1011</v>
      </c>
      <c r="E17" s="374">
        <v>0.04</v>
      </c>
      <c r="F17" s="192">
        <v>1114302</v>
      </c>
      <c r="G17" s="32">
        <f t="shared" ref="G17:G18" si="2">+ROUND(F17*1.051,0)</f>
        <v>1171131</v>
      </c>
      <c r="H17" s="192">
        <f>ROUND((E17*F17),0)</f>
        <v>44572</v>
      </c>
      <c r="I17" s="32">
        <f t="shared" ref="I17:I18" si="3">+ROUND(G17*E17,0)</f>
        <v>46845</v>
      </c>
      <c r="J17" s="1314" t="s">
        <v>1012</v>
      </c>
      <c r="K17" s="158">
        <v>0</v>
      </c>
      <c r="L17" s="194">
        <f>ROUND(K17*$F$17,0)</f>
        <v>0</v>
      </c>
      <c r="M17" s="195">
        <f>L17/$H$17</f>
        <v>0</v>
      </c>
      <c r="N17" s="432">
        <v>0</v>
      </c>
      <c r="O17" s="425">
        <f>ROUND(N17*$G$17,0)</f>
        <v>0</v>
      </c>
      <c r="P17" s="426">
        <f t="shared" ref="P17:P18" si="4">O17/I17</f>
        <v>0</v>
      </c>
      <c r="Q17" s="416">
        <f>K17+N17</f>
        <v>0</v>
      </c>
      <c r="R17" s="175">
        <f t="shared" si="1"/>
        <v>0</v>
      </c>
      <c r="S17" s="176">
        <f>R17/I17</f>
        <v>0</v>
      </c>
    </row>
    <row r="18" spans="1:19" ht="53.25" customHeight="1" x14ac:dyDescent="0.3">
      <c r="A18" s="1314"/>
      <c r="B18" s="1314"/>
      <c r="C18" s="374" t="s">
        <v>61</v>
      </c>
      <c r="D18" s="374" t="s">
        <v>1013</v>
      </c>
      <c r="E18" s="374">
        <v>0.04</v>
      </c>
      <c r="F18" s="192">
        <v>4387564</v>
      </c>
      <c r="G18" s="32">
        <f t="shared" si="2"/>
        <v>4611330</v>
      </c>
      <c r="H18" s="192">
        <f>ROUND((E18*F18),0)</f>
        <v>175503</v>
      </c>
      <c r="I18" s="32">
        <f t="shared" si="3"/>
        <v>184453</v>
      </c>
      <c r="J18" s="1314"/>
      <c r="K18" s="395">
        <v>0.04</v>
      </c>
      <c r="L18" s="396">
        <f>ROUND(K18*$F$18,0)</f>
        <v>175503</v>
      </c>
      <c r="M18" s="397">
        <f>L18/$H$18</f>
        <v>1</v>
      </c>
      <c r="N18" s="432">
        <v>0</v>
      </c>
      <c r="O18" s="425">
        <f>ROUND(N18*$G$18,0)</f>
        <v>0</v>
      </c>
      <c r="P18" s="426">
        <f t="shared" si="4"/>
        <v>0</v>
      </c>
      <c r="Q18" s="416">
        <f>K18+N18</f>
        <v>0.04</v>
      </c>
      <c r="R18" s="175">
        <f t="shared" si="1"/>
        <v>175503</v>
      </c>
      <c r="S18" s="176">
        <f t="shared" si="0"/>
        <v>1</v>
      </c>
    </row>
    <row r="19" spans="1:19" x14ac:dyDescent="0.3">
      <c r="A19" s="1314"/>
      <c r="B19" s="1314"/>
      <c r="C19" s="196"/>
      <c r="D19" s="196" t="s">
        <v>1014</v>
      </c>
      <c r="E19" s="198"/>
      <c r="F19" s="198"/>
      <c r="G19" s="198"/>
      <c r="H19" s="199">
        <f>SUM(H17:H18)</f>
        <v>220075</v>
      </c>
      <c r="I19" s="199">
        <f>SUM(I17:I18)</f>
        <v>231298</v>
      </c>
      <c r="J19" s="1314"/>
      <c r="K19" s="306"/>
      <c r="L19" s="307">
        <f>SUM(L17:L18)</f>
        <v>175503</v>
      </c>
      <c r="M19" s="308">
        <f>L19/$H$19</f>
        <v>0.79746904464387136</v>
      </c>
      <c r="N19" s="428"/>
      <c r="O19" s="307">
        <f>SUM(O17:O18)</f>
        <v>0</v>
      </c>
      <c r="P19" s="431">
        <f>O19/$H$19</f>
        <v>0</v>
      </c>
      <c r="Q19" s="306"/>
      <c r="R19" s="307">
        <f t="shared" si="1"/>
        <v>175503</v>
      </c>
      <c r="S19" s="308">
        <f t="shared" si="0"/>
        <v>0.79746904464387136</v>
      </c>
    </row>
    <row r="20" spans="1:19" ht="37.5" customHeight="1" x14ac:dyDescent="0.3">
      <c r="A20" s="1314" t="s">
        <v>1016</v>
      </c>
      <c r="B20" s="1314" t="s">
        <v>1010</v>
      </c>
      <c r="C20" s="374" t="s">
        <v>83</v>
      </c>
      <c r="D20" s="374" t="s">
        <v>1011</v>
      </c>
      <c r="E20" s="374">
        <v>0.04</v>
      </c>
      <c r="F20" s="192">
        <v>1114302</v>
      </c>
      <c r="G20" s="32">
        <f t="shared" ref="G20:G21" si="5">+ROUND(F20*1.051,0)</f>
        <v>1171131</v>
      </c>
      <c r="H20" s="192">
        <f>ROUND((E20*F20),0)</f>
        <v>44572</v>
      </c>
      <c r="I20" s="32">
        <f t="shared" ref="I20:I21" si="6">+ROUND(G20*E20,0)</f>
        <v>46845</v>
      </c>
      <c r="J20" s="1314" t="s">
        <v>1012</v>
      </c>
      <c r="K20" s="158">
        <v>0</v>
      </c>
      <c r="L20" s="194">
        <f>ROUND(K20*$F$20,0)</f>
        <v>0</v>
      </c>
      <c r="M20" s="195">
        <f>L20/$H$20</f>
        <v>0</v>
      </c>
      <c r="N20" s="432">
        <v>0</v>
      </c>
      <c r="O20" s="425">
        <f>ROUND(N20*$G$20,0)</f>
        <v>0</v>
      </c>
      <c r="P20" s="426">
        <f t="shared" ref="P20:P21" si="7">O20/I20</f>
        <v>0</v>
      </c>
      <c r="Q20" s="416">
        <f>K20+N20</f>
        <v>0</v>
      </c>
      <c r="R20" s="175">
        <f t="shared" si="1"/>
        <v>0</v>
      </c>
      <c r="S20" s="176">
        <f>R20/I20</f>
        <v>0</v>
      </c>
    </row>
    <row r="21" spans="1:19" ht="59.25" customHeight="1" x14ac:dyDescent="0.3">
      <c r="A21" s="1314"/>
      <c r="B21" s="1314"/>
      <c r="C21" s="374" t="s">
        <v>61</v>
      </c>
      <c r="D21" s="374" t="s">
        <v>1013</v>
      </c>
      <c r="E21" s="374">
        <v>0.04</v>
      </c>
      <c r="F21" s="192">
        <v>4387564</v>
      </c>
      <c r="G21" s="32">
        <f t="shared" si="5"/>
        <v>4611330</v>
      </c>
      <c r="H21" s="192">
        <f>ROUND((E21*F21),0)</f>
        <v>175503</v>
      </c>
      <c r="I21" s="32">
        <f t="shared" si="6"/>
        <v>184453</v>
      </c>
      <c r="J21" s="1314"/>
      <c r="K21" s="395">
        <v>0.04</v>
      </c>
      <c r="L21" s="396">
        <f>ROUND(K21*$F$21,0)</f>
        <v>175503</v>
      </c>
      <c r="M21" s="397">
        <f>L21/$H$21</f>
        <v>1</v>
      </c>
      <c r="N21" s="432">
        <v>0</v>
      </c>
      <c r="O21" s="425">
        <f>ROUND(N21*$G$21,0)</f>
        <v>0</v>
      </c>
      <c r="P21" s="426">
        <f t="shared" si="7"/>
        <v>0</v>
      </c>
      <c r="Q21" s="416">
        <f>K21+N21</f>
        <v>0.04</v>
      </c>
      <c r="R21" s="175">
        <f t="shared" si="1"/>
        <v>175503</v>
      </c>
      <c r="S21" s="176">
        <f t="shared" si="0"/>
        <v>1</v>
      </c>
    </row>
    <row r="22" spans="1:19" x14ac:dyDescent="0.3">
      <c r="A22" s="1314"/>
      <c r="B22" s="1314"/>
      <c r="C22" s="196"/>
      <c r="D22" s="196" t="s">
        <v>1014</v>
      </c>
      <c r="E22" s="198"/>
      <c r="F22" s="198"/>
      <c r="G22" s="198"/>
      <c r="H22" s="199">
        <f>SUM(H20:H21)</f>
        <v>220075</v>
      </c>
      <c r="I22" s="199">
        <f>SUM(I20:I21)</f>
        <v>231298</v>
      </c>
      <c r="J22" s="1314"/>
      <c r="K22" s="306"/>
      <c r="L22" s="307">
        <f>SUM(L20:L21)</f>
        <v>175503</v>
      </c>
      <c r="M22" s="308">
        <f>L22/$H$22</f>
        <v>0.79746904464387136</v>
      </c>
      <c r="N22" s="428"/>
      <c r="O22" s="307">
        <f>SUM(O20:O21)</f>
        <v>0</v>
      </c>
      <c r="P22" s="431">
        <f>O22/$H$22</f>
        <v>0</v>
      </c>
      <c r="Q22" s="306"/>
      <c r="R22" s="307">
        <f t="shared" si="1"/>
        <v>175503</v>
      </c>
      <c r="S22" s="308">
        <f t="shared" si="0"/>
        <v>0.79746904464387136</v>
      </c>
    </row>
    <row r="23" spans="1:19" ht="51.75" customHeight="1" x14ac:dyDescent="0.3">
      <c r="A23" s="1314" t="s">
        <v>1017</v>
      </c>
      <c r="B23" s="1314" t="s">
        <v>1010</v>
      </c>
      <c r="C23" s="374" t="s">
        <v>83</v>
      </c>
      <c r="D23" s="374" t="s">
        <v>1011</v>
      </c>
      <c r="E23" s="374">
        <v>0.04</v>
      </c>
      <c r="F23" s="192">
        <v>1114302</v>
      </c>
      <c r="G23" s="32">
        <f t="shared" ref="G23:G24" si="8">+ROUND(F23*1.051,0)</f>
        <v>1171131</v>
      </c>
      <c r="H23" s="192">
        <f>ROUND((E23*F23),0)</f>
        <v>44572</v>
      </c>
      <c r="I23" s="32">
        <f t="shared" ref="I23:I24" si="9">+ROUND(G23*E23,0)</f>
        <v>46845</v>
      </c>
      <c r="J23" s="1314" t="s">
        <v>1012</v>
      </c>
      <c r="K23" s="158">
        <v>0</v>
      </c>
      <c r="L23" s="194">
        <f>ROUND(K23*$F$23,0)</f>
        <v>0</v>
      </c>
      <c r="M23" s="195">
        <f>L23/$H$23</f>
        <v>0</v>
      </c>
      <c r="N23" s="432">
        <v>0</v>
      </c>
      <c r="O23" s="425">
        <f>ROUND(N23*$G$23,0)</f>
        <v>0</v>
      </c>
      <c r="P23" s="426">
        <f t="shared" ref="P23:P24" si="10">O23/I23</f>
        <v>0</v>
      </c>
      <c r="Q23" s="416">
        <f>K23+N23</f>
        <v>0</v>
      </c>
      <c r="R23" s="175">
        <f t="shared" si="1"/>
        <v>0</v>
      </c>
      <c r="S23" s="176">
        <f>R23/I23</f>
        <v>0</v>
      </c>
    </row>
    <row r="24" spans="1:19" ht="39.75" customHeight="1" x14ac:dyDescent="0.3">
      <c r="A24" s="1314"/>
      <c r="B24" s="1314"/>
      <c r="C24" s="374" t="s">
        <v>61</v>
      </c>
      <c r="D24" s="374" t="s">
        <v>1013</v>
      </c>
      <c r="E24" s="374">
        <v>0.04</v>
      </c>
      <c r="F24" s="192">
        <v>4387564</v>
      </c>
      <c r="G24" s="32">
        <f t="shared" si="8"/>
        <v>4611330</v>
      </c>
      <c r="H24" s="192">
        <f>ROUND((E24*F24),0)</f>
        <v>175503</v>
      </c>
      <c r="I24" s="32">
        <f t="shared" si="9"/>
        <v>184453</v>
      </c>
      <c r="J24" s="1314"/>
      <c r="K24" s="395">
        <v>0.04</v>
      </c>
      <c r="L24" s="396">
        <f>ROUND(K24*$F$24,0)</f>
        <v>175503</v>
      </c>
      <c r="M24" s="397">
        <f>L24/$H$24</f>
        <v>1</v>
      </c>
      <c r="N24" s="432">
        <v>0</v>
      </c>
      <c r="O24" s="425">
        <f>ROUND(N24*$G$24,0)</f>
        <v>0</v>
      </c>
      <c r="P24" s="426">
        <f t="shared" si="10"/>
        <v>0</v>
      </c>
      <c r="Q24" s="416">
        <f>K24+N24</f>
        <v>0.04</v>
      </c>
      <c r="R24" s="175">
        <f t="shared" si="1"/>
        <v>175503</v>
      </c>
      <c r="S24" s="176">
        <f t="shared" si="0"/>
        <v>1</v>
      </c>
    </row>
    <row r="25" spans="1:19" x14ac:dyDescent="0.3">
      <c r="A25" s="1314"/>
      <c r="B25" s="1314"/>
      <c r="C25" s="196"/>
      <c r="D25" s="196" t="s">
        <v>1014</v>
      </c>
      <c r="E25" s="198"/>
      <c r="F25" s="198"/>
      <c r="G25" s="198"/>
      <c r="H25" s="199">
        <f>SUM(H23:H24)</f>
        <v>220075</v>
      </c>
      <c r="I25" s="199">
        <f>SUM(I23:I24)</f>
        <v>231298</v>
      </c>
      <c r="J25" s="1314"/>
      <c r="K25" s="306"/>
      <c r="L25" s="307">
        <f>SUM(L23:L24)</f>
        <v>175503</v>
      </c>
      <c r="M25" s="308">
        <f>L25/$H$25</f>
        <v>0.79746904464387136</v>
      </c>
      <c r="N25" s="428"/>
      <c r="O25" s="307">
        <f>SUM(O23:O24)</f>
        <v>0</v>
      </c>
      <c r="P25" s="431">
        <f>O25/$H$25</f>
        <v>0</v>
      </c>
      <c r="Q25" s="306"/>
      <c r="R25" s="307">
        <f t="shared" si="1"/>
        <v>175503</v>
      </c>
      <c r="S25" s="308">
        <f t="shared" si="0"/>
        <v>0.79746904464387136</v>
      </c>
    </row>
    <row r="26" spans="1:19" ht="58.5" customHeight="1" x14ac:dyDescent="0.3">
      <c r="A26" s="1314" t="s">
        <v>1018</v>
      </c>
      <c r="B26" s="1314" t="s">
        <v>1010</v>
      </c>
      <c r="C26" s="374" t="s">
        <v>83</v>
      </c>
      <c r="D26" s="374" t="s">
        <v>1011</v>
      </c>
      <c r="E26" s="374">
        <v>0.04</v>
      </c>
      <c r="F26" s="192">
        <v>1114302</v>
      </c>
      <c r="G26" s="32">
        <f t="shared" ref="G26:G27" si="11">+ROUND(F26*1.051,0)</f>
        <v>1171131</v>
      </c>
      <c r="H26" s="192">
        <f>ROUND((E26*F26),0)</f>
        <v>44572</v>
      </c>
      <c r="I26" s="32">
        <f t="shared" ref="I26:I27" si="12">+ROUND(G26*E26,0)</f>
        <v>46845</v>
      </c>
      <c r="J26" s="1314" t="s">
        <v>1012</v>
      </c>
      <c r="K26" s="158">
        <v>0</v>
      </c>
      <c r="L26" s="194">
        <f>ROUND(K26*$F$26,0)</f>
        <v>0</v>
      </c>
      <c r="M26" s="195">
        <f>L26/$H$26</f>
        <v>0</v>
      </c>
      <c r="N26" s="432">
        <v>0</v>
      </c>
      <c r="O26" s="425">
        <f>ROUND(N26*$G$26,0)</f>
        <v>0</v>
      </c>
      <c r="P26" s="426">
        <f t="shared" ref="P26:P27" si="13">O26/I26</f>
        <v>0</v>
      </c>
      <c r="Q26" s="416">
        <f>K26+N26</f>
        <v>0</v>
      </c>
      <c r="R26" s="175">
        <f t="shared" si="1"/>
        <v>0</v>
      </c>
      <c r="S26" s="176">
        <f>R26/I26</f>
        <v>0</v>
      </c>
    </row>
    <row r="27" spans="1:19" ht="37.5" customHeight="1" x14ac:dyDescent="0.3">
      <c r="A27" s="1314"/>
      <c r="B27" s="1314"/>
      <c r="C27" s="374" t="s">
        <v>61</v>
      </c>
      <c r="D27" s="374" t="s">
        <v>1013</v>
      </c>
      <c r="E27" s="374">
        <v>0.04</v>
      </c>
      <c r="F27" s="192">
        <v>4387564</v>
      </c>
      <c r="G27" s="32">
        <f t="shared" si="11"/>
        <v>4611330</v>
      </c>
      <c r="H27" s="192">
        <f>ROUND((E27*F27),0)</f>
        <v>175503</v>
      </c>
      <c r="I27" s="32">
        <f t="shared" si="12"/>
        <v>184453</v>
      </c>
      <c r="J27" s="1314"/>
      <c r="K27" s="395">
        <v>0.04</v>
      </c>
      <c r="L27" s="396">
        <f>ROUND(K27*$F$27,0)</f>
        <v>175503</v>
      </c>
      <c r="M27" s="397">
        <f>L27/$H$27</f>
        <v>1</v>
      </c>
      <c r="N27" s="432">
        <v>0</v>
      </c>
      <c r="O27" s="425">
        <f>ROUND(N27*$G$27,0)</f>
        <v>0</v>
      </c>
      <c r="P27" s="426">
        <f t="shared" si="13"/>
        <v>0</v>
      </c>
      <c r="Q27" s="416">
        <f>K27+N27</f>
        <v>0.04</v>
      </c>
      <c r="R27" s="175">
        <f t="shared" si="1"/>
        <v>175503</v>
      </c>
      <c r="S27" s="176">
        <f t="shared" si="0"/>
        <v>1</v>
      </c>
    </row>
    <row r="28" spans="1:19" x14ac:dyDescent="0.3">
      <c r="A28" s="1314"/>
      <c r="B28" s="1314"/>
      <c r="C28" s="196"/>
      <c r="D28" s="196" t="s">
        <v>1014</v>
      </c>
      <c r="E28" s="198"/>
      <c r="F28" s="198"/>
      <c r="G28" s="198"/>
      <c r="H28" s="199">
        <f>SUM(H26:H27)</f>
        <v>220075</v>
      </c>
      <c r="I28" s="199">
        <f>SUM(I26:I27)</f>
        <v>231298</v>
      </c>
      <c r="J28" s="1314"/>
      <c r="K28" s="306"/>
      <c r="L28" s="307">
        <f>SUM(L26:L27)</f>
        <v>175503</v>
      </c>
      <c r="M28" s="308">
        <f>L28/$H$28</f>
        <v>0.79746904464387136</v>
      </c>
      <c r="N28" s="428"/>
      <c r="O28" s="307">
        <f>SUM(O26:O27)</f>
        <v>0</v>
      </c>
      <c r="P28" s="431">
        <f>O28/$H$28</f>
        <v>0</v>
      </c>
      <c r="Q28" s="306"/>
      <c r="R28" s="307">
        <f t="shared" si="1"/>
        <v>175503</v>
      </c>
      <c r="S28" s="308">
        <f t="shared" si="0"/>
        <v>0.79746904464387136</v>
      </c>
    </row>
    <row r="29" spans="1:19" ht="59.25" customHeight="1" x14ac:dyDescent="0.3">
      <c r="A29" s="1314" t="s">
        <v>1019</v>
      </c>
      <c r="B29" s="1314" t="s">
        <v>1010</v>
      </c>
      <c r="C29" s="374" t="s">
        <v>83</v>
      </c>
      <c r="D29" s="374" t="s">
        <v>1011</v>
      </c>
      <c r="E29" s="374">
        <v>0.04</v>
      </c>
      <c r="F29" s="192">
        <v>1114302</v>
      </c>
      <c r="G29" s="32">
        <f t="shared" ref="G29:G30" si="14">+ROUND(F29*1.051,0)</f>
        <v>1171131</v>
      </c>
      <c r="H29" s="192">
        <f>ROUND((E29*F29),0)</f>
        <v>44572</v>
      </c>
      <c r="I29" s="32">
        <f t="shared" ref="I29:I30" si="15">+ROUND(G29*E29,0)</f>
        <v>46845</v>
      </c>
      <c r="J29" s="1314" t="s">
        <v>1012</v>
      </c>
      <c r="K29" s="158">
        <v>0</v>
      </c>
      <c r="L29" s="194">
        <f>ROUND(K29*$F$29,0)</f>
        <v>0</v>
      </c>
      <c r="M29" s="195">
        <f>L29/$H$29</f>
        <v>0</v>
      </c>
      <c r="N29" s="432">
        <v>0</v>
      </c>
      <c r="O29" s="425">
        <f>ROUND(N29*$G$29,0)</f>
        <v>0</v>
      </c>
      <c r="P29" s="426">
        <f t="shared" ref="P29:P30" si="16">O29/I29</f>
        <v>0</v>
      </c>
      <c r="Q29" s="416">
        <f>K29+N29</f>
        <v>0</v>
      </c>
      <c r="R29" s="175">
        <f t="shared" si="1"/>
        <v>0</v>
      </c>
      <c r="S29" s="176">
        <f>R29/I29</f>
        <v>0</v>
      </c>
    </row>
    <row r="30" spans="1:19" ht="45" customHeight="1" x14ac:dyDescent="0.3">
      <c r="A30" s="1314"/>
      <c r="B30" s="1314"/>
      <c r="C30" s="374" t="s">
        <v>61</v>
      </c>
      <c r="D30" s="374" t="s">
        <v>1013</v>
      </c>
      <c r="E30" s="374">
        <v>0.04</v>
      </c>
      <c r="F30" s="192">
        <v>4387564</v>
      </c>
      <c r="G30" s="32">
        <f t="shared" si="14"/>
        <v>4611330</v>
      </c>
      <c r="H30" s="192">
        <f>ROUND((E30*F30),0)</f>
        <v>175503</v>
      </c>
      <c r="I30" s="32">
        <f t="shared" si="15"/>
        <v>184453</v>
      </c>
      <c r="J30" s="1314"/>
      <c r="K30" s="395">
        <v>0.04</v>
      </c>
      <c r="L30" s="396">
        <f>ROUND(K30*$F$30,0)</f>
        <v>175503</v>
      </c>
      <c r="M30" s="397">
        <f>L30/$H$30</f>
        <v>1</v>
      </c>
      <c r="N30" s="432">
        <v>0</v>
      </c>
      <c r="O30" s="425">
        <f>ROUND(N30*$G$30,0)</f>
        <v>0</v>
      </c>
      <c r="P30" s="426">
        <f t="shared" si="16"/>
        <v>0</v>
      </c>
      <c r="Q30" s="416">
        <f>K30+N30</f>
        <v>0.04</v>
      </c>
      <c r="R30" s="175">
        <f t="shared" si="1"/>
        <v>175503</v>
      </c>
      <c r="S30" s="176">
        <f t="shared" si="0"/>
        <v>1</v>
      </c>
    </row>
    <row r="31" spans="1:19" x14ac:dyDescent="0.3">
      <c r="A31" s="1314"/>
      <c r="B31" s="1314"/>
      <c r="C31" s="196"/>
      <c r="D31" s="196" t="s">
        <v>1014</v>
      </c>
      <c r="E31" s="198"/>
      <c r="F31" s="198"/>
      <c r="G31" s="198"/>
      <c r="H31" s="199">
        <f>SUM(H29:H30)</f>
        <v>220075</v>
      </c>
      <c r="I31" s="199">
        <f>SUM(I29:I30)</f>
        <v>231298</v>
      </c>
      <c r="J31" s="1314"/>
      <c r="K31" s="306"/>
      <c r="L31" s="307">
        <f>SUM(L29:L30)</f>
        <v>175503</v>
      </c>
      <c r="M31" s="308">
        <f>L31/$H$31</f>
        <v>0.79746904464387136</v>
      </c>
      <c r="N31" s="428"/>
      <c r="O31" s="307">
        <f>SUM(O29:O30)</f>
        <v>0</v>
      </c>
      <c r="P31" s="431">
        <f>O31/$H$31</f>
        <v>0</v>
      </c>
      <c r="Q31" s="306"/>
      <c r="R31" s="307">
        <f t="shared" si="1"/>
        <v>175503</v>
      </c>
      <c r="S31" s="308">
        <f t="shared" si="0"/>
        <v>0.79746904464387136</v>
      </c>
    </row>
    <row r="32" spans="1:19" ht="50.25" customHeight="1" x14ac:dyDescent="0.3">
      <c r="A32" s="1314" t="s">
        <v>1020</v>
      </c>
      <c r="B32" s="1314" t="s">
        <v>1010</v>
      </c>
      <c r="C32" s="374" t="s">
        <v>83</v>
      </c>
      <c r="D32" s="374" t="s">
        <v>1011</v>
      </c>
      <c r="E32" s="374">
        <v>0.04</v>
      </c>
      <c r="F32" s="192">
        <v>1114302</v>
      </c>
      <c r="G32" s="32">
        <f t="shared" ref="G32:G33" si="17">+ROUND(F32*1.051,0)</f>
        <v>1171131</v>
      </c>
      <c r="H32" s="192">
        <f>ROUND((E32*F32),0)</f>
        <v>44572</v>
      </c>
      <c r="I32" s="32">
        <f t="shared" ref="I32:I33" si="18">+ROUND(G32*E32,0)</f>
        <v>46845</v>
      </c>
      <c r="J32" s="1314" t="s">
        <v>1012</v>
      </c>
      <c r="K32" s="158">
        <v>0</v>
      </c>
      <c r="L32" s="194">
        <f>ROUND(K32*$F$32,0)</f>
        <v>0</v>
      </c>
      <c r="M32" s="195">
        <f>L32/$H$32</f>
        <v>0</v>
      </c>
      <c r="N32" s="432">
        <v>0</v>
      </c>
      <c r="O32" s="425">
        <f>ROUND(N32*$G$32,0)</f>
        <v>0</v>
      </c>
      <c r="P32" s="426">
        <f t="shared" ref="P32:P33" si="19">O32/I32</f>
        <v>0</v>
      </c>
      <c r="Q32" s="416">
        <f>K32+N32</f>
        <v>0</v>
      </c>
      <c r="R32" s="175">
        <f t="shared" si="1"/>
        <v>0</v>
      </c>
      <c r="S32" s="176">
        <f>R32/I32</f>
        <v>0</v>
      </c>
    </row>
    <row r="33" spans="1:19" ht="46.5" customHeight="1" x14ac:dyDescent="0.3">
      <c r="A33" s="1314"/>
      <c r="B33" s="1314"/>
      <c r="C33" s="374" t="s">
        <v>61</v>
      </c>
      <c r="D33" s="374" t="s">
        <v>1013</v>
      </c>
      <c r="E33" s="374">
        <v>0.04</v>
      </c>
      <c r="F33" s="192">
        <v>4387564</v>
      </c>
      <c r="G33" s="32">
        <f t="shared" si="17"/>
        <v>4611330</v>
      </c>
      <c r="H33" s="192">
        <f>ROUND((E33*F33),0)</f>
        <v>175503</v>
      </c>
      <c r="I33" s="32">
        <f t="shared" si="18"/>
        <v>184453</v>
      </c>
      <c r="J33" s="1314"/>
      <c r="K33" s="395">
        <v>0.04</v>
      </c>
      <c r="L33" s="396">
        <f>ROUND(K33*$F$33,0)</f>
        <v>175503</v>
      </c>
      <c r="M33" s="397">
        <f>L33/$H$33</f>
        <v>1</v>
      </c>
      <c r="N33" s="432">
        <v>0</v>
      </c>
      <c r="O33" s="425">
        <f>ROUND(N33*$G$33,0)</f>
        <v>0</v>
      </c>
      <c r="P33" s="426">
        <f t="shared" si="19"/>
        <v>0</v>
      </c>
      <c r="Q33" s="416">
        <f>K33+N33</f>
        <v>0.04</v>
      </c>
      <c r="R33" s="175">
        <f t="shared" si="1"/>
        <v>175503</v>
      </c>
      <c r="S33" s="176">
        <f t="shared" si="0"/>
        <v>1</v>
      </c>
    </row>
    <row r="34" spans="1:19" x14ac:dyDescent="0.3">
      <c r="A34" s="1314"/>
      <c r="B34" s="1314"/>
      <c r="C34" s="196"/>
      <c r="D34" s="196" t="s">
        <v>1014</v>
      </c>
      <c r="E34" s="198"/>
      <c r="F34" s="198"/>
      <c r="G34" s="198"/>
      <c r="H34" s="199">
        <f>SUM(H32:H33)</f>
        <v>220075</v>
      </c>
      <c r="I34" s="199">
        <f>SUM(I32:I33)</f>
        <v>231298</v>
      </c>
      <c r="J34" s="1314"/>
      <c r="K34" s="306"/>
      <c r="L34" s="307">
        <f>SUM(L32:L33)</f>
        <v>175503</v>
      </c>
      <c r="M34" s="308">
        <f>L34/$H$34</f>
        <v>0.79746904464387136</v>
      </c>
      <c r="N34" s="428"/>
      <c r="O34" s="307">
        <f>SUM(O32:O33)</f>
        <v>0</v>
      </c>
      <c r="P34" s="431">
        <f>O34/$H$34</f>
        <v>0</v>
      </c>
      <c r="Q34" s="306"/>
      <c r="R34" s="307">
        <f t="shared" si="1"/>
        <v>175503</v>
      </c>
      <c r="S34" s="308">
        <f t="shared" si="0"/>
        <v>0.79746904464387136</v>
      </c>
    </row>
    <row r="35" spans="1:19" ht="48.75" customHeight="1" x14ac:dyDescent="0.3">
      <c r="A35" s="1314" t="s">
        <v>1021</v>
      </c>
      <c r="B35" s="1314" t="s">
        <v>1010</v>
      </c>
      <c r="C35" s="374" t="s">
        <v>83</v>
      </c>
      <c r="D35" s="374" t="s">
        <v>1011</v>
      </c>
      <c r="E35" s="374">
        <v>0.04</v>
      </c>
      <c r="F35" s="192">
        <v>1114302</v>
      </c>
      <c r="G35" s="32">
        <f t="shared" ref="G35:G36" si="20">+ROUND(F35*1.051,0)</f>
        <v>1171131</v>
      </c>
      <c r="H35" s="192">
        <f>ROUND((E35*F35),0)</f>
        <v>44572</v>
      </c>
      <c r="I35" s="32">
        <f t="shared" ref="I35:I36" si="21">+ROUND(G35*E35,0)</f>
        <v>46845</v>
      </c>
      <c r="J35" s="1314" t="s">
        <v>1012</v>
      </c>
      <c r="K35" s="158">
        <v>0</v>
      </c>
      <c r="L35" s="194">
        <f>ROUND(K35*$F$35,0)</f>
        <v>0</v>
      </c>
      <c r="M35" s="195">
        <f>L35/$H$35</f>
        <v>0</v>
      </c>
      <c r="N35" s="432">
        <v>0</v>
      </c>
      <c r="O35" s="425">
        <f>ROUND(N35*$G$35,0)</f>
        <v>0</v>
      </c>
      <c r="P35" s="426">
        <f t="shared" ref="P35:P36" si="22">O35/I35</f>
        <v>0</v>
      </c>
      <c r="Q35" s="416">
        <f>K35+N35</f>
        <v>0</v>
      </c>
      <c r="R35" s="175">
        <f t="shared" si="1"/>
        <v>0</v>
      </c>
      <c r="S35" s="176">
        <f>R35/I35</f>
        <v>0</v>
      </c>
    </row>
    <row r="36" spans="1:19" ht="54" customHeight="1" x14ac:dyDescent="0.3">
      <c r="A36" s="1314"/>
      <c r="B36" s="1314"/>
      <c r="C36" s="374" t="s">
        <v>61</v>
      </c>
      <c r="D36" s="374" t="s">
        <v>1013</v>
      </c>
      <c r="E36" s="374">
        <v>0.04</v>
      </c>
      <c r="F36" s="192">
        <v>4387564</v>
      </c>
      <c r="G36" s="32">
        <f t="shared" si="20"/>
        <v>4611330</v>
      </c>
      <c r="H36" s="192">
        <f>ROUND((E36*F36),0)</f>
        <v>175503</v>
      </c>
      <c r="I36" s="32">
        <f t="shared" si="21"/>
        <v>184453</v>
      </c>
      <c r="J36" s="1314"/>
      <c r="K36" s="395">
        <v>0.04</v>
      </c>
      <c r="L36" s="396">
        <f>ROUND(K36*$F$36,0)</f>
        <v>175503</v>
      </c>
      <c r="M36" s="397">
        <f>L36/$H$36</f>
        <v>1</v>
      </c>
      <c r="N36" s="432">
        <v>0</v>
      </c>
      <c r="O36" s="425">
        <f>ROUND(N36*$G$36,0)</f>
        <v>0</v>
      </c>
      <c r="P36" s="426">
        <f t="shared" si="22"/>
        <v>0</v>
      </c>
      <c r="Q36" s="416">
        <f>K36+N36</f>
        <v>0.04</v>
      </c>
      <c r="R36" s="175">
        <f t="shared" si="1"/>
        <v>175503</v>
      </c>
      <c r="S36" s="176">
        <f t="shared" si="0"/>
        <v>1</v>
      </c>
    </row>
    <row r="37" spans="1:19" x14ac:dyDescent="0.3">
      <c r="A37" s="1314"/>
      <c r="B37" s="1314"/>
      <c r="C37" s="196"/>
      <c r="D37" s="196" t="s">
        <v>1014</v>
      </c>
      <c r="E37" s="198"/>
      <c r="F37" s="198"/>
      <c r="G37" s="198"/>
      <c r="H37" s="199">
        <f>SUM(H35:H36)</f>
        <v>220075</v>
      </c>
      <c r="I37" s="199">
        <f>SUM(I35:I36)</f>
        <v>231298</v>
      </c>
      <c r="J37" s="1314"/>
      <c r="K37" s="306"/>
      <c r="L37" s="307">
        <f>SUM(L35:L36)</f>
        <v>175503</v>
      </c>
      <c r="M37" s="308">
        <f>L37/$H$37</f>
        <v>0.79746904464387136</v>
      </c>
      <c r="N37" s="428"/>
      <c r="O37" s="307">
        <f>SUM(O35:O36)</f>
        <v>0</v>
      </c>
      <c r="P37" s="431">
        <f>O37/$H$37</f>
        <v>0</v>
      </c>
      <c r="Q37" s="306"/>
      <c r="R37" s="307">
        <f t="shared" si="1"/>
        <v>175503</v>
      </c>
      <c r="S37" s="308">
        <f t="shared" si="0"/>
        <v>0.79746904464387136</v>
      </c>
    </row>
    <row r="38" spans="1:19" ht="51.75" customHeight="1" x14ac:dyDescent="0.3">
      <c r="A38" s="1314" t="s">
        <v>1022</v>
      </c>
      <c r="B38" s="1314" t="s">
        <v>1010</v>
      </c>
      <c r="C38" s="374" t="s">
        <v>83</v>
      </c>
      <c r="D38" s="374" t="s">
        <v>1011</v>
      </c>
      <c r="E38" s="374">
        <v>0.04</v>
      </c>
      <c r="F38" s="192">
        <v>1114302</v>
      </c>
      <c r="G38" s="32">
        <f t="shared" ref="G38:G39" si="23">+ROUND(F38*1.051,0)</f>
        <v>1171131</v>
      </c>
      <c r="H38" s="192">
        <f>ROUND((E38*F38),0)</f>
        <v>44572</v>
      </c>
      <c r="I38" s="32">
        <f t="shared" ref="I38:I39" si="24">+ROUND(G38*E38,0)</f>
        <v>46845</v>
      </c>
      <c r="J38" s="1314" t="s">
        <v>1012</v>
      </c>
      <c r="K38" s="158">
        <v>0</v>
      </c>
      <c r="L38" s="194">
        <f>ROUND(K38*$F$38,0)</f>
        <v>0</v>
      </c>
      <c r="M38" s="195">
        <f>L38/$H$38</f>
        <v>0</v>
      </c>
      <c r="N38" s="432">
        <v>0</v>
      </c>
      <c r="O38" s="425">
        <f>ROUND(N38*$G$38,0)</f>
        <v>0</v>
      </c>
      <c r="P38" s="426">
        <f t="shared" ref="P38:P39" si="25">O38/I38</f>
        <v>0</v>
      </c>
      <c r="Q38" s="416">
        <f>K38+N38</f>
        <v>0</v>
      </c>
      <c r="R38" s="175">
        <f t="shared" si="1"/>
        <v>0</v>
      </c>
      <c r="S38" s="176">
        <f>R38/I38</f>
        <v>0</v>
      </c>
    </row>
    <row r="39" spans="1:19" ht="60" customHeight="1" x14ac:dyDescent="0.3">
      <c r="A39" s="1314"/>
      <c r="B39" s="1314"/>
      <c r="C39" s="374" t="s">
        <v>61</v>
      </c>
      <c r="D39" s="374" t="s">
        <v>1013</v>
      </c>
      <c r="E39" s="374">
        <v>0.04</v>
      </c>
      <c r="F39" s="192">
        <v>4387564</v>
      </c>
      <c r="G39" s="32">
        <f t="shared" si="23"/>
        <v>4611330</v>
      </c>
      <c r="H39" s="192">
        <f>ROUND((E39*F39),0)</f>
        <v>175503</v>
      </c>
      <c r="I39" s="32">
        <f t="shared" si="24"/>
        <v>184453</v>
      </c>
      <c r="J39" s="1314"/>
      <c r="K39" s="395">
        <v>0.04</v>
      </c>
      <c r="L39" s="396">
        <f>ROUND(K39*$F$39,0)</f>
        <v>175503</v>
      </c>
      <c r="M39" s="397">
        <f>L39/$H$39</f>
        <v>1</v>
      </c>
      <c r="N39" s="432">
        <v>0</v>
      </c>
      <c r="O39" s="425">
        <f>ROUND(N39*$G$39,0)</f>
        <v>0</v>
      </c>
      <c r="P39" s="426">
        <f t="shared" si="25"/>
        <v>0</v>
      </c>
      <c r="Q39" s="416">
        <f>K39+N39</f>
        <v>0.04</v>
      </c>
      <c r="R39" s="175">
        <f t="shared" si="1"/>
        <v>175503</v>
      </c>
      <c r="S39" s="176">
        <f t="shared" si="0"/>
        <v>1</v>
      </c>
    </row>
    <row r="40" spans="1:19" x14ac:dyDescent="0.3">
      <c r="A40" s="1314"/>
      <c r="B40" s="1314"/>
      <c r="C40" s="196"/>
      <c r="D40" s="196" t="s">
        <v>1014</v>
      </c>
      <c r="E40" s="198"/>
      <c r="F40" s="198"/>
      <c r="G40" s="198"/>
      <c r="H40" s="199">
        <f>SUM(H38:H39)</f>
        <v>220075</v>
      </c>
      <c r="I40" s="199">
        <f>SUM(I38:I39)</f>
        <v>231298</v>
      </c>
      <c r="J40" s="1314"/>
      <c r="K40" s="306"/>
      <c r="L40" s="307">
        <f>SUM(L38:L39)</f>
        <v>175503</v>
      </c>
      <c r="M40" s="308">
        <f>L40/$H$40</f>
        <v>0.79746904464387136</v>
      </c>
      <c r="N40" s="428"/>
      <c r="O40" s="307">
        <f>SUM(O38:O39)</f>
        <v>0</v>
      </c>
      <c r="P40" s="431">
        <f>O40/$H$40</f>
        <v>0</v>
      </c>
      <c r="Q40" s="306"/>
      <c r="R40" s="307">
        <f t="shared" si="1"/>
        <v>175503</v>
      </c>
      <c r="S40" s="308">
        <f t="shared" si="0"/>
        <v>0.79746904464387136</v>
      </c>
    </row>
    <row r="41" spans="1:19" ht="59.25" customHeight="1" x14ac:dyDescent="0.3">
      <c r="A41" s="1314" t="s">
        <v>1023</v>
      </c>
      <c r="B41" s="1314" t="s">
        <v>1010</v>
      </c>
      <c r="C41" s="374" t="s">
        <v>83</v>
      </c>
      <c r="D41" s="374" t="s">
        <v>1011</v>
      </c>
      <c r="E41" s="374">
        <v>0.04</v>
      </c>
      <c r="F41" s="192">
        <v>1114302</v>
      </c>
      <c r="G41" s="32">
        <f t="shared" ref="G41:G42" si="26">+ROUND(F41*1.051,0)</f>
        <v>1171131</v>
      </c>
      <c r="H41" s="192">
        <f>ROUND((E41*F41),0)</f>
        <v>44572</v>
      </c>
      <c r="I41" s="32">
        <f t="shared" ref="I41:I42" si="27">+ROUND(G41*E41,0)</f>
        <v>46845</v>
      </c>
      <c r="J41" s="1314" t="s">
        <v>1012</v>
      </c>
      <c r="K41" s="158">
        <v>0</v>
      </c>
      <c r="L41" s="194">
        <f>ROUND(K41*$F$41,0)</f>
        <v>0</v>
      </c>
      <c r="M41" s="195">
        <f>L41/$H$41</f>
        <v>0</v>
      </c>
      <c r="N41" s="432">
        <v>0</v>
      </c>
      <c r="O41" s="425">
        <f>ROUND(N41*$G$41,0)</f>
        <v>0</v>
      </c>
      <c r="P41" s="426">
        <f t="shared" ref="P41:P42" si="28">O41/I41</f>
        <v>0</v>
      </c>
      <c r="Q41" s="416">
        <f>K41+N41</f>
        <v>0</v>
      </c>
      <c r="R41" s="175">
        <f t="shared" si="1"/>
        <v>0</v>
      </c>
      <c r="S41" s="176">
        <f>R41/I41</f>
        <v>0</v>
      </c>
    </row>
    <row r="42" spans="1:19" ht="40.5" customHeight="1" x14ac:dyDescent="0.3">
      <c r="A42" s="1314"/>
      <c r="B42" s="1314"/>
      <c r="C42" s="374" t="s">
        <v>61</v>
      </c>
      <c r="D42" s="374" t="s">
        <v>1013</v>
      </c>
      <c r="E42" s="374">
        <v>0.04</v>
      </c>
      <c r="F42" s="192">
        <v>4387564</v>
      </c>
      <c r="G42" s="32">
        <f t="shared" si="26"/>
        <v>4611330</v>
      </c>
      <c r="H42" s="192">
        <f>ROUND((E42*F42),0)</f>
        <v>175503</v>
      </c>
      <c r="I42" s="32">
        <f t="shared" si="27"/>
        <v>184453</v>
      </c>
      <c r="J42" s="1314"/>
      <c r="K42" s="395">
        <v>0.04</v>
      </c>
      <c r="L42" s="396">
        <f>ROUND(K42*$F$42,0)</f>
        <v>175503</v>
      </c>
      <c r="M42" s="397">
        <f>L42/$H$42</f>
        <v>1</v>
      </c>
      <c r="N42" s="432">
        <v>0</v>
      </c>
      <c r="O42" s="425">
        <f>ROUND(N42*$G$42,0)</f>
        <v>0</v>
      </c>
      <c r="P42" s="426">
        <f t="shared" si="28"/>
        <v>0</v>
      </c>
      <c r="Q42" s="416">
        <f>K42+N42</f>
        <v>0.04</v>
      </c>
      <c r="R42" s="175">
        <f t="shared" si="1"/>
        <v>175503</v>
      </c>
      <c r="S42" s="176">
        <f t="shared" si="0"/>
        <v>1</v>
      </c>
    </row>
    <row r="43" spans="1:19" x14ac:dyDescent="0.3">
      <c r="A43" s="1314"/>
      <c r="B43" s="1314"/>
      <c r="C43" s="196"/>
      <c r="D43" s="196" t="s">
        <v>1014</v>
      </c>
      <c r="E43" s="198"/>
      <c r="F43" s="198"/>
      <c r="G43" s="198"/>
      <c r="H43" s="199">
        <f>SUM(H41:H42)</f>
        <v>220075</v>
      </c>
      <c r="I43" s="199">
        <f>SUM(I41:I42)</f>
        <v>231298</v>
      </c>
      <c r="J43" s="1314"/>
      <c r="K43" s="306"/>
      <c r="L43" s="307">
        <f>SUM(L41:L42)</f>
        <v>175503</v>
      </c>
      <c r="M43" s="308">
        <f>L43/$H$43</f>
        <v>0.79746904464387136</v>
      </c>
      <c r="N43" s="428"/>
      <c r="O43" s="307">
        <f>SUM(O41:O42)</f>
        <v>0</v>
      </c>
      <c r="P43" s="431">
        <f>O43/$H$43</f>
        <v>0</v>
      </c>
      <c r="Q43" s="306"/>
      <c r="R43" s="307">
        <f t="shared" si="1"/>
        <v>175503</v>
      </c>
      <c r="S43" s="308">
        <f t="shared" si="0"/>
        <v>0.79746904464387136</v>
      </c>
    </row>
    <row r="44" spans="1:19" ht="45.75" customHeight="1" x14ac:dyDescent="0.3">
      <c r="A44" s="1314" t="s">
        <v>1024</v>
      </c>
      <c r="B44" s="1314" t="s">
        <v>1010</v>
      </c>
      <c r="C44" s="374" t="s">
        <v>83</v>
      </c>
      <c r="D44" s="374" t="s">
        <v>1011</v>
      </c>
      <c r="E44" s="374">
        <v>0.04</v>
      </c>
      <c r="F44" s="192">
        <v>1114302</v>
      </c>
      <c r="G44" s="32">
        <f t="shared" ref="G44:G45" si="29">+ROUND(F44*1.051,0)</f>
        <v>1171131</v>
      </c>
      <c r="H44" s="192">
        <f>ROUND((E44*F44),0)</f>
        <v>44572</v>
      </c>
      <c r="I44" s="32">
        <f t="shared" ref="I44:I45" si="30">+ROUND(G44*E44,0)</f>
        <v>46845</v>
      </c>
      <c r="J44" s="1314" t="s">
        <v>1012</v>
      </c>
      <c r="K44" s="158">
        <v>0</v>
      </c>
      <c r="L44" s="194">
        <f>ROUND(K44*$F$44,0)</f>
        <v>0</v>
      </c>
      <c r="M44" s="195">
        <f>L44/$H$44</f>
        <v>0</v>
      </c>
      <c r="N44" s="432">
        <v>0</v>
      </c>
      <c r="O44" s="425">
        <f>ROUND(N44*$G$44,0)</f>
        <v>0</v>
      </c>
      <c r="P44" s="426">
        <f t="shared" ref="P44:P45" si="31">O44/I44</f>
        <v>0</v>
      </c>
      <c r="Q44" s="416">
        <f>K44+N44</f>
        <v>0</v>
      </c>
      <c r="R44" s="175">
        <f t="shared" si="1"/>
        <v>0</v>
      </c>
      <c r="S44" s="176">
        <f t="shared" si="0"/>
        <v>0</v>
      </c>
    </row>
    <row r="45" spans="1:19" ht="44.25" customHeight="1" x14ac:dyDescent="0.3">
      <c r="A45" s="1314"/>
      <c r="B45" s="1314"/>
      <c r="C45" s="374" t="s">
        <v>61</v>
      </c>
      <c r="D45" s="374" t="s">
        <v>1013</v>
      </c>
      <c r="E45" s="374">
        <v>0.04</v>
      </c>
      <c r="F45" s="192">
        <v>4387564</v>
      </c>
      <c r="G45" s="32">
        <f t="shared" si="29"/>
        <v>4611330</v>
      </c>
      <c r="H45" s="192">
        <f>ROUND((E45*F45),0)</f>
        <v>175503</v>
      </c>
      <c r="I45" s="32">
        <f t="shared" si="30"/>
        <v>184453</v>
      </c>
      <c r="J45" s="1314"/>
      <c r="K45" s="395">
        <v>0.04</v>
      </c>
      <c r="L45" s="396">
        <f>ROUND(K45*$F$45,0)</f>
        <v>175503</v>
      </c>
      <c r="M45" s="397">
        <f>L45/$H$45</f>
        <v>1</v>
      </c>
      <c r="N45" s="432">
        <v>0</v>
      </c>
      <c r="O45" s="425">
        <f>ROUND(N45*$G$45,0)</f>
        <v>0</v>
      </c>
      <c r="P45" s="426">
        <f t="shared" si="31"/>
        <v>0</v>
      </c>
      <c r="Q45" s="416">
        <f>K45+N45</f>
        <v>0.04</v>
      </c>
      <c r="R45" s="175">
        <f t="shared" si="1"/>
        <v>175503</v>
      </c>
      <c r="S45" s="176">
        <f t="shared" si="0"/>
        <v>1</v>
      </c>
    </row>
    <row r="46" spans="1:19" x14ac:dyDescent="0.3">
      <c r="A46" s="1314"/>
      <c r="B46" s="1314"/>
      <c r="C46" s="196"/>
      <c r="D46" s="196" t="s">
        <v>1014</v>
      </c>
      <c r="E46" s="198"/>
      <c r="F46" s="198"/>
      <c r="G46" s="198"/>
      <c r="H46" s="199">
        <f>SUM(H44:H45)</f>
        <v>220075</v>
      </c>
      <c r="I46" s="199">
        <f>SUM(I44:I45)</f>
        <v>231298</v>
      </c>
      <c r="J46" s="1314"/>
      <c r="K46" s="306"/>
      <c r="L46" s="307">
        <f>SUM(L44:L45)</f>
        <v>175503</v>
      </c>
      <c r="M46" s="308">
        <f>L46/$H$46</f>
        <v>0.79746904464387136</v>
      </c>
      <c r="N46" s="428"/>
      <c r="O46" s="307">
        <f>SUM(O44:O45)</f>
        <v>0</v>
      </c>
      <c r="P46" s="431">
        <f>O46/$H$46</f>
        <v>0</v>
      </c>
      <c r="Q46" s="306"/>
      <c r="R46" s="307">
        <f t="shared" si="1"/>
        <v>175503</v>
      </c>
      <c r="S46" s="308">
        <f t="shared" ref="S46:S76" si="32">R46/H46</f>
        <v>0.79746904464387136</v>
      </c>
    </row>
    <row r="47" spans="1:19" ht="60" customHeight="1" x14ac:dyDescent="0.3">
      <c r="A47" s="1314" t="s">
        <v>1025</v>
      </c>
      <c r="B47" s="1314" t="s">
        <v>1010</v>
      </c>
      <c r="C47" s="374" t="s">
        <v>83</v>
      </c>
      <c r="D47" s="374" t="s">
        <v>1011</v>
      </c>
      <c r="E47" s="374">
        <v>0.04</v>
      </c>
      <c r="F47" s="192">
        <v>1114302</v>
      </c>
      <c r="G47" s="32">
        <f t="shared" ref="G47:G48" si="33">+ROUND(F47*1.051,0)</f>
        <v>1171131</v>
      </c>
      <c r="H47" s="192">
        <f>ROUND((E47*F47),0)</f>
        <v>44572</v>
      </c>
      <c r="I47" s="32">
        <f t="shared" ref="I47:I48" si="34">+ROUND(G47*E47,0)</f>
        <v>46845</v>
      </c>
      <c r="J47" s="1314" t="s">
        <v>1012</v>
      </c>
      <c r="K47" s="158">
        <v>0</v>
      </c>
      <c r="L47" s="194">
        <f>ROUND(K47*$F$47,0)</f>
        <v>0</v>
      </c>
      <c r="M47" s="195">
        <f>L47/$H$47</f>
        <v>0</v>
      </c>
      <c r="N47" s="432">
        <v>0</v>
      </c>
      <c r="O47" s="425">
        <f>ROUND(N47*$G$47,0)</f>
        <v>0</v>
      </c>
      <c r="P47" s="426">
        <f t="shared" ref="P47:P48" si="35">O47/I47</f>
        <v>0</v>
      </c>
      <c r="Q47" s="416">
        <f>K47+N47</f>
        <v>0</v>
      </c>
      <c r="R47" s="175">
        <f t="shared" si="1"/>
        <v>0</v>
      </c>
      <c r="S47" s="176">
        <f>R47/I47</f>
        <v>0</v>
      </c>
    </row>
    <row r="48" spans="1:19" ht="38.25" customHeight="1" x14ac:dyDescent="0.3">
      <c r="A48" s="1314"/>
      <c r="B48" s="1314"/>
      <c r="C48" s="374" t="s">
        <v>61</v>
      </c>
      <c r="D48" s="374" t="s">
        <v>1013</v>
      </c>
      <c r="E48" s="374">
        <v>0.04</v>
      </c>
      <c r="F48" s="192">
        <v>4387564</v>
      </c>
      <c r="G48" s="32">
        <f t="shared" si="33"/>
        <v>4611330</v>
      </c>
      <c r="H48" s="192">
        <f>ROUND((E48*F48),0)</f>
        <v>175503</v>
      </c>
      <c r="I48" s="32">
        <f t="shared" si="34"/>
        <v>184453</v>
      </c>
      <c r="J48" s="1314"/>
      <c r="K48" s="395">
        <v>0.04</v>
      </c>
      <c r="L48" s="396">
        <f>ROUND(K48*$F$48,0)</f>
        <v>175503</v>
      </c>
      <c r="M48" s="397">
        <f>L48/$H$48</f>
        <v>1</v>
      </c>
      <c r="N48" s="432">
        <v>0</v>
      </c>
      <c r="O48" s="425">
        <f>ROUND(N48*$G$48,0)</f>
        <v>0</v>
      </c>
      <c r="P48" s="426">
        <f t="shared" si="35"/>
        <v>0</v>
      </c>
      <c r="Q48" s="416">
        <f>K48+N48</f>
        <v>0.04</v>
      </c>
      <c r="R48" s="175">
        <f t="shared" ref="R48:R79" si="36">L48+O48</f>
        <v>175503</v>
      </c>
      <c r="S48" s="176">
        <f t="shared" si="32"/>
        <v>1</v>
      </c>
    </row>
    <row r="49" spans="1:19" x14ac:dyDescent="0.3">
      <c r="A49" s="1314"/>
      <c r="B49" s="1314"/>
      <c r="C49" s="196"/>
      <c r="D49" s="196" t="s">
        <v>1014</v>
      </c>
      <c r="E49" s="198"/>
      <c r="F49" s="198"/>
      <c r="G49" s="198"/>
      <c r="H49" s="199">
        <f>SUM(H47:H48)</f>
        <v>220075</v>
      </c>
      <c r="I49" s="199">
        <f>SUM(I47:I48)</f>
        <v>231298</v>
      </c>
      <c r="J49" s="1314"/>
      <c r="K49" s="306"/>
      <c r="L49" s="307">
        <f>SUM(L47:L48)</f>
        <v>175503</v>
      </c>
      <c r="M49" s="308">
        <f>L49/$H$49</f>
        <v>0.79746904464387136</v>
      </c>
      <c r="N49" s="428"/>
      <c r="O49" s="307">
        <f>SUM(O47:O48)</f>
        <v>0</v>
      </c>
      <c r="P49" s="431">
        <f>O49/$H$49</f>
        <v>0</v>
      </c>
      <c r="Q49" s="306"/>
      <c r="R49" s="307">
        <f t="shared" si="36"/>
        <v>175503</v>
      </c>
      <c r="S49" s="308">
        <f t="shared" si="32"/>
        <v>0.79746904464387136</v>
      </c>
    </row>
    <row r="50" spans="1:19" ht="44.25" customHeight="1" x14ac:dyDescent="0.3">
      <c r="A50" s="1314" t="s">
        <v>1026</v>
      </c>
      <c r="B50" s="1314" t="s">
        <v>1010</v>
      </c>
      <c r="C50" s="374" t="s">
        <v>83</v>
      </c>
      <c r="D50" s="374" t="s">
        <v>1011</v>
      </c>
      <c r="E50" s="374">
        <v>0.04</v>
      </c>
      <c r="F50" s="192">
        <v>1114302</v>
      </c>
      <c r="G50" s="32">
        <f t="shared" ref="G50:G51" si="37">+ROUND(F50*1.051,0)</f>
        <v>1171131</v>
      </c>
      <c r="H50" s="192">
        <f>ROUND((E50*F50),0)</f>
        <v>44572</v>
      </c>
      <c r="I50" s="32">
        <f t="shared" ref="I50:I51" si="38">+ROUND(G50*E50,0)</f>
        <v>46845</v>
      </c>
      <c r="J50" s="1314" t="s">
        <v>1012</v>
      </c>
      <c r="K50" s="158">
        <v>0</v>
      </c>
      <c r="L50" s="194">
        <f>ROUND(K50*$F$50,0)</f>
        <v>0</v>
      </c>
      <c r="M50" s="195">
        <f>L50/$H$50</f>
        <v>0</v>
      </c>
      <c r="N50" s="432">
        <v>0</v>
      </c>
      <c r="O50" s="425">
        <f>ROUND(N50*$G$50,0)</f>
        <v>0</v>
      </c>
      <c r="P50" s="426">
        <f t="shared" ref="P50:P51" si="39">O50/I50</f>
        <v>0</v>
      </c>
      <c r="Q50" s="416">
        <f>K50+N50</f>
        <v>0</v>
      </c>
      <c r="R50" s="175">
        <f t="shared" si="36"/>
        <v>0</v>
      </c>
      <c r="S50" s="176">
        <f>R50/I50</f>
        <v>0</v>
      </c>
    </row>
    <row r="51" spans="1:19" ht="45" customHeight="1" x14ac:dyDescent="0.3">
      <c r="A51" s="1314"/>
      <c r="B51" s="1314"/>
      <c r="C51" s="374" t="s">
        <v>61</v>
      </c>
      <c r="D51" s="374" t="s">
        <v>1013</v>
      </c>
      <c r="E51" s="374">
        <v>0.04</v>
      </c>
      <c r="F51" s="192">
        <v>4387564</v>
      </c>
      <c r="G51" s="32">
        <f t="shared" si="37"/>
        <v>4611330</v>
      </c>
      <c r="H51" s="192">
        <f>ROUND((E51*F51),0)</f>
        <v>175503</v>
      </c>
      <c r="I51" s="32">
        <f t="shared" si="38"/>
        <v>184453</v>
      </c>
      <c r="J51" s="1314"/>
      <c r="K51" s="395">
        <v>0.04</v>
      </c>
      <c r="L51" s="396">
        <f>ROUND(K51*$F$51,0)</f>
        <v>175503</v>
      </c>
      <c r="M51" s="397">
        <f>L51/$H$51</f>
        <v>1</v>
      </c>
      <c r="N51" s="432">
        <v>0</v>
      </c>
      <c r="O51" s="425">
        <f>ROUND(N51*$G$51,0)</f>
        <v>0</v>
      </c>
      <c r="P51" s="426">
        <f t="shared" si="39"/>
        <v>0</v>
      </c>
      <c r="Q51" s="416">
        <f>K51+N51</f>
        <v>0.04</v>
      </c>
      <c r="R51" s="175">
        <f t="shared" si="36"/>
        <v>175503</v>
      </c>
      <c r="S51" s="176">
        <f t="shared" si="32"/>
        <v>1</v>
      </c>
    </row>
    <row r="52" spans="1:19" x14ac:dyDescent="0.3">
      <c r="A52" s="1314"/>
      <c r="B52" s="1314"/>
      <c r="C52" s="196"/>
      <c r="D52" s="196" t="s">
        <v>1014</v>
      </c>
      <c r="E52" s="198"/>
      <c r="F52" s="198"/>
      <c r="G52" s="198"/>
      <c r="H52" s="199">
        <f>SUM(H50:H51)</f>
        <v>220075</v>
      </c>
      <c r="I52" s="199">
        <f>SUM(I50:I51)</f>
        <v>231298</v>
      </c>
      <c r="J52" s="1314"/>
      <c r="K52" s="306"/>
      <c r="L52" s="307">
        <f>SUM(L50:L51)</f>
        <v>175503</v>
      </c>
      <c r="M52" s="308">
        <f>L52/$H$52</f>
        <v>0.79746904464387136</v>
      </c>
      <c r="N52" s="428"/>
      <c r="O52" s="307">
        <f>SUM(O50:O51)</f>
        <v>0</v>
      </c>
      <c r="P52" s="431">
        <f>O52/$H$52</f>
        <v>0</v>
      </c>
      <c r="Q52" s="306"/>
      <c r="R52" s="307">
        <f t="shared" si="36"/>
        <v>175503</v>
      </c>
      <c r="S52" s="308">
        <f t="shared" si="32"/>
        <v>0.79746904464387136</v>
      </c>
    </row>
    <row r="53" spans="1:19" ht="51" customHeight="1" x14ac:dyDescent="0.3">
      <c r="A53" s="1314" t="s">
        <v>1027</v>
      </c>
      <c r="B53" s="1314" t="s">
        <v>1010</v>
      </c>
      <c r="C53" s="374" t="s">
        <v>83</v>
      </c>
      <c r="D53" s="374" t="s">
        <v>1011</v>
      </c>
      <c r="E53" s="374">
        <v>0.04</v>
      </c>
      <c r="F53" s="192">
        <v>1114302</v>
      </c>
      <c r="G53" s="32">
        <f t="shared" ref="G53:G54" si="40">+ROUND(F53*1.051,0)</f>
        <v>1171131</v>
      </c>
      <c r="H53" s="192">
        <f>ROUND((E53*F53),0)</f>
        <v>44572</v>
      </c>
      <c r="I53" s="32">
        <f t="shared" ref="I53:I54" si="41">+ROUND(G53*E53,0)</f>
        <v>46845</v>
      </c>
      <c r="J53" s="1314" t="s">
        <v>1012</v>
      </c>
      <c r="K53" s="158">
        <v>0</v>
      </c>
      <c r="L53" s="194">
        <f>ROUND(K53*$F$53,0)</f>
        <v>0</v>
      </c>
      <c r="M53" s="195">
        <f>L53/$H$53</f>
        <v>0</v>
      </c>
      <c r="N53" s="432">
        <v>0</v>
      </c>
      <c r="O53" s="425">
        <f>ROUND(N53*$G$53,0)</f>
        <v>0</v>
      </c>
      <c r="P53" s="426">
        <f t="shared" ref="P53:P54" si="42">O53/I53</f>
        <v>0</v>
      </c>
      <c r="Q53" s="416">
        <f>K53+N53</f>
        <v>0</v>
      </c>
      <c r="R53" s="175">
        <f t="shared" si="36"/>
        <v>0</v>
      </c>
      <c r="S53" s="176">
        <f>R53/I53</f>
        <v>0</v>
      </c>
    </row>
    <row r="54" spans="1:19" ht="38.25" customHeight="1" x14ac:dyDescent="0.3">
      <c r="A54" s="1314"/>
      <c r="B54" s="1314"/>
      <c r="C54" s="374" t="s">
        <v>61</v>
      </c>
      <c r="D54" s="374" t="s">
        <v>1013</v>
      </c>
      <c r="E54" s="374">
        <v>0.04</v>
      </c>
      <c r="F54" s="192">
        <v>4387564</v>
      </c>
      <c r="G54" s="32">
        <f t="shared" si="40"/>
        <v>4611330</v>
      </c>
      <c r="H54" s="192">
        <f>ROUND((E54*F54),0)</f>
        <v>175503</v>
      </c>
      <c r="I54" s="32">
        <f t="shared" si="41"/>
        <v>184453</v>
      </c>
      <c r="J54" s="1314"/>
      <c r="K54" s="395">
        <v>0.04</v>
      </c>
      <c r="L54" s="396">
        <f>ROUND(K54*$F$54,0)</f>
        <v>175503</v>
      </c>
      <c r="M54" s="397">
        <f>L54/$H$54</f>
        <v>1</v>
      </c>
      <c r="N54" s="432">
        <v>0</v>
      </c>
      <c r="O54" s="425">
        <f>ROUND(N54*$G$54,0)</f>
        <v>0</v>
      </c>
      <c r="P54" s="426">
        <f t="shared" si="42"/>
        <v>0</v>
      </c>
      <c r="Q54" s="416">
        <f>K54+N54</f>
        <v>0.04</v>
      </c>
      <c r="R54" s="175">
        <f t="shared" si="36"/>
        <v>175503</v>
      </c>
      <c r="S54" s="176">
        <f t="shared" si="32"/>
        <v>1</v>
      </c>
    </row>
    <row r="55" spans="1:19" x14ac:dyDescent="0.3">
      <c r="A55" s="1314"/>
      <c r="B55" s="1314"/>
      <c r="C55" s="196"/>
      <c r="D55" s="196" t="s">
        <v>1014</v>
      </c>
      <c r="E55" s="198"/>
      <c r="F55" s="198"/>
      <c r="G55" s="198"/>
      <c r="H55" s="199">
        <f>SUM(H53:H54)</f>
        <v>220075</v>
      </c>
      <c r="I55" s="199">
        <f>SUM(I53:I54)</f>
        <v>231298</v>
      </c>
      <c r="J55" s="1314"/>
      <c r="K55" s="306"/>
      <c r="L55" s="307">
        <f>SUM(L53:L54)</f>
        <v>175503</v>
      </c>
      <c r="M55" s="308">
        <f>L55/$H$55</f>
        <v>0.79746904464387136</v>
      </c>
      <c r="N55" s="428"/>
      <c r="O55" s="307">
        <f>SUM(O53:O54)</f>
        <v>0</v>
      </c>
      <c r="P55" s="431">
        <f>O55/$H$55</f>
        <v>0</v>
      </c>
      <c r="Q55" s="306"/>
      <c r="R55" s="307">
        <f t="shared" si="36"/>
        <v>175503</v>
      </c>
      <c r="S55" s="308">
        <f t="shared" si="32"/>
        <v>0.79746904464387136</v>
      </c>
    </row>
    <row r="56" spans="1:19" ht="53.25" customHeight="1" x14ac:dyDescent="0.3">
      <c r="A56" s="1314" t="s">
        <v>1028</v>
      </c>
      <c r="B56" s="1314" t="s">
        <v>1010</v>
      </c>
      <c r="C56" s="374" t="s">
        <v>83</v>
      </c>
      <c r="D56" s="374" t="s">
        <v>1011</v>
      </c>
      <c r="E56" s="374">
        <v>0.04</v>
      </c>
      <c r="F56" s="192">
        <v>1114302</v>
      </c>
      <c r="G56" s="32">
        <f t="shared" ref="G56:G57" si="43">+ROUND(F56*1.051,0)</f>
        <v>1171131</v>
      </c>
      <c r="H56" s="192">
        <f>ROUND((E56*F56),0)</f>
        <v>44572</v>
      </c>
      <c r="I56" s="32">
        <f t="shared" ref="I56:I57" si="44">+ROUND(G56*E56,0)</f>
        <v>46845</v>
      </c>
      <c r="J56" s="1314" t="s">
        <v>1012</v>
      </c>
      <c r="K56" s="158">
        <v>0</v>
      </c>
      <c r="L56" s="194">
        <f>ROUND(K56*$F$56,0)</f>
        <v>0</v>
      </c>
      <c r="M56" s="195">
        <f>L56/$H$56</f>
        <v>0</v>
      </c>
      <c r="N56" s="432">
        <v>0</v>
      </c>
      <c r="O56" s="425">
        <f>ROUND(N56*$G$56,0)</f>
        <v>0</v>
      </c>
      <c r="P56" s="426">
        <f t="shared" ref="P56:P57" si="45">O56/I56</f>
        <v>0</v>
      </c>
      <c r="Q56" s="416">
        <f>K56+N56</f>
        <v>0</v>
      </c>
      <c r="R56" s="175">
        <f t="shared" si="36"/>
        <v>0</v>
      </c>
      <c r="S56" s="176">
        <f>R56/I56</f>
        <v>0</v>
      </c>
    </row>
    <row r="57" spans="1:19" ht="36.75" customHeight="1" x14ac:dyDescent="0.3">
      <c r="A57" s="1314"/>
      <c r="B57" s="1314"/>
      <c r="C57" s="374" t="s">
        <v>61</v>
      </c>
      <c r="D57" s="374" t="s">
        <v>1013</v>
      </c>
      <c r="E57" s="374">
        <v>0.04</v>
      </c>
      <c r="F57" s="192">
        <v>4387564</v>
      </c>
      <c r="G57" s="32">
        <f t="shared" si="43"/>
        <v>4611330</v>
      </c>
      <c r="H57" s="192">
        <f>ROUND((E57*F57),0)</f>
        <v>175503</v>
      </c>
      <c r="I57" s="32">
        <f t="shared" si="44"/>
        <v>184453</v>
      </c>
      <c r="J57" s="1314"/>
      <c r="K57" s="395">
        <v>0.04</v>
      </c>
      <c r="L57" s="396">
        <f>ROUND(K57*$F$57,0)</f>
        <v>175503</v>
      </c>
      <c r="M57" s="397">
        <f>L57/$H$57</f>
        <v>1</v>
      </c>
      <c r="N57" s="432">
        <v>0</v>
      </c>
      <c r="O57" s="425">
        <f>ROUND(N57*$G$57,0)</f>
        <v>0</v>
      </c>
      <c r="P57" s="426">
        <f t="shared" si="45"/>
        <v>0</v>
      </c>
      <c r="Q57" s="416">
        <f>K57+N57</f>
        <v>0.04</v>
      </c>
      <c r="R57" s="175">
        <f t="shared" si="36"/>
        <v>175503</v>
      </c>
      <c r="S57" s="176">
        <f t="shared" si="32"/>
        <v>1</v>
      </c>
    </row>
    <row r="58" spans="1:19" ht="16.2" x14ac:dyDescent="0.3">
      <c r="A58" s="1314"/>
      <c r="B58" s="1314"/>
      <c r="C58" s="196"/>
      <c r="D58" s="196" t="s">
        <v>1014</v>
      </c>
      <c r="E58" s="198"/>
      <c r="F58" s="198"/>
      <c r="G58" s="198"/>
      <c r="H58" s="199">
        <f>SUM(H56:H57)</f>
        <v>220075</v>
      </c>
      <c r="I58" s="199">
        <f>SUM(I56:I57)</f>
        <v>231298</v>
      </c>
      <c r="J58" s="1314"/>
      <c r="K58" s="306"/>
      <c r="L58" s="307">
        <f>SUM(L56:L57)</f>
        <v>175503</v>
      </c>
      <c r="M58" s="308">
        <f>L58/$H$58</f>
        <v>0.79746904464387136</v>
      </c>
      <c r="N58" s="428"/>
      <c r="O58" s="1079">
        <f>SUM(O56:O57)</f>
        <v>0</v>
      </c>
      <c r="P58" s="431">
        <f>O58/$H$58</f>
        <v>0</v>
      </c>
      <c r="Q58" s="306"/>
      <c r="R58" s="307">
        <f t="shared" si="36"/>
        <v>175503</v>
      </c>
      <c r="S58" s="308">
        <f t="shared" si="32"/>
        <v>0.79746904464387136</v>
      </c>
    </row>
    <row r="59" spans="1:19" ht="45.75" customHeight="1" x14ac:dyDescent="0.3">
      <c r="A59" s="1314" t="s">
        <v>1029</v>
      </c>
      <c r="B59" s="1314" t="s">
        <v>1010</v>
      </c>
      <c r="C59" s="374" t="s">
        <v>83</v>
      </c>
      <c r="D59" s="374" t="s">
        <v>1011</v>
      </c>
      <c r="E59" s="374">
        <v>0.04</v>
      </c>
      <c r="F59" s="192">
        <v>1114302</v>
      </c>
      <c r="G59" s="32">
        <f t="shared" ref="G59:G60" si="46">+ROUND(F59*1.051,0)</f>
        <v>1171131</v>
      </c>
      <c r="H59" s="192">
        <f>ROUND((E59*F59),0)</f>
        <v>44572</v>
      </c>
      <c r="I59" s="32">
        <f t="shared" ref="I59:I60" si="47">+ROUND(G59*E59,0)</f>
        <v>46845</v>
      </c>
      <c r="J59" s="1314" t="s">
        <v>1012</v>
      </c>
      <c r="K59" s="158">
        <v>0</v>
      </c>
      <c r="L59" s="194">
        <f>ROUND(K59*$F$59,0)</f>
        <v>0</v>
      </c>
      <c r="M59" s="195">
        <f>L59/$H$59</f>
        <v>0</v>
      </c>
      <c r="N59" s="432">
        <v>0</v>
      </c>
      <c r="O59" s="425">
        <f>ROUND(N59*$G$59,0)</f>
        <v>0</v>
      </c>
      <c r="P59" s="426">
        <f t="shared" ref="P59:P60" si="48">O59/I59</f>
        <v>0</v>
      </c>
      <c r="Q59" s="416">
        <f>K59+N59</f>
        <v>0</v>
      </c>
      <c r="R59" s="175">
        <f t="shared" si="36"/>
        <v>0</v>
      </c>
      <c r="S59" s="176">
        <f>R59/I59</f>
        <v>0</v>
      </c>
    </row>
    <row r="60" spans="1:19" ht="51" customHeight="1" x14ac:dyDescent="0.3">
      <c r="A60" s="1314"/>
      <c r="B60" s="1314"/>
      <c r="C60" s="374" t="s">
        <v>61</v>
      </c>
      <c r="D60" s="374" t="s">
        <v>1013</v>
      </c>
      <c r="E60" s="374">
        <v>0.04</v>
      </c>
      <c r="F60" s="192">
        <v>4387564</v>
      </c>
      <c r="G60" s="32">
        <f t="shared" si="46"/>
        <v>4611330</v>
      </c>
      <c r="H60" s="192">
        <f>ROUND((E60*F60),0)</f>
        <v>175503</v>
      </c>
      <c r="I60" s="32">
        <f t="shared" si="47"/>
        <v>184453</v>
      </c>
      <c r="J60" s="1314"/>
      <c r="K60" s="395">
        <v>0.04</v>
      </c>
      <c r="L60" s="396">
        <f>ROUND(K60*$F$60,0)</f>
        <v>175503</v>
      </c>
      <c r="M60" s="397">
        <f>L60/$H$60</f>
        <v>1</v>
      </c>
      <c r="N60" s="432">
        <v>0</v>
      </c>
      <c r="O60" s="1080">
        <f>ROUND(N60*$G$60,0)</f>
        <v>0</v>
      </c>
      <c r="P60" s="426">
        <f t="shared" si="48"/>
        <v>0</v>
      </c>
      <c r="Q60" s="416">
        <f>K60+N60</f>
        <v>0.04</v>
      </c>
      <c r="R60" s="175">
        <f t="shared" si="36"/>
        <v>175503</v>
      </c>
      <c r="S60" s="176">
        <f t="shared" si="32"/>
        <v>1</v>
      </c>
    </row>
    <row r="61" spans="1:19" x14ac:dyDescent="0.3">
      <c r="A61" s="1314"/>
      <c r="B61" s="1314"/>
      <c r="C61" s="196"/>
      <c r="D61" s="196" t="s">
        <v>1014</v>
      </c>
      <c r="E61" s="198"/>
      <c r="F61" s="198"/>
      <c r="G61" s="198"/>
      <c r="H61" s="199">
        <f>SUM(H59:H60)</f>
        <v>220075</v>
      </c>
      <c r="I61" s="199">
        <f>SUM(I59:I60)</f>
        <v>231298</v>
      </c>
      <c r="J61" s="1314"/>
      <c r="K61" s="306"/>
      <c r="L61" s="307">
        <f>SUM(L59:L60)</f>
        <v>175503</v>
      </c>
      <c r="M61" s="308">
        <f>L61/$H$61</f>
        <v>0.79746904464387136</v>
      </c>
      <c r="N61" s="428"/>
      <c r="O61" s="307">
        <f>SUM(O59:O60)</f>
        <v>0</v>
      </c>
      <c r="P61" s="431">
        <f>O61/$H$61</f>
        <v>0</v>
      </c>
      <c r="Q61" s="306"/>
      <c r="R61" s="307">
        <f t="shared" si="36"/>
        <v>175503</v>
      </c>
      <c r="S61" s="308">
        <f t="shared" si="32"/>
        <v>0.79746904464387136</v>
      </c>
    </row>
    <row r="62" spans="1:19" ht="40.5" customHeight="1" x14ac:dyDescent="0.3">
      <c r="A62" s="1314" t="s">
        <v>1030</v>
      </c>
      <c r="B62" s="1314" t="s">
        <v>1010</v>
      </c>
      <c r="C62" s="374" t="s">
        <v>83</v>
      </c>
      <c r="D62" s="374" t="s">
        <v>1011</v>
      </c>
      <c r="E62" s="374">
        <v>0.04</v>
      </c>
      <c r="F62" s="192">
        <v>1114302</v>
      </c>
      <c r="G62" s="32">
        <f t="shared" ref="G62:G63" si="49">+ROUND(F62*1.051,0)</f>
        <v>1171131</v>
      </c>
      <c r="H62" s="192">
        <f>ROUND((E62*F62),0)</f>
        <v>44572</v>
      </c>
      <c r="I62" s="32">
        <f t="shared" ref="I62" si="50">+ROUND(G62*E62,0)</f>
        <v>46845</v>
      </c>
      <c r="J62" s="1314" t="s">
        <v>1012</v>
      </c>
      <c r="K62" s="158">
        <v>0</v>
      </c>
      <c r="L62" s="194">
        <f>ROUND(K62*$F$62,0)</f>
        <v>0</v>
      </c>
      <c r="M62" s="195">
        <f>L62/$H$62</f>
        <v>0</v>
      </c>
      <c r="N62" s="432">
        <v>0</v>
      </c>
      <c r="O62" s="425">
        <f>ROUND(N62*$G$62,0)</f>
        <v>0</v>
      </c>
      <c r="P62" s="426">
        <f t="shared" ref="P62:P63" si="51">O62/I62</f>
        <v>0</v>
      </c>
      <c r="Q62" s="416">
        <f>K62+N62</f>
        <v>0</v>
      </c>
      <c r="R62" s="175">
        <f t="shared" si="36"/>
        <v>0</v>
      </c>
      <c r="S62" s="176">
        <f>R62/I62</f>
        <v>0</v>
      </c>
    </row>
    <row r="63" spans="1:19" ht="49.5" customHeight="1" x14ac:dyDescent="0.3">
      <c r="A63" s="1314"/>
      <c r="B63" s="1314"/>
      <c r="C63" s="374" t="s">
        <v>61</v>
      </c>
      <c r="D63" s="374" t="s">
        <v>1013</v>
      </c>
      <c r="E63" s="374">
        <v>0.04</v>
      </c>
      <c r="F63" s="192">
        <v>4387564</v>
      </c>
      <c r="G63" s="32">
        <f t="shared" si="49"/>
        <v>4611330</v>
      </c>
      <c r="H63" s="192">
        <f>ROUND((E63*F63),0)</f>
        <v>175503</v>
      </c>
      <c r="I63" s="32">
        <f>+ROUND(G63*E63,0)</f>
        <v>184453</v>
      </c>
      <c r="J63" s="1314"/>
      <c r="K63" s="395">
        <v>0.04</v>
      </c>
      <c r="L63" s="396">
        <f>ROUND(K63*$F$63,0)</f>
        <v>175503</v>
      </c>
      <c r="M63" s="397">
        <f>L63/$H$63</f>
        <v>1</v>
      </c>
      <c r="N63" s="432">
        <v>0</v>
      </c>
      <c r="O63" s="425">
        <f>ROUND(N63*$G$63,0)</f>
        <v>0</v>
      </c>
      <c r="P63" s="426">
        <f t="shared" si="51"/>
        <v>0</v>
      </c>
      <c r="Q63" s="416">
        <f>K63+N63</f>
        <v>0.04</v>
      </c>
      <c r="R63" s="175">
        <f t="shared" si="36"/>
        <v>175503</v>
      </c>
      <c r="S63" s="176">
        <f t="shared" si="32"/>
        <v>1</v>
      </c>
    </row>
    <row r="64" spans="1:19" x14ac:dyDescent="0.3">
      <c r="A64" s="1314"/>
      <c r="B64" s="1314"/>
      <c r="C64" s="196"/>
      <c r="D64" s="196" t="s">
        <v>1014</v>
      </c>
      <c r="E64" s="198"/>
      <c r="F64" s="198"/>
      <c r="G64" s="198"/>
      <c r="H64" s="199">
        <f>SUM(H62:H63)</f>
        <v>220075</v>
      </c>
      <c r="I64" s="199">
        <f>SUM(I62:I63)</f>
        <v>231298</v>
      </c>
      <c r="J64" s="1314"/>
      <c r="K64" s="306"/>
      <c r="L64" s="307">
        <f>SUM(L62:L63)</f>
        <v>175503</v>
      </c>
      <c r="M64" s="308">
        <f>L64/$H$64</f>
        <v>0.79746904464387136</v>
      </c>
      <c r="N64" s="428"/>
      <c r="O64" s="307">
        <f>SUM(O62:O63)</f>
        <v>0</v>
      </c>
      <c r="P64" s="431">
        <f>O64/$H$64</f>
        <v>0</v>
      </c>
      <c r="Q64" s="306"/>
      <c r="R64" s="307">
        <f t="shared" si="36"/>
        <v>175503</v>
      </c>
      <c r="S64" s="308">
        <f t="shared" si="32"/>
        <v>0.79746904464387136</v>
      </c>
    </row>
    <row r="65" spans="1:19" ht="36.75" customHeight="1" x14ac:dyDescent="0.3">
      <c r="A65" s="1314" t="s">
        <v>1031</v>
      </c>
      <c r="B65" s="1314" t="s">
        <v>1010</v>
      </c>
      <c r="C65" s="374" t="s">
        <v>83</v>
      </c>
      <c r="D65" s="374" t="s">
        <v>1011</v>
      </c>
      <c r="E65" s="374">
        <v>0.04</v>
      </c>
      <c r="F65" s="192">
        <v>1114302</v>
      </c>
      <c r="G65" s="32">
        <f t="shared" ref="G65:G66" si="52">+ROUND(F65*1.051,0)</f>
        <v>1171131</v>
      </c>
      <c r="H65" s="192">
        <f>ROUND((E65*F65),0)</f>
        <v>44572</v>
      </c>
      <c r="I65" s="32">
        <f t="shared" ref="I65:I66" si="53">+ROUND(G65*E65,0)</f>
        <v>46845</v>
      </c>
      <c r="J65" s="1314" t="s">
        <v>1012</v>
      </c>
      <c r="K65" s="158">
        <v>0</v>
      </c>
      <c r="L65" s="194">
        <f>ROUND(K65*$F$65,0)</f>
        <v>0</v>
      </c>
      <c r="M65" s="195">
        <f>L65/$H$65</f>
        <v>0</v>
      </c>
      <c r="N65" s="432">
        <v>0</v>
      </c>
      <c r="O65" s="425">
        <f>ROUND(N65*$G$65,0)</f>
        <v>0</v>
      </c>
      <c r="P65" s="426">
        <f t="shared" ref="P65:P66" si="54">O65/I65</f>
        <v>0</v>
      </c>
      <c r="Q65" s="416">
        <f>K65+N65</f>
        <v>0</v>
      </c>
      <c r="R65" s="175">
        <f t="shared" si="36"/>
        <v>0</v>
      </c>
      <c r="S65" s="176">
        <f>R65/I65</f>
        <v>0</v>
      </c>
    </row>
    <row r="66" spans="1:19" ht="61.5" customHeight="1" x14ac:dyDescent="0.3">
      <c r="A66" s="1314"/>
      <c r="B66" s="1314"/>
      <c r="C66" s="374" t="s">
        <v>61</v>
      </c>
      <c r="D66" s="374" t="s">
        <v>1013</v>
      </c>
      <c r="E66" s="374">
        <v>0.04</v>
      </c>
      <c r="F66" s="192">
        <v>4387564</v>
      </c>
      <c r="G66" s="32">
        <f t="shared" si="52"/>
        <v>4611330</v>
      </c>
      <c r="H66" s="192">
        <f>ROUND((E66*F66),0)</f>
        <v>175503</v>
      </c>
      <c r="I66" s="32">
        <f t="shared" si="53"/>
        <v>184453</v>
      </c>
      <c r="J66" s="1314"/>
      <c r="K66" s="395">
        <v>0.04</v>
      </c>
      <c r="L66" s="396">
        <f>ROUND(K66*$F$66,0)</f>
        <v>175503</v>
      </c>
      <c r="M66" s="397">
        <f>L66/$H$66</f>
        <v>1</v>
      </c>
      <c r="N66" s="432">
        <v>0</v>
      </c>
      <c r="O66" s="425">
        <f>ROUND(N66*$G$66,0)</f>
        <v>0</v>
      </c>
      <c r="P66" s="426">
        <f t="shared" si="54"/>
        <v>0</v>
      </c>
      <c r="Q66" s="416">
        <f>K66+N66</f>
        <v>0.04</v>
      </c>
      <c r="R66" s="175">
        <f t="shared" si="36"/>
        <v>175503</v>
      </c>
      <c r="S66" s="176">
        <f t="shared" si="32"/>
        <v>1</v>
      </c>
    </row>
    <row r="67" spans="1:19" x14ac:dyDescent="0.3">
      <c r="A67" s="1314"/>
      <c r="B67" s="1314"/>
      <c r="C67" s="196"/>
      <c r="D67" s="196" t="s">
        <v>1014</v>
      </c>
      <c r="E67" s="198"/>
      <c r="F67" s="198"/>
      <c r="G67" s="198"/>
      <c r="H67" s="199">
        <f>SUM(H65:H66)</f>
        <v>220075</v>
      </c>
      <c r="I67" s="199">
        <f>SUM(I65:I66)</f>
        <v>231298</v>
      </c>
      <c r="J67" s="1314"/>
      <c r="K67" s="306"/>
      <c r="L67" s="307">
        <f>SUM(L65:L66)</f>
        <v>175503</v>
      </c>
      <c r="M67" s="308">
        <f>L67/$H$67</f>
        <v>0.79746904464387136</v>
      </c>
      <c r="N67" s="428"/>
      <c r="O67" s="307">
        <f>SUM(O65:O66)</f>
        <v>0</v>
      </c>
      <c r="P67" s="431">
        <f>O67/$H$67</f>
        <v>0</v>
      </c>
      <c r="Q67" s="306"/>
      <c r="R67" s="307">
        <f t="shared" si="36"/>
        <v>175503</v>
      </c>
      <c r="S67" s="308">
        <f t="shared" si="32"/>
        <v>0.79746904464387136</v>
      </c>
    </row>
    <row r="68" spans="1:19" ht="53.25" customHeight="1" x14ac:dyDescent="0.3">
      <c r="A68" s="1314" t="s">
        <v>1032</v>
      </c>
      <c r="B68" s="1314" t="s">
        <v>1010</v>
      </c>
      <c r="C68" s="374" t="s">
        <v>83</v>
      </c>
      <c r="D68" s="374" t="s">
        <v>1011</v>
      </c>
      <c r="E68" s="374">
        <v>0.04</v>
      </c>
      <c r="F68" s="192">
        <v>1114302</v>
      </c>
      <c r="G68" s="32">
        <f t="shared" ref="G68:G69" si="55">+ROUND(F68*1.051,0)</f>
        <v>1171131</v>
      </c>
      <c r="H68" s="192">
        <f>ROUND((E68*F68),0)</f>
        <v>44572</v>
      </c>
      <c r="I68" s="32">
        <f t="shared" ref="I68:I69" si="56">+ROUND(G68*E68,0)</f>
        <v>46845</v>
      </c>
      <c r="J68" s="1314" t="s">
        <v>1012</v>
      </c>
      <c r="K68" s="158">
        <v>0</v>
      </c>
      <c r="L68" s="194">
        <f>ROUND(K68*$F$68,0)</f>
        <v>0</v>
      </c>
      <c r="M68" s="195">
        <f>L68/$H$68</f>
        <v>0</v>
      </c>
      <c r="N68" s="432">
        <v>0</v>
      </c>
      <c r="O68" s="425">
        <f>ROUND(N68*$G$68,0)</f>
        <v>0</v>
      </c>
      <c r="P68" s="426">
        <f t="shared" ref="P68:P69" si="57">O68/I68</f>
        <v>0</v>
      </c>
      <c r="Q68" s="416">
        <f>K68+N68</f>
        <v>0</v>
      </c>
      <c r="R68" s="175">
        <f t="shared" si="36"/>
        <v>0</v>
      </c>
      <c r="S68" s="176">
        <f>R68/I68</f>
        <v>0</v>
      </c>
    </row>
    <row r="69" spans="1:19" ht="59.25" customHeight="1" x14ac:dyDescent="0.3">
      <c r="A69" s="1314"/>
      <c r="B69" s="1314"/>
      <c r="C69" s="374" t="s">
        <v>61</v>
      </c>
      <c r="D69" s="374" t="s">
        <v>1013</v>
      </c>
      <c r="E69" s="374">
        <v>0.04</v>
      </c>
      <c r="F69" s="192">
        <v>4387564</v>
      </c>
      <c r="G69" s="32">
        <f t="shared" si="55"/>
        <v>4611330</v>
      </c>
      <c r="H69" s="192">
        <f>ROUND((E69*F69),0)</f>
        <v>175503</v>
      </c>
      <c r="I69" s="32">
        <f t="shared" si="56"/>
        <v>184453</v>
      </c>
      <c r="J69" s="1314"/>
      <c r="K69" s="395">
        <v>0.04</v>
      </c>
      <c r="L69" s="396">
        <f>ROUND(K69*$F$69,0)</f>
        <v>175503</v>
      </c>
      <c r="M69" s="397">
        <f>L69/$H$69</f>
        <v>1</v>
      </c>
      <c r="N69" s="432">
        <v>0</v>
      </c>
      <c r="O69" s="425">
        <f>ROUND(N69*$G$69,0)</f>
        <v>0</v>
      </c>
      <c r="P69" s="426">
        <f t="shared" si="57"/>
        <v>0</v>
      </c>
      <c r="Q69" s="416">
        <f>K69+N69</f>
        <v>0.04</v>
      </c>
      <c r="R69" s="175">
        <f t="shared" si="36"/>
        <v>175503</v>
      </c>
      <c r="S69" s="176">
        <f t="shared" si="32"/>
        <v>1</v>
      </c>
    </row>
    <row r="70" spans="1:19" x14ac:dyDescent="0.3">
      <c r="A70" s="1314"/>
      <c r="B70" s="1314"/>
      <c r="C70" s="196"/>
      <c r="D70" s="196" t="s">
        <v>1014</v>
      </c>
      <c r="E70" s="198"/>
      <c r="F70" s="198"/>
      <c r="G70" s="198"/>
      <c r="H70" s="199">
        <f>SUM(H68:H69)</f>
        <v>220075</v>
      </c>
      <c r="I70" s="199">
        <f>SUM(I68:I69)</f>
        <v>231298</v>
      </c>
      <c r="J70" s="1314"/>
      <c r="K70" s="306"/>
      <c r="L70" s="307">
        <f>SUM(L68:L69)</f>
        <v>175503</v>
      </c>
      <c r="M70" s="308">
        <f>L70/$H$70</f>
        <v>0.79746904464387136</v>
      </c>
      <c r="N70" s="428"/>
      <c r="O70" s="307">
        <f>SUM(O68:O69)</f>
        <v>0</v>
      </c>
      <c r="P70" s="431">
        <f>O70/$H$70</f>
        <v>0</v>
      </c>
      <c r="Q70" s="306"/>
      <c r="R70" s="307">
        <f t="shared" si="36"/>
        <v>175503</v>
      </c>
      <c r="S70" s="308">
        <f t="shared" si="32"/>
        <v>0.79746904464387136</v>
      </c>
    </row>
    <row r="71" spans="1:19" ht="60" customHeight="1" x14ac:dyDescent="0.3">
      <c r="A71" s="1314" t="s">
        <v>1033</v>
      </c>
      <c r="B71" s="1314" t="s">
        <v>1010</v>
      </c>
      <c r="C71" s="374" t="s">
        <v>83</v>
      </c>
      <c r="D71" s="374" t="s">
        <v>1011</v>
      </c>
      <c r="E71" s="374">
        <v>0.04</v>
      </c>
      <c r="F71" s="192">
        <v>1114302</v>
      </c>
      <c r="G71" s="32">
        <f>+ROUND(F71*1.051,0)</f>
        <v>1171131</v>
      </c>
      <c r="H71" s="192">
        <f>ROUND((E71*F71),0)</f>
        <v>44572</v>
      </c>
      <c r="I71" s="32">
        <f t="shared" ref="I71:I72" si="58">+ROUND(G71*E71,0)</f>
        <v>46845</v>
      </c>
      <c r="J71" s="1314" t="s">
        <v>1012</v>
      </c>
      <c r="K71" s="158">
        <v>0</v>
      </c>
      <c r="L71" s="194">
        <f>ROUND(K71*$F$71,0)</f>
        <v>0</v>
      </c>
      <c r="M71" s="195">
        <f>L71/$H$71</f>
        <v>0</v>
      </c>
      <c r="N71" s="432">
        <v>0</v>
      </c>
      <c r="O71" s="425">
        <f>ROUND(N71*$G$71,0)</f>
        <v>0</v>
      </c>
      <c r="P71" s="426">
        <f t="shared" ref="P71:P72" si="59">O71/I71</f>
        <v>0</v>
      </c>
      <c r="Q71" s="416">
        <f>K71+N71</f>
        <v>0</v>
      </c>
      <c r="R71" s="175">
        <f t="shared" si="36"/>
        <v>0</v>
      </c>
      <c r="S71" s="176">
        <f>R71/I71</f>
        <v>0</v>
      </c>
    </row>
    <row r="72" spans="1:19" ht="59.25" customHeight="1" x14ac:dyDescent="0.3">
      <c r="A72" s="1314"/>
      <c r="B72" s="1314"/>
      <c r="C72" s="374" t="s">
        <v>61</v>
      </c>
      <c r="D72" s="374" t="s">
        <v>1013</v>
      </c>
      <c r="E72" s="374">
        <v>0.04</v>
      </c>
      <c r="F72" s="192">
        <v>4387564</v>
      </c>
      <c r="G72" s="32">
        <f>+ROUND(F72*1.051,0)</f>
        <v>4611330</v>
      </c>
      <c r="H72" s="192">
        <f>ROUND((E72*F72),0)</f>
        <v>175503</v>
      </c>
      <c r="I72" s="32">
        <f t="shared" si="58"/>
        <v>184453</v>
      </c>
      <c r="J72" s="1314"/>
      <c r="K72" s="395">
        <v>0.04</v>
      </c>
      <c r="L72" s="396">
        <f>ROUND(K72*$F$72,0)</f>
        <v>175503</v>
      </c>
      <c r="M72" s="397">
        <f>L72/$H$72</f>
        <v>1</v>
      </c>
      <c r="N72" s="432">
        <v>0</v>
      </c>
      <c r="O72" s="425">
        <f>ROUND(N72*$G$72,0)</f>
        <v>0</v>
      </c>
      <c r="P72" s="426">
        <f t="shared" si="59"/>
        <v>0</v>
      </c>
      <c r="Q72" s="416">
        <f>K72+N72</f>
        <v>0.04</v>
      </c>
      <c r="R72" s="175">
        <f t="shared" si="36"/>
        <v>175503</v>
      </c>
      <c r="S72" s="176">
        <f t="shared" si="32"/>
        <v>1</v>
      </c>
    </row>
    <row r="73" spans="1:19" x14ac:dyDescent="0.3">
      <c r="A73" s="1314"/>
      <c r="B73" s="1314"/>
      <c r="C73" s="196"/>
      <c r="D73" s="196" t="s">
        <v>1014</v>
      </c>
      <c r="E73" s="198"/>
      <c r="F73" s="198"/>
      <c r="G73" s="198"/>
      <c r="H73" s="199">
        <f>SUM(H71:H72)</f>
        <v>220075</v>
      </c>
      <c r="I73" s="199">
        <f>SUM(I71:I72)</f>
        <v>231298</v>
      </c>
      <c r="J73" s="1314"/>
      <c r="K73" s="306"/>
      <c r="L73" s="307">
        <f>SUM(L71:L72)</f>
        <v>175503</v>
      </c>
      <c r="M73" s="308">
        <f>L73/$H$73</f>
        <v>0.79746904464387136</v>
      </c>
      <c r="N73" s="428"/>
      <c r="O73" s="307">
        <f>SUM(O71:O72)</f>
        <v>0</v>
      </c>
      <c r="P73" s="431">
        <f>O73/$H$73</f>
        <v>0</v>
      </c>
      <c r="Q73" s="306"/>
      <c r="R73" s="307">
        <f t="shared" si="36"/>
        <v>175503</v>
      </c>
      <c r="S73" s="308">
        <f t="shared" si="32"/>
        <v>0.79746904464387136</v>
      </c>
    </row>
    <row r="74" spans="1:19" ht="45" customHeight="1" x14ac:dyDescent="0.3">
      <c r="A74" s="1314" t="s">
        <v>1034</v>
      </c>
      <c r="B74" s="1314" t="s">
        <v>1010</v>
      </c>
      <c r="C74" s="374" t="s">
        <v>83</v>
      </c>
      <c r="D74" s="374" t="s">
        <v>1011</v>
      </c>
      <c r="E74" s="374">
        <v>0.04</v>
      </c>
      <c r="F74" s="192">
        <v>1114302</v>
      </c>
      <c r="G74" s="32">
        <f t="shared" ref="G74:G75" si="60">+ROUND(F74*1.051,0)</f>
        <v>1171131</v>
      </c>
      <c r="H74" s="192">
        <f>ROUND((E74*F74),0)</f>
        <v>44572</v>
      </c>
      <c r="I74" s="32">
        <f t="shared" ref="I74:I75" si="61">+ROUND(G74*E74,0)</f>
        <v>46845</v>
      </c>
      <c r="J74" s="1314" t="s">
        <v>1012</v>
      </c>
      <c r="K74" s="158">
        <v>0</v>
      </c>
      <c r="L74" s="194">
        <f>ROUND(K74*$F$74,0)</f>
        <v>0</v>
      </c>
      <c r="M74" s="195">
        <f>L74/$H$74</f>
        <v>0</v>
      </c>
      <c r="N74" s="432">
        <v>0</v>
      </c>
      <c r="O74" s="425">
        <f>ROUND(N74*$G$74,0)</f>
        <v>0</v>
      </c>
      <c r="P74" s="426">
        <f t="shared" ref="P74:P75" si="62">O74/I74</f>
        <v>0</v>
      </c>
      <c r="Q74" s="416">
        <f>K74+N74</f>
        <v>0</v>
      </c>
      <c r="R74" s="175">
        <f t="shared" si="36"/>
        <v>0</v>
      </c>
      <c r="S74" s="176">
        <f>R74/I74</f>
        <v>0</v>
      </c>
    </row>
    <row r="75" spans="1:19" ht="42" customHeight="1" x14ac:dyDescent="0.3">
      <c r="A75" s="1314"/>
      <c r="B75" s="1314"/>
      <c r="C75" s="374" t="s">
        <v>61</v>
      </c>
      <c r="D75" s="374" t="s">
        <v>1013</v>
      </c>
      <c r="E75" s="374">
        <v>0.04</v>
      </c>
      <c r="F75" s="192">
        <v>4387564</v>
      </c>
      <c r="G75" s="32">
        <f t="shared" si="60"/>
        <v>4611330</v>
      </c>
      <c r="H75" s="192">
        <f>ROUND((E75*F75),0)</f>
        <v>175503</v>
      </c>
      <c r="I75" s="32">
        <f t="shared" si="61"/>
        <v>184453</v>
      </c>
      <c r="J75" s="1314"/>
      <c r="K75" s="395">
        <v>0.04</v>
      </c>
      <c r="L75" s="396">
        <f>ROUND(K75*$F$75,0)</f>
        <v>175503</v>
      </c>
      <c r="M75" s="397">
        <f>L75/$H$75</f>
        <v>1</v>
      </c>
      <c r="N75" s="432">
        <v>0</v>
      </c>
      <c r="O75" s="425">
        <f>ROUND(N75*$G$75,0)</f>
        <v>0</v>
      </c>
      <c r="P75" s="426">
        <f t="shared" si="62"/>
        <v>0</v>
      </c>
      <c r="Q75" s="416">
        <f>K75+N75</f>
        <v>0.04</v>
      </c>
      <c r="R75" s="175">
        <f t="shared" si="36"/>
        <v>175503</v>
      </c>
      <c r="S75" s="176">
        <f t="shared" si="32"/>
        <v>1</v>
      </c>
    </row>
    <row r="76" spans="1:19" x14ac:dyDescent="0.3">
      <c r="A76" s="1314"/>
      <c r="B76" s="1314"/>
      <c r="C76" s="196"/>
      <c r="D76" s="196" t="s">
        <v>1014</v>
      </c>
      <c r="E76" s="198"/>
      <c r="F76" s="198"/>
      <c r="G76" s="198"/>
      <c r="H76" s="199">
        <f>SUM(H74:H75)</f>
        <v>220075</v>
      </c>
      <c r="I76" s="199">
        <f>SUM(I74:I75)</f>
        <v>231298</v>
      </c>
      <c r="J76" s="1314"/>
      <c r="K76" s="306"/>
      <c r="L76" s="307">
        <f>SUM(L74:L75)</f>
        <v>175503</v>
      </c>
      <c r="M76" s="308">
        <f>L76/$H$76</f>
        <v>0.79746904464387136</v>
      </c>
      <c r="N76" s="428"/>
      <c r="O76" s="307">
        <f>SUM(O74:O75)</f>
        <v>0</v>
      </c>
      <c r="P76" s="431">
        <f>O76/$H$76</f>
        <v>0</v>
      </c>
      <c r="Q76" s="306"/>
      <c r="R76" s="307">
        <f t="shared" si="36"/>
        <v>175503</v>
      </c>
      <c r="S76" s="308">
        <f t="shared" si="32"/>
        <v>0.79746904464387136</v>
      </c>
    </row>
    <row r="77" spans="1:19" ht="40.5" customHeight="1" x14ac:dyDescent="0.3">
      <c r="A77" s="1314" t="s">
        <v>1035</v>
      </c>
      <c r="B77" s="1314" t="s">
        <v>1010</v>
      </c>
      <c r="C77" s="374" t="s">
        <v>83</v>
      </c>
      <c r="D77" s="374" t="s">
        <v>1011</v>
      </c>
      <c r="E77" s="374">
        <v>0.04</v>
      </c>
      <c r="F77" s="192">
        <v>1114302</v>
      </c>
      <c r="G77" s="32">
        <f t="shared" ref="G77:G78" si="63">+ROUND(F77*1.051,0)</f>
        <v>1171131</v>
      </c>
      <c r="H77" s="192">
        <f>ROUND((E77*F77),0)</f>
        <v>44572</v>
      </c>
      <c r="I77" s="32">
        <f t="shared" ref="I77:I78" si="64">+ROUND(G77*E77,0)</f>
        <v>46845</v>
      </c>
      <c r="J77" s="1314" t="s">
        <v>1012</v>
      </c>
      <c r="K77" s="158">
        <v>0</v>
      </c>
      <c r="L77" s="194">
        <f>ROUND(K77*$F$77,0)</f>
        <v>0</v>
      </c>
      <c r="M77" s="195">
        <f>L77/$H$77</f>
        <v>0</v>
      </c>
      <c r="N77" s="432">
        <v>0</v>
      </c>
      <c r="O77" s="425">
        <f>ROUND(N77*$G$77,0)</f>
        <v>0</v>
      </c>
      <c r="P77" s="426">
        <f t="shared" ref="P77:P78" si="65">O77/I77</f>
        <v>0</v>
      </c>
      <c r="Q77" s="416">
        <f>K77+N77</f>
        <v>0</v>
      </c>
      <c r="R77" s="175">
        <f t="shared" si="36"/>
        <v>0</v>
      </c>
      <c r="S77" s="176">
        <f>R77/I77</f>
        <v>0</v>
      </c>
    </row>
    <row r="78" spans="1:19" ht="51" customHeight="1" x14ac:dyDescent="0.3">
      <c r="A78" s="1314"/>
      <c r="B78" s="1314"/>
      <c r="C78" s="374" t="s">
        <v>61</v>
      </c>
      <c r="D78" s="374" t="s">
        <v>1013</v>
      </c>
      <c r="E78" s="374">
        <v>0.04</v>
      </c>
      <c r="F78" s="192">
        <v>4387564</v>
      </c>
      <c r="G78" s="32">
        <f t="shared" si="63"/>
        <v>4611330</v>
      </c>
      <c r="H78" s="192">
        <f>ROUND((E78*F78),0)</f>
        <v>175503</v>
      </c>
      <c r="I78" s="32">
        <f t="shared" si="64"/>
        <v>184453</v>
      </c>
      <c r="J78" s="1314"/>
      <c r="K78" s="395">
        <v>0.04</v>
      </c>
      <c r="L78" s="396">
        <f>ROUND(K78*$F$78,0)</f>
        <v>175503</v>
      </c>
      <c r="M78" s="397">
        <f>L78/$H$78</f>
        <v>1</v>
      </c>
      <c r="N78" s="432">
        <v>0</v>
      </c>
      <c r="O78" s="425">
        <f>ROUND(N78*$G$78,0)</f>
        <v>0</v>
      </c>
      <c r="P78" s="426">
        <f t="shared" si="65"/>
        <v>0</v>
      </c>
      <c r="Q78" s="416">
        <f>K78+N78</f>
        <v>0.04</v>
      </c>
      <c r="R78" s="175">
        <f t="shared" si="36"/>
        <v>175503</v>
      </c>
      <c r="S78" s="176">
        <f t="shared" ref="S78:S85" si="66">R78/H78</f>
        <v>1</v>
      </c>
    </row>
    <row r="79" spans="1:19" x14ac:dyDescent="0.3">
      <c r="A79" s="1314"/>
      <c r="B79" s="1314"/>
      <c r="C79" s="196"/>
      <c r="D79" s="196" t="s">
        <v>1014</v>
      </c>
      <c r="E79" s="198"/>
      <c r="F79" s="198"/>
      <c r="G79" s="198"/>
      <c r="H79" s="199">
        <f>SUM(H77:H78)</f>
        <v>220075</v>
      </c>
      <c r="I79" s="199">
        <f>SUM(I77:I78)</f>
        <v>231298</v>
      </c>
      <c r="J79" s="1314"/>
      <c r="K79" s="306"/>
      <c r="L79" s="307">
        <f>SUM(L77:L78)</f>
        <v>175503</v>
      </c>
      <c r="M79" s="308">
        <f>L79/$H$79</f>
        <v>0.79746904464387136</v>
      </c>
      <c r="N79" s="428"/>
      <c r="O79" s="307">
        <f>SUM(O77:O78)</f>
        <v>0</v>
      </c>
      <c r="P79" s="431">
        <f>O79/$H$79</f>
        <v>0</v>
      </c>
      <c r="Q79" s="306"/>
      <c r="R79" s="307">
        <f t="shared" si="36"/>
        <v>175503</v>
      </c>
      <c r="S79" s="308">
        <f t="shared" si="66"/>
        <v>0.79746904464387136</v>
      </c>
    </row>
    <row r="80" spans="1:19" ht="53.25" customHeight="1" x14ac:dyDescent="0.3">
      <c r="A80" s="1314" t="s">
        <v>1036</v>
      </c>
      <c r="B80" s="1314" t="s">
        <v>1010</v>
      </c>
      <c r="C80" s="374" t="s">
        <v>83</v>
      </c>
      <c r="D80" s="374" t="s">
        <v>1011</v>
      </c>
      <c r="E80" s="374">
        <v>0.04</v>
      </c>
      <c r="F80" s="192">
        <v>1114302</v>
      </c>
      <c r="G80" s="32">
        <f t="shared" ref="G80:G81" si="67">+ROUND(F80*1.051,0)</f>
        <v>1171131</v>
      </c>
      <c r="H80" s="192">
        <f>ROUND((E80*F80),0)</f>
        <v>44572</v>
      </c>
      <c r="I80" s="32">
        <f t="shared" ref="I80:I81" si="68">+ROUND(G80*E80,0)</f>
        <v>46845</v>
      </c>
      <c r="J80" s="1314" t="s">
        <v>1012</v>
      </c>
      <c r="K80" s="158">
        <v>0</v>
      </c>
      <c r="L80" s="194">
        <f>ROUND(K80*$F$80,0)</f>
        <v>0</v>
      </c>
      <c r="M80" s="195">
        <f>L80/$H$80</f>
        <v>0</v>
      </c>
      <c r="N80" s="432">
        <v>0</v>
      </c>
      <c r="O80" s="425">
        <f>ROUND(N80*$G$80,0)</f>
        <v>0</v>
      </c>
      <c r="P80" s="426">
        <f t="shared" ref="P80:P81" si="69">O80/I80</f>
        <v>0</v>
      </c>
      <c r="Q80" s="416">
        <f>K80+N80</f>
        <v>0</v>
      </c>
      <c r="R80" s="175">
        <f t="shared" ref="R80:R85" si="70">L80+O80</f>
        <v>0</v>
      </c>
      <c r="S80" s="176">
        <f>R80/I80</f>
        <v>0</v>
      </c>
    </row>
    <row r="81" spans="1:28" ht="43.5" customHeight="1" x14ac:dyDescent="0.3">
      <c r="A81" s="1314"/>
      <c r="B81" s="1314"/>
      <c r="C81" s="374" t="s">
        <v>61</v>
      </c>
      <c r="D81" s="374" t="s">
        <v>1013</v>
      </c>
      <c r="E81" s="374">
        <v>0.04</v>
      </c>
      <c r="F81" s="192">
        <v>4387564</v>
      </c>
      <c r="G81" s="32">
        <f t="shared" si="67"/>
        <v>4611330</v>
      </c>
      <c r="H81" s="192">
        <f>ROUND((E81*F81),0)</f>
        <v>175503</v>
      </c>
      <c r="I81" s="32">
        <f t="shared" si="68"/>
        <v>184453</v>
      </c>
      <c r="J81" s="1314"/>
      <c r="K81" s="395">
        <v>0.04</v>
      </c>
      <c r="L81" s="396">
        <f>ROUND(K81*$F$81,0)</f>
        <v>175503</v>
      </c>
      <c r="M81" s="397">
        <f>L81/$H$81</f>
        <v>1</v>
      </c>
      <c r="N81" s="432">
        <v>0</v>
      </c>
      <c r="O81" s="425">
        <f>ROUND(N81*$G$81,0)</f>
        <v>0</v>
      </c>
      <c r="P81" s="426">
        <f t="shared" si="69"/>
        <v>0</v>
      </c>
      <c r="Q81" s="416">
        <f>K81+N81</f>
        <v>0.04</v>
      </c>
      <c r="R81" s="175">
        <f t="shared" si="70"/>
        <v>175503</v>
      </c>
      <c r="S81" s="176">
        <f t="shared" si="66"/>
        <v>1</v>
      </c>
    </row>
    <row r="82" spans="1:28" ht="12.75" customHeight="1" x14ac:dyDescent="0.3">
      <c r="A82" s="1314"/>
      <c r="B82" s="1314"/>
      <c r="C82" s="196"/>
      <c r="D82" s="196" t="s">
        <v>1014</v>
      </c>
      <c r="E82" s="198"/>
      <c r="F82" s="198"/>
      <c r="G82" s="198"/>
      <c r="H82" s="199">
        <f>SUM(H80:H81)</f>
        <v>220075</v>
      </c>
      <c r="I82" s="199">
        <f>SUM(I80:I81)</f>
        <v>231298</v>
      </c>
      <c r="J82" s="1314"/>
      <c r="K82" s="306"/>
      <c r="L82" s="307">
        <f>SUM(L80:L81)</f>
        <v>175503</v>
      </c>
      <c r="M82" s="308">
        <f>L82/$H$82</f>
        <v>0.79746904464387136</v>
      </c>
      <c r="N82" s="428"/>
      <c r="O82" s="307">
        <f>SUM(O80:O81)</f>
        <v>0</v>
      </c>
      <c r="P82" s="431">
        <f>O82/$H$82</f>
        <v>0</v>
      </c>
      <c r="Q82" s="306"/>
      <c r="R82" s="307">
        <f t="shared" si="70"/>
        <v>175503</v>
      </c>
      <c r="S82" s="308">
        <f t="shared" si="66"/>
        <v>0.79746904464387136</v>
      </c>
    </row>
    <row r="83" spans="1:28" ht="43.5" customHeight="1" x14ac:dyDescent="0.3">
      <c r="A83" s="1314" t="s">
        <v>1037</v>
      </c>
      <c r="B83" s="1314" t="s">
        <v>1010</v>
      </c>
      <c r="C83" s="374" t="s">
        <v>83</v>
      </c>
      <c r="D83" s="374" t="s">
        <v>1011</v>
      </c>
      <c r="E83" s="374">
        <v>0.04</v>
      </c>
      <c r="F83" s="192">
        <v>1114302</v>
      </c>
      <c r="G83" s="32">
        <f t="shared" ref="G83:G84" si="71">+ROUND(F83*1.051,0)</f>
        <v>1171131</v>
      </c>
      <c r="H83" s="192">
        <f>ROUND((E83*F83),0)</f>
        <v>44572</v>
      </c>
      <c r="I83" s="32">
        <f t="shared" ref="I83:I84" si="72">+ROUND(G83*E83,0)</f>
        <v>46845</v>
      </c>
      <c r="J83" s="1314" t="s">
        <v>1012</v>
      </c>
      <c r="K83" s="158">
        <v>0</v>
      </c>
      <c r="L83" s="194">
        <f>ROUND(K83*$F$83,0)</f>
        <v>0</v>
      </c>
      <c r="M83" s="195">
        <f>L83/$H$83</f>
        <v>0</v>
      </c>
      <c r="N83" s="432">
        <v>0</v>
      </c>
      <c r="O83" s="425">
        <f>ROUND(N83*$G$83,0)</f>
        <v>0</v>
      </c>
      <c r="P83" s="426">
        <f t="shared" ref="P83:P84" si="73">O83/I83</f>
        <v>0</v>
      </c>
      <c r="Q83" s="416">
        <f>K83+N83</f>
        <v>0</v>
      </c>
      <c r="R83" s="175">
        <f t="shared" si="70"/>
        <v>0</v>
      </c>
      <c r="S83" s="176">
        <f>R83/I83</f>
        <v>0</v>
      </c>
    </row>
    <row r="84" spans="1:28" ht="47.25" customHeight="1" x14ac:dyDescent="0.3">
      <c r="A84" s="1314"/>
      <c r="B84" s="1314"/>
      <c r="C84" s="374" t="s">
        <v>61</v>
      </c>
      <c r="D84" s="374" t="s">
        <v>1013</v>
      </c>
      <c r="E84" s="374">
        <v>0.04</v>
      </c>
      <c r="F84" s="192">
        <v>4387564</v>
      </c>
      <c r="G84" s="32">
        <f t="shared" si="71"/>
        <v>4611330</v>
      </c>
      <c r="H84" s="192">
        <f>ROUND((E84*F84),0)</f>
        <v>175503</v>
      </c>
      <c r="I84" s="32">
        <f t="shared" si="72"/>
        <v>184453</v>
      </c>
      <c r="J84" s="1314"/>
      <c r="K84" s="395">
        <v>0.04</v>
      </c>
      <c r="L84" s="396">
        <f>ROUND(K84*$F$84,0)</f>
        <v>175503</v>
      </c>
      <c r="M84" s="397">
        <f>L84/$H$84</f>
        <v>1</v>
      </c>
      <c r="N84" s="432">
        <v>0</v>
      </c>
      <c r="O84" s="425">
        <f>ROUND(N84*$G$84,0)</f>
        <v>0</v>
      </c>
      <c r="P84" s="426">
        <f t="shared" si="73"/>
        <v>0</v>
      </c>
      <c r="Q84" s="416">
        <f>K84+N84</f>
        <v>0.04</v>
      </c>
      <c r="R84" s="175">
        <f t="shared" si="70"/>
        <v>175503</v>
      </c>
      <c r="S84" s="176">
        <f t="shared" si="66"/>
        <v>1</v>
      </c>
    </row>
    <row r="85" spans="1:28" x14ac:dyDescent="0.3">
      <c r="A85" s="1314"/>
      <c r="B85" s="1314"/>
      <c r="C85" s="196"/>
      <c r="D85" s="196" t="s">
        <v>1014</v>
      </c>
      <c r="E85" s="198"/>
      <c r="F85" s="198"/>
      <c r="G85" s="198"/>
      <c r="H85" s="199">
        <f>SUM(H83:H84)</f>
        <v>220075</v>
      </c>
      <c r="I85" s="199">
        <f>SUM(I83:I84)</f>
        <v>231298</v>
      </c>
      <c r="J85" s="1314"/>
      <c r="K85" s="306"/>
      <c r="L85" s="307">
        <f>SUM(L83:L84)</f>
        <v>175503</v>
      </c>
      <c r="M85" s="308">
        <f>L85/$H$85</f>
        <v>0.79746904464387136</v>
      </c>
      <c r="N85" s="428"/>
      <c r="O85" s="307">
        <f>SUM(O83:O84)</f>
        <v>0</v>
      </c>
      <c r="P85" s="431">
        <f>O85/$H$85</f>
        <v>0</v>
      </c>
      <c r="Q85" s="306"/>
      <c r="R85" s="307">
        <f t="shared" si="70"/>
        <v>175503</v>
      </c>
      <c r="S85" s="308">
        <f t="shared" si="66"/>
        <v>0.79746904464387136</v>
      </c>
    </row>
    <row r="86" spans="1:28" x14ac:dyDescent="0.3">
      <c r="F86" s="151" t="s">
        <v>64</v>
      </c>
      <c r="G86" s="151"/>
      <c r="H86" s="181">
        <f>SUM(H14:H85)/2</f>
        <v>5281800</v>
      </c>
      <c r="I86" s="138"/>
      <c r="K86" s="151" t="s">
        <v>64</v>
      </c>
      <c r="L86" s="181">
        <f>SUM(L14:L85)/2</f>
        <v>4212072</v>
      </c>
      <c r="M86" s="131">
        <f>L86/$H$86</f>
        <v>0.79746904464387136</v>
      </c>
      <c r="N86" s="480" t="s">
        <v>64</v>
      </c>
      <c r="O86" s="481">
        <f>SUM(O14:O85)/2</f>
        <v>0</v>
      </c>
      <c r="Q86" s="480" t="s">
        <v>64</v>
      </c>
      <c r="R86" s="481">
        <f>SUM(R14:R85)/2</f>
        <v>4212072</v>
      </c>
    </row>
    <row r="87" spans="1:28" x14ac:dyDescent="0.3">
      <c r="F87" s="153" t="s">
        <v>65</v>
      </c>
      <c r="G87" s="816"/>
      <c r="H87" s="182">
        <v>0</v>
      </c>
      <c r="I87" s="138"/>
      <c r="K87" s="153" t="s">
        <v>65</v>
      </c>
      <c r="L87" s="182">
        <v>0</v>
      </c>
      <c r="N87" s="482" t="s">
        <v>65</v>
      </c>
      <c r="O87" s="483">
        <v>0</v>
      </c>
      <c r="Q87" s="482" t="s">
        <v>65</v>
      </c>
      <c r="R87" s="483">
        <v>0</v>
      </c>
    </row>
    <row r="88" spans="1:28" x14ac:dyDescent="0.3">
      <c r="F88" s="152" t="s">
        <v>64</v>
      </c>
      <c r="G88" s="817"/>
      <c r="H88" s="182">
        <f>+H86+H87</f>
        <v>5281800</v>
      </c>
      <c r="I88" s="138"/>
      <c r="K88" s="152" t="s">
        <v>64</v>
      </c>
      <c r="L88" s="182">
        <f>+L86+L87</f>
        <v>4212072</v>
      </c>
      <c r="N88" s="484" t="s">
        <v>64</v>
      </c>
      <c r="O88" s="483">
        <f>+O86+O87</f>
        <v>0</v>
      </c>
      <c r="Q88" s="484" t="s">
        <v>64</v>
      </c>
      <c r="R88" s="483">
        <f>+R86+R87</f>
        <v>4212072</v>
      </c>
    </row>
    <row r="89" spans="1:28" ht="26.4" x14ac:dyDescent="0.3">
      <c r="F89" s="152"/>
      <c r="G89" s="817"/>
      <c r="H89" s="182"/>
      <c r="I89" s="138"/>
      <c r="K89" s="484"/>
      <c r="L89" s="182"/>
      <c r="N89" s="484" t="s">
        <v>1439</v>
      </c>
      <c r="O89" s="483">
        <f>ROUND(O88*0.015,0)</f>
        <v>0</v>
      </c>
      <c r="Q89" s="484" t="s">
        <v>1439</v>
      </c>
      <c r="R89" s="483">
        <f>L89+O89</f>
        <v>0</v>
      </c>
    </row>
    <row r="90" spans="1:28" ht="26.4" x14ac:dyDescent="0.3">
      <c r="F90" s="152"/>
      <c r="G90" s="817"/>
      <c r="H90" s="182"/>
      <c r="I90" s="138"/>
      <c r="K90" s="152"/>
      <c r="L90" s="182"/>
      <c r="N90" s="152" t="s">
        <v>1440</v>
      </c>
      <c r="O90" s="182">
        <f>O88+O89</f>
        <v>0</v>
      </c>
      <c r="P90" s="131">
        <f>O90/$H$86</f>
        <v>0</v>
      </c>
      <c r="Q90" s="152" t="s">
        <v>1440</v>
      </c>
      <c r="R90" s="182">
        <f>R88+R89</f>
        <v>4212072</v>
      </c>
      <c r="S90" s="131">
        <f>R86/H86</f>
        <v>0.79746904464387136</v>
      </c>
    </row>
    <row r="91" spans="1:28" x14ac:dyDescent="0.3">
      <c r="F91" s="154" t="s">
        <v>66</v>
      </c>
      <c r="G91" s="818"/>
      <c r="H91" s="182">
        <f>+H88*19%</f>
        <v>1003542</v>
      </c>
      <c r="I91" s="138"/>
      <c r="K91" s="154" t="s">
        <v>66</v>
      </c>
      <c r="L91" s="182">
        <f>+L88*19%</f>
        <v>800293.68</v>
      </c>
      <c r="N91" s="485" t="s">
        <v>66</v>
      </c>
      <c r="O91" s="483">
        <f>ROUND(O90*0.19,0)</f>
        <v>0</v>
      </c>
      <c r="Q91" s="485" t="s">
        <v>66</v>
      </c>
      <c r="R91" s="483">
        <f>ROUND(R90*0.19,0)</f>
        <v>800294</v>
      </c>
    </row>
    <row r="92" spans="1:28" x14ac:dyDescent="0.3">
      <c r="F92" s="155" t="s">
        <v>69</v>
      </c>
      <c r="G92" s="155"/>
      <c r="H92" s="181">
        <f>+H88+H91</f>
        <v>6285342</v>
      </c>
      <c r="I92" s="138"/>
      <c r="K92" s="155" t="s">
        <v>69</v>
      </c>
      <c r="L92" s="181">
        <f>+L88+L91</f>
        <v>5012365.68</v>
      </c>
      <c r="N92" s="545" t="s">
        <v>69</v>
      </c>
      <c r="O92" s="481">
        <f>O90+O91</f>
        <v>0</v>
      </c>
      <c r="Q92" s="545" t="s">
        <v>69</v>
      </c>
      <c r="R92" s="481">
        <f>R90+R91</f>
        <v>5012366</v>
      </c>
    </row>
    <row r="94" spans="1:28" s="302" customFormat="1" x14ac:dyDescent="0.3">
      <c r="A94" s="183" t="s">
        <v>67</v>
      </c>
      <c r="B94" s="184"/>
      <c r="C94" s="184"/>
      <c r="D94" s="185" t="s">
        <v>68</v>
      </c>
      <c r="G94" s="795"/>
      <c r="I94" s="795"/>
      <c r="K94" s="186" t="s">
        <v>70</v>
      </c>
      <c r="L94" s="187" t="s">
        <v>71</v>
      </c>
      <c r="M94" s="186" t="s">
        <v>58</v>
      </c>
      <c r="N94" s="186" t="s">
        <v>70</v>
      </c>
      <c r="O94" s="187" t="s">
        <v>71</v>
      </c>
      <c r="P94" s="186" t="s">
        <v>58</v>
      </c>
      <c r="Z94" s="189"/>
      <c r="AA94" s="189"/>
      <c r="AB94" s="189"/>
    </row>
    <row r="95" spans="1:28" s="302" customFormat="1" x14ac:dyDescent="0.3">
      <c r="A95" s="183"/>
      <c r="B95" s="184"/>
      <c r="C95" s="184"/>
      <c r="D95" s="185"/>
      <c r="G95" s="795"/>
      <c r="I95" s="795"/>
      <c r="K95" s="69" t="s">
        <v>72</v>
      </c>
      <c r="L95" s="70">
        <f>$L$86</f>
        <v>4212072</v>
      </c>
      <c r="M95" s="71">
        <f>$M$86</f>
        <v>0.79746904464387136</v>
      </c>
      <c r="N95" s="69" t="s">
        <v>72</v>
      </c>
      <c r="O95" s="70">
        <f>$L$86</f>
        <v>4212072</v>
      </c>
      <c r="P95" s="71">
        <f>$M$86</f>
        <v>0.79746904464387136</v>
      </c>
      <c r="Z95" s="189"/>
      <c r="AA95" s="189"/>
      <c r="AB95" s="189"/>
    </row>
    <row r="96" spans="1:28" s="302" customFormat="1" x14ac:dyDescent="0.3">
      <c r="A96" s="183"/>
      <c r="B96" s="184"/>
      <c r="C96" s="184"/>
      <c r="D96" s="185"/>
      <c r="G96" s="795"/>
      <c r="I96" s="795"/>
      <c r="K96" s="69"/>
      <c r="L96" s="70"/>
      <c r="M96" s="71"/>
      <c r="N96" s="69" t="s">
        <v>73</v>
      </c>
      <c r="O96" s="70">
        <f>$O$90</f>
        <v>0</v>
      </c>
      <c r="P96" s="71">
        <f>$P$90</f>
        <v>0</v>
      </c>
      <c r="Z96" s="189"/>
      <c r="AA96" s="189"/>
      <c r="AB96" s="189"/>
    </row>
    <row r="97" spans="1:28" s="302" customFormat="1" x14ac:dyDescent="0.3">
      <c r="A97" s="183"/>
      <c r="B97" s="184"/>
      <c r="C97" s="184"/>
      <c r="D97" s="185"/>
      <c r="G97" s="795"/>
      <c r="I97" s="795"/>
      <c r="K97" s="72" t="s">
        <v>1</v>
      </c>
      <c r="L97" s="105">
        <f>SUM(L95:L95)</f>
        <v>4212072</v>
      </c>
      <c r="M97" s="73">
        <f>SUM(M95:M95)</f>
        <v>0.79746904464387136</v>
      </c>
      <c r="N97" s="72" t="s">
        <v>1</v>
      </c>
      <c r="O97" s="105">
        <f>SUM(O95:O96)</f>
        <v>4212072</v>
      </c>
      <c r="P97" s="73">
        <f>SUM(P95:P96)</f>
        <v>0.79746904464387136</v>
      </c>
      <c r="Z97" s="189"/>
      <c r="AA97" s="189"/>
      <c r="AB97" s="189"/>
    </row>
    <row r="98" spans="1:28" s="302" customFormat="1" x14ac:dyDescent="0.3">
      <c r="A98" s="183"/>
      <c r="B98" s="184"/>
      <c r="C98" s="184"/>
      <c r="D98" s="185"/>
      <c r="G98" s="795"/>
      <c r="I98" s="795"/>
      <c r="K98" s="72" t="s">
        <v>9</v>
      </c>
      <c r="L98" s="1285"/>
      <c r="M98" s="1286"/>
      <c r="N98" s="72" t="s">
        <v>9</v>
      </c>
      <c r="O98" s="1285"/>
      <c r="P98" s="1286"/>
      <c r="Z98" s="189"/>
      <c r="AA98" s="189"/>
      <c r="AB98" s="189"/>
    </row>
    <row r="99" spans="1:28" s="302" customFormat="1" x14ac:dyDescent="0.3">
      <c r="A99" s="183"/>
      <c r="B99" s="184"/>
      <c r="C99" s="184"/>
      <c r="D99" s="185"/>
      <c r="G99" s="795"/>
      <c r="I99" s="795"/>
      <c r="K99" s="156" t="s">
        <v>78</v>
      </c>
      <c r="L99" s="1285" t="s">
        <v>1038</v>
      </c>
      <c r="M99" s="1286"/>
      <c r="N99" s="156" t="s">
        <v>78</v>
      </c>
      <c r="O99" s="1285" t="s">
        <v>1038</v>
      </c>
      <c r="P99" s="1286"/>
      <c r="Z99" s="189"/>
      <c r="AA99" s="189"/>
      <c r="AB99" s="189"/>
    </row>
    <row r="100" spans="1:28" s="302" customFormat="1" x14ac:dyDescent="0.3">
      <c r="A100" s="183"/>
      <c r="B100" s="184"/>
      <c r="C100" s="184"/>
      <c r="D100" s="185"/>
      <c r="G100" s="795"/>
      <c r="I100" s="795"/>
      <c r="K100" s="157" t="s">
        <v>8</v>
      </c>
      <c r="L100" s="1287" t="s">
        <v>1039</v>
      </c>
      <c r="M100" s="1288"/>
      <c r="N100" s="157" t="s">
        <v>8</v>
      </c>
      <c r="O100" s="1287" t="s">
        <v>1039</v>
      </c>
      <c r="P100" s="1288"/>
      <c r="Z100" s="189"/>
      <c r="AA100" s="189"/>
      <c r="AB100" s="189"/>
    </row>
    <row r="101" spans="1:28" s="302" customFormat="1" x14ac:dyDescent="0.3">
      <c r="A101" s="183"/>
      <c r="B101" s="184"/>
      <c r="C101" s="184"/>
      <c r="D101" s="185" t="s">
        <v>75</v>
      </c>
      <c r="G101" s="795"/>
      <c r="I101" s="795"/>
    </row>
    <row r="102" spans="1:28" s="302" customFormat="1" x14ac:dyDescent="0.3">
      <c r="A102" s="183" t="s">
        <v>76</v>
      </c>
      <c r="B102" s="180"/>
      <c r="C102" s="180"/>
      <c r="D102" s="185" t="s">
        <v>77</v>
      </c>
      <c r="G102" s="795"/>
      <c r="I102" s="795"/>
    </row>
    <row r="103" spans="1:28" s="302" customFormat="1" ht="15.75" customHeight="1" x14ac:dyDescent="0.3">
      <c r="A103" s="183" t="s">
        <v>79</v>
      </c>
      <c r="B103" s="180"/>
      <c r="C103" s="180"/>
      <c r="D103" s="185" t="s">
        <v>80</v>
      </c>
      <c r="G103" s="795"/>
      <c r="I103" s="795"/>
    </row>
  </sheetData>
  <sheetProtection formatCells="0" formatColumns="0" formatRows="0" insertColumns="0" insertRows="0" insertHyperlinks="0" deleteColumns="0" deleteRows="0" sort="0" autoFilter="0" pivotTables="0"/>
  <mergeCells count="94">
    <mergeCell ref="O98:P98"/>
    <mergeCell ref="O99:P99"/>
    <mergeCell ref="O100:P100"/>
    <mergeCell ref="C1:P2"/>
    <mergeCell ref="A7:S7"/>
    <mergeCell ref="A8:S8"/>
    <mergeCell ref="A9:S9"/>
    <mergeCell ref="A14:A16"/>
    <mergeCell ref="B14:B16"/>
    <mergeCell ref="J14:J16"/>
    <mergeCell ref="N11:P12"/>
    <mergeCell ref="A17:A19"/>
    <mergeCell ref="B17:B19"/>
    <mergeCell ref="J17:J19"/>
    <mergeCell ref="A20:A22"/>
    <mergeCell ref="B20:B22"/>
    <mergeCell ref="J20:J22"/>
    <mergeCell ref="A23:A25"/>
    <mergeCell ref="B23:B25"/>
    <mergeCell ref="J23:J25"/>
    <mergeCell ref="A26:A28"/>
    <mergeCell ref="B26:B28"/>
    <mergeCell ref="J26:J28"/>
    <mergeCell ref="A29:A31"/>
    <mergeCell ref="B29:B31"/>
    <mergeCell ref="J29:J31"/>
    <mergeCell ref="A32:A34"/>
    <mergeCell ref="B32:B34"/>
    <mergeCell ref="J32:J34"/>
    <mergeCell ref="A35:A37"/>
    <mergeCell ref="B35:B37"/>
    <mergeCell ref="J35:J37"/>
    <mergeCell ref="A38:A40"/>
    <mergeCell ref="B38:B40"/>
    <mergeCell ref="J38:J40"/>
    <mergeCell ref="A41:A43"/>
    <mergeCell ref="B41:B43"/>
    <mergeCell ref="J41:J43"/>
    <mergeCell ref="A44:A46"/>
    <mergeCell ref="B44:B46"/>
    <mergeCell ref="J44:J46"/>
    <mergeCell ref="A47:A49"/>
    <mergeCell ref="B47:B49"/>
    <mergeCell ref="J47:J49"/>
    <mergeCell ref="A50:A52"/>
    <mergeCell ref="B50:B52"/>
    <mergeCell ref="J50:J52"/>
    <mergeCell ref="B68:B70"/>
    <mergeCell ref="J68:J70"/>
    <mergeCell ref="A71:A73"/>
    <mergeCell ref="B71:B73"/>
    <mergeCell ref="A53:A55"/>
    <mergeCell ref="B53:B55"/>
    <mergeCell ref="J53:J55"/>
    <mergeCell ref="B65:B67"/>
    <mergeCell ref="J65:J67"/>
    <mergeCell ref="A56:A58"/>
    <mergeCell ref="B56:B58"/>
    <mergeCell ref="J56:J58"/>
    <mergeCell ref="A59:A61"/>
    <mergeCell ref="B59:B61"/>
    <mergeCell ref="J59:J61"/>
    <mergeCell ref="Q1:S1"/>
    <mergeCell ref="Q2:S2"/>
    <mergeCell ref="A3:S3"/>
    <mergeCell ref="A4:S4"/>
    <mergeCell ref="L99:M99"/>
    <mergeCell ref="A5:S5"/>
    <mergeCell ref="A6:S6"/>
    <mergeCell ref="A80:A82"/>
    <mergeCell ref="B80:B82"/>
    <mergeCell ref="J80:J82"/>
    <mergeCell ref="A74:A76"/>
    <mergeCell ref="B74:B76"/>
    <mergeCell ref="J74:J76"/>
    <mergeCell ref="A77:A79"/>
    <mergeCell ref="B77:B79"/>
    <mergeCell ref="J77:J79"/>
    <mergeCell ref="L100:M100"/>
    <mergeCell ref="A10:S10"/>
    <mergeCell ref="B11:J11"/>
    <mergeCell ref="K11:M12"/>
    <mergeCell ref="Q11:S12"/>
    <mergeCell ref="B12:J12"/>
    <mergeCell ref="L98:M98"/>
    <mergeCell ref="A83:A85"/>
    <mergeCell ref="B83:B85"/>
    <mergeCell ref="J83:J85"/>
    <mergeCell ref="J71:J73"/>
    <mergeCell ref="A62:A64"/>
    <mergeCell ref="B62:B64"/>
    <mergeCell ref="J62:J64"/>
    <mergeCell ref="A65:A67"/>
    <mergeCell ref="A68:A70"/>
  </mergeCells>
  <pageMargins left="0.70866141732283472" right="0.70866141732283472" top="0.74803149606299213" bottom="0.74803149606299213" header="0.31496062992125984" footer="0.31496062992125984"/>
  <pageSetup scale="67" orientation="landscape" r:id="rId1"/>
  <rowBreaks count="2" manualBreakCount="2">
    <brk id="55" max="16383" man="1"/>
    <brk id="70" max="16383" man="1"/>
  </rowBreaks>
  <drawing r:id="rId2"/>
  <legacyDrawingHF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tabColor theme="1"/>
  </sheetPr>
  <dimension ref="A1:G52"/>
  <sheetViews>
    <sheetView topLeftCell="A16" zoomScaleNormal="100"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f>
        <v>Proyecto: CDIM_CBSGSM_R0168 REDISEÑO RCS A MÓDULOS EN SSEE, Cambio de reconectador en módulo Telas S/E La Paz</v>
      </c>
      <c r="C5" s="1281"/>
      <c r="D5" s="1281"/>
      <c r="E5" s="1281"/>
      <c r="F5" s="1281"/>
      <c r="G5" s="1282"/>
    </row>
    <row r="6" spans="1:7" x14ac:dyDescent="0.25">
      <c r="A6" s="1177"/>
      <c r="B6" s="1177"/>
      <c r="C6" s="1177"/>
      <c r="D6" s="1177"/>
      <c r="E6" s="1177"/>
      <c r="F6" s="1177"/>
      <c r="G6" s="1177"/>
    </row>
    <row r="7" spans="1:7" x14ac:dyDescent="0.25">
      <c r="A7" s="271" t="s">
        <v>0</v>
      </c>
      <c r="B7" s="1264" t="str">
        <f>RESUMEN!B17</f>
        <v>D00235364</v>
      </c>
      <c r="C7" s="1265"/>
      <c r="D7" s="1177"/>
      <c r="E7" s="1266" t="s">
        <v>627</v>
      </c>
      <c r="F7" s="1267"/>
      <c r="G7" s="280" t="str">
        <f>RESUMEN!E17</f>
        <v>17-098</v>
      </c>
    </row>
    <row r="8" spans="1:7" x14ac:dyDescent="0.25">
      <c r="A8" s="271" t="s">
        <v>628</v>
      </c>
      <c r="B8" s="1264" t="str">
        <f>RESUMEN!C17</f>
        <v>D00235364000</v>
      </c>
      <c r="C8" s="1265"/>
      <c r="D8" s="1177"/>
      <c r="E8" s="1266" t="s">
        <v>629</v>
      </c>
      <c r="F8" s="1267"/>
      <c r="G8" s="280" t="str">
        <f>RESUMEN!U17</f>
        <v>Acta N° 6: Marzo</v>
      </c>
    </row>
    <row r="9" spans="1:7" x14ac:dyDescent="0.25">
      <c r="A9" s="271" t="s">
        <v>630</v>
      </c>
      <c r="B9" s="1283" t="s">
        <v>631</v>
      </c>
      <c r="C9" s="1265"/>
      <c r="D9" s="1177"/>
      <c r="E9" s="1266" t="s">
        <v>632</v>
      </c>
      <c r="F9" s="1267"/>
      <c r="G9" s="1178">
        <f>RESUMEN!H17</f>
        <v>14405839</v>
      </c>
    </row>
    <row r="10" spans="1:7" x14ac:dyDescent="0.25">
      <c r="A10" s="271" t="s">
        <v>633</v>
      </c>
      <c r="B10" s="1283" t="str">
        <f>RESUMEN!D17</f>
        <v>LA PAZ CTO TELAS</v>
      </c>
      <c r="C10" s="1265"/>
      <c r="D10" s="1177"/>
      <c r="E10" s="1266" t="s">
        <v>634</v>
      </c>
      <c r="F10" s="1267"/>
      <c r="G10" s="1178">
        <f>RESUMEN!R17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CDIM_CBSGSM_R0168 REDISEÑO RCS A MÓDULOS EN SSEE, Cambio de reconectador en módulo Telas S/E La Paz</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f>
        <v>0</v>
      </c>
      <c r="F19" s="1248"/>
      <c r="G19" s="1177"/>
    </row>
    <row r="20" spans="1:7" ht="27" customHeight="1" x14ac:dyDescent="0.25">
      <c r="A20" s="1177"/>
      <c r="B20" s="1244" t="s">
        <v>1498</v>
      </c>
      <c r="C20" s="1245"/>
      <c r="D20" s="1246"/>
      <c r="E20" s="1247">
        <f>RESUMEN!P17</f>
        <v>0</v>
      </c>
      <c r="F20" s="1248"/>
      <c r="G20" s="1177"/>
    </row>
    <row r="21" spans="1:7" ht="27" customHeight="1" x14ac:dyDescent="0.25">
      <c r="A21" s="1177"/>
      <c r="B21" s="1244" t="s">
        <v>1499</v>
      </c>
      <c r="C21" s="1245"/>
      <c r="D21" s="1246"/>
      <c r="E21" s="1247">
        <f>RESUMEN!Q17</f>
        <v>0</v>
      </c>
      <c r="F21" s="1248"/>
      <c r="G21" s="1177"/>
    </row>
    <row r="22" spans="1:7" x14ac:dyDescent="0.25">
      <c r="A22" s="1177"/>
      <c r="B22" s="1254" t="s">
        <v>64</v>
      </c>
      <c r="C22" s="1254"/>
      <c r="D22" s="1254"/>
      <c r="E22" s="1255">
        <f>RESUMEN!R17</f>
        <v>0</v>
      </c>
      <c r="F22" s="1255"/>
      <c r="G22" s="1177"/>
    </row>
    <row r="23" spans="1:7" x14ac:dyDescent="0.25">
      <c r="A23" s="1177"/>
      <c r="B23" s="1256" t="s">
        <v>66</v>
      </c>
      <c r="C23" s="1256"/>
      <c r="D23" s="1256"/>
      <c r="E23" s="1257">
        <f>RESUMEN!S17</f>
        <v>0</v>
      </c>
      <c r="F23" s="1257"/>
      <c r="G23" s="1177"/>
    </row>
    <row r="24" spans="1:7" x14ac:dyDescent="0.25">
      <c r="A24" s="1177"/>
      <c r="B24" s="1258" t="s">
        <v>1</v>
      </c>
      <c r="C24" s="1258"/>
      <c r="D24" s="1258"/>
      <c r="E24" s="1259">
        <f>RESUMEN!T17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+'OT17-098 LA PAZ CTO TELAS'!Z35</f>
        <v>ACTA 1</v>
      </c>
      <c r="C28" s="1253">
        <f>+'OT17-098 LA PAZ CTO TELAS'!AA35</f>
        <v>8970131.8000000007</v>
      </c>
      <c r="D28" s="1253"/>
      <c r="E28" s="267">
        <f>+'OT17-098 LA PAZ CTO TELAS'!AB35</f>
        <v>0.62267333405572567</v>
      </c>
      <c r="F28" s="1177"/>
      <c r="G28" s="1177"/>
    </row>
    <row r="29" spans="1:7" x14ac:dyDescent="0.25">
      <c r="A29" s="1177"/>
      <c r="B29" s="280" t="str">
        <f>+'OT17-098 LA PAZ CTO TELAS'!Z36</f>
        <v>ACTA 2</v>
      </c>
      <c r="C29" s="1253">
        <f>+'OT17-098 LA PAZ CTO TELAS'!AA36</f>
        <v>804387</v>
      </c>
      <c r="D29" s="1253"/>
      <c r="E29" s="267">
        <f>+'OT17-098 LA PAZ CTO TELAS'!AB36</f>
        <v>5.5837566975446555E-2</v>
      </c>
      <c r="F29" s="1177"/>
      <c r="G29" s="1177"/>
    </row>
    <row r="30" spans="1:7" x14ac:dyDescent="0.25">
      <c r="A30" s="1177"/>
      <c r="B30" s="280" t="str">
        <f>+'OT17-098 LA PAZ CTO TELAS'!Z37</f>
        <v>ACTA 3</v>
      </c>
      <c r="C30" s="1253">
        <f>+'OT17-098 LA PAZ CTO TELAS'!AA37</f>
        <v>3144422</v>
      </c>
      <c r="D30" s="1253"/>
      <c r="E30" s="267">
        <f>+'OT17-098 LA PAZ CTO TELAS'!AB37</f>
        <v>0.21827413176004534</v>
      </c>
      <c r="F30" s="1177"/>
      <c r="G30" s="1177"/>
    </row>
    <row r="31" spans="1:7" x14ac:dyDescent="0.25">
      <c r="A31" s="1177"/>
      <c r="B31" s="280" t="str">
        <f>+'OT17-098 LA PAZ CTO TELAS'!Z38</f>
        <v>ACTA 4</v>
      </c>
      <c r="C31" s="1253">
        <f>+'OT17-098 LA PAZ CTO TELAS'!AA38</f>
        <v>648384</v>
      </c>
      <c r="D31" s="1253"/>
      <c r="E31" s="267">
        <f>+'OT17-098 LA PAZ CTO TELAS'!AB38</f>
        <v>4.5008416378941901E-2</v>
      </c>
      <c r="F31" s="1177"/>
      <c r="G31" s="1177"/>
    </row>
    <row r="32" spans="1:7" x14ac:dyDescent="0.25">
      <c r="A32" s="1177"/>
      <c r="B32" s="280" t="str">
        <f>+'OT17-098 LA PAZ CTO TELAS'!Z39</f>
        <v>ACTA 5</v>
      </c>
      <c r="C32" s="1253">
        <f>+'OT17-098 LA PAZ CTO TELAS'!AA39</f>
        <v>277879</v>
      </c>
      <c r="D32" s="1253"/>
      <c r="E32" s="267">
        <f>+'OT17-098 LA PAZ CTO TELAS'!AB39</f>
        <v>1.9289331221874685E-2</v>
      </c>
      <c r="F32" s="1177"/>
      <c r="G32" s="1177"/>
    </row>
    <row r="33" spans="1:7" x14ac:dyDescent="0.25">
      <c r="A33" s="1177"/>
      <c r="B33" s="280" t="str">
        <f>+'OT17-098 LA PAZ CTO TELAS'!Z40</f>
        <v>ACTA 6</v>
      </c>
      <c r="C33" s="1253">
        <f>+'OT17-098 LA PAZ CTO TELAS'!AA40</f>
        <v>0</v>
      </c>
      <c r="D33" s="1253"/>
      <c r="E33" s="267">
        <f>+'OT17-098 LA PAZ CTO TELAS'!AB40</f>
        <v>0</v>
      </c>
      <c r="F33" s="1177"/>
      <c r="G33" s="1177"/>
    </row>
    <row r="34" spans="1:7" x14ac:dyDescent="0.25">
      <c r="A34" s="1177"/>
      <c r="B34" s="280"/>
      <c r="C34" s="1253"/>
      <c r="D34" s="1253"/>
      <c r="E34" s="267"/>
      <c r="F34" s="1177"/>
      <c r="G34" s="1177"/>
    </row>
    <row r="35" spans="1:7" x14ac:dyDescent="0.25">
      <c r="A35" s="1177"/>
      <c r="B35" s="280"/>
      <c r="C35" s="1253"/>
      <c r="D35" s="1253"/>
      <c r="E35" s="267"/>
      <c r="F35" s="1177"/>
      <c r="G35" s="1177"/>
    </row>
    <row r="36" spans="1:7" x14ac:dyDescent="0.25">
      <c r="A36" s="1177"/>
      <c r="B36" s="280"/>
      <c r="C36" s="1253"/>
      <c r="D36" s="1253"/>
      <c r="E36" s="267"/>
      <c r="F36" s="1177"/>
      <c r="G36" s="1177"/>
    </row>
    <row r="37" spans="1:7" x14ac:dyDescent="0.25">
      <c r="A37" s="1177"/>
      <c r="B37" s="263" t="s">
        <v>1</v>
      </c>
      <c r="C37" s="1251">
        <f>SUM(C28:D36)</f>
        <v>13845203.800000001</v>
      </c>
      <c r="D37" s="1251"/>
      <c r="E37" s="264">
        <f>SUM(E28:E36)</f>
        <v>0.9610827803920341</v>
      </c>
      <c r="F37" s="1177"/>
      <c r="G37" s="1177"/>
    </row>
    <row r="38" spans="1:7" x14ac:dyDescent="0.25">
      <c r="A38" s="1177"/>
      <c r="B38" s="1177"/>
      <c r="C38" s="1177"/>
      <c r="D38" s="1177"/>
      <c r="E38" s="1177"/>
      <c r="F38" s="1177"/>
      <c r="G38" s="260"/>
    </row>
    <row r="39" spans="1:7" x14ac:dyDescent="0.25">
      <c r="A39" s="1252" t="s">
        <v>1500</v>
      </c>
      <c r="B39" s="1252"/>
      <c r="C39" s="1252"/>
      <c r="D39" s="1252"/>
      <c r="E39" s="1252"/>
      <c r="F39" s="1252"/>
      <c r="G39" s="1252"/>
    </row>
    <row r="40" spans="1:7" x14ac:dyDescent="0.25">
      <c r="A40" s="1177"/>
      <c r="B40" s="1177"/>
      <c r="C40" s="1177"/>
      <c r="D40" s="1177"/>
      <c r="E40" s="1177"/>
      <c r="F40" s="1177"/>
      <c r="G40" s="1177"/>
    </row>
    <row r="41" spans="1:7" x14ac:dyDescent="0.25">
      <c r="A41" s="1177"/>
      <c r="B41" s="1177"/>
      <c r="C41" s="1177"/>
      <c r="D41" s="1177"/>
      <c r="E41" s="1177"/>
      <c r="F41" s="1177"/>
      <c r="G41" s="1177"/>
    </row>
    <row r="42" spans="1:7" x14ac:dyDescent="0.25">
      <c r="A42" s="266"/>
      <c r="B42" s="266"/>
      <c r="C42" s="266"/>
      <c r="D42" s="1177"/>
      <c r="E42" s="266"/>
      <c r="F42" s="266"/>
      <c r="G42" s="266"/>
    </row>
    <row r="43" spans="1:7" x14ac:dyDescent="0.25">
      <c r="A43" s="1250">
        <f>RESUMEN!V17</f>
        <v>0</v>
      </c>
      <c r="B43" s="1250"/>
      <c r="C43" s="1250"/>
      <c r="D43" s="1177"/>
      <c r="E43" s="1250" t="s">
        <v>642</v>
      </c>
      <c r="F43" s="1250"/>
      <c r="G43" s="1250"/>
    </row>
    <row r="44" spans="1:7" x14ac:dyDescent="0.25">
      <c r="A44" s="1249" t="s">
        <v>643</v>
      </c>
      <c r="B44" s="1249"/>
      <c r="C44" s="1249"/>
      <c r="D44" s="1177"/>
      <c r="E44" s="1249" t="s">
        <v>644</v>
      </c>
      <c r="F44" s="1249"/>
      <c r="G44" s="1249"/>
    </row>
    <row r="45" spans="1:7" x14ac:dyDescent="0.25">
      <c r="A45" s="1249" t="s">
        <v>645</v>
      </c>
      <c r="B45" s="1249"/>
      <c r="C45" s="1249"/>
      <c r="D45" s="1177"/>
      <c r="E45" s="1249" t="s">
        <v>645</v>
      </c>
      <c r="F45" s="1249"/>
      <c r="G45" s="1249"/>
    </row>
    <row r="46" spans="1:7" x14ac:dyDescent="0.25">
      <c r="A46" s="1177"/>
      <c r="B46" s="1177"/>
      <c r="C46" s="1177"/>
      <c r="D46" s="1177"/>
      <c r="E46" s="1177"/>
      <c r="F46" s="1177"/>
      <c r="G46" s="1177"/>
    </row>
    <row r="47" spans="1:7" x14ac:dyDescent="0.25">
      <c r="A47" s="1177"/>
      <c r="B47" s="1177"/>
      <c r="C47" s="1177"/>
      <c r="D47" s="1177"/>
      <c r="E47" s="1177"/>
      <c r="F47" s="1177"/>
      <c r="G47" s="1177"/>
    </row>
    <row r="48" spans="1:7" x14ac:dyDescent="0.25">
      <c r="A48" s="1177"/>
      <c r="B48" s="1177"/>
      <c r="C48" s="1177"/>
      <c r="D48" s="1177"/>
      <c r="E48" s="1177"/>
      <c r="F48" s="1177"/>
      <c r="G48" s="1177"/>
    </row>
    <row r="49" spans="1:7" x14ac:dyDescent="0.25">
      <c r="A49" s="266"/>
      <c r="B49" s="266"/>
      <c r="C49" s="266"/>
      <c r="D49" s="1177"/>
      <c r="E49" s="266"/>
      <c r="F49" s="266"/>
      <c r="G49" s="266"/>
    </row>
    <row r="50" spans="1:7" x14ac:dyDescent="0.25">
      <c r="A50" s="1250" t="s">
        <v>646</v>
      </c>
      <c r="B50" s="1250"/>
      <c r="C50" s="1250"/>
      <c r="D50" s="1177"/>
      <c r="E50" s="1250" t="s">
        <v>647</v>
      </c>
      <c r="F50" s="1250"/>
      <c r="G50" s="1250"/>
    </row>
    <row r="51" spans="1:7" x14ac:dyDescent="0.25">
      <c r="A51" s="1249" t="s">
        <v>648</v>
      </c>
      <c r="B51" s="1249"/>
      <c r="C51" s="1249"/>
      <c r="D51" s="1177"/>
      <c r="E51" s="1249" t="s">
        <v>763</v>
      </c>
      <c r="F51" s="1249"/>
      <c r="G51" s="1249"/>
    </row>
    <row r="52" spans="1:7" x14ac:dyDescent="0.25">
      <c r="A52" s="1249" t="s">
        <v>645</v>
      </c>
      <c r="B52" s="1249"/>
      <c r="C52" s="1249"/>
      <c r="D52" s="1177"/>
      <c r="E52" s="1249" t="s">
        <v>764</v>
      </c>
      <c r="F52" s="1249"/>
      <c r="G52" s="1249"/>
    </row>
  </sheetData>
  <mergeCells count="52">
    <mergeCell ref="C37:D37"/>
    <mergeCell ref="A39:G39"/>
    <mergeCell ref="B24:D24"/>
    <mergeCell ref="E24:F24"/>
    <mergeCell ref="C27:D27"/>
    <mergeCell ref="C28:D28"/>
    <mergeCell ref="C35:D35"/>
    <mergeCell ref="C29:D29"/>
    <mergeCell ref="C30:D30"/>
    <mergeCell ref="C31:D31"/>
    <mergeCell ref="B21:D21"/>
    <mergeCell ref="E21:F21"/>
    <mergeCell ref="B22:D22"/>
    <mergeCell ref="E22:F22"/>
    <mergeCell ref="B23:D23"/>
    <mergeCell ref="E23:F23"/>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 ref="A52:C52"/>
    <mergeCell ref="E52:G52"/>
    <mergeCell ref="C32:D32"/>
    <mergeCell ref="C33:D33"/>
    <mergeCell ref="C34:D34"/>
    <mergeCell ref="A43:C43"/>
    <mergeCell ref="E43:G43"/>
    <mergeCell ref="A44:C44"/>
    <mergeCell ref="E44:G44"/>
    <mergeCell ref="A50:C50"/>
    <mergeCell ref="E50:G50"/>
    <mergeCell ref="A51:C51"/>
    <mergeCell ref="E51:G51"/>
    <mergeCell ref="C36:D36"/>
    <mergeCell ref="A45:C45"/>
    <mergeCell ref="E45:G45"/>
  </mergeCells>
  <pageMargins left="0.70866141732283472" right="0.70866141732283472" top="0.74803149606299213" bottom="0.74803149606299213" header="0.31496062992125984" footer="0.31496062992125984"/>
  <pageSetup scale="84"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0">
    <tabColor theme="9" tint="-0.249977111117893"/>
  </sheetPr>
  <dimension ref="A1:AF44"/>
  <sheetViews>
    <sheetView topLeftCell="A10" zoomScale="55" zoomScaleNormal="55" zoomScalePageLayoutView="50" workbookViewId="0">
      <selection activeCell="AB19" sqref="AB19"/>
    </sheetView>
  </sheetViews>
  <sheetFormatPr baseColWidth="10" defaultColWidth="10.88671875" defaultRowHeight="14.4" x14ac:dyDescent="0.3"/>
  <cols>
    <col min="1" max="1" width="17.6640625" style="82" customWidth="1"/>
    <col min="2" max="2" width="23.88671875" style="82" customWidth="1"/>
    <col min="3" max="3" width="21.88671875" style="82" customWidth="1"/>
    <col min="4" max="4" width="25.44140625" style="82" customWidth="1"/>
    <col min="5" max="5" width="11.44140625" style="82" bestFit="1" customWidth="1"/>
    <col min="6" max="6" width="19.88671875" style="82" customWidth="1"/>
    <col min="7" max="7" width="19.88671875" style="796" customWidth="1"/>
    <col min="8" max="8" width="19.88671875" style="82" bestFit="1" customWidth="1"/>
    <col min="9" max="9" width="19.88671875" style="796" customWidth="1"/>
    <col min="10" max="10" width="27.5546875" style="82" customWidth="1"/>
    <col min="11" max="12" width="19.88671875" style="82" hidden="1" customWidth="1"/>
    <col min="13" max="13" width="10.88671875" style="82" hidden="1" customWidth="1"/>
    <col min="14" max="14" width="17.88671875" style="82" hidden="1" customWidth="1"/>
    <col min="15" max="15" width="18" style="82" hidden="1" customWidth="1"/>
    <col min="16" max="16" width="12.33203125" style="82" hidden="1" customWidth="1"/>
    <col min="17" max="17" width="17.88671875" style="82" hidden="1" customWidth="1"/>
    <col min="18" max="18" width="22" style="82" hidden="1" customWidth="1"/>
    <col min="19" max="19" width="12.33203125" style="82" hidden="1" customWidth="1"/>
    <col min="20" max="20" width="17.88671875" style="82" hidden="1" customWidth="1"/>
    <col min="21" max="21" width="22" style="82" hidden="1" customWidth="1"/>
    <col min="22" max="22" width="12.33203125" style="82" hidden="1" customWidth="1"/>
    <col min="23" max="23" width="17.88671875" style="189" hidden="1" customWidth="1"/>
    <col min="24" max="24" width="18" style="189" hidden="1" customWidth="1"/>
    <col min="25" max="25" width="12.33203125" style="189" hidden="1" customWidth="1"/>
    <col min="26" max="26" width="17.88671875" style="189" customWidth="1"/>
    <col min="27" max="27" width="18" style="189" bestFit="1" customWidth="1"/>
    <col min="28" max="28" width="12.33203125" style="189" customWidth="1"/>
    <col min="29" max="30" width="19.88671875" style="82" bestFit="1" customWidth="1"/>
    <col min="31" max="16384" width="10.88671875" style="82"/>
  </cols>
  <sheetData>
    <row r="1" spans="1:31" customFormat="1" ht="13.5" customHeight="1" thickBot="1" x14ac:dyDescent="0.35">
      <c r="A1" s="119"/>
      <c r="B1" s="120"/>
      <c r="C1" s="1337" t="s">
        <v>40</v>
      </c>
      <c r="D1" s="1338"/>
      <c r="E1" s="1338"/>
      <c r="F1" s="1338"/>
      <c r="G1" s="1338"/>
      <c r="H1" s="1338"/>
      <c r="I1" s="1338"/>
      <c r="J1" s="1338"/>
      <c r="K1" s="1338"/>
      <c r="L1" s="1338"/>
      <c r="M1" s="1338"/>
      <c r="N1" s="1338"/>
      <c r="O1" s="1338"/>
      <c r="P1" s="1338"/>
      <c r="Q1" s="1338"/>
      <c r="R1" s="1338"/>
      <c r="S1" s="1338"/>
      <c r="T1" s="1338"/>
      <c r="U1" s="1338"/>
      <c r="V1" s="1338"/>
      <c r="W1" s="1338"/>
      <c r="X1" s="1338"/>
      <c r="Y1" s="1338"/>
      <c r="Z1" s="1338"/>
      <c r="AA1" s="1338"/>
      <c r="AB1" s="1339"/>
      <c r="AC1" s="1331" t="s">
        <v>289</v>
      </c>
      <c r="AD1" s="1331"/>
      <c r="AE1" s="1332"/>
    </row>
    <row r="2" spans="1:31" customFormat="1" ht="13.5" customHeight="1" thickBot="1" x14ac:dyDescent="0.35">
      <c r="A2" s="121"/>
      <c r="B2" s="122"/>
      <c r="C2" s="1340"/>
      <c r="D2" s="1341"/>
      <c r="E2" s="1341"/>
      <c r="F2" s="1341"/>
      <c r="G2" s="1341"/>
      <c r="H2" s="1341"/>
      <c r="I2" s="1341"/>
      <c r="J2" s="1341"/>
      <c r="K2" s="1341"/>
      <c r="L2" s="1341"/>
      <c r="M2" s="1341"/>
      <c r="N2" s="1341"/>
      <c r="O2" s="1341"/>
      <c r="P2" s="1341"/>
      <c r="Q2" s="1341"/>
      <c r="R2" s="1341"/>
      <c r="S2" s="1341"/>
      <c r="T2" s="1341"/>
      <c r="U2" s="1341"/>
      <c r="V2" s="1341"/>
      <c r="W2" s="1341"/>
      <c r="X2" s="1341"/>
      <c r="Y2" s="1341"/>
      <c r="Z2" s="1341"/>
      <c r="AA2" s="1341"/>
      <c r="AB2" s="1342"/>
      <c r="AC2" s="1333" t="s">
        <v>41</v>
      </c>
      <c r="AD2" s="1333"/>
      <c r="AE2" s="1334"/>
    </row>
    <row r="3" spans="1:31"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1"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1"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1"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1" customFormat="1" ht="13.5" customHeight="1" x14ac:dyDescent="0.3">
      <c r="A7" s="1291" t="s">
        <v>290</v>
      </c>
      <c r="B7" s="1291"/>
      <c r="C7" s="1291"/>
      <c r="D7" s="1291"/>
      <c r="E7" s="1291"/>
      <c r="F7" s="1291"/>
      <c r="G7" s="1291"/>
      <c r="H7" s="1291"/>
      <c r="I7" s="1291"/>
      <c r="J7" s="1291"/>
      <c r="K7" s="1291"/>
      <c r="L7" s="1291"/>
      <c r="M7" s="1291"/>
      <c r="N7" s="1291"/>
      <c r="O7" s="1291"/>
      <c r="P7" s="1291"/>
      <c r="Q7" s="1291"/>
      <c r="R7" s="1291"/>
      <c r="S7" s="1291"/>
      <c r="T7" s="1291"/>
      <c r="U7" s="1291"/>
      <c r="V7" s="1291"/>
      <c r="W7" s="1291"/>
      <c r="X7" s="1291"/>
      <c r="Y7" s="1291"/>
      <c r="Z7" s="1291"/>
      <c r="AA7" s="1291"/>
      <c r="AB7" s="1291"/>
      <c r="AC7" s="1291"/>
      <c r="AD7" s="1291"/>
      <c r="AE7" s="1291"/>
    </row>
    <row r="8" spans="1:31" customFormat="1" ht="13.5" customHeight="1" x14ac:dyDescent="0.3">
      <c r="A8" s="1292" t="s">
        <v>2304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1"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1" customFormat="1" ht="13.5" customHeight="1" x14ac:dyDescent="0.3">
      <c r="A10" s="1292" t="s">
        <v>291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1" customFormat="1" ht="13.5" customHeight="1" x14ac:dyDescent="0.3">
      <c r="A11" s="22"/>
      <c r="B11" s="1301"/>
      <c r="C11" s="1301"/>
      <c r="D11" s="1301"/>
      <c r="E11" s="1301"/>
      <c r="F11" s="1301"/>
      <c r="G11" s="1301"/>
      <c r="H11" s="1301"/>
      <c r="I11" s="1301"/>
      <c r="J11" s="1343"/>
      <c r="K11" s="1293" t="s">
        <v>46</v>
      </c>
      <c r="L11" s="1294"/>
      <c r="M11" s="1295"/>
      <c r="N11" s="1293" t="s">
        <v>47</v>
      </c>
      <c r="O11" s="1294"/>
      <c r="P11" s="1295"/>
      <c r="Q11" s="1293" t="s">
        <v>48</v>
      </c>
      <c r="R11" s="1294"/>
      <c r="S11" s="1295"/>
      <c r="T11" s="1293" t="s">
        <v>674</v>
      </c>
      <c r="U11" s="1294"/>
      <c r="V11" s="1295"/>
      <c r="W11" s="1293" t="s">
        <v>982</v>
      </c>
      <c r="X11" s="1294"/>
      <c r="Y11" s="1295"/>
      <c r="Z11" s="1293" t="s">
        <v>2303</v>
      </c>
      <c r="AA11" s="1294"/>
      <c r="AB11" s="1295"/>
      <c r="AC11" s="1344" t="s">
        <v>49</v>
      </c>
      <c r="AD11" s="1345"/>
      <c r="AE11" s="1346"/>
    </row>
    <row r="12" spans="1:31" customFormat="1" ht="13.5" customHeight="1" x14ac:dyDescent="0.3">
      <c r="A12" s="23"/>
      <c r="B12" s="1335"/>
      <c r="C12" s="1335"/>
      <c r="D12" s="1335"/>
      <c r="E12" s="1335"/>
      <c r="F12" s="1335"/>
      <c r="G12" s="1335"/>
      <c r="H12" s="1335"/>
      <c r="I12" s="1335"/>
      <c r="J12" s="1336"/>
      <c r="K12" s="1296"/>
      <c r="L12" s="1297"/>
      <c r="M12" s="1298"/>
      <c r="N12" s="1296"/>
      <c r="O12" s="1297"/>
      <c r="P12" s="1298"/>
      <c r="Q12" s="1296"/>
      <c r="R12" s="1297"/>
      <c r="S12" s="1298"/>
      <c r="T12" s="1296"/>
      <c r="U12" s="1297"/>
      <c r="V12" s="1298"/>
      <c r="W12" s="1296"/>
      <c r="X12" s="1297"/>
      <c r="Y12" s="1298"/>
      <c r="Z12" s="1296"/>
      <c r="AA12" s="1297"/>
      <c r="AB12" s="1298"/>
      <c r="AC12" s="1347"/>
      <c r="AD12" s="1348"/>
      <c r="AE12" s="1349"/>
    </row>
    <row r="13" spans="1:31" customFormat="1" ht="28.8" x14ac:dyDescent="0.3">
      <c r="A13" s="132" t="s">
        <v>50</v>
      </c>
      <c r="B13" s="132" t="s">
        <v>51</v>
      </c>
      <c r="C13" s="132" t="s">
        <v>52</v>
      </c>
      <c r="D13" s="132" t="s">
        <v>53</v>
      </c>
      <c r="E13" s="132" t="s">
        <v>54</v>
      </c>
      <c r="F13" s="133" t="s">
        <v>55</v>
      </c>
      <c r="G13" s="826" t="s">
        <v>2007</v>
      </c>
      <c r="H13" s="132" t="s">
        <v>56</v>
      </c>
      <c r="I13" s="825" t="s">
        <v>56</v>
      </c>
      <c r="J13" s="132" t="s">
        <v>57</v>
      </c>
      <c r="K13" s="134" t="s">
        <v>54</v>
      </c>
      <c r="L13" s="135" t="s">
        <v>56</v>
      </c>
      <c r="M13" s="136" t="s">
        <v>58</v>
      </c>
      <c r="N13" s="134" t="s">
        <v>54</v>
      </c>
      <c r="O13" s="135" t="s">
        <v>56</v>
      </c>
      <c r="P13" s="136" t="s">
        <v>58</v>
      </c>
      <c r="Q13" s="134" t="s">
        <v>54</v>
      </c>
      <c r="R13" s="135" t="s">
        <v>56</v>
      </c>
      <c r="S13" s="136" t="s">
        <v>58</v>
      </c>
      <c r="T13" s="134" t="s">
        <v>54</v>
      </c>
      <c r="U13" s="135" t="s">
        <v>56</v>
      </c>
      <c r="V13" s="136" t="s">
        <v>58</v>
      </c>
      <c r="W13" s="136" t="s">
        <v>54</v>
      </c>
      <c r="X13" s="136" t="s">
        <v>56</v>
      </c>
      <c r="Y13" s="136" t="s">
        <v>58</v>
      </c>
      <c r="Z13" s="136" t="s">
        <v>54</v>
      </c>
      <c r="AA13" s="136" t="s">
        <v>56</v>
      </c>
      <c r="AB13" s="136" t="s">
        <v>58</v>
      </c>
      <c r="AC13" s="137" t="s">
        <v>54</v>
      </c>
      <c r="AD13" s="134" t="s">
        <v>56</v>
      </c>
      <c r="AE13" s="136" t="s">
        <v>58</v>
      </c>
    </row>
    <row r="14" spans="1:31" ht="43.2" x14ac:dyDescent="0.3">
      <c r="A14" s="1314" t="s">
        <v>292</v>
      </c>
      <c r="B14" s="1314" t="s">
        <v>293</v>
      </c>
      <c r="C14" s="84" t="s">
        <v>81</v>
      </c>
      <c r="D14" s="84" t="s">
        <v>294</v>
      </c>
      <c r="E14" s="84">
        <v>0.7</v>
      </c>
      <c r="F14" s="85">
        <v>1323233</v>
      </c>
      <c r="G14" s="32">
        <f>+ROUND(F14*1.051,0)</f>
        <v>1390718</v>
      </c>
      <c r="H14" s="85">
        <f>ROUND((E14*F14),0)</f>
        <v>926263</v>
      </c>
      <c r="I14" s="32">
        <f>+ROUND(G14*E14,0)</f>
        <v>973503</v>
      </c>
      <c r="J14" s="1315" t="s">
        <v>295</v>
      </c>
      <c r="K14" s="33">
        <v>0</v>
      </c>
      <c r="L14" s="34">
        <f>K14*$F14</f>
        <v>0</v>
      </c>
      <c r="M14" s="35">
        <f>L14/$H14</f>
        <v>0</v>
      </c>
      <c r="N14" s="33">
        <v>0</v>
      </c>
      <c r="O14" s="34">
        <f>ROUND(N14*F14,0)</f>
        <v>0</v>
      </c>
      <c r="P14" s="35">
        <f t="shared" ref="P14:P24" si="0">O14/H14</f>
        <v>0</v>
      </c>
      <c r="Q14" s="112">
        <v>0</v>
      </c>
      <c r="R14" s="89">
        <f>ROUND(Q14*F14,0)</f>
        <v>0</v>
      </c>
      <c r="S14" s="90">
        <f t="shared" ref="S14:S25" si="1">R14/H14</f>
        <v>0</v>
      </c>
      <c r="T14" s="303">
        <f>0.7*70%</f>
        <v>0.48999999999999994</v>
      </c>
      <c r="U14" s="304">
        <f>ROUND(T14*$F$14,0)</f>
        <v>648384</v>
      </c>
      <c r="V14" s="305">
        <f>U14/$H$14</f>
        <v>0.69999989203930202</v>
      </c>
      <c r="W14" s="303">
        <v>0.21</v>
      </c>
      <c r="X14" s="304">
        <f>ROUND(W14*$F$14,0)</f>
        <v>277879</v>
      </c>
      <c r="Y14" s="305">
        <f>X14/$H$14</f>
        <v>0.30000010796069798</v>
      </c>
      <c r="Z14" s="432">
        <v>0</v>
      </c>
      <c r="AA14" s="425">
        <f>ROUND(Z14*$G$14,0)</f>
        <v>0</v>
      </c>
      <c r="AB14" s="426">
        <f>AA14/I14</f>
        <v>0</v>
      </c>
      <c r="AC14" s="33">
        <f>K14+N14+Q14+T14+W14+Z14</f>
        <v>0.7</v>
      </c>
      <c r="AD14" s="34">
        <f t="shared" ref="AC14:AD16" si="2">L14+O14+R14+U14+X14+AA14</f>
        <v>926263</v>
      </c>
      <c r="AE14" s="35">
        <f t="shared" ref="AE14:AE24" si="3">AD14/H14</f>
        <v>1</v>
      </c>
    </row>
    <row r="15" spans="1:31" ht="43.2" x14ac:dyDescent="0.3">
      <c r="A15" s="1314"/>
      <c r="B15" s="1314"/>
      <c r="C15" s="84" t="s">
        <v>83</v>
      </c>
      <c r="D15" s="84" t="s">
        <v>296</v>
      </c>
      <c r="E15" s="84">
        <v>0.7</v>
      </c>
      <c r="F15" s="85">
        <v>1845563</v>
      </c>
      <c r="G15" s="32">
        <f t="shared" ref="G15:G23" si="4">+ROUND(F15*1.051,0)</f>
        <v>1939687</v>
      </c>
      <c r="H15" s="85">
        <f>ROUND((E15*F15),0)</f>
        <v>1291894</v>
      </c>
      <c r="I15" s="32">
        <f t="shared" ref="I15:I23" si="5">+ROUND(G15*E15,0)</f>
        <v>1357781</v>
      </c>
      <c r="J15" s="1314"/>
      <c r="K15" s="33">
        <v>0</v>
      </c>
      <c r="L15" s="34">
        <f t="shared" ref="L15:L16" si="6">K15*$F15</f>
        <v>0</v>
      </c>
      <c r="M15" s="35">
        <f t="shared" ref="M15:M16" si="7">L15/$H15</f>
        <v>0</v>
      </c>
      <c r="N15" s="33">
        <v>0</v>
      </c>
      <c r="O15" s="34">
        <f>ROUND(N15*F15,0)</f>
        <v>0</v>
      </c>
      <c r="P15" s="35">
        <f t="shared" si="0"/>
        <v>0</v>
      </c>
      <c r="Q15" s="36">
        <v>0.7</v>
      </c>
      <c r="R15" s="37">
        <f>ROUND(Q15*F15,0)</f>
        <v>1291894</v>
      </c>
      <c r="S15" s="38">
        <f t="shared" si="1"/>
        <v>1</v>
      </c>
      <c r="T15" s="112">
        <v>0</v>
      </c>
      <c r="U15" s="89">
        <f>ROUND(T15*$F$15,0)</f>
        <v>0</v>
      </c>
      <c r="V15" s="90">
        <f>U15/$H$15</f>
        <v>0</v>
      </c>
      <c r="W15" s="158">
        <v>0</v>
      </c>
      <c r="X15" s="194">
        <f>ROUND(W15*$F$15,0)</f>
        <v>0</v>
      </c>
      <c r="Y15" s="195">
        <f>X15/$H$15</f>
        <v>0</v>
      </c>
      <c r="Z15" s="432">
        <v>0</v>
      </c>
      <c r="AA15" s="425">
        <f>ROUND(Z15*$G$15,0)</f>
        <v>0</v>
      </c>
      <c r="AB15" s="426">
        <f t="shared" ref="AB15:AB23" si="8">AA15/I15</f>
        <v>0</v>
      </c>
      <c r="AC15" s="416">
        <f t="shared" si="2"/>
        <v>0.7</v>
      </c>
      <c r="AD15" s="175">
        <f t="shared" si="2"/>
        <v>1291894</v>
      </c>
      <c r="AE15" s="35">
        <f t="shared" si="3"/>
        <v>1</v>
      </c>
    </row>
    <row r="16" spans="1:31" ht="43.2" x14ac:dyDescent="0.3">
      <c r="A16" s="1314"/>
      <c r="B16" s="1314"/>
      <c r="C16" s="84" t="s">
        <v>61</v>
      </c>
      <c r="D16" s="84" t="s">
        <v>297</v>
      </c>
      <c r="E16" s="84">
        <v>0.7</v>
      </c>
      <c r="F16" s="85">
        <v>5118825</v>
      </c>
      <c r="G16" s="32">
        <f t="shared" si="4"/>
        <v>5379885</v>
      </c>
      <c r="H16" s="85">
        <f>ROUND((E16*F16),0)</f>
        <v>3583178</v>
      </c>
      <c r="I16" s="32">
        <f t="shared" si="5"/>
        <v>3765920</v>
      </c>
      <c r="J16" s="1314"/>
      <c r="K16" s="36">
        <v>0.7</v>
      </c>
      <c r="L16" s="37">
        <f t="shared" si="6"/>
        <v>3583177.5</v>
      </c>
      <c r="M16" s="38">
        <f t="shared" si="7"/>
        <v>0.9999998604590673</v>
      </c>
      <c r="N16" s="33">
        <v>0</v>
      </c>
      <c r="O16" s="34">
        <f>ROUND(N16*F16,0)</f>
        <v>0</v>
      </c>
      <c r="P16" s="35">
        <f t="shared" si="0"/>
        <v>0</v>
      </c>
      <c r="Q16" s="33">
        <v>0</v>
      </c>
      <c r="R16" s="34">
        <f>ROUND(Q16*F16,0)</f>
        <v>0</v>
      </c>
      <c r="S16" s="35">
        <f t="shared" si="1"/>
        <v>0</v>
      </c>
      <c r="T16" s="112">
        <v>0</v>
      </c>
      <c r="U16" s="89">
        <f>ROUND(T16*$F$16,0)</f>
        <v>0</v>
      </c>
      <c r="V16" s="90">
        <f>U16/$H$16</f>
        <v>0</v>
      </c>
      <c r="W16" s="158">
        <v>0</v>
      </c>
      <c r="X16" s="194">
        <f>ROUND(W16*$F$16,0)</f>
        <v>0</v>
      </c>
      <c r="Y16" s="195">
        <f>X16/$H$16</f>
        <v>0</v>
      </c>
      <c r="Z16" s="432">
        <v>0</v>
      </c>
      <c r="AA16" s="425">
        <f>ROUND(Z16*$G$16,0)</f>
        <v>0</v>
      </c>
      <c r="AB16" s="426">
        <f t="shared" si="8"/>
        <v>0</v>
      </c>
      <c r="AC16" s="416">
        <f t="shared" si="2"/>
        <v>0.7</v>
      </c>
      <c r="AD16" s="175">
        <f t="shared" si="2"/>
        <v>3583177.5</v>
      </c>
      <c r="AE16" s="35">
        <f t="shared" si="3"/>
        <v>0.9999998604590673</v>
      </c>
    </row>
    <row r="17" spans="1:32" x14ac:dyDescent="0.3">
      <c r="A17" s="1314"/>
      <c r="B17" s="1314"/>
      <c r="C17" s="91"/>
      <c r="D17" s="91" t="s">
        <v>229</v>
      </c>
      <c r="E17" s="92"/>
      <c r="F17" s="92"/>
      <c r="G17" s="198"/>
      <c r="H17" s="93">
        <f>SUM(H14:H16)</f>
        <v>5801335</v>
      </c>
      <c r="I17" s="199">
        <f>SUM(I14:I16)</f>
        <v>6097204</v>
      </c>
      <c r="J17" s="1314"/>
      <c r="K17" s="43"/>
      <c r="L17" s="44">
        <f>SUM(L14:L16)</f>
        <v>3583177.5</v>
      </c>
      <c r="M17" s="45">
        <f>L17/H17</f>
        <v>0.61764705882352944</v>
      </c>
      <c r="N17" s="45"/>
      <c r="O17" s="46">
        <f>SUM(O14:O16)</f>
        <v>0</v>
      </c>
      <c r="P17" s="45">
        <f t="shared" si="0"/>
        <v>0</v>
      </c>
      <c r="Q17" s="45"/>
      <c r="R17" s="46">
        <f>SUM(R14:R16)</f>
        <v>1291894</v>
      </c>
      <c r="S17" s="45">
        <f t="shared" si="1"/>
        <v>0.22268908794268905</v>
      </c>
      <c r="T17" s="45"/>
      <c r="U17" s="46">
        <f>SUM(U14:U16)</f>
        <v>648384</v>
      </c>
      <c r="V17" s="45">
        <f>U17/$H$17</f>
        <v>0.11176461969529428</v>
      </c>
      <c r="W17" s="308"/>
      <c r="X17" s="179">
        <f>SUM(X14:X16)</f>
        <v>277879</v>
      </c>
      <c r="Y17" s="308">
        <f>X17/$H$17</f>
        <v>4.7899147351428591E-2</v>
      </c>
      <c r="Z17" s="431"/>
      <c r="AA17" s="179">
        <f>SUM(AA14:AA16)</f>
        <v>0</v>
      </c>
      <c r="AB17" s="431">
        <f>AA17/$H$17</f>
        <v>0</v>
      </c>
      <c r="AC17" s="43"/>
      <c r="AD17" s="44">
        <f t="shared" ref="AD17:AD24" si="9">L17+O17+R17+U17+X17+AA17</f>
        <v>5801334.5</v>
      </c>
      <c r="AE17" s="45">
        <f t="shared" si="3"/>
        <v>0.99999991381294129</v>
      </c>
    </row>
    <row r="18" spans="1:32" ht="43.2" x14ac:dyDescent="0.3">
      <c r="A18" s="1314" t="s">
        <v>292</v>
      </c>
      <c r="B18" s="1314" t="s">
        <v>211</v>
      </c>
      <c r="C18" s="84" t="s">
        <v>81</v>
      </c>
      <c r="D18" s="84" t="s">
        <v>212</v>
      </c>
      <c r="E18" s="84">
        <v>0.7</v>
      </c>
      <c r="F18" s="85">
        <v>800905</v>
      </c>
      <c r="G18" s="32">
        <f t="shared" si="4"/>
        <v>841751</v>
      </c>
      <c r="H18" s="85">
        <f>ROUND((E18*F18),0)</f>
        <v>560634</v>
      </c>
      <c r="I18" s="32">
        <f t="shared" si="5"/>
        <v>589226</v>
      </c>
      <c r="J18" s="1315" t="s">
        <v>298</v>
      </c>
      <c r="K18" s="33">
        <v>0</v>
      </c>
      <c r="L18" s="34">
        <f t="shared" ref="L18:L20" si="10">K18*$F18</f>
        <v>0</v>
      </c>
      <c r="M18" s="35">
        <f t="shared" ref="M18:M20" si="11">L18/$H18</f>
        <v>0</v>
      </c>
      <c r="N18" s="33">
        <v>0</v>
      </c>
      <c r="O18" s="34">
        <f>ROUND(N18*F18,0)</f>
        <v>0</v>
      </c>
      <c r="P18" s="35">
        <f t="shared" si="0"/>
        <v>0</v>
      </c>
      <c r="Q18" s="33">
        <v>0</v>
      </c>
      <c r="R18" s="34">
        <f>ROUND(Q18*F18,0)</f>
        <v>0</v>
      </c>
      <c r="S18" s="35">
        <f t="shared" si="1"/>
        <v>0</v>
      </c>
      <c r="T18" s="112">
        <v>0</v>
      </c>
      <c r="U18" s="89">
        <f>ROUND(T18*$F$18,0)</f>
        <v>0</v>
      </c>
      <c r="V18" s="90">
        <f>U18/$H$18</f>
        <v>0</v>
      </c>
      <c r="W18" s="158">
        <v>0</v>
      </c>
      <c r="X18" s="194">
        <f>ROUND(W18*$F$18,0)</f>
        <v>0</v>
      </c>
      <c r="Y18" s="195">
        <f>X18/$H$18</f>
        <v>0</v>
      </c>
      <c r="Z18" s="432">
        <v>0</v>
      </c>
      <c r="AA18" s="425">
        <f>ROUND(Z18*$G$18,0)</f>
        <v>0</v>
      </c>
      <c r="AB18" s="426">
        <f t="shared" si="8"/>
        <v>0</v>
      </c>
      <c r="AC18" s="416">
        <f>K18+N18+Q18+T18+W18+Z18</f>
        <v>0</v>
      </c>
      <c r="AD18" s="175">
        <f t="shared" si="9"/>
        <v>0</v>
      </c>
      <c r="AE18" s="35">
        <f>AD18/I18</f>
        <v>0</v>
      </c>
      <c r="AF18" s="82" t="s">
        <v>2200</v>
      </c>
    </row>
    <row r="19" spans="1:32" ht="43.2" x14ac:dyDescent="0.3">
      <c r="A19" s="1314"/>
      <c r="B19" s="1314"/>
      <c r="C19" s="84" t="s">
        <v>83</v>
      </c>
      <c r="D19" s="84" t="s">
        <v>213</v>
      </c>
      <c r="E19" s="84">
        <v>0.7</v>
      </c>
      <c r="F19" s="85">
        <v>2646468</v>
      </c>
      <c r="G19" s="32">
        <f t="shared" si="4"/>
        <v>2781438</v>
      </c>
      <c r="H19" s="85">
        <f>ROUND((E19*F19),0)</f>
        <v>1852528</v>
      </c>
      <c r="I19" s="32">
        <f t="shared" si="5"/>
        <v>1947007</v>
      </c>
      <c r="J19" s="1314"/>
      <c r="K19" s="33">
        <v>0</v>
      </c>
      <c r="L19" s="34">
        <f t="shared" si="10"/>
        <v>0</v>
      </c>
      <c r="M19" s="35">
        <f t="shared" si="11"/>
        <v>0</v>
      </c>
      <c r="N19" s="33">
        <v>0</v>
      </c>
      <c r="O19" s="34">
        <f>ROUND(N19*F19,0)</f>
        <v>0</v>
      </c>
      <c r="P19" s="35">
        <f t="shared" si="0"/>
        <v>0</v>
      </c>
      <c r="Q19" s="36">
        <v>0.7</v>
      </c>
      <c r="R19" s="37">
        <f>ROUND(Q19*F19,0)</f>
        <v>1852528</v>
      </c>
      <c r="S19" s="38">
        <f t="shared" si="1"/>
        <v>1</v>
      </c>
      <c r="T19" s="112">
        <v>0</v>
      </c>
      <c r="U19" s="89">
        <f>ROUND(T19*$F$19,0)</f>
        <v>0</v>
      </c>
      <c r="V19" s="90">
        <f>U19/$H$19</f>
        <v>0</v>
      </c>
      <c r="W19" s="158">
        <v>0</v>
      </c>
      <c r="X19" s="194">
        <f>ROUND(W19*$F$19,0)</f>
        <v>0</v>
      </c>
      <c r="Y19" s="195">
        <f>X19/$H$19</f>
        <v>0</v>
      </c>
      <c r="Z19" s="432">
        <v>0</v>
      </c>
      <c r="AA19" s="425">
        <f>ROUND(Z19*$G$19,0)</f>
        <v>0</v>
      </c>
      <c r="AB19" s="426">
        <f t="shared" si="8"/>
        <v>0</v>
      </c>
      <c r="AC19" s="416">
        <f>K19+N19+Q19+T19+W19+Z19</f>
        <v>0.7</v>
      </c>
      <c r="AD19" s="175">
        <f t="shared" si="9"/>
        <v>1852528</v>
      </c>
      <c r="AE19" s="35">
        <f t="shared" si="3"/>
        <v>1</v>
      </c>
    </row>
    <row r="20" spans="1:32" ht="43.2" x14ac:dyDescent="0.3">
      <c r="A20" s="1314"/>
      <c r="B20" s="1314"/>
      <c r="C20" s="84" t="s">
        <v>61</v>
      </c>
      <c r="D20" s="84" t="s">
        <v>214</v>
      </c>
      <c r="E20" s="84">
        <v>0.7</v>
      </c>
      <c r="F20" s="85">
        <v>2228604</v>
      </c>
      <c r="G20" s="32">
        <f t="shared" si="4"/>
        <v>2342263</v>
      </c>
      <c r="H20" s="85">
        <f>ROUND((E20*F20),0)</f>
        <v>1560023</v>
      </c>
      <c r="I20" s="32">
        <f t="shared" si="5"/>
        <v>1639584</v>
      </c>
      <c r="J20" s="1314"/>
      <c r="K20" s="36">
        <v>0.7</v>
      </c>
      <c r="L20" s="37">
        <f t="shared" si="10"/>
        <v>1560022.7999999998</v>
      </c>
      <c r="M20" s="38">
        <f t="shared" si="11"/>
        <v>0.99999987179676186</v>
      </c>
      <c r="N20" s="33">
        <v>0</v>
      </c>
      <c r="O20" s="34">
        <f>ROUND(N20*F20,0)</f>
        <v>0</v>
      </c>
      <c r="P20" s="35">
        <f t="shared" si="0"/>
        <v>0</v>
      </c>
      <c r="Q20" s="33">
        <v>0</v>
      </c>
      <c r="R20" s="34">
        <f>ROUND(Q20*F20,0)</f>
        <v>0</v>
      </c>
      <c r="S20" s="35">
        <f t="shared" si="1"/>
        <v>0</v>
      </c>
      <c r="T20" s="112">
        <v>0</v>
      </c>
      <c r="U20" s="89">
        <f>ROUND(T20*$F$20,0)</f>
        <v>0</v>
      </c>
      <c r="V20" s="90">
        <f>U20/$H$20</f>
        <v>0</v>
      </c>
      <c r="W20" s="158">
        <v>0</v>
      </c>
      <c r="X20" s="194">
        <f>ROUND(W20*$F$20,0)</f>
        <v>0</v>
      </c>
      <c r="Y20" s="195">
        <f>X20/$H$20</f>
        <v>0</v>
      </c>
      <c r="Z20" s="432">
        <v>0</v>
      </c>
      <c r="AA20" s="425">
        <f>ROUND(Z20*$G$20,0)</f>
        <v>0</v>
      </c>
      <c r="AB20" s="426">
        <f t="shared" si="8"/>
        <v>0</v>
      </c>
      <c r="AC20" s="416">
        <f>K20+N20+Q20+T20+W20+Z20</f>
        <v>0.7</v>
      </c>
      <c r="AD20" s="175">
        <f t="shared" si="9"/>
        <v>1560022.7999999998</v>
      </c>
      <c r="AE20" s="35">
        <f t="shared" si="3"/>
        <v>0.99999987179676186</v>
      </c>
    </row>
    <row r="21" spans="1:32" x14ac:dyDescent="0.3">
      <c r="A21" s="1314"/>
      <c r="B21" s="1314"/>
      <c r="C21" s="91"/>
      <c r="D21" s="91" t="s">
        <v>215</v>
      </c>
      <c r="E21" s="92"/>
      <c r="F21" s="92"/>
      <c r="G21" s="198"/>
      <c r="H21" s="93">
        <f>SUM(H18:H20)</f>
        <v>3973185</v>
      </c>
      <c r="I21" s="199">
        <f>SUM(I18:I20)</f>
        <v>4175817</v>
      </c>
      <c r="J21" s="1314"/>
      <c r="K21" s="43"/>
      <c r="L21" s="44">
        <f>SUM(L18:L20)</f>
        <v>1560022.7999999998</v>
      </c>
      <c r="M21" s="45">
        <f>L21/H21</f>
        <v>0.39263784595985329</v>
      </c>
      <c r="N21" s="45"/>
      <c r="O21" s="45"/>
      <c r="P21" s="45">
        <f t="shared" si="0"/>
        <v>0</v>
      </c>
      <c r="Q21" s="45"/>
      <c r="R21" s="46">
        <f>SUM(R18:R20)</f>
        <v>1852528</v>
      </c>
      <c r="S21" s="45">
        <f t="shared" si="1"/>
        <v>0.46625767488803066</v>
      </c>
      <c r="T21" s="45"/>
      <c r="U21" s="46">
        <f>SUM(U18:U20)</f>
        <v>0</v>
      </c>
      <c r="V21" s="45">
        <f>U21/$H$21</f>
        <v>0</v>
      </c>
      <c r="W21" s="308"/>
      <c r="X21" s="179">
        <f>SUM(X18:X20)</f>
        <v>0</v>
      </c>
      <c r="Y21" s="308">
        <f>X21/$H$21</f>
        <v>0</v>
      </c>
      <c r="Z21" s="431"/>
      <c r="AA21" s="179">
        <f>SUM(AA18:AA20)</f>
        <v>0</v>
      </c>
      <c r="AB21" s="431">
        <f>AA21/$H$21</f>
        <v>0</v>
      </c>
      <c r="AC21" s="43"/>
      <c r="AD21" s="307">
        <f t="shared" si="9"/>
        <v>3412550.8</v>
      </c>
      <c r="AE21" s="45">
        <f t="shared" si="3"/>
        <v>0.85889552084788401</v>
      </c>
    </row>
    <row r="22" spans="1:32" ht="43.2" x14ac:dyDescent="0.3">
      <c r="A22" s="1314" t="s">
        <v>292</v>
      </c>
      <c r="B22" s="1314" t="s">
        <v>299</v>
      </c>
      <c r="C22" s="84" t="s">
        <v>83</v>
      </c>
      <c r="D22" s="84" t="s">
        <v>300</v>
      </c>
      <c r="E22" s="84">
        <v>0.7</v>
      </c>
      <c r="F22" s="85">
        <v>1149124</v>
      </c>
      <c r="G22" s="32">
        <f t="shared" si="4"/>
        <v>1207729</v>
      </c>
      <c r="H22" s="85">
        <f>ROUND((E22*F22),0)</f>
        <v>804387</v>
      </c>
      <c r="I22" s="32">
        <f t="shared" si="5"/>
        <v>845410</v>
      </c>
      <c r="J22" s="1315" t="s">
        <v>301</v>
      </c>
      <c r="K22" s="33">
        <v>0</v>
      </c>
      <c r="L22" s="34">
        <f t="shared" ref="L22:L23" si="12">K22*$F22</f>
        <v>0</v>
      </c>
      <c r="M22" s="35">
        <f t="shared" ref="M22:M23" si="13">L22/$H22</f>
        <v>0</v>
      </c>
      <c r="N22" s="36">
        <v>0.7</v>
      </c>
      <c r="O22" s="37">
        <f>ROUND(N22*F22,0)</f>
        <v>804387</v>
      </c>
      <c r="P22" s="38">
        <f t="shared" si="0"/>
        <v>1</v>
      </c>
      <c r="Q22" s="33">
        <v>0</v>
      </c>
      <c r="R22" s="34">
        <f>ROUND(Q22*F22,0)</f>
        <v>0</v>
      </c>
      <c r="S22" s="35">
        <f t="shared" si="1"/>
        <v>0</v>
      </c>
      <c r="T22" s="112">
        <v>0</v>
      </c>
      <c r="U22" s="89">
        <f>ROUND(T22*$F$22,0)</f>
        <v>0</v>
      </c>
      <c r="V22" s="90">
        <f>U22/$H$22</f>
        <v>0</v>
      </c>
      <c r="W22" s="158">
        <v>0</v>
      </c>
      <c r="X22" s="194">
        <f>ROUND(W22*$F$22,0)</f>
        <v>0</v>
      </c>
      <c r="Y22" s="195">
        <f>X22/$H$22</f>
        <v>0</v>
      </c>
      <c r="Z22" s="432">
        <v>0</v>
      </c>
      <c r="AA22" s="425">
        <f>ROUND(Z22*$G$22,0)</f>
        <v>0</v>
      </c>
      <c r="AB22" s="426">
        <f t="shared" si="8"/>
        <v>0</v>
      </c>
      <c r="AC22" s="416">
        <f>K22+N22+Q22+T22+W22+Z22</f>
        <v>0.7</v>
      </c>
      <c r="AD22" s="175">
        <f t="shared" si="9"/>
        <v>804387</v>
      </c>
      <c r="AE22" s="35">
        <f t="shared" si="3"/>
        <v>1</v>
      </c>
    </row>
    <row r="23" spans="1:32" ht="43.2" x14ac:dyDescent="0.3">
      <c r="A23" s="1314"/>
      <c r="B23" s="1314"/>
      <c r="C23" s="84" t="s">
        <v>61</v>
      </c>
      <c r="D23" s="84" t="s">
        <v>302</v>
      </c>
      <c r="E23" s="84">
        <v>0.7</v>
      </c>
      <c r="F23" s="85">
        <v>5467045</v>
      </c>
      <c r="G23" s="32">
        <f t="shared" si="4"/>
        <v>5745864</v>
      </c>
      <c r="H23" s="85">
        <f>ROUND((E23*F23),0)</f>
        <v>3826932</v>
      </c>
      <c r="I23" s="32">
        <f t="shared" si="5"/>
        <v>4022105</v>
      </c>
      <c r="J23" s="1314"/>
      <c r="K23" s="36">
        <v>0.7</v>
      </c>
      <c r="L23" s="37">
        <f t="shared" si="12"/>
        <v>3826931.4999999995</v>
      </c>
      <c r="M23" s="38">
        <f t="shared" si="13"/>
        <v>0.99999986934703822</v>
      </c>
      <c r="N23" s="33">
        <v>0</v>
      </c>
      <c r="O23" s="34">
        <f>ROUND(N23*F23,0)</f>
        <v>0</v>
      </c>
      <c r="P23" s="35">
        <f t="shared" si="0"/>
        <v>0</v>
      </c>
      <c r="Q23" s="33">
        <v>0</v>
      </c>
      <c r="R23" s="34">
        <f>ROUND(Q23*F23,0)</f>
        <v>0</v>
      </c>
      <c r="S23" s="35">
        <f t="shared" si="1"/>
        <v>0</v>
      </c>
      <c r="T23" s="112">
        <v>0</v>
      </c>
      <c r="U23" s="89">
        <f>ROUND(T23*$F$23,0)</f>
        <v>0</v>
      </c>
      <c r="V23" s="90">
        <f>U23/$H$23</f>
        <v>0</v>
      </c>
      <c r="W23" s="158">
        <v>0</v>
      </c>
      <c r="X23" s="194">
        <f>ROUND(W23*$F$23,0)</f>
        <v>0</v>
      </c>
      <c r="Y23" s="195">
        <f>X23/$H$23</f>
        <v>0</v>
      </c>
      <c r="Z23" s="432">
        <v>0</v>
      </c>
      <c r="AA23" s="425">
        <f>ROUND(Z23*$G$23,0)</f>
        <v>0</v>
      </c>
      <c r="AB23" s="426">
        <f t="shared" si="8"/>
        <v>0</v>
      </c>
      <c r="AC23" s="416">
        <f>K23+N23+Q23+T23+W23+Z23</f>
        <v>0.7</v>
      </c>
      <c r="AD23" s="175">
        <f t="shared" si="9"/>
        <v>3826931.4999999995</v>
      </c>
      <c r="AE23" s="35">
        <f t="shared" si="3"/>
        <v>0.99999986934703822</v>
      </c>
    </row>
    <row r="24" spans="1:32" x14ac:dyDescent="0.3">
      <c r="A24" s="1314"/>
      <c r="B24" s="1314"/>
      <c r="C24" s="91"/>
      <c r="D24" s="91" t="s">
        <v>303</v>
      </c>
      <c r="E24" s="92"/>
      <c r="F24" s="92"/>
      <c r="G24" s="198"/>
      <c r="H24" s="93">
        <f>SUM(H22:H23)</f>
        <v>4631319</v>
      </c>
      <c r="I24" s="199">
        <f>SUM(I22:I23)</f>
        <v>4867515</v>
      </c>
      <c r="J24" s="1314"/>
      <c r="K24" s="43"/>
      <c r="L24" s="44">
        <f>SUM(L22:L23)</f>
        <v>3826931.4999999995</v>
      </c>
      <c r="M24" s="45">
        <f>L24/H24</f>
        <v>0.82631567810379714</v>
      </c>
      <c r="N24" s="45"/>
      <c r="O24" s="46">
        <f>SUM(O22:O23)</f>
        <v>804387</v>
      </c>
      <c r="P24" s="45">
        <f t="shared" si="0"/>
        <v>0.17368421393559805</v>
      </c>
      <c r="Q24" s="45"/>
      <c r="R24" s="46">
        <f>SUM(R22:R23)</f>
        <v>0</v>
      </c>
      <c r="S24" s="45">
        <f t="shared" si="1"/>
        <v>0</v>
      </c>
      <c r="T24" s="45"/>
      <c r="U24" s="46">
        <f>SUM(U22:U23)</f>
        <v>0</v>
      </c>
      <c r="V24" s="45">
        <f>U24/$H$24</f>
        <v>0</v>
      </c>
      <c r="W24" s="308"/>
      <c r="X24" s="179">
        <f>SUM(X22:X23)</f>
        <v>0</v>
      </c>
      <c r="Y24" s="308">
        <f>X24/$H$24</f>
        <v>0</v>
      </c>
      <c r="Z24" s="431"/>
      <c r="AA24" s="179">
        <f>SUM(AA22:AA23)</f>
        <v>0</v>
      </c>
      <c r="AB24" s="431">
        <f>AA24/$H$24</f>
        <v>0</v>
      </c>
      <c r="AC24" s="43"/>
      <c r="AD24" s="307">
        <f t="shared" si="9"/>
        <v>4631318.5</v>
      </c>
      <c r="AE24" s="45">
        <f t="shared" si="3"/>
        <v>0.99999989203939521</v>
      </c>
    </row>
    <row r="25" spans="1:32" s="47" customFormat="1" ht="15" customHeight="1" x14ac:dyDescent="0.3">
      <c r="F25" s="48" t="s">
        <v>64</v>
      </c>
      <c r="G25" s="151"/>
      <c r="H25" s="49">
        <f>SUM(H14:H24)/2</f>
        <v>14405839</v>
      </c>
      <c r="I25" s="138"/>
      <c r="J25" s="95"/>
      <c r="K25" s="51" t="s">
        <v>64</v>
      </c>
      <c r="L25" s="49">
        <f>SUM(L14:L24)/2</f>
        <v>8970131.8000000007</v>
      </c>
      <c r="M25" s="95">
        <f>L25/H25</f>
        <v>0.62267333405572567</v>
      </c>
      <c r="N25" s="51" t="s">
        <v>64</v>
      </c>
      <c r="O25" s="49">
        <f>SUM(O14:O24)/2</f>
        <v>804387</v>
      </c>
      <c r="P25" s="95">
        <f>O25/H25</f>
        <v>5.5837566975446555E-2</v>
      </c>
      <c r="Q25" s="51" t="s">
        <v>64</v>
      </c>
      <c r="R25" s="49">
        <f>SUM(R14:R24)/2</f>
        <v>3144422</v>
      </c>
      <c r="S25" s="95">
        <f t="shared" si="1"/>
        <v>0.21827413176004534</v>
      </c>
      <c r="T25" s="51" t="s">
        <v>64</v>
      </c>
      <c r="U25" s="49">
        <f>SUM(U14:U24)/2</f>
        <v>648384</v>
      </c>
      <c r="V25" s="95">
        <f>U25/$H$25</f>
        <v>4.5008416378941901E-2</v>
      </c>
      <c r="W25" s="152" t="s">
        <v>64</v>
      </c>
      <c r="X25" s="181">
        <f>SUM(X14:X24)/2</f>
        <v>277879</v>
      </c>
      <c r="Y25" s="201">
        <f>X25/$H$25</f>
        <v>1.9289331221874685E-2</v>
      </c>
      <c r="Z25" s="484" t="s">
        <v>64</v>
      </c>
      <c r="AA25" s="481">
        <f>SUM(AA14:AA24)/2</f>
        <v>0</v>
      </c>
      <c r="AC25" s="484" t="s">
        <v>64</v>
      </c>
      <c r="AD25" s="481">
        <f>SUM(AD14:AD24)/2</f>
        <v>13845203.800000001</v>
      </c>
    </row>
    <row r="26" spans="1:32" s="47" customFormat="1" x14ac:dyDescent="0.3">
      <c r="A26" s="97"/>
      <c r="B26" s="97"/>
      <c r="C26" s="97"/>
      <c r="D26" s="97"/>
      <c r="E26" s="98"/>
      <c r="F26" s="54" t="s">
        <v>65</v>
      </c>
      <c r="G26" s="816"/>
      <c r="H26" s="55">
        <v>0</v>
      </c>
      <c r="I26" s="138"/>
      <c r="J26" s="97"/>
      <c r="K26" s="54" t="s">
        <v>65</v>
      </c>
      <c r="L26" s="55">
        <v>0</v>
      </c>
      <c r="M26" s="97"/>
      <c r="N26" s="54" t="s">
        <v>65</v>
      </c>
      <c r="O26" s="55">
        <v>0</v>
      </c>
      <c r="P26" s="97"/>
      <c r="Q26" s="54" t="s">
        <v>65</v>
      </c>
      <c r="R26" s="55">
        <v>0</v>
      </c>
      <c r="S26" s="97"/>
      <c r="T26" s="54" t="s">
        <v>65</v>
      </c>
      <c r="U26" s="55">
        <v>0</v>
      </c>
      <c r="V26" s="97"/>
      <c r="W26" s="153" t="s">
        <v>65</v>
      </c>
      <c r="X26" s="182">
        <v>0</v>
      </c>
      <c r="Y26" s="202"/>
      <c r="Z26" s="482" t="s">
        <v>65</v>
      </c>
      <c r="AA26" s="483">
        <v>0</v>
      </c>
      <c r="AB26" s="202"/>
      <c r="AC26" s="482" t="s">
        <v>65</v>
      </c>
      <c r="AD26" s="483">
        <v>0</v>
      </c>
      <c r="AE26" s="97"/>
      <c r="AF26" s="97"/>
    </row>
    <row r="27" spans="1:32" s="47" customFormat="1" x14ac:dyDescent="0.3">
      <c r="A27" s="97"/>
      <c r="B27" s="97"/>
      <c r="C27" s="97"/>
      <c r="D27" s="97"/>
      <c r="E27" s="98"/>
      <c r="F27" s="51" t="s">
        <v>64</v>
      </c>
      <c r="G27" s="817"/>
      <c r="H27" s="55">
        <f>+H25+H26</f>
        <v>14405839</v>
      </c>
      <c r="I27" s="138"/>
      <c r="J27" s="97"/>
      <c r="K27" s="51" t="s">
        <v>64</v>
      </c>
      <c r="L27" s="55">
        <f>+L25+L26</f>
        <v>8970131.8000000007</v>
      </c>
      <c r="M27" s="97"/>
      <c r="N27" s="51" t="s">
        <v>64</v>
      </c>
      <c r="O27" s="55">
        <f>+O25+O26</f>
        <v>804387</v>
      </c>
      <c r="P27" s="97"/>
      <c r="Q27" s="51" t="s">
        <v>64</v>
      </c>
      <c r="R27" s="55">
        <f>+R25+R26</f>
        <v>3144422</v>
      </c>
      <c r="S27" s="97"/>
      <c r="T27" s="51" t="s">
        <v>64</v>
      </c>
      <c r="U27" s="55">
        <f>+U25+U26</f>
        <v>648384</v>
      </c>
      <c r="V27" s="97"/>
      <c r="W27" s="152" t="s">
        <v>64</v>
      </c>
      <c r="X27" s="182">
        <f>+X25+X26</f>
        <v>277879</v>
      </c>
      <c r="Y27" s="202"/>
      <c r="Z27" s="484" t="s">
        <v>64</v>
      </c>
      <c r="AA27" s="483">
        <f>+AA25+AA26</f>
        <v>0</v>
      </c>
      <c r="AB27" s="202"/>
      <c r="AC27" s="484" t="s">
        <v>64</v>
      </c>
      <c r="AD27" s="483">
        <f>+AD25+AD26</f>
        <v>13845203.800000001</v>
      </c>
      <c r="AE27" s="97"/>
      <c r="AF27" s="97"/>
    </row>
    <row r="28" spans="1:32" s="180" customFormat="1" ht="26.4" x14ac:dyDescent="0.3">
      <c r="A28" s="202"/>
      <c r="B28" s="202"/>
      <c r="C28" s="202"/>
      <c r="D28" s="202"/>
      <c r="E28" s="98"/>
      <c r="F28" s="152"/>
      <c r="G28" s="817"/>
      <c r="H28" s="182"/>
      <c r="I28" s="138"/>
      <c r="J28" s="202"/>
      <c r="K28" s="152"/>
      <c r="L28" s="182"/>
      <c r="M28" s="202"/>
      <c r="N28" s="152"/>
      <c r="O28" s="182"/>
      <c r="P28" s="202"/>
      <c r="Q28" s="152"/>
      <c r="R28" s="182"/>
      <c r="S28" s="202"/>
      <c r="T28" s="152"/>
      <c r="U28" s="182"/>
      <c r="V28" s="202"/>
      <c r="W28" s="152"/>
      <c r="X28" s="182"/>
      <c r="Y28" s="202"/>
      <c r="Z28" s="484" t="s">
        <v>1439</v>
      </c>
      <c r="AA28" s="483">
        <f>ROUND(AA27*0.015,0)</f>
        <v>0</v>
      </c>
      <c r="AB28" s="202"/>
      <c r="AC28" s="484" t="s">
        <v>1439</v>
      </c>
      <c r="AD28" s="483">
        <f>H28+L28+O28+R28+U28+X28+AA28</f>
        <v>0</v>
      </c>
      <c r="AE28" s="202"/>
      <c r="AF28" s="202"/>
    </row>
    <row r="29" spans="1:32" s="180" customFormat="1" ht="26.4" x14ac:dyDescent="0.3">
      <c r="A29" s="202"/>
      <c r="B29" s="202"/>
      <c r="C29" s="202"/>
      <c r="D29" s="202"/>
      <c r="E29" s="98"/>
      <c r="F29" s="152"/>
      <c r="G29" s="817"/>
      <c r="H29" s="182"/>
      <c r="I29" s="138"/>
      <c r="J29" s="202"/>
      <c r="K29" s="152"/>
      <c r="L29" s="182"/>
      <c r="M29" s="202"/>
      <c r="N29" s="152"/>
      <c r="O29" s="182"/>
      <c r="P29" s="202"/>
      <c r="Q29" s="152"/>
      <c r="R29" s="182"/>
      <c r="S29" s="202"/>
      <c r="T29" s="152"/>
      <c r="U29" s="182"/>
      <c r="V29" s="202"/>
      <c r="W29" s="152"/>
      <c r="X29" s="182"/>
      <c r="Y29" s="202"/>
      <c r="Z29" s="152" t="s">
        <v>1440</v>
      </c>
      <c r="AA29" s="182">
        <f>AA27+AA28</f>
        <v>0</v>
      </c>
      <c r="AB29" s="201">
        <f>AA29/$H$25</f>
        <v>0</v>
      </c>
      <c r="AC29" s="152" t="s">
        <v>1440</v>
      </c>
      <c r="AD29" s="182">
        <f>AD27+AD28</f>
        <v>13845203.800000001</v>
      </c>
      <c r="AE29" s="95">
        <f>AD29/H25</f>
        <v>0.9610827803920341</v>
      </c>
      <c r="AF29" s="202"/>
    </row>
    <row r="30" spans="1:32" s="47" customFormat="1" x14ac:dyDescent="0.3">
      <c r="A30" s="97"/>
      <c r="B30" s="97"/>
      <c r="C30" s="97"/>
      <c r="D30" s="97"/>
      <c r="E30" s="98"/>
      <c r="F30" s="56" t="s">
        <v>66</v>
      </c>
      <c r="G30" s="818"/>
      <c r="H30" s="55">
        <f>+H27*19%</f>
        <v>2737109.41</v>
      </c>
      <c r="I30" s="138"/>
      <c r="J30" s="97"/>
      <c r="K30" s="56" t="s">
        <v>66</v>
      </c>
      <c r="L30" s="55">
        <f>+L27*19%</f>
        <v>1704325.0420000001</v>
      </c>
      <c r="M30" s="97"/>
      <c r="N30" s="56" t="s">
        <v>66</v>
      </c>
      <c r="O30" s="55">
        <f>+O27*19%</f>
        <v>152833.53</v>
      </c>
      <c r="P30" s="97"/>
      <c r="Q30" s="56" t="s">
        <v>66</v>
      </c>
      <c r="R30" s="55">
        <f>+R27*19%</f>
        <v>597440.18000000005</v>
      </c>
      <c r="S30" s="97"/>
      <c r="T30" s="56" t="s">
        <v>66</v>
      </c>
      <c r="U30" s="55">
        <f>+U27*19%</f>
        <v>123192.96000000001</v>
      </c>
      <c r="V30" s="97"/>
      <c r="W30" s="154" t="s">
        <v>66</v>
      </c>
      <c r="X30" s="182">
        <f>+X27*19%</f>
        <v>52797.01</v>
      </c>
      <c r="Y30" s="202"/>
      <c r="Z30" s="485" t="s">
        <v>66</v>
      </c>
      <c r="AA30" s="483">
        <f>ROUND(AA29*0.19,0)</f>
        <v>0</v>
      </c>
      <c r="AB30" s="202"/>
      <c r="AC30" s="485" t="s">
        <v>66</v>
      </c>
      <c r="AD30" s="483">
        <f>ROUND(AD29*0.19,0)</f>
        <v>2630589</v>
      </c>
      <c r="AE30" s="97"/>
      <c r="AF30" s="97"/>
    </row>
    <row r="31" spans="1:32" s="47" customFormat="1" x14ac:dyDescent="0.3">
      <c r="A31" s="58" t="s">
        <v>67</v>
      </c>
      <c r="B31" s="59"/>
      <c r="C31" s="59"/>
      <c r="D31" s="60" t="s">
        <v>68</v>
      </c>
      <c r="F31" s="61" t="s">
        <v>69</v>
      </c>
      <c r="G31" s="155"/>
      <c r="H31" s="49">
        <f>+H27+H30</f>
        <v>17142948.41</v>
      </c>
      <c r="I31" s="138"/>
      <c r="J31" s="97"/>
      <c r="K31" s="61" t="s">
        <v>69</v>
      </c>
      <c r="L31" s="49">
        <f>+L27+L30</f>
        <v>10674456.842</v>
      </c>
      <c r="M31" s="97"/>
      <c r="N31" s="61" t="s">
        <v>69</v>
      </c>
      <c r="O31" s="49">
        <f>+O27+O30</f>
        <v>957220.53</v>
      </c>
      <c r="P31" s="97"/>
      <c r="Q31" s="61" t="s">
        <v>69</v>
      </c>
      <c r="R31" s="49">
        <f>+R27+R30</f>
        <v>3741862.18</v>
      </c>
      <c r="S31" s="97"/>
      <c r="T31" s="61" t="s">
        <v>69</v>
      </c>
      <c r="U31" s="49">
        <f>+U27+U30</f>
        <v>771576.96</v>
      </c>
      <c r="V31" s="97"/>
      <c r="W31" s="155" t="s">
        <v>69</v>
      </c>
      <c r="X31" s="181">
        <f>+X27+X30</f>
        <v>330676.01</v>
      </c>
      <c r="Y31" s="202"/>
      <c r="Z31" s="545" t="s">
        <v>69</v>
      </c>
      <c r="AA31" s="481">
        <f>AA29+AA30</f>
        <v>0</v>
      </c>
      <c r="AB31" s="202"/>
      <c r="AC31" s="545" t="s">
        <v>69</v>
      </c>
      <c r="AD31" s="481">
        <f>AD29+AD30</f>
        <v>16475792.800000001</v>
      </c>
      <c r="AE31" s="97"/>
      <c r="AF31"/>
    </row>
    <row r="32" spans="1:32" s="47" customFormat="1" x14ac:dyDescent="0.3">
      <c r="A32" s="58"/>
      <c r="B32" s="59"/>
      <c r="C32" s="59"/>
      <c r="D32" s="60"/>
      <c r="F32" s="97"/>
      <c r="G32" s="202"/>
      <c r="H32" s="97"/>
      <c r="I32" s="202"/>
      <c r="J32" s="97"/>
      <c r="K32" s="97"/>
      <c r="L32" s="97"/>
      <c r="M32" s="97"/>
      <c r="N32" s="97"/>
      <c r="O32" s="97"/>
      <c r="P32" s="139"/>
      <c r="Q32" s="97"/>
      <c r="R32" s="97"/>
      <c r="S32" s="139"/>
      <c r="T32" s="97"/>
      <c r="U32" s="97"/>
      <c r="V32" s="139"/>
      <c r="W32" s="139"/>
      <c r="X32" s="139"/>
      <c r="Y32" s="139"/>
      <c r="Z32" s="139"/>
      <c r="AA32" s="139"/>
      <c r="AB32" s="139"/>
      <c r="AC32" s="123"/>
      <c r="AD32" s="123"/>
      <c r="AE32" s="123"/>
      <c r="AF32"/>
    </row>
    <row r="33" spans="1:32" s="47" customFormat="1" x14ac:dyDescent="0.3">
      <c r="A33" s="58"/>
      <c r="B33" s="59"/>
      <c r="C33" s="59"/>
      <c r="D33" s="60"/>
      <c r="G33" s="180"/>
      <c r="I33" s="180"/>
      <c r="K33" s="97"/>
      <c r="L33" s="97"/>
      <c r="M33" s="103"/>
      <c r="N33" s="103"/>
      <c r="O33" s="103"/>
      <c r="P33" s="103"/>
      <c r="Q33" s="103"/>
      <c r="R33" s="103"/>
      <c r="S33" s="103"/>
      <c r="T33" s="103"/>
      <c r="U33" s="103"/>
      <c r="V33" s="103"/>
      <c r="W33" s="103"/>
      <c r="X33" s="103"/>
      <c r="Y33" s="103"/>
      <c r="Z33" s="103"/>
      <c r="AA33" s="103"/>
      <c r="AB33" s="103"/>
      <c r="AC33" s="124"/>
      <c r="AD33" s="124"/>
      <c r="AE33" s="124"/>
      <c r="AF33"/>
    </row>
    <row r="34" spans="1:32" s="47" customFormat="1" x14ac:dyDescent="0.3">
      <c r="A34" s="58"/>
      <c r="B34" s="59"/>
      <c r="C34" s="59"/>
      <c r="D34" s="60"/>
      <c r="G34" s="180"/>
      <c r="I34" s="180"/>
      <c r="Q34" s="66" t="s">
        <v>70</v>
      </c>
      <c r="R34" s="67" t="s">
        <v>71</v>
      </c>
      <c r="S34" s="66" t="s">
        <v>58</v>
      </c>
      <c r="T34" s="66" t="s">
        <v>70</v>
      </c>
      <c r="U34" s="67" t="s">
        <v>71</v>
      </c>
      <c r="V34" s="66" t="s">
        <v>58</v>
      </c>
      <c r="W34" s="186" t="s">
        <v>70</v>
      </c>
      <c r="X34" s="187" t="s">
        <v>71</v>
      </c>
      <c r="Y34" s="186" t="s">
        <v>58</v>
      </c>
      <c r="Z34" s="186" t="s">
        <v>70</v>
      </c>
      <c r="AA34" s="187" t="s">
        <v>71</v>
      </c>
      <c r="AB34" s="186" t="s">
        <v>58</v>
      </c>
      <c r="AC34" s="68"/>
      <c r="AD34" s="68"/>
      <c r="AE34" s="68"/>
      <c r="AF34"/>
    </row>
    <row r="35" spans="1:32" s="47" customFormat="1" x14ac:dyDescent="0.3">
      <c r="A35" s="58"/>
      <c r="B35" s="59"/>
      <c r="C35" s="59"/>
      <c r="D35" s="60"/>
      <c r="G35" s="180"/>
      <c r="I35" s="180"/>
      <c r="Q35" s="125" t="s">
        <v>72</v>
      </c>
      <c r="R35" s="126">
        <f>L25</f>
        <v>8970131.8000000007</v>
      </c>
      <c r="S35" s="127">
        <f>M25</f>
        <v>0.62267333405572567</v>
      </c>
      <c r="T35" s="125" t="s">
        <v>72</v>
      </c>
      <c r="U35" s="126">
        <f>$L$25</f>
        <v>8970131.8000000007</v>
      </c>
      <c r="V35" s="127">
        <f>$M$25</f>
        <v>0.62267333405572567</v>
      </c>
      <c r="W35" s="203" t="s">
        <v>72</v>
      </c>
      <c r="X35" s="204">
        <f>$L$25</f>
        <v>8970131.8000000007</v>
      </c>
      <c r="Y35" s="205">
        <f>$M$25</f>
        <v>0.62267333405572567</v>
      </c>
      <c r="Z35" s="203" t="s">
        <v>72</v>
      </c>
      <c r="AA35" s="204">
        <f>$L$25</f>
        <v>8970131.8000000007</v>
      </c>
      <c r="AB35" s="205">
        <f>$M$25</f>
        <v>0.62267333405572567</v>
      </c>
      <c r="AC35" s="68"/>
      <c r="AD35" s="68"/>
      <c r="AE35" s="68"/>
      <c r="AF35"/>
    </row>
    <row r="36" spans="1:32" s="47" customFormat="1" x14ac:dyDescent="0.3">
      <c r="A36" s="58"/>
      <c r="B36" s="59"/>
      <c r="C36" s="59"/>
      <c r="D36" s="60"/>
      <c r="G36" s="180"/>
      <c r="I36" s="180"/>
      <c r="Q36" s="125" t="s">
        <v>73</v>
      </c>
      <c r="R36" s="126">
        <f>O25</f>
        <v>804387</v>
      </c>
      <c r="S36" s="127">
        <f>P25</f>
        <v>5.5837566975446555E-2</v>
      </c>
      <c r="T36" s="125" t="s">
        <v>73</v>
      </c>
      <c r="U36" s="126">
        <f>$O$25</f>
        <v>804387</v>
      </c>
      <c r="V36" s="127">
        <f>$P$25</f>
        <v>5.5837566975446555E-2</v>
      </c>
      <c r="W36" s="203" t="s">
        <v>73</v>
      </c>
      <c r="X36" s="204">
        <f>$O$25</f>
        <v>804387</v>
      </c>
      <c r="Y36" s="205">
        <f>$P$25</f>
        <v>5.5837566975446555E-2</v>
      </c>
      <c r="Z36" s="203" t="s">
        <v>73</v>
      </c>
      <c r="AA36" s="204">
        <f>$O$25</f>
        <v>804387</v>
      </c>
      <c r="AB36" s="205">
        <f>$P$25</f>
        <v>5.5837566975446555E-2</v>
      </c>
      <c r="AC36" s="68"/>
      <c r="AD36" s="68"/>
      <c r="AE36" s="68"/>
      <c r="AF36"/>
    </row>
    <row r="37" spans="1:32" s="47" customFormat="1" x14ac:dyDescent="0.3">
      <c r="A37" s="58"/>
      <c r="B37" s="59"/>
      <c r="C37" s="59"/>
      <c r="D37" s="60"/>
      <c r="G37" s="180"/>
      <c r="I37" s="180"/>
      <c r="Q37" s="125" t="s">
        <v>74</v>
      </c>
      <c r="R37" s="126">
        <f>R25</f>
        <v>3144422</v>
      </c>
      <c r="S37" s="127">
        <f>S25</f>
        <v>0.21827413176004534</v>
      </c>
      <c r="T37" s="125" t="s">
        <v>74</v>
      </c>
      <c r="U37" s="126">
        <f>$R$25</f>
        <v>3144422</v>
      </c>
      <c r="V37" s="127">
        <f>$S$25</f>
        <v>0.21827413176004534</v>
      </c>
      <c r="W37" s="203" t="s">
        <v>74</v>
      </c>
      <c r="X37" s="204">
        <f>$R$25</f>
        <v>3144422</v>
      </c>
      <c r="Y37" s="205">
        <f>$S$25</f>
        <v>0.21827413176004534</v>
      </c>
      <c r="Z37" s="203" t="s">
        <v>74</v>
      </c>
      <c r="AA37" s="204">
        <f>$R$25</f>
        <v>3144422</v>
      </c>
      <c r="AB37" s="205">
        <f>$S$25</f>
        <v>0.21827413176004534</v>
      </c>
      <c r="AC37" s="68"/>
      <c r="AD37" s="68"/>
      <c r="AE37" s="68"/>
      <c r="AF37"/>
    </row>
    <row r="38" spans="1:32" s="47" customFormat="1" x14ac:dyDescent="0.3">
      <c r="A38" s="58"/>
      <c r="B38" s="59"/>
      <c r="C38" s="59"/>
      <c r="D38" s="60"/>
      <c r="G38" s="180"/>
      <c r="I38" s="180"/>
      <c r="Q38" s="125"/>
      <c r="R38" s="126"/>
      <c r="S38" s="127"/>
      <c r="T38" s="125" t="s">
        <v>155</v>
      </c>
      <c r="U38" s="126">
        <f>$U$25</f>
        <v>648384</v>
      </c>
      <c r="V38" s="127">
        <f>$V$25</f>
        <v>4.5008416378941901E-2</v>
      </c>
      <c r="W38" s="203" t="s">
        <v>155</v>
      </c>
      <c r="X38" s="204">
        <f>$U$25</f>
        <v>648384</v>
      </c>
      <c r="Y38" s="205">
        <f>$V$25</f>
        <v>4.5008416378941901E-2</v>
      </c>
      <c r="Z38" s="203" t="s">
        <v>155</v>
      </c>
      <c r="AA38" s="204">
        <f>$U$25</f>
        <v>648384</v>
      </c>
      <c r="AB38" s="205">
        <f>$V$25</f>
        <v>4.5008416378941901E-2</v>
      </c>
      <c r="AC38" s="68"/>
      <c r="AD38" s="68"/>
      <c r="AE38" s="68"/>
      <c r="AF38"/>
    </row>
    <row r="39" spans="1:32" s="180" customFormat="1" x14ac:dyDescent="0.3">
      <c r="A39" s="183"/>
      <c r="B39" s="184"/>
      <c r="C39" s="184"/>
      <c r="D39" s="185"/>
      <c r="Q39" s="203"/>
      <c r="R39" s="204"/>
      <c r="S39" s="205"/>
      <c r="T39" s="203"/>
      <c r="U39" s="204"/>
      <c r="V39" s="205"/>
      <c r="W39" s="203" t="s">
        <v>352</v>
      </c>
      <c r="X39" s="204">
        <f>$X$25</f>
        <v>277879</v>
      </c>
      <c r="Y39" s="205">
        <f>$Y$25</f>
        <v>1.9289331221874685E-2</v>
      </c>
      <c r="Z39" s="203" t="s">
        <v>352</v>
      </c>
      <c r="AA39" s="204">
        <f>$X$25</f>
        <v>277879</v>
      </c>
      <c r="AB39" s="205">
        <f>$Y$25</f>
        <v>1.9289331221874685E-2</v>
      </c>
      <c r="AC39" s="68"/>
      <c r="AD39" s="68"/>
      <c r="AE39" s="68"/>
      <c r="AF39" s="302"/>
    </row>
    <row r="40" spans="1:32" s="180" customFormat="1" x14ac:dyDescent="0.3">
      <c r="A40" s="183"/>
      <c r="B40" s="184"/>
      <c r="C40" s="184"/>
      <c r="D40" s="185"/>
      <c r="Q40" s="203"/>
      <c r="R40" s="204"/>
      <c r="S40" s="205"/>
      <c r="T40" s="203"/>
      <c r="U40" s="204"/>
      <c r="V40" s="205"/>
      <c r="W40" s="203"/>
      <c r="X40" s="204"/>
      <c r="Y40" s="205"/>
      <c r="Z40" s="203" t="s">
        <v>979</v>
      </c>
      <c r="AA40" s="204">
        <f>$AA$29</f>
        <v>0</v>
      </c>
      <c r="AB40" s="205">
        <f>$AB$29</f>
        <v>0</v>
      </c>
      <c r="AC40" s="68"/>
      <c r="AD40" s="68"/>
      <c r="AE40" s="68"/>
      <c r="AF40" s="302"/>
    </row>
    <row r="41" spans="1:32" s="47" customFormat="1" x14ac:dyDescent="0.3">
      <c r="A41" s="58"/>
      <c r="B41" s="59"/>
      <c r="C41" s="59"/>
      <c r="D41" s="60"/>
      <c r="G41" s="180"/>
      <c r="I41" s="180"/>
      <c r="Q41" s="128" t="s">
        <v>1</v>
      </c>
      <c r="R41" s="129">
        <f>SUM(R35:R37)</f>
        <v>12918940.800000001</v>
      </c>
      <c r="S41" s="130">
        <f>SUM(S35:S37)</f>
        <v>0.89678503279121746</v>
      </c>
      <c r="T41" s="128" t="s">
        <v>1</v>
      </c>
      <c r="U41" s="129">
        <f>SUM(U35:U38)</f>
        <v>13567324.800000001</v>
      </c>
      <c r="V41" s="130">
        <f>SUM(V35:V38)</f>
        <v>0.94179344917015939</v>
      </c>
      <c r="W41" s="206" t="s">
        <v>1</v>
      </c>
      <c r="X41" s="207">
        <f>SUM(X35:X39)</f>
        <v>13845203.800000001</v>
      </c>
      <c r="Y41" s="208">
        <f>SUM(Y35:Y39)</f>
        <v>0.9610827803920341</v>
      </c>
      <c r="Z41" s="206" t="s">
        <v>1</v>
      </c>
      <c r="AA41" s="207">
        <f>SUM(AA35:AA40)</f>
        <v>13845203.800000001</v>
      </c>
      <c r="AB41" s="208">
        <f>SUM(AB35:AB40)</f>
        <v>0.9610827803920341</v>
      </c>
      <c r="AC41" s="74"/>
      <c r="AD41" s="74"/>
      <c r="AE41" s="74"/>
      <c r="AF41"/>
    </row>
    <row r="42" spans="1:32" s="47" customFormat="1" x14ac:dyDescent="0.3">
      <c r="A42" s="58"/>
      <c r="B42" s="59"/>
      <c r="C42" s="59"/>
      <c r="D42" s="60" t="s">
        <v>75</v>
      </c>
      <c r="G42" s="180"/>
      <c r="I42" s="180"/>
      <c r="Q42" s="128" t="s">
        <v>9</v>
      </c>
      <c r="R42" s="1285"/>
      <c r="S42" s="1286"/>
      <c r="T42" s="128" t="s">
        <v>9</v>
      </c>
      <c r="U42" s="1285"/>
      <c r="V42" s="1286"/>
      <c r="W42" s="206" t="s">
        <v>9</v>
      </c>
      <c r="X42" s="1285"/>
      <c r="Y42" s="1286"/>
      <c r="Z42" s="206" t="s">
        <v>9</v>
      </c>
      <c r="AA42" s="1285"/>
      <c r="AB42" s="1286"/>
      <c r="AC42" s="75"/>
      <c r="AD42" s="75"/>
      <c r="AE42" s="75"/>
      <c r="AF42" s="77"/>
    </row>
    <row r="43" spans="1:32" s="47" customFormat="1" x14ac:dyDescent="0.3">
      <c r="A43" s="58" t="s">
        <v>76</v>
      </c>
      <c r="D43" s="60" t="s">
        <v>77</v>
      </c>
      <c r="G43" s="180"/>
      <c r="I43" s="180"/>
      <c r="Q43" s="78" t="s">
        <v>78</v>
      </c>
      <c r="R43" s="1285" t="s">
        <v>304</v>
      </c>
      <c r="S43" s="1286"/>
      <c r="T43" s="78" t="s">
        <v>78</v>
      </c>
      <c r="U43" s="1285" t="s">
        <v>304</v>
      </c>
      <c r="V43" s="1286"/>
      <c r="W43" s="156" t="s">
        <v>78</v>
      </c>
      <c r="X43" s="1285" t="s">
        <v>304</v>
      </c>
      <c r="Y43" s="1286"/>
      <c r="Z43" s="156" t="s">
        <v>78</v>
      </c>
      <c r="AA43" s="1285" t="s">
        <v>304</v>
      </c>
      <c r="AB43" s="1286"/>
      <c r="AC43" s="77"/>
      <c r="AD43" s="77"/>
      <c r="AE43" s="75"/>
      <c r="AF43" s="77"/>
    </row>
    <row r="44" spans="1:32" s="47" customFormat="1" x14ac:dyDescent="0.3">
      <c r="A44" s="58" t="s">
        <v>79</v>
      </c>
      <c r="D44" s="60" t="s">
        <v>80</v>
      </c>
      <c r="G44" s="180"/>
      <c r="I44" s="180"/>
      <c r="Q44" s="79" t="s">
        <v>8</v>
      </c>
      <c r="R44" s="1287" t="s">
        <v>305</v>
      </c>
      <c r="S44" s="1288"/>
      <c r="T44" s="79" t="s">
        <v>8</v>
      </c>
      <c r="U44" s="1287" t="s">
        <v>305</v>
      </c>
      <c r="V44" s="1288"/>
      <c r="W44" s="157" t="s">
        <v>8</v>
      </c>
      <c r="X44" s="1287" t="s">
        <v>305</v>
      </c>
      <c r="Y44" s="1288"/>
      <c r="Z44" s="157" t="s">
        <v>8</v>
      </c>
      <c r="AA44" s="1287" t="s">
        <v>305</v>
      </c>
      <c r="AB44" s="1288"/>
      <c r="AC44" s="77"/>
      <c r="AD44" s="77"/>
      <c r="AE44" s="75"/>
      <c r="AF44" s="77"/>
    </row>
  </sheetData>
  <sheetProtection formatCells="0" formatColumns="0" formatRows="0" insertColumns="0" insertRows="0" insertHyperlinks="0" deleteColumns="0" deleteRows="0" sort="0" autoFilter="0" pivotTables="0"/>
  <mergeCells count="41">
    <mergeCell ref="Z11:AB12"/>
    <mergeCell ref="AA42:AB42"/>
    <mergeCell ref="AA43:AB43"/>
    <mergeCell ref="AA44:AB44"/>
    <mergeCell ref="C1:AB2"/>
    <mergeCell ref="A5:AE5"/>
    <mergeCell ref="T11:V12"/>
    <mergeCell ref="U42:V42"/>
    <mergeCell ref="U43:V43"/>
    <mergeCell ref="U44:V44"/>
    <mergeCell ref="B11:J11"/>
    <mergeCell ref="K11:M12"/>
    <mergeCell ref="N11:P12"/>
    <mergeCell ref="Q11:S12"/>
    <mergeCell ref="AC11:AE12"/>
    <mergeCell ref="A6:AE6"/>
    <mergeCell ref="R44:S44"/>
    <mergeCell ref="X42:Y42"/>
    <mergeCell ref="X43:Y43"/>
    <mergeCell ref="X44:Y44"/>
    <mergeCell ref="A22:A24"/>
    <mergeCell ref="B22:B24"/>
    <mergeCell ref="J22:J24"/>
    <mergeCell ref="R42:S42"/>
    <mergeCell ref="R43:S43"/>
    <mergeCell ref="A18:A21"/>
    <mergeCell ref="B18:B21"/>
    <mergeCell ref="J18:J21"/>
    <mergeCell ref="AC1:AE1"/>
    <mergeCell ref="AC2:AE2"/>
    <mergeCell ref="A3:AE3"/>
    <mergeCell ref="A4:AE4"/>
    <mergeCell ref="W11:Y12"/>
    <mergeCell ref="B12:J12"/>
    <mergeCell ref="A7:AE7"/>
    <mergeCell ref="A8:AE8"/>
    <mergeCell ref="A9:AE9"/>
    <mergeCell ref="A10:AE10"/>
    <mergeCell ref="A14:A17"/>
    <mergeCell ref="B14:B17"/>
    <mergeCell ref="J14:J17"/>
  </mergeCells>
  <pageMargins left="0.7" right="0.7" top="0.75" bottom="0.75" header="0.3" footer="0.3"/>
  <pageSetup scale="45" orientation="landscape" r:id="rId1"/>
  <drawing r:id="rId2"/>
  <legacyDrawing r:id="rId3"/>
  <legacyDrawingHF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tabColor theme="1"/>
  </sheetPr>
  <dimension ref="A1:G52"/>
  <sheetViews>
    <sheetView topLeftCell="A7" zoomScaleNormal="100" workbookViewId="0">
      <selection activeCell="C31" sqref="C31:D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f>
        <v>Proyecto: CDIM_CADCRA_R0117, R SUBESTACIÓN MT-MT TOCANCIPÁ</v>
      </c>
      <c r="C5" s="1281"/>
      <c r="D5" s="1281"/>
      <c r="E5" s="1281"/>
      <c r="F5" s="1281"/>
      <c r="G5" s="1282"/>
    </row>
    <row r="6" spans="1:7" x14ac:dyDescent="0.25">
      <c r="A6" s="1177"/>
      <c r="B6" s="1177"/>
      <c r="C6" s="1177"/>
      <c r="D6" s="1177"/>
      <c r="E6" s="1177"/>
      <c r="F6" s="1177"/>
      <c r="G6" s="1177"/>
    </row>
    <row r="7" spans="1:7" x14ac:dyDescent="0.25">
      <c r="A7" s="271" t="s">
        <v>0</v>
      </c>
      <c r="B7" s="1264" t="str">
        <f>RESUMEN!B18</f>
        <v>D00243217</v>
      </c>
      <c r="C7" s="1265"/>
      <c r="D7" s="1177"/>
      <c r="E7" s="1266" t="s">
        <v>627</v>
      </c>
      <c r="F7" s="1267"/>
      <c r="G7" s="280" t="str">
        <f>RESUMEN!E18</f>
        <v xml:space="preserve">17-108 </v>
      </c>
    </row>
    <row r="8" spans="1:7" x14ac:dyDescent="0.25">
      <c r="A8" s="271" t="s">
        <v>628</v>
      </c>
      <c r="B8" s="1264">
        <f>RESUMEN!C18</f>
        <v>500000740146</v>
      </c>
      <c r="C8" s="1265"/>
      <c r="D8" s="1177"/>
      <c r="E8" s="1266" t="s">
        <v>629</v>
      </c>
      <c r="F8" s="1267"/>
      <c r="G8" s="280" t="str">
        <f>RESUMEN!U18</f>
        <v>Acta N° 7: Marzo</v>
      </c>
    </row>
    <row r="9" spans="1:7" x14ac:dyDescent="0.25">
      <c r="A9" s="271" t="s">
        <v>630</v>
      </c>
      <c r="B9" s="1283" t="s">
        <v>631</v>
      </c>
      <c r="C9" s="1265"/>
      <c r="D9" s="1177"/>
      <c r="E9" s="1266" t="s">
        <v>632</v>
      </c>
      <c r="F9" s="1267"/>
      <c r="G9" s="1178">
        <f>RESUMEN!H18</f>
        <v>36354111</v>
      </c>
    </row>
    <row r="10" spans="1:7" x14ac:dyDescent="0.25">
      <c r="A10" s="271" t="s">
        <v>633</v>
      </c>
      <c r="B10" s="1283" t="str">
        <f>RESUMEN!D18</f>
        <v>TOCANCIPÁ AMPLIACIÓN</v>
      </c>
      <c r="C10" s="1265"/>
      <c r="D10" s="1177"/>
      <c r="E10" s="1266" t="s">
        <v>634</v>
      </c>
      <c r="F10" s="1267"/>
      <c r="G10" s="1178">
        <f>RESUMEN!R18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CDIM_CADCRA_R0117, R SUBESTACIÓN MT-MT TOCANCIPÁ</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f>
        <v>0</v>
      </c>
      <c r="F19" s="1248"/>
      <c r="G19" s="1177"/>
    </row>
    <row r="20" spans="1:7" ht="27" customHeight="1" x14ac:dyDescent="0.25">
      <c r="A20" s="1177"/>
      <c r="B20" s="1244" t="s">
        <v>1498</v>
      </c>
      <c r="C20" s="1245"/>
      <c r="D20" s="1246"/>
      <c r="E20" s="1247">
        <f>RESUMEN!P18</f>
        <v>0</v>
      </c>
      <c r="F20" s="1248"/>
      <c r="G20" s="1177"/>
    </row>
    <row r="21" spans="1:7" ht="27" customHeight="1" x14ac:dyDescent="0.25">
      <c r="A21" s="1177"/>
      <c r="B21" s="1244" t="s">
        <v>1499</v>
      </c>
      <c r="C21" s="1245"/>
      <c r="D21" s="1246"/>
      <c r="E21" s="1247">
        <f>RESUMEN!Q18</f>
        <v>0</v>
      </c>
      <c r="F21" s="1248"/>
      <c r="G21" s="1177"/>
    </row>
    <row r="22" spans="1:7" x14ac:dyDescent="0.25">
      <c r="A22" s="1177"/>
      <c r="B22" s="1254" t="s">
        <v>64</v>
      </c>
      <c r="C22" s="1254"/>
      <c r="D22" s="1254"/>
      <c r="E22" s="1255">
        <f>RESUMEN!R18</f>
        <v>0</v>
      </c>
      <c r="F22" s="1255"/>
      <c r="G22" s="1177"/>
    </row>
    <row r="23" spans="1:7" x14ac:dyDescent="0.25">
      <c r="A23" s="1177"/>
      <c r="B23" s="1256" t="s">
        <v>66</v>
      </c>
      <c r="C23" s="1256"/>
      <c r="D23" s="1256"/>
      <c r="E23" s="1257">
        <f>RESUMEN!S18</f>
        <v>0</v>
      </c>
      <c r="F23" s="1257"/>
      <c r="G23" s="1177"/>
    </row>
    <row r="24" spans="1:7" x14ac:dyDescent="0.25">
      <c r="A24" s="1177"/>
      <c r="B24" s="1258" t="s">
        <v>1</v>
      </c>
      <c r="C24" s="1258"/>
      <c r="D24" s="1258"/>
      <c r="E24" s="1259">
        <f>RESUMEN!T18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+'OT17-108 TOCANCIPÁ AMPLIACIÓN'!AC48</f>
        <v>ACTA 1</v>
      </c>
      <c r="C28" s="1253">
        <f>+'OT17-108 TOCANCIPÁ AMPLIACIÓN'!AD48</f>
        <v>4826327</v>
      </c>
      <c r="D28" s="1253"/>
      <c r="E28" s="267">
        <f>+'OT17-108 TOCANCIPÁ AMPLIACIÓN'!AE48</f>
        <v>0.13275876832746647</v>
      </c>
      <c r="F28" s="1177"/>
      <c r="G28" s="1177"/>
    </row>
    <row r="29" spans="1:7" x14ac:dyDescent="0.25">
      <c r="A29" s="1177"/>
      <c r="B29" s="280" t="str">
        <f>+'OT17-108 TOCANCIPÁ AMPLIACIÓN'!AC49</f>
        <v>ACTA 2</v>
      </c>
      <c r="C29" s="1253">
        <f>+'OT17-108 TOCANCIPÁ AMPLIACIÓN'!AD49</f>
        <v>15969342</v>
      </c>
      <c r="D29" s="1253"/>
      <c r="E29" s="267">
        <f>+'OT17-108 TOCANCIPÁ AMPLIACIÓN'!AE49</f>
        <v>0.43927197119467454</v>
      </c>
      <c r="F29" s="1177"/>
      <c r="G29" s="1177"/>
    </row>
    <row r="30" spans="1:7" x14ac:dyDescent="0.25">
      <c r="A30" s="1177"/>
      <c r="B30" s="280" t="str">
        <f>+'OT17-108 TOCANCIPÁ AMPLIACIÓN'!AC50</f>
        <v>ACTA 3</v>
      </c>
      <c r="C30" s="1253">
        <f>+'OT17-108 TOCANCIPÁ AMPLIACIÓN'!AD50</f>
        <v>6132144</v>
      </c>
      <c r="D30" s="1253"/>
      <c r="E30" s="267">
        <f>+'OT17-108 TOCANCIPÁ AMPLIACIÓN'!AE50</f>
        <v>0.16867814481833981</v>
      </c>
      <c r="F30" s="1177"/>
      <c r="G30" s="1177"/>
    </row>
    <row r="31" spans="1:7" x14ac:dyDescent="0.25">
      <c r="A31" s="1177"/>
      <c r="B31" s="280" t="str">
        <f>+'OT17-108 TOCANCIPÁ AMPLIACIÓN'!AC51</f>
        <v>ACTA 4</v>
      </c>
      <c r="C31" s="1253">
        <f>+'OT17-108 TOCANCIPÁ AMPLIACIÓN'!AD51</f>
        <v>2019673</v>
      </c>
      <c r="D31" s="1253"/>
      <c r="E31" s="267">
        <f>+'OT17-108 TOCANCIPÁ AMPLIACIÓN'!AE51</f>
        <v>5.5555560140089798E-2</v>
      </c>
      <c r="F31" s="1177"/>
      <c r="G31" s="1177"/>
    </row>
    <row r="32" spans="1:7" x14ac:dyDescent="0.25">
      <c r="A32" s="1177"/>
      <c r="B32" s="280" t="str">
        <f>+'OT17-108 TOCANCIPÁ AMPLIACIÓN'!AC52</f>
        <v>ACTA 5</v>
      </c>
      <c r="C32" s="1253">
        <f>+'OT17-108 TOCANCIPÁ AMPLIACIÓN'!AD52</f>
        <v>2049968</v>
      </c>
      <c r="D32" s="1253"/>
      <c r="E32" s="267">
        <f>+'OT17-108 TOCANCIPÁ AMPLIACIÓN'!AE52</f>
        <v>5.6388890929006626E-2</v>
      </c>
      <c r="F32" s="1177"/>
      <c r="G32" s="1177"/>
    </row>
    <row r="33" spans="1:7" x14ac:dyDescent="0.25">
      <c r="A33" s="1177"/>
      <c r="B33" s="280" t="str">
        <f>+'OT17-108 TOCANCIPÁ AMPLIACIÓN'!AC53</f>
        <v>ACTA 6</v>
      </c>
      <c r="C33" s="1253">
        <f>+'OT17-108 TOCANCIPÁ AMPLIACIÓN'!AD53</f>
        <v>3042325</v>
      </c>
      <c r="D33" s="1253"/>
      <c r="E33" s="267">
        <f>+'OT17-108 TOCANCIPÁ AMPLIACIÓN'!AE53</f>
        <v>8.3685858801498411E-2</v>
      </c>
      <c r="F33" s="1177"/>
      <c r="G33" s="1177"/>
    </row>
    <row r="34" spans="1:7" x14ac:dyDescent="0.25">
      <c r="A34" s="1177"/>
      <c r="B34" s="280" t="str">
        <f>+'OT17-108 TOCANCIPÁ AMPLIACIÓN'!AC54</f>
        <v>ACTA 7</v>
      </c>
      <c r="C34" s="1253">
        <f>+'OT17-108 TOCANCIPÁ AMPLIACIÓN'!AD54</f>
        <v>0</v>
      </c>
      <c r="D34" s="1253"/>
      <c r="E34" s="267">
        <f>+'OT17-108 TOCANCIPÁ AMPLIACIÓN'!AE54</f>
        <v>0</v>
      </c>
      <c r="F34" s="1177"/>
      <c r="G34" s="1177"/>
    </row>
    <row r="35" spans="1:7" x14ac:dyDescent="0.25">
      <c r="A35" s="1177"/>
      <c r="B35" s="280"/>
      <c r="C35" s="1253"/>
      <c r="D35" s="1253"/>
      <c r="E35" s="267"/>
      <c r="F35" s="1177"/>
      <c r="G35" s="1177"/>
    </row>
    <row r="36" spans="1:7" x14ac:dyDescent="0.25">
      <c r="A36" s="1177"/>
      <c r="B36" s="280"/>
      <c r="C36" s="1253"/>
      <c r="D36" s="1253"/>
      <c r="E36" s="267"/>
      <c r="F36" s="1177"/>
      <c r="G36" s="1177"/>
    </row>
    <row r="37" spans="1:7" x14ac:dyDescent="0.25">
      <c r="A37" s="1177"/>
      <c r="B37" s="263" t="s">
        <v>1</v>
      </c>
      <c r="C37" s="1251">
        <f>SUM(C28:D36)</f>
        <v>34039779</v>
      </c>
      <c r="D37" s="1251"/>
      <c r="E37" s="264">
        <f>SUM(E28:E36)</f>
        <v>0.93633919421107559</v>
      </c>
      <c r="F37" s="1177"/>
      <c r="G37" s="1177"/>
    </row>
    <row r="38" spans="1:7" x14ac:dyDescent="0.25">
      <c r="A38" s="1177"/>
      <c r="B38" s="1177"/>
      <c r="C38" s="1177"/>
      <c r="D38" s="1177"/>
      <c r="E38" s="1177"/>
      <c r="F38" s="1177"/>
      <c r="G38" s="260"/>
    </row>
    <row r="39" spans="1:7" x14ac:dyDescent="0.25">
      <c r="A39" s="1252" t="s">
        <v>1500</v>
      </c>
      <c r="B39" s="1252"/>
      <c r="C39" s="1252"/>
      <c r="D39" s="1252"/>
      <c r="E39" s="1252"/>
      <c r="F39" s="1252"/>
      <c r="G39" s="1252"/>
    </row>
    <row r="40" spans="1:7" x14ac:dyDescent="0.25">
      <c r="A40" s="1177"/>
      <c r="B40" s="1177"/>
      <c r="C40" s="1177"/>
      <c r="D40" s="1177"/>
      <c r="E40" s="1177"/>
      <c r="F40" s="1177"/>
      <c r="G40" s="1177"/>
    </row>
    <row r="41" spans="1:7" x14ac:dyDescent="0.25">
      <c r="A41" s="1177"/>
      <c r="B41" s="1177"/>
      <c r="C41" s="1177"/>
      <c r="D41" s="1177"/>
      <c r="E41" s="1177"/>
      <c r="F41" s="1177"/>
      <c r="G41" s="1177"/>
    </row>
    <row r="42" spans="1:7" x14ac:dyDescent="0.25">
      <c r="A42" s="266"/>
      <c r="B42" s="266"/>
      <c r="C42" s="266"/>
      <c r="D42" s="1177"/>
      <c r="E42" s="266"/>
      <c r="F42" s="266"/>
      <c r="G42" s="266"/>
    </row>
    <row r="43" spans="1:7" x14ac:dyDescent="0.25">
      <c r="A43" s="1250">
        <f>RESUMEN!V18</f>
        <v>0</v>
      </c>
      <c r="B43" s="1250"/>
      <c r="C43" s="1250"/>
      <c r="D43" s="1177"/>
      <c r="E43" s="1250" t="s">
        <v>642</v>
      </c>
      <c r="F43" s="1250"/>
      <c r="G43" s="1250"/>
    </row>
    <row r="44" spans="1:7" x14ac:dyDescent="0.25">
      <c r="A44" s="1249" t="s">
        <v>643</v>
      </c>
      <c r="B44" s="1249"/>
      <c r="C44" s="1249"/>
      <c r="D44" s="1177"/>
      <c r="E44" s="1249" t="s">
        <v>644</v>
      </c>
      <c r="F44" s="1249"/>
      <c r="G44" s="1249"/>
    </row>
    <row r="45" spans="1:7" x14ac:dyDescent="0.25">
      <c r="A45" s="1249" t="s">
        <v>645</v>
      </c>
      <c r="B45" s="1249"/>
      <c r="C45" s="1249"/>
      <c r="D45" s="1177"/>
      <c r="E45" s="1249" t="s">
        <v>645</v>
      </c>
      <c r="F45" s="1249"/>
      <c r="G45" s="1249"/>
    </row>
    <row r="46" spans="1:7" x14ac:dyDescent="0.25">
      <c r="A46" s="1177"/>
      <c r="B46" s="1177"/>
      <c r="C46" s="1177"/>
      <c r="D46" s="1177"/>
      <c r="E46" s="1177"/>
      <c r="F46" s="1177"/>
      <c r="G46" s="1177"/>
    </row>
    <row r="47" spans="1:7" x14ac:dyDescent="0.25">
      <c r="A47" s="1177"/>
      <c r="B47" s="1177"/>
      <c r="C47" s="1177"/>
      <c r="D47" s="1177"/>
      <c r="E47" s="1177"/>
      <c r="F47" s="1177"/>
      <c r="G47" s="1177"/>
    </row>
    <row r="48" spans="1:7" x14ac:dyDescent="0.25">
      <c r="A48" s="1177"/>
      <c r="B48" s="1177"/>
      <c r="C48" s="1177"/>
      <c r="D48" s="1177"/>
      <c r="E48" s="1177"/>
      <c r="F48" s="1177"/>
      <c r="G48" s="1177"/>
    </row>
    <row r="49" spans="1:7" x14ac:dyDescent="0.25">
      <c r="A49" s="266"/>
      <c r="B49" s="266"/>
      <c r="C49" s="266"/>
      <c r="D49" s="1177"/>
      <c r="E49" s="266"/>
      <c r="F49" s="266"/>
      <c r="G49" s="266"/>
    </row>
    <row r="50" spans="1:7" x14ac:dyDescent="0.25">
      <c r="A50" s="1250" t="s">
        <v>646</v>
      </c>
      <c r="B50" s="1250"/>
      <c r="C50" s="1250"/>
      <c r="D50" s="1177"/>
      <c r="E50" s="1250" t="s">
        <v>647</v>
      </c>
      <c r="F50" s="1250"/>
      <c r="G50" s="1250"/>
    </row>
    <row r="51" spans="1:7" x14ac:dyDescent="0.25">
      <c r="A51" s="1249" t="s">
        <v>648</v>
      </c>
      <c r="B51" s="1249"/>
      <c r="C51" s="1249"/>
      <c r="D51" s="1177"/>
      <c r="E51" s="1249" t="s">
        <v>763</v>
      </c>
      <c r="F51" s="1249"/>
      <c r="G51" s="1249"/>
    </row>
    <row r="52" spans="1:7" x14ac:dyDescent="0.25">
      <c r="A52" s="1249" t="s">
        <v>645</v>
      </c>
      <c r="B52" s="1249"/>
      <c r="C52" s="1249"/>
      <c r="D52" s="1177"/>
      <c r="E52" s="1249" t="s">
        <v>764</v>
      </c>
      <c r="F52" s="1249"/>
      <c r="G52" s="1249"/>
    </row>
  </sheetData>
  <mergeCells count="52">
    <mergeCell ref="A44:C44"/>
    <mergeCell ref="E44:G44"/>
    <mergeCell ref="A45:C45"/>
    <mergeCell ref="E45:G45"/>
    <mergeCell ref="A52:C52"/>
    <mergeCell ref="E52:G52"/>
    <mergeCell ref="A50:C50"/>
    <mergeCell ref="E50:G50"/>
    <mergeCell ref="A51:C51"/>
    <mergeCell ref="E51:G51"/>
    <mergeCell ref="B24:D24"/>
    <mergeCell ref="E24:F24"/>
    <mergeCell ref="C27:D27"/>
    <mergeCell ref="C28:D28"/>
    <mergeCell ref="C36:D36"/>
    <mergeCell ref="C29:D29"/>
    <mergeCell ref="C33:D33"/>
    <mergeCell ref="C34:D34"/>
    <mergeCell ref="C35:D35"/>
    <mergeCell ref="B21:D21"/>
    <mergeCell ref="E21:F21"/>
    <mergeCell ref="B22:D22"/>
    <mergeCell ref="E22:F22"/>
    <mergeCell ref="B23:D23"/>
    <mergeCell ref="E23:F23"/>
    <mergeCell ref="A14:G14"/>
    <mergeCell ref="A16:G16"/>
    <mergeCell ref="B18:D18"/>
    <mergeCell ref="E18:F18"/>
    <mergeCell ref="B19:D19"/>
    <mergeCell ref="E19:F19"/>
    <mergeCell ref="A43:C43"/>
    <mergeCell ref="E43:G43"/>
    <mergeCell ref="B8:C8"/>
    <mergeCell ref="E8:F8"/>
    <mergeCell ref="A1:A3"/>
    <mergeCell ref="B1:F3"/>
    <mergeCell ref="B5:G5"/>
    <mergeCell ref="B7:C7"/>
    <mergeCell ref="E7:F7"/>
    <mergeCell ref="B20:D20"/>
    <mergeCell ref="E20:F20"/>
    <mergeCell ref="B9:C9"/>
    <mergeCell ref="E9:F9"/>
    <mergeCell ref="B10:C10"/>
    <mergeCell ref="E10:F10"/>
    <mergeCell ref="A12:G12"/>
    <mergeCell ref="C30:D30"/>
    <mergeCell ref="C31:D31"/>
    <mergeCell ref="C32:D32"/>
    <mergeCell ref="C37:D37"/>
    <mergeCell ref="A39:G39"/>
  </mergeCells>
  <pageMargins left="0.70866141732283472" right="0.70866141732283472" top="0.74803149606299213" bottom="0.74803149606299213" header="0.31496062992125984" footer="0.31496062992125984"/>
  <pageSetup scale="83" orientation="portrait" r:id="rId1"/>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7">
    <tabColor rgb="FF72104A"/>
  </sheetPr>
  <dimension ref="A1:AH61"/>
  <sheetViews>
    <sheetView topLeftCell="G25" zoomScale="70" zoomScaleNormal="70" workbookViewId="0">
      <selection activeCell="AD48" sqref="AD48"/>
    </sheetView>
  </sheetViews>
  <sheetFormatPr baseColWidth="10" defaultColWidth="11.44140625" defaultRowHeight="14.4" x14ac:dyDescent="0.3"/>
  <cols>
    <col min="1" max="1" width="18.44140625" style="189" customWidth="1"/>
    <col min="2" max="2" width="23.33203125" style="189" customWidth="1"/>
    <col min="3" max="3" width="32.109375" style="189" customWidth="1"/>
    <col min="4" max="4" width="23.88671875" style="189" customWidth="1"/>
    <col min="5" max="5" width="13.33203125" style="212" customWidth="1"/>
    <col min="6" max="6" width="17.88671875" style="189" customWidth="1"/>
    <col min="7" max="7" width="17.88671875" style="796" customWidth="1"/>
    <col min="8" max="8" width="17.5546875" style="189" customWidth="1"/>
    <col min="9" max="9" width="17.5546875" style="796" customWidth="1"/>
    <col min="10" max="10" width="37.44140625" style="189" customWidth="1"/>
    <col min="11" max="11" width="17.88671875" style="189" hidden="1" customWidth="1"/>
    <col min="12" max="12" width="17.5546875" style="189" hidden="1" customWidth="1"/>
    <col min="13" max="13" width="16.33203125" style="189" hidden="1" customWidth="1"/>
    <col min="14" max="14" width="17.88671875" style="189" hidden="1" customWidth="1"/>
    <col min="15" max="15" width="17.5546875" style="189" hidden="1" customWidth="1"/>
    <col min="16" max="16" width="16.33203125" style="189" hidden="1" customWidth="1"/>
    <col min="17" max="17" width="17.88671875" style="189" hidden="1" customWidth="1"/>
    <col min="18" max="18" width="17.5546875" style="189" hidden="1" customWidth="1"/>
    <col min="19" max="19" width="16.33203125" style="189" hidden="1" customWidth="1"/>
    <col min="20" max="20" width="17.88671875" style="189" hidden="1" customWidth="1"/>
    <col min="21" max="21" width="18" style="189" hidden="1" customWidth="1"/>
    <col min="22" max="22" width="16.33203125" style="189" hidden="1" customWidth="1"/>
    <col min="23" max="23" width="17.88671875" style="189" hidden="1" customWidth="1"/>
    <col min="24" max="24" width="18" style="189" hidden="1" customWidth="1"/>
    <col min="25" max="25" width="16.33203125" style="189" hidden="1" customWidth="1"/>
    <col min="26" max="26" width="17.88671875" style="796" customWidth="1"/>
    <col min="27" max="27" width="18" style="796" customWidth="1"/>
    <col min="28" max="28" width="16.33203125" style="796" customWidth="1"/>
    <col min="29" max="31" width="16.33203125" style="1055" customWidth="1"/>
    <col min="32" max="32" width="17.88671875" style="189" bestFit="1" customWidth="1"/>
    <col min="33" max="33" width="17.5546875" style="189" bestFit="1" customWidth="1"/>
    <col min="34" max="34" width="12.88671875" style="189" bestFit="1" customWidth="1"/>
    <col min="35" max="16384" width="11.44140625" style="189"/>
  </cols>
  <sheetData>
    <row r="1" spans="1:34" s="302" customFormat="1" ht="15"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9"/>
      <c r="Z1" s="792"/>
      <c r="AA1" s="792"/>
      <c r="AB1" s="792"/>
      <c r="AC1" s="1052"/>
      <c r="AD1" s="1052"/>
      <c r="AE1" s="1052"/>
      <c r="AF1" s="1303" t="s">
        <v>899</v>
      </c>
      <c r="AG1" s="1303"/>
      <c r="AH1" s="1304"/>
    </row>
    <row r="2" spans="1:34"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1"/>
      <c r="W2" s="1311"/>
      <c r="X2" s="1311"/>
      <c r="Y2" s="1312"/>
      <c r="Z2" s="793"/>
      <c r="AA2" s="793"/>
      <c r="AB2" s="793"/>
      <c r="AC2" s="1053"/>
      <c r="AD2" s="1053"/>
      <c r="AE2" s="1053"/>
      <c r="AF2" s="1305" t="s">
        <v>41</v>
      </c>
      <c r="AG2" s="1305"/>
      <c r="AH2" s="1306"/>
    </row>
    <row r="3" spans="1:34"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c r="AF3" s="1292"/>
      <c r="AG3" s="1292"/>
      <c r="AH3" s="1292"/>
    </row>
    <row r="4" spans="1:34"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c r="AF4" s="1292"/>
      <c r="AG4" s="1292"/>
      <c r="AH4" s="1292"/>
    </row>
    <row r="5" spans="1:34"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c r="AF5" s="1292"/>
      <c r="AG5" s="1292"/>
      <c r="AH5" s="1292"/>
    </row>
    <row r="6" spans="1:34"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c r="AF6" s="1292"/>
      <c r="AG6" s="1292"/>
      <c r="AH6" s="1292"/>
    </row>
    <row r="7" spans="1:34" s="302" customFormat="1" x14ac:dyDescent="0.3">
      <c r="A7" s="1291" t="s">
        <v>900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c r="AF7" s="1292"/>
      <c r="AG7" s="1292"/>
      <c r="AH7" s="1292"/>
    </row>
    <row r="8" spans="1:34" s="302" customFormat="1" ht="13.5" customHeight="1" x14ac:dyDescent="0.3">
      <c r="A8" s="1292" t="s">
        <v>2326</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c r="AF8" s="1292"/>
      <c r="AG8" s="1292"/>
      <c r="AH8" s="1292"/>
    </row>
    <row r="9" spans="1:34"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c r="AF9" s="1292"/>
      <c r="AG9" s="1292"/>
      <c r="AH9" s="1292"/>
    </row>
    <row r="10" spans="1:34" s="302" customFormat="1" ht="13.5" customHeight="1" x14ac:dyDescent="0.3">
      <c r="A10" s="1292" t="s">
        <v>901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c r="AF10" s="1292"/>
      <c r="AG10" s="1292"/>
      <c r="AH10" s="1292"/>
    </row>
    <row r="11" spans="1:34" s="302" customFormat="1" ht="13.5" customHeight="1" x14ac:dyDescent="0.3">
      <c r="A11" s="354"/>
      <c r="B11" s="1318"/>
      <c r="C11" s="1320"/>
      <c r="D11" s="1320"/>
      <c r="E11" s="1320"/>
      <c r="F11" s="1320"/>
      <c r="G11" s="1320"/>
      <c r="H11" s="1320"/>
      <c r="I11" s="1320"/>
      <c r="J11" s="1320"/>
      <c r="K11" s="1293" t="s">
        <v>46</v>
      </c>
      <c r="L11" s="1294"/>
      <c r="M11" s="1295"/>
      <c r="N11" s="1293" t="s">
        <v>47</v>
      </c>
      <c r="O11" s="1294"/>
      <c r="P11" s="1295"/>
      <c r="Q11" s="1293" t="s">
        <v>463</v>
      </c>
      <c r="R11" s="1294"/>
      <c r="S11" s="1295"/>
      <c r="T11" s="1293" t="s">
        <v>978</v>
      </c>
      <c r="U11" s="1294"/>
      <c r="V11" s="1295"/>
      <c r="W11" s="1293" t="s">
        <v>1727</v>
      </c>
      <c r="X11" s="1294"/>
      <c r="Y11" s="1295"/>
      <c r="Z11" s="1293" t="s">
        <v>2092</v>
      </c>
      <c r="AA11" s="1294"/>
      <c r="AB11" s="1295"/>
      <c r="AC11" s="1293" t="s">
        <v>2325</v>
      </c>
      <c r="AD11" s="1294"/>
      <c r="AE11" s="1295"/>
      <c r="AF11" s="1299" t="s">
        <v>49</v>
      </c>
      <c r="AG11" s="1299"/>
      <c r="AH11" s="1299"/>
    </row>
    <row r="12" spans="1:34" s="302" customFormat="1" ht="13.5" customHeight="1" x14ac:dyDescent="0.3">
      <c r="A12" s="171"/>
      <c r="B12" s="1318"/>
      <c r="C12" s="1319"/>
      <c r="D12" s="1319"/>
      <c r="E12" s="1319"/>
      <c r="F12" s="1319"/>
      <c r="G12" s="1319"/>
      <c r="H12" s="1319"/>
      <c r="I12" s="1319"/>
      <c r="J12" s="1319"/>
      <c r="K12" s="1325"/>
      <c r="L12" s="1326"/>
      <c r="M12" s="1327"/>
      <c r="N12" s="1325"/>
      <c r="O12" s="1326"/>
      <c r="P12" s="1327"/>
      <c r="Q12" s="1325"/>
      <c r="R12" s="1326"/>
      <c r="S12" s="1327"/>
      <c r="T12" s="1296"/>
      <c r="U12" s="1297"/>
      <c r="V12" s="1298"/>
      <c r="W12" s="1296"/>
      <c r="X12" s="1297"/>
      <c r="Y12" s="1298"/>
      <c r="Z12" s="1296"/>
      <c r="AA12" s="1297"/>
      <c r="AB12" s="1298"/>
      <c r="AC12" s="1296"/>
      <c r="AD12" s="1297"/>
      <c r="AE12" s="1298"/>
      <c r="AF12" s="1300"/>
      <c r="AG12" s="1300"/>
      <c r="AH12" s="1300"/>
    </row>
    <row r="13" spans="1:34" ht="28.8" x14ac:dyDescent="0.3">
      <c r="A13" s="209" t="s">
        <v>50</v>
      </c>
      <c r="B13" s="209" t="s">
        <v>51</v>
      </c>
      <c r="C13" s="209" t="s">
        <v>52</v>
      </c>
      <c r="D13" s="209" t="s">
        <v>164</v>
      </c>
      <c r="E13" s="209" t="s">
        <v>54</v>
      </c>
      <c r="F13" s="210" t="s">
        <v>55</v>
      </c>
      <c r="G13" s="821" t="s">
        <v>2007</v>
      </c>
      <c r="H13" s="209" t="s">
        <v>56</v>
      </c>
      <c r="I13" s="822" t="s">
        <v>56</v>
      </c>
      <c r="J13" s="209" t="s">
        <v>57</v>
      </c>
      <c r="K13" s="134" t="s">
        <v>54</v>
      </c>
      <c r="L13" s="135" t="s">
        <v>56</v>
      </c>
      <c r="M13" s="362" t="s">
        <v>58</v>
      </c>
      <c r="N13" s="134" t="s">
        <v>54</v>
      </c>
      <c r="O13" s="135" t="s">
        <v>56</v>
      </c>
      <c r="P13" s="362" t="s">
        <v>58</v>
      </c>
      <c r="Q13" s="134" t="s">
        <v>54</v>
      </c>
      <c r="R13" s="135" t="s">
        <v>56</v>
      </c>
      <c r="S13" s="362" t="s">
        <v>58</v>
      </c>
      <c r="T13" s="362" t="s">
        <v>54</v>
      </c>
      <c r="U13" s="362" t="s">
        <v>56</v>
      </c>
      <c r="V13" s="362" t="s">
        <v>58</v>
      </c>
      <c r="W13" s="362" t="s">
        <v>54</v>
      </c>
      <c r="X13" s="362" t="s">
        <v>56</v>
      </c>
      <c r="Y13" s="362" t="s">
        <v>58</v>
      </c>
      <c r="Z13" s="362" t="s">
        <v>54</v>
      </c>
      <c r="AA13" s="362" t="s">
        <v>56</v>
      </c>
      <c r="AB13" s="362" t="s">
        <v>58</v>
      </c>
      <c r="AC13" s="362" t="s">
        <v>54</v>
      </c>
      <c r="AD13" s="362" t="s">
        <v>56</v>
      </c>
      <c r="AE13" s="362" t="s">
        <v>58</v>
      </c>
      <c r="AF13" s="137" t="s">
        <v>54</v>
      </c>
      <c r="AG13" s="134" t="s">
        <v>56</v>
      </c>
      <c r="AH13" s="362" t="s">
        <v>58</v>
      </c>
    </row>
    <row r="14" spans="1:34" ht="30" customHeight="1" x14ac:dyDescent="0.3">
      <c r="A14" s="1314" t="s">
        <v>897</v>
      </c>
      <c r="B14" s="1314" t="s">
        <v>194</v>
      </c>
      <c r="C14" s="355" t="s">
        <v>160</v>
      </c>
      <c r="D14" s="355" t="s">
        <v>161</v>
      </c>
      <c r="E14" s="191">
        <v>32</v>
      </c>
      <c r="F14" s="192">
        <v>69644</v>
      </c>
      <c r="G14" s="32">
        <f>+ROUND(F14*1.051,0)</f>
        <v>73196</v>
      </c>
      <c r="H14" s="192">
        <f>ROUND((E14*F14),0)</f>
        <v>2228608</v>
      </c>
      <c r="I14" s="32">
        <f>+ROUND(G14*E14,0)</f>
        <v>2342272</v>
      </c>
      <c r="J14" s="1314" t="s">
        <v>902</v>
      </c>
      <c r="K14" s="303">
        <v>32</v>
      </c>
      <c r="L14" s="304">
        <f>ROUND(K14*F14,0)</f>
        <v>2228608</v>
      </c>
      <c r="M14" s="305">
        <f t="shared" ref="M14:M29" si="0">L14/H14</f>
        <v>1</v>
      </c>
      <c r="N14" s="158">
        <v>0</v>
      </c>
      <c r="O14" s="194">
        <f>ROUND(N14*F14,0)</f>
        <v>0</v>
      </c>
      <c r="P14" s="195">
        <f t="shared" ref="P14:P29" si="1">O14/H14</f>
        <v>0</v>
      </c>
      <c r="Q14" s="158">
        <v>0</v>
      </c>
      <c r="R14" s="194">
        <f>ROUND(Q14*$F$14,0)</f>
        <v>0</v>
      </c>
      <c r="S14" s="195">
        <f>R14/$H$14</f>
        <v>0</v>
      </c>
      <c r="T14" s="158">
        <v>0</v>
      </c>
      <c r="U14" s="194">
        <f>ROUND(T14*$F$14,0)</f>
        <v>0</v>
      </c>
      <c r="V14" s="195">
        <f>U14/$H$14</f>
        <v>0</v>
      </c>
      <c r="W14" s="432">
        <v>0</v>
      </c>
      <c r="X14" s="425">
        <f>ROUND(W14*$F$14,0)</f>
        <v>0</v>
      </c>
      <c r="Y14" s="426">
        <f>X14/$H$14</f>
        <v>0</v>
      </c>
      <c r="Z14" s="432">
        <v>0</v>
      </c>
      <c r="AA14" s="425">
        <f>ROUND(Z14*G14,0)</f>
        <v>0</v>
      </c>
      <c r="AB14" s="426">
        <f>AA14/H14</f>
        <v>0</v>
      </c>
      <c r="AC14" s="432">
        <v>0</v>
      </c>
      <c r="AD14" s="425">
        <f>ROUND(AC14*G14,0)</f>
        <v>0</v>
      </c>
      <c r="AE14" s="426">
        <f>AD14/I14</f>
        <v>0</v>
      </c>
      <c r="AF14" s="149">
        <f>K14+N14+Q14+T14+W14+Z14+AC14</f>
        <v>32</v>
      </c>
      <c r="AG14" s="175">
        <f>L14+O14+R14+U14+X14+AA14+AD14</f>
        <v>2228608</v>
      </c>
      <c r="AH14" s="176">
        <f>AG14/H14</f>
        <v>1</v>
      </c>
    </row>
    <row r="15" spans="1:34" x14ac:dyDescent="0.3">
      <c r="A15" s="1314"/>
      <c r="B15" s="1314"/>
      <c r="C15" s="196"/>
      <c r="D15" s="196" t="s">
        <v>162</v>
      </c>
      <c r="E15" s="197"/>
      <c r="F15" s="198"/>
      <c r="G15" s="198"/>
      <c r="H15" s="199">
        <f>H14</f>
        <v>2228608</v>
      </c>
      <c r="I15" s="199">
        <f>SUM(I14)</f>
        <v>2342272</v>
      </c>
      <c r="J15" s="1314"/>
      <c r="K15" s="198"/>
      <c r="L15" s="363">
        <f>SUM(L14)</f>
        <v>2228608</v>
      </c>
      <c r="M15" s="308">
        <f t="shared" si="0"/>
        <v>1</v>
      </c>
      <c r="N15" s="198"/>
      <c r="O15" s="363">
        <f>SUM(O14)</f>
        <v>0</v>
      </c>
      <c r="P15" s="308">
        <f t="shared" si="1"/>
        <v>0</v>
      </c>
      <c r="Q15" s="198"/>
      <c r="R15" s="363">
        <f>R14</f>
        <v>0</v>
      </c>
      <c r="S15" s="308">
        <f>R15/$H$15</f>
        <v>0</v>
      </c>
      <c r="T15" s="198"/>
      <c r="U15" s="363">
        <f>U14</f>
        <v>0</v>
      </c>
      <c r="V15" s="308">
        <f>U15/$H$15</f>
        <v>0</v>
      </c>
      <c r="W15" s="198"/>
      <c r="X15" s="363">
        <f>X14</f>
        <v>0</v>
      </c>
      <c r="Y15" s="431">
        <f>X15/$H$15</f>
        <v>0</v>
      </c>
      <c r="Z15" s="198"/>
      <c r="AA15" s="363">
        <f>AA14</f>
        <v>0</v>
      </c>
      <c r="AB15" s="431">
        <f>AA15/$H$15</f>
        <v>0</v>
      </c>
      <c r="AC15" s="198"/>
      <c r="AD15" s="363">
        <f>AD14</f>
        <v>0</v>
      </c>
      <c r="AE15" s="431">
        <f>AD15/$I$15</f>
        <v>0</v>
      </c>
      <c r="AF15" s="198"/>
      <c r="AG15" s="1078">
        <f t="shared" ref="AG15:AG37" si="2">L15+O15+R15+U15+X15+AA15+AD15</f>
        <v>2228608</v>
      </c>
      <c r="AH15" s="308">
        <f t="shared" ref="AH15:AH29" si="3">AG15/H15</f>
        <v>1</v>
      </c>
    </row>
    <row r="16" spans="1:34" ht="30" customHeight="1" x14ac:dyDescent="0.3">
      <c r="A16" s="1314" t="s">
        <v>897</v>
      </c>
      <c r="B16" s="1314" t="s">
        <v>194</v>
      </c>
      <c r="C16" s="355" t="s">
        <v>160</v>
      </c>
      <c r="D16" s="355" t="s">
        <v>161</v>
      </c>
      <c r="E16" s="191">
        <v>24</v>
      </c>
      <c r="F16" s="192">
        <v>69644</v>
      </c>
      <c r="G16" s="32">
        <f>+ROUND(F16*1.051,0)</f>
        <v>73196</v>
      </c>
      <c r="H16" s="192">
        <f>ROUND((E16*F16),0)</f>
        <v>1671456</v>
      </c>
      <c r="I16" s="32">
        <f>+ROUND(G16*E16,0)</f>
        <v>1756704</v>
      </c>
      <c r="J16" s="1351" t="s">
        <v>903</v>
      </c>
      <c r="K16" s="303">
        <v>24</v>
      </c>
      <c r="L16" s="304">
        <f>ROUND(K16*F16,0)</f>
        <v>1671456</v>
      </c>
      <c r="M16" s="305">
        <f t="shared" si="0"/>
        <v>1</v>
      </c>
      <c r="N16" s="158">
        <v>0</v>
      </c>
      <c r="O16" s="194">
        <f>ROUND(N16*F16,0)</f>
        <v>0</v>
      </c>
      <c r="P16" s="195">
        <f t="shared" si="1"/>
        <v>0</v>
      </c>
      <c r="Q16" s="158">
        <v>0</v>
      </c>
      <c r="R16" s="194">
        <f>ROUND(Q16*$F$16,0)</f>
        <v>0</v>
      </c>
      <c r="S16" s="195">
        <f>R16/$H$16</f>
        <v>0</v>
      </c>
      <c r="T16" s="158">
        <v>0</v>
      </c>
      <c r="U16" s="194">
        <f>ROUND(T16*$F$16,0)</f>
        <v>0</v>
      </c>
      <c r="V16" s="195">
        <f>U16/$H$16</f>
        <v>0</v>
      </c>
      <c r="W16" s="432">
        <v>0</v>
      </c>
      <c r="X16" s="425">
        <f>ROUND(W16*$F$16,0)</f>
        <v>0</v>
      </c>
      <c r="Y16" s="426">
        <f>X16/$H$16</f>
        <v>0</v>
      </c>
      <c r="Z16" s="432">
        <v>0</v>
      </c>
      <c r="AA16" s="425">
        <f>ROUND(Z16*G16,0)</f>
        <v>0</v>
      </c>
      <c r="AB16" s="426">
        <f>AA16/H16</f>
        <v>0</v>
      </c>
      <c r="AC16" s="432">
        <v>0</v>
      </c>
      <c r="AD16" s="425">
        <f>ROUND(AC16*G16,0)</f>
        <v>0</v>
      </c>
      <c r="AE16" s="426">
        <f>AD16/I16</f>
        <v>0</v>
      </c>
      <c r="AF16" s="416">
        <f>K16+N16+Q16+T16+W16+Z16+AC16</f>
        <v>24</v>
      </c>
      <c r="AG16" s="175">
        <f t="shared" si="2"/>
        <v>1671456</v>
      </c>
      <c r="AH16" s="176">
        <f t="shared" si="3"/>
        <v>1</v>
      </c>
    </row>
    <row r="17" spans="1:34" x14ac:dyDescent="0.3">
      <c r="A17" s="1314"/>
      <c r="B17" s="1314"/>
      <c r="C17" s="196"/>
      <c r="D17" s="196" t="s">
        <v>162</v>
      </c>
      <c r="E17" s="197"/>
      <c r="F17" s="198"/>
      <c r="G17" s="198"/>
      <c r="H17" s="199">
        <f>H16</f>
        <v>1671456</v>
      </c>
      <c r="I17" s="199">
        <f>SUM(I16)</f>
        <v>1756704</v>
      </c>
      <c r="J17" s="1330"/>
      <c r="K17" s="198"/>
      <c r="L17" s="363">
        <f>SUM(L16)</f>
        <v>1671456</v>
      </c>
      <c r="M17" s="308">
        <f t="shared" si="0"/>
        <v>1</v>
      </c>
      <c r="N17" s="198"/>
      <c r="O17" s="363">
        <f>SUM(O16)</f>
        <v>0</v>
      </c>
      <c r="P17" s="308">
        <f t="shared" si="1"/>
        <v>0</v>
      </c>
      <c r="Q17" s="198"/>
      <c r="R17" s="363">
        <f>R16</f>
        <v>0</v>
      </c>
      <c r="S17" s="308">
        <f>R17/$H$17</f>
        <v>0</v>
      </c>
      <c r="T17" s="198"/>
      <c r="U17" s="363">
        <f>U16</f>
        <v>0</v>
      </c>
      <c r="V17" s="308">
        <f>U17/$H$17</f>
        <v>0</v>
      </c>
      <c r="W17" s="198"/>
      <c r="X17" s="363">
        <f>X16</f>
        <v>0</v>
      </c>
      <c r="Y17" s="431">
        <f>X17/$H$17</f>
        <v>0</v>
      </c>
      <c r="Z17" s="198"/>
      <c r="AA17" s="363">
        <f>AA16</f>
        <v>0</v>
      </c>
      <c r="AB17" s="431">
        <f>AA17/$H$17</f>
        <v>0</v>
      </c>
      <c r="AC17" s="198"/>
      <c r="AD17" s="363">
        <f>AD16</f>
        <v>0</v>
      </c>
      <c r="AE17" s="431">
        <f>AD17/$I$17</f>
        <v>0</v>
      </c>
      <c r="AF17" s="198"/>
      <c r="AG17" s="1078">
        <f t="shared" si="2"/>
        <v>1671456</v>
      </c>
      <c r="AH17" s="308">
        <f t="shared" si="3"/>
        <v>1</v>
      </c>
    </row>
    <row r="18" spans="1:34" ht="30" customHeight="1" x14ac:dyDescent="0.3">
      <c r="A18" s="1315" t="s">
        <v>897</v>
      </c>
      <c r="B18" s="1314" t="s">
        <v>194</v>
      </c>
      <c r="C18" s="355" t="s">
        <v>160</v>
      </c>
      <c r="D18" s="355" t="s">
        <v>161</v>
      </c>
      <c r="E18" s="191">
        <v>4</v>
      </c>
      <c r="F18" s="192">
        <v>69644</v>
      </c>
      <c r="G18" s="32">
        <f>+ROUND(F18*1.051,0)</f>
        <v>73196</v>
      </c>
      <c r="H18" s="192">
        <f>ROUND((E18*F18),0)</f>
        <v>278576</v>
      </c>
      <c r="I18" s="32">
        <f>+ROUND(G18*E18,0)</f>
        <v>292784</v>
      </c>
      <c r="J18" s="1351" t="s">
        <v>904</v>
      </c>
      <c r="K18" s="149">
        <v>0</v>
      </c>
      <c r="L18" s="175">
        <f>ROUND(K18*F18,0)</f>
        <v>0</v>
      </c>
      <c r="M18" s="176">
        <f t="shared" si="0"/>
        <v>0</v>
      </c>
      <c r="N18" s="364">
        <v>4</v>
      </c>
      <c r="O18" s="365">
        <f>ROUND(N18*F18,0)</f>
        <v>278576</v>
      </c>
      <c r="P18" s="366">
        <f t="shared" si="1"/>
        <v>1</v>
      </c>
      <c r="Q18" s="158">
        <v>0</v>
      </c>
      <c r="R18" s="194">
        <f>ROUND(Q18*$F$18,0)</f>
        <v>0</v>
      </c>
      <c r="S18" s="195">
        <f>R18/$H$18</f>
        <v>0</v>
      </c>
      <c r="T18" s="158">
        <v>0</v>
      </c>
      <c r="U18" s="194">
        <f>ROUND(T18*$F$18,0)</f>
        <v>0</v>
      </c>
      <c r="V18" s="195">
        <f>U18/$H$18</f>
        <v>0</v>
      </c>
      <c r="W18" s="432">
        <v>0</v>
      </c>
      <c r="X18" s="425">
        <f>ROUND(W18*$F$18,0)</f>
        <v>0</v>
      </c>
      <c r="Y18" s="426">
        <f>X18/$H$18</f>
        <v>0</v>
      </c>
      <c r="Z18" s="432">
        <v>0</v>
      </c>
      <c r="AA18" s="425">
        <f>ROUND(Z18*G18,0)</f>
        <v>0</v>
      </c>
      <c r="AB18" s="426">
        <f>AA18/H18</f>
        <v>0</v>
      </c>
      <c r="AC18" s="432">
        <v>0</v>
      </c>
      <c r="AD18" s="425">
        <f>ROUND(AC18*G18,0)</f>
        <v>0</v>
      </c>
      <c r="AE18" s="426">
        <f>AD18/I18</f>
        <v>0</v>
      </c>
      <c r="AF18" s="416">
        <f>K18+N18+Q18+T18+W18+Z18+AC18</f>
        <v>4</v>
      </c>
      <c r="AG18" s="175">
        <f t="shared" si="2"/>
        <v>278576</v>
      </c>
      <c r="AH18" s="176">
        <f t="shared" si="3"/>
        <v>1</v>
      </c>
    </row>
    <row r="19" spans="1:34" x14ac:dyDescent="0.3">
      <c r="A19" s="1314"/>
      <c r="B19" s="1314"/>
      <c r="C19" s="196"/>
      <c r="D19" s="196" t="s">
        <v>162</v>
      </c>
      <c r="E19" s="197"/>
      <c r="F19" s="198"/>
      <c r="G19" s="198"/>
      <c r="H19" s="199">
        <f>H18</f>
        <v>278576</v>
      </c>
      <c r="I19" s="199">
        <f>SUM(I18)</f>
        <v>292784</v>
      </c>
      <c r="J19" s="1330"/>
      <c r="K19" s="198"/>
      <c r="L19" s="363">
        <f>SUM(L18)</f>
        <v>0</v>
      </c>
      <c r="M19" s="308">
        <f t="shared" si="0"/>
        <v>0</v>
      </c>
      <c r="N19" s="198"/>
      <c r="O19" s="363">
        <f>SUM(O18)</f>
        <v>278576</v>
      </c>
      <c r="P19" s="308">
        <f t="shared" si="1"/>
        <v>1</v>
      </c>
      <c r="Q19" s="198"/>
      <c r="R19" s="363">
        <f>R18</f>
        <v>0</v>
      </c>
      <c r="S19" s="308">
        <f>R19/$H$19</f>
        <v>0</v>
      </c>
      <c r="T19" s="198"/>
      <c r="U19" s="363">
        <f>U18</f>
        <v>0</v>
      </c>
      <c r="V19" s="308">
        <f>U19/$H$19</f>
        <v>0</v>
      </c>
      <c r="W19" s="198"/>
      <c r="X19" s="363">
        <f>X18</f>
        <v>0</v>
      </c>
      <c r="Y19" s="431">
        <f>X19/$H$19</f>
        <v>0</v>
      </c>
      <c r="Z19" s="198"/>
      <c r="AA19" s="363">
        <f>AA18</f>
        <v>0</v>
      </c>
      <c r="AB19" s="431">
        <f>AA19/$H$19</f>
        <v>0</v>
      </c>
      <c r="AC19" s="198"/>
      <c r="AD19" s="363">
        <f>AD18</f>
        <v>0</v>
      </c>
      <c r="AE19" s="431">
        <f>AD19/$I$19</f>
        <v>0</v>
      </c>
      <c r="AF19" s="198"/>
      <c r="AG19" s="1078">
        <f t="shared" si="2"/>
        <v>278576</v>
      </c>
      <c r="AH19" s="308">
        <f t="shared" si="3"/>
        <v>1</v>
      </c>
    </row>
    <row r="20" spans="1:34" ht="43.2" x14ac:dyDescent="0.3">
      <c r="A20" s="1314" t="s">
        <v>897</v>
      </c>
      <c r="B20" s="1314" t="s">
        <v>893</v>
      </c>
      <c r="C20" s="355" t="s">
        <v>148</v>
      </c>
      <c r="D20" s="355" t="s">
        <v>894</v>
      </c>
      <c r="E20" s="191">
        <v>1</v>
      </c>
      <c r="F20" s="192">
        <v>4039345</v>
      </c>
      <c r="G20" s="32">
        <f>+ROUND(F20*1.051,0)</f>
        <v>4245352</v>
      </c>
      <c r="H20" s="192">
        <f>ROUND((E20*F20),0)</f>
        <v>4039345</v>
      </c>
      <c r="I20" s="32">
        <f>+ROUND(G20*E20,0)</f>
        <v>4245352</v>
      </c>
      <c r="J20" s="1315" t="s">
        <v>905</v>
      </c>
      <c r="K20" s="149">
        <v>0</v>
      </c>
      <c r="L20" s="175">
        <f>ROUND(K20*F20,0)</f>
        <v>0</v>
      </c>
      <c r="M20" s="176">
        <f t="shared" si="0"/>
        <v>0</v>
      </c>
      <c r="N20" s="158">
        <v>0</v>
      </c>
      <c r="O20" s="194">
        <f>ROUND(N20*F20,0)</f>
        <v>0</v>
      </c>
      <c r="P20" s="195">
        <f t="shared" si="1"/>
        <v>0</v>
      </c>
      <c r="Q20" s="158">
        <v>0</v>
      </c>
      <c r="R20" s="194">
        <f>ROUND(Q20*$F$20,0)</f>
        <v>0</v>
      </c>
      <c r="S20" s="195">
        <f>R20/$H$20</f>
        <v>0</v>
      </c>
      <c r="T20" s="433">
        <v>0.5</v>
      </c>
      <c r="U20" s="304">
        <f>ROUND(T20*$F$20,0)</f>
        <v>2019673</v>
      </c>
      <c r="V20" s="305">
        <f>U20/$H$20</f>
        <v>0.50000012378244496</v>
      </c>
      <c r="W20" s="433">
        <v>0.5</v>
      </c>
      <c r="X20" s="429">
        <f>ROUND(W20*$F$20,0)</f>
        <v>2019673</v>
      </c>
      <c r="Y20" s="430">
        <f>X20/$H$20</f>
        <v>0.50000012378244496</v>
      </c>
      <c r="Z20" s="432">
        <v>0</v>
      </c>
      <c r="AA20" s="425">
        <f>ROUND(Z20*G20,0)</f>
        <v>0</v>
      </c>
      <c r="AB20" s="426">
        <f>AA20/H20</f>
        <v>0</v>
      </c>
      <c r="AC20" s="432">
        <v>0</v>
      </c>
      <c r="AD20" s="425">
        <f>ROUND(AC20*G20,0)</f>
        <v>0</v>
      </c>
      <c r="AE20" s="426">
        <f>AD20/I20</f>
        <v>0</v>
      </c>
      <c r="AF20" s="416">
        <f>K20+N20+Q20+T20+W20+Z20+AC20</f>
        <v>1</v>
      </c>
      <c r="AG20" s="175">
        <f t="shared" si="2"/>
        <v>4039346</v>
      </c>
      <c r="AH20" s="176">
        <f t="shared" si="3"/>
        <v>1.0000002475648899</v>
      </c>
    </row>
    <row r="21" spans="1:34" x14ac:dyDescent="0.3">
      <c r="A21" s="1314"/>
      <c r="B21" s="1314"/>
      <c r="C21" s="196"/>
      <c r="D21" s="196" t="s">
        <v>895</v>
      </c>
      <c r="E21" s="197"/>
      <c r="F21" s="198"/>
      <c r="G21" s="198"/>
      <c r="H21" s="199">
        <f>H20</f>
        <v>4039345</v>
      </c>
      <c r="I21" s="199">
        <f>SUM(I20)</f>
        <v>4245352</v>
      </c>
      <c r="J21" s="1314"/>
      <c r="K21" s="198"/>
      <c r="L21" s="363">
        <f>SUM(L20)</f>
        <v>0</v>
      </c>
      <c r="M21" s="308">
        <f t="shared" si="0"/>
        <v>0</v>
      </c>
      <c r="N21" s="198"/>
      <c r="O21" s="363">
        <f>SUM(O20)</f>
        <v>0</v>
      </c>
      <c r="P21" s="308">
        <f t="shared" si="1"/>
        <v>0</v>
      </c>
      <c r="Q21" s="198"/>
      <c r="R21" s="363">
        <f>R20</f>
        <v>0</v>
      </c>
      <c r="S21" s="308">
        <f>R21/$H$21</f>
        <v>0</v>
      </c>
      <c r="T21" s="198"/>
      <c r="U21" s="363">
        <f>U20</f>
        <v>2019673</v>
      </c>
      <c r="V21" s="308">
        <f>U21/$H$21</f>
        <v>0.50000012378244496</v>
      </c>
      <c r="W21" s="198"/>
      <c r="X21" s="363">
        <f>X20</f>
        <v>2019673</v>
      </c>
      <c r="Y21" s="431">
        <f>X21/$H$21</f>
        <v>0.50000012378244496</v>
      </c>
      <c r="Z21" s="198"/>
      <c r="AA21" s="363">
        <f>AA20</f>
        <v>0</v>
      </c>
      <c r="AB21" s="431">
        <f>AA21/$H$21</f>
        <v>0</v>
      </c>
      <c r="AC21" s="198"/>
      <c r="AD21" s="363">
        <f>AD20</f>
        <v>0</v>
      </c>
      <c r="AE21" s="431">
        <f>AD21/$I$21</f>
        <v>0</v>
      </c>
      <c r="AF21" s="198"/>
      <c r="AG21" s="1078">
        <f t="shared" si="2"/>
        <v>4039346</v>
      </c>
      <c r="AH21" s="308">
        <f t="shared" si="3"/>
        <v>1.0000002475648899</v>
      </c>
    </row>
    <row r="22" spans="1:34" ht="30" customHeight="1" x14ac:dyDescent="0.3">
      <c r="A22" s="1314" t="s">
        <v>285</v>
      </c>
      <c r="B22" s="1350" t="s">
        <v>906</v>
      </c>
      <c r="C22" s="355" t="s">
        <v>81</v>
      </c>
      <c r="D22" s="355" t="s">
        <v>907</v>
      </c>
      <c r="E22" s="191">
        <v>1</v>
      </c>
      <c r="F22" s="192">
        <v>4074167</v>
      </c>
      <c r="G22" s="32">
        <f t="shared" ref="G22:G24" si="4">+ROUND(F22*1.051,0)</f>
        <v>4281950</v>
      </c>
      <c r="H22" s="192">
        <f>ROUND((E22*F22),0)</f>
        <v>4074167</v>
      </c>
      <c r="I22" s="32">
        <f>+ROUND(G22*E22,0)</f>
        <v>4281950</v>
      </c>
      <c r="J22" s="1314" t="s">
        <v>908</v>
      </c>
      <c r="K22" s="149">
        <v>0</v>
      </c>
      <c r="L22" s="175">
        <f>ROUND(K22*F22,0)</f>
        <v>0</v>
      </c>
      <c r="M22" s="176">
        <f t="shared" si="0"/>
        <v>0</v>
      </c>
      <c r="N22" s="158">
        <v>0</v>
      </c>
      <c r="O22" s="194">
        <f>ROUND(N22*F22,0)</f>
        <v>0</v>
      </c>
      <c r="P22" s="195">
        <f t="shared" si="1"/>
        <v>0</v>
      </c>
      <c r="Q22" s="303">
        <v>0.3</v>
      </c>
      <c r="R22" s="304">
        <f>ROUND(Q22*$F$22,0)</f>
        <v>1222250</v>
      </c>
      <c r="S22" s="305">
        <f>R22/$H$22</f>
        <v>0.29999997545510532</v>
      </c>
      <c r="T22" s="158">
        <v>0</v>
      </c>
      <c r="U22" s="194">
        <f>ROUND(T22*$F$22,0)</f>
        <v>0</v>
      </c>
      <c r="V22" s="195">
        <f>U22/$H$22</f>
        <v>0</v>
      </c>
      <c r="W22" s="432">
        <v>0</v>
      </c>
      <c r="X22" s="425">
        <f>ROUND(W22*$F$22,0)</f>
        <v>0</v>
      </c>
      <c r="Y22" s="426">
        <f>X22/$H$22</f>
        <v>0</v>
      </c>
      <c r="Z22" s="433">
        <v>0.7</v>
      </c>
      <c r="AA22" s="429">
        <f t="shared" ref="AA22:AA24" si="5">ROUND(Z22*G22,0)</f>
        <v>2997365</v>
      </c>
      <c r="AB22" s="430">
        <f>AA22/H22</f>
        <v>0.73570008298628897</v>
      </c>
      <c r="AC22" s="432">
        <v>0</v>
      </c>
      <c r="AD22" s="425">
        <f>ROUND(AC22*G22,0)</f>
        <v>0</v>
      </c>
      <c r="AE22" s="426">
        <f>AD22/I22</f>
        <v>0</v>
      </c>
      <c r="AF22" s="416">
        <f>K22+N22+Q22+T22+W22+Z22+AC22</f>
        <v>1</v>
      </c>
      <c r="AG22" s="175">
        <f t="shared" si="2"/>
        <v>4219615</v>
      </c>
      <c r="AH22" s="176">
        <f t="shared" si="3"/>
        <v>1.0357000584413942</v>
      </c>
    </row>
    <row r="23" spans="1:34" ht="28.8" x14ac:dyDescent="0.3">
      <c r="A23" s="1314"/>
      <c r="B23" s="1350"/>
      <c r="C23" s="355" t="s">
        <v>83</v>
      </c>
      <c r="D23" s="355" t="s">
        <v>909</v>
      </c>
      <c r="E23" s="191">
        <v>1</v>
      </c>
      <c r="F23" s="192">
        <v>4039345</v>
      </c>
      <c r="G23" s="32">
        <f t="shared" si="4"/>
        <v>4245352</v>
      </c>
      <c r="H23" s="192">
        <f>ROUND((E23*F23),0)</f>
        <v>4039345</v>
      </c>
      <c r="I23" s="32">
        <f t="shared" ref="I23:I24" si="6">+ROUND(G23*E23,0)</f>
        <v>4245352</v>
      </c>
      <c r="J23" s="1314"/>
      <c r="K23" s="149">
        <v>0</v>
      </c>
      <c r="L23" s="175">
        <f>ROUND(K23*F23,0)</f>
        <v>0</v>
      </c>
      <c r="M23" s="176">
        <f t="shared" si="0"/>
        <v>0</v>
      </c>
      <c r="N23" s="303">
        <v>0.7</v>
      </c>
      <c r="O23" s="304">
        <f>ROUND(N23*F23,0)</f>
        <v>2827542</v>
      </c>
      <c r="P23" s="305">
        <f t="shared" si="1"/>
        <v>0.70000012378244492</v>
      </c>
      <c r="Q23" s="303">
        <v>0.3</v>
      </c>
      <c r="R23" s="304">
        <f>ROUND(Q23*$F$23,0)</f>
        <v>1211804</v>
      </c>
      <c r="S23" s="305">
        <f>R23/$H$23</f>
        <v>0.30000012378244495</v>
      </c>
      <c r="T23" s="158">
        <v>0</v>
      </c>
      <c r="U23" s="194">
        <f>ROUND(T23*$F$23,0)</f>
        <v>0</v>
      </c>
      <c r="V23" s="195">
        <f>U23/$H$23</f>
        <v>0</v>
      </c>
      <c r="W23" s="432">
        <v>0</v>
      </c>
      <c r="X23" s="425">
        <f>ROUND(W23*$F$23,0)</f>
        <v>0</v>
      </c>
      <c r="Y23" s="426">
        <f>X23/$H$23</f>
        <v>0</v>
      </c>
      <c r="Z23" s="432">
        <v>0</v>
      </c>
      <c r="AA23" s="425">
        <f t="shared" si="5"/>
        <v>0</v>
      </c>
      <c r="AB23" s="426">
        <f t="shared" ref="AB23:AB31" si="7">AA23/H23</f>
        <v>0</v>
      </c>
      <c r="AC23" s="432">
        <v>0</v>
      </c>
      <c r="AD23" s="425">
        <f t="shared" ref="AD23" si="8">ROUND(AC23*G23,0)</f>
        <v>0</v>
      </c>
      <c r="AE23" s="426">
        <f t="shared" ref="AE23:AE24" si="9">AD23/I23</f>
        <v>0</v>
      </c>
      <c r="AF23" s="416">
        <f t="shared" ref="AF23:AF24" si="10">K23+N23+Q23+T23+W23+Z23+AC23</f>
        <v>1</v>
      </c>
      <c r="AG23" s="175">
        <f t="shared" si="2"/>
        <v>4039346</v>
      </c>
      <c r="AH23" s="176">
        <f t="shared" si="3"/>
        <v>1.0000002475648899</v>
      </c>
    </row>
    <row r="24" spans="1:34" ht="28.8" x14ac:dyDescent="0.3">
      <c r="A24" s="1314"/>
      <c r="B24" s="1350"/>
      <c r="C24" s="355" t="s">
        <v>61</v>
      </c>
      <c r="D24" s="355" t="s">
        <v>910</v>
      </c>
      <c r="E24" s="191">
        <v>1</v>
      </c>
      <c r="F24" s="192">
        <v>2576823</v>
      </c>
      <c r="G24" s="32">
        <f t="shared" si="4"/>
        <v>2708241</v>
      </c>
      <c r="H24" s="192">
        <f>ROUND((E24*F24),0)</f>
        <v>2576823</v>
      </c>
      <c r="I24" s="32">
        <f t="shared" si="6"/>
        <v>2708241</v>
      </c>
      <c r="J24" s="1314"/>
      <c r="K24" s="149">
        <v>0</v>
      </c>
      <c r="L24" s="175">
        <f>ROUND(K24*F24,0)</f>
        <v>0</v>
      </c>
      <c r="M24" s="176">
        <f t="shared" si="0"/>
        <v>0</v>
      </c>
      <c r="N24" s="303">
        <v>1</v>
      </c>
      <c r="O24" s="304">
        <f>ROUND(N24*F24,0)</f>
        <v>2576823</v>
      </c>
      <c r="P24" s="305">
        <f t="shared" si="1"/>
        <v>1</v>
      </c>
      <c r="Q24" s="158">
        <v>0</v>
      </c>
      <c r="R24" s="194">
        <f>ROUND(Q24*$F$24,0)</f>
        <v>0</v>
      </c>
      <c r="S24" s="195">
        <f>R24/$H$24</f>
        <v>0</v>
      </c>
      <c r="T24" s="158">
        <v>0</v>
      </c>
      <c r="U24" s="194">
        <f>ROUND(T24*$F$24,0)</f>
        <v>0</v>
      </c>
      <c r="V24" s="195">
        <f>U24/$H$24</f>
        <v>0</v>
      </c>
      <c r="W24" s="432">
        <v>0</v>
      </c>
      <c r="X24" s="425">
        <f>ROUND(W24*$F$24,0)</f>
        <v>0</v>
      </c>
      <c r="Y24" s="426">
        <f>X24/$H$24</f>
        <v>0</v>
      </c>
      <c r="Z24" s="432">
        <v>0</v>
      </c>
      <c r="AA24" s="425">
        <f t="shared" si="5"/>
        <v>0</v>
      </c>
      <c r="AB24" s="426">
        <f t="shared" si="7"/>
        <v>0</v>
      </c>
      <c r="AC24" s="432">
        <v>0</v>
      </c>
      <c r="AD24" s="425">
        <f>ROUND(AC24*G24,0)</f>
        <v>0</v>
      </c>
      <c r="AE24" s="426">
        <f t="shared" si="9"/>
        <v>0</v>
      </c>
      <c r="AF24" s="416">
        <f t="shared" si="10"/>
        <v>1</v>
      </c>
      <c r="AG24" s="175">
        <f t="shared" si="2"/>
        <v>2576823</v>
      </c>
      <c r="AH24" s="176">
        <f>AG24/H24</f>
        <v>1</v>
      </c>
    </row>
    <row r="25" spans="1:34" x14ac:dyDescent="0.3">
      <c r="A25" s="1314"/>
      <c r="B25" s="1350"/>
      <c r="C25" s="196"/>
      <c r="D25" s="196" t="s">
        <v>265</v>
      </c>
      <c r="E25" s="197"/>
      <c r="F25" s="198"/>
      <c r="G25" s="198"/>
      <c r="H25" s="199">
        <f>SUM(H22:H24)</f>
        <v>10690335</v>
      </c>
      <c r="I25" s="199">
        <f>SUM(I22:I24)</f>
        <v>11235543</v>
      </c>
      <c r="J25" s="1314"/>
      <c r="K25" s="198"/>
      <c r="L25" s="363">
        <f>SUM(L22:L24)</f>
        <v>0</v>
      </c>
      <c r="M25" s="308">
        <f t="shared" si="0"/>
        <v>0</v>
      </c>
      <c r="N25" s="198"/>
      <c r="O25" s="363">
        <f>SUM(O22:O24)</f>
        <v>5404365</v>
      </c>
      <c r="P25" s="308">
        <f t="shared" si="1"/>
        <v>0.50553747847939279</v>
      </c>
      <c r="Q25" s="198"/>
      <c r="R25" s="363">
        <f>SUM(R22:R24)</f>
        <v>2434054</v>
      </c>
      <c r="S25" s="308">
        <f>R25/$H$25</f>
        <v>0.22768734562574514</v>
      </c>
      <c r="T25" s="198"/>
      <c r="U25" s="363">
        <f>SUM(U22:U24)</f>
        <v>0</v>
      </c>
      <c r="V25" s="308">
        <f>U25/$H$25</f>
        <v>0</v>
      </c>
      <c r="W25" s="198"/>
      <c r="X25" s="363">
        <f>SUM(X22:X24)</f>
        <v>0</v>
      </c>
      <c r="Y25" s="431">
        <f>X25/$H$25</f>
        <v>0</v>
      </c>
      <c r="Z25" s="198"/>
      <c r="AA25" s="363">
        <f>SUM(AA22:AA24)</f>
        <v>2997365</v>
      </c>
      <c r="AB25" s="431">
        <f>AA25/$H$25</f>
        <v>0.2803808299739905</v>
      </c>
      <c r="AC25" s="198"/>
      <c r="AD25" s="363">
        <f>SUM(AD22:AD24)</f>
        <v>0</v>
      </c>
      <c r="AE25" s="431">
        <f>AD25/$I$25</f>
        <v>0</v>
      </c>
      <c r="AF25" s="198"/>
      <c r="AG25" s="1078">
        <f t="shared" si="2"/>
        <v>10835784</v>
      </c>
      <c r="AH25" s="308">
        <f>AG25/H25</f>
        <v>1.0136056540791285</v>
      </c>
    </row>
    <row r="26" spans="1:34" ht="30" customHeight="1" x14ac:dyDescent="0.3">
      <c r="A26" s="1314" t="s">
        <v>285</v>
      </c>
      <c r="B26" s="1314" t="s">
        <v>293</v>
      </c>
      <c r="C26" s="355" t="s">
        <v>81</v>
      </c>
      <c r="D26" s="355" t="s">
        <v>294</v>
      </c>
      <c r="E26" s="191">
        <v>1</v>
      </c>
      <c r="F26" s="192">
        <v>1323233</v>
      </c>
      <c r="G26" s="32">
        <f t="shared" ref="G26:G28" si="11">+ROUND(F26*1.051,0)</f>
        <v>1390718</v>
      </c>
      <c r="H26" s="192">
        <f>ROUND((E26*F26),0)</f>
        <v>1323233</v>
      </c>
      <c r="I26" s="32">
        <f t="shared" ref="I26:I28" si="12">+ROUND(G26*E26,0)</f>
        <v>1390718</v>
      </c>
      <c r="J26" s="1314" t="s">
        <v>911</v>
      </c>
      <c r="K26" s="303">
        <v>0.7</v>
      </c>
      <c r="L26" s="304">
        <f>ROUND(K26*F26,0)</f>
        <v>926263</v>
      </c>
      <c r="M26" s="305">
        <f t="shared" si="0"/>
        <v>0.69999992442751957</v>
      </c>
      <c r="N26" s="158">
        <v>0</v>
      </c>
      <c r="O26" s="194">
        <f>ROUND(N26*F26,0)</f>
        <v>0</v>
      </c>
      <c r="P26" s="195">
        <f t="shared" si="1"/>
        <v>0</v>
      </c>
      <c r="Q26" s="303">
        <v>0.3</v>
      </c>
      <c r="R26" s="304">
        <f>ROUND(Q26*$F$26,0)</f>
        <v>396970</v>
      </c>
      <c r="S26" s="305">
        <f>R26/$H$26</f>
        <v>0.30000007557248043</v>
      </c>
      <c r="T26" s="158">
        <v>0</v>
      </c>
      <c r="U26" s="194">
        <f>ROUND(T26*$F$26,0)</f>
        <v>0</v>
      </c>
      <c r="V26" s="195">
        <f>U26/$H$26</f>
        <v>0</v>
      </c>
      <c r="W26" s="432">
        <v>0</v>
      </c>
      <c r="X26" s="425">
        <f>ROUND(W26*$F$26,0)</f>
        <v>0</v>
      </c>
      <c r="Y26" s="426">
        <f>X26/$H$26</f>
        <v>0</v>
      </c>
      <c r="Z26" s="432">
        <v>0</v>
      </c>
      <c r="AA26" s="425">
        <f t="shared" ref="AA26:AA28" si="13">ROUND(Z26*G26,0)</f>
        <v>0</v>
      </c>
      <c r="AB26" s="426">
        <f t="shared" si="7"/>
        <v>0</v>
      </c>
      <c r="AC26" s="432">
        <v>0</v>
      </c>
      <c r="AD26" s="425">
        <f>ROUND(AC26*G26,0)</f>
        <v>0</v>
      </c>
      <c r="AE26" s="426">
        <f>AD26/I26</f>
        <v>0</v>
      </c>
      <c r="AF26" s="416">
        <f>K26+N26+Q26+T26+W26+Z26+AC26</f>
        <v>1</v>
      </c>
      <c r="AG26" s="175">
        <f t="shared" si="2"/>
        <v>1323233</v>
      </c>
      <c r="AH26" s="176">
        <f t="shared" si="3"/>
        <v>1</v>
      </c>
    </row>
    <row r="27" spans="1:34" ht="28.8" x14ac:dyDescent="0.3">
      <c r="A27" s="1314"/>
      <c r="B27" s="1314"/>
      <c r="C27" s="355" t="s">
        <v>83</v>
      </c>
      <c r="D27" s="355" t="s">
        <v>296</v>
      </c>
      <c r="E27" s="191">
        <v>1</v>
      </c>
      <c r="F27" s="192">
        <v>1845563</v>
      </c>
      <c r="G27" s="32">
        <f t="shared" si="11"/>
        <v>1939687</v>
      </c>
      <c r="H27" s="192">
        <f>ROUND((E27*F27),0)</f>
        <v>1845563</v>
      </c>
      <c r="I27" s="32">
        <f t="shared" si="12"/>
        <v>1939687</v>
      </c>
      <c r="J27" s="1314"/>
      <c r="K27" s="149">
        <v>0</v>
      </c>
      <c r="L27" s="175">
        <f>ROUND(K27*F27,0)</f>
        <v>0</v>
      </c>
      <c r="M27" s="176">
        <f t="shared" si="0"/>
        <v>0</v>
      </c>
      <c r="N27" s="303">
        <v>0.7</v>
      </c>
      <c r="O27" s="304">
        <f>ROUND(N27*F27,0)</f>
        <v>1291894</v>
      </c>
      <c r="P27" s="305">
        <f t="shared" si="1"/>
        <v>0.69999994581599223</v>
      </c>
      <c r="Q27" s="303">
        <v>0.3</v>
      </c>
      <c r="R27" s="304">
        <f>ROUND(Q27*$F$27,0)</f>
        <v>553669</v>
      </c>
      <c r="S27" s="305">
        <f>R27/$H$27</f>
        <v>0.30000005418400782</v>
      </c>
      <c r="T27" s="158">
        <v>0</v>
      </c>
      <c r="U27" s="194">
        <f>ROUND(T27*$F$27,0)</f>
        <v>0</v>
      </c>
      <c r="V27" s="195">
        <f>U27/$H$27</f>
        <v>0</v>
      </c>
      <c r="W27" s="432">
        <v>0</v>
      </c>
      <c r="X27" s="425">
        <f>ROUND(W27*$F$27,0)</f>
        <v>0</v>
      </c>
      <c r="Y27" s="426">
        <f>X27/$H$27</f>
        <v>0</v>
      </c>
      <c r="Z27" s="432">
        <v>0</v>
      </c>
      <c r="AA27" s="425">
        <f>ROUND(Z27*G27,0)</f>
        <v>0</v>
      </c>
      <c r="AB27" s="426">
        <f t="shared" si="7"/>
        <v>0</v>
      </c>
      <c r="AC27" s="432">
        <v>0</v>
      </c>
      <c r="AD27" s="425">
        <f t="shared" ref="AD27:AD28" si="14">ROUND(AC27*G27,0)</f>
        <v>0</v>
      </c>
      <c r="AE27" s="426">
        <f t="shared" ref="AE27:AE28" si="15">AD27/I27</f>
        <v>0</v>
      </c>
      <c r="AF27" s="416">
        <f t="shared" ref="AF27:AF28" si="16">K27+N27+Q27+T27+W27+Z27+AC27</f>
        <v>1</v>
      </c>
      <c r="AG27" s="175">
        <f t="shared" si="2"/>
        <v>1845563</v>
      </c>
      <c r="AH27" s="176">
        <f t="shared" si="3"/>
        <v>1</v>
      </c>
    </row>
    <row r="28" spans="1:34" ht="28.8" x14ac:dyDescent="0.3">
      <c r="A28" s="1314"/>
      <c r="B28" s="1314"/>
      <c r="C28" s="355" t="s">
        <v>61</v>
      </c>
      <c r="D28" s="355" t="s">
        <v>297</v>
      </c>
      <c r="E28" s="191">
        <v>1</v>
      </c>
      <c r="F28" s="192">
        <v>5118825</v>
      </c>
      <c r="G28" s="32">
        <f t="shared" si="11"/>
        <v>5379885</v>
      </c>
      <c r="H28" s="192">
        <f>ROUND((E28*F28),0)</f>
        <v>5118825</v>
      </c>
      <c r="I28" s="32">
        <f t="shared" si="12"/>
        <v>5379885</v>
      </c>
      <c r="J28" s="1314"/>
      <c r="K28" s="149">
        <v>0</v>
      </c>
      <c r="L28" s="175">
        <f>ROUND(K28*F28,0)</f>
        <v>0</v>
      </c>
      <c r="M28" s="176">
        <f t="shared" si="0"/>
        <v>0</v>
      </c>
      <c r="N28" s="303">
        <v>1</v>
      </c>
      <c r="O28" s="304">
        <f>ROUND(N28*F28,0)</f>
        <v>5118825</v>
      </c>
      <c r="P28" s="305">
        <f t="shared" si="1"/>
        <v>1</v>
      </c>
      <c r="Q28" s="158">
        <v>0</v>
      </c>
      <c r="R28" s="194">
        <f>ROUND(Q28*$F$28,0)</f>
        <v>0</v>
      </c>
      <c r="S28" s="195">
        <f>R28/$H$28</f>
        <v>0</v>
      </c>
      <c r="T28" s="158">
        <v>0</v>
      </c>
      <c r="U28" s="194">
        <f>ROUND(T28*$F$28,0)</f>
        <v>0</v>
      </c>
      <c r="V28" s="195">
        <f>U28/$H$28</f>
        <v>0</v>
      </c>
      <c r="W28" s="432">
        <v>0</v>
      </c>
      <c r="X28" s="425">
        <f>ROUND(W28*$F$28,0)</f>
        <v>0</v>
      </c>
      <c r="Y28" s="426">
        <f>X28/$H$28</f>
        <v>0</v>
      </c>
      <c r="Z28" s="432">
        <v>0</v>
      </c>
      <c r="AA28" s="425">
        <f t="shared" si="13"/>
        <v>0</v>
      </c>
      <c r="AB28" s="426">
        <f t="shared" si="7"/>
        <v>0</v>
      </c>
      <c r="AC28" s="432">
        <v>0</v>
      </c>
      <c r="AD28" s="425">
        <f t="shared" si="14"/>
        <v>0</v>
      </c>
      <c r="AE28" s="426">
        <f t="shared" si="15"/>
        <v>0</v>
      </c>
      <c r="AF28" s="416">
        <f t="shared" si="16"/>
        <v>1</v>
      </c>
      <c r="AG28" s="175">
        <f t="shared" si="2"/>
        <v>5118825</v>
      </c>
      <c r="AH28" s="176">
        <f t="shared" si="3"/>
        <v>1</v>
      </c>
    </row>
    <row r="29" spans="1:34" x14ac:dyDescent="0.3">
      <c r="A29" s="1314"/>
      <c r="B29" s="1314"/>
      <c r="C29" s="196"/>
      <c r="D29" s="196" t="s">
        <v>229</v>
      </c>
      <c r="E29" s="197"/>
      <c r="F29" s="198"/>
      <c r="G29" s="198"/>
      <c r="H29" s="199">
        <f>SUM(H26:H28)</f>
        <v>8287621</v>
      </c>
      <c r="I29" s="199">
        <f>SUM(I26:I28)</f>
        <v>8710290</v>
      </c>
      <c r="J29" s="1314"/>
      <c r="K29" s="198"/>
      <c r="L29" s="363">
        <f>SUM(L26:L28)</f>
        <v>926263</v>
      </c>
      <c r="M29" s="308">
        <f t="shared" si="0"/>
        <v>0.1117646427123055</v>
      </c>
      <c r="N29" s="198"/>
      <c r="O29" s="363">
        <f>SUM(O26:O28)</f>
        <v>6410719</v>
      </c>
      <c r="P29" s="308">
        <f t="shared" si="1"/>
        <v>0.77352946038434911</v>
      </c>
      <c r="Q29" s="198"/>
      <c r="R29" s="363">
        <f>SUM(R26:R28)</f>
        <v>950639</v>
      </c>
      <c r="S29" s="308">
        <f>R29/$H$29</f>
        <v>0.11470589690334536</v>
      </c>
      <c r="T29" s="198"/>
      <c r="U29" s="363">
        <f>SUM(U26:U28)</f>
        <v>0</v>
      </c>
      <c r="V29" s="308">
        <f>U29/$H$29</f>
        <v>0</v>
      </c>
      <c r="W29" s="198"/>
      <c r="X29" s="363">
        <f>SUM(X26:X28)</f>
        <v>0</v>
      </c>
      <c r="Y29" s="431">
        <f>X29/$H$29</f>
        <v>0</v>
      </c>
      <c r="Z29" s="198"/>
      <c r="AA29" s="363">
        <f>SUM(AA26:AA28)</f>
        <v>0</v>
      </c>
      <c r="AB29" s="431">
        <f>AA29/$H$29</f>
        <v>0</v>
      </c>
      <c r="AC29" s="198"/>
      <c r="AD29" s="363">
        <f>SUM(AD26:AD28)</f>
        <v>0</v>
      </c>
      <c r="AE29" s="431">
        <f>AD29/$I$29</f>
        <v>0</v>
      </c>
      <c r="AF29" s="198"/>
      <c r="AG29" s="1078">
        <f t="shared" si="2"/>
        <v>8287621</v>
      </c>
      <c r="AH29" s="308">
        <f t="shared" si="3"/>
        <v>1</v>
      </c>
    </row>
    <row r="30" spans="1:34" ht="28.8" x14ac:dyDescent="0.3">
      <c r="A30" s="1314" t="s">
        <v>285</v>
      </c>
      <c r="B30" s="1314" t="s">
        <v>211</v>
      </c>
      <c r="C30" s="355" t="s">
        <v>81</v>
      </c>
      <c r="D30" s="355" t="s">
        <v>212</v>
      </c>
      <c r="E30" s="191">
        <v>0</v>
      </c>
      <c r="F30" s="192">
        <v>800905</v>
      </c>
      <c r="G30" s="32">
        <f t="shared" ref="G30:G32" si="17">+ROUND(F30*1.051,0)</f>
        <v>841751</v>
      </c>
      <c r="H30" s="192">
        <f>ROUND((E30*F30),0)</f>
        <v>0</v>
      </c>
      <c r="I30" s="32">
        <f t="shared" ref="I30:I32" si="18">+ROUND(G30*E30,0)</f>
        <v>0</v>
      </c>
      <c r="J30" s="1314" t="s">
        <v>912</v>
      </c>
      <c r="K30" s="149">
        <v>0</v>
      </c>
      <c r="L30" s="175">
        <f>ROUND(K30*F30,0)</f>
        <v>0</v>
      </c>
      <c r="M30" s="176">
        <v>0</v>
      </c>
      <c r="N30" s="158">
        <v>0</v>
      </c>
      <c r="O30" s="194">
        <f>ROUND(N30*F30,0)</f>
        <v>0</v>
      </c>
      <c r="P30" s="195">
        <v>0</v>
      </c>
      <c r="Q30" s="158">
        <v>0</v>
      </c>
      <c r="R30" s="194">
        <f>ROUND(Q30*$F$30,0)</f>
        <v>0</v>
      </c>
      <c r="S30" s="195">
        <v>0</v>
      </c>
      <c r="T30" s="158">
        <v>0</v>
      </c>
      <c r="U30" s="194">
        <f>ROUND(T30*$F$30,0)</f>
        <v>0</v>
      </c>
      <c r="V30" s="195">
        <v>0</v>
      </c>
      <c r="W30" s="432">
        <v>0</v>
      </c>
      <c r="X30" s="425">
        <f>ROUND(W30*$F$30,0)</f>
        <v>0</v>
      </c>
      <c r="Y30" s="426">
        <v>0</v>
      </c>
      <c r="Z30" s="432">
        <v>0</v>
      </c>
      <c r="AA30" s="425">
        <f t="shared" ref="AA30:AA32" si="19">ROUND(Z30*G30,0)</f>
        <v>0</v>
      </c>
      <c r="AB30" s="426">
        <v>0</v>
      </c>
      <c r="AC30" s="432">
        <v>0</v>
      </c>
      <c r="AD30" s="425">
        <f>ROUND(AC30*G30,0)</f>
        <v>0</v>
      </c>
      <c r="AE30" s="426" t="e">
        <f>AD30/I30</f>
        <v>#DIV/0!</v>
      </c>
      <c r="AF30" s="416">
        <f>K30+N30+Q30+T30+W30+Z30+AC30</f>
        <v>0</v>
      </c>
      <c r="AG30" s="175">
        <f t="shared" si="2"/>
        <v>0</v>
      </c>
      <c r="AH30" s="176">
        <v>0</v>
      </c>
    </row>
    <row r="31" spans="1:34" ht="28.8" x14ac:dyDescent="0.3">
      <c r="A31" s="1314"/>
      <c r="B31" s="1314"/>
      <c r="C31" s="355" t="s">
        <v>83</v>
      </c>
      <c r="D31" s="355" t="s">
        <v>213</v>
      </c>
      <c r="E31" s="191">
        <v>1</v>
      </c>
      <c r="F31" s="192">
        <v>2646468</v>
      </c>
      <c r="G31" s="32">
        <f t="shared" si="17"/>
        <v>2781438</v>
      </c>
      <c r="H31" s="192">
        <f>ROUND((E31*F31),0)</f>
        <v>2646468</v>
      </c>
      <c r="I31" s="32">
        <f t="shared" si="18"/>
        <v>2781438</v>
      </c>
      <c r="J31" s="1314"/>
      <c r="K31" s="149">
        <v>0</v>
      </c>
      <c r="L31" s="175">
        <f>ROUND(K31*F31,0)</f>
        <v>0</v>
      </c>
      <c r="M31" s="176">
        <f>L31/H31</f>
        <v>0</v>
      </c>
      <c r="N31" s="303">
        <v>0.7</v>
      </c>
      <c r="O31" s="304">
        <f>ROUND(N31*F31,0)</f>
        <v>1852528</v>
      </c>
      <c r="P31" s="305">
        <f>O31/H31</f>
        <v>0.70000015114484659</v>
      </c>
      <c r="Q31" s="303">
        <v>0.3</v>
      </c>
      <c r="R31" s="304">
        <f>ROUND(Q31*$F$31,0)</f>
        <v>793940</v>
      </c>
      <c r="S31" s="305">
        <f>R31/$H$31</f>
        <v>0.29999984885515335</v>
      </c>
      <c r="T31" s="158">
        <v>0</v>
      </c>
      <c r="U31" s="194">
        <f>ROUND(T31*$F$31,0)</f>
        <v>0</v>
      </c>
      <c r="V31" s="195">
        <f>U31/$H$31</f>
        <v>0</v>
      </c>
      <c r="W31" s="432">
        <v>0</v>
      </c>
      <c r="X31" s="425">
        <f>ROUND(W31*$F$31,0)</f>
        <v>0</v>
      </c>
      <c r="Y31" s="426">
        <f>X31/$H$31</f>
        <v>0</v>
      </c>
      <c r="Z31" s="432">
        <v>0</v>
      </c>
      <c r="AA31" s="425">
        <f t="shared" si="19"/>
        <v>0</v>
      </c>
      <c r="AB31" s="426">
        <f t="shared" si="7"/>
        <v>0</v>
      </c>
      <c r="AC31" s="432">
        <v>0</v>
      </c>
      <c r="AD31" s="425">
        <f t="shared" ref="AD31:AD32" si="20">ROUND(AC31*G31,0)</f>
        <v>0</v>
      </c>
      <c r="AE31" s="426">
        <f t="shared" ref="AE31:AE32" si="21">AD31/I31</f>
        <v>0</v>
      </c>
      <c r="AF31" s="416">
        <f t="shared" ref="AF31:AF32" si="22">K31+N31+Q31+T31+W31+Z31+AC31</f>
        <v>1</v>
      </c>
      <c r="AG31" s="175">
        <f t="shared" si="2"/>
        <v>2646468</v>
      </c>
      <c r="AH31" s="176">
        <f>AG31/H31</f>
        <v>1</v>
      </c>
    </row>
    <row r="32" spans="1:34" ht="28.8" x14ac:dyDescent="0.3">
      <c r="A32" s="1314"/>
      <c r="B32" s="1314"/>
      <c r="C32" s="355" t="s">
        <v>61</v>
      </c>
      <c r="D32" s="355" t="s">
        <v>214</v>
      </c>
      <c r="E32" s="367">
        <v>0</v>
      </c>
      <c r="F32" s="192">
        <v>2228604</v>
      </c>
      <c r="G32" s="32">
        <f t="shared" si="17"/>
        <v>2342263</v>
      </c>
      <c r="H32" s="192">
        <f>ROUND((E32*F32),0)</f>
        <v>0</v>
      </c>
      <c r="I32" s="32">
        <f t="shared" si="18"/>
        <v>0</v>
      </c>
      <c r="J32" s="1314"/>
      <c r="K32" s="149">
        <v>0</v>
      </c>
      <c r="L32" s="175">
        <f>ROUND(K32*F32,0)</f>
        <v>0</v>
      </c>
      <c r="M32" s="176">
        <v>0</v>
      </c>
      <c r="N32" s="158">
        <v>0</v>
      </c>
      <c r="O32" s="194">
        <f>ROUND(N32*F32,0)</f>
        <v>0</v>
      </c>
      <c r="P32" s="195">
        <v>0</v>
      </c>
      <c r="Q32" s="158">
        <v>0</v>
      </c>
      <c r="R32" s="194">
        <f>ROUND(Q32*$F$32,0)</f>
        <v>0</v>
      </c>
      <c r="S32" s="195">
        <v>0</v>
      </c>
      <c r="T32" s="158">
        <v>0</v>
      </c>
      <c r="U32" s="194">
        <f>ROUND(T32*$F$32,0)</f>
        <v>0</v>
      </c>
      <c r="V32" s="195">
        <v>0</v>
      </c>
      <c r="W32" s="432">
        <v>0</v>
      </c>
      <c r="X32" s="425">
        <f>ROUND(W32*$F$32,0)</f>
        <v>0</v>
      </c>
      <c r="Y32" s="426">
        <v>0</v>
      </c>
      <c r="Z32" s="432">
        <v>0</v>
      </c>
      <c r="AA32" s="425">
        <f t="shared" si="19"/>
        <v>0</v>
      </c>
      <c r="AB32" s="426">
        <v>0</v>
      </c>
      <c r="AC32" s="432">
        <v>0</v>
      </c>
      <c r="AD32" s="425">
        <f t="shared" si="20"/>
        <v>0</v>
      </c>
      <c r="AE32" s="426" t="e">
        <f t="shared" si="21"/>
        <v>#DIV/0!</v>
      </c>
      <c r="AF32" s="416">
        <f t="shared" si="22"/>
        <v>0</v>
      </c>
      <c r="AG32" s="175">
        <f t="shared" si="2"/>
        <v>0</v>
      </c>
      <c r="AH32" s="176">
        <v>0</v>
      </c>
    </row>
    <row r="33" spans="1:34" x14ac:dyDescent="0.3">
      <c r="A33" s="1314"/>
      <c r="B33" s="1314"/>
      <c r="C33" s="196"/>
      <c r="D33" s="196" t="s">
        <v>215</v>
      </c>
      <c r="E33" s="197"/>
      <c r="F33" s="198"/>
      <c r="G33" s="198"/>
      <c r="H33" s="199">
        <f>SUM(H30:H32)</f>
        <v>2646468</v>
      </c>
      <c r="I33" s="199">
        <f>SUM(I30:I32)</f>
        <v>2781438</v>
      </c>
      <c r="J33" s="1314"/>
      <c r="K33" s="198"/>
      <c r="L33" s="363">
        <f>SUM(L30:L32)</f>
        <v>0</v>
      </c>
      <c r="M33" s="308">
        <f t="shared" ref="M33:M37" si="23">L33/H33</f>
        <v>0</v>
      </c>
      <c r="N33" s="198"/>
      <c r="O33" s="363">
        <f>SUM(O30:O32)</f>
        <v>1852528</v>
      </c>
      <c r="P33" s="308">
        <f t="shared" ref="P33:P38" si="24">O33/H33</f>
        <v>0.70000015114484659</v>
      </c>
      <c r="Q33" s="198"/>
      <c r="R33" s="363">
        <f>SUM(R30:R32)</f>
        <v>793940</v>
      </c>
      <c r="S33" s="308">
        <f>R33/$H$33</f>
        <v>0.29999984885515335</v>
      </c>
      <c r="T33" s="198"/>
      <c r="U33" s="363">
        <f>SUM(U30:U32)</f>
        <v>0</v>
      </c>
      <c r="V33" s="308">
        <f>U33/$H$33</f>
        <v>0</v>
      </c>
      <c r="W33" s="198"/>
      <c r="X33" s="363">
        <f>SUM(X30:X32)</f>
        <v>0</v>
      </c>
      <c r="Y33" s="431">
        <f>X33/$H$33</f>
        <v>0</v>
      </c>
      <c r="Z33" s="198"/>
      <c r="AA33" s="363">
        <f>SUM(AA30:AA32)</f>
        <v>0</v>
      </c>
      <c r="AB33" s="431">
        <f>AA33/$H$33</f>
        <v>0</v>
      </c>
      <c r="AC33" s="198"/>
      <c r="AD33" s="363">
        <f>SUM(AD30:AD32)</f>
        <v>0</v>
      </c>
      <c r="AE33" s="431">
        <f>AD33/$H$33</f>
        <v>0</v>
      </c>
      <c r="AF33" s="198"/>
      <c r="AG33" s="1078">
        <f t="shared" si="2"/>
        <v>2646468</v>
      </c>
      <c r="AH33" s="308">
        <f t="shared" ref="AH33:AH37" si="25">AG33/H33</f>
        <v>1</v>
      </c>
    </row>
    <row r="34" spans="1:34" ht="28.8" x14ac:dyDescent="0.3">
      <c r="A34" s="1314" t="s">
        <v>285</v>
      </c>
      <c r="B34" s="1314" t="s">
        <v>238</v>
      </c>
      <c r="C34" s="355" t="s">
        <v>81</v>
      </c>
      <c r="D34" s="355" t="s">
        <v>128</v>
      </c>
      <c r="E34" s="191">
        <v>1</v>
      </c>
      <c r="F34" s="192">
        <v>3621482</v>
      </c>
      <c r="G34" s="32">
        <f>+ROUND(F34*1.051,0)</f>
        <v>3806178</v>
      </c>
      <c r="H34" s="192">
        <f>ROUND((E34*F34),0)</f>
        <v>3621482</v>
      </c>
      <c r="I34" s="32">
        <f>+ROUND(G34*E34,0)</f>
        <v>3806178</v>
      </c>
      <c r="J34" s="1314" t="s">
        <v>913</v>
      </c>
      <c r="K34" s="149">
        <v>0</v>
      </c>
      <c r="L34" s="175">
        <f>ROUND(K34*F34,0)</f>
        <v>0</v>
      </c>
      <c r="M34" s="176">
        <f t="shared" si="23"/>
        <v>0</v>
      </c>
      <c r="N34" s="158">
        <v>0</v>
      </c>
      <c r="O34" s="194">
        <f>ROUND(N34*F34,0)</f>
        <v>0</v>
      </c>
      <c r="P34" s="195">
        <f t="shared" si="24"/>
        <v>0</v>
      </c>
      <c r="Q34" s="303">
        <v>0.3</v>
      </c>
      <c r="R34" s="304">
        <f>ROUND(Q34*$F$34,0)</f>
        <v>1086445</v>
      </c>
      <c r="S34" s="305">
        <f>R34/$H$34</f>
        <v>0.30000011045201935</v>
      </c>
      <c r="T34" s="158">
        <v>0</v>
      </c>
      <c r="U34" s="194">
        <f>ROUND(T34*$F$34,0)</f>
        <v>0</v>
      </c>
      <c r="V34" s="195">
        <f>U34/$H$34</f>
        <v>0</v>
      </c>
      <c r="W34" s="432">
        <v>0</v>
      </c>
      <c r="X34" s="425">
        <f>ROUND(W34*$F$34,0)</f>
        <v>0</v>
      </c>
      <c r="Y34" s="426">
        <f>X34/$H$34</f>
        <v>0</v>
      </c>
      <c r="Z34" s="432">
        <v>0</v>
      </c>
      <c r="AA34" s="425">
        <f t="shared" ref="AA34" si="26">ROUND(Z34*G34,0)</f>
        <v>0</v>
      </c>
      <c r="AB34" s="426">
        <f>AA34/H34</f>
        <v>0</v>
      </c>
      <c r="AC34" s="432">
        <v>0</v>
      </c>
      <c r="AD34" s="425">
        <f>ROUND(AC34*G34,0)</f>
        <v>0</v>
      </c>
      <c r="AE34" s="426">
        <f>AD34/I34</f>
        <v>0</v>
      </c>
      <c r="AF34" s="416">
        <f>K34+N34+Q34+T34+W34+Z34+AC34</f>
        <v>0.3</v>
      </c>
      <c r="AG34" s="175">
        <f t="shared" si="2"/>
        <v>1086445</v>
      </c>
      <c r="AH34" s="176">
        <f t="shared" si="25"/>
        <v>0.30000011045201935</v>
      </c>
    </row>
    <row r="35" spans="1:34" x14ac:dyDescent="0.3">
      <c r="A35" s="1314"/>
      <c r="B35" s="1314"/>
      <c r="C35" s="196"/>
      <c r="D35" s="196" t="s">
        <v>130</v>
      </c>
      <c r="E35" s="197"/>
      <c r="F35" s="198"/>
      <c r="G35" s="198"/>
      <c r="H35" s="199">
        <f>H34</f>
        <v>3621482</v>
      </c>
      <c r="I35" s="199">
        <f>SUM(I34)</f>
        <v>3806178</v>
      </c>
      <c r="J35" s="1314"/>
      <c r="K35" s="198"/>
      <c r="L35" s="363">
        <f>SUM(L34)</f>
        <v>0</v>
      </c>
      <c r="M35" s="308">
        <f t="shared" si="23"/>
        <v>0</v>
      </c>
      <c r="N35" s="198"/>
      <c r="O35" s="363">
        <f>SUM(O34)</f>
        <v>0</v>
      </c>
      <c r="P35" s="308">
        <f t="shared" si="24"/>
        <v>0</v>
      </c>
      <c r="Q35" s="198"/>
      <c r="R35" s="363">
        <f>R34</f>
        <v>1086445</v>
      </c>
      <c r="S35" s="308">
        <f>R35/$H$35</f>
        <v>0.30000011045201935</v>
      </c>
      <c r="T35" s="198"/>
      <c r="U35" s="363">
        <f>U34</f>
        <v>0</v>
      </c>
      <c r="V35" s="308">
        <f>U35/$H$35</f>
        <v>0</v>
      </c>
      <c r="W35" s="198"/>
      <c r="X35" s="363">
        <f>X34</f>
        <v>0</v>
      </c>
      <c r="Y35" s="431">
        <f>X35/$H$35</f>
        <v>0</v>
      </c>
      <c r="Z35" s="198"/>
      <c r="AA35" s="363">
        <f>AA34</f>
        <v>0</v>
      </c>
      <c r="AB35" s="431">
        <f>AA35/$H$35</f>
        <v>0</v>
      </c>
      <c r="AC35" s="198"/>
      <c r="AD35" s="363">
        <f>AD34</f>
        <v>0</v>
      </c>
      <c r="AE35" s="431">
        <f>AD35/$I$35</f>
        <v>0</v>
      </c>
      <c r="AF35" s="198"/>
      <c r="AG35" s="1078">
        <f t="shared" si="2"/>
        <v>1086445</v>
      </c>
      <c r="AH35" s="308">
        <f t="shared" si="25"/>
        <v>0.30000011045201935</v>
      </c>
    </row>
    <row r="36" spans="1:34" ht="28.8" x14ac:dyDescent="0.3">
      <c r="A36" s="1314" t="s">
        <v>285</v>
      </c>
      <c r="B36" s="1314" t="s">
        <v>890</v>
      </c>
      <c r="C36" s="355" t="s">
        <v>81</v>
      </c>
      <c r="D36" s="355" t="s">
        <v>891</v>
      </c>
      <c r="E36" s="191">
        <v>1</v>
      </c>
      <c r="F36" s="192">
        <v>2890220</v>
      </c>
      <c r="G36" s="32">
        <f>+ROUND(F36*1.051,0)</f>
        <v>3037621</v>
      </c>
      <c r="H36" s="192">
        <f>ROUND((E36*F36),0)</f>
        <v>2890220</v>
      </c>
      <c r="I36" s="32">
        <f>+ROUND(G36*E36,0)</f>
        <v>3037621</v>
      </c>
      <c r="J36" s="1314" t="s">
        <v>914</v>
      </c>
      <c r="K36" s="149">
        <v>0</v>
      </c>
      <c r="L36" s="175">
        <f>ROUND(K36*F36,0)</f>
        <v>0</v>
      </c>
      <c r="M36" s="176">
        <f t="shared" si="23"/>
        <v>0</v>
      </c>
      <c r="N36" s="364">
        <v>0.7</v>
      </c>
      <c r="O36" s="365">
        <f>ROUND(N36*F36,0)</f>
        <v>2023154</v>
      </c>
      <c r="P36" s="366">
        <f t="shared" si="24"/>
        <v>0.7</v>
      </c>
      <c r="Q36" s="303">
        <v>0.3</v>
      </c>
      <c r="R36" s="304">
        <f>ROUND(Q36*$F$36,0)</f>
        <v>867066</v>
      </c>
      <c r="S36" s="305">
        <f>R36/$H$36</f>
        <v>0.3</v>
      </c>
      <c r="T36" s="158">
        <v>0</v>
      </c>
      <c r="U36" s="194">
        <f>ROUND(T36*$F$36,0)</f>
        <v>0</v>
      </c>
      <c r="V36" s="195">
        <f>U36/$H$36</f>
        <v>0</v>
      </c>
      <c r="W36" s="432">
        <v>0</v>
      </c>
      <c r="X36" s="425">
        <f>ROUND(W36*$F$36,0)</f>
        <v>0</v>
      </c>
      <c r="Y36" s="426">
        <f>X36/$H$36</f>
        <v>0</v>
      </c>
      <c r="Z36" s="432">
        <v>0</v>
      </c>
      <c r="AA36" s="425">
        <f t="shared" ref="AA36" si="27">ROUND(Z36*G36,0)</f>
        <v>0</v>
      </c>
      <c r="AB36" s="426">
        <f>AA36/H36</f>
        <v>0</v>
      </c>
      <c r="AC36" s="432">
        <v>0</v>
      </c>
      <c r="AD36" s="425">
        <f>ROUND(AC36*G36,0)</f>
        <v>0</v>
      </c>
      <c r="AE36" s="426">
        <f>AD36/I36</f>
        <v>0</v>
      </c>
      <c r="AF36" s="416">
        <f>K36+N36+Q36+T36+W36+Z36+AC36</f>
        <v>1</v>
      </c>
      <c r="AG36" s="175">
        <f t="shared" si="2"/>
        <v>2890220</v>
      </c>
      <c r="AH36" s="176">
        <f t="shared" si="25"/>
        <v>1</v>
      </c>
    </row>
    <row r="37" spans="1:34" x14ac:dyDescent="0.3">
      <c r="A37" s="1314"/>
      <c r="B37" s="1314"/>
      <c r="C37" s="196"/>
      <c r="D37" s="196" t="s">
        <v>892</v>
      </c>
      <c r="E37" s="197"/>
      <c r="F37" s="198"/>
      <c r="G37" s="198"/>
      <c r="H37" s="199">
        <f>H36</f>
        <v>2890220</v>
      </c>
      <c r="I37" s="199">
        <f>SUM(I36)</f>
        <v>3037621</v>
      </c>
      <c r="J37" s="1314"/>
      <c r="K37" s="198"/>
      <c r="L37" s="363">
        <f>SUM(L36)</f>
        <v>0</v>
      </c>
      <c r="M37" s="308">
        <f t="shared" si="23"/>
        <v>0</v>
      </c>
      <c r="N37" s="198"/>
      <c r="O37" s="363">
        <f>SUM(O36)</f>
        <v>2023154</v>
      </c>
      <c r="P37" s="308">
        <f t="shared" si="24"/>
        <v>0.7</v>
      </c>
      <c r="Q37" s="198"/>
      <c r="R37" s="363">
        <f>R36</f>
        <v>867066</v>
      </c>
      <c r="S37" s="308">
        <f>R37/$H$37</f>
        <v>0.3</v>
      </c>
      <c r="T37" s="198"/>
      <c r="U37" s="363">
        <f>U36</f>
        <v>0</v>
      </c>
      <c r="V37" s="308">
        <f>U37/$H$37</f>
        <v>0</v>
      </c>
      <c r="W37" s="198"/>
      <c r="X37" s="363">
        <f>X36</f>
        <v>0</v>
      </c>
      <c r="Y37" s="431">
        <f>X37/$H$37</f>
        <v>0</v>
      </c>
      <c r="Z37" s="198"/>
      <c r="AA37" s="363">
        <f>AA36</f>
        <v>0</v>
      </c>
      <c r="AB37" s="431">
        <f>AA37/$H$37</f>
        <v>0</v>
      </c>
      <c r="AC37" s="198"/>
      <c r="AD37" s="363">
        <f>AD36</f>
        <v>0</v>
      </c>
      <c r="AE37" s="431">
        <f>AD37/$I$37</f>
        <v>0</v>
      </c>
      <c r="AF37" s="198"/>
      <c r="AG37" s="1078">
        <f t="shared" si="2"/>
        <v>2890220</v>
      </c>
      <c r="AH37" s="308">
        <f t="shared" si="25"/>
        <v>1</v>
      </c>
    </row>
    <row r="38" spans="1:34" x14ac:dyDescent="0.3">
      <c r="F38" s="151" t="s">
        <v>64</v>
      </c>
      <c r="G38" s="151"/>
      <c r="H38" s="181">
        <f>SUM(H14:H37)/2</f>
        <v>36354111</v>
      </c>
      <c r="I38" s="181">
        <f>SUM(I14:I37)/2</f>
        <v>38208182</v>
      </c>
      <c r="K38" s="152" t="s">
        <v>64</v>
      </c>
      <c r="L38" s="181">
        <f>SUM(L14:L37)/2</f>
        <v>4826327</v>
      </c>
      <c r="M38" s="211">
        <f>L38/H38</f>
        <v>0.13275876832746647</v>
      </c>
      <c r="N38" s="152" t="s">
        <v>64</v>
      </c>
      <c r="O38" s="181">
        <f>SUM(O14:O37)/2</f>
        <v>15969342</v>
      </c>
      <c r="P38" s="211">
        <f t="shared" si="24"/>
        <v>0.43927197119467454</v>
      </c>
      <c r="Q38" s="152" t="s">
        <v>64</v>
      </c>
      <c r="R38" s="181">
        <f>SUM(R14:R37)/2</f>
        <v>6132144</v>
      </c>
      <c r="S38" s="211">
        <f>R38/$H$38</f>
        <v>0.16867814481833981</v>
      </c>
      <c r="T38" s="152" t="s">
        <v>64</v>
      </c>
      <c r="U38" s="181">
        <f>SUM(U14:U37)/2</f>
        <v>2019673</v>
      </c>
      <c r="V38" s="211">
        <f>U38/$H$38</f>
        <v>5.5555560140089798E-2</v>
      </c>
      <c r="W38" s="484" t="s">
        <v>64</v>
      </c>
      <c r="X38" s="481">
        <f>SUM(X14:X37)/2</f>
        <v>2019673</v>
      </c>
      <c r="Z38" s="484" t="s">
        <v>64</v>
      </c>
      <c r="AA38" s="481">
        <f>SUM(AA14:AA37)/2</f>
        <v>2997365</v>
      </c>
      <c r="AC38" s="484" t="s">
        <v>64</v>
      </c>
      <c r="AD38" s="481">
        <f>SUM(AD14:AD37)/2</f>
        <v>0</v>
      </c>
      <c r="AF38" s="484" t="s">
        <v>64</v>
      </c>
      <c r="AG38" s="481">
        <f>SUM(AG14:AG37)/2</f>
        <v>33964524</v>
      </c>
    </row>
    <row r="39" spans="1:34" x14ac:dyDescent="0.3">
      <c r="F39" s="153" t="s">
        <v>65</v>
      </c>
      <c r="G39" s="816"/>
      <c r="H39" s="182">
        <v>0</v>
      </c>
      <c r="I39" s="182">
        <v>0</v>
      </c>
      <c r="K39" s="153" t="s">
        <v>65</v>
      </c>
      <c r="L39" s="182">
        <v>0</v>
      </c>
      <c r="M39" s="302"/>
      <c r="N39" s="153" t="s">
        <v>65</v>
      </c>
      <c r="O39" s="182">
        <v>0</v>
      </c>
      <c r="P39" s="302"/>
      <c r="Q39" s="153" t="s">
        <v>65</v>
      </c>
      <c r="R39" s="182">
        <v>0</v>
      </c>
      <c r="S39" s="302"/>
      <c r="T39" s="153" t="s">
        <v>65</v>
      </c>
      <c r="U39" s="182">
        <v>0</v>
      </c>
      <c r="V39" s="302"/>
      <c r="W39" s="482" t="s">
        <v>65</v>
      </c>
      <c r="X39" s="483">
        <v>0</v>
      </c>
      <c r="Y39" s="302"/>
      <c r="Z39" s="482" t="s">
        <v>65</v>
      </c>
      <c r="AA39" s="483">
        <v>0</v>
      </c>
      <c r="AB39" s="795"/>
      <c r="AC39" s="482" t="s">
        <v>65</v>
      </c>
      <c r="AD39" s="483">
        <v>0</v>
      </c>
      <c r="AE39" s="1054"/>
      <c r="AF39" s="482" t="s">
        <v>65</v>
      </c>
      <c r="AG39" s="483">
        <v>0</v>
      </c>
      <c r="AH39" s="302"/>
    </row>
    <row r="40" spans="1:34" x14ac:dyDescent="0.3">
      <c r="F40" s="152" t="s">
        <v>64</v>
      </c>
      <c r="G40" s="817"/>
      <c r="H40" s="182">
        <f>+H38+H39</f>
        <v>36354111</v>
      </c>
      <c r="I40" s="182">
        <f>+I38+I39</f>
        <v>38208182</v>
      </c>
      <c r="K40" s="152" t="s">
        <v>64</v>
      </c>
      <c r="L40" s="182">
        <f>+L38+L39</f>
        <v>4826327</v>
      </c>
      <c r="M40" s="302"/>
      <c r="N40" s="152" t="s">
        <v>64</v>
      </c>
      <c r="O40" s="182">
        <f>+O38+O39</f>
        <v>15969342</v>
      </c>
      <c r="P40" s="302"/>
      <c r="Q40" s="152" t="s">
        <v>64</v>
      </c>
      <c r="R40" s="182">
        <f>+R38+R39</f>
        <v>6132144</v>
      </c>
      <c r="S40" s="302"/>
      <c r="T40" s="152" t="s">
        <v>64</v>
      </c>
      <c r="U40" s="182">
        <f>+U38+U39</f>
        <v>2019673</v>
      </c>
      <c r="V40" s="302"/>
      <c r="W40" s="484" t="s">
        <v>64</v>
      </c>
      <c r="X40" s="483">
        <f>+X38+X39</f>
        <v>2019673</v>
      </c>
      <c r="Y40" s="302"/>
      <c r="Z40" s="484" t="s">
        <v>64</v>
      </c>
      <c r="AA40" s="483">
        <f>+AA38+AA39</f>
        <v>2997365</v>
      </c>
      <c r="AB40" s="795"/>
      <c r="AC40" s="484" t="s">
        <v>64</v>
      </c>
      <c r="AD40" s="483">
        <f>+AD38+AD39</f>
        <v>0</v>
      </c>
      <c r="AE40" s="1054"/>
      <c r="AF40" s="484" t="s">
        <v>64</v>
      </c>
      <c r="AG40" s="483">
        <f>+AG38+AG39</f>
        <v>33964524</v>
      </c>
      <c r="AH40" s="302"/>
    </row>
    <row r="41" spans="1:34" ht="26.4" x14ac:dyDescent="0.3">
      <c r="F41" s="152"/>
      <c r="G41" s="817"/>
      <c r="H41" s="182"/>
      <c r="I41" s="182"/>
      <c r="K41" s="152"/>
      <c r="L41" s="182"/>
      <c r="M41" s="302"/>
      <c r="N41" s="152"/>
      <c r="O41" s="182"/>
      <c r="P41" s="302"/>
      <c r="Q41" s="152"/>
      <c r="R41" s="182"/>
      <c r="S41" s="302"/>
      <c r="T41" s="152"/>
      <c r="U41" s="182"/>
      <c r="V41" s="302"/>
      <c r="W41" s="484" t="s">
        <v>1439</v>
      </c>
      <c r="X41" s="483">
        <f>ROUND(X40*0.015,0)</f>
        <v>30295</v>
      </c>
      <c r="Y41" s="302"/>
      <c r="Z41" s="484" t="s">
        <v>1439</v>
      </c>
      <c r="AA41" s="483">
        <f>ROUND(AA40*0.015,0)</f>
        <v>44960</v>
      </c>
      <c r="AB41" s="795"/>
      <c r="AC41" s="484" t="s">
        <v>1439</v>
      </c>
      <c r="AD41" s="483">
        <f>ROUND(AD40*0.015,0)</f>
        <v>0</v>
      </c>
      <c r="AE41" s="1054"/>
      <c r="AF41" s="484" t="s">
        <v>1439</v>
      </c>
      <c r="AG41" s="483">
        <f>L41+O41+R41+U41+X41+AA41+AD41</f>
        <v>75255</v>
      </c>
      <c r="AH41" s="302"/>
    </row>
    <row r="42" spans="1:34" ht="26.4" x14ac:dyDescent="0.3">
      <c r="F42" s="152"/>
      <c r="G42" s="817"/>
      <c r="H42" s="182"/>
      <c r="I42" s="182"/>
      <c r="K42" s="152"/>
      <c r="L42" s="182"/>
      <c r="M42" s="302"/>
      <c r="N42" s="152"/>
      <c r="O42" s="182"/>
      <c r="P42" s="302"/>
      <c r="Q42" s="152"/>
      <c r="R42" s="182"/>
      <c r="S42" s="302"/>
      <c r="T42" s="152"/>
      <c r="U42" s="182"/>
      <c r="V42" s="302"/>
      <c r="W42" s="152" t="s">
        <v>1440</v>
      </c>
      <c r="X42" s="182">
        <f>X40+X41</f>
        <v>2049968</v>
      </c>
      <c r="Y42" s="211">
        <f>X42/$H$38</f>
        <v>5.6388890929006626E-2</v>
      </c>
      <c r="Z42" s="152" t="s">
        <v>1440</v>
      </c>
      <c r="AA42" s="182">
        <f>AA40+AA41</f>
        <v>3042325</v>
      </c>
      <c r="AB42" s="211">
        <f>AA42/$H$38</f>
        <v>8.3685858801498411E-2</v>
      </c>
      <c r="AC42" s="152" t="s">
        <v>1440</v>
      </c>
      <c r="AD42" s="182">
        <f>AD40+AD41</f>
        <v>0</v>
      </c>
      <c r="AE42" s="211">
        <f>AD42/$H$38</f>
        <v>0</v>
      </c>
      <c r="AF42" s="152" t="s">
        <v>1440</v>
      </c>
      <c r="AG42" s="182">
        <f>AG40+AG41</f>
        <v>34039779</v>
      </c>
      <c r="AH42" s="635">
        <f>AG42/H38</f>
        <v>0.93633919421107559</v>
      </c>
    </row>
    <row r="43" spans="1:34" x14ac:dyDescent="0.3">
      <c r="F43" s="154" t="s">
        <v>66</v>
      </c>
      <c r="G43" s="818"/>
      <c r="H43" s="182">
        <f>+H40*19%</f>
        <v>6907281.0899999999</v>
      </c>
      <c r="I43" s="182">
        <f>+I40*19%</f>
        <v>7259554.5800000001</v>
      </c>
      <c r="K43" s="154" t="s">
        <v>66</v>
      </c>
      <c r="L43" s="182">
        <f>+L40*19%</f>
        <v>917002.13</v>
      </c>
      <c r="M43" s="302"/>
      <c r="N43" s="154" t="s">
        <v>66</v>
      </c>
      <c r="O43" s="182">
        <f>+O40*19%</f>
        <v>3034174.98</v>
      </c>
      <c r="P43" s="302"/>
      <c r="Q43" s="154" t="s">
        <v>66</v>
      </c>
      <c r="R43" s="182">
        <f>+R40*19%</f>
        <v>1165107.3600000001</v>
      </c>
      <c r="S43" s="302"/>
      <c r="T43" s="154" t="s">
        <v>66</v>
      </c>
      <c r="U43" s="182">
        <f>+U40*19%</f>
        <v>383737.87</v>
      </c>
      <c r="V43" s="302"/>
      <c r="W43" s="485" t="s">
        <v>66</v>
      </c>
      <c r="X43" s="483">
        <f>ROUND(X42*19,0)</f>
        <v>38949392</v>
      </c>
      <c r="Y43" s="302"/>
      <c r="Z43" s="485" t="s">
        <v>66</v>
      </c>
      <c r="AA43" s="483">
        <f>ROUND(AA42*19,0)</f>
        <v>57804175</v>
      </c>
      <c r="AB43" s="795"/>
      <c r="AC43" s="485" t="s">
        <v>66</v>
      </c>
      <c r="AD43" s="483">
        <f>ROUND(AD42*19,0)</f>
        <v>0</v>
      </c>
      <c r="AE43" s="1054"/>
      <c r="AF43" s="485" t="s">
        <v>66</v>
      </c>
      <c r="AG43" s="483">
        <f>ROUND(AG42*0.19,0)</f>
        <v>6467558</v>
      </c>
      <c r="AH43" s="302"/>
    </row>
    <row r="44" spans="1:34" x14ac:dyDescent="0.3">
      <c r="F44" s="155" t="s">
        <v>69</v>
      </c>
      <c r="G44" s="155"/>
      <c r="H44" s="181">
        <f>+H40+H43</f>
        <v>43261392.090000004</v>
      </c>
      <c r="I44" s="181">
        <f>+I40+I43</f>
        <v>45467736.579999998</v>
      </c>
      <c r="K44" s="155" t="s">
        <v>69</v>
      </c>
      <c r="L44" s="181">
        <f>+L40+L43</f>
        <v>5743329.1299999999</v>
      </c>
      <c r="M44" s="302"/>
      <c r="N44" s="155" t="s">
        <v>69</v>
      </c>
      <c r="O44" s="181">
        <f>+O40+O43</f>
        <v>19003516.98</v>
      </c>
      <c r="P44" s="302"/>
      <c r="Q44" s="155" t="s">
        <v>69</v>
      </c>
      <c r="R44" s="181">
        <f>+R40+R43</f>
        <v>7297251.3600000003</v>
      </c>
      <c r="S44" s="302"/>
      <c r="T44" s="155" t="s">
        <v>69</v>
      </c>
      <c r="U44" s="181">
        <f>+U40+U43</f>
        <v>2403410.87</v>
      </c>
      <c r="V44" s="302"/>
      <c r="W44" s="545" t="s">
        <v>69</v>
      </c>
      <c r="X44" s="481">
        <f>X42+X43</f>
        <v>40999360</v>
      </c>
      <c r="Y44" s="302"/>
      <c r="Z44" s="545" t="s">
        <v>69</v>
      </c>
      <c r="AA44" s="481">
        <f>AA42+AA43</f>
        <v>60846500</v>
      </c>
      <c r="AB44" s="795"/>
      <c r="AC44" s="545" t="s">
        <v>69</v>
      </c>
      <c r="AD44" s="481">
        <f>AD42+AD43</f>
        <v>0</v>
      </c>
      <c r="AE44" s="1054"/>
      <c r="AF44" s="545" t="s">
        <v>69</v>
      </c>
      <c r="AG44" s="481">
        <f>AG42+AG43</f>
        <v>40507337</v>
      </c>
      <c r="AH44" s="302"/>
    </row>
    <row r="47" spans="1:34" s="302" customFormat="1" x14ac:dyDescent="0.3">
      <c r="A47" s="183" t="s">
        <v>67</v>
      </c>
      <c r="B47" s="184"/>
      <c r="C47" s="184"/>
      <c r="D47" s="185" t="s">
        <v>68</v>
      </c>
      <c r="E47" s="80"/>
      <c r="G47" s="795"/>
      <c r="I47" s="795"/>
      <c r="K47" s="189"/>
      <c r="L47" s="189"/>
      <c r="M47" s="189"/>
      <c r="N47" s="186" t="s">
        <v>70</v>
      </c>
      <c r="O47" s="187" t="s">
        <v>71</v>
      </c>
      <c r="P47" s="186" t="s">
        <v>58</v>
      </c>
      <c r="Q47" s="186" t="s">
        <v>70</v>
      </c>
      <c r="R47" s="187" t="s">
        <v>71</v>
      </c>
      <c r="S47" s="186" t="s">
        <v>58</v>
      </c>
      <c r="T47" s="186" t="s">
        <v>70</v>
      </c>
      <c r="U47" s="187" t="s">
        <v>71</v>
      </c>
      <c r="V47" s="186" t="s">
        <v>58</v>
      </c>
      <c r="W47" s="186" t="s">
        <v>70</v>
      </c>
      <c r="X47" s="187" t="s">
        <v>71</v>
      </c>
      <c r="Y47" s="186" t="s">
        <v>58</v>
      </c>
      <c r="Z47" s="186" t="s">
        <v>70</v>
      </c>
      <c r="AA47" s="187" t="s">
        <v>71</v>
      </c>
      <c r="AB47" s="186" t="s">
        <v>58</v>
      </c>
      <c r="AC47" s="186" t="s">
        <v>70</v>
      </c>
      <c r="AD47" s="187" t="s">
        <v>71</v>
      </c>
      <c r="AE47" s="186" t="s">
        <v>58</v>
      </c>
    </row>
    <row r="48" spans="1:34" s="302" customFormat="1" x14ac:dyDescent="0.3">
      <c r="A48" s="183"/>
      <c r="B48" s="184"/>
      <c r="C48" s="184"/>
      <c r="D48" s="185"/>
      <c r="E48" s="80"/>
      <c r="G48" s="795"/>
      <c r="I48" s="795"/>
      <c r="K48" s="189"/>
      <c r="L48" s="189"/>
      <c r="M48" s="189"/>
      <c r="N48" s="203" t="s">
        <v>72</v>
      </c>
      <c r="O48" s="204">
        <f>L40</f>
        <v>4826327</v>
      </c>
      <c r="P48" s="205">
        <f>M38</f>
        <v>0.13275876832746647</v>
      </c>
      <c r="Q48" s="203" t="s">
        <v>72</v>
      </c>
      <c r="R48" s="204">
        <f>$L$38</f>
        <v>4826327</v>
      </c>
      <c r="S48" s="205">
        <f>$M$38</f>
        <v>0.13275876832746647</v>
      </c>
      <c r="T48" s="203" t="s">
        <v>72</v>
      </c>
      <c r="U48" s="204">
        <f>$L$38</f>
        <v>4826327</v>
      </c>
      <c r="V48" s="205">
        <f>$M$38</f>
        <v>0.13275876832746647</v>
      </c>
      <c r="W48" s="203" t="s">
        <v>72</v>
      </c>
      <c r="X48" s="204">
        <f>$L$38</f>
        <v>4826327</v>
      </c>
      <c r="Y48" s="205">
        <f>$M$38</f>
        <v>0.13275876832746647</v>
      </c>
      <c r="Z48" s="203" t="s">
        <v>72</v>
      </c>
      <c r="AA48" s="204">
        <f>$L$38</f>
        <v>4826327</v>
      </c>
      <c r="AB48" s="205">
        <f>$M$38</f>
        <v>0.13275876832746647</v>
      </c>
      <c r="AC48" s="203" t="s">
        <v>72</v>
      </c>
      <c r="AD48" s="204">
        <f>$L$38</f>
        <v>4826327</v>
      </c>
      <c r="AE48" s="205">
        <f>$M$38</f>
        <v>0.13275876832746647</v>
      </c>
    </row>
    <row r="49" spans="1:31" s="302" customFormat="1" x14ac:dyDescent="0.3">
      <c r="A49" s="183"/>
      <c r="B49" s="184"/>
      <c r="C49" s="184"/>
      <c r="D49" s="185"/>
      <c r="E49" s="80"/>
      <c r="G49" s="795"/>
      <c r="I49" s="795"/>
      <c r="K49" s="189"/>
      <c r="L49" s="189"/>
      <c r="M49" s="189"/>
      <c r="N49" s="203" t="s">
        <v>73</v>
      </c>
      <c r="O49" s="204">
        <f>O38</f>
        <v>15969342</v>
      </c>
      <c r="P49" s="205">
        <f>P38</f>
        <v>0.43927197119467454</v>
      </c>
      <c r="Q49" s="203" t="s">
        <v>73</v>
      </c>
      <c r="R49" s="204">
        <f>$O$38</f>
        <v>15969342</v>
      </c>
      <c r="S49" s="205">
        <f>$P$38</f>
        <v>0.43927197119467454</v>
      </c>
      <c r="T49" s="203" t="s">
        <v>73</v>
      </c>
      <c r="U49" s="204">
        <f>$O$38</f>
        <v>15969342</v>
      </c>
      <c r="V49" s="205">
        <f>$P$38</f>
        <v>0.43927197119467454</v>
      </c>
      <c r="W49" s="203" t="s">
        <v>73</v>
      </c>
      <c r="X49" s="204">
        <f>$O$38</f>
        <v>15969342</v>
      </c>
      <c r="Y49" s="205">
        <f>$P$38</f>
        <v>0.43927197119467454</v>
      </c>
      <c r="Z49" s="203" t="s">
        <v>73</v>
      </c>
      <c r="AA49" s="204">
        <f>$O$38</f>
        <v>15969342</v>
      </c>
      <c r="AB49" s="205">
        <f>$P$38</f>
        <v>0.43927197119467454</v>
      </c>
      <c r="AC49" s="203" t="s">
        <v>73</v>
      </c>
      <c r="AD49" s="204">
        <f>$O$38</f>
        <v>15969342</v>
      </c>
      <c r="AE49" s="205">
        <f>$P$38</f>
        <v>0.43927197119467454</v>
      </c>
    </row>
    <row r="50" spans="1:31" s="302" customFormat="1" x14ac:dyDescent="0.3">
      <c r="A50" s="183"/>
      <c r="B50" s="184"/>
      <c r="C50" s="184"/>
      <c r="D50" s="185"/>
      <c r="E50" s="80"/>
      <c r="G50" s="795"/>
      <c r="I50" s="795"/>
      <c r="K50" s="189"/>
      <c r="L50" s="189"/>
      <c r="M50" s="189"/>
      <c r="N50" s="203"/>
      <c r="O50" s="204"/>
      <c r="P50" s="205"/>
      <c r="Q50" s="203" t="s">
        <v>74</v>
      </c>
      <c r="R50" s="204">
        <f>$R$38</f>
        <v>6132144</v>
      </c>
      <c r="S50" s="205">
        <f>$S$38</f>
        <v>0.16867814481833981</v>
      </c>
      <c r="T50" s="203" t="s">
        <v>74</v>
      </c>
      <c r="U50" s="204">
        <f>$R$38</f>
        <v>6132144</v>
      </c>
      <c r="V50" s="205">
        <f>$S$38</f>
        <v>0.16867814481833981</v>
      </c>
      <c r="W50" s="203" t="s">
        <v>74</v>
      </c>
      <c r="X50" s="204">
        <f>$R$38</f>
        <v>6132144</v>
      </c>
      <c r="Y50" s="205">
        <f>$S$38</f>
        <v>0.16867814481833981</v>
      </c>
      <c r="Z50" s="203" t="s">
        <v>74</v>
      </c>
      <c r="AA50" s="204">
        <f>$R$38</f>
        <v>6132144</v>
      </c>
      <c r="AB50" s="205">
        <f>$S$38</f>
        <v>0.16867814481833981</v>
      </c>
      <c r="AC50" s="203" t="s">
        <v>74</v>
      </c>
      <c r="AD50" s="204">
        <f>$R$38</f>
        <v>6132144</v>
      </c>
      <c r="AE50" s="205">
        <f>$S$38</f>
        <v>0.16867814481833981</v>
      </c>
    </row>
    <row r="51" spans="1:31" s="302" customFormat="1" x14ac:dyDescent="0.3">
      <c r="A51" s="183"/>
      <c r="B51" s="184"/>
      <c r="C51" s="184"/>
      <c r="D51" s="185"/>
      <c r="E51" s="80"/>
      <c r="G51" s="795"/>
      <c r="I51" s="795"/>
      <c r="K51" s="189"/>
      <c r="L51" s="189"/>
      <c r="M51" s="189"/>
      <c r="N51" s="203"/>
      <c r="O51" s="204"/>
      <c r="P51" s="205"/>
      <c r="Q51" s="203"/>
      <c r="R51" s="204"/>
      <c r="S51" s="205"/>
      <c r="T51" s="203" t="s">
        <v>155</v>
      </c>
      <c r="U51" s="204">
        <f>$U$38</f>
        <v>2019673</v>
      </c>
      <c r="V51" s="205">
        <f>$V$38</f>
        <v>5.5555560140089798E-2</v>
      </c>
      <c r="W51" s="203" t="s">
        <v>155</v>
      </c>
      <c r="X51" s="204">
        <f>$U$38</f>
        <v>2019673</v>
      </c>
      <c r="Y51" s="205">
        <f>$V$38</f>
        <v>5.5555560140089798E-2</v>
      </c>
      <c r="Z51" s="203" t="s">
        <v>155</v>
      </c>
      <c r="AA51" s="204">
        <f>$U$38</f>
        <v>2019673</v>
      </c>
      <c r="AB51" s="205">
        <f>$V$38</f>
        <v>5.5555560140089798E-2</v>
      </c>
      <c r="AC51" s="203" t="s">
        <v>155</v>
      </c>
      <c r="AD51" s="204">
        <f>$U$38</f>
        <v>2019673</v>
      </c>
      <c r="AE51" s="205">
        <f>$V$38</f>
        <v>5.5555560140089798E-2</v>
      </c>
    </row>
    <row r="52" spans="1:31" s="302" customFormat="1" x14ac:dyDescent="0.3">
      <c r="A52" s="183"/>
      <c r="B52" s="184"/>
      <c r="C52" s="184"/>
      <c r="D52" s="185"/>
      <c r="E52" s="80"/>
      <c r="G52" s="795"/>
      <c r="I52" s="795"/>
      <c r="K52" s="189"/>
      <c r="L52" s="189"/>
      <c r="M52" s="189"/>
      <c r="N52" s="203"/>
      <c r="O52" s="204"/>
      <c r="P52" s="205"/>
      <c r="Q52" s="203"/>
      <c r="R52" s="204"/>
      <c r="S52" s="205"/>
      <c r="T52" s="203"/>
      <c r="U52" s="204"/>
      <c r="V52" s="205"/>
      <c r="W52" s="203" t="s">
        <v>352</v>
      </c>
      <c r="X52" s="204">
        <f>$X$42</f>
        <v>2049968</v>
      </c>
      <c r="Y52" s="205">
        <f>$Y$42</f>
        <v>5.6388890929006626E-2</v>
      </c>
      <c r="Z52" s="203" t="s">
        <v>352</v>
      </c>
      <c r="AA52" s="204">
        <f>$X$42</f>
        <v>2049968</v>
      </c>
      <c r="AB52" s="205">
        <f>$Y$42</f>
        <v>5.6388890929006626E-2</v>
      </c>
      <c r="AC52" s="203" t="s">
        <v>352</v>
      </c>
      <c r="AD52" s="204">
        <f>$X$42</f>
        <v>2049968</v>
      </c>
      <c r="AE52" s="205">
        <f>$Y$42</f>
        <v>5.6388890929006626E-2</v>
      </c>
    </row>
    <row r="53" spans="1:31" s="795" customFormat="1" x14ac:dyDescent="0.3">
      <c r="A53" s="183"/>
      <c r="B53" s="184"/>
      <c r="C53" s="184"/>
      <c r="D53" s="185"/>
      <c r="E53" s="80"/>
      <c r="K53" s="796"/>
      <c r="L53" s="796"/>
      <c r="M53" s="796"/>
      <c r="N53" s="203"/>
      <c r="O53" s="204"/>
      <c r="P53" s="205"/>
      <c r="Q53" s="203"/>
      <c r="R53" s="204"/>
      <c r="S53" s="205"/>
      <c r="T53" s="203"/>
      <c r="U53" s="204"/>
      <c r="V53" s="205"/>
      <c r="W53" s="203"/>
      <c r="X53" s="204"/>
      <c r="Y53" s="205"/>
      <c r="Z53" s="203" t="s">
        <v>979</v>
      </c>
      <c r="AA53" s="204">
        <f>+AA42</f>
        <v>3042325</v>
      </c>
      <c r="AB53" s="205">
        <f>+AB42</f>
        <v>8.3685858801498411E-2</v>
      </c>
      <c r="AC53" s="203" t="s">
        <v>979</v>
      </c>
      <c r="AD53" s="204">
        <f>+AA42</f>
        <v>3042325</v>
      </c>
      <c r="AE53" s="205">
        <f>+AB42</f>
        <v>8.3685858801498411E-2</v>
      </c>
    </row>
    <row r="54" spans="1:31" s="302" customFormat="1" x14ac:dyDescent="0.3">
      <c r="A54" s="183"/>
      <c r="B54" s="184"/>
      <c r="C54" s="184"/>
      <c r="D54" s="185"/>
      <c r="E54" s="80"/>
      <c r="G54" s="795"/>
      <c r="I54" s="795"/>
      <c r="K54" s="189"/>
      <c r="L54" s="189"/>
      <c r="M54" s="189"/>
      <c r="N54" s="206" t="s">
        <v>1</v>
      </c>
      <c r="O54" s="207">
        <f>SUM(O48:O49)</f>
        <v>20795669</v>
      </c>
      <c r="P54" s="208">
        <f>SUM(P48:P49)</f>
        <v>0.57203073952214101</v>
      </c>
      <c r="Q54" s="206" t="s">
        <v>1</v>
      </c>
      <c r="R54" s="207">
        <f>SUM(R48:R50)</f>
        <v>26927813</v>
      </c>
      <c r="S54" s="208">
        <f>SUM(S48:S50)</f>
        <v>0.74070888434048077</v>
      </c>
      <c r="T54" s="206" t="s">
        <v>1</v>
      </c>
      <c r="U54" s="207">
        <f>SUM(U48:U51)</f>
        <v>28947486</v>
      </c>
      <c r="V54" s="208">
        <f>SUM(V48:V51)</f>
        <v>0.79626444448057054</v>
      </c>
      <c r="W54" s="206" t="s">
        <v>1</v>
      </c>
      <c r="X54" s="207">
        <f>SUM(X48:X52)</f>
        <v>30997454</v>
      </c>
      <c r="Y54" s="253">
        <f>SUM(Y48:Y52)</f>
        <v>0.85265333540957722</v>
      </c>
      <c r="Z54" s="1081"/>
      <c r="AA54" s="204"/>
      <c r="AB54" s="205"/>
      <c r="AC54" s="1081" t="s">
        <v>2307</v>
      </c>
      <c r="AD54" s="204">
        <f>+AD42</f>
        <v>0</v>
      </c>
      <c r="AE54" s="205">
        <f>+AE42</f>
        <v>0</v>
      </c>
    </row>
    <row r="55" spans="1:31" s="302" customFormat="1" x14ac:dyDescent="0.3">
      <c r="A55" s="183"/>
      <c r="B55" s="184"/>
      <c r="C55" s="184"/>
      <c r="D55" s="185"/>
      <c r="E55" s="80"/>
      <c r="G55" s="795"/>
      <c r="I55" s="795"/>
      <c r="K55" s="189"/>
      <c r="L55" s="189"/>
      <c r="M55" s="189"/>
      <c r="N55" s="206" t="s">
        <v>9</v>
      </c>
      <c r="O55" s="1285"/>
      <c r="P55" s="1286"/>
      <c r="Q55" s="206" t="s">
        <v>9</v>
      </c>
      <c r="R55" s="1285"/>
      <c r="S55" s="1286"/>
      <c r="T55" s="206" t="s">
        <v>9</v>
      </c>
      <c r="U55" s="1285"/>
      <c r="V55" s="1286"/>
      <c r="W55" s="206" t="s">
        <v>9</v>
      </c>
      <c r="X55" s="1285"/>
      <c r="Y55" s="1286"/>
      <c r="Z55" s="206" t="s">
        <v>1</v>
      </c>
      <c r="AA55" s="207">
        <f>SUM(AA48:AA54)</f>
        <v>34039779</v>
      </c>
      <c r="AB55" s="253">
        <f>SUM(AB48:AB54)</f>
        <v>0.93633919421107559</v>
      </c>
      <c r="AC55" s="206" t="s">
        <v>1</v>
      </c>
      <c r="AD55" s="207">
        <f>SUM(AD48:AD54)</f>
        <v>34039779</v>
      </c>
      <c r="AE55" s="253">
        <f>SUM(AE48:AE54)</f>
        <v>0.93633919421107559</v>
      </c>
    </row>
    <row r="56" spans="1:31" s="302" customFormat="1" x14ac:dyDescent="0.3">
      <c r="A56" s="183"/>
      <c r="B56" s="184"/>
      <c r="C56" s="184"/>
      <c r="D56" s="185"/>
      <c r="E56" s="80"/>
      <c r="G56" s="795"/>
      <c r="I56" s="795"/>
      <c r="K56" s="189"/>
      <c r="L56" s="189"/>
      <c r="M56" s="189"/>
      <c r="N56" s="156" t="s">
        <v>78</v>
      </c>
      <c r="O56" s="1285" t="s">
        <v>915</v>
      </c>
      <c r="P56" s="1286"/>
      <c r="Q56" s="156" t="s">
        <v>78</v>
      </c>
      <c r="R56" s="1285" t="s">
        <v>916</v>
      </c>
      <c r="S56" s="1286"/>
      <c r="T56" s="156" t="s">
        <v>78</v>
      </c>
      <c r="U56" s="1285" t="s">
        <v>916</v>
      </c>
      <c r="V56" s="1286"/>
      <c r="W56" s="156" t="s">
        <v>78</v>
      </c>
      <c r="X56" s="1285" t="s">
        <v>916</v>
      </c>
      <c r="Y56" s="1286"/>
      <c r="Z56" s="206" t="s">
        <v>9</v>
      </c>
      <c r="AA56" s="1285"/>
      <c r="AB56" s="1286"/>
      <c r="AC56" s="206" t="s">
        <v>9</v>
      </c>
      <c r="AD56" s="1285"/>
      <c r="AE56" s="1286"/>
    </row>
    <row r="57" spans="1:31" s="302" customFormat="1" x14ac:dyDescent="0.3">
      <c r="A57" s="183"/>
      <c r="B57" s="184"/>
      <c r="C57" s="184"/>
      <c r="D57" s="185"/>
      <c r="E57" s="80"/>
      <c r="G57" s="795"/>
      <c r="I57" s="795"/>
      <c r="K57" s="189"/>
      <c r="L57" s="189"/>
      <c r="M57" s="189"/>
      <c r="N57" s="157" t="s">
        <v>8</v>
      </c>
      <c r="O57" s="1287"/>
      <c r="P57" s="1288"/>
      <c r="Q57" s="157" t="s">
        <v>8</v>
      </c>
      <c r="R57" s="1287">
        <v>500000740146</v>
      </c>
      <c r="S57" s="1288"/>
      <c r="T57" s="157" t="s">
        <v>8</v>
      </c>
      <c r="U57" s="1287">
        <v>500000740146</v>
      </c>
      <c r="V57" s="1288"/>
      <c r="W57" s="157" t="s">
        <v>8</v>
      </c>
      <c r="X57" s="1287">
        <v>500000740146</v>
      </c>
      <c r="Y57" s="1288"/>
      <c r="Z57" s="156" t="s">
        <v>78</v>
      </c>
      <c r="AA57" s="1285" t="s">
        <v>916</v>
      </c>
      <c r="AB57" s="1286"/>
      <c r="AC57" s="156" t="s">
        <v>78</v>
      </c>
      <c r="AD57" s="1285" t="s">
        <v>916</v>
      </c>
      <c r="AE57" s="1286"/>
    </row>
    <row r="58" spans="1:31" s="302" customFormat="1" x14ac:dyDescent="0.3">
      <c r="A58" s="183"/>
      <c r="B58" s="184"/>
      <c r="C58" s="184"/>
      <c r="D58" s="185" t="s">
        <v>75</v>
      </c>
      <c r="E58" s="80"/>
      <c r="G58" s="795"/>
      <c r="I58" s="795"/>
      <c r="Z58" s="157" t="s">
        <v>8</v>
      </c>
      <c r="AA58" s="1287">
        <v>500000740146</v>
      </c>
      <c r="AB58" s="1288"/>
      <c r="AC58" s="157" t="s">
        <v>8</v>
      </c>
      <c r="AD58" s="1287">
        <v>500000740146</v>
      </c>
      <c r="AE58" s="1288"/>
    </row>
    <row r="59" spans="1:31" s="302" customFormat="1" x14ac:dyDescent="0.3">
      <c r="A59" s="183" t="s">
        <v>76</v>
      </c>
      <c r="B59" s="180"/>
      <c r="C59" s="180"/>
      <c r="D59" s="185" t="s">
        <v>77</v>
      </c>
      <c r="E59" s="80"/>
      <c r="G59" s="795"/>
      <c r="I59" s="795"/>
      <c r="Z59" s="795"/>
      <c r="AA59" s="795"/>
      <c r="AB59" s="795"/>
      <c r="AC59" s="1054"/>
      <c r="AD59" s="1054"/>
      <c r="AE59" s="1054"/>
    </row>
    <row r="60" spans="1:31" s="302" customFormat="1" x14ac:dyDescent="0.3">
      <c r="A60" s="183" t="s">
        <v>79</v>
      </c>
      <c r="B60" s="180"/>
      <c r="C60" s="180"/>
      <c r="D60" s="185" t="s">
        <v>80</v>
      </c>
      <c r="E60" s="80"/>
      <c r="G60" s="795"/>
      <c r="I60" s="795"/>
      <c r="Z60" s="795"/>
      <c r="AA60" s="795"/>
      <c r="AB60" s="795"/>
      <c r="AC60" s="1054"/>
      <c r="AD60" s="1054"/>
      <c r="AE60" s="1054"/>
    </row>
    <row r="61" spans="1:31" x14ac:dyDescent="0.3">
      <c r="Z61" s="795"/>
      <c r="AA61" s="795"/>
      <c r="AB61" s="795"/>
    </row>
  </sheetData>
  <sheetProtection formatCells="0" formatColumns="0" formatRows="0" insertColumns="0" insertRows="0" insertHyperlinks="0" deleteColumns="0" deleteRows="0" sort="0" autoFilter="0" pivotTables="0"/>
  <mergeCells count="66">
    <mergeCell ref="C1:Y2"/>
    <mergeCell ref="U55:V55"/>
    <mergeCell ref="U56:V56"/>
    <mergeCell ref="U57:V57"/>
    <mergeCell ref="A5:AH5"/>
    <mergeCell ref="AF1:AH1"/>
    <mergeCell ref="AF2:AH2"/>
    <mergeCell ref="A3:AH3"/>
    <mergeCell ref="A4:AH4"/>
    <mergeCell ref="B11:J11"/>
    <mergeCell ref="K11:M12"/>
    <mergeCell ref="N11:P12"/>
    <mergeCell ref="Q11:S12"/>
    <mergeCell ref="AF11:AH12"/>
    <mergeCell ref="B12:J12"/>
    <mergeCell ref="T11:V12"/>
    <mergeCell ref="A6:AH6"/>
    <mergeCell ref="A7:AH7"/>
    <mergeCell ref="A8:AH8"/>
    <mergeCell ref="A9:AH9"/>
    <mergeCell ref="A10:AH10"/>
    <mergeCell ref="W11:Y12"/>
    <mergeCell ref="Z11:AB12"/>
    <mergeCell ref="A14:A15"/>
    <mergeCell ref="B14:B15"/>
    <mergeCell ref="J14:J15"/>
    <mergeCell ref="A16:A17"/>
    <mergeCell ref="B16:B17"/>
    <mergeCell ref="J16:J17"/>
    <mergeCell ref="A18:A19"/>
    <mergeCell ref="B18:B19"/>
    <mergeCell ref="J18:J19"/>
    <mergeCell ref="A20:A21"/>
    <mergeCell ref="B20:B21"/>
    <mergeCell ref="J20:J21"/>
    <mergeCell ref="A22:A25"/>
    <mergeCell ref="B22:B25"/>
    <mergeCell ref="J22:J25"/>
    <mergeCell ref="A26:A29"/>
    <mergeCell ref="B26:B29"/>
    <mergeCell ref="J26:J29"/>
    <mergeCell ref="A30:A33"/>
    <mergeCell ref="B30:B33"/>
    <mergeCell ref="J30:J33"/>
    <mergeCell ref="A34:A35"/>
    <mergeCell ref="B34:B35"/>
    <mergeCell ref="J34:J35"/>
    <mergeCell ref="A36:A37"/>
    <mergeCell ref="B36:B37"/>
    <mergeCell ref="J36:J37"/>
    <mergeCell ref="AC11:AE12"/>
    <mergeCell ref="AD56:AE56"/>
    <mergeCell ref="AD57:AE57"/>
    <mergeCell ref="AD58:AE58"/>
    <mergeCell ref="O55:P55"/>
    <mergeCell ref="R55:S55"/>
    <mergeCell ref="AA56:AB56"/>
    <mergeCell ref="AA57:AB57"/>
    <mergeCell ref="AA58:AB58"/>
    <mergeCell ref="O57:P57"/>
    <mergeCell ref="R57:S57"/>
    <mergeCell ref="O56:P56"/>
    <mergeCell ref="R56:S56"/>
    <mergeCell ref="X55:Y55"/>
    <mergeCell ref="X56:Y56"/>
    <mergeCell ref="X57:Y57"/>
  </mergeCells>
  <pageMargins left="0.70866141732283472" right="0.70866141732283472" top="0.74803149606299213" bottom="0.74803149606299213" header="0.31496062992125984" footer="0.31496062992125984"/>
  <pageSetup scale="36" orientation="landscape" r:id="rId1"/>
  <rowBreaks count="1" manualBreakCount="1">
    <brk id="35" max="16383" man="1"/>
  </rowBreaks>
  <drawing r:id="rId2"/>
  <legacyDrawing r:id="rId3"/>
  <legacyDrawingHF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tabColor theme="1"/>
  </sheetPr>
  <dimension ref="A1:G49"/>
  <sheetViews>
    <sheetView topLeftCell="A13" zoomScaleNormal="100" workbookViewId="0">
      <selection activeCell="F31" sqref="F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f>
        <v>Proyecto: CDIM_CADCSR_R0081, SUBESTACIÓN GRAN SABANA, Ingeniería Tablero de medida Subestación Gran Sabana para la implementación del proyecto código de medida y calidad de potencia en los transformadores D3, R2 y de la barra de 115 kV</v>
      </c>
      <c r="C5" s="1281"/>
      <c r="D5" s="1281"/>
      <c r="E5" s="1281"/>
      <c r="F5" s="1281"/>
      <c r="G5" s="1282"/>
    </row>
    <row r="6" spans="1:7" x14ac:dyDescent="0.25">
      <c r="A6" s="1177"/>
      <c r="B6" s="1177"/>
      <c r="C6" s="1177"/>
      <c r="D6" s="1177"/>
      <c r="E6" s="1177"/>
      <c r="F6" s="1177"/>
      <c r="G6" s="1177"/>
    </row>
    <row r="7" spans="1:7" x14ac:dyDescent="0.25">
      <c r="A7" s="271" t="s">
        <v>0</v>
      </c>
      <c r="B7" s="1264" t="str">
        <f>RESUMEN!B19</f>
        <v>D00235275</v>
      </c>
      <c r="C7" s="1265"/>
      <c r="D7" s="1177"/>
      <c r="E7" s="1266" t="s">
        <v>627</v>
      </c>
      <c r="F7" s="1267"/>
      <c r="G7" s="280" t="str">
        <f>RESUMEN!E19</f>
        <v>17-120</v>
      </c>
    </row>
    <row r="8" spans="1:7" x14ac:dyDescent="0.25">
      <c r="A8" s="271" t="s">
        <v>628</v>
      </c>
      <c r="B8" s="1264" t="str">
        <f>RESUMEN!C19</f>
        <v>D00235275000</v>
      </c>
      <c r="C8" s="1265"/>
      <c r="D8" s="1177"/>
      <c r="E8" s="1266" t="s">
        <v>629</v>
      </c>
      <c r="F8" s="1267"/>
      <c r="G8" s="280" t="str">
        <f>RESUMEN!U19</f>
        <v>Acta N° 4: Marzo</v>
      </c>
    </row>
    <row r="9" spans="1:7" x14ac:dyDescent="0.25">
      <c r="A9" s="271" t="s">
        <v>630</v>
      </c>
      <c r="B9" s="1283" t="s">
        <v>631</v>
      </c>
      <c r="C9" s="1265"/>
      <c r="D9" s="1177"/>
      <c r="E9" s="1266" t="s">
        <v>632</v>
      </c>
      <c r="F9" s="1267"/>
      <c r="G9" s="1178">
        <f>RESUMEN!H19</f>
        <v>6388779</v>
      </c>
    </row>
    <row r="10" spans="1:7" x14ac:dyDescent="0.25">
      <c r="A10" s="271" t="s">
        <v>633</v>
      </c>
      <c r="B10" s="1283" t="str">
        <f>RESUMEN!D19</f>
        <v>GRAN SABANA COD MED</v>
      </c>
      <c r="C10" s="1265"/>
      <c r="D10" s="1177"/>
      <c r="E10" s="1266" t="s">
        <v>634</v>
      </c>
      <c r="F10" s="1267"/>
      <c r="G10" s="1178">
        <f>RESUMEN!R19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CDIM_CADCSR_R0081, SUBESTACIÓN GRAN SABANA, Ingeniería Tablero de medida Subestación Gran Sabana para la implementación del proyecto código de medida y calidad de potencia en los transformadores D3, R2 y de la barra de 115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f>
        <v>0</v>
      </c>
      <c r="F19" s="1248"/>
      <c r="G19" s="1177"/>
    </row>
    <row r="20" spans="1:7" ht="27" customHeight="1" x14ac:dyDescent="0.25">
      <c r="A20" s="1177"/>
      <c r="B20" s="1244" t="s">
        <v>1498</v>
      </c>
      <c r="C20" s="1245"/>
      <c r="D20" s="1246"/>
      <c r="E20" s="1247">
        <f>RESUMEN!P19</f>
        <v>0</v>
      </c>
      <c r="F20" s="1248"/>
      <c r="G20" s="1177"/>
    </row>
    <row r="21" spans="1:7" ht="27" customHeight="1" x14ac:dyDescent="0.25">
      <c r="A21" s="1177"/>
      <c r="B21" s="1244" t="s">
        <v>1499</v>
      </c>
      <c r="C21" s="1245"/>
      <c r="D21" s="1246"/>
      <c r="E21" s="1247">
        <f>RESUMEN!Q19</f>
        <v>0</v>
      </c>
      <c r="F21" s="1248"/>
      <c r="G21" s="1177"/>
    </row>
    <row r="22" spans="1:7" x14ac:dyDescent="0.25">
      <c r="A22" s="1177"/>
      <c r="B22" s="1254" t="s">
        <v>64</v>
      </c>
      <c r="C22" s="1254"/>
      <c r="D22" s="1254"/>
      <c r="E22" s="1255">
        <f>RESUMEN!R19</f>
        <v>0</v>
      </c>
      <c r="F22" s="1255"/>
      <c r="G22" s="1177"/>
    </row>
    <row r="23" spans="1:7" x14ac:dyDescent="0.25">
      <c r="A23" s="1177"/>
      <c r="B23" s="1256" t="s">
        <v>66</v>
      </c>
      <c r="C23" s="1256"/>
      <c r="D23" s="1256"/>
      <c r="E23" s="1257">
        <f>RESUMEN!S19</f>
        <v>0</v>
      </c>
      <c r="F23" s="1257"/>
      <c r="G23" s="1177"/>
    </row>
    <row r="24" spans="1:7" x14ac:dyDescent="0.25">
      <c r="A24" s="1177"/>
      <c r="B24" s="1258" t="s">
        <v>1</v>
      </c>
      <c r="C24" s="1258"/>
      <c r="D24" s="1258"/>
      <c r="E24" s="1259">
        <f>RESUMEN!T19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+'OT17-120 GRAN SABANA COD MED'!T48</f>
        <v>ACTA 1</v>
      </c>
      <c r="C28" s="1253">
        <f>+'OT17-120 GRAN SABANA COD MED'!U48</f>
        <v>1291894</v>
      </c>
      <c r="D28" s="1253"/>
      <c r="E28" s="267">
        <f>+'OT17-120 GRAN SABANA COD MED'!V48</f>
        <v>0.20221297371532182</v>
      </c>
      <c r="F28" s="1177"/>
      <c r="G28" s="1177"/>
    </row>
    <row r="29" spans="1:7" x14ac:dyDescent="0.25">
      <c r="A29" s="1177"/>
      <c r="B29" s="280" t="str">
        <f>+'OT17-120 GRAN SABANA COD MED'!T49</f>
        <v>ACTA 2</v>
      </c>
      <c r="C29" s="1253">
        <f>+'OT17-120 GRAN SABANA COD MED'!U49</f>
        <v>3914681</v>
      </c>
      <c r="D29" s="1253"/>
      <c r="E29" s="267">
        <f>+'OT17-120 GRAN SABANA COD MED'!V49</f>
        <v>0.61274321744420956</v>
      </c>
      <c r="F29" s="1177"/>
      <c r="G29" s="1177"/>
    </row>
    <row r="30" spans="1:7" x14ac:dyDescent="0.25">
      <c r="A30" s="1177"/>
      <c r="B30" s="280" t="str">
        <f>+'OT17-120 GRAN SABANA COD MED'!T50</f>
        <v>ACTA 3</v>
      </c>
      <c r="C30" s="1253">
        <f>+'OT17-120 GRAN SABANA COD MED'!U50</f>
        <v>292504</v>
      </c>
      <c r="D30" s="1253"/>
      <c r="E30" s="267">
        <f>+'OT17-120 GRAN SABANA COD MED'!V50</f>
        <v>4.5784022267791699E-2</v>
      </c>
      <c r="F30" s="1177"/>
      <c r="G30" s="1177"/>
    </row>
    <row r="31" spans="1:7" x14ac:dyDescent="0.25">
      <c r="A31" s="1177"/>
      <c r="B31" s="280" t="str">
        <f>+'OT17-120 GRAN SABANA COD MED'!T51</f>
        <v>ACTA 4</v>
      </c>
      <c r="C31" s="1253">
        <f>+'OT17-120 GRAN SABANA COD MED'!U51</f>
        <v>0</v>
      </c>
      <c r="D31" s="1253"/>
      <c r="E31" s="267">
        <f>+'OT17-120 GRAN SABANA COD MED'!V51</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5499079</v>
      </c>
      <c r="D34" s="1251"/>
      <c r="E34" s="264">
        <f>SUM(E28:E33)</f>
        <v>0.86074021342732299</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tabColor theme="9" tint="-0.249977111117893"/>
  </sheetPr>
  <dimension ref="A1:Z58"/>
  <sheetViews>
    <sheetView topLeftCell="C25" zoomScale="70" zoomScaleNormal="70" zoomScaleSheetLayoutView="55" workbookViewId="0">
      <selection activeCell="F55" sqref="F55"/>
    </sheetView>
  </sheetViews>
  <sheetFormatPr baseColWidth="10" defaultColWidth="11.44140625" defaultRowHeight="14.4" x14ac:dyDescent="0.3"/>
  <cols>
    <col min="1" max="1" width="16.88671875" style="189" customWidth="1"/>
    <col min="2" max="2" width="22.5546875" style="189" customWidth="1"/>
    <col min="3" max="3" width="34.33203125" style="189" customWidth="1"/>
    <col min="4" max="4" width="23.5546875" style="189" customWidth="1"/>
    <col min="5" max="5" width="11.6640625" style="189" customWidth="1"/>
    <col min="6" max="6" width="17.88671875" style="189" customWidth="1"/>
    <col min="7" max="7" width="17.88671875" style="796" customWidth="1"/>
    <col min="8" max="8" width="16.5546875" style="189" customWidth="1"/>
    <col min="9" max="9" width="16.5546875" style="796" customWidth="1"/>
    <col min="10" max="10" width="52"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hidden="1" customWidth="1"/>
    <col min="18" max="18" width="18" style="189" hidden="1" customWidth="1"/>
    <col min="19" max="19" width="12.33203125" style="189" hidden="1" customWidth="1"/>
    <col min="20" max="20" width="17.88671875" style="189" customWidth="1"/>
    <col min="21" max="21" width="18" style="189" customWidth="1"/>
    <col min="22" max="22" width="12.33203125" style="189" bestFit="1" customWidth="1"/>
    <col min="23" max="23" width="17.88671875" style="189" bestFit="1" customWidth="1"/>
    <col min="24" max="24" width="16.5546875" style="189" bestFit="1" customWidth="1"/>
    <col min="25" max="16384" width="11.44140625" style="189"/>
  </cols>
  <sheetData>
    <row r="1" spans="1:26" s="302" customFormat="1" ht="15"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9"/>
      <c r="W1" s="1303" t="s">
        <v>163</v>
      </c>
      <c r="X1" s="1303"/>
      <c r="Y1" s="1304"/>
    </row>
    <row r="2" spans="1:26"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2"/>
      <c r="W2" s="1305" t="s">
        <v>41</v>
      </c>
      <c r="X2" s="1305"/>
      <c r="Y2" s="1306"/>
    </row>
    <row r="3" spans="1:26"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6"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6"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6"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6" s="302" customFormat="1" ht="15.75" customHeight="1" x14ac:dyDescent="0.3">
      <c r="A7" s="1291" t="s">
        <v>917</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6"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6" s="302" customFormat="1" ht="13.5" customHeight="1" x14ac:dyDescent="0.3">
      <c r="A9" s="1292" t="s">
        <v>2327</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6" s="302" customFormat="1" ht="13.5" customHeight="1" x14ac:dyDescent="0.3">
      <c r="A10" s="1292" t="s">
        <v>918</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6" s="302" customFormat="1" ht="13.5" customHeight="1" x14ac:dyDescent="0.3">
      <c r="A11" s="354"/>
      <c r="B11" s="1318"/>
      <c r="C11" s="1320"/>
      <c r="D11" s="1320"/>
      <c r="E11" s="1320"/>
      <c r="F11" s="1320"/>
      <c r="G11" s="1320"/>
      <c r="H11" s="1320"/>
      <c r="I11" s="1320"/>
      <c r="J11" s="1320"/>
      <c r="K11" s="1293" t="s">
        <v>46</v>
      </c>
      <c r="L11" s="1294"/>
      <c r="M11" s="1295"/>
      <c r="N11" s="1293" t="s">
        <v>353</v>
      </c>
      <c r="O11" s="1294"/>
      <c r="P11" s="1295"/>
      <c r="Q11" s="1293" t="s">
        <v>1406</v>
      </c>
      <c r="R11" s="1294"/>
      <c r="S11" s="1295"/>
      <c r="T11" s="1293" t="s">
        <v>2319</v>
      </c>
      <c r="U11" s="1294"/>
      <c r="V11" s="1295"/>
      <c r="W11" s="1299" t="s">
        <v>49</v>
      </c>
      <c r="X11" s="1299"/>
      <c r="Y11" s="1299"/>
    </row>
    <row r="12" spans="1:26" s="302" customFormat="1"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300"/>
      <c r="X12" s="1300"/>
      <c r="Y12" s="1300"/>
    </row>
    <row r="13" spans="1:26"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row>
    <row r="14" spans="1:26" ht="28.8" x14ac:dyDescent="0.3">
      <c r="A14" s="1314" t="s">
        <v>201</v>
      </c>
      <c r="B14" s="1314" t="s">
        <v>165</v>
      </c>
      <c r="C14" s="355" t="s">
        <v>81</v>
      </c>
      <c r="D14" s="355" t="s">
        <v>166</v>
      </c>
      <c r="E14" s="355">
        <v>0</v>
      </c>
      <c r="F14" s="192">
        <v>1149124</v>
      </c>
      <c r="G14" s="32">
        <f>+ROUND(F14*1.051,0)</f>
        <v>1207729</v>
      </c>
      <c r="H14" s="192">
        <f>ROUND((E14*F14),0)</f>
        <v>0</v>
      </c>
      <c r="I14" s="32">
        <f>+ROUND(G14*E14,0)</f>
        <v>0</v>
      </c>
      <c r="J14" s="1314" t="s">
        <v>919</v>
      </c>
      <c r="K14" s="158">
        <v>0</v>
      </c>
      <c r="L14" s="194">
        <f>ROUND(K14*F14,0)</f>
        <v>0</v>
      </c>
      <c r="M14" s="195">
        <v>0</v>
      </c>
      <c r="N14" s="158">
        <v>0</v>
      </c>
      <c r="O14" s="194">
        <f>ROUND(N14*$F$14,0)</f>
        <v>0</v>
      </c>
      <c r="P14" s="195">
        <v>0</v>
      </c>
      <c r="Q14" s="158">
        <v>0</v>
      </c>
      <c r="R14" s="194">
        <f>ROUND(Q14*$F$14,0)</f>
        <v>0</v>
      </c>
      <c r="S14" s="195">
        <v>0</v>
      </c>
      <c r="T14" s="432">
        <v>0</v>
      </c>
      <c r="U14" s="425">
        <f t="shared" ref="U14:U16" si="0">ROUND(T14*G14,0)</f>
        <v>0</v>
      </c>
      <c r="V14" s="604">
        <v>0</v>
      </c>
      <c r="W14" s="149">
        <f t="shared" ref="W14:X16" si="1">K14+N14+Q14+T14</f>
        <v>0</v>
      </c>
      <c r="X14" s="175">
        <f t="shared" si="1"/>
        <v>0</v>
      </c>
      <c r="Y14" s="176">
        <v>0</v>
      </c>
    </row>
    <row r="15" spans="1:26" ht="28.8" x14ac:dyDescent="0.3">
      <c r="A15" s="1314"/>
      <c r="B15" s="1314"/>
      <c r="C15" s="355" t="s">
        <v>83</v>
      </c>
      <c r="D15" s="355" t="s">
        <v>167</v>
      </c>
      <c r="E15" s="355">
        <v>0</v>
      </c>
      <c r="F15" s="192">
        <v>2646468</v>
      </c>
      <c r="G15" s="32">
        <f t="shared" ref="G15:G36" si="2">+ROUND(F15*1.051,0)</f>
        <v>2781438</v>
      </c>
      <c r="H15" s="192">
        <f>ROUND((E15*F15),0)</f>
        <v>0</v>
      </c>
      <c r="I15" s="32">
        <f t="shared" ref="I15:I36" si="3">+ROUND(G15*E15,0)</f>
        <v>0</v>
      </c>
      <c r="J15" s="1314"/>
      <c r="K15" s="158">
        <v>0</v>
      </c>
      <c r="L15" s="194">
        <f>ROUND(K15*F15,0)</f>
        <v>0</v>
      </c>
      <c r="M15" s="195">
        <v>0</v>
      </c>
      <c r="N15" s="158">
        <v>0</v>
      </c>
      <c r="O15" s="194">
        <f>ROUND(N15*$F$15,0)</f>
        <v>0</v>
      </c>
      <c r="P15" s="195">
        <v>0</v>
      </c>
      <c r="Q15" s="158">
        <v>0</v>
      </c>
      <c r="R15" s="194">
        <f>ROUND(Q15*$F$15,0)</f>
        <v>0</v>
      </c>
      <c r="S15" s="195">
        <v>0</v>
      </c>
      <c r="T15" s="432">
        <v>0</v>
      </c>
      <c r="U15" s="425">
        <f t="shared" si="0"/>
        <v>0</v>
      </c>
      <c r="V15" s="604">
        <v>0</v>
      </c>
      <c r="W15" s="416">
        <f t="shared" si="1"/>
        <v>0</v>
      </c>
      <c r="X15" s="175">
        <f t="shared" si="1"/>
        <v>0</v>
      </c>
      <c r="Y15" s="176">
        <v>0</v>
      </c>
    </row>
    <row r="16" spans="1:26" ht="28.8" x14ac:dyDescent="0.3">
      <c r="A16" s="1314"/>
      <c r="B16" s="1314"/>
      <c r="C16" s="355" t="s">
        <v>61</v>
      </c>
      <c r="D16" s="355" t="s">
        <v>168</v>
      </c>
      <c r="E16" s="355">
        <v>0.35</v>
      </c>
      <c r="F16" s="192">
        <v>2542001</v>
      </c>
      <c r="G16" s="32">
        <f t="shared" si="2"/>
        <v>2671643</v>
      </c>
      <c r="H16" s="192">
        <f>ROUND((E16*F16),0)</f>
        <v>889700</v>
      </c>
      <c r="I16" s="32">
        <f t="shared" si="3"/>
        <v>935075</v>
      </c>
      <c r="J16" s="1314"/>
      <c r="K16" s="158">
        <v>0</v>
      </c>
      <c r="L16" s="194">
        <f>ROUND(K16*F16,0)</f>
        <v>0</v>
      </c>
      <c r="M16" s="195">
        <f>L16/H16</f>
        <v>0</v>
      </c>
      <c r="N16" s="158">
        <v>0</v>
      </c>
      <c r="O16" s="194">
        <f>ROUND(N16*$F$16,0)</f>
        <v>0</v>
      </c>
      <c r="P16" s="195">
        <f>O16/$H$16</f>
        <v>0</v>
      </c>
      <c r="Q16" s="158">
        <v>0</v>
      </c>
      <c r="R16" s="194">
        <f>ROUND(Q16*$F$16,0)</f>
        <v>0</v>
      </c>
      <c r="S16" s="195">
        <f>R16/$H$16</f>
        <v>0</v>
      </c>
      <c r="T16" s="432">
        <v>0</v>
      </c>
      <c r="U16" s="425">
        <f t="shared" si="0"/>
        <v>0</v>
      </c>
      <c r="V16" s="604">
        <f t="shared" ref="V16" si="4">U16/I16</f>
        <v>0</v>
      </c>
      <c r="W16" s="416">
        <f t="shared" si="1"/>
        <v>0</v>
      </c>
      <c r="X16" s="175">
        <f t="shared" si="1"/>
        <v>0</v>
      </c>
      <c r="Y16" s="176">
        <f>X16/H16</f>
        <v>0</v>
      </c>
      <c r="Z16" s="189" t="s">
        <v>2205</v>
      </c>
    </row>
    <row r="17" spans="1:25" x14ac:dyDescent="0.3">
      <c r="A17" s="1314"/>
      <c r="B17" s="1314"/>
      <c r="C17" s="196"/>
      <c r="D17" s="196" t="s">
        <v>169</v>
      </c>
      <c r="E17" s="198"/>
      <c r="F17" s="198"/>
      <c r="G17" s="198"/>
      <c r="H17" s="199">
        <f>SUM(H14:H16)</f>
        <v>889700</v>
      </c>
      <c r="I17" s="199">
        <f>SUM(I14:I16)</f>
        <v>935075</v>
      </c>
      <c r="J17" s="1314"/>
      <c r="K17" s="306"/>
      <c r="L17" s="307">
        <f>SUM(L14:L16)</f>
        <v>0</v>
      </c>
      <c r="M17" s="308">
        <f>L17/H17</f>
        <v>0</v>
      </c>
      <c r="N17" s="306"/>
      <c r="O17" s="307">
        <f>SUM(O14:O16)</f>
        <v>0</v>
      </c>
      <c r="P17" s="308">
        <f>O17/$H$17</f>
        <v>0</v>
      </c>
      <c r="Q17" s="306"/>
      <c r="R17" s="307">
        <f>SUM(R14:R16)</f>
        <v>0</v>
      </c>
      <c r="S17" s="308">
        <f>R17/$H$17</f>
        <v>0</v>
      </c>
      <c r="T17" s="428"/>
      <c r="U17" s="307">
        <f>SUM(U14:U16)</f>
        <v>0</v>
      </c>
      <c r="V17" s="431">
        <f>U17/$I$17</f>
        <v>0</v>
      </c>
      <c r="W17" s="306"/>
      <c r="X17" s="307">
        <f t="shared" ref="X17:X37" si="5">L17+O17+R17+U17</f>
        <v>0</v>
      </c>
      <c r="Y17" s="308">
        <f>X17/H17</f>
        <v>0</v>
      </c>
    </row>
    <row r="18" spans="1:25" ht="28.8" x14ac:dyDescent="0.3">
      <c r="A18" s="1314" t="s">
        <v>201</v>
      </c>
      <c r="B18" s="1314" t="s">
        <v>170</v>
      </c>
      <c r="C18" s="355" t="s">
        <v>83</v>
      </c>
      <c r="D18" s="355" t="s">
        <v>123</v>
      </c>
      <c r="E18" s="355">
        <v>0</v>
      </c>
      <c r="F18" s="192">
        <v>1044658</v>
      </c>
      <c r="G18" s="32">
        <f t="shared" si="2"/>
        <v>1097936</v>
      </c>
      <c r="H18" s="192">
        <f>ROUND((E18*F18),0)</f>
        <v>0</v>
      </c>
      <c r="I18" s="32">
        <f t="shared" si="3"/>
        <v>0</v>
      </c>
      <c r="J18" s="1314" t="s">
        <v>920</v>
      </c>
      <c r="K18" s="158">
        <v>0</v>
      </c>
      <c r="L18" s="194">
        <f>ROUND(K18*F18,0)</f>
        <v>0</v>
      </c>
      <c r="M18" s="195">
        <v>0</v>
      </c>
      <c r="N18" s="158">
        <v>0</v>
      </c>
      <c r="O18" s="194">
        <f>ROUND(N18*$F$18,0)</f>
        <v>0</v>
      </c>
      <c r="P18" s="195">
        <v>0</v>
      </c>
      <c r="Q18" s="158">
        <v>0</v>
      </c>
      <c r="R18" s="194">
        <f>ROUND(Q18*$F$18,0)</f>
        <v>0</v>
      </c>
      <c r="S18" s="195">
        <v>0</v>
      </c>
      <c r="T18" s="432">
        <v>0</v>
      </c>
      <c r="U18" s="425">
        <f t="shared" ref="U18:U19" si="6">ROUND(T18*G18,0)</f>
        <v>0</v>
      </c>
      <c r="V18" s="604">
        <v>0</v>
      </c>
      <c r="W18" s="416">
        <f>K18+N18+Q18+T18</f>
        <v>0</v>
      </c>
      <c r="X18" s="175">
        <f t="shared" si="5"/>
        <v>0</v>
      </c>
      <c r="Y18" s="176">
        <v>0</v>
      </c>
    </row>
    <row r="19" spans="1:25" ht="28.8" x14ac:dyDescent="0.3">
      <c r="A19" s="1314"/>
      <c r="B19" s="1314"/>
      <c r="C19" s="355" t="s">
        <v>61</v>
      </c>
      <c r="D19" s="355" t="s">
        <v>125</v>
      </c>
      <c r="E19" s="355">
        <v>0.7</v>
      </c>
      <c r="F19" s="192">
        <v>1009836</v>
      </c>
      <c r="G19" s="32">
        <f t="shared" si="2"/>
        <v>1061338</v>
      </c>
      <c r="H19" s="192">
        <f>ROUND((E19*F19),0)</f>
        <v>706885</v>
      </c>
      <c r="I19" s="32">
        <f t="shared" si="3"/>
        <v>742937</v>
      </c>
      <c r="J19" s="1314"/>
      <c r="K19" s="158">
        <v>0</v>
      </c>
      <c r="L19" s="194">
        <f>ROUND(K19*F19,0)</f>
        <v>0</v>
      </c>
      <c r="M19" s="195">
        <f>L19/H19</f>
        <v>0</v>
      </c>
      <c r="N19" s="303">
        <v>0.7</v>
      </c>
      <c r="O19" s="304">
        <f>ROUND(N19*$F$19,0)</f>
        <v>706885</v>
      </c>
      <c r="P19" s="305">
        <f>O19/$H$19</f>
        <v>1</v>
      </c>
      <c r="Q19" s="158">
        <v>0</v>
      </c>
      <c r="R19" s="194">
        <f>ROUND(Q19*$F$19,0)</f>
        <v>0</v>
      </c>
      <c r="S19" s="195">
        <f>R19/$H$19</f>
        <v>0</v>
      </c>
      <c r="T19" s="432">
        <v>0</v>
      </c>
      <c r="U19" s="425">
        <f t="shared" si="6"/>
        <v>0</v>
      </c>
      <c r="V19" s="604">
        <f>U19/I19</f>
        <v>0</v>
      </c>
      <c r="W19" s="416">
        <f>K19+N19+Q19+T19</f>
        <v>0.7</v>
      </c>
      <c r="X19" s="175">
        <f t="shared" si="5"/>
        <v>706885</v>
      </c>
      <c r="Y19" s="176">
        <f>X19/H19</f>
        <v>1</v>
      </c>
    </row>
    <row r="20" spans="1:25" x14ac:dyDescent="0.3">
      <c r="A20" s="1314"/>
      <c r="B20" s="1314"/>
      <c r="C20" s="196"/>
      <c r="D20" s="196" t="s">
        <v>126</v>
      </c>
      <c r="E20" s="198"/>
      <c r="F20" s="198"/>
      <c r="G20" s="198"/>
      <c r="H20" s="199">
        <f>SUM(H18:H19)</f>
        <v>706885</v>
      </c>
      <c r="I20" s="199">
        <f>SUM(I18:I19)</f>
        <v>742937</v>
      </c>
      <c r="J20" s="1314"/>
      <c r="K20" s="306"/>
      <c r="L20" s="307">
        <f>SUM(L18:L19)</f>
        <v>0</v>
      </c>
      <c r="M20" s="308">
        <f>L20/H20</f>
        <v>0</v>
      </c>
      <c r="N20" s="306"/>
      <c r="O20" s="307">
        <f>SUM(O18:O19)</f>
        <v>706885</v>
      </c>
      <c r="P20" s="308">
        <f>O20/$H$20</f>
        <v>1</v>
      </c>
      <c r="Q20" s="306"/>
      <c r="R20" s="307">
        <f>SUM(R18:R19)</f>
        <v>0</v>
      </c>
      <c r="S20" s="308">
        <f>R20/$H$20</f>
        <v>0</v>
      </c>
      <c r="T20" s="428"/>
      <c r="U20" s="307">
        <f>SUM(U18:U19)</f>
        <v>0</v>
      </c>
      <c r="V20" s="431">
        <f>U20/$I$20</f>
        <v>0</v>
      </c>
      <c r="W20" s="306"/>
      <c r="X20" s="307">
        <f t="shared" si="5"/>
        <v>706885</v>
      </c>
      <c r="Y20" s="308">
        <f>X20/H20</f>
        <v>1</v>
      </c>
    </row>
    <row r="21" spans="1:25" ht="28.8" x14ac:dyDescent="0.3">
      <c r="A21" s="1314" t="s">
        <v>306</v>
      </c>
      <c r="B21" s="1314" t="s">
        <v>282</v>
      </c>
      <c r="C21" s="355" t="s">
        <v>81</v>
      </c>
      <c r="D21" s="355" t="s">
        <v>105</v>
      </c>
      <c r="E21" s="355">
        <v>0.7</v>
      </c>
      <c r="F21" s="192">
        <v>417863</v>
      </c>
      <c r="G21" s="32">
        <f t="shared" si="2"/>
        <v>439174</v>
      </c>
      <c r="H21" s="192">
        <f>ROUND((E21*F21),0)</f>
        <v>292504</v>
      </c>
      <c r="I21" s="32">
        <f t="shared" si="3"/>
        <v>307422</v>
      </c>
      <c r="J21" s="1314" t="s">
        <v>921</v>
      </c>
      <c r="K21" s="158">
        <v>0</v>
      </c>
      <c r="L21" s="194">
        <f>ROUND(K21*F21,0)</f>
        <v>0</v>
      </c>
      <c r="M21" s="195">
        <f>L21/H21</f>
        <v>0</v>
      </c>
      <c r="N21" s="158">
        <v>0</v>
      </c>
      <c r="O21" s="194">
        <f>ROUND(N21*$F$21,0)</f>
        <v>0</v>
      </c>
      <c r="P21" s="195">
        <f>O21/$H$21</f>
        <v>0</v>
      </c>
      <c r="Q21" s="433">
        <v>0.7</v>
      </c>
      <c r="R21" s="429">
        <f>ROUND(Q21*$F$21,0)</f>
        <v>292504</v>
      </c>
      <c r="S21" s="430">
        <f>R21/$H$21</f>
        <v>1</v>
      </c>
      <c r="T21" s="432">
        <v>0</v>
      </c>
      <c r="U21" s="425">
        <f t="shared" ref="U21:U22" si="7">ROUND(T21*G21,0)</f>
        <v>0</v>
      </c>
      <c r="V21" s="604">
        <f t="shared" ref="V21:V22" si="8">+U21/I21</f>
        <v>0</v>
      </c>
      <c r="W21" s="416">
        <f>K21+N21+Q21+T21</f>
        <v>0.7</v>
      </c>
      <c r="X21" s="175">
        <f t="shared" si="5"/>
        <v>292504</v>
      </c>
      <c r="Y21" s="176">
        <f>X21/H21</f>
        <v>1</v>
      </c>
    </row>
    <row r="22" spans="1:25" ht="28.8" x14ac:dyDescent="0.3">
      <c r="A22" s="1314"/>
      <c r="B22" s="1314"/>
      <c r="C22" s="355" t="s">
        <v>83</v>
      </c>
      <c r="D22" s="355" t="s">
        <v>107</v>
      </c>
      <c r="E22" s="355">
        <v>0.7</v>
      </c>
      <c r="F22" s="192">
        <v>1845563</v>
      </c>
      <c r="G22" s="32">
        <f t="shared" si="2"/>
        <v>1939687</v>
      </c>
      <c r="H22" s="192">
        <f>ROUND((E22*F22),0)</f>
        <v>1291894</v>
      </c>
      <c r="I22" s="32">
        <f t="shared" si="3"/>
        <v>1357781</v>
      </c>
      <c r="J22" s="1314"/>
      <c r="K22" s="303">
        <v>0.7</v>
      </c>
      <c r="L22" s="304">
        <f>ROUND(K22*F22,0)</f>
        <v>1291894</v>
      </c>
      <c r="M22" s="305">
        <f>L22/H22</f>
        <v>1</v>
      </c>
      <c r="N22" s="158">
        <v>0</v>
      </c>
      <c r="O22" s="194">
        <f>ROUND(N22*$F$22,0)</f>
        <v>0</v>
      </c>
      <c r="P22" s="195">
        <f>O22/$H$22</f>
        <v>0</v>
      </c>
      <c r="Q22" s="158">
        <v>0</v>
      </c>
      <c r="R22" s="194">
        <f>ROUND(Q22*$F$22,0)</f>
        <v>0</v>
      </c>
      <c r="S22" s="195">
        <f>R22/$H$22</f>
        <v>0</v>
      </c>
      <c r="T22" s="432">
        <v>0</v>
      </c>
      <c r="U22" s="425">
        <f t="shared" si="7"/>
        <v>0</v>
      </c>
      <c r="V22" s="604">
        <f t="shared" si="8"/>
        <v>0</v>
      </c>
      <c r="W22" s="416">
        <f>K22+N22+Q22+T22</f>
        <v>0.7</v>
      </c>
      <c r="X22" s="175">
        <f t="shared" si="5"/>
        <v>1291894</v>
      </c>
      <c r="Y22" s="176">
        <f>X22/H22</f>
        <v>1</v>
      </c>
    </row>
    <row r="23" spans="1:25" x14ac:dyDescent="0.3">
      <c r="A23" s="1314"/>
      <c r="B23" s="1314"/>
      <c r="C23" s="196"/>
      <c r="D23" s="196" t="s">
        <v>108</v>
      </c>
      <c r="E23" s="198"/>
      <c r="F23" s="198"/>
      <c r="G23" s="198"/>
      <c r="H23" s="199">
        <f>SUM(H21:H22)</f>
        <v>1584398</v>
      </c>
      <c r="I23" s="199">
        <f>SUM(I21:I22)</f>
        <v>1665203</v>
      </c>
      <c r="J23" s="1314"/>
      <c r="K23" s="306"/>
      <c r="L23" s="307">
        <f>SUM(L21:L22)</f>
        <v>1291894</v>
      </c>
      <c r="M23" s="308">
        <f>L23/H23</f>
        <v>0.81538477074573434</v>
      </c>
      <c r="N23" s="306"/>
      <c r="O23" s="307">
        <f>SUM(O21:O22)</f>
        <v>0</v>
      </c>
      <c r="P23" s="308">
        <f>O23/$H$23</f>
        <v>0</v>
      </c>
      <c r="Q23" s="306"/>
      <c r="R23" s="307">
        <f>SUM(R21:R22)</f>
        <v>292504</v>
      </c>
      <c r="S23" s="308">
        <f>R23/$H$23</f>
        <v>0.18461522925426566</v>
      </c>
      <c r="T23" s="428"/>
      <c r="U23" s="307">
        <f>SUM(U21:U22)</f>
        <v>0</v>
      </c>
      <c r="V23" s="431">
        <f>U23/$I$23</f>
        <v>0</v>
      </c>
      <c r="W23" s="306"/>
      <c r="X23" s="307">
        <f t="shared" si="5"/>
        <v>1584398</v>
      </c>
      <c r="Y23" s="308">
        <f>X23/H23</f>
        <v>1</v>
      </c>
    </row>
    <row r="24" spans="1:25" ht="28.8" x14ac:dyDescent="0.3">
      <c r="A24" s="1314" t="s">
        <v>922</v>
      </c>
      <c r="B24" s="1314" t="s">
        <v>217</v>
      </c>
      <c r="C24" s="355" t="s">
        <v>81</v>
      </c>
      <c r="D24" s="355" t="s">
        <v>218</v>
      </c>
      <c r="E24" s="355">
        <v>0</v>
      </c>
      <c r="F24" s="192">
        <v>1149124</v>
      </c>
      <c r="G24" s="32">
        <f t="shared" si="2"/>
        <v>1207729</v>
      </c>
      <c r="H24" s="192">
        <f>ROUND((E24*F24),0)</f>
        <v>0</v>
      </c>
      <c r="I24" s="32">
        <f t="shared" si="3"/>
        <v>0</v>
      </c>
      <c r="J24" s="1314" t="s">
        <v>923</v>
      </c>
      <c r="K24" s="158">
        <v>0</v>
      </c>
      <c r="L24" s="194">
        <f>ROUND(K24*F24,0)</f>
        <v>0</v>
      </c>
      <c r="M24" s="195">
        <v>0</v>
      </c>
      <c r="N24" s="158">
        <v>0</v>
      </c>
      <c r="O24" s="194">
        <f>ROUND(N24*$F$24,0)</f>
        <v>0</v>
      </c>
      <c r="P24" s="195">
        <v>0</v>
      </c>
      <c r="Q24" s="158">
        <v>0</v>
      </c>
      <c r="R24" s="194">
        <f>ROUND(Q24*$F$24,0)</f>
        <v>0</v>
      </c>
      <c r="S24" s="195">
        <v>0</v>
      </c>
      <c r="T24" s="432">
        <v>0</v>
      </c>
      <c r="U24" s="425">
        <f t="shared" ref="U24" si="9">ROUND(T24*G24,0)</f>
        <v>0</v>
      </c>
      <c r="V24" s="604">
        <v>0</v>
      </c>
      <c r="W24" s="416">
        <f>K24+N24+Q24+T24</f>
        <v>0</v>
      </c>
      <c r="X24" s="175">
        <f t="shared" si="5"/>
        <v>0</v>
      </c>
      <c r="Y24" s="176">
        <v>0</v>
      </c>
    </row>
    <row r="25" spans="1:25" ht="28.8" x14ac:dyDescent="0.3">
      <c r="A25" s="1314"/>
      <c r="B25" s="1314"/>
      <c r="C25" s="355" t="s">
        <v>83</v>
      </c>
      <c r="D25" s="355" t="s">
        <v>219</v>
      </c>
      <c r="E25" s="355">
        <v>0</v>
      </c>
      <c r="F25" s="192">
        <v>2646468</v>
      </c>
      <c r="G25" s="32">
        <f t="shared" si="2"/>
        <v>2781438</v>
      </c>
      <c r="H25" s="192">
        <f>ROUND((E25*F25),0)</f>
        <v>0</v>
      </c>
      <c r="I25" s="32">
        <f t="shared" si="3"/>
        <v>0</v>
      </c>
      <c r="J25" s="1314"/>
      <c r="K25" s="158">
        <v>0</v>
      </c>
      <c r="L25" s="194">
        <f>ROUND(K25*F25,0)</f>
        <v>0</v>
      </c>
      <c r="M25" s="195">
        <v>0</v>
      </c>
      <c r="N25" s="158">
        <v>0</v>
      </c>
      <c r="O25" s="194">
        <f>ROUND(N25*$F$25,0)</f>
        <v>0</v>
      </c>
      <c r="P25" s="195">
        <v>0</v>
      </c>
      <c r="Q25" s="158">
        <v>0</v>
      </c>
      <c r="R25" s="194">
        <f>ROUND(Q25*$F$25,0)</f>
        <v>0</v>
      </c>
      <c r="S25" s="195">
        <v>0</v>
      </c>
      <c r="T25" s="432">
        <v>0</v>
      </c>
      <c r="U25" s="425">
        <f t="shared" ref="U25:U26" si="10">ROUND(T25*G25,0)</f>
        <v>0</v>
      </c>
      <c r="V25" s="604">
        <v>0</v>
      </c>
      <c r="W25" s="416">
        <f>K25+N25+Q25+T25</f>
        <v>0</v>
      </c>
      <c r="X25" s="175">
        <f t="shared" si="5"/>
        <v>0</v>
      </c>
      <c r="Y25" s="176">
        <v>0</v>
      </c>
    </row>
    <row r="26" spans="1:25" ht="28.8" x14ac:dyDescent="0.3">
      <c r="A26" s="1314"/>
      <c r="B26" s="1314"/>
      <c r="C26" s="355" t="s">
        <v>61</v>
      </c>
      <c r="D26" s="355" t="s">
        <v>220</v>
      </c>
      <c r="E26" s="355">
        <v>0.28000000000000003</v>
      </c>
      <c r="F26" s="192">
        <v>3203618</v>
      </c>
      <c r="G26" s="32">
        <f t="shared" si="2"/>
        <v>3367003</v>
      </c>
      <c r="H26" s="192">
        <f>ROUND((E26*F26),0)</f>
        <v>897013</v>
      </c>
      <c r="I26" s="32">
        <f t="shared" si="3"/>
        <v>942761</v>
      </c>
      <c r="J26" s="1314"/>
      <c r="K26" s="158">
        <v>0</v>
      </c>
      <c r="L26" s="194">
        <f>ROUND(K26*F26,0)</f>
        <v>0</v>
      </c>
      <c r="M26" s="195">
        <f>L26/H26</f>
        <v>0</v>
      </c>
      <c r="N26" s="303">
        <v>0.28000000000000003</v>
      </c>
      <c r="O26" s="304">
        <f>ROUND(N26*$F$26,0)</f>
        <v>897013</v>
      </c>
      <c r="P26" s="305">
        <f>O26/$H$26</f>
        <v>1</v>
      </c>
      <c r="Q26" s="158">
        <v>0</v>
      </c>
      <c r="R26" s="194">
        <f>ROUND(Q26*$F$26,0)</f>
        <v>0</v>
      </c>
      <c r="S26" s="195">
        <f>R26/$H$26</f>
        <v>0</v>
      </c>
      <c r="T26" s="432">
        <v>0</v>
      </c>
      <c r="U26" s="425">
        <f t="shared" si="10"/>
        <v>0</v>
      </c>
      <c r="V26" s="604">
        <f t="shared" ref="V26" si="11">+U26/I26</f>
        <v>0</v>
      </c>
      <c r="W26" s="416">
        <f>K26+N26+Q26+T26</f>
        <v>0.28000000000000003</v>
      </c>
      <c r="X26" s="175">
        <f t="shared" si="5"/>
        <v>897013</v>
      </c>
      <c r="Y26" s="176">
        <f>X26/H26</f>
        <v>1</v>
      </c>
    </row>
    <row r="27" spans="1:25" x14ac:dyDescent="0.3">
      <c r="A27" s="1314"/>
      <c r="B27" s="1314"/>
      <c r="C27" s="196"/>
      <c r="D27" s="196" t="s">
        <v>221</v>
      </c>
      <c r="E27" s="198"/>
      <c r="F27" s="198"/>
      <c r="G27" s="198"/>
      <c r="H27" s="199">
        <f>SUM(H24:H26)</f>
        <v>897013</v>
      </c>
      <c r="I27" s="199">
        <f>SUM(I24:I26)</f>
        <v>942761</v>
      </c>
      <c r="J27" s="1314"/>
      <c r="K27" s="306"/>
      <c r="L27" s="307">
        <f>SUM(L24:L26)</f>
        <v>0</v>
      </c>
      <c r="M27" s="308">
        <f>L27/H27</f>
        <v>0</v>
      </c>
      <c r="N27" s="306"/>
      <c r="O27" s="307">
        <f>SUM(O24:O26)</f>
        <v>897013</v>
      </c>
      <c r="P27" s="308">
        <f>O27/$H$27</f>
        <v>1</v>
      </c>
      <c r="Q27" s="306"/>
      <c r="R27" s="307">
        <f>SUM(R24:R26)</f>
        <v>0</v>
      </c>
      <c r="S27" s="308">
        <f>R27/$H$27</f>
        <v>0</v>
      </c>
      <c r="T27" s="428"/>
      <c r="U27" s="307">
        <f>SUM(U24:U26)</f>
        <v>0</v>
      </c>
      <c r="V27" s="431">
        <f>U27/$I$27</f>
        <v>0</v>
      </c>
      <c r="W27" s="306"/>
      <c r="X27" s="307">
        <f t="shared" si="5"/>
        <v>897013</v>
      </c>
      <c r="Y27" s="308">
        <f>X27/H27</f>
        <v>1</v>
      </c>
    </row>
    <row r="28" spans="1:25" ht="28.8" x14ac:dyDescent="0.3">
      <c r="A28" s="1314" t="s">
        <v>922</v>
      </c>
      <c r="B28" s="1314" t="s">
        <v>170</v>
      </c>
      <c r="C28" s="355" t="s">
        <v>83</v>
      </c>
      <c r="D28" s="355" t="s">
        <v>123</v>
      </c>
      <c r="E28" s="355">
        <v>0</v>
      </c>
      <c r="F28" s="192">
        <v>1044658</v>
      </c>
      <c r="G28" s="32">
        <f t="shared" si="2"/>
        <v>1097936</v>
      </c>
      <c r="H28" s="192">
        <f>ROUND((E28*F28),0)</f>
        <v>0</v>
      </c>
      <c r="I28" s="32">
        <f t="shared" si="3"/>
        <v>0</v>
      </c>
      <c r="J28" s="1314" t="s">
        <v>924</v>
      </c>
      <c r="K28" s="158">
        <v>0</v>
      </c>
      <c r="L28" s="194">
        <f>ROUND(K28*F28,0)</f>
        <v>0</v>
      </c>
      <c r="M28" s="195">
        <v>0</v>
      </c>
      <c r="N28" s="158">
        <v>0</v>
      </c>
      <c r="O28" s="194">
        <f>ROUND(N28*$F$28,0)</f>
        <v>0</v>
      </c>
      <c r="P28" s="195">
        <v>0</v>
      </c>
      <c r="Q28" s="158">
        <v>0</v>
      </c>
      <c r="R28" s="194">
        <f>ROUND(Q28*$F$28,0)</f>
        <v>0</v>
      </c>
      <c r="S28" s="195">
        <v>0</v>
      </c>
      <c r="T28" s="432">
        <v>0</v>
      </c>
      <c r="U28" s="425">
        <f t="shared" ref="U28:U29" si="12">ROUND(T28*G28,0)</f>
        <v>0</v>
      </c>
      <c r="V28" s="604">
        <v>0</v>
      </c>
      <c r="W28" s="416">
        <f>K28+N28+Q28+T28</f>
        <v>0</v>
      </c>
      <c r="X28" s="175">
        <f t="shared" si="5"/>
        <v>0</v>
      </c>
      <c r="Y28" s="176">
        <v>0</v>
      </c>
    </row>
    <row r="29" spans="1:25" ht="28.8" x14ac:dyDescent="0.3">
      <c r="A29" s="1314"/>
      <c r="B29" s="1314"/>
      <c r="C29" s="355" t="s">
        <v>61</v>
      </c>
      <c r="D29" s="355" t="s">
        <v>125</v>
      </c>
      <c r="E29" s="355">
        <v>0.7</v>
      </c>
      <c r="F29" s="192">
        <v>1009836</v>
      </c>
      <c r="G29" s="32">
        <f t="shared" si="2"/>
        <v>1061338</v>
      </c>
      <c r="H29" s="192">
        <f>ROUND((E29*F29),0)</f>
        <v>706885</v>
      </c>
      <c r="I29" s="32">
        <f t="shared" si="3"/>
        <v>742937</v>
      </c>
      <c r="J29" s="1314"/>
      <c r="K29" s="158">
        <v>0</v>
      </c>
      <c r="L29" s="194">
        <f>ROUND(K29*F29,0)</f>
        <v>0</v>
      </c>
      <c r="M29" s="195">
        <f>L29/H29</f>
        <v>0</v>
      </c>
      <c r="N29" s="303">
        <v>0.7</v>
      </c>
      <c r="O29" s="304">
        <f>ROUND(N29*$F$29,0)</f>
        <v>706885</v>
      </c>
      <c r="P29" s="305">
        <f>O29/$H$29</f>
        <v>1</v>
      </c>
      <c r="Q29" s="158">
        <v>0</v>
      </c>
      <c r="R29" s="194">
        <f>ROUND(Q29*$F$29,0)</f>
        <v>0</v>
      </c>
      <c r="S29" s="195">
        <f>R29/$H$29</f>
        <v>0</v>
      </c>
      <c r="T29" s="432">
        <v>0</v>
      </c>
      <c r="U29" s="425">
        <f t="shared" si="12"/>
        <v>0</v>
      </c>
      <c r="V29" s="604">
        <f t="shared" ref="V29" si="13">+U29/I29</f>
        <v>0</v>
      </c>
      <c r="W29" s="416">
        <f>K29+N29+Q29+T29</f>
        <v>0.7</v>
      </c>
      <c r="X29" s="175">
        <f t="shared" si="5"/>
        <v>706885</v>
      </c>
      <c r="Y29" s="176">
        <f>X29/H29</f>
        <v>1</v>
      </c>
    </row>
    <row r="30" spans="1:25" x14ac:dyDescent="0.3">
      <c r="A30" s="1314"/>
      <c r="B30" s="1314"/>
      <c r="C30" s="196"/>
      <c r="D30" s="196" t="s">
        <v>126</v>
      </c>
      <c r="E30" s="198"/>
      <c r="F30" s="198"/>
      <c r="G30" s="198"/>
      <c r="H30" s="199">
        <f>SUM(H28:H29)</f>
        <v>706885</v>
      </c>
      <c r="I30" s="199">
        <f>SUM(I28:I29)</f>
        <v>742937</v>
      </c>
      <c r="J30" s="1314"/>
      <c r="K30" s="306"/>
      <c r="L30" s="307">
        <f>SUM(L28:L29)</f>
        <v>0</v>
      </c>
      <c r="M30" s="308">
        <f>L30/H30</f>
        <v>0</v>
      </c>
      <c r="N30" s="306"/>
      <c r="O30" s="307">
        <f>SUM(O28:O29)</f>
        <v>706885</v>
      </c>
      <c r="P30" s="308">
        <f>O30/$H$30</f>
        <v>1</v>
      </c>
      <c r="Q30" s="306"/>
      <c r="R30" s="307">
        <f>SUM(R28:R29)</f>
        <v>0</v>
      </c>
      <c r="S30" s="308">
        <f>R30/$H$30</f>
        <v>0</v>
      </c>
      <c r="T30" s="428"/>
      <c r="U30" s="307">
        <f>SUM(U28:U29)</f>
        <v>0</v>
      </c>
      <c r="V30" s="431">
        <f>U30/$I$30</f>
        <v>0</v>
      </c>
      <c r="W30" s="306"/>
      <c r="X30" s="307">
        <f t="shared" si="5"/>
        <v>706885</v>
      </c>
      <c r="Y30" s="308">
        <f>X30/H30</f>
        <v>1</v>
      </c>
    </row>
    <row r="31" spans="1:25" ht="28.8" x14ac:dyDescent="0.3">
      <c r="A31" s="1314" t="s">
        <v>307</v>
      </c>
      <c r="B31" s="1314" t="s">
        <v>217</v>
      </c>
      <c r="C31" s="355" t="s">
        <v>81</v>
      </c>
      <c r="D31" s="355" t="s">
        <v>218</v>
      </c>
      <c r="E31" s="355">
        <v>0</v>
      </c>
      <c r="F31" s="192">
        <v>1149124</v>
      </c>
      <c r="G31" s="32">
        <f t="shared" si="2"/>
        <v>1207729</v>
      </c>
      <c r="H31" s="192">
        <f>ROUND((E31*F31),0)</f>
        <v>0</v>
      </c>
      <c r="I31" s="32">
        <f t="shared" si="3"/>
        <v>0</v>
      </c>
      <c r="J31" s="1314" t="s">
        <v>923</v>
      </c>
      <c r="K31" s="158">
        <v>0</v>
      </c>
      <c r="L31" s="194">
        <f>ROUND(K31*F31,0)</f>
        <v>0</v>
      </c>
      <c r="M31" s="195">
        <v>0</v>
      </c>
      <c r="N31" s="158">
        <v>0</v>
      </c>
      <c r="O31" s="194">
        <f>ROUND(N31*$F$31,0)</f>
        <v>0</v>
      </c>
      <c r="P31" s="195">
        <v>0</v>
      </c>
      <c r="Q31" s="158">
        <v>0</v>
      </c>
      <c r="R31" s="194">
        <f>ROUND(Q31*$F$31,0)</f>
        <v>0</v>
      </c>
      <c r="S31" s="195">
        <v>0</v>
      </c>
      <c r="T31" s="432">
        <v>0</v>
      </c>
      <c r="U31" s="425">
        <f t="shared" ref="U31:U33" si="14">ROUND(T31*G31,0)</f>
        <v>0</v>
      </c>
      <c r="V31" s="604">
        <v>0</v>
      </c>
      <c r="W31" s="416">
        <f>K31+N31+Q31+T31</f>
        <v>0</v>
      </c>
      <c r="X31" s="175">
        <f t="shared" si="5"/>
        <v>0</v>
      </c>
      <c r="Y31" s="176">
        <v>0</v>
      </c>
    </row>
    <row r="32" spans="1:25" ht="28.8" x14ac:dyDescent="0.3">
      <c r="A32" s="1314"/>
      <c r="B32" s="1314"/>
      <c r="C32" s="355" t="s">
        <v>83</v>
      </c>
      <c r="D32" s="355" t="s">
        <v>219</v>
      </c>
      <c r="E32" s="355">
        <v>0</v>
      </c>
      <c r="F32" s="192">
        <v>2646468</v>
      </c>
      <c r="G32" s="32">
        <f t="shared" si="2"/>
        <v>2781438</v>
      </c>
      <c r="H32" s="192">
        <f>ROUND((E32*F32),0)</f>
        <v>0</v>
      </c>
      <c r="I32" s="32">
        <f t="shared" si="3"/>
        <v>0</v>
      </c>
      <c r="J32" s="1314"/>
      <c r="K32" s="158">
        <v>0</v>
      </c>
      <c r="L32" s="194">
        <f>ROUND(K32*F32,0)</f>
        <v>0</v>
      </c>
      <c r="M32" s="195">
        <v>0</v>
      </c>
      <c r="N32" s="158">
        <v>0</v>
      </c>
      <c r="O32" s="194">
        <f>ROUND(N32*$F$32,0)</f>
        <v>0</v>
      </c>
      <c r="P32" s="195">
        <v>0</v>
      </c>
      <c r="Q32" s="158">
        <v>0</v>
      </c>
      <c r="R32" s="194">
        <f>ROUND(Q32*$F$32,0)</f>
        <v>0</v>
      </c>
      <c r="S32" s="195">
        <v>0</v>
      </c>
      <c r="T32" s="432">
        <v>0</v>
      </c>
      <c r="U32" s="425">
        <f t="shared" si="14"/>
        <v>0</v>
      </c>
      <c r="V32" s="604">
        <v>0</v>
      </c>
      <c r="W32" s="416">
        <f>K32+N32+Q32+T32</f>
        <v>0</v>
      </c>
      <c r="X32" s="175">
        <f t="shared" si="5"/>
        <v>0</v>
      </c>
      <c r="Y32" s="176">
        <v>0</v>
      </c>
    </row>
    <row r="33" spans="1:25" ht="28.8" x14ac:dyDescent="0.3">
      <c r="A33" s="1314"/>
      <c r="B33" s="1314"/>
      <c r="C33" s="355" t="s">
        <v>61</v>
      </c>
      <c r="D33" s="355" t="s">
        <v>220</v>
      </c>
      <c r="E33" s="355">
        <v>0.28000000000000003</v>
      </c>
      <c r="F33" s="192">
        <v>3203618</v>
      </c>
      <c r="G33" s="32">
        <f t="shared" si="2"/>
        <v>3367003</v>
      </c>
      <c r="H33" s="192">
        <f>ROUND((E33*F33),0)</f>
        <v>897013</v>
      </c>
      <c r="I33" s="32">
        <f t="shared" si="3"/>
        <v>942761</v>
      </c>
      <c r="J33" s="1314"/>
      <c r="K33" s="158">
        <v>0</v>
      </c>
      <c r="L33" s="194">
        <f>ROUND(K33*F33,0)</f>
        <v>0</v>
      </c>
      <c r="M33" s="195">
        <f>L33/H33</f>
        <v>0</v>
      </c>
      <c r="N33" s="303">
        <v>0.28000000000000003</v>
      </c>
      <c r="O33" s="304">
        <f>ROUND(N33*$F$33,0)</f>
        <v>897013</v>
      </c>
      <c r="P33" s="305">
        <f>O33/$H$33</f>
        <v>1</v>
      </c>
      <c r="Q33" s="158">
        <v>0</v>
      </c>
      <c r="R33" s="194">
        <f>ROUND(Q33*$F$33,0)</f>
        <v>0</v>
      </c>
      <c r="S33" s="195">
        <f>R33/$H$33</f>
        <v>0</v>
      </c>
      <c r="T33" s="432">
        <v>0</v>
      </c>
      <c r="U33" s="425">
        <f t="shared" si="14"/>
        <v>0</v>
      </c>
      <c r="V33" s="604">
        <f t="shared" ref="V33" si="15">+U33/I33</f>
        <v>0</v>
      </c>
      <c r="W33" s="416">
        <f>K33+N33+Q33+T33</f>
        <v>0.28000000000000003</v>
      </c>
      <c r="X33" s="175">
        <f t="shared" si="5"/>
        <v>897013</v>
      </c>
      <c r="Y33" s="176">
        <f>X33/H33</f>
        <v>1</v>
      </c>
    </row>
    <row r="34" spans="1:25" x14ac:dyDescent="0.3">
      <c r="A34" s="1314"/>
      <c r="B34" s="1314"/>
      <c r="C34" s="196"/>
      <c r="D34" s="196" t="s">
        <v>221</v>
      </c>
      <c r="E34" s="198"/>
      <c r="F34" s="198"/>
      <c r="G34" s="198"/>
      <c r="H34" s="199">
        <f>SUM(H31:H33)</f>
        <v>897013</v>
      </c>
      <c r="I34" s="199">
        <f>SUM(I31:I33)</f>
        <v>942761</v>
      </c>
      <c r="J34" s="1314"/>
      <c r="K34" s="306"/>
      <c r="L34" s="307">
        <f>SUM(L31:L33)</f>
        <v>0</v>
      </c>
      <c r="M34" s="308">
        <f>L34/H34</f>
        <v>0</v>
      </c>
      <c r="N34" s="306"/>
      <c r="O34" s="307">
        <f>SUM(O31:O33)</f>
        <v>897013</v>
      </c>
      <c r="P34" s="308">
        <f>O34/$H$34</f>
        <v>1</v>
      </c>
      <c r="Q34" s="306"/>
      <c r="R34" s="307">
        <f>SUM(R31:R33)</f>
        <v>0</v>
      </c>
      <c r="S34" s="308">
        <f>R34/$H$34</f>
        <v>0</v>
      </c>
      <c r="T34" s="428"/>
      <c r="U34" s="307">
        <f>SUM(U31:U33)</f>
        <v>0</v>
      </c>
      <c r="V34" s="431">
        <f>U34/$I$34</f>
        <v>0</v>
      </c>
      <c r="W34" s="306"/>
      <c r="X34" s="307">
        <f t="shared" si="5"/>
        <v>897013</v>
      </c>
      <c r="Y34" s="308">
        <f>X34/H34</f>
        <v>1</v>
      </c>
    </row>
    <row r="35" spans="1:25" ht="28.8" x14ac:dyDescent="0.3">
      <c r="A35" s="1314" t="s">
        <v>307</v>
      </c>
      <c r="B35" s="1314" t="s">
        <v>170</v>
      </c>
      <c r="C35" s="355" t="s">
        <v>83</v>
      </c>
      <c r="D35" s="355" t="s">
        <v>123</v>
      </c>
      <c r="E35" s="355">
        <v>0</v>
      </c>
      <c r="F35" s="192">
        <v>1044658</v>
      </c>
      <c r="G35" s="32">
        <f t="shared" si="2"/>
        <v>1097936</v>
      </c>
      <c r="H35" s="192">
        <f>ROUND((E35*F35),0)</f>
        <v>0</v>
      </c>
      <c r="I35" s="32">
        <f t="shared" si="3"/>
        <v>0</v>
      </c>
      <c r="J35" s="1314" t="s">
        <v>924</v>
      </c>
      <c r="K35" s="158">
        <v>0</v>
      </c>
      <c r="L35" s="194">
        <f>ROUND(K35*F35,0)</f>
        <v>0</v>
      </c>
      <c r="M35" s="195">
        <v>0</v>
      </c>
      <c r="N35" s="158">
        <v>0</v>
      </c>
      <c r="O35" s="194">
        <f>ROUND(N35*$F$35,0)</f>
        <v>0</v>
      </c>
      <c r="P35" s="195">
        <v>0</v>
      </c>
      <c r="Q35" s="158">
        <v>0</v>
      </c>
      <c r="R35" s="194">
        <f>ROUND(Q35*$F$35,0)</f>
        <v>0</v>
      </c>
      <c r="S35" s="195">
        <v>0</v>
      </c>
      <c r="T35" s="432">
        <v>0</v>
      </c>
      <c r="U35" s="425">
        <f t="shared" ref="U35:U36" si="16">ROUND(T35*G35,0)</f>
        <v>0</v>
      </c>
      <c r="V35" s="604">
        <v>0</v>
      </c>
      <c r="W35" s="416">
        <f>K35+N35+Q35+T35</f>
        <v>0</v>
      </c>
      <c r="X35" s="175">
        <f t="shared" si="5"/>
        <v>0</v>
      </c>
      <c r="Y35" s="176">
        <v>0</v>
      </c>
    </row>
    <row r="36" spans="1:25" ht="28.8" x14ac:dyDescent="0.3">
      <c r="A36" s="1314"/>
      <c r="B36" s="1314"/>
      <c r="C36" s="355" t="s">
        <v>61</v>
      </c>
      <c r="D36" s="355" t="s">
        <v>125</v>
      </c>
      <c r="E36" s="355">
        <v>0.7</v>
      </c>
      <c r="F36" s="192">
        <v>1009836</v>
      </c>
      <c r="G36" s="32">
        <f t="shared" si="2"/>
        <v>1061338</v>
      </c>
      <c r="H36" s="192">
        <f>ROUND((E36*F36),0)</f>
        <v>706885</v>
      </c>
      <c r="I36" s="32">
        <f t="shared" si="3"/>
        <v>742937</v>
      </c>
      <c r="J36" s="1314"/>
      <c r="K36" s="158">
        <v>0</v>
      </c>
      <c r="L36" s="194">
        <f>ROUND(K36*F36,0)</f>
        <v>0</v>
      </c>
      <c r="M36" s="195">
        <f>L36/H36</f>
        <v>0</v>
      </c>
      <c r="N36" s="303">
        <v>0.7</v>
      </c>
      <c r="O36" s="304">
        <f>ROUND(N36*$F$36,0)</f>
        <v>706885</v>
      </c>
      <c r="P36" s="305">
        <f>O36/$H$36</f>
        <v>1</v>
      </c>
      <c r="Q36" s="158">
        <v>0</v>
      </c>
      <c r="R36" s="194">
        <f>ROUND(Q36*$F$36,0)</f>
        <v>0</v>
      </c>
      <c r="S36" s="195">
        <f>R36/$H$36</f>
        <v>0</v>
      </c>
      <c r="T36" s="432">
        <v>0</v>
      </c>
      <c r="U36" s="425">
        <f t="shared" si="16"/>
        <v>0</v>
      </c>
      <c r="V36" s="604">
        <f t="shared" ref="V36" si="17">+U36/I36</f>
        <v>0</v>
      </c>
      <c r="W36" s="416">
        <f>K36+N36+Q36+T36</f>
        <v>0.7</v>
      </c>
      <c r="X36" s="175">
        <f t="shared" si="5"/>
        <v>706885</v>
      </c>
      <c r="Y36" s="176">
        <f>X36/H36</f>
        <v>1</v>
      </c>
    </row>
    <row r="37" spans="1:25" x14ac:dyDescent="0.3">
      <c r="A37" s="1314"/>
      <c r="B37" s="1314"/>
      <c r="C37" s="196"/>
      <c r="D37" s="196" t="s">
        <v>126</v>
      </c>
      <c r="E37" s="198"/>
      <c r="F37" s="198"/>
      <c r="G37" s="198"/>
      <c r="H37" s="199">
        <f>SUM(H35:H36)</f>
        <v>706885</v>
      </c>
      <c r="I37" s="199">
        <f>SUM(I35:I36)</f>
        <v>742937</v>
      </c>
      <c r="J37" s="1314"/>
      <c r="K37" s="306"/>
      <c r="L37" s="307">
        <f>SUM(L35:L36)</f>
        <v>0</v>
      </c>
      <c r="M37" s="308">
        <f>L37/H37</f>
        <v>0</v>
      </c>
      <c r="N37" s="306"/>
      <c r="O37" s="307">
        <f>SUM(O35:O36)</f>
        <v>706885</v>
      </c>
      <c r="P37" s="308">
        <f>O37/$H$37</f>
        <v>1</v>
      </c>
      <c r="Q37" s="306"/>
      <c r="R37" s="307">
        <f>SUM(R35:R36)</f>
        <v>0</v>
      </c>
      <c r="S37" s="308">
        <f>R37/$H$37</f>
        <v>0</v>
      </c>
      <c r="T37" s="428"/>
      <c r="U37" s="307">
        <f>SUM(U35:U36)</f>
        <v>0</v>
      </c>
      <c r="V37" s="431">
        <f>U37/$I$37</f>
        <v>0</v>
      </c>
      <c r="W37" s="306"/>
      <c r="X37" s="307">
        <f t="shared" si="5"/>
        <v>706885</v>
      </c>
      <c r="Y37" s="308">
        <f>X37/H37</f>
        <v>1</v>
      </c>
    </row>
    <row r="38" spans="1:25" x14ac:dyDescent="0.3">
      <c r="F38" s="151" t="s">
        <v>64</v>
      </c>
      <c r="G38" s="151"/>
      <c r="H38" s="181">
        <f>SUM(H14:H37)/2</f>
        <v>6388779</v>
      </c>
      <c r="I38" s="138"/>
      <c r="K38" s="152" t="s">
        <v>64</v>
      </c>
      <c r="L38" s="181">
        <f>SUM(L14:L37)/2</f>
        <v>1291894</v>
      </c>
      <c r="M38" s="201">
        <f>L38/H38</f>
        <v>0.20221297371532182</v>
      </c>
      <c r="N38" s="152" t="s">
        <v>64</v>
      </c>
      <c r="O38" s="181">
        <f>SUM(O14:O37)/2</f>
        <v>3914681</v>
      </c>
      <c r="P38" s="201">
        <f>O38/$H$38</f>
        <v>0.61274321744420956</v>
      </c>
      <c r="Q38" s="152" t="s">
        <v>64</v>
      </c>
      <c r="R38" s="181">
        <f>SUM(R14:R37)/2</f>
        <v>292504</v>
      </c>
      <c r="S38" s="201">
        <f>R38/$H$38</f>
        <v>4.5784022267791699E-2</v>
      </c>
      <c r="T38" s="484" t="s">
        <v>64</v>
      </c>
      <c r="U38" s="481">
        <f>SUM(U14:U37)/2</f>
        <v>0</v>
      </c>
      <c r="W38" s="484" t="s">
        <v>64</v>
      </c>
      <c r="X38" s="481">
        <f>SUM(X14:X37)/2</f>
        <v>5499079</v>
      </c>
    </row>
    <row r="39" spans="1:25" x14ac:dyDescent="0.3">
      <c r="F39" s="153" t="s">
        <v>65</v>
      </c>
      <c r="G39" s="816"/>
      <c r="H39" s="182">
        <v>0</v>
      </c>
      <c r="I39" s="138"/>
      <c r="K39" s="153" t="s">
        <v>65</v>
      </c>
      <c r="L39" s="182">
        <v>0</v>
      </c>
      <c r="M39" s="202"/>
      <c r="N39" s="153" t="s">
        <v>65</v>
      </c>
      <c r="O39" s="182">
        <v>0</v>
      </c>
      <c r="P39" s="202"/>
      <c r="Q39" s="153" t="s">
        <v>65</v>
      </c>
      <c r="R39" s="182">
        <v>0</v>
      </c>
      <c r="S39" s="202"/>
      <c r="T39" s="482" t="s">
        <v>65</v>
      </c>
      <c r="U39" s="483">
        <v>0</v>
      </c>
      <c r="V39" s="202"/>
      <c r="W39" s="482" t="s">
        <v>65</v>
      </c>
      <c r="X39" s="483">
        <v>0</v>
      </c>
      <c r="Y39" s="202"/>
    </row>
    <row r="40" spans="1:25" x14ac:dyDescent="0.3">
      <c r="F40" s="152" t="s">
        <v>64</v>
      </c>
      <c r="G40" s="817"/>
      <c r="H40" s="182">
        <f>+H38+H39</f>
        <v>6388779</v>
      </c>
      <c r="I40" s="138"/>
      <c r="K40" s="152" t="s">
        <v>64</v>
      </c>
      <c r="L40" s="182">
        <f>+L38+L39</f>
        <v>1291894</v>
      </c>
      <c r="M40" s="202"/>
      <c r="N40" s="152" t="s">
        <v>64</v>
      </c>
      <c r="O40" s="182">
        <f>+O38+O39</f>
        <v>3914681</v>
      </c>
      <c r="P40" s="202"/>
      <c r="Q40" s="152" t="s">
        <v>64</v>
      </c>
      <c r="R40" s="182">
        <f>+R38+R39</f>
        <v>292504</v>
      </c>
      <c r="S40" s="202"/>
      <c r="T40" s="484" t="s">
        <v>64</v>
      </c>
      <c r="U40" s="483">
        <f>+U38+U39</f>
        <v>0</v>
      </c>
      <c r="V40" s="202"/>
      <c r="W40" s="484" t="s">
        <v>64</v>
      </c>
      <c r="X40" s="483">
        <f>+X38+X39</f>
        <v>5499079</v>
      </c>
      <c r="Y40" s="202"/>
    </row>
    <row r="41" spans="1:25" ht="26.4" x14ac:dyDescent="0.3">
      <c r="F41" s="152"/>
      <c r="G41" s="817"/>
      <c r="H41" s="182"/>
      <c r="I41" s="138"/>
      <c r="K41" s="484"/>
      <c r="L41" s="182"/>
      <c r="M41" s="202"/>
      <c r="N41" s="484"/>
      <c r="O41" s="182"/>
      <c r="P41" s="202"/>
      <c r="Q41" s="484"/>
      <c r="R41" s="182"/>
      <c r="S41" s="202"/>
      <c r="T41" s="484" t="s">
        <v>1439</v>
      </c>
      <c r="U41" s="483">
        <f>ROUND(U40*0.015,0)</f>
        <v>0</v>
      </c>
      <c r="V41" s="202"/>
      <c r="W41" s="484" t="s">
        <v>1439</v>
      </c>
      <c r="X41" s="483">
        <f>L41+O41+R41+U41</f>
        <v>0</v>
      </c>
      <c r="Y41" s="202"/>
    </row>
    <row r="42" spans="1:25" ht="26.4" x14ac:dyDescent="0.3">
      <c r="F42" s="152"/>
      <c r="G42" s="817"/>
      <c r="H42" s="182"/>
      <c r="I42" s="138"/>
      <c r="K42" s="152"/>
      <c r="L42" s="182"/>
      <c r="M42" s="202"/>
      <c r="N42" s="152"/>
      <c r="O42" s="182"/>
      <c r="P42" s="202"/>
      <c r="Q42" s="152"/>
      <c r="R42" s="182"/>
      <c r="S42" s="202"/>
      <c r="T42" s="152" t="s">
        <v>1440</v>
      </c>
      <c r="U42" s="182">
        <f>U40+U41</f>
        <v>0</v>
      </c>
      <c r="V42" s="201">
        <f>U42/$H$38</f>
        <v>0</v>
      </c>
      <c r="W42" s="152" t="s">
        <v>1440</v>
      </c>
      <c r="X42" s="182">
        <f>X40+X41</f>
        <v>5499079</v>
      </c>
      <c r="Y42" s="201">
        <f>X42/H38</f>
        <v>0.8607402134273231</v>
      </c>
    </row>
    <row r="43" spans="1:25" x14ac:dyDescent="0.3">
      <c r="F43" s="154" t="s">
        <v>66</v>
      </c>
      <c r="G43" s="818"/>
      <c r="H43" s="182">
        <f>+H40*19%</f>
        <v>1213868.01</v>
      </c>
      <c r="I43" s="138"/>
      <c r="K43" s="154" t="s">
        <v>66</v>
      </c>
      <c r="L43" s="182">
        <f>+L40*19%</f>
        <v>245459.86000000002</v>
      </c>
      <c r="M43" s="202"/>
      <c r="N43" s="154" t="s">
        <v>66</v>
      </c>
      <c r="O43" s="182">
        <f>+O40*19%</f>
        <v>743789.39</v>
      </c>
      <c r="P43" s="202"/>
      <c r="Q43" s="154" t="s">
        <v>66</v>
      </c>
      <c r="R43" s="182">
        <f>+R40*19%</f>
        <v>55575.76</v>
      </c>
      <c r="S43" s="202"/>
      <c r="T43" s="485" t="s">
        <v>66</v>
      </c>
      <c r="U43" s="483">
        <f>ROUND(U42*0.19,0)</f>
        <v>0</v>
      </c>
      <c r="V43" s="202"/>
      <c r="W43" s="485" t="s">
        <v>66</v>
      </c>
      <c r="X43" s="483">
        <f>ROUND(X42*0.19,0)</f>
        <v>1044825</v>
      </c>
      <c r="Y43" s="202"/>
    </row>
    <row r="44" spans="1:25" x14ac:dyDescent="0.3">
      <c r="F44" s="155" t="s">
        <v>69</v>
      </c>
      <c r="G44" s="155"/>
      <c r="H44" s="181">
        <f>+H40+H43</f>
        <v>7602647.0099999998</v>
      </c>
      <c r="I44" s="138"/>
      <c r="K44" s="155" t="s">
        <v>69</v>
      </c>
      <c r="L44" s="181">
        <f>+L40+L43</f>
        <v>1537353.86</v>
      </c>
      <c r="M44" s="202"/>
      <c r="N44" s="155" t="s">
        <v>69</v>
      </c>
      <c r="O44" s="181">
        <f>+O40+O43</f>
        <v>4658470.3899999997</v>
      </c>
      <c r="P44" s="202"/>
      <c r="Q44" s="155" t="s">
        <v>69</v>
      </c>
      <c r="R44" s="181">
        <f>+R40+R43</f>
        <v>348079.76</v>
      </c>
      <c r="S44" s="202"/>
      <c r="T44" s="545" t="s">
        <v>69</v>
      </c>
      <c r="U44" s="481">
        <f>U42+U43</f>
        <v>0</v>
      </c>
      <c r="V44" s="202"/>
      <c r="W44" s="545" t="s">
        <v>69</v>
      </c>
      <c r="X44" s="481">
        <f>X42+X43</f>
        <v>6543904</v>
      </c>
      <c r="Y44" s="202"/>
    </row>
    <row r="47" spans="1:25" s="302" customFormat="1" x14ac:dyDescent="0.3">
      <c r="A47" s="183" t="s">
        <v>67</v>
      </c>
      <c r="B47" s="184"/>
      <c r="C47" s="184"/>
      <c r="D47" s="185" t="s">
        <v>68</v>
      </c>
      <c r="E47" s="80"/>
      <c r="G47" s="795"/>
      <c r="I47" s="795"/>
      <c r="K47" s="186" t="s">
        <v>70</v>
      </c>
      <c r="L47" s="187" t="s">
        <v>71</v>
      </c>
      <c r="M47" s="186" t="s">
        <v>58</v>
      </c>
      <c r="N47" s="186" t="s">
        <v>70</v>
      </c>
      <c r="O47" s="187" t="s">
        <v>71</v>
      </c>
      <c r="P47" s="186" t="s">
        <v>58</v>
      </c>
      <c r="Q47" s="186" t="s">
        <v>70</v>
      </c>
      <c r="R47" s="187" t="s">
        <v>71</v>
      </c>
      <c r="S47" s="186" t="s">
        <v>58</v>
      </c>
      <c r="T47" s="186" t="s">
        <v>70</v>
      </c>
      <c r="U47" s="187" t="s">
        <v>71</v>
      </c>
      <c r="V47" s="186" t="s">
        <v>58</v>
      </c>
      <c r="W47" s="189"/>
      <c r="X47" s="189"/>
      <c r="Y47" s="189"/>
    </row>
    <row r="48" spans="1:25" s="302" customFormat="1" x14ac:dyDescent="0.3">
      <c r="A48" s="183"/>
      <c r="B48" s="184"/>
      <c r="C48" s="184"/>
      <c r="D48" s="185"/>
      <c r="E48" s="80"/>
      <c r="G48" s="795"/>
      <c r="I48" s="795"/>
      <c r="K48" s="203" t="s">
        <v>72</v>
      </c>
      <c r="L48" s="204">
        <f>L38</f>
        <v>1291894</v>
      </c>
      <c r="M48" s="205">
        <f>M38</f>
        <v>0.20221297371532182</v>
      </c>
      <c r="N48" s="203" t="s">
        <v>72</v>
      </c>
      <c r="O48" s="204">
        <f>$L$38</f>
        <v>1291894</v>
      </c>
      <c r="P48" s="205">
        <f>$M$38</f>
        <v>0.20221297371532182</v>
      </c>
      <c r="Q48" s="203" t="s">
        <v>72</v>
      </c>
      <c r="R48" s="204">
        <f>$L$38</f>
        <v>1291894</v>
      </c>
      <c r="S48" s="205">
        <f>$M$38</f>
        <v>0.20221297371532182</v>
      </c>
      <c r="T48" s="203" t="s">
        <v>72</v>
      </c>
      <c r="U48" s="204">
        <f>$L$38</f>
        <v>1291894</v>
      </c>
      <c r="V48" s="205">
        <f>$M$38</f>
        <v>0.20221297371532182</v>
      </c>
      <c r="W48" s="189"/>
      <c r="X48" s="189"/>
      <c r="Y48" s="189"/>
    </row>
    <row r="49" spans="1:25" s="302" customFormat="1" x14ac:dyDescent="0.3">
      <c r="A49" s="183"/>
      <c r="B49" s="184"/>
      <c r="C49" s="184"/>
      <c r="D49" s="185"/>
      <c r="E49" s="80"/>
      <c r="G49" s="795"/>
      <c r="I49" s="795"/>
      <c r="K49" s="203"/>
      <c r="L49" s="204"/>
      <c r="M49" s="205"/>
      <c r="N49" s="203" t="s">
        <v>73</v>
      </c>
      <c r="O49" s="204">
        <f>$O$38</f>
        <v>3914681</v>
      </c>
      <c r="P49" s="205">
        <f>$P$38</f>
        <v>0.61274321744420956</v>
      </c>
      <c r="Q49" s="203" t="s">
        <v>73</v>
      </c>
      <c r="R49" s="204">
        <f>$O$38</f>
        <v>3914681</v>
      </c>
      <c r="S49" s="205">
        <f>$P$38</f>
        <v>0.61274321744420956</v>
      </c>
      <c r="T49" s="203" t="s">
        <v>73</v>
      </c>
      <c r="U49" s="204">
        <f>$O$38</f>
        <v>3914681</v>
      </c>
      <c r="V49" s="205">
        <f>$P$38</f>
        <v>0.61274321744420956</v>
      </c>
      <c r="W49" s="189"/>
      <c r="X49" s="189"/>
      <c r="Y49" s="189"/>
    </row>
    <row r="50" spans="1:25" s="302" customFormat="1" x14ac:dyDescent="0.3">
      <c r="A50" s="183"/>
      <c r="B50" s="184"/>
      <c r="C50" s="184"/>
      <c r="D50" s="185"/>
      <c r="E50" s="80"/>
      <c r="G50" s="795"/>
      <c r="I50" s="795"/>
      <c r="K50" s="203"/>
      <c r="L50" s="204"/>
      <c r="M50" s="205"/>
      <c r="N50" s="203"/>
      <c r="O50" s="204"/>
      <c r="P50" s="205"/>
      <c r="Q50" s="203" t="s">
        <v>74</v>
      </c>
      <c r="R50" s="204">
        <f>R38</f>
        <v>292504</v>
      </c>
      <c r="S50" s="205">
        <f>S38</f>
        <v>4.5784022267791699E-2</v>
      </c>
      <c r="T50" s="203" t="s">
        <v>74</v>
      </c>
      <c r="U50" s="204">
        <f>$R$38</f>
        <v>292504</v>
      </c>
      <c r="V50" s="205">
        <f>$S$38</f>
        <v>4.5784022267791699E-2</v>
      </c>
      <c r="W50" s="189"/>
      <c r="X50" s="189"/>
      <c r="Y50" s="189"/>
    </row>
    <row r="51" spans="1:25" s="302" customFormat="1" x14ac:dyDescent="0.3">
      <c r="A51" s="183"/>
      <c r="B51" s="184"/>
      <c r="C51" s="184"/>
      <c r="D51" s="185"/>
      <c r="E51" s="80"/>
      <c r="G51" s="795"/>
      <c r="I51" s="795"/>
      <c r="K51" s="203"/>
      <c r="L51" s="204"/>
      <c r="M51" s="205"/>
      <c r="N51" s="203"/>
      <c r="O51" s="204"/>
      <c r="P51" s="205"/>
      <c r="Q51" s="203"/>
      <c r="R51" s="204"/>
      <c r="S51" s="205"/>
      <c r="T51" s="203" t="s">
        <v>155</v>
      </c>
      <c r="U51" s="204">
        <f>$U$42</f>
        <v>0</v>
      </c>
      <c r="V51" s="205">
        <f>$V$42</f>
        <v>0</v>
      </c>
      <c r="W51" s="189"/>
      <c r="X51" s="189"/>
      <c r="Y51" s="189"/>
    </row>
    <row r="52" spans="1:25" s="302" customFormat="1" x14ac:dyDescent="0.3">
      <c r="A52" s="183"/>
      <c r="B52" s="184"/>
      <c r="C52" s="184"/>
      <c r="D52" s="185"/>
      <c r="E52" s="80"/>
      <c r="G52" s="795"/>
      <c r="I52" s="795"/>
      <c r="K52" s="206" t="s">
        <v>1</v>
      </c>
      <c r="L52" s="207">
        <f>SUM(L48:L48)</f>
        <v>1291894</v>
      </c>
      <c r="M52" s="208">
        <f>SUM(M48:M48)</f>
        <v>0.20221297371532182</v>
      </c>
      <c r="N52" s="206" t="s">
        <v>1</v>
      </c>
      <c r="O52" s="207">
        <f>SUM(O48:O49)</f>
        <v>5206575</v>
      </c>
      <c r="P52" s="208">
        <f>SUM(P48:P49)</f>
        <v>0.81495619115953133</v>
      </c>
      <c r="Q52" s="206" t="s">
        <v>1</v>
      </c>
      <c r="R52" s="207">
        <f>SUM(R48:R50)</f>
        <v>5499079</v>
      </c>
      <c r="S52" s="208">
        <f>SUM(S48:S50)</f>
        <v>0.86074021342732299</v>
      </c>
      <c r="T52" s="206" t="s">
        <v>1</v>
      </c>
      <c r="U52" s="207">
        <f>SUM(U48:U51)</f>
        <v>5499079</v>
      </c>
      <c r="V52" s="208">
        <f>SUM(V48:V51)</f>
        <v>0.86074021342732299</v>
      </c>
      <c r="W52" s="189"/>
      <c r="X52" s="189"/>
      <c r="Y52" s="189"/>
    </row>
    <row r="53" spans="1:25" s="302" customFormat="1" x14ac:dyDescent="0.3">
      <c r="A53" s="183"/>
      <c r="B53" s="184"/>
      <c r="C53" s="184"/>
      <c r="D53" s="185"/>
      <c r="E53" s="80"/>
      <c r="G53" s="795"/>
      <c r="I53" s="795"/>
      <c r="K53" s="206" t="s">
        <v>9</v>
      </c>
      <c r="L53" s="1285"/>
      <c r="M53" s="1286"/>
      <c r="N53" s="206" t="s">
        <v>9</v>
      </c>
      <c r="O53" s="1285"/>
      <c r="P53" s="1286"/>
      <c r="Q53" s="206" t="s">
        <v>9</v>
      </c>
      <c r="R53" s="1285"/>
      <c r="S53" s="1286"/>
      <c r="T53" s="206" t="s">
        <v>9</v>
      </c>
      <c r="U53" s="1285"/>
      <c r="V53" s="1286"/>
      <c r="W53" s="189"/>
      <c r="X53" s="189"/>
      <c r="Y53" s="189"/>
    </row>
    <row r="54" spans="1:25" s="302" customFormat="1" x14ac:dyDescent="0.3">
      <c r="A54" s="183"/>
      <c r="B54" s="184"/>
      <c r="C54" s="184"/>
      <c r="D54" s="185"/>
      <c r="E54" s="80"/>
      <c r="G54" s="795"/>
      <c r="I54" s="795"/>
      <c r="K54" s="156" t="s">
        <v>78</v>
      </c>
      <c r="L54" s="1285" t="s">
        <v>925</v>
      </c>
      <c r="M54" s="1286"/>
      <c r="N54" s="156" t="s">
        <v>78</v>
      </c>
      <c r="O54" s="1285" t="s">
        <v>925</v>
      </c>
      <c r="P54" s="1286"/>
      <c r="Q54" s="156" t="s">
        <v>78</v>
      </c>
      <c r="R54" s="1285" t="s">
        <v>925</v>
      </c>
      <c r="S54" s="1286"/>
      <c r="T54" s="156" t="s">
        <v>78</v>
      </c>
      <c r="U54" s="1285" t="s">
        <v>925</v>
      </c>
      <c r="V54" s="1286"/>
      <c r="W54" s="189"/>
      <c r="X54" s="189"/>
      <c r="Y54" s="189"/>
    </row>
    <row r="55" spans="1:25" s="302" customFormat="1" x14ac:dyDescent="0.3">
      <c r="A55" s="183"/>
      <c r="B55" s="184"/>
      <c r="C55" s="184"/>
      <c r="D55" s="185"/>
      <c r="E55" s="80"/>
      <c r="G55" s="795"/>
      <c r="I55" s="795"/>
      <c r="K55" s="157" t="s">
        <v>8</v>
      </c>
      <c r="L55" s="1287" t="s">
        <v>926</v>
      </c>
      <c r="M55" s="1288"/>
      <c r="N55" s="157" t="s">
        <v>8</v>
      </c>
      <c r="O55" s="1287" t="s">
        <v>926</v>
      </c>
      <c r="P55" s="1288"/>
      <c r="Q55" s="157" t="s">
        <v>8</v>
      </c>
      <c r="R55" s="1287" t="s">
        <v>926</v>
      </c>
      <c r="S55" s="1288"/>
      <c r="T55" s="157" t="s">
        <v>8</v>
      </c>
      <c r="U55" s="1287" t="s">
        <v>926</v>
      </c>
      <c r="V55" s="1288"/>
      <c r="W55" s="189"/>
      <c r="X55" s="189"/>
      <c r="Y55" s="189"/>
    </row>
    <row r="56" spans="1:25" s="302" customFormat="1" x14ac:dyDescent="0.3">
      <c r="A56" s="183"/>
      <c r="B56" s="184"/>
      <c r="C56" s="184"/>
      <c r="D56" s="185" t="s">
        <v>75</v>
      </c>
      <c r="E56" s="80"/>
      <c r="G56" s="795"/>
      <c r="I56" s="795"/>
    </row>
    <row r="57" spans="1:25" s="302" customFormat="1" x14ac:dyDescent="0.3">
      <c r="A57" s="183" t="s">
        <v>76</v>
      </c>
      <c r="B57" s="180"/>
      <c r="C57" s="180"/>
      <c r="D57" s="185" t="s">
        <v>77</v>
      </c>
      <c r="E57" s="80"/>
      <c r="G57" s="795"/>
      <c r="I57" s="795"/>
    </row>
    <row r="58" spans="1:25" s="302" customFormat="1" ht="26.4" x14ac:dyDescent="0.3">
      <c r="A58" s="183" t="s">
        <v>79</v>
      </c>
      <c r="B58" s="180"/>
      <c r="C58" s="180"/>
      <c r="D58" s="185" t="s">
        <v>80</v>
      </c>
      <c r="E58" s="80"/>
      <c r="G58" s="795"/>
      <c r="I58" s="795"/>
    </row>
  </sheetData>
  <sheetProtection formatCells="0" formatColumns="0" formatRows="0" insertColumns="0" insertRows="0" insertHyperlinks="0" deleteColumns="0" deleteRows="0" sort="0" autoFilter="0" pivotTables="0"/>
  <mergeCells count="51">
    <mergeCell ref="R53:S53"/>
    <mergeCell ref="R54:S54"/>
    <mergeCell ref="R55:S55"/>
    <mergeCell ref="A5:Y5"/>
    <mergeCell ref="W1:Y1"/>
    <mergeCell ref="W2:Y2"/>
    <mergeCell ref="A3:Y3"/>
    <mergeCell ref="A4:Y4"/>
    <mergeCell ref="B11:J11"/>
    <mergeCell ref="K11:M12"/>
    <mergeCell ref="N11:P12"/>
    <mergeCell ref="W11:Y12"/>
    <mergeCell ref="B12:J12"/>
    <mergeCell ref="Q11:S12"/>
    <mergeCell ref="A6:Y6"/>
    <mergeCell ref="A7:Y7"/>
    <mergeCell ref="A8:Y8"/>
    <mergeCell ref="A9:Y9"/>
    <mergeCell ref="A10:Y10"/>
    <mergeCell ref="A14:A17"/>
    <mergeCell ref="B14:B17"/>
    <mergeCell ref="J14:J17"/>
    <mergeCell ref="T11:V12"/>
    <mergeCell ref="A18:A20"/>
    <mergeCell ref="B18:B20"/>
    <mergeCell ref="J18:J20"/>
    <mergeCell ref="A21:A23"/>
    <mergeCell ref="B21:B23"/>
    <mergeCell ref="J21:J23"/>
    <mergeCell ref="A24:A27"/>
    <mergeCell ref="B24:B27"/>
    <mergeCell ref="J24:J27"/>
    <mergeCell ref="A28:A30"/>
    <mergeCell ref="B28:B30"/>
    <mergeCell ref="J28:J30"/>
    <mergeCell ref="U53:V53"/>
    <mergeCell ref="U54:V54"/>
    <mergeCell ref="U55:V55"/>
    <mergeCell ref="C1:V2"/>
    <mergeCell ref="A31:A34"/>
    <mergeCell ref="B31:B34"/>
    <mergeCell ref="J31:J34"/>
    <mergeCell ref="L55:M55"/>
    <mergeCell ref="O55:P55"/>
    <mergeCell ref="A35:A37"/>
    <mergeCell ref="B35:B37"/>
    <mergeCell ref="J35:J37"/>
    <mergeCell ref="L53:M53"/>
    <mergeCell ref="O53:P53"/>
    <mergeCell ref="L54:M54"/>
    <mergeCell ref="O54:P54"/>
  </mergeCells>
  <pageMargins left="0.7" right="0.7" top="0.75" bottom="0.75" header="0.3" footer="0.3"/>
  <pageSetup scale="40" orientation="landscape" r:id="rId1"/>
  <drawing r:id="rId2"/>
  <legacyDrawingHF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tabColor theme="1"/>
  </sheetPr>
  <dimension ref="A1:G49"/>
  <sheetViews>
    <sheetView topLeftCell="A31" zoomScaleNormal="100" workbookViewId="0">
      <selection activeCell="A12" sqref="A12:G1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945"/>
      <c r="B4" s="945"/>
      <c r="C4" s="945"/>
      <c r="D4" s="945"/>
      <c r="E4" s="945"/>
      <c r="F4" s="945"/>
      <c r="G4" s="945"/>
    </row>
    <row r="5" spans="1:7" ht="42" customHeight="1" x14ac:dyDescent="0.25">
      <c r="A5" s="280" t="s">
        <v>626</v>
      </c>
      <c r="B5" s="1280" t="str">
        <f>RESUMEN!G45</f>
        <v>Proyecto: Ingeniería civil para ampliación de capacidad subestación Noroeste</v>
      </c>
      <c r="C5" s="1281"/>
      <c r="D5" s="1281"/>
      <c r="E5" s="1281"/>
      <c r="F5" s="1281"/>
      <c r="G5" s="1282"/>
    </row>
    <row r="6" spans="1:7" x14ac:dyDescent="0.25">
      <c r="A6" s="945"/>
      <c r="B6" s="945"/>
      <c r="C6" s="945"/>
      <c r="D6" s="945"/>
      <c r="E6" s="945"/>
      <c r="F6" s="945"/>
      <c r="G6" s="945"/>
    </row>
    <row r="7" spans="1:7" x14ac:dyDescent="0.25">
      <c r="A7" s="271" t="s">
        <v>0</v>
      </c>
      <c r="B7" s="1264">
        <f>+RESUMEN!B50</f>
        <v>0</v>
      </c>
      <c r="C7" s="1265"/>
      <c r="D7" s="945"/>
      <c r="E7" s="1266" t="s">
        <v>627</v>
      </c>
      <c r="F7" s="1267"/>
      <c r="G7" s="280" t="str">
        <f>RESUMEN!E50</f>
        <v>17-250</v>
      </c>
    </row>
    <row r="8" spans="1:7" x14ac:dyDescent="0.25">
      <c r="A8" s="271" t="s">
        <v>628</v>
      </c>
      <c r="B8" s="1264">
        <f>+RESUMEN!C50</f>
        <v>0</v>
      </c>
      <c r="C8" s="1265"/>
      <c r="D8" s="945"/>
      <c r="E8" s="1266" t="s">
        <v>629</v>
      </c>
      <c r="F8" s="1267"/>
      <c r="G8" s="280" t="str">
        <f>RESUMEN!U50</f>
        <v>Acta N° 6: Marzo</v>
      </c>
    </row>
    <row r="9" spans="1:7" x14ac:dyDescent="0.25">
      <c r="A9" s="271" t="s">
        <v>630</v>
      </c>
      <c r="B9" s="1283" t="s">
        <v>631</v>
      </c>
      <c r="C9" s="1265"/>
      <c r="D9" s="945"/>
      <c r="E9" s="1266" t="s">
        <v>632</v>
      </c>
      <c r="F9" s="1267"/>
      <c r="G9" s="943">
        <f>RESUMEN!H50</f>
        <v>13039080</v>
      </c>
    </row>
    <row r="10" spans="1:7" x14ac:dyDescent="0.25">
      <c r="A10" s="271" t="s">
        <v>633</v>
      </c>
      <c r="B10" s="1283" t="str">
        <f>RESUMEN!D50</f>
        <v>VILLA PINZON</v>
      </c>
      <c r="C10" s="1265"/>
      <c r="D10" s="945"/>
      <c r="E10" s="1266" t="s">
        <v>634</v>
      </c>
      <c r="F10" s="1267"/>
      <c r="G10" s="943">
        <f>RESUMEN!R50</f>
        <v>0</v>
      </c>
    </row>
    <row r="11" spans="1:7" x14ac:dyDescent="0.25">
      <c r="A11" s="945"/>
      <c r="B11" s="945"/>
      <c r="C11" s="945"/>
      <c r="D11" s="945"/>
      <c r="E11" s="945"/>
      <c r="F11" s="945"/>
      <c r="G11" s="945"/>
    </row>
    <row r="12" spans="1:7" ht="76.5" customHeight="1" x14ac:dyDescent="0.25">
      <c r="A12" s="1284" t="str">
        <f>CONCATENATE("A los 15 días del mes de Febrero se reunieron en las instalaciones"," de CODENSA S.A. E.S.P., los ingenieros ", RESUMEN!V50,"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Febrero de 2018 para el ",RESUMEN!G50)</f>
        <v>A los 15 días del mes de Febrero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Febrero de 2018 para el Proyecto: EXPANSIÓN ZONAS PERIFÉRICAS MT</v>
      </c>
      <c r="B12" s="1284"/>
      <c r="C12" s="1284"/>
      <c r="D12" s="1284"/>
      <c r="E12" s="1284"/>
      <c r="F12" s="1284"/>
      <c r="G12" s="1284"/>
    </row>
    <row r="13" spans="1:7" x14ac:dyDescent="0.25">
      <c r="A13" s="945"/>
      <c r="B13" s="945"/>
      <c r="C13" s="945"/>
      <c r="D13" s="945"/>
      <c r="E13" s="945"/>
      <c r="F13" s="945"/>
      <c r="G13" s="945"/>
    </row>
    <row r="14" spans="1:7" ht="30" customHeight="1" x14ac:dyDescent="0.25">
      <c r="A14" s="1261" t="s">
        <v>2164</v>
      </c>
      <c r="B14" s="1261"/>
      <c r="C14" s="1261"/>
      <c r="D14" s="1261"/>
      <c r="E14" s="1261"/>
      <c r="F14" s="1261"/>
      <c r="G14" s="1261"/>
    </row>
    <row r="15" spans="1:7" x14ac:dyDescent="0.25">
      <c r="A15" s="945"/>
      <c r="B15" s="945"/>
      <c r="C15" s="945"/>
      <c r="D15" s="945"/>
      <c r="E15" s="945"/>
      <c r="F15" s="945"/>
      <c r="G15" s="945"/>
    </row>
    <row r="16" spans="1:7" x14ac:dyDescent="0.25">
      <c r="A16" s="1261" t="s">
        <v>635</v>
      </c>
      <c r="B16" s="1261"/>
      <c r="C16" s="1261"/>
      <c r="D16" s="1261"/>
      <c r="E16" s="1261"/>
      <c r="F16" s="1261"/>
      <c r="G16" s="1261"/>
    </row>
    <row r="17" spans="1:7" x14ac:dyDescent="0.25">
      <c r="A17" s="945"/>
      <c r="B17" s="945"/>
      <c r="C17" s="945"/>
      <c r="D17" s="945"/>
      <c r="E17" s="945"/>
      <c r="F17" s="945"/>
      <c r="G17" s="945"/>
    </row>
    <row r="18" spans="1:7" x14ac:dyDescent="0.25">
      <c r="A18" s="945"/>
      <c r="B18" s="1262" t="s">
        <v>636</v>
      </c>
      <c r="C18" s="1262"/>
      <c r="D18" s="1262"/>
      <c r="E18" s="1262" t="s">
        <v>31</v>
      </c>
      <c r="F18" s="1262"/>
      <c r="G18" s="945"/>
    </row>
    <row r="19" spans="1:7" x14ac:dyDescent="0.25">
      <c r="A19" s="945"/>
      <c r="B19" s="1263" t="s">
        <v>637</v>
      </c>
      <c r="C19" s="1263"/>
      <c r="D19" s="1263"/>
      <c r="E19" s="1247">
        <f>RESUMEN!N50</f>
        <v>0</v>
      </c>
      <c r="F19" s="1248"/>
      <c r="G19" s="945"/>
    </row>
    <row r="20" spans="1:7" ht="27" customHeight="1" x14ac:dyDescent="0.25">
      <c r="A20" s="945"/>
      <c r="B20" s="1244" t="s">
        <v>1498</v>
      </c>
      <c r="C20" s="1245"/>
      <c r="D20" s="1246"/>
      <c r="E20" s="1247">
        <f>RESUMEN!P50</f>
        <v>0</v>
      </c>
      <c r="F20" s="1248"/>
      <c r="G20" s="945"/>
    </row>
    <row r="21" spans="1:7" ht="27" customHeight="1" x14ac:dyDescent="0.25">
      <c r="A21" s="945"/>
      <c r="B21" s="1244" t="s">
        <v>1499</v>
      </c>
      <c r="C21" s="1245"/>
      <c r="D21" s="1246"/>
      <c r="E21" s="1247">
        <f>RESUMEN!Q50</f>
        <v>0</v>
      </c>
      <c r="F21" s="1248"/>
      <c r="G21" s="945"/>
    </row>
    <row r="22" spans="1:7" x14ac:dyDescent="0.25">
      <c r="A22" s="945"/>
      <c r="B22" s="1254" t="s">
        <v>64</v>
      </c>
      <c r="C22" s="1254"/>
      <c r="D22" s="1254"/>
      <c r="E22" s="1255">
        <f>RESUMEN!R50</f>
        <v>0</v>
      </c>
      <c r="F22" s="1255"/>
      <c r="G22" s="945"/>
    </row>
    <row r="23" spans="1:7" x14ac:dyDescent="0.25">
      <c r="A23" s="945"/>
      <c r="B23" s="1256" t="s">
        <v>66</v>
      </c>
      <c r="C23" s="1256"/>
      <c r="D23" s="1256"/>
      <c r="E23" s="1257">
        <f>RESUMEN!S50</f>
        <v>0</v>
      </c>
      <c r="F23" s="1257"/>
      <c r="G23" s="945"/>
    </row>
    <row r="24" spans="1:7" x14ac:dyDescent="0.25">
      <c r="A24" s="945"/>
      <c r="B24" s="1258" t="s">
        <v>1</v>
      </c>
      <c r="C24" s="1258"/>
      <c r="D24" s="1258"/>
      <c r="E24" s="1259">
        <f>RESUMEN!T50</f>
        <v>0</v>
      </c>
      <c r="F24" s="1259"/>
      <c r="G24" s="945"/>
    </row>
    <row r="25" spans="1:7" x14ac:dyDescent="0.25">
      <c r="A25" s="945"/>
      <c r="B25" s="945"/>
      <c r="C25" s="945"/>
      <c r="D25" s="945"/>
      <c r="E25" s="945"/>
      <c r="F25" s="945"/>
      <c r="G25" s="945"/>
    </row>
    <row r="26" spans="1:7" x14ac:dyDescent="0.25">
      <c r="A26" s="260" t="s">
        <v>638</v>
      </c>
      <c r="B26" s="260"/>
      <c r="C26" s="945"/>
      <c r="D26" s="945"/>
      <c r="E26" s="945"/>
      <c r="F26" s="945"/>
      <c r="G26" s="945"/>
    </row>
    <row r="27" spans="1:7" x14ac:dyDescent="0.25">
      <c r="A27" s="945"/>
      <c r="B27" s="944" t="s">
        <v>639</v>
      </c>
      <c r="C27" s="1260" t="s">
        <v>640</v>
      </c>
      <c r="D27" s="1260"/>
      <c r="E27" s="944" t="s">
        <v>641</v>
      </c>
      <c r="F27" s="945"/>
      <c r="G27" s="945"/>
    </row>
    <row r="28" spans="1:7" x14ac:dyDescent="0.25">
      <c r="A28" s="945"/>
      <c r="B28" s="280" t="str">
        <f>+'OT17-111 CIRCO COD MED TOP'!N26</f>
        <v>ACTA 1</v>
      </c>
      <c r="C28" s="1253">
        <f>+'OT17-111 CIRCO COD MED TOP'!O26</f>
        <v>3144421</v>
      </c>
      <c r="D28" s="1253"/>
      <c r="E28" s="267">
        <f>+'OT17-111 CIRCO COD MED TOP'!P26</f>
        <v>0.7</v>
      </c>
      <c r="F28" s="945"/>
      <c r="G28" s="945"/>
    </row>
    <row r="29" spans="1:7" x14ac:dyDescent="0.25">
      <c r="A29" s="945"/>
      <c r="B29" s="280" t="str">
        <f>+'OT17-111 CIRCO COD MED TOP'!N27</f>
        <v>ACTA 2</v>
      </c>
      <c r="C29" s="1253">
        <f>+'OT17-111 CIRCO COD MED TOP'!O27</f>
        <v>1437582</v>
      </c>
      <c r="D29" s="1253"/>
      <c r="E29" s="267">
        <f>+'OT17-111 CIRCO COD MED TOP'!P27</f>
        <v>0.32002947442470331</v>
      </c>
      <c r="F29" s="945"/>
      <c r="G29" s="945"/>
    </row>
    <row r="30" spans="1:7" x14ac:dyDescent="0.25">
      <c r="A30" s="945"/>
      <c r="B30" s="280"/>
      <c r="C30" s="1253"/>
      <c r="D30" s="1253"/>
      <c r="E30" s="267"/>
      <c r="F30" s="945"/>
      <c r="G30" s="945"/>
    </row>
    <row r="31" spans="1:7" x14ac:dyDescent="0.25">
      <c r="A31" s="945"/>
      <c r="B31" s="280"/>
      <c r="C31" s="1253"/>
      <c r="D31" s="1253"/>
      <c r="E31" s="267"/>
      <c r="F31" s="945"/>
      <c r="G31" s="945"/>
    </row>
    <row r="32" spans="1:7" x14ac:dyDescent="0.25">
      <c r="A32" s="945"/>
      <c r="B32" s="280"/>
      <c r="C32" s="1253"/>
      <c r="D32" s="1253"/>
      <c r="E32" s="267"/>
      <c r="F32" s="945"/>
      <c r="G32" s="945"/>
    </row>
    <row r="33" spans="1:7" x14ac:dyDescent="0.25">
      <c r="A33" s="945"/>
      <c r="B33" s="280"/>
      <c r="C33" s="1352"/>
      <c r="D33" s="1353"/>
      <c r="E33" s="267"/>
      <c r="F33" s="945"/>
      <c r="G33" s="945"/>
    </row>
    <row r="34" spans="1:7" x14ac:dyDescent="0.25">
      <c r="A34" s="945"/>
      <c r="B34" s="263" t="s">
        <v>1</v>
      </c>
      <c r="C34" s="1251">
        <f>SUM(C28:D33)</f>
        <v>4582003</v>
      </c>
      <c r="D34" s="1251"/>
      <c r="E34" s="264">
        <f>SUM(E28:E33)</f>
        <v>1.0200294744247032</v>
      </c>
      <c r="F34" s="945"/>
      <c r="G34" s="945"/>
    </row>
    <row r="35" spans="1:7" x14ac:dyDescent="0.25">
      <c r="A35" s="945"/>
      <c r="B35" s="945"/>
      <c r="C35" s="945"/>
      <c r="D35" s="945"/>
      <c r="E35" s="945"/>
      <c r="F35" s="945"/>
      <c r="G35" s="260"/>
    </row>
    <row r="36" spans="1:7" x14ac:dyDescent="0.25">
      <c r="A36" s="1252" t="s">
        <v>2165</v>
      </c>
      <c r="B36" s="1252"/>
      <c r="C36" s="1252"/>
      <c r="D36" s="1252"/>
      <c r="E36" s="1252"/>
      <c r="F36" s="1252"/>
      <c r="G36" s="1252"/>
    </row>
    <row r="37" spans="1:7" x14ac:dyDescent="0.25">
      <c r="A37" s="945"/>
      <c r="B37" s="945"/>
      <c r="C37" s="945"/>
      <c r="D37" s="945"/>
      <c r="E37" s="945"/>
      <c r="F37" s="945"/>
      <c r="G37" s="945"/>
    </row>
    <row r="38" spans="1:7" x14ac:dyDescent="0.25">
      <c r="A38" s="945"/>
      <c r="B38" s="945"/>
      <c r="C38" s="945"/>
      <c r="D38" s="945"/>
      <c r="E38" s="945"/>
      <c r="F38" s="945"/>
      <c r="G38" s="945"/>
    </row>
    <row r="39" spans="1:7" x14ac:dyDescent="0.25">
      <c r="A39" s="266"/>
      <c r="B39" s="266"/>
      <c r="C39" s="266"/>
      <c r="D39" s="945"/>
      <c r="E39" s="266"/>
      <c r="F39" s="266"/>
      <c r="G39" s="266"/>
    </row>
    <row r="40" spans="1:7" x14ac:dyDescent="0.25">
      <c r="A40" s="1250" t="str">
        <f>RESUMEN!V45</f>
        <v>Ing. Jhon Casanova</v>
      </c>
      <c r="B40" s="1250"/>
      <c r="C40" s="1250"/>
      <c r="D40" s="945"/>
      <c r="E40" s="1250" t="s">
        <v>642</v>
      </c>
      <c r="F40" s="1250"/>
      <c r="G40" s="1250"/>
    </row>
    <row r="41" spans="1:7" x14ac:dyDescent="0.25">
      <c r="A41" s="1249" t="s">
        <v>643</v>
      </c>
      <c r="B41" s="1249"/>
      <c r="C41" s="1249"/>
      <c r="D41" s="945"/>
      <c r="E41" s="1249" t="s">
        <v>644</v>
      </c>
      <c r="F41" s="1249"/>
      <c r="G41" s="1249"/>
    </row>
    <row r="42" spans="1:7" x14ac:dyDescent="0.25">
      <c r="A42" s="1249" t="s">
        <v>645</v>
      </c>
      <c r="B42" s="1249"/>
      <c r="C42" s="1249"/>
      <c r="D42" s="945"/>
      <c r="E42" s="1249" t="s">
        <v>645</v>
      </c>
      <c r="F42" s="1249"/>
      <c r="G42" s="1249"/>
    </row>
    <row r="43" spans="1:7" x14ac:dyDescent="0.25">
      <c r="A43" s="945"/>
      <c r="B43" s="945"/>
      <c r="C43" s="945"/>
      <c r="D43" s="945"/>
      <c r="E43" s="945"/>
      <c r="F43" s="945"/>
      <c r="G43" s="945"/>
    </row>
    <row r="44" spans="1:7" x14ac:dyDescent="0.25">
      <c r="A44" s="945"/>
      <c r="B44" s="945"/>
      <c r="C44" s="945"/>
      <c r="D44" s="945"/>
      <c r="E44" s="945"/>
      <c r="F44" s="945"/>
      <c r="G44" s="945"/>
    </row>
    <row r="45" spans="1:7" x14ac:dyDescent="0.25">
      <c r="A45" s="945"/>
      <c r="B45" s="945"/>
      <c r="C45" s="945"/>
      <c r="D45" s="945"/>
      <c r="E45" s="945"/>
      <c r="F45" s="945"/>
      <c r="G45" s="945"/>
    </row>
    <row r="46" spans="1:7" x14ac:dyDescent="0.25">
      <c r="A46" s="266"/>
      <c r="B46" s="266"/>
      <c r="C46" s="266"/>
      <c r="D46" s="945"/>
      <c r="E46" s="266"/>
      <c r="F46" s="266"/>
      <c r="G46" s="266"/>
    </row>
    <row r="47" spans="1:7" x14ac:dyDescent="0.25">
      <c r="A47" s="1250" t="s">
        <v>646</v>
      </c>
      <c r="B47" s="1250"/>
      <c r="C47" s="1250"/>
      <c r="D47" s="945"/>
      <c r="E47" s="1250" t="s">
        <v>647</v>
      </c>
      <c r="F47" s="1250"/>
      <c r="G47" s="1250"/>
    </row>
    <row r="48" spans="1:7" x14ac:dyDescent="0.25">
      <c r="A48" s="1249" t="s">
        <v>648</v>
      </c>
      <c r="B48" s="1249"/>
      <c r="C48" s="1249"/>
      <c r="D48" s="945"/>
      <c r="E48" s="1249" t="s">
        <v>763</v>
      </c>
      <c r="F48" s="1249"/>
      <c r="G48" s="1249"/>
    </row>
    <row r="49" spans="1:7" x14ac:dyDescent="0.25">
      <c r="A49" s="1249" t="s">
        <v>645</v>
      </c>
      <c r="B49" s="1249"/>
      <c r="C49" s="1249"/>
      <c r="D49" s="945"/>
      <c r="E49" s="1249" t="s">
        <v>764</v>
      </c>
      <c r="F49" s="1249"/>
      <c r="G49" s="1249"/>
    </row>
  </sheetData>
  <mergeCells count="49">
    <mergeCell ref="A48:C48"/>
    <mergeCell ref="E48:G48"/>
    <mergeCell ref="A49:C49"/>
    <mergeCell ref="E49:G49"/>
    <mergeCell ref="A41:C41"/>
    <mergeCell ref="E41:G41"/>
    <mergeCell ref="A42:C42"/>
    <mergeCell ref="E42:G42"/>
    <mergeCell ref="A47:C47"/>
    <mergeCell ref="E47:G47"/>
    <mergeCell ref="A40:C40"/>
    <mergeCell ref="E40:G40"/>
    <mergeCell ref="B24:D24"/>
    <mergeCell ref="E24:F24"/>
    <mergeCell ref="C27:D27"/>
    <mergeCell ref="C28:D28"/>
    <mergeCell ref="C29:D29"/>
    <mergeCell ref="C30:D30"/>
    <mergeCell ref="C31:D31"/>
    <mergeCell ref="C32:D32"/>
    <mergeCell ref="C33:D33"/>
    <mergeCell ref="C34:D34"/>
    <mergeCell ref="A36:G36"/>
    <mergeCell ref="B21:D21"/>
    <mergeCell ref="E21:F21"/>
    <mergeCell ref="B22:D22"/>
    <mergeCell ref="E22:F22"/>
    <mergeCell ref="B23:D23"/>
    <mergeCell ref="E23:F23"/>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tabColor rgb="FF72104A"/>
  </sheetPr>
  <dimension ref="A1:S35"/>
  <sheetViews>
    <sheetView topLeftCell="D1" zoomScale="55" zoomScaleNormal="55" zoomScaleSheetLayoutView="70" workbookViewId="0">
      <selection activeCell="H17" sqref="H17"/>
    </sheetView>
  </sheetViews>
  <sheetFormatPr baseColWidth="10" defaultColWidth="11.44140625" defaultRowHeight="14.4" x14ac:dyDescent="0.3"/>
  <cols>
    <col min="1" max="1" width="16.6640625" style="951" customWidth="1"/>
    <col min="2" max="2" width="22.5546875" style="951" customWidth="1"/>
    <col min="3" max="3" width="23.5546875" style="951" customWidth="1"/>
    <col min="4" max="4" width="23" style="951" customWidth="1"/>
    <col min="5" max="5" width="10.5546875" style="951" bestFit="1" customWidth="1"/>
    <col min="6" max="6" width="17.88671875" style="951" bestFit="1" customWidth="1"/>
    <col min="7" max="7" width="17.88671875" style="951" customWidth="1"/>
    <col min="8" max="8" width="16.6640625" style="951" bestFit="1" customWidth="1"/>
    <col min="9" max="9" width="16.6640625" style="951" customWidth="1"/>
    <col min="10" max="10" width="32.44140625" style="951" customWidth="1"/>
    <col min="11" max="11" width="17.88671875" style="951" bestFit="1" customWidth="1"/>
    <col min="12" max="12" width="18" style="951" customWidth="1"/>
    <col min="13" max="13" width="11.44140625" style="951"/>
    <col min="14" max="14" width="17.88671875" style="951" bestFit="1" customWidth="1"/>
    <col min="15" max="15" width="18" style="951" customWidth="1"/>
    <col min="16" max="16" width="11.44140625" style="951"/>
    <col min="17" max="17" width="17.88671875" style="951" bestFit="1" customWidth="1"/>
    <col min="18" max="18" width="17.5546875" style="951" bestFit="1" customWidth="1"/>
    <col min="19" max="16384" width="11.44140625" style="951"/>
  </cols>
  <sheetData>
    <row r="1" spans="1:19" ht="15" thickBot="1" x14ac:dyDescent="0.35">
      <c r="A1" s="169"/>
      <c r="B1" s="188"/>
      <c r="C1" s="1307" t="s">
        <v>40</v>
      </c>
      <c r="D1" s="1308"/>
      <c r="E1" s="1308"/>
      <c r="F1" s="1308"/>
      <c r="G1" s="1308"/>
      <c r="H1" s="1308"/>
      <c r="I1" s="1308"/>
      <c r="J1" s="1308"/>
      <c r="K1" s="1308"/>
      <c r="L1" s="1308"/>
      <c r="M1" s="1309"/>
      <c r="N1" s="947"/>
      <c r="O1" s="947"/>
      <c r="P1" s="947"/>
      <c r="Q1" s="1303" t="s">
        <v>163</v>
      </c>
      <c r="R1" s="1303"/>
      <c r="S1" s="1304"/>
    </row>
    <row r="2" spans="1:19" ht="13.5" customHeight="1" thickBot="1" x14ac:dyDescent="0.35">
      <c r="A2" s="170"/>
      <c r="B2" s="190"/>
      <c r="C2" s="1310"/>
      <c r="D2" s="1311"/>
      <c r="E2" s="1311"/>
      <c r="F2" s="1311"/>
      <c r="G2" s="1311"/>
      <c r="H2" s="1311"/>
      <c r="I2" s="1311"/>
      <c r="J2" s="1311"/>
      <c r="K2" s="1311"/>
      <c r="L2" s="1311"/>
      <c r="M2" s="1312"/>
      <c r="N2" s="948"/>
      <c r="O2" s="948"/>
      <c r="P2" s="948"/>
      <c r="Q2" s="1305"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2201</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2096</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2202</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946"/>
      <c r="B11" s="1318"/>
      <c r="C11" s="1320"/>
      <c r="D11" s="1320"/>
      <c r="E11" s="1320"/>
      <c r="F11" s="1320"/>
      <c r="G11" s="1320"/>
      <c r="H11" s="1320"/>
      <c r="I11" s="1320"/>
      <c r="J11" s="1320"/>
      <c r="K11" s="1293" t="s">
        <v>986</v>
      </c>
      <c r="L11" s="1294"/>
      <c r="M11" s="1295"/>
      <c r="N11" s="1293" t="s">
        <v>2094</v>
      </c>
      <c r="O11" s="1294"/>
      <c r="P11" s="1295"/>
      <c r="Q11" s="1299" t="s">
        <v>49</v>
      </c>
      <c r="R11" s="1299"/>
      <c r="S11" s="1299"/>
    </row>
    <row r="12" spans="1:19" ht="13.5" customHeight="1" x14ac:dyDescent="0.3">
      <c r="A12" s="171"/>
      <c r="B12" s="1318"/>
      <c r="C12" s="1319"/>
      <c r="D12" s="1319"/>
      <c r="E12" s="1319"/>
      <c r="F12" s="1319"/>
      <c r="G12" s="1319"/>
      <c r="H12" s="1319"/>
      <c r="I12" s="1319"/>
      <c r="J12" s="1319"/>
      <c r="K12" s="1325"/>
      <c r="L12" s="1326"/>
      <c r="M12" s="1327"/>
      <c r="N12" s="1325"/>
      <c r="O12" s="1326"/>
      <c r="P12" s="1327"/>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956" t="s">
        <v>54</v>
      </c>
      <c r="L13" s="956" t="s">
        <v>56</v>
      </c>
      <c r="M13" s="956" t="s">
        <v>58</v>
      </c>
      <c r="N13" s="956" t="s">
        <v>54</v>
      </c>
      <c r="O13" s="956" t="s">
        <v>56</v>
      </c>
      <c r="P13" s="956" t="s">
        <v>58</v>
      </c>
      <c r="Q13" s="174" t="s">
        <v>54</v>
      </c>
      <c r="R13" s="172" t="s">
        <v>56</v>
      </c>
      <c r="S13" s="956" t="s">
        <v>58</v>
      </c>
    </row>
    <row r="14" spans="1:19" ht="30" customHeight="1" x14ac:dyDescent="0.3">
      <c r="A14" s="1314" t="s">
        <v>2203</v>
      </c>
      <c r="B14" s="1314" t="s">
        <v>323</v>
      </c>
      <c r="C14" s="949" t="s">
        <v>88</v>
      </c>
      <c r="D14" s="949" t="s">
        <v>89</v>
      </c>
      <c r="E14" s="949">
        <v>1</v>
      </c>
      <c r="F14" s="192">
        <v>4492030</v>
      </c>
      <c r="G14" s="32">
        <f>+ROUND(F14*1.051,0)</f>
        <v>4721124</v>
      </c>
      <c r="H14" s="192">
        <f>ROUND((E14*F14),0)</f>
        <v>4492030</v>
      </c>
      <c r="I14" s="32">
        <f>+ROUND(G14*E14,0)</f>
        <v>4721124</v>
      </c>
      <c r="J14" s="1314" t="s">
        <v>2204</v>
      </c>
      <c r="K14" s="293">
        <v>0.7</v>
      </c>
      <c r="L14" s="429">
        <f>ROUND(K14*$F$14,0)</f>
        <v>3144421</v>
      </c>
      <c r="M14" s="430">
        <f>L14/$H$14</f>
        <v>0.7</v>
      </c>
      <c r="N14" s="293">
        <v>0.3</v>
      </c>
      <c r="O14" s="429">
        <f>ROUND(N14*$G$14,0)</f>
        <v>1416337</v>
      </c>
      <c r="P14" s="430">
        <f>O14/$H$14</f>
        <v>0.31529998686562644</v>
      </c>
      <c r="Q14" s="86">
        <f>K14+N14</f>
        <v>1</v>
      </c>
      <c r="R14" s="175">
        <f>L14+O14</f>
        <v>4560758</v>
      </c>
      <c r="S14" s="176">
        <f>R14/H14</f>
        <v>1.0152999868656265</v>
      </c>
    </row>
    <row r="15" spans="1:19" x14ac:dyDescent="0.3">
      <c r="A15" s="1314"/>
      <c r="B15" s="1314"/>
      <c r="C15" s="196"/>
      <c r="D15" s="196" t="s">
        <v>90</v>
      </c>
      <c r="E15" s="198"/>
      <c r="F15" s="198"/>
      <c r="G15" s="198"/>
      <c r="H15" s="199">
        <f>H14</f>
        <v>4492030</v>
      </c>
      <c r="I15" s="199">
        <f>SUM(I14)</f>
        <v>4721124</v>
      </c>
      <c r="J15" s="1314"/>
      <c r="K15" s="198"/>
      <c r="L15" s="363">
        <f>SUM(L14)</f>
        <v>3144421</v>
      </c>
      <c r="M15" s="431">
        <f>L15/H15</f>
        <v>0.7</v>
      </c>
      <c r="N15" s="198"/>
      <c r="O15" s="363">
        <f>SUM(O14)</f>
        <v>1416337</v>
      </c>
      <c r="P15" s="431">
        <f>O15/H15</f>
        <v>0.31529998686562644</v>
      </c>
      <c r="Q15" s="198"/>
      <c r="R15" s="363">
        <f>SUM(R14)</f>
        <v>4560758</v>
      </c>
      <c r="S15" s="431">
        <f>R15/H15</f>
        <v>1.0152999868656265</v>
      </c>
    </row>
    <row r="16" spans="1:19" x14ac:dyDescent="0.3">
      <c r="F16" s="94" t="s">
        <v>64</v>
      </c>
      <c r="G16" s="94"/>
      <c r="H16" s="181">
        <f>SUM(H14:H15)/2</f>
        <v>4492030</v>
      </c>
      <c r="I16" s="181">
        <f>SUM(I14:I15)/2</f>
        <v>4721124</v>
      </c>
      <c r="K16" s="94" t="s">
        <v>64</v>
      </c>
      <c r="L16" s="181">
        <f>SUM(L14:L15)/2</f>
        <v>3144421</v>
      </c>
      <c r="N16" s="480" t="s">
        <v>64</v>
      </c>
      <c r="O16" s="481">
        <f>SUM(O14:O15)/2</f>
        <v>1416337</v>
      </c>
      <c r="Q16" s="480" t="s">
        <v>64</v>
      </c>
      <c r="R16" s="481">
        <f>SUM(R14:R15)/2</f>
        <v>4560758</v>
      </c>
    </row>
    <row r="17" spans="1:19" x14ac:dyDescent="0.3">
      <c r="F17" s="99" t="s">
        <v>65</v>
      </c>
      <c r="G17" s="776"/>
      <c r="H17" s="182">
        <v>0</v>
      </c>
      <c r="I17" s="182">
        <v>0</v>
      </c>
      <c r="K17" s="99" t="s">
        <v>65</v>
      </c>
      <c r="L17" s="182">
        <v>0</v>
      </c>
      <c r="N17" s="482" t="s">
        <v>65</v>
      </c>
      <c r="O17" s="483">
        <v>0</v>
      </c>
      <c r="Q17" s="482" t="s">
        <v>65</v>
      </c>
      <c r="R17" s="483">
        <v>0</v>
      </c>
    </row>
    <row r="18" spans="1:19" x14ac:dyDescent="0.3">
      <c r="F18" s="99"/>
      <c r="G18" s="776"/>
      <c r="H18" s="182"/>
      <c r="I18" s="182"/>
      <c r="K18" s="99"/>
      <c r="L18" s="182"/>
      <c r="N18" s="484" t="s">
        <v>64</v>
      </c>
      <c r="O18" s="483">
        <f>+O16+O17</f>
        <v>1416337</v>
      </c>
      <c r="Q18" s="484" t="s">
        <v>64</v>
      </c>
      <c r="R18" s="483">
        <f>+R16+R17</f>
        <v>4560758</v>
      </c>
    </row>
    <row r="19" spans="1:19" ht="26.4" x14ac:dyDescent="0.3">
      <c r="F19" s="99"/>
      <c r="G19" s="776"/>
      <c r="H19" s="182"/>
      <c r="I19" s="182"/>
      <c r="K19" s="99"/>
      <c r="L19" s="182"/>
      <c r="N19" s="484" t="s">
        <v>1439</v>
      </c>
      <c r="O19" s="483">
        <f>ROUND(O18*0.015,0)</f>
        <v>21245</v>
      </c>
      <c r="Q19" s="484" t="s">
        <v>1439</v>
      </c>
      <c r="R19" s="483">
        <f>L19+O19</f>
        <v>21245</v>
      </c>
    </row>
    <row r="20" spans="1:19" ht="26.4" x14ac:dyDescent="0.3">
      <c r="F20" s="96" t="s">
        <v>64</v>
      </c>
      <c r="G20" s="775"/>
      <c r="H20" s="182">
        <f>+H16+H17</f>
        <v>4492030</v>
      </c>
      <c r="I20" s="182">
        <f>+I16+I17</f>
        <v>4721124</v>
      </c>
      <c r="K20" s="96" t="s">
        <v>64</v>
      </c>
      <c r="L20" s="182">
        <f>+L16+L17</f>
        <v>3144421</v>
      </c>
      <c r="M20" s="131">
        <f>L20/H20</f>
        <v>0.7</v>
      </c>
      <c r="N20" s="152" t="s">
        <v>1440</v>
      </c>
      <c r="O20" s="182">
        <f>O18+O19</f>
        <v>1437582</v>
      </c>
      <c r="P20" s="131">
        <f>O20/H20</f>
        <v>0.32002947442470331</v>
      </c>
      <c r="Q20" s="152" t="s">
        <v>1440</v>
      </c>
      <c r="R20" s="182">
        <f>R18+R19</f>
        <v>4582003</v>
      </c>
      <c r="S20" s="131">
        <f>R20/H20</f>
        <v>1.0200294744247034</v>
      </c>
    </row>
    <row r="21" spans="1:19" x14ac:dyDescent="0.3">
      <c r="F21" s="100" t="s">
        <v>66</v>
      </c>
      <c r="G21" s="777"/>
      <c r="H21" s="182">
        <f>+H20*19%</f>
        <v>853485.7</v>
      </c>
      <c r="I21" s="182">
        <f>+I20*19%</f>
        <v>897013.56</v>
      </c>
      <c r="K21" s="100" t="s">
        <v>66</v>
      </c>
      <c r="L21" s="182">
        <f>+L20*19%</f>
        <v>597439.99</v>
      </c>
      <c r="N21" s="485" t="s">
        <v>66</v>
      </c>
      <c r="O21" s="483">
        <f>ROUND(O20*0.19,0)</f>
        <v>273141</v>
      </c>
      <c r="Q21" s="485" t="s">
        <v>66</v>
      </c>
      <c r="R21" s="483">
        <f>ROUND(R20*0.19,0)</f>
        <v>870581</v>
      </c>
    </row>
    <row r="22" spans="1:19" x14ac:dyDescent="0.3">
      <c r="F22" s="101" t="s">
        <v>69</v>
      </c>
      <c r="G22" s="101"/>
      <c r="H22" s="181">
        <f>+H20+H21</f>
        <v>5345515.7</v>
      </c>
      <c r="I22" s="181">
        <f>+I20+I21</f>
        <v>5618137.5600000005</v>
      </c>
      <c r="K22" s="101" t="s">
        <v>69</v>
      </c>
      <c r="L22" s="181">
        <f>+L20+L21</f>
        <v>3741860.99</v>
      </c>
      <c r="N22" s="545" t="s">
        <v>69</v>
      </c>
      <c r="O22" s="481">
        <f>O20+O21</f>
        <v>1710723</v>
      </c>
      <c r="Q22" s="545" t="s">
        <v>69</v>
      </c>
      <c r="R22" s="481">
        <f>R20+R21</f>
        <v>5452584</v>
      </c>
    </row>
    <row r="25" spans="1:19" x14ac:dyDescent="0.3">
      <c r="A25" s="183" t="s">
        <v>67</v>
      </c>
      <c r="B25" s="184"/>
      <c r="C25" s="184"/>
      <c r="D25" s="185" t="s">
        <v>68</v>
      </c>
      <c r="E25" s="212"/>
      <c r="K25" s="186" t="s">
        <v>70</v>
      </c>
      <c r="L25" s="187" t="s">
        <v>71</v>
      </c>
      <c r="M25" s="186" t="s">
        <v>58</v>
      </c>
      <c r="N25" s="186" t="s">
        <v>70</v>
      </c>
      <c r="O25" s="187" t="s">
        <v>71</v>
      </c>
      <c r="P25" s="186" t="s">
        <v>58</v>
      </c>
    </row>
    <row r="26" spans="1:19" x14ac:dyDescent="0.3">
      <c r="A26" s="183"/>
      <c r="B26" s="184"/>
      <c r="C26" s="184"/>
      <c r="D26" s="185"/>
      <c r="E26" s="212"/>
      <c r="K26" s="203" t="s">
        <v>72</v>
      </c>
      <c r="L26" s="204">
        <f>L20</f>
        <v>3144421</v>
      </c>
      <c r="M26" s="205">
        <f>M20</f>
        <v>0.7</v>
      </c>
      <c r="N26" s="203" t="s">
        <v>72</v>
      </c>
      <c r="O26" s="204">
        <f>L20</f>
        <v>3144421</v>
      </c>
      <c r="P26" s="205">
        <f>M20</f>
        <v>0.7</v>
      </c>
    </row>
    <row r="27" spans="1:19" x14ac:dyDescent="0.3">
      <c r="A27" s="183"/>
      <c r="B27" s="184"/>
      <c r="C27" s="184"/>
      <c r="D27" s="185"/>
      <c r="E27" s="212"/>
      <c r="K27" s="203"/>
      <c r="L27" s="204"/>
      <c r="M27" s="205"/>
      <c r="N27" s="203" t="s">
        <v>73</v>
      </c>
      <c r="O27" s="204">
        <f>+O20</f>
        <v>1437582</v>
      </c>
      <c r="P27" s="205">
        <f>+P20</f>
        <v>0.32002947442470331</v>
      </c>
    </row>
    <row r="28" spans="1:19" x14ac:dyDescent="0.3">
      <c r="A28" s="183"/>
      <c r="B28" s="184"/>
      <c r="C28" s="184"/>
      <c r="D28" s="185"/>
      <c r="E28" s="212"/>
      <c r="K28" s="206" t="s">
        <v>1</v>
      </c>
      <c r="L28" s="207">
        <f>SUM(L26:L26)</f>
        <v>3144421</v>
      </c>
      <c r="M28" s="208">
        <f>SUM(M26:M26)</f>
        <v>0.7</v>
      </c>
      <c r="N28" s="206" t="s">
        <v>1</v>
      </c>
      <c r="O28" s="207">
        <f>SUM(O26:O27)</f>
        <v>4582003</v>
      </c>
      <c r="P28" s="208">
        <f>SUM(P26:P27)</f>
        <v>1.0200294744247032</v>
      </c>
    </row>
    <row r="29" spans="1:19" x14ac:dyDescent="0.3">
      <c r="A29" s="183"/>
      <c r="B29" s="184"/>
      <c r="C29" s="184"/>
      <c r="D29" s="185"/>
      <c r="E29" s="212"/>
      <c r="K29" s="206" t="s">
        <v>9</v>
      </c>
      <c r="L29" s="1321"/>
      <c r="M29" s="1322"/>
      <c r="N29" s="206" t="s">
        <v>9</v>
      </c>
      <c r="O29" s="1321"/>
      <c r="P29" s="1322"/>
    </row>
    <row r="30" spans="1:19" x14ac:dyDescent="0.3">
      <c r="A30" s="183"/>
      <c r="B30" s="184"/>
      <c r="C30" s="184"/>
      <c r="D30" s="185"/>
      <c r="E30" s="212"/>
      <c r="K30" s="109" t="s">
        <v>78</v>
      </c>
      <c r="L30" s="1321" t="s">
        <v>334</v>
      </c>
      <c r="M30" s="1322"/>
      <c r="N30" s="109" t="s">
        <v>78</v>
      </c>
      <c r="O30" s="1321"/>
      <c r="P30" s="1322"/>
    </row>
    <row r="31" spans="1:19" x14ac:dyDescent="0.3">
      <c r="A31" s="183"/>
      <c r="B31" s="184"/>
      <c r="C31" s="184"/>
      <c r="D31" s="185"/>
      <c r="E31" s="212"/>
      <c r="K31" s="110" t="s">
        <v>8</v>
      </c>
      <c r="L31" s="1354" t="s">
        <v>335</v>
      </c>
      <c r="M31" s="1355"/>
      <c r="N31" s="110" t="s">
        <v>8</v>
      </c>
      <c r="O31" s="1354"/>
      <c r="P31" s="1355"/>
    </row>
    <row r="32" spans="1:19" x14ac:dyDescent="0.3">
      <c r="A32" s="183"/>
      <c r="B32" s="184"/>
      <c r="C32" s="184"/>
      <c r="D32" s="185" t="s">
        <v>75</v>
      </c>
      <c r="E32" s="212"/>
    </row>
    <row r="33" spans="1:5" x14ac:dyDescent="0.3">
      <c r="A33" s="183" t="s">
        <v>76</v>
      </c>
      <c r="B33" s="180"/>
      <c r="C33" s="180"/>
      <c r="D33" s="185" t="s">
        <v>77</v>
      </c>
      <c r="E33" s="212"/>
    </row>
    <row r="34" spans="1:5" ht="26.4" x14ac:dyDescent="0.3">
      <c r="A34" s="183" t="s">
        <v>79</v>
      </c>
      <c r="B34" s="180"/>
      <c r="C34" s="180"/>
      <c r="D34" s="185" t="s">
        <v>80</v>
      </c>
      <c r="E34" s="212"/>
    </row>
    <row r="35" spans="1:5" x14ac:dyDescent="0.3">
      <c r="E35" s="212"/>
    </row>
  </sheetData>
  <sheetProtection formatCells="0" formatColumns="0" formatRows="0" insertColumns="0" insertRows="0" insertHyperlinks="0" deleteColumns="0" deleteRows="0" sort="0" autoFilter="0" pivotTables="0"/>
  <mergeCells count="25">
    <mergeCell ref="O29:P29"/>
    <mergeCell ref="O30:P30"/>
    <mergeCell ref="O31:P31"/>
    <mergeCell ref="A14:A15"/>
    <mergeCell ref="B14:B15"/>
    <mergeCell ref="J14:J15"/>
    <mergeCell ref="L29:M29"/>
    <mergeCell ref="L30:M30"/>
    <mergeCell ref="L31:M31"/>
    <mergeCell ref="A6:S6"/>
    <mergeCell ref="A7:S7"/>
    <mergeCell ref="A8:S8"/>
    <mergeCell ref="A9:S9"/>
    <mergeCell ref="A10:S10"/>
    <mergeCell ref="B11:J11"/>
    <mergeCell ref="K11:M12"/>
    <mergeCell ref="Q11:S12"/>
    <mergeCell ref="B12:J12"/>
    <mergeCell ref="N11:P12"/>
    <mergeCell ref="A5:S5"/>
    <mergeCell ref="C1:M2"/>
    <mergeCell ref="Q1:S1"/>
    <mergeCell ref="Q2:S2"/>
    <mergeCell ref="A3:S3"/>
    <mergeCell ref="A4:S4"/>
  </mergeCells>
  <pageMargins left="0.7" right="0.7" top="0.75" bottom="0.75" header="0.3" footer="0.3"/>
  <pageSetup scale="36" orientation="landscape" r:id="rId1"/>
  <drawing r:id="rId2"/>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tabColor theme="1"/>
  </sheetPr>
  <dimension ref="A1:G48"/>
  <sheetViews>
    <sheetView topLeftCell="A4" zoomScaleNormal="100" workbookViewId="0">
      <selection activeCell="A40" sqref="A40:C4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489"/>
      <c r="B4" s="489"/>
      <c r="C4" s="489"/>
      <c r="D4" s="489"/>
      <c r="E4" s="489"/>
      <c r="F4" s="489"/>
      <c r="G4" s="489"/>
    </row>
    <row r="5" spans="1:7" ht="42" customHeight="1" x14ac:dyDescent="0.25">
      <c r="A5" s="280" t="s">
        <v>626</v>
      </c>
      <c r="B5" s="1356" t="str">
        <f>RESUMEN!G20</f>
        <v>Proyecto: CDIM_CAOLIG_R0078 - RES. CREG 038-14 CÓDIGO DE MEDIDA, Elaboración de ingenierías básicas para implementación del proyecto cód medida resolución Creg 038 de 2014 en la subestación BALSILLAS</v>
      </c>
      <c r="C5" s="1281"/>
      <c r="D5" s="1281"/>
      <c r="E5" s="1281"/>
      <c r="F5" s="1281"/>
      <c r="G5" s="1282"/>
    </row>
    <row r="6" spans="1:7" x14ac:dyDescent="0.25">
      <c r="A6" s="489"/>
      <c r="B6" s="489"/>
      <c r="C6" s="489"/>
      <c r="D6" s="489"/>
      <c r="E6" s="489"/>
      <c r="F6" s="489"/>
      <c r="G6" s="489"/>
    </row>
    <row r="7" spans="1:7" x14ac:dyDescent="0.25">
      <c r="A7" s="271" t="s">
        <v>0</v>
      </c>
      <c r="B7" s="1264" t="str">
        <f>RESUMEN!B20</f>
        <v>D00249390</v>
      </c>
      <c r="C7" s="1265"/>
      <c r="D7" s="489"/>
      <c r="E7" s="1266" t="s">
        <v>627</v>
      </c>
      <c r="F7" s="1267"/>
      <c r="G7" s="490" t="str">
        <f>RESUMEN!E20</f>
        <v>17-129</v>
      </c>
    </row>
    <row r="8" spans="1:7" x14ac:dyDescent="0.25">
      <c r="A8" s="271" t="s">
        <v>628</v>
      </c>
      <c r="B8" s="1264" t="str">
        <f>RESUMEN!C20</f>
        <v>D00249390000</v>
      </c>
      <c r="C8" s="1265"/>
      <c r="D8" s="489"/>
      <c r="E8" s="1266" t="s">
        <v>629</v>
      </c>
      <c r="F8" s="1267"/>
      <c r="G8" s="490" t="str">
        <f>RESUMEN!U20</f>
        <v>Acta N° 2: Febrero</v>
      </c>
    </row>
    <row r="9" spans="1:7" x14ac:dyDescent="0.25">
      <c r="A9" s="271" t="s">
        <v>630</v>
      </c>
      <c r="B9" s="1283" t="s">
        <v>631</v>
      </c>
      <c r="C9" s="1265"/>
      <c r="D9" s="489"/>
      <c r="E9" s="1266" t="s">
        <v>632</v>
      </c>
      <c r="F9" s="1267"/>
      <c r="G9" s="487">
        <f>RESUMEN!H20</f>
        <v>20295966</v>
      </c>
    </row>
    <row r="10" spans="1:7" x14ac:dyDescent="0.25">
      <c r="A10" s="271" t="s">
        <v>633</v>
      </c>
      <c r="B10" s="1264" t="str">
        <f>RESUMEN!D20</f>
        <v>BALSILLAS</v>
      </c>
      <c r="C10" s="1265"/>
      <c r="D10" s="489"/>
      <c r="E10" s="1266" t="s">
        <v>634</v>
      </c>
      <c r="F10" s="1267"/>
      <c r="G10" s="487">
        <f>RESUMEN!R20</f>
        <v>6084649</v>
      </c>
    </row>
    <row r="11" spans="1:7" x14ac:dyDescent="0.25">
      <c r="A11" s="489"/>
      <c r="B11" s="489"/>
      <c r="C11" s="489"/>
      <c r="D11" s="489"/>
      <c r="E11" s="489"/>
      <c r="F11" s="489"/>
      <c r="G11" s="489"/>
    </row>
    <row r="12" spans="1:7" ht="76.5" customHeight="1" x14ac:dyDescent="0.25">
      <c r="A12" s="1284" t="str">
        <f>CONCATENATE("A los 15 días del mes de Febrero se reunieron en las instalaciones"," de CODENSA S.A. E.S.P., los ingenieros ", RESUMEN!V20,"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Febrero de 2018 para el ",RESUMEN!G20)</f>
        <v>A los 15 días del mes de Febrero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Febrero de 2018 para el Proyecto: CDIM_CAOLIG_R0078 - RES. CREG 038-14 CÓDIGO DE MEDIDA, Elaboración de ingenierías básicas para implementación del proyecto cód medida resolución Creg 038 de 2014 en la subestación BALSILLAS</v>
      </c>
      <c r="B12" s="1284"/>
      <c r="C12" s="1284"/>
      <c r="D12" s="1284"/>
      <c r="E12" s="1284"/>
      <c r="F12" s="1284"/>
      <c r="G12" s="1284"/>
    </row>
    <row r="13" spans="1:7" x14ac:dyDescent="0.25">
      <c r="A13" s="489"/>
      <c r="B13" s="489"/>
      <c r="C13" s="489"/>
      <c r="D13" s="489"/>
      <c r="E13" s="489"/>
      <c r="F13" s="489"/>
      <c r="G13" s="489"/>
    </row>
    <row r="14" spans="1:7" ht="30" customHeight="1" x14ac:dyDescent="0.25">
      <c r="A14" s="1261" t="s">
        <v>2164</v>
      </c>
      <c r="B14" s="1261"/>
      <c r="C14" s="1261"/>
      <c r="D14" s="1261"/>
      <c r="E14" s="1261"/>
      <c r="F14" s="1261"/>
      <c r="G14" s="1261"/>
    </row>
    <row r="15" spans="1:7" x14ac:dyDescent="0.25">
      <c r="A15" s="489"/>
      <c r="B15" s="489"/>
      <c r="C15" s="489"/>
      <c r="D15" s="489"/>
      <c r="E15" s="489"/>
      <c r="F15" s="489"/>
      <c r="G15" s="489"/>
    </row>
    <row r="16" spans="1:7" x14ac:dyDescent="0.25">
      <c r="A16" s="1261" t="s">
        <v>635</v>
      </c>
      <c r="B16" s="1261"/>
      <c r="C16" s="1261"/>
      <c r="D16" s="1261"/>
      <c r="E16" s="1261"/>
      <c r="F16" s="1261"/>
      <c r="G16" s="1261"/>
    </row>
    <row r="17" spans="1:7" x14ac:dyDescent="0.25">
      <c r="A17" s="489"/>
      <c r="B17" s="489"/>
      <c r="C17" s="489"/>
      <c r="D17" s="489"/>
      <c r="E17" s="489"/>
      <c r="F17" s="489"/>
      <c r="G17" s="489"/>
    </row>
    <row r="18" spans="1:7" x14ac:dyDescent="0.25">
      <c r="A18" s="489"/>
      <c r="B18" s="1262" t="s">
        <v>636</v>
      </c>
      <c r="C18" s="1262"/>
      <c r="D18" s="1262"/>
      <c r="E18" s="1262" t="s">
        <v>31</v>
      </c>
      <c r="F18" s="1262"/>
      <c r="G18" s="489"/>
    </row>
    <row r="19" spans="1:7" x14ac:dyDescent="0.25">
      <c r="A19" s="489"/>
      <c r="B19" s="1263" t="s">
        <v>637</v>
      </c>
      <c r="C19" s="1263"/>
      <c r="D19" s="1263"/>
      <c r="E19" s="1247">
        <f>RESUMEN!N20</f>
        <v>5994728</v>
      </c>
      <c r="F19" s="1248"/>
      <c r="G19" s="489"/>
    </row>
    <row r="20" spans="1:7" ht="27" customHeight="1" x14ac:dyDescent="0.25">
      <c r="A20" s="489"/>
      <c r="B20" s="1244" t="s">
        <v>1498</v>
      </c>
      <c r="C20" s="1245"/>
      <c r="D20" s="1246"/>
      <c r="E20" s="1247">
        <f>RESUMEN!P20</f>
        <v>0</v>
      </c>
      <c r="F20" s="1248"/>
      <c r="G20" s="489"/>
    </row>
    <row r="21" spans="1:7" ht="27" customHeight="1" x14ac:dyDescent="0.25">
      <c r="A21" s="489"/>
      <c r="B21" s="1244" t="s">
        <v>1499</v>
      </c>
      <c r="C21" s="1245"/>
      <c r="D21" s="1246"/>
      <c r="E21" s="1247">
        <f>RESUMEN!Q20</f>
        <v>89921</v>
      </c>
      <c r="F21" s="1248"/>
      <c r="G21" s="489"/>
    </row>
    <row r="22" spans="1:7" x14ac:dyDescent="0.25">
      <c r="A22" s="489"/>
      <c r="B22" s="1254" t="s">
        <v>64</v>
      </c>
      <c r="C22" s="1254"/>
      <c r="D22" s="1254"/>
      <c r="E22" s="1255">
        <f>RESUMEN!R20</f>
        <v>6084649</v>
      </c>
      <c r="F22" s="1255"/>
      <c r="G22" s="489"/>
    </row>
    <row r="23" spans="1:7" x14ac:dyDescent="0.25">
      <c r="A23" s="489"/>
      <c r="B23" s="1256" t="s">
        <v>66</v>
      </c>
      <c r="C23" s="1256"/>
      <c r="D23" s="1256"/>
      <c r="E23" s="1257">
        <f>RESUMEN!S20</f>
        <v>1156083</v>
      </c>
      <c r="F23" s="1257"/>
      <c r="G23" s="489"/>
    </row>
    <row r="24" spans="1:7" x14ac:dyDescent="0.25">
      <c r="A24" s="489"/>
      <c r="B24" s="1258" t="s">
        <v>1</v>
      </c>
      <c r="C24" s="1258"/>
      <c r="D24" s="1258"/>
      <c r="E24" s="1259">
        <f>RESUMEN!T20</f>
        <v>7240732</v>
      </c>
      <c r="F24" s="1259"/>
      <c r="G24" s="489"/>
    </row>
    <row r="25" spans="1:7" x14ac:dyDescent="0.25">
      <c r="A25" s="489"/>
      <c r="B25" s="489"/>
      <c r="C25" s="489"/>
      <c r="D25" s="489"/>
      <c r="E25" s="489"/>
      <c r="F25" s="489"/>
      <c r="G25" s="489"/>
    </row>
    <row r="26" spans="1:7" x14ac:dyDescent="0.25">
      <c r="A26" s="260" t="s">
        <v>638</v>
      </c>
      <c r="B26" s="260"/>
      <c r="C26" s="489"/>
      <c r="D26" s="489"/>
      <c r="E26" s="489"/>
      <c r="F26" s="489"/>
      <c r="G26" s="489"/>
    </row>
    <row r="27" spans="1:7" x14ac:dyDescent="0.25">
      <c r="A27" s="489"/>
      <c r="B27" s="488" t="s">
        <v>639</v>
      </c>
      <c r="C27" s="1260" t="s">
        <v>640</v>
      </c>
      <c r="D27" s="1260"/>
      <c r="E27" s="488" t="s">
        <v>641</v>
      </c>
      <c r="F27" s="489"/>
      <c r="G27" s="489"/>
    </row>
    <row r="28" spans="1:7" x14ac:dyDescent="0.25">
      <c r="A28" s="489"/>
      <c r="B28" s="280" t="str">
        <f>'OT17-129 BALSILLAS COD MEDIDA'!N56</f>
        <v>ACTA 1</v>
      </c>
      <c r="C28" s="1253">
        <f>'OT17-129 BALSILLAS COD MEDIDA'!O56</f>
        <v>14592133</v>
      </c>
      <c r="D28" s="1253"/>
      <c r="E28" s="267">
        <f>'OT17-129 BALSILLAS COD MEDIDA'!P56</f>
        <v>0.71896715830130975</v>
      </c>
      <c r="F28" s="489"/>
      <c r="G28" s="489"/>
    </row>
    <row r="29" spans="1:7" x14ac:dyDescent="0.25">
      <c r="A29" s="489"/>
      <c r="B29" s="280" t="str">
        <f>'OT17-129 BALSILLAS COD MEDIDA'!N57</f>
        <v>ACTA 2</v>
      </c>
      <c r="C29" s="1253">
        <f>+'OT17-129 BALSILLAS COD MEDIDA'!O57</f>
        <v>6084649</v>
      </c>
      <c r="D29" s="1253"/>
      <c r="E29" s="267">
        <f>+'OT17-129 BALSILLAS COD MEDIDA'!P57</f>
        <v>0.2997959791615733</v>
      </c>
      <c r="F29" s="489"/>
      <c r="G29" s="489"/>
    </row>
    <row r="30" spans="1:7" x14ac:dyDescent="0.25">
      <c r="A30" s="489"/>
      <c r="B30" s="280"/>
      <c r="C30" s="1253"/>
      <c r="D30" s="1253"/>
      <c r="E30" s="267"/>
      <c r="F30" s="489"/>
      <c r="G30" s="489"/>
    </row>
    <row r="31" spans="1:7" x14ac:dyDescent="0.25">
      <c r="A31" s="489"/>
      <c r="B31" s="280"/>
      <c r="C31" s="1253"/>
      <c r="D31" s="1253"/>
      <c r="E31" s="267"/>
      <c r="F31" s="489"/>
      <c r="G31" s="489"/>
    </row>
    <row r="32" spans="1:7" x14ac:dyDescent="0.25">
      <c r="A32" s="489"/>
      <c r="B32" s="280"/>
      <c r="C32" s="1253"/>
      <c r="D32" s="1253"/>
      <c r="E32" s="267"/>
      <c r="F32" s="489"/>
      <c r="G32" s="489"/>
    </row>
    <row r="33" spans="1:7" x14ac:dyDescent="0.25">
      <c r="A33" s="489"/>
      <c r="B33" s="263" t="s">
        <v>1</v>
      </c>
      <c r="C33" s="1251">
        <f>SUM(C28:D32)</f>
        <v>20676782</v>
      </c>
      <c r="D33" s="1251"/>
      <c r="E33" s="264">
        <f>SUM(E28:E32)</f>
        <v>1.0187631374628832</v>
      </c>
      <c r="F33" s="489"/>
      <c r="G33" s="489"/>
    </row>
    <row r="34" spans="1:7" x14ac:dyDescent="0.25">
      <c r="A34" s="489"/>
      <c r="B34" s="489"/>
      <c r="C34" s="489"/>
      <c r="D34" s="489"/>
      <c r="E34" s="489"/>
      <c r="F34" s="489"/>
      <c r="G34" s="260"/>
    </row>
    <row r="35" spans="1:7" x14ac:dyDescent="0.25">
      <c r="A35" s="1252" t="s">
        <v>2165</v>
      </c>
      <c r="B35" s="1252"/>
      <c r="C35" s="1252"/>
      <c r="D35" s="1252"/>
      <c r="E35" s="1252"/>
      <c r="F35" s="1252"/>
      <c r="G35" s="1252"/>
    </row>
    <row r="36" spans="1:7" x14ac:dyDescent="0.25">
      <c r="A36" s="489"/>
      <c r="B36" s="489"/>
      <c r="C36" s="489"/>
      <c r="D36" s="489"/>
      <c r="E36" s="489"/>
      <c r="F36" s="489"/>
      <c r="G36" s="489"/>
    </row>
    <row r="37" spans="1:7" x14ac:dyDescent="0.25">
      <c r="A37" s="489"/>
      <c r="B37" s="489"/>
      <c r="C37" s="489"/>
      <c r="D37" s="489"/>
      <c r="E37" s="489"/>
      <c r="F37" s="489"/>
      <c r="G37" s="489"/>
    </row>
    <row r="38" spans="1:7" x14ac:dyDescent="0.25">
      <c r="A38" s="266"/>
      <c r="B38" s="266"/>
      <c r="C38" s="266"/>
      <c r="D38" s="489"/>
      <c r="E38" s="266"/>
      <c r="F38" s="266"/>
      <c r="G38" s="266"/>
    </row>
    <row r="39" spans="1:7" x14ac:dyDescent="0.25">
      <c r="A39" s="1250" t="str">
        <f>RESUMEN!V20</f>
        <v>Ing. Hernán Giraldo</v>
      </c>
      <c r="B39" s="1250"/>
      <c r="C39" s="1250"/>
      <c r="D39" s="489"/>
      <c r="E39" s="1250" t="s">
        <v>642</v>
      </c>
      <c r="F39" s="1250"/>
      <c r="G39" s="1250"/>
    </row>
    <row r="40" spans="1:7" x14ac:dyDescent="0.25">
      <c r="A40" s="1249" t="s">
        <v>643</v>
      </c>
      <c r="B40" s="1249"/>
      <c r="C40" s="1249"/>
      <c r="D40" s="489"/>
      <c r="E40" s="1249" t="s">
        <v>644</v>
      </c>
      <c r="F40" s="1249"/>
      <c r="G40" s="1249"/>
    </row>
    <row r="41" spans="1:7" x14ac:dyDescent="0.25">
      <c r="A41" s="1249" t="s">
        <v>645</v>
      </c>
      <c r="B41" s="1249"/>
      <c r="C41" s="1249"/>
      <c r="D41" s="489"/>
      <c r="E41" s="1249" t="s">
        <v>645</v>
      </c>
      <c r="F41" s="1249"/>
      <c r="G41" s="1249"/>
    </row>
    <row r="42" spans="1:7" x14ac:dyDescent="0.25">
      <c r="A42" s="489"/>
      <c r="B42" s="489"/>
      <c r="C42" s="489"/>
      <c r="D42" s="489"/>
      <c r="E42" s="489"/>
      <c r="F42" s="489"/>
      <c r="G42" s="489"/>
    </row>
    <row r="43" spans="1:7" x14ac:dyDescent="0.25">
      <c r="A43" s="489"/>
      <c r="B43" s="489"/>
      <c r="C43" s="489"/>
      <c r="D43" s="489"/>
      <c r="E43" s="489"/>
      <c r="F43" s="489"/>
      <c r="G43" s="489"/>
    </row>
    <row r="44" spans="1:7" x14ac:dyDescent="0.25">
      <c r="A44" s="489"/>
      <c r="B44" s="489"/>
      <c r="C44" s="489"/>
      <c r="D44" s="489"/>
      <c r="E44" s="489"/>
      <c r="F44" s="489"/>
      <c r="G44" s="489"/>
    </row>
    <row r="45" spans="1:7" x14ac:dyDescent="0.25">
      <c r="A45" s="266"/>
      <c r="B45" s="266"/>
      <c r="C45" s="266"/>
      <c r="D45" s="489"/>
      <c r="E45" s="266"/>
      <c r="F45" s="266"/>
      <c r="G45" s="266"/>
    </row>
    <row r="46" spans="1:7" x14ac:dyDescent="0.25">
      <c r="A46" s="1250" t="s">
        <v>646</v>
      </c>
      <c r="B46" s="1250"/>
      <c r="C46" s="1250"/>
      <c r="D46" s="489"/>
      <c r="E46" s="1250" t="s">
        <v>647</v>
      </c>
      <c r="F46" s="1250"/>
      <c r="G46" s="1250"/>
    </row>
    <row r="47" spans="1:7" x14ac:dyDescent="0.25">
      <c r="A47" s="1249" t="s">
        <v>648</v>
      </c>
      <c r="B47" s="1249"/>
      <c r="C47" s="1249"/>
      <c r="D47" s="489"/>
      <c r="E47" s="1249" t="s">
        <v>763</v>
      </c>
      <c r="F47" s="1249"/>
      <c r="G47" s="1249"/>
    </row>
    <row r="48" spans="1:7" x14ac:dyDescent="0.25">
      <c r="A48" s="1249" t="s">
        <v>645</v>
      </c>
      <c r="B48" s="1249"/>
      <c r="C48" s="1249"/>
      <c r="D48" s="489"/>
      <c r="E48" s="1249" t="s">
        <v>764</v>
      </c>
      <c r="F48" s="1249"/>
      <c r="G48" s="1249"/>
    </row>
  </sheetData>
  <mergeCells count="48">
    <mergeCell ref="A47:C47"/>
    <mergeCell ref="E47:G47"/>
    <mergeCell ref="A48:C48"/>
    <mergeCell ref="E48:G48"/>
    <mergeCell ref="A40:C40"/>
    <mergeCell ref="E40:G40"/>
    <mergeCell ref="A41:C41"/>
    <mergeCell ref="E41:G41"/>
    <mergeCell ref="A46:C46"/>
    <mergeCell ref="E46:G46"/>
    <mergeCell ref="C31:D31"/>
    <mergeCell ref="C32:D32"/>
    <mergeCell ref="C33:D33"/>
    <mergeCell ref="A35:G35"/>
    <mergeCell ref="A39:C39"/>
    <mergeCell ref="E39:G39"/>
    <mergeCell ref="C30:D30"/>
    <mergeCell ref="B21:D21"/>
    <mergeCell ref="E21:F21"/>
    <mergeCell ref="B22:D22"/>
    <mergeCell ref="E22:F22"/>
    <mergeCell ref="B23:D23"/>
    <mergeCell ref="E23:F23"/>
    <mergeCell ref="B24:D24"/>
    <mergeCell ref="E24:F24"/>
    <mergeCell ref="C27:D27"/>
    <mergeCell ref="C28:D28"/>
    <mergeCell ref="C29:D29"/>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tabColor rgb="FF72104A"/>
  </sheetPr>
  <dimension ref="A1:S64"/>
  <sheetViews>
    <sheetView topLeftCell="C34" zoomScale="60" zoomScaleNormal="60" workbookViewId="0">
      <selection activeCell="Q23" sqref="Q23"/>
    </sheetView>
  </sheetViews>
  <sheetFormatPr baseColWidth="10" defaultColWidth="11.44140625" defaultRowHeight="14.4" x14ac:dyDescent="0.3"/>
  <cols>
    <col min="1" max="1" width="20.44140625" style="302" customWidth="1"/>
    <col min="2" max="2" width="22.33203125" style="302" customWidth="1"/>
    <col min="3" max="3" width="37.33203125" style="302" customWidth="1"/>
    <col min="4" max="4" width="22.5546875" style="302" customWidth="1"/>
    <col min="5" max="5" width="11.5546875" style="302" bestFit="1" customWidth="1"/>
    <col min="6" max="6" width="17.44140625" style="302" customWidth="1"/>
    <col min="7" max="7" width="17.44140625" style="795" customWidth="1"/>
    <col min="8" max="8" width="18" style="302" customWidth="1"/>
    <col min="9" max="9" width="18" style="795" customWidth="1"/>
    <col min="10" max="10" width="37" style="302" customWidth="1"/>
    <col min="11" max="11" width="17.44140625" style="302" hidden="1" customWidth="1"/>
    <col min="12" max="12" width="18.6640625" style="302" hidden="1" customWidth="1"/>
    <col min="13" max="13" width="11.44140625" style="302" hidden="1" customWidth="1"/>
    <col min="14" max="14" width="17.88671875" style="302" bestFit="1" customWidth="1"/>
    <col min="15" max="15" width="18" style="302" bestFit="1" customWidth="1"/>
    <col min="16" max="16" width="11.44140625" style="302"/>
    <col min="17" max="17" width="17.44140625" style="302" bestFit="1" customWidth="1"/>
    <col min="18" max="18" width="17.88671875" style="302" bestFit="1" customWidth="1"/>
    <col min="19" max="16384" width="11.44140625" style="302"/>
  </cols>
  <sheetData>
    <row r="1" spans="1:19" ht="97.5" customHeight="1" thickBot="1" x14ac:dyDescent="0.35">
      <c r="A1" s="169"/>
      <c r="B1" s="188"/>
      <c r="C1" s="1307" t="s">
        <v>40</v>
      </c>
      <c r="D1" s="1308"/>
      <c r="E1" s="1308"/>
      <c r="F1" s="1308"/>
      <c r="G1" s="1308"/>
      <c r="H1" s="1308"/>
      <c r="I1" s="1308"/>
      <c r="J1" s="1308"/>
      <c r="K1" s="1308"/>
      <c r="L1" s="1308"/>
      <c r="M1" s="1308"/>
      <c r="N1" s="1308"/>
      <c r="O1" s="1308"/>
      <c r="P1" s="1309"/>
      <c r="Q1" s="1303" t="s">
        <v>983</v>
      </c>
      <c r="R1" s="1303"/>
      <c r="S1" s="1304"/>
    </row>
    <row r="2" spans="1:19" ht="13.5" customHeight="1" thickBot="1" x14ac:dyDescent="0.35">
      <c r="A2" s="170"/>
      <c r="B2" s="190"/>
      <c r="C2" s="1310"/>
      <c r="D2" s="1311"/>
      <c r="E2" s="1311"/>
      <c r="F2" s="1311"/>
      <c r="G2" s="1311"/>
      <c r="H2" s="1311"/>
      <c r="I2" s="1311"/>
      <c r="J2" s="1311"/>
      <c r="K2" s="1311"/>
      <c r="L2" s="1311"/>
      <c r="M2" s="1311"/>
      <c r="N2" s="1311"/>
      <c r="O2" s="1311"/>
      <c r="P2" s="1312"/>
      <c r="Q2" s="1305"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ht="12.75" customHeight="1" x14ac:dyDescent="0.3">
      <c r="A7" s="1291" t="s">
        <v>984</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932</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354"/>
      <c r="B11" s="1318"/>
      <c r="C11" s="1320"/>
      <c r="D11" s="1320"/>
      <c r="E11" s="1320"/>
      <c r="F11" s="1320"/>
      <c r="G11" s="1320"/>
      <c r="H11" s="1320"/>
      <c r="I11" s="1320"/>
      <c r="J11" s="1320"/>
      <c r="K11" s="1293" t="s">
        <v>46</v>
      </c>
      <c r="L11" s="1294"/>
      <c r="M11" s="1295"/>
      <c r="N11" s="1293" t="s">
        <v>2094</v>
      </c>
      <c r="O11" s="1294"/>
      <c r="P11" s="1295"/>
      <c r="Q11" s="1299" t="s">
        <v>49</v>
      </c>
      <c r="R11" s="1299"/>
      <c r="S11" s="1299"/>
    </row>
    <row r="12" spans="1:19" ht="13.5" customHeight="1" x14ac:dyDescent="0.3">
      <c r="A12" s="171"/>
      <c r="B12" s="1318"/>
      <c r="C12" s="1319"/>
      <c r="D12" s="1319"/>
      <c r="E12" s="1319"/>
      <c r="F12" s="1319"/>
      <c r="G12" s="1319"/>
      <c r="H12" s="1319"/>
      <c r="I12" s="1319"/>
      <c r="J12" s="1319"/>
      <c r="K12" s="1325"/>
      <c r="L12" s="1326"/>
      <c r="M12" s="1327"/>
      <c r="N12" s="1296"/>
      <c r="O12" s="1297"/>
      <c r="P12" s="1298"/>
      <c r="Q12" s="1300"/>
      <c r="R12" s="1300"/>
      <c r="S12" s="1300"/>
    </row>
    <row r="13" spans="1:19" ht="28.8" x14ac:dyDescent="0.3">
      <c r="A13" s="159" t="s">
        <v>50</v>
      </c>
      <c r="B13" s="159" t="s">
        <v>51</v>
      </c>
      <c r="C13" s="159" t="s">
        <v>52</v>
      </c>
      <c r="D13" s="159" t="s">
        <v>164</v>
      </c>
      <c r="E13" s="159" t="s">
        <v>54</v>
      </c>
      <c r="F13" s="141" t="s">
        <v>55</v>
      </c>
      <c r="G13" s="821" t="s">
        <v>2007</v>
      </c>
      <c r="H13" s="159" t="s">
        <v>56</v>
      </c>
      <c r="I13" s="822" t="s">
        <v>56</v>
      </c>
      <c r="J13" s="159" t="s">
        <v>57</v>
      </c>
      <c r="K13" s="159" t="s">
        <v>54</v>
      </c>
      <c r="L13" s="209" t="s">
        <v>56</v>
      </c>
      <c r="M13" s="209" t="s">
        <v>58</v>
      </c>
      <c r="N13" s="209" t="s">
        <v>54</v>
      </c>
      <c r="O13" s="209" t="s">
        <v>56</v>
      </c>
      <c r="P13" s="209" t="s">
        <v>58</v>
      </c>
      <c r="Q13" s="159" t="s">
        <v>54</v>
      </c>
      <c r="R13" s="209" t="s">
        <v>56</v>
      </c>
      <c r="S13" s="209" t="s">
        <v>58</v>
      </c>
    </row>
    <row r="14" spans="1:19" ht="28.8" x14ac:dyDescent="0.3">
      <c r="A14" s="1289" t="s">
        <v>227</v>
      </c>
      <c r="B14" s="1289" t="s">
        <v>933</v>
      </c>
      <c r="C14" s="353" t="s">
        <v>118</v>
      </c>
      <c r="D14" s="353" t="s">
        <v>119</v>
      </c>
      <c r="E14" s="353">
        <v>0.3</v>
      </c>
      <c r="F14" s="32">
        <v>7904580</v>
      </c>
      <c r="G14" s="32">
        <f>+ROUND(F14*1.051,0)</f>
        <v>8307714</v>
      </c>
      <c r="H14" s="32">
        <f>ROUND((E14*F14),0)</f>
        <v>2371374</v>
      </c>
      <c r="I14" s="32">
        <f>+ROUND(G14*E14,0)</f>
        <v>2492314</v>
      </c>
      <c r="J14" s="1289" t="s">
        <v>934</v>
      </c>
      <c r="K14" s="149">
        <v>0</v>
      </c>
      <c r="L14" s="175">
        <f>ROUND(K14*$F$14,0)</f>
        <v>0</v>
      </c>
      <c r="M14" s="176">
        <f>L14/$H$14</f>
        <v>0</v>
      </c>
      <c r="N14" s="433">
        <v>0.3</v>
      </c>
      <c r="O14" s="429">
        <f>ROUND(N14*$G$14,0)</f>
        <v>2492314</v>
      </c>
      <c r="P14" s="430">
        <f>O14/H14</f>
        <v>1.0509999687944627</v>
      </c>
      <c r="Q14" s="149">
        <f t="shared" ref="Q14:R16" si="0">K14+N14</f>
        <v>0.3</v>
      </c>
      <c r="R14" s="175">
        <f t="shared" si="0"/>
        <v>2492314</v>
      </c>
      <c r="S14" s="176">
        <f>R14/H14</f>
        <v>1.0509999687944627</v>
      </c>
    </row>
    <row r="15" spans="1:19" ht="28.8" x14ac:dyDescent="0.3">
      <c r="A15" s="1289"/>
      <c r="B15" s="1289"/>
      <c r="C15" s="353" t="s">
        <v>83</v>
      </c>
      <c r="D15" s="353" t="s">
        <v>120</v>
      </c>
      <c r="E15" s="353">
        <v>0.3</v>
      </c>
      <c r="F15" s="32">
        <v>5014359</v>
      </c>
      <c r="G15" s="32">
        <f>+ROUND(F15*1.051,0)</f>
        <v>5270091</v>
      </c>
      <c r="H15" s="32">
        <f>ROUND((E15*F15),0)</f>
        <v>1504308</v>
      </c>
      <c r="I15" s="32">
        <f t="shared" ref="I15:I42" si="1">+ROUND(G15*E15,0)</f>
        <v>1581027</v>
      </c>
      <c r="J15" s="1289"/>
      <c r="K15" s="149">
        <v>0</v>
      </c>
      <c r="L15" s="175">
        <f>ROUND(K15*$F$15,0)</f>
        <v>0</v>
      </c>
      <c r="M15" s="176">
        <f>L15/$H$15</f>
        <v>0</v>
      </c>
      <c r="N15" s="433">
        <v>0.3</v>
      </c>
      <c r="O15" s="429">
        <f>ROUND(N15*$G$15,0)</f>
        <v>1581027</v>
      </c>
      <c r="P15" s="430">
        <f>O15/H15</f>
        <v>1.0509995293517018</v>
      </c>
      <c r="Q15" s="149">
        <f t="shared" si="0"/>
        <v>0.3</v>
      </c>
      <c r="R15" s="175">
        <f t="shared" si="0"/>
        <v>1581027</v>
      </c>
      <c r="S15" s="176">
        <f>R15/H15</f>
        <v>1.0509995293517018</v>
      </c>
    </row>
    <row r="16" spans="1:19" ht="28.8" x14ac:dyDescent="0.3">
      <c r="A16" s="1289"/>
      <c r="B16" s="1289"/>
      <c r="C16" s="353" t="s">
        <v>61</v>
      </c>
      <c r="D16" s="353" t="s">
        <v>121</v>
      </c>
      <c r="E16" s="353">
        <v>0</v>
      </c>
      <c r="F16" s="32">
        <v>4283098</v>
      </c>
      <c r="G16" s="32">
        <f>+ROUND(F16*1.051,0)</f>
        <v>4501536</v>
      </c>
      <c r="H16" s="32">
        <f>ROUND((E16*F16),0)</f>
        <v>0</v>
      </c>
      <c r="I16" s="32">
        <f t="shared" si="1"/>
        <v>0</v>
      </c>
      <c r="J16" s="1289"/>
      <c r="K16" s="149">
        <v>0</v>
      </c>
      <c r="L16" s="175">
        <f>ROUND(K16*$F$16,0)</f>
        <v>0</v>
      </c>
      <c r="M16" s="176">
        <v>0</v>
      </c>
      <c r="N16" s="149">
        <v>0</v>
      </c>
      <c r="O16" s="175">
        <f t="shared" ref="O16" si="2">ROUND(N16*$I$14,0)</f>
        <v>0</v>
      </c>
      <c r="P16" s="176">
        <v>0</v>
      </c>
      <c r="Q16" s="149">
        <f t="shared" si="0"/>
        <v>0</v>
      </c>
      <c r="R16" s="175">
        <f t="shared" si="0"/>
        <v>0</v>
      </c>
      <c r="S16" s="176">
        <v>0</v>
      </c>
    </row>
    <row r="17" spans="1:19" x14ac:dyDescent="0.3">
      <c r="A17" s="1289"/>
      <c r="B17" s="1289"/>
      <c r="C17" s="39"/>
      <c r="D17" s="39" t="s">
        <v>116</v>
      </c>
      <c r="E17" s="41"/>
      <c r="F17" s="41"/>
      <c r="G17" s="41"/>
      <c r="H17" s="42">
        <f>SUM(H14:H16)</f>
        <v>3875682</v>
      </c>
      <c r="I17" s="42">
        <f>SUM(I14:I16)</f>
        <v>4073341</v>
      </c>
      <c r="J17" s="1289"/>
      <c r="K17" s="306"/>
      <c r="L17" s="307">
        <f>SUM(L14:L16)</f>
        <v>0</v>
      </c>
      <c r="M17" s="308">
        <f>L17/$H$17</f>
        <v>0</v>
      </c>
      <c r="N17" s="306"/>
      <c r="O17" s="307">
        <f>SUM(O14:O16)</f>
        <v>4073341</v>
      </c>
      <c r="P17" s="308">
        <f>O17/H17</f>
        <v>1.05099979822906</v>
      </c>
      <c r="Q17" s="306"/>
      <c r="R17" s="307">
        <f t="shared" ref="R17:R45" si="3">L17+O17</f>
        <v>4073341</v>
      </c>
      <c r="S17" s="308">
        <f>R17/H17</f>
        <v>1.05099979822906</v>
      </c>
    </row>
    <row r="18" spans="1:19" ht="28.8" x14ac:dyDescent="0.3">
      <c r="A18" s="1289" t="s">
        <v>227</v>
      </c>
      <c r="B18" s="1289" t="s">
        <v>217</v>
      </c>
      <c r="C18" s="353" t="s">
        <v>81</v>
      </c>
      <c r="D18" s="353" t="s">
        <v>218</v>
      </c>
      <c r="E18" s="353">
        <v>0.3</v>
      </c>
      <c r="F18" s="32">
        <v>1149124</v>
      </c>
      <c r="G18" s="32">
        <f t="shared" ref="G18:G20" si="4">+ROUND(F18*1.051,0)</f>
        <v>1207729</v>
      </c>
      <c r="H18" s="32">
        <f>ROUND((E18*F18),0)</f>
        <v>344737</v>
      </c>
      <c r="I18" s="32">
        <f>+ROUND(G18*E18,0)</f>
        <v>362319</v>
      </c>
      <c r="J18" s="1289" t="s">
        <v>935</v>
      </c>
      <c r="K18" s="149">
        <v>0</v>
      </c>
      <c r="L18" s="175">
        <f>ROUND(K18*$F$18,0)</f>
        <v>0</v>
      </c>
      <c r="M18" s="176">
        <f>L18/$H$18</f>
        <v>0</v>
      </c>
      <c r="N18" s="433">
        <v>0.3</v>
      </c>
      <c r="O18" s="429">
        <f>ROUND(N18*$G$18,0)</f>
        <v>362319</v>
      </c>
      <c r="P18" s="430">
        <f t="shared" ref="P18:P19" si="5">O18/H18</f>
        <v>1.0510011980147185</v>
      </c>
      <c r="Q18" s="149">
        <f>K18+N18</f>
        <v>0.3</v>
      </c>
      <c r="R18" s="175">
        <f>L18+O18</f>
        <v>362319</v>
      </c>
      <c r="S18" s="176">
        <f>R18/H18</f>
        <v>1.0510011980147185</v>
      </c>
    </row>
    <row r="19" spans="1:19" ht="28.8" x14ac:dyDescent="0.3">
      <c r="A19" s="1289"/>
      <c r="B19" s="1289"/>
      <c r="C19" s="353" t="s">
        <v>83</v>
      </c>
      <c r="D19" s="353" t="s">
        <v>219</v>
      </c>
      <c r="E19" s="353">
        <v>0.3</v>
      </c>
      <c r="F19" s="32">
        <v>2646468</v>
      </c>
      <c r="G19" s="32">
        <f t="shared" si="4"/>
        <v>2781438</v>
      </c>
      <c r="H19" s="32">
        <f>ROUND((E19*F19),0)</f>
        <v>793940</v>
      </c>
      <c r="I19" s="32">
        <f t="shared" si="1"/>
        <v>834431</v>
      </c>
      <c r="J19" s="1289"/>
      <c r="K19" s="149">
        <v>0</v>
      </c>
      <c r="L19" s="175">
        <f>ROUND(K19*$F$19,0)</f>
        <v>0</v>
      </c>
      <c r="M19" s="176">
        <f>L19/$H$19</f>
        <v>0</v>
      </c>
      <c r="N19" s="433">
        <v>0.3</v>
      </c>
      <c r="O19" s="429">
        <f>ROUND(N19*$G$19,0)</f>
        <v>834431</v>
      </c>
      <c r="P19" s="430">
        <f t="shared" si="5"/>
        <v>1.0510000755724613</v>
      </c>
      <c r="Q19" s="149">
        <f>K19+N19</f>
        <v>0.3</v>
      </c>
      <c r="R19" s="175">
        <f>L19+O19</f>
        <v>834431</v>
      </c>
      <c r="S19" s="176">
        <f>R19/H19</f>
        <v>1.0510000755724613</v>
      </c>
    </row>
    <row r="20" spans="1:19" ht="28.8" x14ac:dyDescent="0.3">
      <c r="A20" s="1289"/>
      <c r="B20" s="1289"/>
      <c r="C20" s="353" t="s">
        <v>61</v>
      </c>
      <c r="D20" s="353" t="s">
        <v>220</v>
      </c>
      <c r="E20" s="353">
        <v>0</v>
      </c>
      <c r="F20" s="32">
        <v>3203618</v>
      </c>
      <c r="G20" s="32">
        <f t="shared" si="4"/>
        <v>3367003</v>
      </c>
      <c r="H20" s="32">
        <f>ROUND((E20*F20),0)</f>
        <v>0</v>
      </c>
      <c r="I20" s="32">
        <f t="shared" si="1"/>
        <v>0</v>
      </c>
      <c r="J20" s="1289"/>
      <c r="K20" s="149">
        <v>0</v>
      </c>
      <c r="L20" s="175">
        <f>ROUND(K20*$F$20,0)</f>
        <v>0</v>
      </c>
      <c r="M20" s="176">
        <v>0</v>
      </c>
      <c r="N20" s="149">
        <v>0</v>
      </c>
      <c r="O20" s="175">
        <f t="shared" ref="O20" si="6">ROUND(N20*$I$14,0)</f>
        <v>0</v>
      </c>
      <c r="P20" s="176">
        <v>0</v>
      </c>
      <c r="Q20" s="149">
        <f>K20+N20</f>
        <v>0</v>
      </c>
      <c r="R20" s="175">
        <f t="shared" si="3"/>
        <v>0</v>
      </c>
      <c r="S20" s="176">
        <v>0</v>
      </c>
    </row>
    <row r="21" spans="1:19" x14ac:dyDescent="0.3">
      <c r="A21" s="1289"/>
      <c r="B21" s="1289"/>
      <c r="C21" s="39"/>
      <c r="D21" s="39" t="s">
        <v>221</v>
      </c>
      <c r="E21" s="41"/>
      <c r="F21" s="41"/>
      <c r="G21" s="41"/>
      <c r="H21" s="42">
        <f>SUM(H18:H20)</f>
        <v>1138677</v>
      </c>
      <c r="I21" s="42">
        <f>SUM(I18:I20)</f>
        <v>1196750</v>
      </c>
      <c r="J21" s="1289"/>
      <c r="K21" s="306"/>
      <c r="L21" s="307">
        <f>SUM(L18:L20)</f>
        <v>0</v>
      </c>
      <c r="M21" s="308">
        <f>L21/$H$21</f>
        <v>0</v>
      </c>
      <c r="N21" s="306"/>
      <c r="O21" s="307">
        <f>SUM(O18:O20)</f>
        <v>1196750</v>
      </c>
      <c r="P21" s="431">
        <f>O21/H21</f>
        <v>1.0510004153943568</v>
      </c>
      <c r="Q21" s="306"/>
      <c r="R21" s="307">
        <f t="shared" si="3"/>
        <v>1196750</v>
      </c>
      <c r="S21" s="308">
        <f>R21/H21</f>
        <v>1.0510004153943568</v>
      </c>
    </row>
    <row r="22" spans="1:19" ht="28.8" x14ac:dyDescent="0.3">
      <c r="A22" s="1289" t="s">
        <v>227</v>
      </c>
      <c r="B22" s="1289" t="s">
        <v>165</v>
      </c>
      <c r="C22" s="353" t="s">
        <v>81</v>
      </c>
      <c r="D22" s="353" t="s">
        <v>166</v>
      </c>
      <c r="E22" s="353">
        <v>0</v>
      </c>
      <c r="F22" s="32">
        <v>1149124</v>
      </c>
      <c r="G22" s="32">
        <f t="shared" ref="G22:G24" si="7">+ROUND(F22*1.051,0)</f>
        <v>1207729</v>
      </c>
      <c r="H22" s="32">
        <f>ROUND((E22*F22),0)</f>
        <v>0</v>
      </c>
      <c r="I22" s="32">
        <f t="shared" si="1"/>
        <v>0</v>
      </c>
      <c r="J22" s="1289" t="s">
        <v>936</v>
      </c>
      <c r="K22" s="149">
        <v>0</v>
      </c>
      <c r="L22" s="175">
        <f>ROUND(K22*$F$22,0)</f>
        <v>0</v>
      </c>
      <c r="M22" s="176">
        <v>0</v>
      </c>
      <c r="N22" s="149">
        <v>0</v>
      </c>
      <c r="O22" s="175">
        <f t="shared" ref="O22:O24" si="8">ROUND(N22*$I$14,0)</f>
        <v>0</v>
      </c>
      <c r="P22" s="176">
        <v>0</v>
      </c>
      <c r="Q22" s="149">
        <f>K22+N22</f>
        <v>0</v>
      </c>
      <c r="R22" s="175">
        <f t="shared" si="3"/>
        <v>0</v>
      </c>
      <c r="S22" s="176">
        <v>0</v>
      </c>
    </row>
    <row r="23" spans="1:19" ht="28.8" x14ac:dyDescent="0.3">
      <c r="A23" s="1289"/>
      <c r="B23" s="1289"/>
      <c r="C23" s="353" t="s">
        <v>83</v>
      </c>
      <c r="D23" s="353" t="s">
        <v>167</v>
      </c>
      <c r="E23" s="353">
        <v>0.49</v>
      </c>
      <c r="F23" s="32">
        <v>2646468</v>
      </c>
      <c r="G23" s="32">
        <f t="shared" si="7"/>
        <v>2781438</v>
      </c>
      <c r="H23" s="32">
        <f>ROUND((E23*F23),0)</f>
        <v>1296769</v>
      </c>
      <c r="I23" s="32">
        <f t="shared" si="1"/>
        <v>1362905</v>
      </c>
      <c r="J23" s="1289"/>
      <c r="K23" s="303">
        <v>0.49</v>
      </c>
      <c r="L23" s="304">
        <f>ROUND(K23*$F$23,0)</f>
        <v>1296769</v>
      </c>
      <c r="M23" s="305">
        <f>L23/$H$23</f>
        <v>1</v>
      </c>
      <c r="N23" s="149">
        <v>0</v>
      </c>
      <c r="O23" s="175">
        <f t="shared" si="8"/>
        <v>0</v>
      </c>
      <c r="P23" s="176">
        <f>O23/H23</f>
        <v>0</v>
      </c>
      <c r="Q23" s="149">
        <f>K23+N23</f>
        <v>0.49</v>
      </c>
      <c r="R23" s="175">
        <f t="shared" si="3"/>
        <v>1296769</v>
      </c>
      <c r="S23" s="176">
        <f>R23/H23</f>
        <v>1</v>
      </c>
    </row>
    <row r="24" spans="1:19" ht="28.8" x14ac:dyDescent="0.3">
      <c r="A24" s="1289"/>
      <c r="B24" s="1289"/>
      <c r="C24" s="353" t="s">
        <v>61</v>
      </c>
      <c r="D24" s="353" t="s">
        <v>168</v>
      </c>
      <c r="E24" s="353">
        <v>0.49</v>
      </c>
      <c r="F24" s="32">
        <v>2542001</v>
      </c>
      <c r="G24" s="32">
        <f t="shared" si="7"/>
        <v>2671643</v>
      </c>
      <c r="H24" s="32">
        <f>ROUND((E24*F24),0)</f>
        <v>1245580</v>
      </c>
      <c r="I24" s="32">
        <f t="shared" si="1"/>
        <v>1309105</v>
      </c>
      <c r="J24" s="1289"/>
      <c r="K24" s="303">
        <v>0.49</v>
      </c>
      <c r="L24" s="304">
        <f>ROUND(K24*$F$24,0)</f>
        <v>1245580</v>
      </c>
      <c r="M24" s="305">
        <f>L24/$H$24</f>
        <v>1</v>
      </c>
      <c r="N24" s="149">
        <v>0</v>
      </c>
      <c r="O24" s="175">
        <f t="shared" si="8"/>
        <v>0</v>
      </c>
      <c r="P24" s="176">
        <f>O24/H24</f>
        <v>0</v>
      </c>
      <c r="Q24" s="149">
        <f>K24+N24</f>
        <v>0.49</v>
      </c>
      <c r="R24" s="175">
        <f t="shared" si="3"/>
        <v>1245580</v>
      </c>
      <c r="S24" s="176">
        <f>R24/H24</f>
        <v>1</v>
      </c>
    </row>
    <row r="25" spans="1:19" x14ac:dyDescent="0.3">
      <c r="A25" s="1289"/>
      <c r="B25" s="1289"/>
      <c r="C25" s="39"/>
      <c r="D25" s="39" t="s">
        <v>169</v>
      </c>
      <c r="E25" s="41"/>
      <c r="F25" s="41"/>
      <c r="G25" s="41"/>
      <c r="H25" s="42">
        <f>SUM(H22:H24)</f>
        <v>2542349</v>
      </c>
      <c r="I25" s="42">
        <f>SUM(I22:I24)</f>
        <v>2672010</v>
      </c>
      <c r="J25" s="1289"/>
      <c r="K25" s="306"/>
      <c r="L25" s="307">
        <f>SUM(L22:L24)</f>
        <v>2542349</v>
      </c>
      <c r="M25" s="308">
        <f>L25/$H$25</f>
        <v>1</v>
      </c>
      <c r="N25" s="306"/>
      <c r="O25" s="307">
        <f>SUM(O22:O24)</f>
        <v>0</v>
      </c>
      <c r="P25" s="431">
        <f>O25/H25</f>
        <v>0</v>
      </c>
      <c r="Q25" s="306"/>
      <c r="R25" s="307">
        <f t="shared" si="3"/>
        <v>2542349</v>
      </c>
      <c r="S25" s="308">
        <f>R25/H25</f>
        <v>1</v>
      </c>
    </row>
    <row r="26" spans="1:19" ht="28.8" x14ac:dyDescent="0.3">
      <c r="A26" s="1289" t="s">
        <v>227</v>
      </c>
      <c r="B26" s="1289" t="s">
        <v>329</v>
      </c>
      <c r="C26" s="353" t="s">
        <v>59</v>
      </c>
      <c r="D26" s="353" t="s">
        <v>235</v>
      </c>
      <c r="E26" s="353">
        <v>0.3</v>
      </c>
      <c r="F26" s="32">
        <v>2298247</v>
      </c>
      <c r="G26" s="32">
        <f>+ROUND(F26*1.051,0)</f>
        <v>2415458</v>
      </c>
      <c r="H26" s="32">
        <f>ROUND((E26*F26),0)</f>
        <v>689474</v>
      </c>
      <c r="I26" s="32">
        <f t="shared" si="1"/>
        <v>724637</v>
      </c>
      <c r="J26" s="1289" t="s">
        <v>937</v>
      </c>
      <c r="K26" s="149">
        <v>0</v>
      </c>
      <c r="L26" s="175">
        <f>ROUND(K26*$F$26,0)</f>
        <v>0</v>
      </c>
      <c r="M26" s="176">
        <f>L26/$H$26</f>
        <v>0</v>
      </c>
      <c r="N26" s="433">
        <v>0.3</v>
      </c>
      <c r="O26" s="429">
        <f>ROUND(N26*$G$26,0)</f>
        <v>724637</v>
      </c>
      <c r="P26" s="430">
        <f>O26/H26</f>
        <v>1.0509997476337034</v>
      </c>
      <c r="Q26" s="149">
        <f>K26+N26</f>
        <v>0.3</v>
      </c>
      <c r="R26" s="175">
        <f t="shared" si="3"/>
        <v>724637</v>
      </c>
      <c r="S26" s="176">
        <f>R26/H26</f>
        <v>1.0509997476337034</v>
      </c>
    </row>
    <row r="27" spans="1:19" x14ac:dyDescent="0.3">
      <c r="A27" s="1289"/>
      <c r="B27" s="1289"/>
      <c r="C27" s="39"/>
      <c r="D27" s="39" t="s">
        <v>236</v>
      </c>
      <c r="E27" s="41"/>
      <c r="F27" s="41"/>
      <c r="G27" s="41"/>
      <c r="H27" s="42">
        <f>H26</f>
        <v>689474</v>
      </c>
      <c r="I27" s="42">
        <f>SUM(I26)</f>
        <v>724637</v>
      </c>
      <c r="J27" s="1289"/>
      <c r="K27" s="306"/>
      <c r="L27" s="307">
        <f>SUM(L26)</f>
        <v>0</v>
      </c>
      <c r="M27" s="308">
        <f>L27/$H$27</f>
        <v>0</v>
      </c>
      <c r="N27" s="306"/>
      <c r="O27" s="307">
        <f>SUM(O26)</f>
        <v>724637</v>
      </c>
      <c r="P27" s="431">
        <f>O27/H27</f>
        <v>1.0509997476337034</v>
      </c>
      <c r="Q27" s="306"/>
      <c r="R27" s="307">
        <f t="shared" si="3"/>
        <v>724637</v>
      </c>
      <c r="S27" s="308">
        <f>R27/H27</f>
        <v>1.0509997476337034</v>
      </c>
    </row>
    <row r="28" spans="1:19" ht="28.8" x14ac:dyDescent="0.3">
      <c r="A28" s="1289" t="s">
        <v>330</v>
      </c>
      <c r="B28" s="1289" t="s">
        <v>165</v>
      </c>
      <c r="C28" s="353" t="s">
        <v>81</v>
      </c>
      <c r="D28" s="353" t="s">
        <v>166</v>
      </c>
      <c r="E28" s="353">
        <v>0</v>
      </c>
      <c r="F28" s="32">
        <v>1149124</v>
      </c>
      <c r="G28" s="32">
        <f t="shared" ref="G28:G30" si="9">+ROUND(F28*1.051,0)</f>
        <v>1207729</v>
      </c>
      <c r="H28" s="32">
        <f>ROUND((E28*F28),0)</f>
        <v>0</v>
      </c>
      <c r="I28" s="32">
        <f t="shared" si="1"/>
        <v>0</v>
      </c>
      <c r="J28" s="1289" t="s">
        <v>936</v>
      </c>
      <c r="K28" s="149">
        <v>0</v>
      </c>
      <c r="L28" s="175">
        <f>ROUND(K28*$F$28,0)</f>
        <v>0</v>
      </c>
      <c r="M28" s="176">
        <v>0</v>
      </c>
      <c r="N28" s="149">
        <v>0</v>
      </c>
      <c r="O28" s="175">
        <f t="shared" ref="O28:O30" si="10">ROUND(N28*$I$14,0)</f>
        <v>0</v>
      </c>
      <c r="P28" s="176">
        <v>0</v>
      </c>
      <c r="Q28" s="149">
        <f>K28+N28</f>
        <v>0</v>
      </c>
      <c r="R28" s="175">
        <f t="shared" si="3"/>
        <v>0</v>
      </c>
      <c r="S28" s="176">
        <v>0</v>
      </c>
    </row>
    <row r="29" spans="1:19" ht="28.8" x14ac:dyDescent="0.3">
      <c r="A29" s="1289"/>
      <c r="B29" s="1289"/>
      <c r="C29" s="353" t="s">
        <v>83</v>
      </c>
      <c r="D29" s="353" t="s">
        <v>167</v>
      </c>
      <c r="E29" s="353">
        <v>0.49</v>
      </c>
      <c r="F29" s="32">
        <v>2646468</v>
      </c>
      <c r="G29" s="32">
        <f t="shared" si="9"/>
        <v>2781438</v>
      </c>
      <c r="H29" s="32">
        <f>ROUND((E29*F29),0)</f>
        <v>1296769</v>
      </c>
      <c r="I29" s="32">
        <f t="shared" si="1"/>
        <v>1362905</v>
      </c>
      <c r="J29" s="1289"/>
      <c r="K29" s="303">
        <v>0.49</v>
      </c>
      <c r="L29" s="304">
        <f>ROUND(K29*$F$29,0)</f>
        <v>1296769</v>
      </c>
      <c r="M29" s="305">
        <f>L29/$H$29</f>
        <v>1</v>
      </c>
      <c r="N29" s="149">
        <v>0</v>
      </c>
      <c r="O29" s="175">
        <f t="shared" si="10"/>
        <v>0</v>
      </c>
      <c r="P29" s="176">
        <f t="shared" ref="P29:P30" si="11">O29/H29</f>
        <v>0</v>
      </c>
      <c r="Q29" s="149">
        <f>K29+N29</f>
        <v>0.49</v>
      </c>
      <c r="R29" s="175">
        <f t="shared" si="3"/>
        <v>1296769</v>
      </c>
      <c r="S29" s="176">
        <f>R29/H29</f>
        <v>1</v>
      </c>
    </row>
    <row r="30" spans="1:19" ht="28.8" x14ac:dyDescent="0.3">
      <c r="A30" s="1289"/>
      <c r="B30" s="1289"/>
      <c r="C30" s="353" t="s">
        <v>61</v>
      </c>
      <c r="D30" s="353" t="s">
        <v>168</v>
      </c>
      <c r="E30" s="353">
        <v>0.49</v>
      </c>
      <c r="F30" s="32">
        <v>2542001</v>
      </c>
      <c r="G30" s="32">
        <f t="shared" si="9"/>
        <v>2671643</v>
      </c>
      <c r="H30" s="32">
        <f>ROUND((E30*F30),0)</f>
        <v>1245580</v>
      </c>
      <c r="I30" s="32">
        <f t="shared" si="1"/>
        <v>1309105</v>
      </c>
      <c r="J30" s="1289"/>
      <c r="K30" s="303">
        <v>0.49</v>
      </c>
      <c r="L30" s="304">
        <f>ROUND(K30*$F$30,0)</f>
        <v>1245580</v>
      </c>
      <c r="M30" s="305">
        <f>L30/$H$30</f>
        <v>1</v>
      </c>
      <c r="N30" s="149">
        <v>0</v>
      </c>
      <c r="O30" s="175">
        <f t="shared" si="10"/>
        <v>0</v>
      </c>
      <c r="P30" s="176">
        <f t="shared" si="11"/>
        <v>0</v>
      </c>
      <c r="Q30" s="149">
        <f>K30+N30</f>
        <v>0.49</v>
      </c>
      <c r="R30" s="175">
        <f t="shared" si="3"/>
        <v>1245580</v>
      </c>
      <c r="S30" s="176">
        <f>R30/H30</f>
        <v>1</v>
      </c>
    </row>
    <row r="31" spans="1:19" x14ac:dyDescent="0.3">
      <c r="A31" s="1289"/>
      <c r="B31" s="1289"/>
      <c r="C31" s="39"/>
      <c r="D31" s="39" t="s">
        <v>169</v>
      </c>
      <c r="E31" s="41"/>
      <c r="F31" s="41"/>
      <c r="G31" s="41"/>
      <c r="H31" s="42">
        <f>SUM(H28:H30)</f>
        <v>2542349</v>
      </c>
      <c r="I31" s="42">
        <f>SUM(I28:I30)</f>
        <v>2672010</v>
      </c>
      <c r="J31" s="1289"/>
      <c r="K31" s="306"/>
      <c r="L31" s="307">
        <f>SUM(L28:L30)</f>
        <v>2542349</v>
      </c>
      <c r="M31" s="308">
        <f>L31/$H$31</f>
        <v>1</v>
      </c>
      <c r="N31" s="306"/>
      <c r="O31" s="307">
        <f>SUM(O28:O30)</f>
        <v>0</v>
      </c>
      <c r="P31" s="431">
        <f>O31/H31</f>
        <v>0</v>
      </c>
      <c r="Q31" s="306"/>
      <c r="R31" s="307">
        <f t="shared" si="3"/>
        <v>2542349</v>
      </c>
      <c r="S31" s="308">
        <f>R31/H31</f>
        <v>1</v>
      </c>
    </row>
    <row r="32" spans="1:19" ht="28.8" x14ac:dyDescent="0.3">
      <c r="A32" s="1289" t="s">
        <v>331</v>
      </c>
      <c r="B32" s="1289" t="s">
        <v>165</v>
      </c>
      <c r="C32" s="353" t="s">
        <v>81</v>
      </c>
      <c r="D32" s="353" t="s">
        <v>166</v>
      </c>
      <c r="E32" s="353">
        <v>0</v>
      </c>
      <c r="F32" s="32">
        <v>1149124</v>
      </c>
      <c r="G32" s="32">
        <f t="shared" ref="G32:G34" si="12">+ROUND(F32*1.051,0)</f>
        <v>1207729</v>
      </c>
      <c r="H32" s="32">
        <f>ROUND((E32*F32),0)</f>
        <v>0</v>
      </c>
      <c r="I32" s="32">
        <f t="shared" si="1"/>
        <v>0</v>
      </c>
      <c r="J32" s="1289" t="s">
        <v>936</v>
      </c>
      <c r="K32" s="149">
        <v>0</v>
      </c>
      <c r="L32" s="175">
        <f>ROUND(K32*$F$32,0)</f>
        <v>0</v>
      </c>
      <c r="M32" s="176">
        <v>0</v>
      </c>
      <c r="N32" s="149">
        <v>0</v>
      </c>
      <c r="O32" s="175">
        <f t="shared" ref="O32:O34" si="13">ROUND(N32*$I$14,0)</f>
        <v>0</v>
      </c>
      <c r="P32" s="176">
        <v>0</v>
      </c>
      <c r="Q32" s="149">
        <f>K32+N32</f>
        <v>0</v>
      </c>
      <c r="R32" s="175">
        <f t="shared" si="3"/>
        <v>0</v>
      </c>
      <c r="S32" s="176">
        <v>0</v>
      </c>
    </row>
    <row r="33" spans="1:19" ht="28.8" x14ac:dyDescent="0.3">
      <c r="A33" s="1289"/>
      <c r="B33" s="1289"/>
      <c r="C33" s="353" t="s">
        <v>83</v>
      </c>
      <c r="D33" s="353" t="s">
        <v>167</v>
      </c>
      <c r="E33" s="353">
        <v>0.49</v>
      </c>
      <c r="F33" s="32">
        <v>2646468</v>
      </c>
      <c r="G33" s="32">
        <f t="shared" si="12"/>
        <v>2781438</v>
      </c>
      <c r="H33" s="32">
        <f>ROUND((E33*F33),0)</f>
        <v>1296769</v>
      </c>
      <c r="I33" s="32">
        <f t="shared" si="1"/>
        <v>1362905</v>
      </c>
      <c r="J33" s="1289"/>
      <c r="K33" s="303">
        <v>0.49</v>
      </c>
      <c r="L33" s="304">
        <f>ROUND(K33*$F$33,0)</f>
        <v>1296769</v>
      </c>
      <c r="M33" s="305">
        <f>L33/$H$33</f>
        <v>1</v>
      </c>
      <c r="N33" s="149">
        <v>0</v>
      </c>
      <c r="O33" s="175">
        <f t="shared" si="13"/>
        <v>0</v>
      </c>
      <c r="P33" s="176">
        <f t="shared" ref="P33:P34" si="14">O33/H33</f>
        <v>0</v>
      </c>
      <c r="Q33" s="149">
        <f>K33+N33</f>
        <v>0.49</v>
      </c>
      <c r="R33" s="175">
        <f t="shared" si="3"/>
        <v>1296769</v>
      </c>
      <c r="S33" s="176">
        <f>R33/H33</f>
        <v>1</v>
      </c>
    </row>
    <row r="34" spans="1:19" ht="28.8" x14ac:dyDescent="0.3">
      <c r="A34" s="1289"/>
      <c r="B34" s="1289"/>
      <c r="C34" s="353" t="s">
        <v>61</v>
      </c>
      <c r="D34" s="353" t="s">
        <v>168</v>
      </c>
      <c r="E34" s="353">
        <v>0.49</v>
      </c>
      <c r="F34" s="32">
        <v>2542001</v>
      </c>
      <c r="G34" s="32">
        <f t="shared" si="12"/>
        <v>2671643</v>
      </c>
      <c r="H34" s="32">
        <f>ROUND((E34*F34),0)</f>
        <v>1245580</v>
      </c>
      <c r="I34" s="32">
        <f t="shared" si="1"/>
        <v>1309105</v>
      </c>
      <c r="J34" s="1289"/>
      <c r="K34" s="303">
        <v>0.49</v>
      </c>
      <c r="L34" s="304">
        <f>ROUND(K34*$F$34,0)</f>
        <v>1245580</v>
      </c>
      <c r="M34" s="305">
        <f>L34/$H$34</f>
        <v>1</v>
      </c>
      <c r="N34" s="149">
        <v>0</v>
      </c>
      <c r="O34" s="175">
        <f t="shared" si="13"/>
        <v>0</v>
      </c>
      <c r="P34" s="176">
        <f t="shared" si="14"/>
        <v>0</v>
      </c>
      <c r="Q34" s="149">
        <f>K34+N34</f>
        <v>0.49</v>
      </c>
      <c r="R34" s="175">
        <f t="shared" si="3"/>
        <v>1245580</v>
      </c>
      <c r="S34" s="176">
        <f>R34/H34</f>
        <v>1</v>
      </c>
    </row>
    <row r="35" spans="1:19" x14ac:dyDescent="0.3">
      <c r="A35" s="1289"/>
      <c r="B35" s="1289"/>
      <c r="C35" s="39"/>
      <c r="D35" s="39" t="s">
        <v>169</v>
      </c>
      <c r="E35" s="41"/>
      <c r="F35" s="41"/>
      <c r="G35" s="41"/>
      <c r="H35" s="42">
        <f>SUM(H32:H34)</f>
        <v>2542349</v>
      </c>
      <c r="I35" s="42">
        <f>SUM(I32:I34)</f>
        <v>2672010</v>
      </c>
      <c r="J35" s="1289"/>
      <c r="K35" s="306"/>
      <c r="L35" s="307">
        <f>SUM(L32:L34)</f>
        <v>2542349</v>
      </c>
      <c r="M35" s="308">
        <f>L35/$H$35</f>
        <v>1</v>
      </c>
      <c r="N35" s="306"/>
      <c r="O35" s="307">
        <f>SUM(O32:O34)</f>
        <v>0</v>
      </c>
      <c r="P35" s="431">
        <f>O35/H35</f>
        <v>0</v>
      </c>
      <c r="Q35" s="306"/>
      <c r="R35" s="307">
        <f t="shared" si="3"/>
        <v>2542349</v>
      </c>
      <c r="S35" s="308">
        <f>R35/H35</f>
        <v>1</v>
      </c>
    </row>
    <row r="36" spans="1:19" ht="28.8" x14ac:dyDescent="0.3">
      <c r="A36" s="1289" t="s">
        <v>332</v>
      </c>
      <c r="B36" s="1289" t="s">
        <v>165</v>
      </c>
      <c r="C36" s="353" t="s">
        <v>81</v>
      </c>
      <c r="D36" s="353" t="s">
        <v>166</v>
      </c>
      <c r="E36" s="353">
        <v>0</v>
      </c>
      <c r="F36" s="32">
        <v>1149124</v>
      </c>
      <c r="G36" s="32">
        <f t="shared" ref="G36:G38" si="15">+ROUND(F36*1.051,0)</f>
        <v>1207729</v>
      </c>
      <c r="H36" s="32">
        <f>ROUND((E36*F36),0)</f>
        <v>0</v>
      </c>
      <c r="I36" s="32">
        <f t="shared" si="1"/>
        <v>0</v>
      </c>
      <c r="J36" s="1289" t="s">
        <v>936</v>
      </c>
      <c r="K36" s="149">
        <v>0</v>
      </c>
      <c r="L36" s="175">
        <f>ROUND(K36*$F$36,0)</f>
        <v>0</v>
      </c>
      <c r="M36" s="176">
        <v>0</v>
      </c>
      <c r="N36" s="149">
        <v>0</v>
      </c>
      <c r="O36" s="175">
        <f t="shared" ref="O36:O38" si="16">ROUND(N36*$I$14,0)</f>
        <v>0</v>
      </c>
      <c r="P36" s="176">
        <v>0</v>
      </c>
      <c r="Q36" s="149">
        <f>K36+N36</f>
        <v>0</v>
      </c>
      <c r="R36" s="175">
        <f t="shared" si="3"/>
        <v>0</v>
      </c>
      <c r="S36" s="176">
        <v>0</v>
      </c>
    </row>
    <row r="37" spans="1:19" ht="28.8" x14ac:dyDescent="0.3">
      <c r="A37" s="1289"/>
      <c r="B37" s="1289"/>
      <c r="C37" s="353" t="s">
        <v>83</v>
      </c>
      <c r="D37" s="353" t="s">
        <v>167</v>
      </c>
      <c r="E37" s="353">
        <v>0.49</v>
      </c>
      <c r="F37" s="32">
        <v>2646468</v>
      </c>
      <c r="G37" s="32">
        <f t="shared" si="15"/>
        <v>2781438</v>
      </c>
      <c r="H37" s="32">
        <f>ROUND((E37*F37),0)</f>
        <v>1296769</v>
      </c>
      <c r="I37" s="32">
        <f t="shared" si="1"/>
        <v>1362905</v>
      </c>
      <c r="J37" s="1289"/>
      <c r="K37" s="303">
        <v>0.49</v>
      </c>
      <c r="L37" s="304">
        <f>ROUND(K37*$F$37,0)</f>
        <v>1296769</v>
      </c>
      <c r="M37" s="305">
        <f>L37/$H$37</f>
        <v>1</v>
      </c>
      <c r="N37" s="149">
        <v>0</v>
      </c>
      <c r="O37" s="175">
        <f t="shared" si="16"/>
        <v>0</v>
      </c>
      <c r="P37" s="176">
        <f t="shared" ref="P37:P38" si="17">O37/H37</f>
        <v>0</v>
      </c>
      <c r="Q37" s="149">
        <f>K37+N37</f>
        <v>0.49</v>
      </c>
      <c r="R37" s="175">
        <f t="shared" si="3"/>
        <v>1296769</v>
      </c>
      <c r="S37" s="176">
        <f>R37/H37</f>
        <v>1</v>
      </c>
    </row>
    <row r="38" spans="1:19" ht="28.8" x14ac:dyDescent="0.3">
      <c r="A38" s="1289"/>
      <c r="B38" s="1289"/>
      <c r="C38" s="353" t="s">
        <v>61</v>
      </c>
      <c r="D38" s="353" t="s">
        <v>168</v>
      </c>
      <c r="E38" s="353">
        <v>0.49</v>
      </c>
      <c r="F38" s="32">
        <v>2542001</v>
      </c>
      <c r="G38" s="32">
        <f t="shared" si="15"/>
        <v>2671643</v>
      </c>
      <c r="H38" s="32">
        <f>ROUND((E38*F38),0)</f>
        <v>1245580</v>
      </c>
      <c r="I38" s="32">
        <f t="shared" si="1"/>
        <v>1309105</v>
      </c>
      <c r="J38" s="1289"/>
      <c r="K38" s="303">
        <v>0.49</v>
      </c>
      <c r="L38" s="304">
        <f>ROUND(K38*$F$38,0)</f>
        <v>1245580</v>
      </c>
      <c r="M38" s="305">
        <f>L38/$H$38</f>
        <v>1</v>
      </c>
      <c r="N38" s="149">
        <v>0</v>
      </c>
      <c r="O38" s="175">
        <f t="shared" si="16"/>
        <v>0</v>
      </c>
      <c r="P38" s="176">
        <f t="shared" si="17"/>
        <v>0</v>
      </c>
      <c r="Q38" s="149">
        <f>K38+N38</f>
        <v>0.49</v>
      </c>
      <c r="R38" s="175">
        <f t="shared" si="3"/>
        <v>1245580</v>
      </c>
      <c r="S38" s="176">
        <f>R38/H38</f>
        <v>1</v>
      </c>
    </row>
    <row r="39" spans="1:19" x14ac:dyDescent="0.3">
      <c r="A39" s="1289"/>
      <c r="B39" s="1289"/>
      <c r="C39" s="39"/>
      <c r="D39" s="39" t="s">
        <v>169</v>
      </c>
      <c r="E39" s="41"/>
      <c r="F39" s="41"/>
      <c r="G39" s="41"/>
      <c r="H39" s="42">
        <f>SUM(H36:H38)</f>
        <v>2542349</v>
      </c>
      <c r="I39" s="42">
        <f>SUM(I36:I38)</f>
        <v>2672010</v>
      </c>
      <c r="J39" s="1289"/>
      <c r="K39" s="306"/>
      <c r="L39" s="307">
        <f>SUM(L36:L38)</f>
        <v>2542349</v>
      </c>
      <c r="M39" s="308">
        <f>L39/$H$39</f>
        <v>1</v>
      </c>
      <c r="N39" s="306"/>
      <c r="O39" s="307">
        <f>SUM(O36:O38)</f>
        <v>0</v>
      </c>
      <c r="P39" s="431">
        <f>O39/H39</f>
        <v>0</v>
      </c>
      <c r="Q39" s="306"/>
      <c r="R39" s="307">
        <f t="shared" si="3"/>
        <v>2542349</v>
      </c>
      <c r="S39" s="308">
        <f>R39/H39</f>
        <v>1</v>
      </c>
    </row>
    <row r="40" spans="1:19" ht="28.8" x14ac:dyDescent="0.3">
      <c r="A40" s="1289" t="s">
        <v>333</v>
      </c>
      <c r="B40" s="1289" t="s">
        <v>165</v>
      </c>
      <c r="C40" s="353" t="s">
        <v>81</v>
      </c>
      <c r="D40" s="353" t="s">
        <v>166</v>
      </c>
      <c r="E40" s="353">
        <v>0</v>
      </c>
      <c r="F40" s="32">
        <v>1149124</v>
      </c>
      <c r="G40" s="32">
        <f t="shared" ref="G40:G42" si="18">+ROUND(F40*1.051,0)</f>
        <v>1207729</v>
      </c>
      <c r="H40" s="32">
        <f>ROUND((E40*F40),0)</f>
        <v>0</v>
      </c>
      <c r="I40" s="32">
        <f t="shared" si="1"/>
        <v>0</v>
      </c>
      <c r="J40" s="1289" t="s">
        <v>936</v>
      </c>
      <c r="K40" s="149">
        <v>0</v>
      </c>
      <c r="L40" s="175">
        <f>ROUND(K40*$F$40,0)</f>
        <v>0</v>
      </c>
      <c r="M40" s="176">
        <v>0</v>
      </c>
      <c r="N40" s="149">
        <v>0</v>
      </c>
      <c r="O40" s="175">
        <f t="shared" ref="O40:O42" si="19">ROUND(N40*$I$14,0)</f>
        <v>0</v>
      </c>
      <c r="P40" s="176">
        <v>0</v>
      </c>
      <c r="Q40" s="149">
        <f>K40+N40</f>
        <v>0</v>
      </c>
      <c r="R40" s="175">
        <f t="shared" si="3"/>
        <v>0</v>
      </c>
      <c r="S40" s="176">
        <v>0</v>
      </c>
    </row>
    <row r="41" spans="1:19" ht="28.8" x14ac:dyDescent="0.3">
      <c r="A41" s="1289"/>
      <c r="B41" s="1289"/>
      <c r="C41" s="353" t="s">
        <v>83</v>
      </c>
      <c r="D41" s="353" t="s">
        <v>167</v>
      </c>
      <c r="E41" s="353">
        <v>0.49</v>
      </c>
      <c r="F41" s="32">
        <v>2646468</v>
      </c>
      <c r="G41" s="32">
        <f t="shared" si="18"/>
        <v>2781438</v>
      </c>
      <c r="H41" s="32">
        <f>ROUND((E41*F41),0)</f>
        <v>1296769</v>
      </c>
      <c r="I41" s="32">
        <f t="shared" si="1"/>
        <v>1362905</v>
      </c>
      <c r="J41" s="1289"/>
      <c r="K41" s="303">
        <v>0.49</v>
      </c>
      <c r="L41" s="304">
        <f>ROUND(K41*$F$41,0)</f>
        <v>1296769</v>
      </c>
      <c r="M41" s="305">
        <f>L41/$H$41</f>
        <v>1</v>
      </c>
      <c r="N41" s="149">
        <v>0</v>
      </c>
      <c r="O41" s="175">
        <f t="shared" si="19"/>
        <v>0</v>
      </c>
      <c r="P41" s="176">
        <f t="shared" ref="P41" si="20">O41/H41</f>
        <v>0</v>
      </c>
      <c r="Q41" s="149">
        <f>K41+N41</f>
        <v>0.49</v>
      </c>
      <c r="R41" s="175">
        <f t="shared" si="3"/>
        <v>1296769</v>
      </c>
      <c r="S41" s="176">
        <f t="shared" ref="S41:S45" si="21">R41/H41</f>
        <v>1</v>
      </c>
    </row>
    <row r="42" spans="1:19" ht="28.8" x14ac:dyDescent="0.3">
      <c r="A42" s="1289"/>
      <c r="B42" s="1289"/>
      <c r="C42" s="353" t="s">
        <v>61</v>
      </c>
      <c r="D42" s="353" t="s">
        <v>168</v>
      </c>
      <c r="E42" s="353">
        <v>0.49</v>
      </c>
      <c r="F42" s="32">
        <v>2542001</v>
      </c>
      <c r="G42" s="32">
        <f t="shared" si="18"/>
        <v>2671643</v>
      </c>
      <c r="H42" s="32">
        <f>ROUND((E42*F42),0)</f>
        <v>1245580</v>
      </c>
      <c r="I42" s="32">
        <f t="shared" si="1"/>
        <v>1309105</v>
      </c>
      <c r="J42" s="1289"/>
      <c r="K42" s="303">
        <v>0.49</v>
      </c>
      <c r="L42" s="304">
        <f>ROUND(K42*$F$42,0)</f>
        <v>1245580</v>
      </c>
      <c r="M42" s="305">
        <f>L42/$H$42</f>
        <v>1</v>
      </c>
      <c r="N42" s="149">
        <v>0</v>
      </c>
      <c r="O42" s="175">
        <f t="shared" si="19"/>
        <v>0</v>
      </c>
      <c r="P42" s="176">
        <f>O42/H42</f>
        <v>0</v>
      </c>
      <c r="Q42" s="149">
        <f>K42+N42</f>
        <v>0.49</v>
      </c>
      <c r="R42" s="175">
        <f t="shared" si="3"/>
        <v>1245580</v>
      </c>
      <c r="S42" s="176">
        <f t="shared" si="21"/>
        <v>1</v>
      </c>
    </row>
    <row r="43" spans="1:19" x14ac:dyDescent="0.3">
      <c r="A43" s="1289"/>
      <c r="B43" s="1289"/>
      <c r="C43" s="39"/>
      <c r="D43" s="39" t="s">
        <v>169</v>
      </c>
      <c r="E43" s="41"/>
      <c r="F43" s="41"/>
      <c r="G43" s="41"/>
      <c r="H43" s="42">
        <f>SUM(H40:H42)</f>
        <v>2542349</v>
      </c>
      <c r="I43" s="42">
        <f>SUM(I40:I42)</f>
        <v>2672010</v>
      </c>
      <c r="J43" s="1289"/>
      <c r="K43" s="306"/>
      <c r="L43" s="307">
        <f>SUM(L40:L42)</f>
        <v>2542349</v>
      </c>
      <c r="M43" s="308">
        <f>L43/$H$43</f>
        <v>1</v>
      </c>
      <c r="N43" s="306"/>
      <c r="O43" s="307">
        <f>SUM(O40:O42)</f>
        <v>0</v>
      </c>
      <c r="P43" s="431">
        <f>O43/H43</f>
        <v>0</v>
      </c>
      <c r="Q43" s="306"/>
      <c r="R43" s="307">
        <f t="shared" si="3"/>
        <v>2542349</v>
      </c>
      <c r="S43" s="308">
        <f t="shared" si="21"/>
        <v>1</v>
      </c>
    </row>
    <row r="44" spans="1:19" ht="30" customHeight="1" x14ac:dyDescent="0.3">
      <c r="A44" s="1323" t="s">
        <v>938</v>
      </c>
      <c r="B44" s="1357" t="s">
        <v>194</v>
      </c>
      <c r="C44" s="356" t="s">
        <v>160</v>
      </c>
      <c r="D44" s="356" t="s">
        <v>161</v>
      </c>
      <c r="E44" s="358">
        <v>27</v>
      </c>
      <c r="F44" s="114">
        <v>69644</v>
      </c>
      <c r="G44" s="32">
        <f>+ROUND(F44*1.051,0)</f>
        <v>73196</v>
      </c>
      <c r="H44" s="114">
        <f>+F44*E44</f>
        <v>1880388</v>
      </c>
      <c r="I44" s="32">
        <f>+ROUND(G44*E44,0)</f>
        <v>1976292</v>
      </c>
      <c r="J44" s="1323" t="s">
        <v>939</v>
      </c>
      <c r="K44" s="303">
        <v>27</v>
      </c>
      <c r="L44" s="304">
        <f>ROUND(K44*$F$44,0)</f>
        <v>1880388</v>
      </c>
      <c r="M44" s="305">
        <f>L44/$H$44</f>
        <v>1</v>
      </c>
      <c r="N44" s="149">
        <v>0</v>
      </c>
      <c r="O44" s="175">
        <f>ROUND(N44*$I$14,0)</f>
        <v>0</v>
      </c>
      <c r="P44" s="176">
        <f>O44/H44</f>
        <v>0</v>
      </c>
      <c r="Q44" s="149">
        <f>K44+N44</f>
        <v>27</v>
      </c>
      <c r="R44" s="175">
        <f t="shared" si="3"/>
        <v>1880388</v>
      </c>
      <c r="S44" s="176">
        <f t="shared" si="21"/>
        <v>1</v>
      </c>
    </row>
    <row r="45" spans="1:19" x14ac:dyDescent="0.3">
      <c r="A45" s="1323"/>
      <c r="B45" s="1357"/>
      <c r="C45" s="115"/>
      <c r="D45" s="115" t="s">
        <v>162</v>
      </c>
      <c r="E45" s="368"/>
      <c r="F45" s="116"/>
      <c r="G45" s="116"/>
      <c r="H45" s="117">
        <f>SUM(H44)</f>
        <v>1880388</v>
      </c>
      <c r="I45" s="117">
        <f>SUM(I44)</f>
        <v>1976292</v>
      </c>
      <c r="J45" s="1323"/>
      <c r="K45" s="306"/>
      <c r="L45" s="307">
        <f>SUM(L44)</f>
        <v>1880388</v>
      </c>
      <c r="M45" s="308">
        <f>L45/$H$45</f>
        <v>1</v>
      </c>
      <c r="N45" s="306"/>
      <c r="O45" s="307">
        <f>SUM(O44)</f>
        <v>0</v>
      </c>
      <c r="P45" s="431">
        <f>O45/H45</f>
        <v>0</v>
      </c>
      <c r="Q45" s="306"/>
      <c r="R45" s="307">
        <f t="shared" si="3"/>
        <v>1880388</v>
      </c>
      <c r="S45" s="308">
        <f t="shared" si="21"/>
        <v>1</v>
      </c>
    </row>
    <row r="46" spans="1:19" x14ac:dyDescent="0.3">
      <c r="A46" s="369"/>
      <c r="B46" s="369"/>
      <c r="C46" s="369"/>
      <c r="D46" s="369"/>
      <c r="E46" s="369"/>
      <c r="F46" s="151" t="s">
        <v>64</v>
      </c>
      <c r="G46" s="151"/>
      <c r="H46" s="181">
        <f>SUM(H14:H45)/2</f>
        <v>20295966</v>
      </c>
      <c r="I46" s="181">
        <f>SUM(I14:I45)/2</f>
        <v>21331070</v>
      </c>
      <c r="K46" s="151" t="s">
        <v>64</v>
      </c>
      <c r="L46" s="181">
        <f>SUM(L14:L45)/2</f>
        <v>14592133</v>
      </c>
      <c r="M46" s="211">
        <f>L46/$H$46</f>
        <v>0.71896715830130975</v>
      </c>
      <c r="N46" s="480" t="s">
        <v>64</v>
      </c>
      <c r="O46" s="481">
        <f>SUM(O14:O45)/2</f>
        <v>5994728</v>
      </c>
      <c r="Q46" s="480" t="s">
        <v>64</v>
      </c>
      <c r="R46" s="481">
        <f>SUM(R14:R45)/2</f>
        <v>20586861</v>
      </c>
    </row>
    <row r="47" spans="1:19" x14ac:dyDescent="0.3">
      <c r="F47" s="153" t="s">
        <v>65</v>
      </c>
      <c r="G47" s="816"/>
      <c r="H47" s="182">
        <v>0</v>
      </c>
      <c r="I47" s="182">
        <v>0</v>
      </c>
      <c r="K47" s="153" t="s">
        <v>65</v>
      </c>
      <c r="L47" s="182">
        <v>0</v>
      </c>
      <c r="N47" s="482" t="s">
        <v>65</v>
      </c>
      <c r="O47" s="483">
        <v>0</v>
      </c>
      <c r="Q47" s="482" t="s">
        <v>65</v>
      </c>
      <c r="R47" s="483">
        <v>0</v>
      </c>
    </row>
    <row r="48" spans="1:19" x14ac:dyDescent="0.3">
      <c r="F48" s="152" t="s">
        <v>64</v>
      </c>
      <c r="G48" s="817"/>
      <c r="H48" s="182">
        <f>+H46+H47</f>
        <v>20295966</v>
      </c>
      <c r="I48" s="182">
        <f>+I46+I47</f>
        <v>21331070</v>
      </c>
      <c r="K48" s="152" t="s">
        <v>64</v>
      </c>
      <c r="L48" s="182">
        <f>+L46+L47</f>
        <v>14592133</v>
      </c>
      <c r="N48" s="484" t="s">
        <v>64</v>
      </c>
      <c r="O48" s="483">
        <f>+O46+O47</f>
        <v>5994728</v>
      </c>
      <c r="Q48" s="484" t="s">
        <v>64</v>
      </c>
      <c r="R48" s="483">
        <f>+R46+R47</f>
        <v>20586861</v>
      </c>
    </row>
    <row r="49" spans="1:19" ht="26.4" x14ac:dyDescent="0.3">
      <c r="F49" s="152"/>
      <c r="G49" s="817"/>
      <c r="H49" s="182"/>
      <c r="I49" s="182"/>
      <c r="K49" s="152"/>
      <c r="L49" s="182"/>
      <c r="N49" s="484" t="s">
        <v>1439</v>
      </c>
      <c r="O49" s="483">
        <f>ROUND(O48*0.015,0)</f>
        <v>89921</v>
      </c>
      <c r="Q49" s="484" t="s">
        <v>1439</v>
      </c>
      <c r="R49" s="483">
        <f>L49+O49</f>
        <v>89921</v>
      </c>
    </row>
    <row r="50" spans="1:19" ht="26.4" x14ac:dyDescent="0.3">
      <c r="F50" s="152"/>
      <c r="G50" s="817"/>
      <c r="H50" s="182"/>
      <c r="I50" s="182"/>
      <c r="K50" s="152"/>
      <c r="L50" s="182"/>
      <c r="N50" s="152" t="s">
        <v>1440</v>
      </c>
      <c r="O50" s="182">
        <f>O48+O49</f>
        <v>6084649</v>
      </c>
      <c r="P50" s="211">
        <f>O50/$H$48</f>
        <v>0.2997959791615733</v>
      </c>
      <c r="Q50" s="152" t="s">
        <v>1440</v>
      </c>
      <c r="R50" s="182">
        <f>R48+R49</f>
        <v>20676782</v>
      </c>
      <c r="S50" s="211">
        <f>R50/H46</f>
        <v>1.0187631374628829</v>
      </c>
    </row>
    <row r="51" spans="1:19" x14ac:dyDescent="0.3">
      <c r="F51" s="154" t="s">
        <v>66</v>
      </c>
      <c r="G51" s="818"/>
      <c r="H51" s="182">
        <f>+H48*19%</f>
        <v>3856233.54</v>
      </c>
      <c r="I51" s="182">
        <f>+I48*19%</f>
        <v>4052903.3000000003</v>
      </c>
      <c r="K51" s="154" t="s">
        <v>66</v>
      </c>
      <c r="L51" s="182">
        <f>+L48*19%</f>
        <v>2772505.27</v>
      </c>
      <c r="N51" s="485" t="s">
        <v>66</v>
      </c>
      <c r="O51" s="483">
        <f>ROUND(O50*0.19,0)</f>
        <v>1156083</v>
      </c>
      <c r="Q51" s="485" t="s">
        <v>66</v>
      </c>
      <c r="R51" s="483">
        <f>ROUND(R50*0.19,0)</f>
        <v>3928589</v>
      </c>
    </row>
    <row r="52" spans="1:19" x14ac:dyDescent="0.3">
      <c r="F52" s="155" t="s">
        <v>69</v>
      </c>
      <c r="G52" s="155"/>
      <c r="H52" s="181">
        <f>+H48+H51</f>
        <v>24152199.539999999</v>
      </c>
      <c r="I52" s="181">
        <f>+I48+I51</f>
        <v>25383973.300000001</v>
      </c>
      <c r="K52" s="155" t="s">
        <v>69</v>
      </c>
      <c r="L52" s="181">
        <f>+L48+L51</f>
        <v>17364638.27</v>
      </c>
      <c r="N52" s="545" t="s">
        <v>69</v>
      </c>
      <c r="O52" s="481">
        <f>O50+O51</f>
        <v>7240732</v>
      </c>
      <c r="Q52" s="545" t="s">
        <v>69</v>
      </c>
      <c r="R52" s="481">
        <f>R50+R51</f>
        <v>24605371</v>
      </c>
    </row>
    <row r="55" spans="1:19" x14ac:dyDescent="0.3">
      <c r="A55" s="183" t="s">
        <v>67</v>
      </c>
      <c r="B55" s="184"/>
      <c r="C55" s="184"/>
      <c r="D55" s="185" t="s">
        <v>68</v>
      </c>
      <c r="K55" s="186" t="s">
        <v>70</v>
      </c>
      <c r="L55" s="187" t="s">
        <v>71</v>
      </c>
      <c r="M55" s="186" t="s">
        <v>58</v>
      </c>
      <c r="N55" s="186" t="s">
        <v>70</v>
      </c>
      <c r="O55" s="187" t="s">
        <v>71</v>
      </c>
      <c r="P55" s="186" t="s">
        <v>58</v>
      </c>
    </row>
    <row r="56" spans="1:19" x14ac:dyDescent="0.3">
      <c r="A56" s="183"/>
      <c r="B56" s="184"/>
      <c r="C56" s="184"/>
      <c r="D56" s="185"/>
      <c r="K56" s="203" t="s">
        <v>72</v>
      </c>
      <c r="L56" s="204">
        <f>$L$46</f>
        <v>14592133</v>
      </c>
      <c r="M56" s="205">
        <f>$M$46</f>
        <v>0.71896715830130975</v>
      </c>
      <c r="N56" s="203" t="s">
        <v>72</v>
      </c>
      <c r="O56" s="204">
        <f>$L$46</f>
        <v>14592133</v>
      </c>
      <c r="P56" s="205">
        <f>$M$46</f>
        <v>0.71896715830130975</v>
      </c>
    </row>
    <row r="57" spans="1:19" x14ac:dyDescent="0.3">
      <c r="A57" s="183"/>
      <c r="B57" s="184"/>
      <c r="C57" s="184"/>
      <c r="D57" s="185"/>
      <c r="K57" s="203"/>
      <c r="L57" s="204"/>
      <c r="M57" s="205"/>
      <c r="N57" s="203" t="s">
        <v>73</v>
      </c>
      <c r="O57" s="204">
        <f>$O$50</f>
        <v>6084649</v>
      </c>
      <c r="P57" s="205">
        <f>$P$50</f>
        <v>0.2997959791615733</v>
      </c>
    </row>
    <row r="58" spans="1:19" x14ac:dyDescent="0.3">
      <c r="A58" s="183"/>
      <c r="B58" s="184"/>
      <c r="C58" s="184"/>
      <c r="D58" s="185"/>
      <c r="K58" s="206" t="s">
        <v>1</v>
      </c>
      <c r="L58" s="207">
        <f>SUM(L56:L56)</f>
        <v>14592133</v>
      </c>
      <c r="M58" s="208">
        <f>SUM(M56:M56)</f>
        <v>0.71896715830130975</v>
      </c>
      <c r="N58" s="206" t="s">
        <v>1</v>
      </c>
      <c r="O58" s="207">
        <f>SUM(O56:O57)</f>
        <v>20676782</v>
      </c>
      <c r="P58" s="208">
        <f>SUM(P56:P57)</f>
        <v>1.0187631374628832</v>
      </c>
    </row>
    <row r="59" spans="1:19" x14ac:dyDescent="0.3">
      <c r="A59" s="183"/>
      <c r="B59" s="184"/>
      <c r="C59" s="184"/>
      <c r="D59" s="185"/>
      <c r="K59" s="206" t="s">
        <v>9</v>
      </c>
      <c r="L59" s="1285"/>
      <c r="M59" s="1286"/>
      <c r="N59" s="206" t="s">
        <v>9</v>
      </c>
      <c r="O59" s="1285"/>
      <c r="P59" s="1286"/>
    </row>
    <row r="60" spans="1:19" x14ac:dyDescent="0.3">
      <c r="A60" s="183"/>
      <c r="B60" s="184"/>
      <c r="C60" s="184"/>
      <c r="D60" s="185"/>
      <c r="K60" s="156" t="s">
        <v>78</v>
      </c>
      <c r="L60" s="1285" t="s">
        <v>334</v>
      </c>
      <c r="M60" s="1286"/>
      <c r="N60" s="156" t="s">
        <v>78</v>
      </c>
      <c r="O60" s="1285" t="s">
        <v>1989</v>
      </c>
      <c r="P60" s="1286"/>
    </row>
    <row r="61" spans="1:19" x14ac:dyDescent="0.3">
      <c r="A61" s="183"/>
      <c r="B61" s="184"/>
      <c r="C61" s="184"/>
      <c r="D61" s="185"/>
      <c r="K61" s="157" t="s">
        <v>8</v>
      </c>
      <c r="L61" s="1287" t="s">
        <v>335</v>
      </c>
      <c r="M61" s="1288"/>
      <c r="N61" s="157" t="s">
        <v>8</v>
      </c>
      <c r="O61" s="1285" t="s">
        <v>1990</v>
      </c>
      <c r="P61" s="1286"/>
    </row>
    <row r="62" spans="1:19" x14ac:dyDescent="0.3">
      <c r="A62" s="183"/>
      <c r="B62" s="184"/>
      <c r="C62" s="184"/>
      <c r="D62" s="185" t="s">
        <v>75</v>
      </c>
    </row>
    <row r="63" spans="1:19" x14ac:dyDescent="0.3">
      <c r="A63" s="183" t="s">
        <v>76</v>
      </c>
      <c r="B63" s="180"/>
      <c r="C63" s="180"/>
      <c r="D63" s="185" t="s">
        <v>77</v>
      </c>
    </row>
    <row r="64" spans="1:19" x14ac:dyDescent="0.3">
      <c r="A64" s="183" t="s">
        <v>79</v>
      </c>
      <c r="B64" s="180"/>
      <c r="C64" s="180"/>
      <c r="D64" s="185" t="s">
        <v>80</v>
      </c>
    </row>
  </sheetData>
  <sheetProtection formatCells="0" formatColumns="0" formatRows="0" insertColumns="0" insertRows="0" insertHyperlinks="0" deleteColumns="0" deleteRows="0" sort="0" autoFilter="0" pivotTables="0"/>
  <mergeCells count="49">
    <mergeCell ref="O59:P59"/>
    <mergeCell ref="O60:P60"/>
    <mergeCell ref="O61:P61"/>
    <mergeCell ref="B11:J11"/>
    <mergeCell ref="K11:M12"/>
    <mergeCell ref="L61:M61"/>
    <mergeCell ref="Q11:S12"/>
    <mergeCell ref="B12:J12"/>
    <mergeCell ref="Q1:S1"/>
    <mergeCell ref="Q2:S2"/>
    <mergeCell ref="A3:S3"/>
    <mergeCell ref="A4:S4"/>
    <mergeCell ref="A5:S5"/>
    <mergeCell ref="A6:S6"/>
    <mergeCell ref="A7:S7"/>
    <mergeCell ref="A8:S8"/>
    <mergeCell ref="A9:S9"/>
    <mergeCell ref="A10:S10"/>
    <mergeCell ref="C1:P2"/>
    <mergeCell ref="N11:P12"/>
    <mergeCell ref="A14:A17"/>
    <mergeCell ref="B14:B17"/>
    <mergeCell ref="J14:J17"/>
    <mergeCell ref="A18:A21"/>
    <mergeCell ref="B18:B21"/>
    <mergeCell ref="J18:J21"/>
    <mergeCell ref="A22:A25"/>
    <mergeCell ref="B22:B25"/>
    <mergeCell ref="J22:J25"/>
    <mergeCell ref="A26:A27"/>
    <mergeCell ref="B26:B27"/>
    <mergeCell ref="J26:J27"/>
    <mergeCell ref="A28:A31"/>
    <mergeCell ref="B28:B31"/>
    <mergeCell ref="J28:J31"/>
    <mergeCell ref="A32:A35"/>
    <mergeCell ref="B32:B35"/>
    <mergeCell ref="J32:J35"/>
    <mergeCell ref="A36:A39"/>
    <mergeCell ref="B36:B39"/>
    <mergeCell ref="J36:J39"/>
    <mergeCell ref="A40:A43"/>
    <mergeCell ref="B40:B43"/>
    <mergeCell ref="J40:J43"/>
    <mergeCell ref="A44:A45"/>
    <mergeCell ref="B44:B45"/>
    <mergeCell ref="J44:J45"/>
    <mergeCell ref="L59:M59"/>
    <mergeCell ref="L60:M60"/>
  </mergeCells>
  <pageMargins left="0.7" right="0.7" top="0.75" bottom="0.75" header="0.3" footer="0.3"/>
  <pageSetup scale="36" orientation="landscape" r:id="rId1"/>
  <drawing r:id="rId2"/>
  <legacyDrawingHF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tabColor theme="1"/>
  </sheetPr>
  <dimension ref="A1:G49"/>
  <sheetViews>
    <sheetView topLeftCell="A13"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RESUMEN!B21</f>
        <v>D00249389</v>
      </c>
      <c r="C7" s="1265"/>
      <c r="D7" s="1177"/>
      <c r="E7" s="1266" t="s">
        <v>627</v>
      </c>
      <c r="F7" s="1267"/>
      <c r="G7" s="280" t="str">
        <f>RESUMEN!E21</f>
        <v>17-136</v>
      </c>
    </row>
    <row r="8" spans="1:7" x14ac:dyDescent="0.25">
      <c r="A8" s="271" t="s">
        <v>628</v>
      </c>
      <c r="B8" s="1264" t="str">
        <f>RESUMEN!C21</f>
        <v>D00249389000</v>
      </c>
      <c r="C8" s="1265"/>
      <c r="D8" s="1177"/>
      <c r="E8" s="1266" t="s">
        <v>629</v>
      </c>
      <c r="F8" s="1267"/>
      <c r="G8" s="280" t="str">
        <f>RESUMEN!U21</f>
        <v>Acta N° 3: Marzo</v>
      </c>
    </row>
    <row r="9" spans="1:7" x14ac:dyDescent="0.25">
      <c r="A9" s="271" t="s">
        <v>630</v>
      </c>
      <c r="B9" s="1283" t="s">
        <v>631</v>
      </c>
      <c r="C9" s="1265"/>
      <c r="D9" s="1177"/>
      <c r="E9" s="1266" t="s">
        <v>632</v>
      </c>
      <c r="F9" s="1267"/>
      <c r="G9" s="1178">
        <f>RESUMEN!H21</f>
        <v>8824575</v>
      </c>
    </row>
    <row r="10" spans="1:7" x14ac:dyDescent="0.25">
      <c r="A10" s="271" t="s">
        <v>633</v>
      </c>
      <c r="B10" s="1283" t="str">
        <f>RESUMEN!D21</f>
        <v>ZIPAQUIRÁ</v>
      </c>
      <c r="C10" s="1265"/>
      <c r="D10" s="1177"/>
      <c r="E10" s="1266" t="s">
        <v>634</v>
      </c>
      <c r="F10" s="1267"/>
      <c r="G10" s="1178">
        <f>RESUMEN!R21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RESUMEN!N21</f>
        <v>0</v>
      </c>
      <c r="F19" s="1248"/>
      <c r="G19" s="1177"/>
    </row>
    <row r="20" spans="1:7" ht="27" customHeight="1" x14ac:dyDescent="0.25">
      <c r="A20" s="1177"/>
      <c r="B20" s="1244" t="s">
        <v>1498</v>
      </c>
      <c r="C20" s="1245"/>
      <c r="D20" s="1246"/>
      <c r="E20" s="1247">
        <f>RESUMEN!P21</f>
        <v>0</v>
      </c>
      <c r="F20" s="1248"/>
      <c r="G20" s="1177"/>
    </row>
    <row r="21" spans="1:7" ht="27" customHeight="1" x14ac:dyDescent="0.25">
      <c r="A21" s="1177"/>
      <c r="B21" s="1244" t="s">
        <v>1499</v>
      </c>
      <c r="C21" s="1245"/>
      <c r="D21" s="1246"/>
      <c r="E21" s="1247">
        <f>RESUMEN!Q21</f>
        <v>0</v>
      </c>
      <c r="F21" s="1248"/>
      <c r="G21" s="1177"/>
    </row>
    <row r="22" spans="1:7" x14ac:dyDescent="0.25">
      <c r="A22" s="1177"/>
      <c r="B22" s="1254" t="s">
        <v>64</v>
      </c>
      <c r="C22" s="1254"/>
      <c r="D22" s="1254"/>
      <c r="E22" s="1255">
        <f>RESUMEN!R21</f>
        <v>0</v>
      </c>
      <c r="F22" s="1255"/>
      <c r="G22" s="1177"/>
    </row>
    <row r="23" spans="1:7" x14ac:dyDescent="0.25">
      <c r="A23" s="1177"/>
      <c r="B23" s="1256" t="s">
        <v>66</v>
      </c>
      <c r="C23" s="1256"/>
      <c r="D23" s="1256"/>
      <c r="E23" s="1257">
        <f>RESUMEN!S21</f>
        <v>0</v>
      </c>
      <c r="F23" s="1257"/>
      <c r="G23" s="1177"/>
    </row>
    <row r="24" spans="1:7" x14ac:dyDescent="0.25">
      <c r="A24" s="1177"/>
      <c r="B24" s="1258" t="s">
        <v>1</v>
      </c>
      <c r="C24" s="1258"/>
      <c r="D24" s="1258"/>
      <c r="E24" s="1259">
        <f>RESUMEN!T21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+'OT17-136 ZIPAQUIRÁ'!T50</f>
        <v>ACTA 1</v>
      </c>
      <c r="C28" s="1253">
        <f>+'OT17-136 ZIPAQUIRÁ'!U50</f>
        <v>952380</v>
      </c>
      <c r="D28" s="1253"/>
      <c r="E28" s="267">
        <f>+'OT17-136 ZIPAQUIRÁ'!V50</f>
        <v>0.10792361105209032</v>
      </c>
      <c r="F28" s="1177"/>
      <c r="G28" s="1177"/>
    </row>
    <row r="29" spans="1:7" x14ac:dyDescent="0.25">
      <c r="A29" s="1177"/>
      <c r="B29" s="280" t="str">
        <f>+'OT17-136 ZIPAQUIRÁ'!T51</f>
        <v>ACTA 2</v>
      </c>
      <c r="C29" s="1253">
        <f>+'OT17-136 ZIPAQUIRÁ'!U51</f>
        <v>5279701</v>
      </c>
      <c r="D29" s="1253"/>
      <c r="E29" s="267">
        <f>+'OT17-136 ZIPAQUIRÁ'!V51</f>
        <v>0.59829521535031427</v>
      </c>
      <c r="F29" s="1177"/>
      <c r="G29" s="1177"/>
    </row>
    <row r="30" spans="1:7" x14ac:dyDescent="0.25">
      <c r="A30" s="1177"/>
      <c r="B30" s="280" t="str">
        <f>+'OT17-136 ZIPAQUIRÁ'!T52</f>
        <v>ACTA 3</v>
      </c>
      <c r="C30" s="1253">
        <f>+'OT17-136 ZIPAQUIRÁ'!U52</f>
        <v>1282997</v>
      </c>
      <c r="D30" s="1253"/>
      <c r="E30" s="267">
        <f>+'OT17-136 ZIPAQUIRÁ'!V52</f>
        <v>0.14538909805854672</v>
      </c>
      <c r="F30" s="1177"/>
      <c r="G30" s="1177"/>
    </row>
    <row r="31" spans="1:7" x14ac:dyDescent="0.25">
      <c r="A31" s="1177"/>
      <c r="B31" s="280" t="str">
        <f>+'OT17-136 ZIPAQUIRÁ'!T53</f>
        <v>ACTA 4</v>
      </c>
      <c r="C31" s="1253">
        <f>+'OT17-136 ZIPAQUIRÁ'!U53</f>
        <v>0</v>
      </c>
      <c r="D31" s="1253"/>
      <c r="E31" s="267">
        <f>+'OT17-136 ZIPAQUIRÁ'!V53</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7515078</v>
      </c>
      <c r="D34" s="1251"/>
      <c r="E34" s="264">
        <f>SUM(E28:E33)</f>
        <v>0.85160792446095135</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tabColor rgb="FF7B2307"/>
  </sheetPr>
  <dimension ref="A1:Z60"/>
  <sheetViews>
    <sheetView topLeftCell="D28" zoomScale="70" zoomScaleNormal="70" workbookViewId="0">
      <selection activeCell="E36" sqref="E36"/>
    </sheetView>
  </sheetViews>
  <sheetFormatPr baseColWidth="10" defaultColWidth="11.44140625" defaultRowHeight="14.4" x14ac:dyDescent="0.3"/>
  <cols>
    <col min="1" max="1" width="20.44140625" style="189" customWidth="1"/>
    <col min="2" max="2" width="22.6640625" style="189" customWidth="1"/>
    <col min="3" max="3" width="33.33203125" style="189" customWidth="1"/>
    <col min="4" max="4" width="23.33203125" style="189" customWidth="1"/>
    <col min="5" max="5" width="10.5546875" style="189" bestFit="1" customWidth="1"/>
    <col min="6" max="6" width="17.88671875" style="189" customWidth="1"/>
    <col min="7" max="7" width="17.88671875" style="796" customWidth="1"/>
    <col min="8" max="8" width="17.5546875" style="189" customWidth="1"/>
    <col min="9" max="9" width="17.5546875" style="796" customWidth="1"/>
    <col min="10" max="10" width="46.88671875"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5" style="189" hidden="1" customWidth="1"/>
    <col min="18" max="18" width="18" style="189" hidden="1" customWidth="1"/>
    <col min="19" max="19" width="0" style="189" hidden="1" customWidth="1"/>
    <col min="20" max="20" width="15" style="796" customWidth="1"/>
    <col min="21" max="21" width="18" style="796" bestFit="1" customWidth="1"/>
    <col min="22" max="22" width="11.44140625" style="796"/>
    <col min="23" max="23" width="17.88671875" style="189" bestFit="1" customWidth="1"/>
    <col min="24" max="24" width="16.33203125" style="189" bestFit="1" customWidth="1"/>
    <col min="25" max="16384" width="11.44140625" style="189"/>
  </cols>
  <sheetData>
    <row r="1" spans="1:26" s="302" customFormat="1" ht="15" thickBot="1" x14ac:dyDescent="0.35">
      <c r="A1" s="169"/>
      <c r="B1" s="188"/>
      <c r="C1" s="1307" t="s">
        <v>40</v>
      </c>
      <c r="D1" s="1308"/>
      <c r="E1" s="1308"/>
      <c r="F1" s="1308"/>
      <c r="G1" s="1308"/>
      <c r="H1" s="1308"/>
      <c r="I1" s="1308"/>
      <c r="J1" s="1308"/>
      <c r="K1" s="1308"/>
      <c r="L1" s="1308"/>
      <c r="M1" s="1308"/>
      <c r="N1" s="1308"/>
      <c r="O1" s="1308"/>
      <c r="P1" s="1308"/>
      <c r="Q1" s="1308"/>
      <c r="R1" s="1308"/>
      <c r="S1" s="1309"/>
      <c r="T1" s="792"/>
      <c r="U1" s="792"/>
      <c r="V1" s="792"/>
      <c r="W1" s="1328" t="s">
        <v>163</v>
      </c>
      <c r="X1" s="1303"/>
      <c r="Y1" s="1304"/>
    </row>
    <row r="2" spans="1:26"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793"/>
      <c r="U2" s="793"/>
      <c r="V2" s="793"/>
      <c r="W2" s="1329" t="s">
        <v>41</v>
      </c>
      <c r="X2" s="1305"/>
      <c r="Y2" s="1306"/>
    </row>
    <row r="3" spans="1:26"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6"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6"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6"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6" s="302" customFormat="1" ht="12.75" customHeight="1" x14ac:dyDescent="0.3">
      <c r="A7" s="1291" t="s">
        <v>312</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6" s="302"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6"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6" s="302" customFormat="1" ht="13.5" customHeight="1" x14ac:dyDescent="0.3">
      <c r="A10" s="1292" t="s">
        <v>940</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6" s="302" customFormat="1" ht="13.5" customHeight="1" x14ac:dyDescent="0.3">
      <c r="A11" s="354"/>
      <c r="B11" s="1318"/>
      <c r="C11" s="1320"/>
      <c r="D11" s="1320"/>
      <c r="E11" s="1320"/>
      <c r="F11" s="1320"/>
      <c r="G11" s="1320"/>
      <c r="H11" s="1320"/>
      <c r="I11" s="1320"/>
      <c r="J11" s="1320"/>
      <c r="K11" s="1293" t="s">
        <v>46</v>
      </c>
      <c r="L11" s="1294"/>
      <c r="M11" s="1295"/>
      <c r="N11" s="1293" t="s">
        <v>353</v>
      </c>
      <c r="O11" s="1294"/>
      <c r="P11" s="1295"/>
      <c r="Q11" s="1293" t="s">
        <v>1978</v>
      </c>
      <c r="R11" s="1294"/>
      <c r="S11" s="1295"/>
      <c r="T11" s="1293" t="s">
        <v>2319</v>
      </c>
      <c r="U11" s="1294"/>
      <c r="V11" s="1295"/>
      <c r="W11" s="1299" t="s">
        <v>49</v>
      </c>
      <c r="X11" s="1299"/>
      <c r="Y11" s="1299"/>
    </row>
    <row r="12" spans="1:26" s="302" customFormat="1"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300"/>
      <c r="X12" s="1300"/>
      <c r="Y12" s="1300"/>
    </row>
    <row r="13" spans="1:26"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row>
    <row r="14" spans="1:26" ht="28.8" x14ac:dyDescent="0.3">
      <c r="A14" s="1314" t="s">
        <v>201</v>
      </c>
      <c r="B14" s="1314" t="s">
        <v>165</v>
      </c>
      <c r="C14" s="355" t="s">
        <v>81</v>
      </c>
      <c r="D14" s="355" t="s">
        <v>166</v>
      </c>
      <c r="E14" s="355">
        <v>0.65</v>
      </c>
      <c r="F14" s="192">
        <v>1149124</v>
      </c>
      <c r="G14" s="32">
        <f>+ROUND(F14*1.051,0)</f>
        <v>1207729</v>
      </c>
      <c r="H14" s="192">
        <f>ROUND((E14*F14),0)</f>
        <v>746931</v>
      </c>
      <c r="I14" s="32">
        <f>+ROUND(G14*E14,0)</f>
        <v>785024</v>
      </c>
      <c r="J14" s="1315" t="s">
        <v>941</v>
      </c>
      <c r="K14" s="158">
        <v>0</v>
      </c>
      <c r="L14" s="194">
        <f>ROUND(K14*F14,0)</f>
        <v>0</v>
      </c>
      <c r="M14" s="195">
        <f>L14/H14</f>
        <v>0</v>
      </c>
      <c r="N14" s="158">
        <v>0</v>
      </c>
      <c r="O14" s="194">
        <v>0</v>
      </c>
      <c r="P14" s="195">
        <v>0</v>
      </c>
      <c r="Q14" s="433">
        <f>0.3</f>
        <v>0.3</v>
      </c>
      <c r="R14" s="429">
        <f>ROUND(Q14*F14,0)</f>
        <v>344737</v>
      </c>
      <c r="S14" s="430">
        <f>+R14/$H$14</f>
        <v>0.461537946610865</v>
      </c>
      <c r="T14" s="432">
        <v>0</v>
      </c>
      <c r="U14" s="425">
        <f>ROUND(T14*I14,0)</f>
        <v>0</v>
      </c>
      <c r="V14" s="426">
        <f>+U14/I14</f>
        <v>0</v>
      </c>
      <c r="W14" s="149">
        <f>K14+N14+Q14+T14</f>
        <v>0.3</v>
      </c>
      <c r="X14" s="175">
        <f>L14+O14+R14+U14</f>
        <v>344737</v>
      </c>
      <c r="Y14" s="176">
        <f>+M14+P14+S14+V14</f>
        <v>0.461537946610865</v>
      </c>
      <c r="Z14" s="189" t="s">
        <v>2200</v>
      </c>
    </row>
    <row r="15" spans="1:26" ht="28.8" x14ac:dyDescent="0.3">
      <c r="A15" s="1314"/>
      <c r="B15" s="1314"/>
      <c r="C15" s="355" t="s">
        <v>83</v>
      </c>
      <c r="D15" s="355" t="s">
        <v>167</v>
      </c>
      <c r="E15" s="355">
        <v>0.65</v>
      </c>
      <c r="F15" s="192">
        <v>2646468</v>
      </c>
      <c r="G15" s="32">
        <f t="shared" ref="G15:G39" si="0">+ROUND(F15*1.051,0)</f>
        <v>2781438</v>
      </c>
      <c r="H15" s="192">
        <f>ROUND((E15*F15),0)</f>
        <v>1720204</v>
      </c>
      <c r="I15" s="32">
        <f t="shared" ref="I15:I16" si="1">+ROUND(G15*E15,0)</f>
        <v>1807935</v>
      </c>
      <c r="J15" s="1314"/>
      <c r="K15" s="158">
        <v>0</v>
      </c>
      <c r="L15" s="194">
        <f>ROUND(K15*F15,0)</f>
        <v>0</v>
      </c>
      <c r="M15" s="195">
        <f>L15/H15</f>
        <v>0</v>
      </c>
      <c r="N15" s="158">
        <v>0</v>
      </c>
      <c r="O15" s="194">
        <v>0</v>
      </c>
      <c r="P15" s="195">
        <v>0</v>
      </c>
      <c r="Q15" s="433">
        <f>0.3</f>
        <v>0.3</v>
      </c>
      <c r="R15" s="429">
        <f>ROUND(Q15*F15,0)</f>
        <v>793940</v>
      </c>
      <c r="S15" s="430">
        <f>+R15/$H$15</f>
        <v>0.46153828266879976</v>
      </c>
      <c r="T15" s="432">
        <v>0</v>
      </c>
      <c r="U15" s="425">
        <f t="shared" ref="U15:U16" si="2">ROUND(T15*I15,0)</f>
        <v>0</v>
      </c>
      <c r="V15" s="426">
        <f t="shared" ref="V15:V16" si="3">+U15/I15</f>
        <v>0</v>
      </c>
      <c r="W15" s="416">
        <f t="shared" ref="W15:W16" si="4">K15+N15+Q15+T15</f>
        <v>0.3</v>
      </c>
      <c r="X15" s="175">
        <f t="shared" ref="X15:X16" si="5">L15+O15+R15+U15</f>
        <v>793940</v>
      </c>
      <c r="Y15" s="176">
        <f t="shared" ref="Y15:Y16" si="6">+M15+P15+S15+V15</f>
        <v>0.46153828266879976</v>
      </c>
      <c r="Z15" s="189" t="s">
        <v>2200</v>
      </c>
    </row>
    <row r="16" spans="1:26" ht="87.75" customHeight="1" x14ac:dyDescent="0.3">
      <c r="A16" s="1314"/>
      <c r="B16" s="1314"/>
      <c r="C16" s="355" t="s">
        <v>61</v>
      </c>
      <c r="D16" s="355" t="s">
        <v>168</v>
      </c>
      <c r="E16" s="355">
        <v>0.7</v>
      </c>
      <c r="F16" s="192">
        <v>2542001</v>
      </c>
      <c r="G16" s="32">
        <f t="shared" si="0"/>
        <v>2671643</v>
      </c>
      <c r="H16" s="192">
        <f>ROUND((E16*F16),0)</f>
        <v>1779401</v>
      </c>
      <c r="I16" s="32">
        <f t="shared" si="1"/>
        <v>1870150</v>
      </c>
      <c r="J16" s="1314"/>
      <c r="K16" s="158">
        <v>0</v>
      </c>
      <c r="L16" s="194">
        <f>ROUND(K16*F16,0)</f>
        <v>0</v>
      </c>
      <c r="M16" s="195">
        <f>L16/H16</f>
        <v>0</v>
      </c>
      <c r="N16" s="303">
        <v>0.7</v>
      </c>
      <c r="O16" s="304">
        <f>+ROUND((N16*$F$16),0)</f>
        <v>1779401</v>
      </c>
      <c r="P16" s="305">
        <f>+O16/$H$16</f>
        <v>1</v>
      </c>
      <c r="Q16" s="158">
        <v>0</v>
      </c>
      <c r="R16" s="194">
        <f>+ROUND((Q16*$F$16),0)</f>
        <v>0</v>
      </c>
      <c r="S16" s="195">
        <f>+R16/$H$16</f>
        <v>0</v>
      </c>
      <c r="T16" s="432">
        <v>0</v>
      </c>
      <c r="U16" s="425">
        <f t="shared" si="2"/>
        <v>0</v>
      </c>
      <c r="V16" s="426">
        <f t="shared" si="3"/>
        <v>0</v>
      </c>
      <c r="W16" s="416">
        <f t="shared" si="4"/>
        <v>0.7</v>
      </c>
      <c r="X16" s="175">
        <f t="shared" si="5"/>
        <v>1779401</v>
      </c>
      <c r="Y16" s="176">
        <f t="shared" si="6"/>
        <v>1</v>
      </c>
    </row>
    <row r="17" spans="1:25" x14ac:dyDescent="0.3">
      <c r="A17" s="1314"/>
      <c r="B17" s="1314"/>
      <c r="C17" s="196"/>
      <c r="D17" s="196" t="s">
        <v>169</v>
      </c>
      <c r="E17" s="198"/>
      <c r="F17" s="198"/>
      <c r="G17" s="198"/>
      <c r="H17" s="199">
        <f>SUM(H14:H16)</f>
        <v>4246536</v>
      </c>
      <c r="I17" s="199">
        <f>SUM(I14:I16)</f>
        <v>4463109</v>
      </c>
      <c r="J17" s="1314"/>
      <c r="K17" s="306"/>
      <c r="L17" s="307">
        <f>SUM(L14:L16)</f>
        <v>0</v>
      </c>
      <c r="M17" s="308">
        <f>L17/H17</f>
        <v>0</v>
      </c>
      <c r="N17" s="306"/>
      <c r="O17" s="307">
        <f>SUM(O14:O16)</f>
        <v>1779401</v>
      </c>
      <c r="P17" s="308">
        <f>O17/$H$17</f>
        <v>0.41902411753956637</v>
      </c>
      <c r="Q17" s="306"/>
      <c r="R17" s="307">
        <f>SUM(R14:R16)</f>
        <v>1138677</v>
      </c>
      <c r="S17" s="308">
        <f>R17/$H$17</f>
        <v>0.26814255195293291</v>
      </c>
      <c r="T17" s="428"/>
      <c r="U17" s="307">
        <f>SUM(U14:U16)</f>
        <v>0</v>
      </c>
      <c r="V17" s="431">
        <f>U17/$H$17</f>
        <v>0</v>
      </c>
      <c r="W17" s="306"/>
      <c r="X17" s="307">
        <f t="shared" ref="X17:X40" si="7">L17+O17+R17</f>
        <v>2918078</v>
      </c>
      <c r="Y17" s="308">
        <f>X17/H17</f>
        <v>0.68716666949249927</v>
      </c>
    </row>
    <row r="18" spans="1:25" ht="28.8" x14ac:dyDescent="0.3">
      <c r="A18" s="1314" t="s">
        <v>280</v>
      </c>
      <c r="B18" s="1314" t="s">
        <v>243</v>
      </c>
      <c r="C18" s="355" t="s">
        <v>59</v>
      </c>
      <c r="D18" s="355" t="s">
        <v>141</v>
      </c>
      <c r="E18" s="355">
        <v>0</v>
      </c>
      <c r="F18" s="192">
        <v>940192</v>
      </c>
      <c r="G18" s="32">
        <f t="shared" si="0"/>
        <v>988142</v>
      </c>
      <c r="H18" s="192">
        <f>ROUND((E18*F18),0)</f>
        <v>0</v>
      </c>
      <c r="I18" s="32">
        <f t="shared" ref="I18:I19" si="8">+ROUND(G18*E18,0)</f>
        <v>0</v>
      </c>
      <c r="J18" s="1314" t="s">
        <v>308</v>
      </c>
      <c r="K18" s="158">
        <v>0</v>
      </c>
      <c r="L18" s="194">
        <f>ROUND(K18*F18,0)</f>
        <v>0</v>
      </c>
      <c r="M18" s="195">
        <v>0</v>
      </c>
      <c r="N18" s="158">
        <v>0</v>
      </c>
      <c r="O18" s="194">
        <v>0</v>
      </c>
      <c r="P18" s="195">
        <v>0</v>
      </c>
      <c r="Q18" s="158">
        <v>0</v>
      </c>
      <c r="R18" s="194">
        <v>0</v>
      </c>
      <c r="S18" s="195">
        <v>0</v>
      </c>
      <c r="T18" s="432">
        <v>0</v>
      </c>
      <c r="U18" s="425">
        <f t="shared" ref="U18:U19" si="9">ROUND(T18*I18,0)</f>
        <v>0</v>
      </c>
      <c r="V18" s="426">
        <v>0</v>
      </c>
      <c r="W18" s="416">
        <f t="shared" ref="W18:W19" si="10">K18+N18+Q18+T18</f>
        <v>0</v>
      </c>
      <c r="X18" s="175">
        <f t="shared" ref="X18:X19" si="11">L18+O18+R18+U18</f>
        <v>0</v>
      </c>
      <c r="Y18" s="176">
        <f t="shared" ref="Y18:Y19" si="12">+M18+P18+S18+V18</f>
        <v>0</v>
      </c>
    </row>
    <row r="19" spans="1:25" ht="28.8" x14ac:dyDescent="0.3">
      <c r="A19" s="1314"/>
      <c r="B19" s="1314"/>
      <c r="C19" s="355" t="s">
        <v>61</v>
      </c>
      <c r="D19" s="355" t="s">
        <v>142</v>
      </c>
      <c r="E19" s="355">
        <v>0.15</v>
      </c>
      <c r="F19" s="192">
        <v>2890220</v>
      </c>
      <c r="G19" s="32">
        <f t="shared" si="0"/>
        <v>3037621</v>
      </c>
      <c r="H19" s="192">
        <f>ROUND((E19*F19),0)</f>
        <v>433533</v>
      </c>
      <c r="I19" s="32">
        <f t="shared" si="8"/>
        <v>455643</v>
      </c>
      <c r="J19" s="1314"/>
      <c r="K19" s="303">
        <v>0.15</v>
      </c>
      <c r="L19" s="304">
        <f>ROUND(K19*F19,0)</f>
        <v>433533</v>
      </c>
      <c r="M19" s="305">
        <f>L19/H19</f>
        <v>1</v>
      </c>
      <c r="N19" s="158">
        <v>0</v>
      </c>
      <c r="O19" s="194">
        <v>0</v>
      </c>
      <c r="P19" s="195">
        <v>0</v>
      </c>
      <c r="Q19" s="158">
        <v>0</v>
      </c>
      <c r="R19" s="194">
        <v>0</v>
      </c>
      <c r="S19" s="195">
        <v>0</v>
      </c>
      <c r="T19" s="432">
        <v>0</v>
      </c>
      <c r="U19" s="425">
        <f t="shared" si="9"/>
        <v>0</v>
      </c>
      <c r="V19" s="426">
        <f t="shared" ref="V19" si="13">+U19/I19</f>
        <v>0</v>
      </c>
      <c r="W19" s="416">
        <f t="shared" si="10"/>
        <v>0.15</v>
      </c>
      <c r="X19" s="175">
        <f t="shared" si="11"/>
        <v>433533</v>
      </c>
      <c r="Y19" s="176">
        <f t="shared" si="12"/>
        <v>1</v>
      </c>
    </row>
    <row r="20" spans="1:25" x14ac:dyDescent="0.3">
      <c r="A20" s="1314"/>
      <c r="B20" s="1314"/>
      <c r="C20" s="196"/>
      <c r="D20" s="196" t="s">
        <v>143</v>
      </c>
      <c r="E20" s="198"/>
      <c r="F20" s="198"/>
      <c r="G20" s="198"/>
      <c r="H20" s="199">
        <f>SUM(H18:H19)</f>
        <v>433533</v>
      </c>
      <c r="I20" s="199">
        <f>SUM(I18:I19)</f>
        <v>455643</v>
      </c>
      <c r="J20" s="1314"/>
      <c r="K20" s="306"/>
      <c r="L20" s="307">
        <f>SUM(L18:L19)</f>
        <v>433533</v>
      </c>
      <c r="M20" s="308">
        <f>L20/H20</f>
        <v>1</v>
      </c>
      <c r="N20" s="306"/>
      <c r="O20" s="307">
        <f>SUM(O18:O19)</f>
        <v>0</v>
      </c>
      <c r="P20" s="308">
        <f>O20/$H$17</f>
        <v>0</v>
      </c>
      <c r="Q20" s="306"/>
      <c r="R20" s="307">
        <f>SUM(R18:R19)</f>
        <v>0</v>
      </c>
      <c r="S20" s="308">
        <f>R20/$H$17</f>
        <v>0</v>
      </c>
      <c r="T20" s="428"/>
      <c r="U20" s="307">
        <f>SUM(U18:U19)</f>
        <v>0</v>
      </c>
      <c r="V20" s="431">
        <f>U20/$H$17</f>
        <v>0</v>
      </c>
      <c r="W20" s="306"/>
      <c r="X20" s="307">
        <f t="shared" si="7"/>
        <v>433533</v>
      </c>
      <c r="Y20" s="308">
        <f>X20/H20</f>
        <v>1</v>
      </c>
    </row>
    <row r="21" spans="1:25" ht="28.8" x14ac:dyDescent="0.3">
      <c r="A21" s="1314" t="s">
        <v>281</v>
      </c>
      <c r="B21" s="1314" t="s">
        <v>251</v>
      </c>
      <c r="C21" s="355" t="s">
        <v>59</v>
      </c>
      <c r="D21" s="355" t="s">
        <v>145</v>
      </c>
      <c r="E21" s="355">
        <v>0</v>
      </c>
      <c r="F21" s="192">
        <v>940192</v>
      </c>
      <c r="G21" s="32">
        <f t="shared" si="0"/>
        <v>988142</v>
      </c>
      <c r="H21" s="192">
        <f>ROUND((E21*F21),0)</f>
        <v>0</v>
      </c>
      <c r="I21" s="32">
        <f t="shared" ref="I21:I22" si="14">+ROUND(G21*E21,0)</f>
        <v>0</v>
      </c>
      <c r="J21" s="1314" t="s">
        <v>309</v>
      </c>
      <c r="K21" s="158">
        <v>0</v>
      </c>
      <c r="L21" s="194">
        <f>ROUND(K21*F21,0)</f>
        <v>0</v>
      </c>
      <c r="M21" s="195">
        <v>0</v>
      </c>
      <c r="N21" s="158">
        <v>0</v>
      </c>
      <c r="O21" s="194">
        <v>0</v>
      </c>
      <c r="P21" s="195">
        <v>0</v>
      </c>
      <c r="Q21" s="158">
        <v>0</v>
      </c>
      <c r="R21" s="194">
        <v>0</v>
      </c>
      <c r="S21" s="195">
        <v>0</v>
      </c>
      <c r="T21" s="432">
        <v>0</v>
      </c>
      <c r="U21" s="425">
        <f t="shared" ref="U21:U22" si="15">ROUND(T21*I21,0)</f>
        <v>0</v>
      </c>
      <c r="V21" s="426">
        <v>0</v>
      </c>
      <c r="W21" s="416">
        <f t="shared" ref="W21:W22" si="16">K21+N21+Q21+T21</f>
        <v>0</v>
      </c>
      <c r="X21" s="175">
        <f t="shared" ref="X21:X22" si="17">L21+O21+R21+U21</f>
        <v>0</v>
      </c>
      <c r="Y21" s="176">
        <f t="shared" ref="Y21:Y22" si="18">+M21+P21+S21+V21</f>
        <v>0</v>
      </c>
    </row>
    <row r="22" spans="1:25" ht="28.8" x14ac:dyDescent="0.3">
      <c r="A22" s="1314"/>
      <c r="B22" s="1314"/>
      <c r="C22" s="355" t="s">
        <v>61</v>
      </c>
      <c r="D22" s="355" t="s">
        <v>146</v>
      </c>
      <c r="E22" s="355">
        <v>0.1</v>
      </c>
      <c r="F22" s="192">
        <v>5188469</v>
      </c>
      <c r="G22" s="32">
        <f t="shared" si="0"/>
        <v>5453081</v>
      </c>
      <c r="H22" s="192">
        <f>ROUND((E22*F22),0)</f>
        <v>518847</v>
      </c>
      <c r="I22" s="32">
        <f t="shared" si="14"/>
        <v>545308</v>
      </c>
      <c r="J22" s="1314"/>
      <c r="K22" s="303">
        <v>0.1</v>
      </c>
      <c r="L22" s="304">
        <f>ROUND(K22*F22,0)</f>
        <v>518847</v>
      </c>
      <c r="M22" s="305">
        <f>L22/H22</f>
        <v>1</v>
      </c>
      <c r="N22" s="158">
        <v>0</v>
      </c>
      <c r="O22" s="194">
        <v>0</v>
      </c>
      <c r="P22" s="195">
        <v>0</v>
      </c>
      <c r="Q22" s="158">
        <v>0</v>
      </c>
      <c r="R22" s="194">
        <v>0</v>
      </c>
      <c r="S22" s="195">
        <v>0</v>
      </c>
      <c r="T22" s="432">
        <v>0</v>
      </c>
      <c r="U22" s="425">
        <f t="shared" si="15"/>
        <v>0</v>
      </c>
      <c r="V22" s="426">
        <f t="shared" ref="V22" si="19">+U22/I22</f>
        <v>0</v>
      </c>
      <c r="W22" s="416">
        <f t="shared" si="16"/>
        <v>0.1</v>
      </c>
      <c r="X22" s="175">
        <f t="shared" si="17"/>
        <v>518847</v>
      </c>
      <c r="Y22" s="176">
        <f t="shared" si="18"/>
        <v>1</v>
      </c>
    </row>
    <row r="23" spans="1:25" x14ac:dyDescent="0.3">
      <c r="A23" s="1314"/>
      <c r="B23" s="1314"/>
      <c r="C23" s="196"/>
      <c r="D23" s="196" t="s">
        <v>147</v>
      </c>
      <c r="E23" s="198"/>
      <c r="F23" s="198"/>
      <c r="G23" s="198"/>
      <c r="H23" s="199">
        <f>SUM(H21:H22)</f>
        <v>518847</v>
      </c>
      <c r="I23" s="199">
        <f>SUM(I21:I22)</f>
        <v>545308</v>
      </c>
      <c r="J23" s="1314"/>
      <c r="K23" s="306"/>
      <c r="L23" s="307">
        <f>SUM(L21:L22)</f>
        <v>518847</v>
      </c>
      <c r="M23" s="308">
        <f>L23/H23</f>
        <v>1</v>
      </c>
      <c r="N23" s="306"/>
      <c r="O23" s="307">
        <f>SUM(O21:O22)</f>
        <v>0</v>
      </c>
      <c r="P23" s="308">
        <f>O23/$H$17</f>
        <v>0</v>
      </c>
      <c r="Q23" s="306"/>
      <c r="R23" s="307">
        <f>SUM(R21:R22)</f>
        <v>0</v>
      </c>
      <c r="S23" s="308">
        <f>R23/$H$17</f>
        <v>0</v>
      </c>
      <c r="T23" s="428"/>
      <c r="U23" s="307">
        <f>SUM(U21:U22)</f>
        <v>0</v>
      </c>
      <c r="V23" s="431">
        <f>U23/$H$17</f>
        <v>0</v>
      </c>
      <c r="W23" s="306"/>
      <c r="X23" s="307">
        <f t="shared" si="7"/>
        <v>518847</v>
      </c>
      <c r="Y23" s="308">
        <f>X23/H23</f>
        <v>1</v>
      </c>
    </row>
    <row r="24" spans="1:25" ht="28.8" x14ac:dyDescent="0.3">
      <c r="A24" s="1314" t="s">
        <v>286</v>
      </c>
      <c r="B24" s="1314" t="s">
        <v>282</v>
      </c>
      <c r="C24" s="355" t="s">
        <v>81</v>
      </c>
      <c r="D24" s="355" t="s">
        <v>105</v>
      </c>
      <c r="E24" s="355">
        <v>1</v>
      </c>
      <c r="F24" s="192">
        <v>417863</v>
      </c>
      <c r="G24" s="32">
        <f t="shared" si="0"/>
        <v>439174</v>
      </c>
      <c r="H24" s="192">
        <f>ROUND((E24*F24),0)</f>
        <v>417863</v>
      </c>
      <c r="I24" s="32">
        <f t="shared" ref="I24:I25" si="20">+ROUND(G24*E24,0)</f>
        <v>439174</v>
      </c>
      <c r="J24" s="1314" t="s">
        <v>927</v>
      </c>
      <c r="K24" s="158">
        <v>0</v>
      </c>
      <c r="L24" s="194">
        <f>ROUND(K24*F24,0)</f>
        <v>0</v>
      </c>
      <c r="M24" s="195">
        <f>L24/H24</f>
        <v>0</v>
      </c>
      <c r="N24" s="303">
        <v>0.7</v>
      </c>
      <c r="O24" s="304">
        <f>+ROUND((N24*$F$24),0)</f>
        <v>292504</v>
      </c>
      <c r="P24" s="305">
        <f>+O24/$H$24</f>
        <v>0.69999976068711511</v>
      </c>
      <c r="Q24" s="433">
        <v>0.3</v>
      </c>
      <c r="R24" s="429">
        <f>+ROUND((Q24*$F$24),0)</f>
        <v>125359</v>
      </c>
      <c r="S24" s="430">
        <f>+R24/$H$24</f>
        <v>0.30000023931288483</v>
      </c>
      <c r="T24" s="432">
        <v>0</v>
      </c>
      <c r="U24" s="425">
        <f t="shared" ref="U24:U25" si="21">ROUND(T24*I24,0)</f>
        <v>0</v>
      </c>
      <c r="V24" s="426">
        <f t="shared" ref="V24" si="22">+U24/I24</f>
        <v>0</v>
      </c>
      <c r="W24" s="416">
        <f t="shared" ref="W24:W25" si="23">K24+N24+Q24+T24</f>
        <v>1</v>
      </c>
      <c r="X24" s="175">
        <f t="shared" ref="X24:X25" si="24">L24+O24+R24+U24</f>
        <v>417863</v>
      </c>
      <c r="Y24" s="176">
        <f t="shared" ref="Y24:Y25" si="25">+M24+P24+S24+V24</f>
        <v>1</v>
      </c>
    </row>
    <row r="25" spans="1:25" ht="28.8" x14ac:dyDescent="0.3">
      <c r="A25" s="1314"/>
      <c r="B25" s="1314"/>
      <c r="C25" s="355" t="s">
        <v>83</v>
      </c>
      <c r="D25" s="355" t="s">
        <v>107</v>
      </c>
      <c r="E25" s="355">
        <v>0</v>
      </c>
      <c r="F25" s="192">
        <v>1845563</v>
      </c>
      <c r="G25" s="32">
        <f t="shared" si="0"/>
        <v>1939687</v>
      </c>
      <c r="H25" s="192">
        <f>ROUND((E25*F25),0)</f>
        <v>0</v>
      </c>
      <c r="I25" s="32">
        <f t="shared" si="20"/>
        <v>0</v>
      </c>
      <c r="J25" s="1314"/>
      <c r="K25" s="158">
        <v>0</v>
      </c>
      <c r="L25" s="194">
        <f>ROUND(K25*F25,0)</f>
        <v>0</v>
      </c>
      <c r="M25" s="195">
        <v>0</v>
      </c>
      <c r="N25" s="158">
        <v>0</v>
      </c>
      <c r="O25" s="194">
        <v>0</v>
      </c>
      <c r="P25" s="195">
        <v>0</v>
      </c>
      <c r="Q25" s="158">
        <v>0</v>
      </c>
      <c r="R25" s="194">
        <v>0</v>
      </c>
      <c r="S25" s="195">
        <v>0</v>
      </c>
      <c r="T25" s="432">
        <v>0</v>
      </c>
      <c r="U25" s="425">
        <f t="shared" si="21"/>
        <v>0</v>
      </c>
      <c r="V25" s="426">
        <v>0</v>
      </c>
      <c r="W25" s="416">
        <f t="shared" si="23"/>
        <v>0</v>
      </c>
      <c r="X25" s="175">
        <f t="shared" si="24"/>
        <v>0</v>
      </c>
      <c r="Y25" s="176">
        <f t="shared" si="25"/>
        <v>0</v>
      </c>
    </row>
    <row r="26" spans="1:25" x14ac:dyDescent="0.3">
      <c r="A26" s="1314"/>
      <c r="B26" s="1314"/>
      <c r="C26" s="196"/>
      <c r="D26" s="196" t="s">
        <v>108</v>
      </c>
      <c r="E26" s="198"/>
      <c r="F26" s="198"/>
      <c r="G26" s="198"/>
      <c r="H26" s="199">
        <f>SUM(H24:H25)</f>
        <v>417863</v>
      </c>
      <c r="I26" s="199">
        <f>SUM(I24:I25)</f>
        <v>439174</v>
      </c>
      <c r="J26" s="1314"/>
      <c r="K26" s="306"/>
      <c r="L26" s="307">
        <f>SUM(L24:L25)</f>
        <v>0</v>
      </c>
      <c r="M26" s="308">
        <f>L26/H26</f>
        <v>0</v>
      </c>
      <c r="N26" s="306"/>
      <c r="O26" s="307">
        <f>SUM(O24:O25)</f>
        <v>292504</v>
      </c>
      <c r="P26" s="308">
        <f>O26/$H$17</f>
        <v>6.8880612339092387E-2</v>
      </c>
      <c r="Q26" s="306"/>
      <c r="R26" s="307">
        <f>SUM(R24:R25)</f>
        <v>125359</v>
      </c>
      <c r="S26" s="308">
        <f>R26/$H$17</f>
        <v>2.9520296071904255E-2</v>
      </c>
      <c r="T26" s="428"/>
      <c r="U26" s="307">
        <f>SUM(U24:U25)</f>
        <v>0</v>
      </c>
      <c r="V26" s="431">
        <f>U26/$H$17</f>
        <v>0</v>
      </c>
      <c r="W26" s="306"/>
      <c r="X26" s="307">
        <f t="shared" si="7"/>
        <v>417863</v>
      </c>
      <c r="Y26" s="308">
        <f>X26/H26</f>
        <v>1</v>
      </c>
    </row>
    <row r="27" spans="1:25" ht="28.8" x14ac:dyDescent="0.3">
      <c r="A27" s="1314" t="s">
        <v>151</v>
      </c>
      <c r="B27" s="1314" t="s">
        <v>217</v>
      </c>
      <c r="C27" s="355" t="s">
        <v>81</v>
      </c>
      <c r="D27" s="355" t="s">
        <v>218</v>
      </c>
      <c r="E27" s="355">
        <v>0</v>
      </c>
      <c r="F27" s="192">
        <v>1149124</v>
      </c>
      <c r="G27" s="32">
        <f t="shared" si="0"/>
        <v>1207729</v>
      </c>
      <c r="H27" s="192">
        <f>ROUND((E27*F27),0)</f>
        <v>0</v>
      </c>
      <c r="I27" s="32">
        <f t="shared" ref="I27:I28" si="26">+ROUND(G27*E27,0)</f>
        <v>0</v>
      </c>
      <c r="J27" s="1314" t="s">
        <v>898</v>
      </c>
      <c r="K27" s="158">
        <v>0</v>
      </c>
      <c r="L27" s="194">
        <f>ROUND(K27*F27,0)</f>
        <v>0</v>
      </c>
      <c r="M27" s="195">
        <v>0</v>
      </c>
      <c r="N27" s="158">
        <v>0</v>
      </c>
      <c r="O27" s="194">
        <v>0</v>
      </c>
      <c r="P27" s="195">
        <v>0</v>
      </c>
      <c r="Q27" s="158">
        <v>0</v>
      </c>
      <c r="R27" s="194">
        <v>0</v>
      </c>
      <c r="S27" s="195">
        <v>0</v>
      </c>
      <c r="T27" s="432">
        <v>0</v>
      </c>
      <c r="U27" s="425">
        <f t="shared" ref="U27:U29" si="27">ROUND(T27*I27,0)</f>
        <v>0</v>
      </c>
      <c r="V27" s="426">
        <v>0</v>
      </c>
      <c r="W27" s="416">
        <f t="shared" ref="W27:W29" si="28">K27+N27+Q27+T27</f>
        <v>0</v>
      </c>
      <c r="X27" s="175">
        <f t="shared" ref="X27:X29" si="29">L27+O27+R27+U27</f>
        <v>0</v>
      </c>
      <c r="Y27" s="176">
        <f t="shared" ref="Y27:Y29" si="30">+M27+P27+S27+V27</f>
        <v>0</v>
      </c>
    </row>
    <row r="28" spans="1:25" ht="28.8" x14ac:dyDescent="0.3">
      <c r="A28" s="1314"/>
      <c r="B28" s="1314"/>
      <c r="C28" s="355" t="s">
        <v>83</v>
      </c>
      <c r="D28" s="355" t="s">
        <v>219</v>
      </c>
      <c r="E28" s="355">
        <v>0</v>
      </c>
      <c r="F28" s="192">
        <v>2646468</v>
      </c>
      <c r="G28" s="32">
        <f t="shared" si="0"/>
        <v>2781438</v>
      </c>
      <c r="H28" s="192">
        <f>ROUND((E28*F28),0)</f>
        <v>0</v>
      </c>
      <c r="I28" s="32">
        <f t="shared" si="26"/>
        <v>0</v>
      </c>
      <c r="J28" s="1314"/>
      <c r="K28" s="158">
        <v>0</v>
      </c>
      <c r="L28" s="194">
        <f>ROUND(K28*F28,0)</f>
        <v>0</v>
      </c>
      <c r="M28" s="195">
        <v>0</v>
      </c>
      <c r="N28" s="158">
        <v>0</v>
      </c>
      <c r="O28" s="194">
        <v>0</v>
      </c>
      <c r="P28" s="195">
        <v>0</v>
      </c>
      <c r="Q28" s="158">
        <v>0</v>
      </c>
      <c r="R28" s="194">
        <v>0</v>
      </c>
      <c r="S28" s="195">
        <v>0</v>
      </c>
      <c r="T28" s="432">
        <v>0</v>
      </c>
      <c r="U28" s="425">
        <f t="shared" si="27"/>
        <v>0</v>
      </c>
      <c r="V28" s="426">
        <v>0</v>
      </c>
      <c r="W28" s="416">
        <f t="shared" si="28"/>
        <v>0</v>
      </c>
      <c r="X28" s="175">
        <f t="shared" si="29"/>
        <v>0</v>
      </c>
      <c r="Y28" s="176">
        <f t="shared" si="30"/>
        <v>0</v>
      </c>
    </row>
    <row r="29" spans="1:25" ht="28.8" x14ac:dyDescent="0.3">
      <c r="A29" s="1314"/>
      <c r="B29" s="1314"/>
      <c r="C29" s="355" t="s">
        <v>61</v>
      </c>
      <c r="D29" s="355" t="s">
        <v>220</v>
      </c>
      <c r="E29" s="355">
        <v>0.28000000000000003</v>
      </c>
      <c r="F29" s="192">
        <v>3203618</v>
      </c>
      <c r="G29" s="32">
        <f t="shared" si="0"/>
        <v>3367003</v>
      </c>
      <c r="H29" s="192">
        <f>ROUND((E29*F29),0)</f>
        <v>897013</v>
      </c>
      <c r="I29" s="32">
        <f>+ROUND(G29*E29,0)</f>
        <v>942761</v>
      </c>
      <c r="J29" s="1314"/>
      <c r="K29" s="158">
        <v>0</v>
      </c>
      <c r="L29" s="194">
        <f>ROUND(K29*F29,0)</f>
        <v>0</v>
      </c>
      <c r="M29" s="195">
        <f>L29/H29</f>
        <v>0</v>
      </c>
      <c r="N29" s="303">
        <v>0.28000000000000003</v>
      </c>
      <c r="O29" s="304">
        <f>+ROUND((N29*$F$29),0)</f>
        <v>897013</v>
      </c>
      <c r="P29" s="305">
        <f>+O29/$H$29</f>
        <v>1</v>
      </c>
      <c r="Q29" s="158">
        <v>0</v>
      </c>
      <c r="R29" s="194">
        <f>+ROUND((Q29*$F$29),0)</f>
        <v>0</v>
      </c>
      <c r="S29" s="195">
        <f>+R29/$H$29</f>
        <v>0</v>
      </c>
      <c r="T29" s="432">
        <v>0</v>
      </c>
      <c r="U29" s="425">
        <f t="shared" si="27"/>
        <v>0</v>
      </c>
      <c r="V29" s="426">
        <f t="shared" ref="V29" si="31">+U29/I29</f>
        <v>0</v>
      </c>
      <c r="W29" s="416">
        <f t="shared" si="28"/>
        <v>0.28000000000000003</v>
      </c>
      <c r="X29" s="175">
        <f t="shared" si="29"/>
        <v>897013</v>
      </c>
      <c r="Y29" s="176">
        <f t="shared" si="30"/>
        <v>1</v>
      </c>
    </row>
    <row r="30" spans="1:25" x14ac:dyDescent="0.3">
      <c r="A30" s="1314"/>
      <c r="B30" s="1314"/>
      <c r="C30" s="196"/>
      <c r="D30" s="196" t="s">
        <v>221</v>
      </c>
      <c r="E30" s="198"/>
      <c r="F30" s="198"/>
      <c r="G30" s="198"/>
      <c r="H30" s="199">
        <f>SUM(H27:H29)</f>
        <v>897013</v>
      </c>
      <c r="I30" s="199">
        <f>SUM(I27:I29)</f>
        <v>942761</v>
      </c>
      <c r="J30" s="1314"/>
      <c r="K30" s="306"/>
      <c r="L30" s="307">
        <f>SUM(L27:L29)</f>
        <v>0</v>
      </c>
      <c r="M30" s="308">
        <f>L30/H30</f>
        <v>0</v>
      </c>
      <c r="N30" s="306"/>
      <c r="O30" s="307">
        <f>SUM(O27:O29)</f>
        <v>897013</v>
      </c>
      <c r="P30" s="308">
        <f>O30/$H$17</f>
        <v>0.21123405052965524</v>
      </c>
      <c r="Q30" s="306"/>
      <c r="R30" s="307">
        <f>SUM(R27:R29)</f>
        <v>0</v>
      </c>
      <c r="S30" s="308">
        <f>R30/$H$17</f>
        <v>0</v>
      </c>
      <c r="T30" s="428"/>
      <c r="U30" s="307">
        <f>SUM(U27:U29)</f>
        <v>0</v>
      </c>
      <c r="V30" s="431">
        <f>U30/$H$17</f>
        <v>0</v>
      </c>
      <c r="W30" s="306"/>
      <c r="X30" s="307">
        <f t="shared" si="7"/>
        <v>897013</v>
      </c>
      <c r="Y30" s="308">
        <f>X30/H30</f>
        <v>1</v>
      </c>
    </row>
    <row r="31" spans="1:25" ht="28.8" x14ac:dyDescent="0.3">
      <c r="A31" s="1314" t="s">
        <v>151</v>
      </c>
      <c r="B31" s="1314" t="s">
        <v>170</v>
      </c>
      <c r="C31" s="355" t="s">
        <v>83</v>
      </c>
      <c r="D31" s="355" t="s">
        <v>123</v>
      </c>
      <c r="E31" s="355">
        <v>0</v>
      </c>
      <c r="F31" s="192">
        <v>1044658</v>
      </c>
      <c r="G31" s="32">
        <f t="shared" si="0"/>
        <v>1097936</v>
      </c>
      <c r="H31" s="192">
        <f>ROUND((E31*F31),0)</f>
        <v>0</v>
      </c>
      <c r="I31" s="32">
        <f t="shared" ref="I31:I32" si="32">+ROUND(G31*E31,0)</f>
        <v>0</v>
      </c>
      <c r="J31" s="1314" t="s">
        <v>254</v>
      </c>
      <c r="K31" s="158">
        <v>0</v>
      </c>
      <c r="L31" s="194">
        <f>ROUND(K31*F31,0)</f>
        <v>0</v>
      </c>
      <c r="M31" s="195">
        <v>0</v>
      </c>
      <c r="N31" s="158">
        <v>0</v>
      </c>
      <c r="O31" s="194">
        <v>0</v>
      </c>
      <c r="P31" s="195">
        <v>0</v>
      </c>
      <c r="Q31" s="158">
        <v>0</v>
      </c>
      <c r="R31" s="194">
        <v>0</v>
      </c>
      <c r="S31" s="195">
        <v>0</v>
      </c>
      <c r="T31" s="432">
        <v>0</v>
      </c>
      <c r="U31" s="425">
        <f t="shared" ref="U31:U32" si="33">ROUND(T31*I31,0)</f>
        <v>0</v>
      </c>
      <c r="V31" s="426">
        <v>0</v>
      </c>
      <c r="W31" s="416">
        <f t="shared" ref="W31:W32" si="34">K31+N31+Q31+T31</f>
        <v>0</v>
      </c>
      <c r="X31" s="175">
        <f t="shared" ref="X31:X32" si="35">L31+O31+R31+U31</f>
        <v>0</v>
      </c>
      <c r="Y31" s="176">
        <f t="shared" ref="Y31:Y32" si="36">+M31+P31+S31+V31</f>
        <v>0</v>
      </c>
    </row>
    <row r="32" spans="1:25" ht="28.8" x14ac:dyDescent="0.3">
      <c r="A32" s="1314"/>
      <c r="B32" s="1314"/>
      <c r="C32" s="355" t="s">
        <v>61</v>
      </c>
      <c r="D32" s="355" t="s">
        <v>125</v>
      </c>
      <c r="E32" s="355">
        <v>0.7</v>
      </c>
      <c r="F32" s="192">
        <v>1009836</v>
      </c>
      <c r="G32" s="32">
        <f t="shared" si="0"/>
        <v>1061338</v>
      </c>
      <c r="H32" s="192">
        <f>ROUND((E32*F32),0)</f>
        <v>706885</v>
      </c>
      <c r="I32" s="32">
        <f t="shared" si="32"/>
        <v>742937</v>
      </c>
      <c r="J32" s="1314"/>
      <c r="K32" s="158">
        <v>0</v>
      </c>
      <c r="L32" s="194">
        <f>ROUND(K32*F32,0)</f>
        <v>0</v>
      </c>
      <c r="M32" s="195">
        <f>L32/H32</f>
        <v>0</v>
      </c>
      <c r="N32" s="303">
        <v>0.7</v>
      </c>
      <c r="O32" s="304">
        <f>+ROUND((N32*$F$32),0)</f>
        <v>706885</v>
      </c>
      <c r="P32" s="305">
        <f>+O32/$H$32</f>
        <v>1</v>
      </c>
      <c r="Q32" s="158">
        <v>0</v>
      </c>
      <c r="R32" s="194">
        <f>+ROUND((Q32*$F$32),0)</f>
        <v>0</v>
      </c>
      <c r="S32" s="195">
        <f>+R32/$H$32</f>
        <v>0</v>
      </c>
      <c r="T32" s="432">
        <v>0</v>
      </c>
      <c r="U32" s="425">
        <f t="shared" si="33"/>
        <v>0</v>
      </c>
      <c r="V32" s="426">
        <f t="shared" ref="V32" si="37">+U32/I32</f>
        <v>0</v>
      </c>
      <c r="W32" s="416">
        <f t="shared" si="34"/>
        <v>0.7</v>
      </c>
      <c r="X32" s="175">
        <f t="shared" si="35"/>
        <v>706885</v>
      </c>
      <c r="Y32" s="176">
        <f t="shared" si="36"/>
        <v>1</v>
      </c>
    </row>
    <row r="33" spans="1:25" x14ac:dyDescent="0.3">
      <c r="A33" s="1314"/>
      <c r="B33" s="1314"/>
      <c r="C33" s="196"/>
      <c r="D33" s="196" t="s">
        <v>126</v>
      </c>
      <c r="E33" s="198"/>
      <c r="F33" s="198"/>
      <c r="G33" s="198"/>
      <c r="H33" s="199">
        <f>SUM(H31:H32)</f>
        <v>706885</v>
      </c>
      <c r="I33" s="199">
        <f>SUM(I31:I32)</f>
        <v>742937</v>
      </c>
      <c r="J33" s="1314"/>
      <c r="K33" s="306"/>
      <c r="L33" s="307">
        <f>SUM(L31:L32)</f>
        <v>0</v>
      </c>
      <c r="M33" s="308">
        <f>L33/H33</f>
        <v>0</v>
      </c>
      <c r="N33" s="306"/>
      <c r="O33" s="307">
        <f>SUM(O31:O32)</f>
        <v>706885</v>
      </c>
      <c r="P33" s="308">
        <f>O33/$H$17</f>
        <v>0.16646155831482412</v>
      </c>
      <c r="Q33" s="306"/>
      <c r="R33" s="307">
        <f>SUM(R31:R32)</f>
        <v>0</v>
      </c>
      <c r="S33" s="308">
        <f>R33/$H$17</f>
        <v>0</v>
      </c>
      <c r="T33" s="428"/>
      <c r="U33" s="307">
        <f>SUM(U31:U32)</f>
        <v>0</v>
      </c>
      <c r="V33" s="431">
        <f>U33/$H$17</f>
        <v>0</v>
      </c>
      <c r="W33" s="306"/>
      <c r="X33" s="307">
        <f t="shared" si="7"/>
        <v>706885</v>
      </c>
      <c r="Y33" s="308">
        <f>X33/H33</f>
        <v>1</v>
      </c>
    </row>
    <row r="34" spans="1:25" ht="28.8" x14ac:dyDescent="0.3">
      <c r="A34" s="1314" t="s">
        <v>109</v>
      </c>
      <c r="B34" s="1314" t="s">
        <v>217</v>
      </c>
      <c r="C34" s="355" t="s">
        <v>81</v>
      </c>
      <c r="D34" s="355" t="s">
        <v>218</v>
      </c>
      <c r="E34" s="355">
        <v>0</v>
      </c>
      <c r="F34" s="192">
        <v>1149124</v>
      </c>
      <c r="G34" s="32">
        <f t="shared" si="0"/>
        <v>1207729</v>
      </c>
      <c r="H34" s="192">
        <f>ROUND((E34*F34),0)</f>
        <v>0</v>
      </c>
      <c r="I34" s="32">
        <f t="shared" ref="I34:I36" si="38">+ROUND(G34*E34,0)</f>
        <v>0</v>
      </c>
      <c r="J34" s="1314" t="s">
        <v>898</v>
      </c>
      <c r="K34" s="158">
        <v>0</v>
      </c>
      <c r="L34" s="194">
        <f>ROUND(K34*F34,0)</f>
        <v>0</v>
      </c>
      <c r="M34" s="195">
        <v>0</v>
      </c>
      <c r="N34" s="158">
        <v>0</v>
      </c>
      <c r="O34" s="194">
        <v>0</v>
      </c>
      <c r="P34" s="195">
        <v>0</v>
      </c>
      <c r="Q34" s="158">
        <v>0</v>
      </c>
      <c r="R34" s="194">
        <v>0</v>
      </c>
      <c r="S34" s="195">
        <v>0</v>
      </c>
      <c r="T34" s="432">
        <v>0</v>
      </c>
      <c r="U34" s="425">
        <f t="shared" ref="U34:U36" si="39">ROUND(T34*I34,0)</f>
        <v>0</v>
      </c>
      <c r="V34" s="426">
        <v>0</v>
      </c>
      <c r="W34" s="416">
        <f t="shared" ref="W34:W36" si="40">K34+N34+Q34+T34</f>
        <v>0</v>
      </c>
      <c r="X34" s="175">
        <f t="shared" ref="X34:X36" si="41">L34+O34+R34+U34</f>
        <v>0</v>
      </c>
      <c r="Y34" s="176">
        <f t="shared" ref="Y34:Y36" si="42">+M34+P34+S34+V34</f>
        <v>0</v>
      </c>
    </row>
    <row r="35" spans="1:25" ht="28.8" x14ac:dyDescent="0.3">
      <c r="A35" s="1314"/>
      <c r="B35" s="1314"/>
      <c r="C35" s="355" t="s">
        <v>83</v>
      </c>
      <c r="D35" s="355" t="s">
        <v>219</v>
      </c>
      <c r="E35" s="355">
        <v>0</v>
      </c>
      <c r="F35" s="192">
        <v>2646468</v>
      </c>
      <c r="G35" s="32">
        <f t="shared" si="0"/>
        <v>2781438</v>
      </c>
      <c r="H35" s="192">
        <f>ROUND((E35*F35),0)</f>
        <v>0</v>
      </c>
      <c r="I35" s="32">
        <f t="shared" si="38"/>
        <v>0</v>
      </c>
      <c r="J35" s="1314"/>
      <c r="K35" s="158">
        <v>0</v>
      </c>
      <c r="L35" s="194">
        <f>ROUND(K35*F35,0)</f>
        <v>0</v>
      </c>
      <c r="M35" s="195">
        <v>0</v>
      </c>
      <c r="N35" s="158">
        <v>0</v>
      </c>
      <c r="O35" s="194">
        <v>0</v>
      </c>
      <c r="P35" s="195">
        <v>0</v>
      </c>
      <c r="Q35" s="158">
        <v>0</v>
      </c>
      <c r="R35" s="194">
        <v>0</v>
      </c>
      <c r="S35" s="195">
        <v>0</v>
      </c>
      <c r="T35" s="432">
        <v>0</v>
      </c>
      <c r="U35" s="425">
        <f t="shared" si="39"/>
        <v>0</v>
      </c>
      <c r="V35" s="426">
        <v>0</v>
      </c>
      <c r="W35" s="416">
        <f t="shared" si="40"/>
        <v>0</v>
      </c>
      <c r="X35" s="175">
        <f t="shared" si="41"/>
        <v>0</v>
      </c>
      <c r="Y35" s="176">
        <f t="shared" si="42"/>
        <v>0</v>
      </c>
    </row>
    <row r="36" spans="1:25" ht="28.8" x14ac:dyDescent="0.3">
      <c r="A36" s="1314"/>
      <c r="B36" s="1314"/>
      <c r="C36" s="355" t="s">
        <v>61</v>
      </c>
      <c r="D36" s="355" t="s">
        <v>220</v>
      </c>
      <c r="E36" s="355">
        <v>0.28000000000000003</v>
      </c>
      <c r="F36" s="192">
        <v>3203618</v>
      </c>
      <c r="G36" s="32">
        <f t="shared" si="0"/>
        <v>3367003</v>
      </c>
      <c r="H36" s="192">
        <f>ROUND((E36*F36),0)</f>
        <v>897013</v>
      </c>
      <c r="I36" s="32">
        <f t="shared" si="38"/>
        <v>942761</v>
      </c>
      <c r="J36" s="1314"/>
      <c r="K36" s="158">
        <v>0</v>
      </c>
      <c r="L36" s="194">
        <f>ROUND(K36*F36,0)</f>
        <v>0</v>
      </c>
      <c r="M36" s="195">
        <f>L36/H36</f>
        <v>0</v>
      </c>
      <c r="N36" s="303">
        <v>0.28000000000000003</v>
      </c>
      <c r="O36" s="304">
        <f>+ROUND((N36*$F$36),0)</f>
        <v>897013</v>
      </c>
      <c r="P36" s="305">
        <f>+O36/$H$36</f>
        <v>1</v>
      </c>
      <c r="Q36" s="158">
        <v>0</v>
      </c>
      <c r="R36" s="194">
        <f>+ROUND((Q36*$F$36),0)</f>
        <v>0</v>
      </c>
      <c r="S36" s="195">
        <f>+R36/$H$36</f>
        <v>0</v>
      </c>
      <c r="T36" s="432">
        <v>0</v>
      </c>
      <c r="U36" s="425">
        <f t="shared" si="39"/>
        <v>0</v>
      </c>
      <c r="V36" s="426">
        <f t="shared" ref="V36" si="43">+U36/I36</f>
        <v>0</v>
      </c>
      <c r="W36" s="416">
        <f t="shared" si="40"/>
        <v>0.28000000000000003</v>
      </c>
      <c r="X36" s="175">
        <f t="shared" si="41"/>
        <v>897013</v>
      </c>
      <c r="Y36" s="176">
        <f t="shared" si="42"/>
        <v>1</v>
      </c>
    </row>
    <row r="37" spans="1:25" x14ac:dyDescent="0.3">
      <c r="A37" s="1314"/>
      <c r="B37" s="1314"/>
      <c r="C37" s="196"/>
      <c r="D37" s="196" t="s">
        <v>221</v>
      </c>
      <c r="E37" s="198"/>
      <c r="F37" s="198"/>
      <c r="G37" s="198"/>
      <c r="H37" s="199">
        <f>SUM(H34:H36)</f>
        <v>897013</v>
      </c>
      <c r="I37" s="199">
        <f>SUM(I34:I36)</f>
        <v>942761</v>
      </c>
      <c r="J37" s="1314"/>
      <c r="K37" s="306"/>
      <c r="L37" s="307">
        <f>SUM(L34:L36)</f>
        <v>0</v>
      </c>
      <c r="M37" s="308">
        <f>L37/H37</f>
        <v>0</v>
      </c>
      <c r="N37" s="306"/>
      <c r="O37" s="307">
        <f>SUM(O34:O36)</f>
        <v>897013</v>
      </c>
      <c r="P37" s="308">
        <f>O37/$H$17</f>
        <v>0.21123405052965524</v>
      </c>
      <c r="Q37" s="306"/>
      <c r="R37" s="307">
        <f>SUM(R34:R36)</f>
        <v>0</v>
      </c>
      <c r="S37" s="308">
        <f>R37/$H$17</f>
        <v>0</v>
      </c>
      <c r="T37" s="428"/>
      <c r="U37" s="307">
        <f>SUM(U34:U36)</f>
        <v>0</v>
      </c>
      <c r="V37" s="431">
        <f>U37/$H$17</f>
        <v>0</v>
      </c>
      <c r="W37" s="306"/>
      <c r="X37" s="307">
        <f t="shared" si="7"/>
        <v>897013</v>
      </c>
      <c r="Y37" s="308">
        <f>X37/H37</f>
        <v>1</v>
      </c>
    </row>
    <row r="38" spans="1:25" ht="28.8" x14ac:dyDescent="0.3">
      <c r="A38" s="1314" t="s">
        <v>109</v>
      </c>
      <c r="B38" s="1314" t="s">
        <v>170</v>
      </c>
      <c r="C38" s="355" t="s">
        <v>83</v>
      </c>
      <c r="D38" s="355" t="s">
        <v>123</v>
      </c>
      <c r="E38" s="355">
        <v>0</v>
      </c>
      <c r="F38" s="192">
        <v>1044658</v>
      </c>
      <c r="G38" s="32">
        <f t="shared" si="0"/>
        <v>1097936</v>
      </c>
      <c r="H38" s="192">
        <f>ROUND((E38*F38),0)</f>
        <v>0</v>
      </c>
      <c r="I38" s="32">
        <f t="shared" ref="I38:I39" si="44">+ROUND(G38*E38,0)</f>
        <v>0</v>
      </c>
      <c r="J38" s="1314" t="s">
        <v>254</v>
      </c>
      <c r="K38" s="158">
        <v>0</v>
      </c>
      <c r="L38" s="194">
        <f>ROUND(K38*F38,0)</f>
        <v>0</v>
      </c>
      <c r="M38" s="195">
        <v>0</v>
      </c>
      <c r="N38" s="158">
        <v>0</v>
      </c>
      <c r="O38" s="194">
        <v>0</v>
      </c>
      <c r="P38" s="195">
        <v>0</v>
      </c>
      <c r="Q38" s="158">
        <v>0</v>
      </c>
      <c r="R38" s="194">
        <v>0</v>
      </c>
      <c r="S38" s="195">
        <v>0</v>
      </c>
      <c r="T38" s="432">
        <v>0</v>
      </c>
      <c r="U38" s="425">
        <f t="shared" ref="U38:U39" si="45">ROUND(T38*I38,0)</f>
        <v>0</v>
      </c>
      <c r="V38" s="426">
        <v>0</v>
      </c>
      <c r="W38" s="416">
        <f t="shared" ref="W38:W39" si="46">K38+N38+Q38+T38</f>
        <v>0</v>
      </c>
      <c r="X38" s="175">
        <f t="shared" ref="X38" si="47">L38+O38+R38+U38</f>
        <v>0</v>
      </c>
      <c r="Y38" s="176">
        <f t="shared" ref="Y38" si="48">+M38+P38+S38+V38</f>
        <v>0</v>
      </c>
    </row>
    <row r="39" spans="1:25" ht="28.8" x14ac:dyDescent="0.3">
      <c r="A39" s="1314"/>
      <c r="B39" s="1314"/>
      <c r="C39" s="355" t="s">
        <v>61</v>
      </c>
      <c r="D39" s="355" t="s">
        <v>125</v>
      </c>
      <c r="E39" s="355">
        <v>0.7</v>
      </c>
      <c r="F39" s="192">
        <v>1009836</v>
      </c>
      <c r="G39" s="32">
        <f t="shared" si="0"/>
        <v>1061338</v>
      </c>
      <c r="H39" s="192">
        <f>ROUND((E39*F39),0)</f>
        <v>706885</v>
      </c>
      <c r="I39" s="32">
        <f t="shared" si="44"/>
        <v>742937</v>
      </c>
      <c r="J39" s="1314"/>
      <c r="K39" s="158">
        <v>0</v>
      </c>
      <c r="L39" s="194">
        <f>ROUND(K39*F39,0)</f>
        <v>0</v>
      </c>
      <c r="M39" s="195">
        <f>L39/H39</f>
        <v>0</v>
      </c>
      <c r="N39" s="303">
        <v>0.7</v>
      </c>
      <c r="O39" s="304">
        <f>+ROUND((N39*$F$39),0)</f>
        <v>706885</v>
      </c>
      <c r="P39" s="305">
        <f>+O39/$H$39</f>
        <v>1</v>
      </c>
      <c r="Q39" s="158">
        <v>0</v>
      </c>
      <c r="R39" s="194">
        <f>+ROUND((Q39*$F$39),0)</f>
        <v>0</v>
      </c>
      <c r="S39" s="195">
        <f>+R39/$H$39</f>
        <v>0</v>
      </c>
      <c r="T39" s="432">
        <v>0</v>
      </c>
      <c r="U39" s="425">
        <f t="shared" si="45"/>
        <v>0</v>
      </c>
      <c r="V39" s="426">
        <f t="shared" ref="V39" si="49">+U39/I39</f>
        <v>0</v>
      </c>
      <c r="W39" s="416">
        <f t="shared" si="46"/>
        <v>0.7</v>
      </c>
      <c r="X39" s="175">
        <f>L39+O39+R39+U39</f>
        <v>706885</v>
      </c>
      <c r="Y39" s="176">
        <f>+M39+P39+S39+V39</f>
        <v>1</v>
      </c>
    </row>
    <row r="40" spans="1:25" x14ac:dyDescent="0.3">
      <c r="A40" s="1314"/>
      <c r="B40" s="1314"/>
      <c r="C40" s="196"/>
      <c r="D40" s="196" t="s">
        <v>126</v>
      </c>
      <c r="E40" s="198"/>
      <c r="F40" s="198"/>
      <c r="G40" s="198"/>
      <c r="H40" s="199">
        <f>SUM(H38:H39)</f>
        <v>706885</v>
      </c>
      <c r="I40" s="199">
        <f>SUM(I38:I39)</f>
        <v>742937</v>
      </c>
      <c r="J40" s="1314"/>
      <c r="K40" s="306"/>
      <c r="L40" s="307">
        <f>SUM(L38:L39)</f>
        <v>0</v>
      </c>
      <c r="M40" s="308">
        <f>L40/H40</f>
        <v>0</v>
      </c>
      <c r="N40" s="306"/>
      <c r="O40" s="307">
        <f>SUM(O38:O39)</f>
        <v>706885</v>
      </c>
      <c r="P40" s="308">
        <f>O40/$H$17</f>
        <v>0.16646155831482412</v>
      </c>
      <c r="Q40" s="306"/>
      <c r="R40" s="307">
        <f>SUM(R38:R39)</f>
        <v>0</v>
      </c>
      <c r="S40" s="308">
        <f>R40/$H$17</f>
        <v>0</v>
      </c>
      <c r="T40" s="428"/>
      <c r="U40" s="307">
        <f>SUM(U38:U39)</f>
        <v>0</v>
      </c>
      <c r="V40" s="431">
        <f>U40/$H$17</f>
        <v>0</v>
      </c>
      <c r="W40" s="306"/>
      <c r="X40" s="307">
        <f t="shared" si="7"/>
        <v>706885</v>
      </c>
      <c r="Y40" s="308">
        <f>X40/H40</f>
        <v>1</v>
      </c>
    </row>
    <row r="41" spans="1:25" x14ac:dyDescent="0.3">
      <c r="F41" s="151" t="s">
        <v>64</v>
      </c>
      <c r="G41" s="151"/>
      <c r="H41" s="181">
        <f>SUM(H14:H40)/2</f>
        <v>8824575</v>
      </c>
      <c r="I41" s="181">
        <f>SUM(I14:I40)/2</f>
        <v>9274630</v>
      </c>
      <c r="K41" s="152" t="s">
        <v>64</v>
      </c>
      <c r="L41" s="181">
        <f>SUM(L14:L40)/2</f>
        <v>952380</v>
      </c>
      <c r="M41" s="201">
        <f t="shared" ref="M41" si="50">L41/H41</f>
        <v>0.10792361105209032</v>
      </c>
      <c r="N41" s="152" t="s">
        <v>64</v>
      </c>
      <c r="O41" s="181">
        <f>SUM(O14:O40)/2</f>
        <v>5279701</v>
      </c>
      <c r="P41" s="201">
        <f>O41/$H$41</f>
        <v>0.59829521535031427</v>
      </c>
      <c r="Q41" s="484" t="s">
        <v>64</v>
      </c>
      <c r="R41" s="481">
        <f>SUM(R14:R40)/2</f>
        <v>1264036</v>
      </c>
      <c r="T41" s="484" t="s">
        <v>64</v>
      </c>
      <c r="U41" s="481">
        <f>SUM(U14:U40)/2</f>
        <v>0</v>
      </c>
      <c r="W41" s="484" t="s">
        <v>64</v>
      </c>
      <c r="X41" s="481">
        <f>SUM(X14:X40)/2</f>
        <v>7496117</v>
      </c>
    </row>
    <row r="42" spans="1:25" x14ac:dyDescent="0.3">
      <c r="F42" s="153" t="s">
        <v>65</v>
      </c>
      <c r="G42" s="816"/>
      <c r="H42" s="182">
        <v>0</v>
      </c>
      <c r="I42" s="182">
        <v>0</v>
      </c>
      <c r="K42" s="153" t="s">
        <v>65</v>
      </c>
      <c r="L42" s="182">
        <v>0</v>
      </c>
      <c r="M42" s="302"/>
      <c r="N42" s="153" t="s">
        <v>65</v>
      </c>
      <c r="O42" s="182">
        <v>0</v>
      </c>
      <c r="P42" s="302"/>
      <c r="Q42" s="482" t="s">
        <v>65</v>
      </c>
      <c r="R42" s="483">
        <v>0</v>
      </c>
      <c r="S42" s="302"/>
      <c r="T42" s="482" t="s">
        <v>65</v>
      </c>
      <c r="U42" s="483">
        <v>0</v>
      </c>
      <c r="V42" s="795"/>
      <c r="W42" s="482" t="s">
        <v>65</v>
      </c>
      <c r="X42" s="483">
        <v>0</v>
      </c>
      <c r="Y42" s="302"/>
    </row>
    <row r="43" spans="1:25" x14ac:dyDescent="0.3">
      <c r="F43" s="152" t="s">
        <v>64</v>
      </c>
      <c r="G43" s="817"/>
      <c r="H43" s="182">
        <f>+H41+H42</f>
        <v>8824575</v>
      </c>
      <c r="I43" s="182">
        <f>+I41+I42</f>
        <v>9274630</v>
      </c>
      <c r="K43" s="152" t="s">
        <v>64</v>
      </c>
      <c r="L43" s="182">
        <f>+L41+L42</f>
        <v>952380</v>
      </c>
      <c r="M43" s="302"/>
      <c r="N43" s="152" t="s">
        <v>64</v>
      </c>
      <c r="O43" s="182">
        <f>+O41+O42</f>
        <v>5279701</v>
      </c>
      <c r="P43" s="302"/>
      <c r="Q43" s="484" t="s">
        <v>64</v>
      </c>
      <c r="R43" s="483">
        <f>+R41+R42</f>
        <v>1264036</v>
      </c>
      <c r="S43" s="302"/>
      <c r="T43" s="484" t="s">
        <v>64</v>
      </c>
      <c r="U43" s="483">
        <f>+U41+U42</f>
        <v>0</v>
      </c>
      <c r="V43" s="795"/>
      <c r="W43" s="484" t="s">
        <v>64</v>
      </c>
      <c r="X43" s="483">
        <f>+X41+X42</f>
        <v>7496117</v>
      </c>
      <c r="Y43" s="302"/>
    </row>
    <row r="44" spans="1:25" ht="26.4" x14ac:dyDescent="0.3">
      <c r="F44" s="152"/>
      <c r="G44" s="817"/>
      <c r="H44" s="182"/>
      <c r="I44" s="182"/>
      <c r="K44" s="152"/>
      <c r="L44" s="182"/>
      <c r="M44" s="302"/>
      <c r="N44" s="152"/>
      <c r="O44" s="182"/>
      <c r="P44" s="302"/>
      <c r="Q44" s="484" t="s">
        <v>1439</v>
      </c>
      <c r="R44" s="483">
        <f>ROUND(R43*0.015,0)</f>
        <v>18961</v>
      </c>
      <c r="S44" s="302"/>
      <c r="T44" s="484" t="s">
        <v>1439</v>
      </c>
      <c r="U44" s="483">
        <f>ROUND(U43*0.015,0)</f>
        <v>0</v>
      </c>
      <c r="V44" s="795"/>
      <c r="W44" s="484" t="s">
        <v>1439</v>
      </c>
      <c r="X44" s="483">
        <f>L44+O44+R44</f>
        <v>18961</v>
      </c>
      <c r="Y44" s="302"/>
    </row>
    <row r="45" spans="1:25" ht="39.6" x14ac:dyDescent="0.3">
      <c r="F45" s="152"/>
      <c r="G45" s="817"/>
      <c r="H45" s="182"/>
      <c r="I45" s="182"/>
      <c r="K45" s="152"/>
      <c r="L45" s="182"/>
      <c r="M45" s="302"/>
      <c r="N45" s="152"/>
      <c r="O45" s="182"/>
      <c r="P45" s="302"/>
      <c r="Q45" s="152" t="s">
        <v>1440</v>
      </c>
      <c r="R45" s="182">
        <f>R43+R44</f>
        <v>1282997</v>
      </c>
      <c r="S45" s="201">
        <f>R45/$H$43</f>
        <v>0.14538909805854672</v>
      </c>
      <c r="T45" s="152" t="s">
        <v>1440</v>
      </c>
      <c r="U45" s="182">
        <f>U43+U44</f>
        <v>0</v>
      </c>
      <c r="V45" s="201">
        <f>U45/$H$43</f>
        <v>0</v>
      </c>
      <c r="W45" s="152" t="s">
        <v>1440</v>
      </c>
      <c r="X45" s="182">
        <f>X43+X44</f>
        <v>7515078</v>
      </c>
      <c r="Y45" s="201">
        <f>X45/H41</f>
        <v>0.85160792446095135</v>
      </c>
    </row>
    <row r="46" spans="1:25" x14ac:dyDescent="0.3">
      <c r="F46" s="154" t="s">
        <v>66</v>
      </c>
      <c r="G46" s="818"/>
      <c r="H46" s="182">
        <f>+H43*19%</f>
        <v>1676669.25</v>
      </c>
      <c r="I46" s="182">
        <f>+I43*19%</f>
        <v>1762179.7</v>
      </c>
      <c r="K46" s="154" t="s">
        <v>66</v>
      </c>
      <c r="L46" s="182">
        <f>+L43*19%</f>
        <v>180952.2</v>
      </c>
      <c r="M46" s="302"/>
      <c r="N46" s="154" t="s">
        <v>66</v>
      </c>
      <c r="O46" s="182">
        <f>+O43*19%</f>
        <v>1003143.1900000001</v>
      </c>
      <c r="P46" s="302"/>
      <c r="Q46" s="485" t="s">
        <v>66</v>
      </c>
      <c r="R46" s="483">
        <f>ROUND(R45*0.19,0)</f>
        <v>243769</v>
      </c>
      <c r="S46" s="302"/>
      <c r="T46" s="485" t="s">
        <v>66</v>
      </c>
      <c r="U46" s="483">
        <f>ROUND(U45*0.19,0)</f>
        <v>0</v>
      </c>
      <c r="V46" s="795"/>
      <c r="W46" s="485" t="s">
        <v>66</v>
      </c>
      <c r="X46" s="483">
        <f>ROUND(X45*0.19,0)</f>
        <v>1427865</v>
      </c>
      <c r="Y46" s="302"/>
    </row>
    <row r="47" spans="1:25" x14ac:dyDescent="0.3">
      <c r="F47" s="155" t="s">
        <v>69</v>
      </c>
      <c r="G47" s="155"/>
      <c r="H47" s="181">
        <f>+H43+H46</f>
        <v>10501244.25</v>
      </c>
      <c r="I47" s="181">
        <f>+I43+I46</f>
        <v>11036809.699999999</v>
      </c>
      <c r="K47" s="155" t="s">
        <v>69</v>
      </c>
      <c r="L47" s="181">
        <f>+L43+L46</f>
        <v>1133332.2</v>
      </c>
      <c r="M47" s="302"/>
      <c r="N47" s="155" t="s">
        <v>69</v>
      </c>
      <c r="O47" s="181">
        <f>+O43+O46</f>
        <v>6282844.1900000004</v>
      </c>
      <c r="P47" s="302"/>
      <c r="Q47" s="545" t="s">
        <v>69</v>
      </c>
      <c r="R47" s="481">
        <f>R45+R46</f>
        <v>1526766</v>
      </c>
      <c r="S47" s="302"/>
      <c r="T47" s="545" t="s">
        <v>69</v>
      </c>
      <c r="U47" s="481">
        <f>U45+U46</f>
        <v>0</v>
      </c>
      <c r="V47" s="795"/>
      <c r="W47" s="545" t="s">
        <v>69</v>
      </c>
      <c r="X47" s="481">
        <f>X45+X46</f>
        <v>8942943</v>
      </c>
      <c r="Y47" s="302"/>
    </row>
    <row r="49" spans="1:25" s="302" customFormat="1" ht="26.25" customHeight="1" x14ac:dyDescent="0.3">
      <c r="A49" s="183" t="s">
        <v>67</v>
      </c>
      <c r="B49" s="184"/>
      <c r="C49" s="184"/>
      <c r="D49" s="185" t="s">
        <v>68</v>
      </c>
      <c r="G49" s="795"/>
      <c r="I49" s="795"/>
      <c r="K49" s="186" t="s">
        <v>70</v>
      </c>
      <c r="L49" s="187" t="s">
        <v>71</v>
      </c>
      <c r="M49" s="186" t="s">
        <v>58</v>
      </c>
      <c r="N49" s="186" t="s">
        <v>70</v>
      </c>
      <c r="O49" s="187" t="s">
        <v>71</v>
      </c>
      <c r="P49" s="186" t="s">
        <v>58</v>
      </c>
      <c r="Q49" s="186" t="s">
        <v>70</v>
      </c>
      <c r="R49" s="187" t="s">
        <v>71</v>
      </c>
      <c r="S49" s="186" t="s">
        <v>58</v>
      </c>
      <c r="T49" s="186" t="s">
        <v>70</v>
      </c>
      <c r="U49" s="187" t="s">
        <v>71</v>
      </c>
      <c r="V49" s="186" t="s">
        <v>58</v>
      </c>
      <c r="W49" s="189"/>
      <c r="X49" s="189"/>
      <c r="Y49" s="189"/>
    </row>
    <row r="50" spans="1:25" s="302" customFormat="1" x14ac:dyDescent="0.3">
      <c r="A50" s="183"/>
      <c r="B50" s="184"/>
      <c r="C50" s="184"/>
      <c r="D50" s="185"/>
      <c r="G50" s="795"/>
      <c r="I50" s="795"/>
      <c r="K50" s="203" t="s">
        <v>72</v>
      </c>
      <c r="L50" s="204">
        <f>L41</f>
        <v>952380</v>
      </c>
      <c r="M50" s="205">
        <f>M41</f>
        <v>0.10792361105209032</v>
      </c>
      <c r="N50" s="203" t="s">
        <v>72</v>
      </c>
      <c r="O50" s="204">
        <f>$L$41</f>
        <v>952380</v>
      </c>
      <c r="P50" s="205">
        <f>$M$41</f>
        <v>0.10792361105209032</v>
      </c>
      <c r="Q50" s="203" t="s">
        <v>72</v>
      </c>
      <c r="R50" s="204">
        <f>$L$41</f>
        <v>952380</v>
      </c>
      <c r="S50" s="205">
        <f>$M$41</f>
        <v>0.10792361105209032</v>
      </c>
      <c r="T50" s="203" t="s">
        <v>72</v>
      </c>
      <c r="U50" s="204">
        <f>$L$41</f>
        <v>952380</v>
      </c>
      <c r="V50" s="205">
        <f>$M$41</f>
        <v>0.10792361105209032</v>
      </c>
      <c r="W50" s="189"/>
      <c r="X50" s="189"/>
      <c r="Y50" s="189"/>
    </row>
    <row r="51" spans="1:25" s="302" customFormat="1" x14ac:dyDescent="0.3">
      <c r="A51" s="183"/>
      <c r="B51" s="184"/>
      <c r="C51" s="184"/>
      <c r="D51" s="185"/>
      <c r="G51" s="795"/>
      <c r="I51" s="795"/>
      <c r="K51" s="203"/>
      <c r="L51" s="204"/>
      <c r="M51" s="205"/>
      <c r="N51" s="203" t="s">
        <v>73</v>
      </c>
      <c r="O51" s="204">
        <f>$O$41</f>
        <v>5279701</v>
      </c>
      <c r="P51" s="205">
        <f>$P$41</f>
        <v>0.59829521535031427</v>
      </c>
      <c r="Q51" s="203" t="s">
        <v>73</v>
      </c>
      <c r="R51" s="204">
        <f>$O$41</f>
        <v>5279701</v>
      </c>
      <c r="S51" s="205">
        <f>$P$41</f>
        <v>0.59829521535031427</v>
      </c>
      <c r="T51" s="203" t="s">
        <v>73</v>
      </c>
      <c r="U51" s="204">
        <f>$O$41</f>
        <v>5279701</v>
      </c>
      <c r="V51" s="205">
        <f>$P$41</f>
        <v>0.59829521535031427</v>
      </c>
      <c r="W51" s="189"/>
      <c r="X51" s="189"/>
      <c r="Y51" s="189"/>
    </row>
    <row r="52" spans="1:25" s="302" customFormat="1" x14ac:dyDescent="0.3">
      <c r="A52" s="183"/>
      <c r="B52" s="184"/>
      <c r="C52" s="184"/>
      <c r="D52" s="185"/>
      <c r="G52" s="795"/>
      <c r="I52" s="795"/>
      <c r="K52" s="203"/>
      <c r="L52" s="204"/>
      <c r="M52" s="205"/>
      <c r="N52" s="203"/>
      <c r="O52" s="204"/>
      <c r="P52" s="205"/>
      <c r="Q52" s="203" t="s">
        <v>74</v>
      </c>
      <c r="R52" s="204">
        <f>$R$45</f>
        <v>1282997</v>
      </c>
      <c r="S52" s="205">
        <f>$S$45</f>
        <v>0.14538909805854672</v>
      </c>
      <c r="T52" s="203" t="s">
        <v>74</v>
      </c>
      <c r="U52" s="204">
        <f>$R$45</f>
        <v>1282997</v>
      </c>
      <c r="V52" s="205">
        <f>$S$45</f>
        <v>0.14538909805854672</v>
      </c>
      <c r="W52" s="189"/>
      <c r="X52" s="189"/>
      <c r="Y52" s="189"/>
    </row>
    <row r="53" spans="1:25" s="795" customFormat="1" x14ac:dyDescent="0.3">
      <c r="A53" s="183"/>
      <c r="B53" s="184"/>
      <c r="C53" s="184"/>
      <c r="D53" s="185"/>
      <c r="K53" s="203"/>
      <c r="L53" s="204"/>
      <c r="M53" s="205"/>
      <c r="N53" s="203"/>
      <c r="O53" s="204"/>
      <c r="P53" s="205"/>
      <c r="Q53" s="203"/>
      <c r="R53" s="204"/>
      <c r="S53" s="205"/>
      <c r="T53" s="203" t="s">
        <v>155</v>
      </c>
      <c r="U53" s="204">
        <f>+U45</f>
        <v>0</v>
      </c>
      <c r="V53" s="205">
        <f>+V45</f>
        <v>0</v>
      </c>
      <c r="W53" s="796"/>
      <c r="X53" s="796"/>
      <c r="Y53" s="796"/>
    </row>
    <row r="54" spans="1:25" s="302" customFormat="1" x14ac:dyDescent="0.3">
      <c r="A54" s="183"/>
      <c r="B54" s="184"/>
      <c r="C54" s="184"/>
      <c r="D54" s="185"/>
      <c r="G54" s="795"/>
      <c r="I54" s="795"/>
      <c r="K54" s="206" t="s">
        <v>1</v>
      </c>
      <c r="L54" s="207">
        <f>SUM(L50:L50)</f>
        <v>952380</v>
      </c>
      <c r="M54" s="208">
        <f>SUM(M50:M50)</f>
        <v>0.10792361105209032</v>
      </c>
      <c r="N54" s="206" t="s">
        <v>1</v>
      </c>
      <c r="O54" s="207">
        <f>SUM(O50:O51)</f>
        <v>6232081</v>
      </c>
      <c r="P54" s="208">
        <f>SUM(P50:P51)</f>
        <v>0.70621882640240463</v>
      </c>
      <c r="Q54" s="206" t="s">
        <v>1</v>
      </c>
      <c r="R54" s="207">
        <f>SUM(R50:R52)</f>
        <v>7515078</v>
      </c>
      <c r="S54" s="208">
        <f>SUM(S50:S52)</f>
        <v>0.85160792446095135</v>
      </c>
      <c r="T54" s="206" t="s">
        <v>1</v>
      </c>
      <c r="U54" s="207">
        <f>SUM(U50:U52)</f>
        <v>7515078</v>
      </c>
      <c r="V54" s="208">
        <f>SUM(V50:V52)</f>
        <v>0.85160792446095135</v>
      </c>
      <c r="W54" s="189"/>
      <c r="X54" s="189"/>
      <c r="Y54" s="189"/>
    </row>
    <row r="55" spans="1:25" s="302" customFormat="1" x14ac:dyDescent="0.3">
      <c r="A55" s="183"/>
      <c r="B55" s="184"/>
      <c r="C55" s="184"/>
      <c r="D55" s="185"/>
      <c r="G55" s="795"/>
      <c r="I55" s="795"/>
      <c r="K55" s="206" t="s">
        <v>9</v>
      </c>
      <c r="L55" s="1285"/>
      <c r="M55" s="1286"/>
      <c r="N55" s="206" t="s">
        <v>9</v>
      </c>
      <c r="O55" s="1285"/>
      <c r="P55" s="1286"/>
      <c r="Q55" s="206" t="s">
        <v>9</v>
      </c>
      <c r="R55" s="1285"/>
      <c r="S55" s="1286"/>
      <c r="T55" s="206" t="s">
        <v>9</v>
      </c>
      <c r="U55" s="1285"/>
      <c r="V55" s="1286"/>
      <c r="W55" s="189"/>
      <c r="X55" s="189"/>
      <c r="Y55" s="189"/>
    </row>
    <row r="56" spans="1:25" s="302" customFormat="1" x14ac:dyDescent="0.3">
      <c r="A56" s="183"/>
      <c r="B56" s="184"/>
      <c r="C56" s="184"/>
      <c r="D56" s="185"/>
      <c r="G56" s="795"/>
      <c r="I56" s="795"/>
      <c r="K56" s="156" t="s">
        <v>78</v>
      </c>
      <c r="L56" s="1285" t="s">
        <v>334</v>
      </c>
      <c r="M56" s="1286"/>
      <c r="N56" s="156" t="s">
        <v>78</v>
      </c>
      <c r="O56" s="1285" t="s">
        <v>334</v>
      </c>
      <c r="P56" s="1286"/>
      <c r="Q56" s="156" t="s">
        <v>78</v>
      </c>
      <c r="R56" s="1285" t="s">
        <v>1986</v>
      </c>
      <c r="S56" s="1286"/>
      <c r="T56" s="156" t="s">
        <v>78</v>
      </c>
      <c r="U56" s="1285" t="s">
        <v>1986</v>
      </c>
      <c r="V56" s="1286"/>
      <c r="W56" s="189"/>
      <c r="X56" s="189"/>
      <c r="Y56" s="189"/>
    </row>
    <row r="57" spans="1:25" s="302" customFormat="1" x14ac:dyDescent="0.3">
      <c r="A57" s="183"/>
      <c r="B57" s="184"/>
      <c r="C57" s="184"/>
      <c r="D57" s="185"/>
      <c r="G57" s="795"/>
      <c r="I57" s="795"/>
      <c r="K57" s="157" t="s">
        <v>8</v>
      </c>
      <c r="L57" s="1287" t="s">
        <v>335</v>
      </c>
      <c r="M57" s="1288"/>
      <c r="N57" s="157" t="s">
        <v>8</v>
      </c>
      <c r="O57" s="1287" t="s">
        <v>335</v>
      </c>
      <c r="P57" s="1288"/>
      <c r="Q57" s="157" t="s">
        <v>8</v>
      </c>
      <c r="R57" s="1285" t="s">
        <v>1987</v>
      </c>
      <c r="S57" s="1286"/>
      <c r="T57" s="157" t="s">
        <v>8</v>
      </c>
      <c r="U57" s="1285" t="s">
        <v>1987</v>
      </c>
      <c r="V57" s="1286"/>
      <c r="W57" s="189"/>
      <c r="X57" s="189"/>
      <c r="Y57" s="189"/>
    </row>
    <row r="58" spans="1:25" s="302" customFormat="1" x14ac:dyDescent="0.3">
      <c r="A58" s="183"/>
      <c r="B58" s="184"/>
      <c r="C58" s="184"/>
      <c r="D58" s="185" t="s">
        <v>75</v>
      </c>
      <c r="G58" s="795"/>
      <c r="I58" s="795"/>
      <c r="T58" s="795"/>
      <c r="U58" s="795"/>
      <c r="V58" s="795"/>
    </row>
    <row r="59" spans="1:25" s="302" customFormat="1" x14ac:dyDescent="0.3">
      <c r="A59" s="183" t="s">
        <v>76</v>
      </c>
      <c r="B59" s="180"/>
      <c r="C59" s="180"/>
      <c r="D59" s="185" t="s">
        <v>77</v>
      </c>
      <c r="G59" s="795"/>
      <c r="I59" s="795"/>
      <c r="T59" s="795"/>
      <c r="U59" s="795"/>
      <c r="V59" s="795"/>
    </row>
    <row r="60" spans="1:25" s="302" customFormat="1" x14ac:dyDescent="0.3">
      <c r="A60" s="183" t="s">
        <v>79</v>
      </c>
      <c r="B60" s="180"/>
      <c r="C60" s="180"/>
      <c r="D60" s="185" t="s">
        <v>80</v>
      </c>
      <c r="G60" s="795"/>
      <c r="I60" s="795"/>
      <c r="T60" s="795"/>
      <c r="U60" s="795"/>
      <c r="V60" s="795"/>
    </row>
  </sheetData>
  <sheetProtection formatCells="0" formatColumns="0" formatRows="0" insertColumns="0" insertRows="0" insertHyperlinks="0" deleteColumns="0" deleteRows="0" sort="0" autoFilter="0" pivotTables="0"/>
  <mergeCells count="54">
    <mergeCell ref="A6:Y6"/>
    <mergeCell ref="A5:Y5"/>
    <mergeCell ref="W1:Y1"/>
    <mergeCell ref="W2:Y2"/>
    <mergeCell ref="A3:Y3"/>
    <mergeCell ref="A4:Y4"/>
    <mergeCell ref="C1:S2"/>
    <mergeCell ref="A7:Y7"/>
    <mergeCell ref="A8:Y8"/>
    <mergeCell ref="A9:Y9"/>
    <mergeCell ref="A10:Y10"/>
    <mergeCell ref="A14:A17"/>
    <mergeCell ref="B14:B17"/>
    <mergeCell ref="J14:J17"/>
    <mergeCell ref="T11:V12"/>
    <mergeCell ref="B11:J11"/>
    <mergeCell ref="K11:M12"/>
    <mergeCell ref="N11:P12"/>
    <mergeCell ref="W11:Y12"/>
    <mergeCell ref="B12:J12"/>
    <mergeCell ref="Q11:S12"/>
    <mergeCell ref="A18:A20"/>
    <mergeCell ref="B18:B20"/>
    <mergeCell ref="J18:J20"/>
    <mergeCell ref="A21:A23"/>
    <mergeCell ref="B21:B23"/>
    <mergeCell ref="J21:J23"/>
    <mergeCell ref="A24:A26"/>
    <mergeCell ref="B24:B26"/>
    <mergeCell ref="J24:J26"/>
    <mergeCell ref="A27:A30"/>
    <mergeCell ref="B27:B30"/>
    <mergeCell ref="J27:J30"/>
    <mergeCell ref="A31:A33"/>
    <mergeCell ref="B31:B33"/>
    <mergeCell ref="J31:J33"/>
    <mergeCell ref="A34:A37"/>
    <mergeCell ref="B34:B37"/>
    <mergeCell ref="J34:J37"/>
    <mergeCell ref="A38:A40"/>
    <mergeCell ref="B38:B40"/>
    <mergeCell ref="J38:J40"/>
    <mergeCell ref="L55:M55"/>
    <mergeCell ref="O55:P55"/>
    <mergeCell ref="U55:V55"/>
    <mergeCell ref="U56:V56"/>
    <mergeCell ref="U57:V57"/>
    <mergeCell ref="L56:M56"/>
    <mergeCell ref="O56:P56"/>
    <mergeCell ref="L57:M57"/>
    <mergeCell ref="O57:P57"/>
    <mergeCell ref="R55:S55"/>
    <mergeCell ref="R56:S56"/>
    <mergeCell ref="R57:S57"/>
  </mergeCells>
  <pageMargins left="0.7" right="0.7" top="0.75" bottom="0.75" header="0.3" footer="0.3"/>
  <pageSetup scale="36" orientation="landscape" r:id="rId1"/>
  <drawing r:id="rId2"/>
  <legacyDrawingHF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tabColor theme="1"/>
  </sheetPr>
  <dimension ref="A1:G49"/>
  <sheetViews>
    <sheetView topLeftCell="A16" zoomScaleNormal="100" workbookViewId="0">
      <selection activeCell="F31" sqref="F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RESUMEN!G22</f>
        <v>Proyecto: CDIM_CBSGSM_R0146 NORMALIZ Y REPOS SE EL SOL, Normalización servicios esenciales, normalización 15 seccionadores, juegos de CT</v>
      </c>
      <c r="C5" s="1281"/>
      <c r="D5" s="1281"/>
      <c r="E5" s="1281"/>
      <c r="F5" s="1281"/>
      <c r="G5" s="1282"/>
    </row>
    <row r="6" spans="1:7" x14ac:dyDescent="0.25">
      <c r="A6" s="1177"/>
      <c r="B6" s="1177"/>
      <c r="C6" s="1177"/>
      <c r="D6" s="1177"/>
      <c r="E6" s="1177"/>
      <c r="F6" s="1177"/>
      <c r="G6" s="1177"/>
    </row>
    <row r="7" spans="1:7" x14ac:dyDescent="0.25">
      <c r="A7" s="271" t="s">
        <v>0</v>
      </c>
      <c r="B7" s="1264" t="str">
        <f>RESUMEN!B22</f>
        <v>D00249502</v>
      </c>
      <c r="C7" s="1265"/>
      <c r="D7" s="1177"/>
      <c r="E7" s="1266" t="s">
        <v>627</v>
      </c>
      <c r="F7" s="1267"/>
      <c r="G7" s="280" t="str">
        <f>RESUMEN!E22</f>
        <v xml:space="preserve">17-139 </v>
      </c>
    </row>
    <row r="8" spans="1:7" x14ac:dyDescent="0.25">
      <c r="A8" s="271" t="s">
        <v>628</v>
      </c>
      <c r="B8" s="1264" t="str">
        <f>RESUMEN!C22</f>
        <v>D00249502000</v>
      </c>
      <c r="C8" s="1265"/>
      <c r="D8" s="1177"/>
      <c r="E8" s="1266" t="s">
        <v>629</v>
      </c>
      <c r="F8" s="1267"/>
      <c r="G8" s="280" t="str">
        <f>RESUMEN!U22</f>
        <v>Acta N° 5: Marzo</v>
      </c>
    </row>
    <row r="9" spans="1:7" x14ac:dyDescent="0.25">
      <c r="A9" s="271" t="s">
        <v>630</v>
      </c>
      <c r="B9" s="1283" t="s">
        <v>631</v>
      </c>
      <c r="C9" s="1265"/>
      <c r="D9" s="1177"/>
      <c r="E9" s="1266" t="s">
        <v>632</v>
      </c>
      <c r="F9" s="1267"/>
      <c r="G9" s="1178">
        <f>RESUMEN!H22</f>
        <v>87612005</v>
      </c>
    </row>
    <row r="10" spans="1:7" x14ac:dyDescent="0.25">
      <c r="A10" s="271" t="s">
        <v>633</v>
      </c>
      <c r="B10" s="1283" t="str">
        <f>RESUMEN!D22</f>
        <v>EL SOL CIVILES</v>
      </c>
      <c r="C10" s="1265"/>
      <c r="D10" s="1177"/>
      <c r="E10" s="1266" t="s">
        <v>634</v>
      </c>
      <c r="F10" s="1267"/>
      <c r="G10" s="1178">
        <f>RESUMEN!R22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CDIM_CBSGSM_R0146 NORMALIZ Y REPOS SE EL SOL, Normalización servicios esenciales, normalización 15 seccionadores, juegos de CT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RESUMEN!N22</f>
        <v>0</v>
      </c>
      <c r="F19" s="1248"/>
      <c r="G19" s="1177"/>
    </row>
    <row r="20" spans="1:7" ht="27" customHeight="1" x14ac:dyDescent="0.25">
      <c r="A20" s="1177"/>
      <c r="B20" s="1244" t="s">
        <v>1498</v>
      </c>
      <c r="C20" s="1245"/>
      <c r="D20" s="1246"/>
      <c r="E20" s="1247">
        <f>RESUMEN!P22</f>
        <v>0</v>
      </c>
      <c r="F20" s="1248"/>
      <c r="G20" s="1177"/>
    </row>
    <row r="21" spans="1:7" ht="27" customHeight="1" x14ac:dyDescent="0.25">
      <c r="A21" s="1177"/>
      <c r="B21" s="1244" t="s">
        <v>1499</v>
      </c>
      <c r="C21" s="1245"/>
      <c r="D21" s="1246"/>
      <c r="E21" s="1247">
        <f>RESUMEN!Q22</f>
        <v>0</v>
      </c>
      <c r="F21" s="1248"/>
      <c r="G21" s="1177"/>
    </row>
    <row r="22" spans="1:7" x14ac:dyDescent="0.25">
      <c r="A22" s="1177"/>
      <c r="B22" s="1254" t="s">
        <v>64</v>
      </c>
      <c r="C22" s="1254"/>
      <c r="D22" s="1254"/>
      <c r="E22" s="1255">
        <f>RESUMEN!R22</f>
        <v>0</v>
      </c>
      <c r="F22" s="1255"/>
      <c r="G22" s="1177"/>
    </row>
    <row r="23" spans="1:7" x14ac:dyDescent="0.25">
      <c r="A23" s="1177"/>
      <c r="B23" s="1256" t="s">
        <v>66</v>
      </c>
      <c r="C23" s="1256"/>
      <c r="D23" s="1256"/>
      <c r="E23" s="1257">
        <f>RESUMEN!S22</f>
        <v>0</v>
      </c>
      <c r="F23" s="1257"/>
      <c r="G23" s="1177"/>
    </row>
    <row r="24" spans="1:7" x14ac:dyDescent="0.25">
      <c r="A24" s="1177"/>
      <c r="B24" s="1258" t="s">
        <v>1</v>
      </c>
      <c r="C24" s="1258"/>
      <c r="D24" s="1258"/>
      <c r="E24" s="1259">
        <f>RESUMEN!T22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+'OT17-139 EL SOL CIVILES'!W83</f>
        <v>ACTA 1</v>
      </c>
      <c r="C28" s="1253">
        <f>+'OT17-139 EL SOL CIVILES'!X83</f>
        <v>22951140</v>
      </c>
      <c r="D28" s="1253"/>
      <c r="E28" s="267">
        <f>+'OT17-139 EL SOL CIVILES'!Y83</f>
        <v>0.26196341471696716</v>
      </c>
      <c r="F28" s="1177"/>
      <c r="G28" s="1177"/>
    </row>
    <row r="29" spans="1:7" x14ac:dyDescent="0.25">
      <c r="A29" s="1177"/>
      <c r="B29" s="280" t="str">
        <f>+'OT17-139 EL SOL CIVILES'!W84</f>
        <v>ACTA 2</v>
      </c>
      <c r="C29" s="1253">
        <f>+'OT17-139 EL SOL CIVILES'!X84</f>
        <v>30127939</v>
      </c>
      <c r="D29" s="1253"/>
      <c r="E29" s="267">
        <f>+'OT17-139 EL SOL CIVILES'!Y84</f>
        <v>0.34387911793594955</v>
      </c>
      <c r="F29" s="1177"/>
      <c r="G29" s="1177"/>
    </row>
    <row r="30" spans="1:7" x14ac:dyDescent="0.25">
      <c r="A30" s="1177"/>
      <c r="B30" s="280" t="str">
        <f>+'OT17-139 EL SOL CIVILES'!W85</f>
        <v>ACTA 3</v>
      </c>
      <c r="C30" s="1253">
        <f>+'OT17-139 EL SOL CIVILES'!X85</f>
        <v>950055</v>
      </c>
      <c r="D30" s="1253"/>
      <c r="E30" s="267">
        <f>+'OT17-139 EL SOL CIVILES'!Y85</f>
        <v>1.0843890628915524E-2</v>
      </c>
      <c r="F30" s="1177"/>
      <c r="G30" s="1177"/>
    </row>
    <row r="31" spans="1:7" x14ac:dyDescent="0.25">
      <c r="A31" s="1177"/>
      <c r="B31" s="280" t="str">
        <f>+'OT17-139 EL SOL CIVILES'!W86</f>
        <v>ACTA 4</v>
      </c>
      <c r="C31" s="1253">
        <f>+'OT17-139 EL SOL CIVILES'!X86</f>
        <v>427933</v>
      </c>
      <c r="D31" s="1253"/>
      <c r="E31" s="267">
        <f>+'OT17-139 EL SOL CIVILES'!Y86</f>
        <v>4.8844105325520169E-3</v>
      </c>
      <c r="F31" s="1177"/>
      <c r="G31" s="1177"/>
    </row>
    <row r="32" spans="1:7" x14ac:dyDescent="0.25">
      <c r="A32" s="1177"/>
      <c r="B32" s="280" t="str">
        <f>+'OT17-139 EL SOL CIVILES'!W87</f>
        <v>ACTA 5</v>
      </c>
      <c r="C32" s="1253">
        <f>+'OT17-139 EL SOL CIVILES'!X87</f>
        <v>0</v>
      </c>
      <c r="D32" s="1253"/>
      <c r="E32" s="267">
        <f>+'OT17-139 EL SOL CIVILES'!Y87</f>
        <v>0</v>
      </c>
      <c r="F32" s="1177"/>
      <c r="G32" s="1177"/>
    </row>
    <row r="33" spans="1:7" x14ac:dyDescent="0.25">
      <c r="A33" s="1177"/>
      <c r="B33" s="280"/>
      <c r="C33" s="1253"/>
      <c r="D33" s="1253"/>
      <c r="E33" s="267"/>
      <c r="F33" s="1177"/>
      <c r="G33" s="1177"/>
    </row>
    <row r="34" spans="1:7" x14ac:dyDescent="0.25">
      <c r="A34" s="1177"/>
      <c r="B34" s="263" t="s">
        <v>1</v>
      </c>
      <c r="C34" s="1251">
        <f>SUM(C28:D33)</f>
        <v>54457067</v>
      </c>
      <c r="D34" s="1251"/>
      <c r="E34" s="264">
        <f>SUM(E28:E33)</f>
        <v>0.62157083381438427</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tabColor rgb="FF72104A"/>
  </sheetPr>
  <dimension ref="A1:AE94"/>
  <sheetViews>
    <sheetView topLeftCell="D58" zoomScale="60" zoomScaleNormal="60" workbookViewId="0">
      <selection activeCell="V86" sqref="V86"/>
    </sheetView>
  </sheetViews>
  <sheetFormatPr baseColWidth="10" defaultColWidth="11.44140625" defaultRowHeight="14.4" x14ac:dyDescent="0.3"/>
  <cols>
    <col min="1" max="1" width="19.88671875" style="189" customWidth="1"/>
    <col min="2" max="2" width="22.109375" style="189" customWidth="1"/>
    <col min="3" max="3" width="31.33203125" style="189" customWidth="1"/>
    <col min="4" max="4" width="24" style="189" customWidth="1"/>
    <col min="5" max="5" width="11.5546875" style="189" bestFit="1" customWidth="1"/>
    <col min="6" max="6" width="17.88671875" style="189" customWidth="1"/>
    <col min="7" max="7" width="17.88671875" style="796" customWidth="1"/>
    <col min="8" max="8" width="19.109375" style="189" customWidth="1"/>
    <col min="9" max="9" width="19.109375" style="796" customWidth="1"/>
    <col min="10" max="10" width="36.33203125"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hidden="1" customWidth="1"/>
    <col min="18" max="18" width="18" style="189" hidden="1" customWidth="1"/>
    <col min="19" max="19" width="0" style="189" hidden="1" customWidth="1"/>
    <col min="20" max="20" width="17.88671875" style="796" bestFit="1" customWidth="1"/>
    <col min="21" max="21" width="26.44140625" style="796" bestFit="1" customWidth="1"/>
    <col min="22" max="22" width="11.44140625" style="796"/>
    <col min="23" max="23" width="17.5546875" style="1055" customWidth="1"/>
    <col min="24" max="24" width="20.88671875" style="1055" customWidth="1"/>
    <col min="25" max="25" width="18.88671875" style="1055" customWidth="1"/>
    <col min="26" max="26" width="17.88671875" style="189" bestFit="1" customWidth="1"/>
    <col min="27" max="27" width="17.5546875" style="189" customWidth="1"/>
    <col min="28" max="16384" width="11.44140625" style="189"/>
  </cols>
  <sheetData>
    <row r="1" spans="1:28" s="148" customFormat="1" ht="54"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792"/>
      <c r="U1" s="792"/>
      <c r="V1" s="792"/>
      <c r="W1" s="1052"/>
      <c r="X1" s="1052"/>
      <c r="Y1" s="1052"/>
      <c r="Z1" s="1328" t="s">
        <v>389</v>
      </c>
      <c r="AA1" s="1303"/>
      <c r="AB1" s="1304"/>
    </row>
    <row r="2" spans="1:28"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793"/>
      <c r="U2" s="793"/>
      <c r="V2" s="793"/>
      <c r="W2" s="1053"/>
      <c r="X2" s="1053"/>
      <c r="Y2" s="1053"/>
      <c r="Z2" s="1329" t="s">
        <v>41</v>
      </c>
      <c r="AA2" s="1305"/>
      <c r="AB2" s="1306"/>
    </row>
    <row r="3" spans="1:28"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s="148" customFormat="1" x14ac:dyDescent="0.3">
      <c r="A7" s="1291" t="s">
        <v>390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s="148" customFormat="1"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s="148" customFormat="1" ht="13.5" customHeight="1" x14ac:dyDescent="0.3">
      <c r="A10" s="1292" t="s">
        <v>391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s="148" customFormat="1" ht="13.5" customHeight="1" x14ac:dyDescent="0.3">
      <c r="A11" s="249"/>
      <c r="B11" s="1318"/>
      <c r="C11" s="1320"/>
      <c r="D11" s="1320"/>
      <c r="E11" s="1320"/>
      <c r="F11" s="1320"/>
      <c r="G11" s="1320"/>
      <c r="H11" s="1320"/>
      <c r="I11" s="1320"/>
      <c r="J11" s="1320"/>
      <c r="K11" s="1293" t="s">
        <v>46</v>
      </c>
      <c r="L11" s="1294"/>
      <c r="M11" s="1295"/>
      <c r="N11" s="1293" t="s">
        <v>677</v>
      </c>
      <c r="O11" s="1294"/>
      <c r="P11" s="1295"/>
      <c r="Q11" s="1293" t="s">
        <v>1978</v>
      </c>
      <c r="R11" s="1294"/>
      <c r="S11" s="1295"/>
      <c r="T11" s="1293" t="s">
        <v>2091</v>
      </c>
      <c r="U11" s="1294"/>
      <c r="V11" s="1295"/>
      <c r="W11" s="1293" t="s">
        <v>2328</v>
      </c>
      <c r="X11" s="1294"/>
      <c r="Y11" s="1295"/>
      <c r="Z11" s="1299" t="s">
        <v>49</v>
      </c>
      <c r="AA11" s="1299"/>
      <c r="AB11" s="1299"/>
    </row>
    <row r="12" spans="1:28" s="148" customFormat="1"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296"/>
      <c r="X12" s="1297"/>
      <c r="Y12" s="1298"/>
      <c r="Z12" s="1300"/>
      <c r="AA12" s="1300"/>
      <c r="AB12" s="1300"/>
    </row>
    <row r="13" spans="1:28"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c r="Z13" s="209" t="s">
        <v>54</v>
      </c>
      <c r="AA13" s="209" t="s">
        <v>56</v>
      </c>
      <c r="AB13" s="209" t="s">
        <v>58</v>
      </c>
    </row>
    <row r="14" spans="1:28" ht="43.2" x14ac:dyDescent="0.3">
      <c r="A14" s="1314" t="s">
        <v>288</v>
      </c>
      <c r="B14" s="1314" t="s">
        <v>240</v>
      </c>
      <c r="C14" s="250" t="s">
        <v>59</v>
      </c>
      <c r="D14" s="250" t="s">
        <v>241</v>
      </c>
      <c r="E14" s="250">
        <v>2</v>
      </c>
      <c r="F14" s="192">
        <v>2437535</v>
      </c>
      <c r="G14" s="32">
        <f>+ROUND(F14*1.051,0)</f>
        <v>2561849</v>
      </c>
      <c r="H14" s="192">
        <f>ROUND((E14*F14),0)</f>
        <v>4875070</v>
      </c>
      <c r="I14" s="32">
        <f>+ROUND(G14*E14,0)</f>
        <v>5123698</v>
      </c>
      <c r="J14" s="1315" t="s">
        <v>361</v>
      </c>
      <c r="K14" s="147">
        <v>0.6</v>
      </c>
      <c r="L14" s="167">
        <f>+ROUND((K14*F14),0)</f>
        <v>1462521</v>
      </c>
      <c r="M14" s="168">
        <f>+L14/H14</f>
        <v>0.3</v>
      </c>
      <c r="N14" s="158">
        <v>0</v>
      </c>
      <c r="O14" s="194">
        <f>+ROUND((N14*$F$14),0)</f>
        <v>0</v>
      </c>
      <c r="P14" s="195">
        <f>+O14/$H$14</f>
        <v>0</v>
      </c>
      <c r="Q14" s="158">
        <v>0</v>
      </c>
      <c r="R14" s="194">
        <f>+ROUND((Q14*$F$14),0)</f>
        <v>0</v>
      </c>
      <c r="S14" s="195">
        <f>+R14/$H$14</f>
        <v>0</v>
      </c>
      <c r="T14" s="432">
        <v>0</v>
      </c>
      <c r="U14" s="425">
        <f>+ROUND((T14*$G$14),0)</f>
        <v>0</v>
      </c>
      <c r="V14" s="426">
        <f>+U14/H14</f>
        <v>0</v>
      </c>
      <c r="W14" s="432">
        <v>0</v>
      </c>
      <c r="X14" s="425">
        <f>+ROUND((W14*$G$14),0)</f>
        <v>0</v>
      </c>
      <c r="Y14" s="426">
        <f>+X14/I14</f>
        <v>0</v>
      </c>
      <c r="Z14" s="149">
        <f>K14+N14+Q14+T14+W14</f>
        <v>0.6</v>
      </c>
      <c r="AA14" s="175">
        <f>+L14+O14+R14+U14+X14</f>
        <v>1462521</v>
      </c>
      <c r="AB14" s="176">
        <f>AA14/I14</f>
        <v>0.28544246753028768</v>
      </c>
    </row>
    <row r="15" spans="1:28" x14ac:dyDescent="0.3">
      <c r="A15" s="1314"/>
      <c r="B15" s="1314"/>
      <c r="C15" s="196"/>
      <c r="D15" s="196" t="s">
        <v>242</v>
      </c>
      <c r="E15" s="198"/>
      <c r="F15" s="198"/>
      <c r="G15" s="198"/>
      <c r="H15" s="199">
        <f>H14</f>
        <v>4875070</v>
      </c>
      <c r="I15" s="199">
        <f>SUM(I14)</f>
        <v>5123698</v>
      </c>
      <c r="J15" s="1314"/>
      <c r="K15" s="150"/>
      <c r="L15" s="177">
        <f>SUM(L14)</f>
        <v>1462521</v>
      </c>
      <c r="M15" s="178">
        <f>+L15/H15</f>
        <v>0.3</v>
      </c>
      <c r="N15" s="150"/>
      <c r="O15" s="177">
        <f>SUM(O14)</f>
        <v>0</v>
      </c>
      <c r="P15" s="178">
        <f>+O15/$H$15</f>
        <v>0</v>
      </c>
      <c r="Q15" s="306"/>
      <c r="R15" s="307">
        <f>SUM(R14)</f>
        <v>0</v>
      </c>
      <c r="S15" s="308">
        <f>+R15/$H$15</f>
        <v>0</v>
      </c>
      <c r="T15" s="428"/>
      <c r="U15" s="307">
        <f>SUM(U14)</f>
        <v>0</v>
      </c>
      <c r="V15" s="431">
        <f>+U15/$H$15</f>
        <v>0</v>
      </c>
      <c r="W15" s="428"/>
      <c r="X15" s="307">
        <f>SUM(X14)</f>
        <v>0</v>
      </c>
      <c r="Y15" s="431">
        <f>+X15/$I$15</f>
        <v>0</v>
      </c>
      <c r="Z15" s="150"/>
      <c r="AA15" s="1078">
        <f t="shared" ref="AA15:AA72" si="0">+L15+O15+R15+U15+X15</f>
        <v>1462521</v>
      </c>
      <c r="AB15" s="178">
        <f>AA15/I15</f>
        <v>0.28544246753028768</v>
      </c>
    </row>
    <row r="16" spans="1:28" ht="43.2" x14ac:dyDescent="0.3">
      <c r="A16" s="1314" t="s">
        <v>319</v>
      </c>
      <c r="B16" s="1314" t="s">
        <v>320</v>
      </c>
      <c r="C16" s="250" t="s">
        <v>59</v>
      </c>
      <c r="D16" s="250" t="s">
        <v>321</v>
      </c>
      <c r="E16" s="250">
        <v>1</v>
      </c>
      <c r="F16" s="192">
        <v>6024196</v>
      </c>
      <c r="G16" s="32">
        <f t="shared" ref="G16:G17" si="1">+ROUND(F16*1.051,0)</f>
        <v>6331430</v>
      </c>
      <c r="H16" s="192">
        <f>ROUND((E16*F16),0)</f>
        <v>6024196</v>
      </c>
      <c r="I16" s="32">
        <f>+ROUND(G16*E16,0)</f>
        <v>6331430</v>
      </c>
      <c r="J16" s="1315" t="s">
        <v>362</v>
      </c>
      <c r="K16" s="147">
        <v>0.3</v>
      </c>
      <c r="L16" s="167">
        <f>+ROUND((K16*F16),0)</f>
        <v>1807259</v>
      </c>
      <c r="M16" s="168">
        <f>+L16/H16</f>
        <v>0.30000003319945101</v>
      </c>
      <c r="N16" s="158">
        <v>0</v>
      </c>
      <c r="O16" s="194">
        <f>+ROUND((N16*$F$16),0)</f>
        <v>0</v>
      </c>
      <c r="P16" s="195">
        <f>+O16/$H$16</f>
        <v>0</v>
      </c>
      <c r="Q16" s="158">
        <v>0</v>
      </c>
      <c r="R16" s="194">
        <f>+ROUND((Q16*$F$16),0)</f>
        <v>0</v>
      </c>
      <c r="S16" s="195">
        <f>+R16/$H$16</f>
        <v>0</v>
      </c>
      <c r="T16" s="432">
        <v>0</v>
      </c>
      <c r="U16" s="425">
        <f t="shared" ref="U16:U17" si="2">+ROUND((T16*$G$14),0)</f>
        <v>0</v>
      </c>
      <c r="V16" s="426">
        <f>+U16/H16</f>
        <v>0</v>
      </c>
      <c r="W16" s="432">
        <v>0</v>
      </c>
      <c r="X16" s="425">
        <f>+ROUND((W16*$G$16),0)</f>
        <v>0</v>
      </c>
      <c r="Y16" s="426">
        <f>+X16/I16</f>
        <v>0</v>
      </c>
      <c r="Z16" s="416">
        <f>K16+N16+Q16+T16+W16</f>
        <v>0.3</v>
      </c>
      <c r="AA16" s="175">
        <f t="shared" si="0"/>
        <v>1807259</v>
      </c>
      <c r="AB16" s="176">
        <f>AA16/I16</f>
        <v>0.28544246718355887</v>
      </c>
    </row>
    <row r="17" spans="1:28" ht="28.8" x14ac:dyDescent="0.3">
      <c r="A17" s="1314"/>
      <c r="B17" s="1314"/>
      <c r="C17" s="250" t="s">
        <v>61</v>
      </c>
      <c r="D17" s="250" t="s">
        <v>322</v>
      </c>
      <c r="E17" s="250">
        <v>1</v>
      </c>
      <c r="F17" s="192">
        <v>6650991</v>
      </c>
      <c r="G17" s="32">
        <f t="shared" si="1"/>
        <v>6990192</v>
      </c>
      <c r="H17" s="192">
        <f>ROUND((E17*F17),0)</f>
        <v>6650991</v>
      </c>
      <c r="I17" s="32">
        <f>+ROUND(G17*E17,0)</f>
        <v>6990192</v>
      </c>
      <c r="J17" s="1314"/>
      <c r="K17" s="158">
        <v>0</v>
      </c>
      <c r="L17" s="194">
        <f>ROUND(K17*F17,0)</f>
        <v>0</v>
      </c>
      <c r="M17" s="195">
        <f>L17/H17</f>
        <v>0</v>
      </c>
      <c r="N17" s="158">
        <v>0</v>
      </c>
      <c r="O17" s="194">
        <f>+ROUND((N17*$F$17),0)</f>
        <v>0</v>
      </c>
      <c r="P17" s="195">
        <f>+O17/$H$17</f>
        <v>0</v>
      </c>
      <c r="Q17" s="158">
        <v>0</v>
      </c>
      <c r="R17" s="194">
        <f>+ROUND((Q17*$F$17),0)</f>
        <v>0</v>
      </c>
      <c r="S17" s="195">
        <f>+R17/$H$17</f>
        <v>0</v>
      </c>
      <c r="T17" s="432">
        <v>0</v>
      </c>
      <c r="U17" s="425">
        <f t="shared" si="2"/>
        <v>0</v>
      </c>
      <c r="V17" s="426">
        <f>+U17/H17</f>
        <v>0</v>
      </c>
      <c r="W17" s="432">
        <v>0</v>
      </c>
      <c r="X17" s="425">
        <f>+ROUND((W17*$G$17),0)</f>
        <v>0</v>
      </c>
      <c r="Y17" s="426">
        <f>+X17/I17</f>
        <v>0</v>
      </c>
      <c r="Z17" s="416">
        <f>K17+N17+Q17+T17+W17</f>
        <v>0</v>
      </c>
      <c r="AA17" s="175">
        <f t="shared" si="0"/>
        <v>0</v>
      </c>
      <c r="AB17" s="176">
        <f>AA17/I17</f>
        <v>0</v>
      </c>
    </row>
    <row r="18" spans="1:28" x14ac:dyDescent="0.3">
      <c r="A18" s="1314"/>
      <c r="B18" s="1314"/>
      <c r="C18" s="196"/>
      <c r="D18" s="196" t="s">
        <v>143</v>
      </c>
      <c r="E18" s="198"/>
      <c r="F18" s="198"/>
      <c r="G18" s="198"/>
      <c r="H18" s="199">
        <f>SUM(H16:H17)</f>
        <v>12675187</v>
      </c>
      <c r="I18" s="199">
        <f>SUM(I16:I17)</f>
        <v>13321622</v>
      </c>
      <c r="J18" s="1314"/>
      <c r="K18" s="150"/>
      <c r="L18" s="177">
        <f>SUM(L16:L17)</f>
        <v>1807259</v>
      </c>
      <c r="M18" s="178">
        <f>+L18/H18</f>
        <v>0.14258243290611808</v>
      </c>
      <c r="N18" s="150"/>
      <c r="O18" s="177">
        <f>SUM(O16:O17)</f>
        <v>0</v>
      </c>
      <c r="P18" s="178">
        <f>+O18/$H$18</f>
        <v>0</v>
      </c>
      <c r="Q18" s="306"/>
      <c r="R18" s="307">
        <f>SUM(R16:R17)</f>
        <v>0</v>
      </c>
      <c r="S18" s="308">
        <f>+R18/$H$18</f>
        <v>0</v>
      </c>
      <c r="T18" s="428"/>
      <c r="U18" s="307">
        <f>SUM(U16:U17)</f>
        <v>0</v>
      </c>
      <c r="V18" s="431">
        <f>+U18/$H$18</f>
        <v>0</v>
      </c>
      <c r="W18" s="428"/>
      <c r="X18" s="307">
        <f>SUM(X16:X17)</f>
        <v>0</v>
      </c>
      <c r="Y18" s="431">
        <f>+X18/$I$18</f>
        <v>0</v>
      </c>
      <c r="Z18" s="1082"/>
      <c r="AA18" s="1078">
        <f t="shared" si="0"/>
        <v>1807259</v>
      </c>
      <c r="AB18" s="178">
        <f>AA18/I18</f>
        <v>0.13566358510998136</v>
      </c>
    </row>
    <row r="19" spans="1:28" ht="28.8" x14ac:dyDescent="0.3">
      <c r="A19" s="1314" t="s">
        <v>363</v>
      </c>
      <c r="B19" s="1314" t="s">
        <v>364</v>
      </c>
      <c r="C19" s="250" t="s">
        <v>81</v>
      </c>
      <c r="D19" s="250" t="s">
        <v>365</v>
      </c>
      <c r="E19" s="250">
        <v>2</v>
      </c>
      <c r="F19" s="192">
        <v>1044658</v>
      </c>
      <c r="G19" s="32">
        <f t="shared" ref="G19:G21" si="3">+ROUND(F19*1.051,0)</f>
        <v>1097936</v>
      </c>
      <c r="H19" s="192">
        <f>ROUND((E19*F19),0)</f>
        <v>2089316</v>
      </c>
      <c r="I19" s="32">
        <f>+ROUND(G19*E19,0)</f>
        <v>2195872</v>
      </c>
      <c r="J19" s="1315" t="s">
        <v>366</v>
      </c>
      <c r="K19" s="147">
        <v>0.6</v>
      </c>
      <c r="L19" s="167">
        <f>+ROUND((K19*F19),0)</f>
        <v>626795</v>
      </c>
      <c r="M19" s="168">
        <f>+L19/H19</f>
        <v>0.30000009572510811</v>
      </c>
      <c r="N19" s="303">
        <v>1.4</v>
      </c>
      <c r="O19" s="304">
        <f>+ROUND((N19*$F$19),0)</f>
        <v>1462521</v>
      </c>
      <c r="P19" s="305">
        <f>+O19/$H$19</f>
        <v>0.69999990427489189</v>
      </c>
      <c r="Q19" s="158">
        <v>0</v>
      </c>
      <c r="R19" s="194">
        <f>+ROUND((Q19*$F$19),0)</f>
        <v>0</v>
      </c>
      <c r="S19" s="195">
        <f>+R19/$H$19</f>
        <v>0</v>
      </c>
      <c r="T19" s="432">
        <v>0</v>
      </c>
      <c r="U19" s="425">
        <f t="shared" ref="U19:U21" si="4">+ROUND((T19*$G$14),0)</f>
        <v>0</v>
      </c>
      <c r="V19" s="426">
        <f>+U19/H19</f>
        <v>0</v>
      </c>
      <c r="W19" s="432">
        <v>0</v>
      </c>
      <c r="X19" s="425">
        <f>+ROUND((W19*$G19),0)</f>
        <v>0</v>
      </c>
      <c r="Y19" s="426">
        <f>+X19/I19</f>
        <v>0</v>
      </c>
      <c r="Z19" s="416">
        <f t="shared" ref="Z19:Z71" si="5">K19+N19+Q19+T19+W19</f>
        <v>2</v>
      </c>
      <c r="AA19" s="175">
        <f t="shared" si="0"/>
        <v>2089316</v>
      </c>
      <c r="AB19" s="176">
        <f>AA19/H19</f>
        <v>1</v>
      </c>
    </row>
    <row r="20" spans="1:28" ht="28.8" x14ac:dyDescent="0.3">
      <c r="A20" s="1314"/>
      <c r="B20" s="1314"/>
      <c r="C20" s="250" t="s">
        <v>83</v>
      </c>
      <c r="D20" s="250" t="s">
        <v>367</v>
      </c>
      <c r="E20" s="250">
        <v>2</v>
      </c>
      <c r="F20" s="192">
        <v>2193782</v>
      </c>
      <c r="G20" s="32">
        <f t="shared" si="3"/>
        <v>2305665</v>
      </c>
      <c r="H20" s="192">
        <f>ROUND((E20*F20),0)</f>
        <v>4387564</v>
      </c>
      <c r="I20" s="32">
        <f>+ROUND(G20*E20,0)</f>
        <v>4611330</v>
      </c>
      <c r="J20" s="1314"/>
      <c r="K20" s="147">
        <v>0.6</v>
      </c>
      <c r="L20" s="167">
        <f>+ROUND((K20*F20),0)</f>
        <v>1316269</v>
      </c>
      <c r="M20" s="168">
        <f>+L20/H20</f>
        <v>0.29999995441661936</v>
      </c>
      <c r="N20" s="303">
        <v>1.4</v>
      </c>
      <c r="O20" s="304">
        <f>+ROUND((N20*$F$20),0)</f>
        <v>3071295</v>
      </c>
      <c r="P20" s="305">
        <f>+O20/$H$20</f>
        <v>0.70000004558338069</v>
      </c>
      <c r="Q20" s="158">
        <v>0</v>
      </c>
      <c r="R20" s="194">
        <f>+ROUND((Q20*$F$20),0)</f>
        <v>0</v>
      </c>
      <c r="S20" s="195">
        <f>+R20/$H$20</f>
        <v>0</v>
      </c>
      <c r="T20" s="432">
        <v>0</v>
      </c>
      <c r="U20" s="425">
        <f t="shared" si="4"/>
        <v>0</v>
      </c>
      <c r="V20" s="426">
        <f>+U20/H20</f>
        <v>0</v>
      </c>
      <c r="W20" s="432">
        <v>0</v>
      </c>
      <c r="X20" s="425">
        <f t="shared" ref="X20:X21" si="6">+ROUND((W20*$G20),0)</f>
        <v>0</v>
      </c>
      <c r="Y20" s="426">
        <f t="shared" ref="Y20" si="7">+X20/I20</f>
        <v>0</v>
      </c>
      <c r="Z20" s="416">
        <f t="shared" si="5"/>
        <v>2</v>
      </c>
      <c r="AA20" s="175">
        <f t="shared" si="0"/>
        <v>4387564</v>
      </c>
      <c r="AB20" s="176">
        <f>AA20/H20</f>
        <v>1</v>
      </c>
    </row>
    <row r="21" spans="1:28" ht="28.8" x14ac:dyDescent="0.3">
      <c r="A21" s="1314"/>
      <c r="B21" s="1314"/>
      <c r="C21" s="250" t="s">
        <v>61</v>
      </c>
      <c r="D21" s="250" t="s">
        <v>368</v>
      </c>
      <c r="E21" s="250">
        <v>0</v>
      </c>
      <c r="F21" s="192">
        <v>2785755</v>
      </c>
      <c r="G21" s="32">
        <f t="shared" si="3"/>
        <v>2927829</v>
      </c>
      <c r="H21" s="192">
        <f>ROUND((E21*F21),0)</f>
        <v>0</v>
      </c>
      <c r="I21" s="32">
        <f>+ROUND(G21*E21,0)</f>
        <v>0</v>
      </c>
      <c r="J21" s="1314"/>
      <c r="K21" s="158">
        <v>0</v>
      </c>
      <c r="L21" s="194">
        <f>ROUND(K21*F21,0)</f>
        <v>0</v>
      </c>
      <c r="M21" s="195">
        <v>0</v>
      </c>
      <c r="N21" s="158">
        <v>0</v>
      </c>
      <c r="O21" s="194">
        <f>+ROUND((N21*$F$21),0)</f>
        <v>0</v>
      </c>
      <c r="P21" s="195">
        <v>0</v>
      </c>
      <c r="Q21" s="158">
        <v>0</v>
      </c>
      <c r="R21" s="194">
        <f>+ROUND((Q21*$F$21),0)</f>
        <v>0</v>
      </c>
      <c r="S21" s="195">
        <v>0</v>
      </c>
      <c r="T21" s="432">
        <v>0</v>
      </c>
      <c r="U21" s="425">
        <f t="shared" si="4"/>
        <v>0</v>
      </c>
      <c r="V21" s="426">
        <v>0</v>
      </c>
      <c r="W21" s="432">
        <v>0</v>
      </c>
      <c r="X21" s="425">
        <f t="shared" si="6"/>
        <v>0</v>
      </c>
      <c r="Y21" s="426">
        <v>0</v>
      </c>
      <c r="Z21" s="416">
        <f t="shared" si="5"/>
        <v>0</v>
      </c>
      <c r="AA21" s="175">
        <f t="shared" si="0"/>
        <v>0</v>
      </c>
      <c r="AB21" s="176">
        <v>0</v>
      </c>
    </row>
    <row r="22" spans="1:28" x14ac:dyDescent="0.3">
      <c r="A22" s="1314"/>
      <c r="B22" s="1314"/>
      <c r="C22" s="196"/>
      <c r="D22" s="196" t="s">
        <v>278</v>
      </c>
      <c r="E22" s="198"/>
      <c r="F22" s="198"/>
      <c r="G22" s="198"/>
      <c r="H22" s="199">
        <f>SUM(H19:H21)</f>
        <v>6476880</v>
      </c>
      <c r="I22" s="199">
        <f>SUM(I19:I21)</f>
        <v>6807202</v>
      </c>
      <c r="J22" s="1314"/>
      <c r="K22" s="150"/>
      <c r="L22" s="177">
        <f>SUM(L19:L21)</f>
        <v>1943064</v>
      </c>
      <c r="M22" s="178">
        <f>+L22/H22</f>
        <v>0.3</v>
      </c>
      <c r="N22" s="150"/>
      <c r="O22" s="177">
        <f>SUM(O19:O21)</f>
        <v>4533816</v>
      </c>
      <c r="P22" s="178">
        <f>+O22/$H$22</f>
        <v>0.7</v>
      </c>
      <c r="Q22" s="306"/>
      <c r="R22" s="307">
        <f>SUM(R19:R21)</f>
        <v>0</v>
      </c>
      <c r="S22" s="308">
        <f>+R22/$H$22</f>
        <v>0</v>
      </c>
      <c r="T22" s="428"/>
      <c r="U22" s="307">
        <f>SUM(U19:U21)</f>
        <v>0</v>
      </c>
      <c r="V22" s="431">
        <f>+U22/$H$22</f>
        <v>0</v>
      </c>
      <c r="W22" s="428"/>
      <c r="X22" s="307">
        <f>SUM(X19:X21)</f>
        <v>0</v>
      </c>
      <c r="Y22" s="431">
        <f>+X22/$I$22</f>
        <v>0</v>
      </c>
      <c r="Z22" s="1082"/>
      <c r="AA22" s="1078">
        <f t="shared" si="0"/>
        <v>6476880</v>
      </c>
      <c r="AB22" s="178">
        <f>AA22/H22</f>
        <v>1</v>
      </c>
    </row>
    <row r="23" spans="1:28" ht="28.8" x14ac:dyDescent="0.3">
      <c r="A23" s="1314" t="s">
        <v>369</v>
      </c>
      <c r="B23" s="1314" t="s">
        <v>364</v>
      </c>
      <c r="C23" s="250" t="s">
        <v>81</v>
      </c>
      <c r="D23" s="250" t="s">
        <v>365</v>
      </c>
      <c r="E23" s="250">
        <v>2</v>
      </c>
      <c r="F23" s="192">
        <v>1044658</v>
      </c>
      <c r="G23" s="32">
        <f t="shared" ref="G23:G25" si="8">+ROUND(F23*1.051,0)</f>
        <v>1097936</v>
      </c>
      <c r="H23" s="192">
        <f>ROUND((E23*F23),0)</f>
        <v>2089316</v>
      </c>
      <c r="I23" s="32">
        <f>+ROUND(G23*E23,0)</f>
        <v>2195872</v>
      </c>
      <c r="J23" s="1315" t="s">
        <v>370</v>
      </c>
      <c r="K23" s="147">
        <v>0.6</v>
      </c>
      <c r="L23" s="167">
        <f>+ROUND((K23*F23),0)</f>
        <v>626795</v>
      </c>
      <c r="M23" s="168">
        <f>+L23/H23</f>
        <v>0.30000009572510811</v>
      </c>
      <c r="N23" s="303">
        <v>1.4</v>
      </c>
      <c r="O23" s="304">
        <f>+ROUND((N23*$F$23),0)</f>
        <v>1462521</v>
      </c>
      <c r="P23" s="305">
        <f>+O23/$H$23</f>
        <v>0.69999990427489189</v>
      </c>
      <c r="Q23" s="158">
        <v>0</v>
      </c>
      <c r="R23" s="194">
        <f>+ROUND((Q23*$F$23),0)</f>
        <v>0</v>
      </c>
      <c r="S23" s="195">
        <f>+R23/$H$23</f>
        <v>0</v>
      </c>
      <c r="T23" s="432">
        <v>0</v>
      </c>
      <c r="U23" s="425">
        <f t="shared" ref="U23:U25" si="9">+ROUND((T23*$G$14),0)</f>
        <v>0</v>
      </c>
      <c r="V23" s="426">
        <f>+U23/H23</f>
        <v>0</v>
      </c>
      <c r="W23" s="432">
        <v>0</v>
      </c>
      <c r="X23" s="425">
        <f>+ROUND((W23*$G23),0)</f>
        <v>0</v>
      </c>
      <c r="Y23" s="426">
        <f>+X23/I23</f>
        <v>0</v>
      </c>
      <c r="Z23" s="416">
        <f t="shared" si="5"/>
        <v>2</v>
      </c>
      <c r="AA23" s="175">
        <f t="shared" si="0"/>
        <v>2089316</v>
      </c>
      <c r="AB23" s="176">
        <f>AA23/H23</f>
        <v>1</v>
      </c>
    </row>
    <row r="24" spans="1:28" ht="28.8" x14ac:dyDescent="0.3">
      <c r="A24" s="1314"/>
      <c r="B24" s="1314"/>
      <c r="C24" s="250" t="s">
        <v>83</v>
      </c>
      <c r="D24" s="250" t="s">
        <v>367</v>
      </c>
      <c r="E24" s="250">
        <v>2</v>
      </c>
      <c r="F24" s="192">
        <v>2193782</v>
      </c>
      <c r="G24" s="32">
        <f t="shared" si="8"/>
        <v>2305665</v>
      </c>
      <c r="H24" s="192">
        <f>ROUND((E24*F24),0)</f>
        <v>4387564</v>
      </c>
      <c r="I24" s="32">
        <f>+ROUND(G24*E24,0)</f>
        <v>4611330</v>
      </c>
      <c r="J24" s="1314"/>
      <c r="K24" s="147">
        <v>0.6</v>
      </c>
      <c r="L24" s="167">
        <f>+ROUND((K24*F24),0)</f>
        <v>1316269</v>
      </c>
      <c r="M24" s="168">
        <f>+L24/H24</f>
        <v>0.29999995441661936</v>
      </c>
      <c r="N24" s="303">
        <v>1.4</v>
      </c>
      <c r="O24" s="304">
        <f>+ROUND((N24*$F$24),0)</f>
        <v>3071295</v>
      </c>
      <c r="P24" s="305">
        <f>+O24/$H$24</f>
        <v>0.70000004558338069</v>
      </c>
      <c r="Q24" s="158">
        <v>0</v>
      </c>
      <c r="R24" s="194">
        <f>+ROUND((Q24*$F$24),0)</f>
        <v>0</v>
      </c>
      <c r="S24" s="195">
        <f>+R24/$H$24</f>
        <v>0</v>
      </c>
      <c r="T24" s="432">
        <v>0</v>
      </c>
      <c r="U24" s="425">
        <f t="shared" si="9"/>
        <v>0</v>
      </c>
      <c r="V24" s="426">
        <f>+U24/H24</f>
        <v>0</v>
      </c>
      <c r="W24" s="432">
        <v>0</v>
      </c>
      <c r="X24" s="425">
        <f t="shared" ref="X24:X25" si="10">+ROUND((W24*$G24),0)</f>
        <v>0</v>
      </c>
      <c r="Y24" s="426">
        <f t="shared" ref="Y24" si="11">+X24/I24</f>
        <v>0</v>
      </c>
      <c r="Z24" s="416">
        <f t="shared" si="5"/>
        <v>2</v>
      </c>
      <c r="AA24" s="175">
        <f t="shared" si="0"/>
        <v>4387564</v>
      </c>
      <c r="AB24" s="176">
        <f>AA24/H24</f>
        <v>1</v>
      </c>
    </row>
    <row r="25" spans="1:28" ht="28.8" x14ac:dyDescent="0.3">
      <c r="A25" s="1314"/>
      <c r="B25" s="1314"/>
      <c r="C25" s="250" t="s">
        <v>61</v>
      </c>
      <c r="D25" s="250" t="s">
        <v>368</v>
      </c>
      <c r="E25" s="250">
        <v>0</v>
      </c>
      <c r="F25" s="192">
        <v>2785755</v>
      </c>
      <c r="G25" s="32">
        <f t="shared" si="8"/>
        <v>2927829</v>
      </c>
      <c r="H25" s="192">
        <f>ROUND((E25*F25),0)</f>
        <v>0</v>
      </c>
      <c r="I25" s="32">
        <f>+ROUND(G25*E25,0)</f>
        <v>0</v>
      </c>
      <c r="J25" s="1314"/>
      <c r="K25" s="158">
        <v>0</v>
      </c>
      <c r="L25" s="194">
        <f>ROUND(K25*F25,0)</f>
        <v>0</v>
      </c>
      <c r="M25" s="195">
        <v>0</v>
      </c>
      <c r="N25" s="158">
        <v>0</v>
      </c>
      <c r="O25" s="194">
        <f>+ROUND((N25*$F$25),0)</f>
        <v>0</v>
      </c>
      <c r="P25" s="195">
        <v>0</v>
      </c>
      <c r="Q25" s="158">
        <v>0</v>
      </c>
      <c r="R25" s="194">
        <f>+ROUND((Q25*$F$25),0)</f>
        <v>0</v>
      </c>
      <c r="S25" s="195">
        <v>0</v>
      </c>
      <c r="T25" s="432">
        <v>0</v>
      </c>
      <c r="U25" s="425">
        <f t="shared" si="9"/>
        <v>0</v>
      </c>
      <c r="V25" s="426">
        <v>0</v>
      </c>
      <c r="W25" s="432">
        <v>0</v>
      </c>
      <c r="X25" s="425">
        <f t="shared" si="10"/>
        <v>0</v>
      </c>
      <c r="Y25" s="426">
        <v>0</v>
      </c>
      <c r="Z25" s="416">
        <f t="shared" si="5"/>
        <v>0</v>
      </c>
      <c r="AA25" s="175">
        <f t="shared" si="0"/>
        <v>0</v>
      </c>
      <c r="AB25" s="176">
        <v>0</v>
      </c>
    </row>
    <row r="26" spans="1:28" x14ac:dyDescent="0.3">
      <c r="A26" s="1314"/>
      <c r="B26" s="1314"/>
      <c r="C26" s="196"/>
      <c r="D26" s="196" t="s">
        <v>278</v>
      </c>
      <c r="E26" s="198"/>
      <c r="F26" s="198"/>
      <c r="G26" s="198"/>
      <c r="H26" s="199">
        <f>SUM(H23:H25)</f>
        <v>6476880</v>
      </c>
      <c r="I26" s="199">
        <f>SUM(I23:I25)</f>
        <v>6807202</v>
      </c>
      <c r="J26" s="1314"/>
      <c r="K26" s="150"/>
      <c r="L26" s="177">
        <f>SUM(L23:L25)</f>
        <v>1943064</v>
      </c>
      <c r="M26" s="178">
        <f>+L26/H26</f>
        <v>0.3</v>
      </c>
      <c r="N26" s="150"/>
      <c r="O26" s="177">
        <f>SUM(O23:O25)</f>
        <v>4533816</v>
      </c>
      <c r="P26" s="178">
        <f>+O26/$H$26</f>
        <v>0.7</v>
      </c>
      <c r="Q26" s="306"/>
      <c r="R26" s="307">
        <f>SUM(R23:R25)</f>
        <v>0</v>
      </c>
      <c r="S26" s="308">
        <f>+R26/$H$26</f>
        <v>0</v>
      </c>
      <c r="T26" s="428"/>
      <c r="U26" s="307">
        <f>SUM(U23:U25)</f>
        <v>0</v>
      </c>
      <c r="V26" s="431">
        <f>+U26/$H$26</f>
        <v>0</v>
      </c>
      <c r="W26" s="428"/>
      <c r="X26" s="307">
        <f>SUM(X23:X25)</f>
        <v>0</v>
      </c>
      <c r="Y26" s="431">
        <f>+X26/$I$26</f>
        <v>0</v>
      </c>
      <c r="Z26" s="1082"/>
      <c r="AA26" s="1078">
        <f t="shared" si="0"/>
        <v>6476880</v>
      </c>
      <c r="AB26" s="178">
        <f>AA26/H26</f>
        <v>1</v>
      </c>
    </row>
    <row r="27" spans="1:28" ht="28.8" x14ac:dyDescent="0.3">
      <c r="A27" s="1314" t="s">
        <v>371</v>
      </c>
      <c r="B27" s="1314" t="s">
        <v>364</v>
      </c>
      <c r="C27" s="250" t="s">
        <v>81</v>
      </c>
      <c r="D27" s="250" t="s">
        <v>365</v>
      </c>
      <c r="E27" s="250">
        <v>2</v>
      </c>
      <c r="F27" s="192">
        <v>1044658</v>
      </c>
      <c r="G27" s="32">
        <f t="shared" ref="G27:G29" si="12">+ROUND(F27*1.051,0)</f>
        <v>1097936</v>
      </c>
      <c r="H27" s="192">
        <f>ROUND((E27*F27),0)</f>
        <v>2089316</v>
      </c>
      <c r="I27" s="32">
        <f>+ROUND(G27*E27,0)</f>
        <v>2195872</v>
      </c>
      <c r="J27" s="1315" t="s">
        <v>370</v>
      </c>
      <c r="K27" s="147">
        <v>0.6</v>
      </c>
      <c r="L27" s="167">
        <f>+ROUND((K27*F27),0)</f>
        <v>626795</v>
      </c>
      <c r="M27" s="168">
        <f>+L27/H27</f>
        <v>0.30000009572510811</v>
      </c>
      <c r="N27" s="303">
        <v>1.4</v>
      </c>
      <c r="O27" s="304">
        <f>+ROUND((N27*$F$27),0)</f>
        <v>1462521</v>
      </c>
      <c r="P27" s="305">
        <f>+O27/$H$27</f>
        <v>0.69999990427489189</v>
      </c>
      <c r="Q27" s="158">
        <v>0</v>
      </c>
      <c r="R27" s="194">
        <f>+ROUND((Q27*$F$27),0)</f>
        <v>0</v>
      </c>
      <c r="S27" s="195">
        <f>+R27/$H$27</f>
        <v>0</v>
      </c>
      <c r="T27" s="432">
        <v>0</v>
      </c>
      <c r="U27" s="425">
        <f t="shared" ref="U27:U29" si="13">+ROUND((T27*$G$14),0)</f>
        <v>0</v>
      </c>
      <c r="V27" s="426">
        <f>+U27/H27</f>
        <v>0</v>
      </c>
      <c r="W27" s="432">
        <v>0</v>
      </c>
      <c r="X27" s="425">
        <f>+ROUND((W27*$G27),0)</f>
        <v>0</v>
      </c>
      <c r="Y27" s="426">
        <f>+X27/I27</f>
        <v>0</v>
      </c>
      <c r="Z27" s="416">
        <f t="shared" si="5"/>
        <v>2</v>
      </c>
      <c r="AA27" s="175">
        <f t="shared" si="0"/>
        <v>2089316</v>
      </c>
      <c r="AB27" s="176">
        <f>AA27/H27</f>
        <v>1</v>
      </c>
    </row>
    <row r="28" spans="1:28" ht="28.8" x14ac:dyDescent="0.3">
      <c r="A28" s="1314"/>
      <c r="B28" s="1314"/>
      <c r="C28" s="250" t="s">
        <v>83</v>
      </c>
      <c r="D28" s="250" t="s">
        <v>367</v>
      </c>
      <c r="E28" s="250">
        <v>2</v>
      </c>
      <c r="F28" s="192">
        <v>2193782</v>
      </c>
      <c r="G28" s="32">
        <f t="shared" si="12"/>
        <v>2305665</v>
      </c>
      <c r="H28" s="192">
        <f>ROUND((E28*F28),0)</f>
        <v>4387564</v>
      </c>
      <c r="I28" s="32">
        <f>+ROUND(G28*E28,0)</f>
        <v>4611330</v>
      </c>
      <c r="J28" s="1314"/>
      <c r="K28" s="147">
        <v>0.6</v>
      </c>
      <c r="L28" s="167">
        <f>+ROUND((K28*F28),0)</f>
        <v>1316269</v>
      </c>
      <c r="M28" s="168">
        <f>+L28/H28</f>
        <v>0.29999995441661936</v>
      </c>
      <c r="N28" s="303">
        <v>1.4</v>
      </c>
      <c r="O28" s="304">
        <f>+ROUND((N28*$F$28),0)</f>
        <v>3071295</v>
      </c>
      <c r="P28" s="305">
        <f>+O28/$H$28</f>
        <v>0.70000004558338069</v>
      </c>
      <c r="Q28" s="158">
        <v>0</v>
      </c>
      <c r="R28" s="194">
        <f>+ROUND((Q28*$F$28),0)</f>
        <v>0</v>
      </c>
      <c r="S28" s="195">
        <f>+R28/$H$28</f>
        <v>0</v>
      </c>
      <c r="T28" s="432">
        <v>0</v>
      </c>
      <c r="U28" s="425">
        <f t="shared" si="13"/>
        <v>0</v>
      </c>
      <c r="V28" s="426">
        <f>+U28/H28</f>
        <v>0</v>
      </c>
      <c r="W28" s="432">
        <v>0</v>
      </c>
      <c r="X28" s="425">
        <f t="shared" ref="X28:X29" si="14">+ROUND((W28*$G28),0)</f>
        <v>0</v>
      </c>
      <c r="Y28" s="426">
        <f>+X28/I28</f>
        <v>0</v>
      </c>
      <c r="Z28" s="416">
        <f t="shared" si="5"/>
        <v>2</v>
      </c>
      <c r="AA28" s="175">
        <f t="shared" si="0"/>
        <v>4387564</v>
      </c>
      <c r="AB28" s="176">
        <f>AA28/H28</f>
        <v>1</v>
      </c>
    </row>
    <row r="29" spans="1:28" ht="28.8" x14ac:dyDescent="0.3">
      <c r="A29" s="1314"/>
      <c r="B29" s="1314"/>
      <c r="C29" s="250" t="s">
        <v>61</v>
      </c>
      <c r="D29" s="250" t="s">
        <v>368</v>
      </c>
      <c r="E29" s="250">
        <v>0</v>
      </c>
      <c r="F29" s="192">
        <v>2785755</v>
      </c>
      <c r="G29" s="32">
        <f t="shared" si="12"/>
        <v>2927829</v>
      </c>
      <c r="H29" s="192">
        <f>ROUND((E29*F29),0)</f>
        <v>0</v>
      </c>
      <c r="I29" s="32">
        <f>+ROUND(G29*E29,0)</f>
        <v>0</v>
      </c>
      <c r="J29" s="1314"/>
      <c r="K29" s="158">
        <v>0</v>
      </c>
      <c r="L29" s="194">
        <f>ROUND(K29*F29,0)</f>
        <v>0</v>
      </c>
      <c r="M29" s="195">
        <v>0</v>
      </c>
      <c r="N29" s="158">
        <v>0</v>
      </c>
      <c r="O29" s="194">
        <f>+ROUND((N29*$F$29),0)</f>
        <v>0</v>
      </c>
      <c r="P29" s="195">
        <v>0</v>
      </c>
      <c r="Q29" s="158">
        <v>0</v>
      </c>
      <c r="R29" s="194">
        <f>+ROUND((Q29*$F$29),0)</f>
        <v>0</v>
      </c>
      <c r="S29" s="195">
        <v>0</v>
      </c>
      <c r="T29" s="432">
        <v>0</v>
      </c>
      <c r="U29" s="425">
        <f t="shared" si="13"/>
        <v>0</v>
      </c>
      <c r="V29" s="426">
        <v>0</v>
      </c>
      <c r="W29" s="432">
        <v>0</v>
      </c>
      <c r="X29" s="425">
        <f t="shared" si="14"/>
        <v>0</v>
      </c>
      <c r="Y29" s="426">
        <v>0</v>
      </c>
      <c r="Z29" s="416">
        <f t="shared" si="5"/>
        <v>0</v>
      </c>
      <c r="AA29" s="175">
        <f t="shared" si="0"/>
        <v>0</v>
      </c>
      <c r="AB29" s="176">
        <v>0</v>
      </c>
    </row>
    <row r="30" spans="1:28" x14ac:dyDescent="0.3">
      <c r="A30" s="1314"/>
      <c r="B30" s="1314"/>
      <c r="C30" s="196"/>
      <c r="D30" s="196" t="s">
        <v>278</v>
      </c>
      <c r="E30" s="198"/>
      <c r="F30" s="198"/>
      <c r="G30" s="198"/>
      <c r="H30" s="199">
        <f>SUM(H27:H29)</f>
        <v>6476880</v>
      </c>
      <c r="I30" s="199">
        <f>SUM(I27:I29)</f>
        <v>6807202</v>
      </c>
      <c r="J30" s="1314"/>
      <c r="K30" s="150"/>
      <c r="L30" s="177">
        <f>SUM(L27:L29)</f>
        <v>1943064</v>
      </c>
      <c r="M30" s="178">
        <f>+L30/H30</f>
        <v>0.3</v>
      </c>
      <c r="N30" s="150"/>
      <c r="O30" s="177">
        <f>SUM(O27:O29)</f>
        <v>4533816</v>
      </c>
      <c r="P30" s="178">
        <f>+O30/$H$30</f>
        <v>0.7</v>
      </c>
      <c r="Q30" s="306"/>
      <c r="R30" s="307">
        <f>SUM(R27:R29)</f>
        <v>0</v>
      </c>
      <c r="S30" s="308">
        <f>+R30/$H$30</f>
        <v>0</v>
      </c>
      <c r="T30" s="428"/>
      <c r="U30" s="307">
        <f>SUM(U27:U29)</f>
        <v>0</v>
      </c>
      <c r="V30" s="431">
        <f>+U30/$H$30</f>
        <v>0</v>
      </c>
      <c r="W30" s="428"/>
      <c r="X30" s="307">
        <f>SUM(X27:X29)</f>
        <v>0</v>
      </c>
      <c r="Y30" s="431">
        <f>+X30/$I$30</f>
        <v>0</v>
      </c>
      <c r="Z30" s="1082"/>
      <c r="AA30" s="1078">
        <f t="shared" si="0"/>
        <v>6476880</v>
      </c>
      <c r="AB30" s="178">
        <f>AA30/H30</f>
        <v>1</v>
      </c>
    </row>
    <row r="31" spans="1:28" ht="28.8" x14ac:dyDescent="0.3">
      <c r="A31" s="1314" t="s">
        <v>372</v>
      </c>
      <c r="B31" s="1314" t="s">
        <v>211</v>
      </c>
      <c r="C31" s="250" t="s">
        <v>81</v>
      </c>
      <c r="D31" s="250" t="s">
        <v>212</v>
      </c>
      <c r="E31" s="250">
        <v>1</v>
      </c>
      <c r="F31" s="192">
        <v>800905</v>
      </c>
      <c r="G31" s="32">
        <f t="shared" ref="G31:G33" si="15">+ROUND(F31*1.051,0)</f>
        <v>841751</v>
      </c>
      <c r="H31" s="192">
        <f>ROUND((E31*F31),0)</f>
        <v>800905</v>
      </c>
      <c r="I31" s="32">
        <f>+ROUND(G31*E31,0)</f>
        <v>841751</v>
      </c>
      <c r="J31" s="1315" t="s">
        <v>373</v>
      </c>
      <c r="K31" s="147">
        <v>0.3</v>
      </c>
      <c r="L31" s="167">
        <f>+ROUND((K31*F31),0)</f>
        <v>240272</v>
      </c>
      <c r="M31" s="168">
        <f>+L31/H31</f>
        <v>0.30000062429376767</v>
      </c>
      <c r="N31" s="158">
        <v>0</v>
      </c>
      <c r="O31" s="194">
        <f>+ROUND((N31*$F$33),0)</f>
        <v>0</v>
      </c>
      <c r="P31" s="195">
        <v>0</v>
      </c>
      <c r="Q31" s="158">
        <v>0</v>
      </c>
      <c r="R31" s="194">
        <f>+ROUND((Q31*$F$33),0)</f>
        <v>0</v>
      </c>
      <c r="S31" s="195">
        <v>0</v>
      </c>
      <c r="T31" s="432">
        <v>0</v>
      </c>
      <c r="U31" s="425">
        <f t="shared" ref="U31:U33" si="16">+ROUND((T31*$G$14),0)</f>
        <v>0</v>
      </c>
      <c r="V31" s="426">
        <f>+U31/H31</f>
        <v>0</v>
      </c>
      <c r="W31" s="432">
        <v>0</v>
      </c>
      <c r="X31" s="425">
        <f>+ROUND((W31*$G31),0)</f>
        <v>0</v>
      </c>
      <c r="Y31" s="426">
        <f>+X31/I31</f>
        <v>0</v>
      </c>
      <c r="Z31" s="416">
        <f t="shared" si="5"/>
        <v>0.3</v>
      </c>
      <c r="AA31" s="175">
        <f t="shared" si="0"/>
        <v>240272</v>
      </c>
      <c r="AB31" s="176">
        <f>AA31/I31</f>
        <v>0.28544308233670052</v>
      </c>
    </row>
    <row r="32" spans="1:28" ht="28.8" x14ac:dyDescent="0.3">
      <c r="A32" s="1314"/>
      <c r="B32" s="1314"/>
      <c r="C32" s="250" t="s">
        <v>83</v>
      </c>
      <c r="D32" s="250" t="s">
        <v>213</v>
      </c>
      <c r="E32" s="250">
        <v>1</v>
      </c>
      <c r="F32" s="192">
        <v>2646468</v>
      </c>
      <c r="G32" s="32">
        <f t="shared" si="15"/>
        <v>2781438</v>
      </c>
      <c r="H32" s="192">
        <f>ROUND((E32*F32),0)</f>
        <v>2646468</v>
      </c>
      <c r="I32" s="32">
        <f>+ROUND(G32*E32,0)</f>
        <v>2781438</v>
      </c>
      <c r="J32" s="1314"/>
      <c r="K32" s="147">
        <v>0.3</v>
      </c>
      <c r="L32" s="167">
        <f>+ROUND((K32*F32),0)</f>
        <v>793940</v>
      </c>
      <c r="M32" s="168">
        <f>+L32/H32</f>
        <v>0.29999984885515335</v>
      </c>
      <c r="N32" s="158">
        <v>0</v>
      </c>
      <c r="O32" s="194">
        <f>+ROUND((N32*$F$33),0)</f>
        <v>0</v>
      </c>
      <c r="P32" s="195">
        <v>0</v>
      </c>
      <c r="Q32" s="158">
        <v>0</v>
      </c>
      <c r="R32" s="194">
        <f>+ROUND((Q32*$F$33),0)</f>
        <v>0</v>
      </c>
      <c r="S32" s="195">
        <v>0</v>
      </c>
      <c r="T32" s="432">
        <v>0</v>
      </c>
      <c r="U32" s="425">
        <f t="shared" si="16"/>
        <v>0</v>
      </c>
      <c r="V32" s="426">
        <f>+U32/H32</f>
        <v>0</v>
      </c>
      <c r="W32" s="432">
        <v>0</v>
      </c>
      <c r="X32" s="425">
        <f t="shared" ref="X32:X33" si="17">+ROUND((W32*$G32),0)</f>
        <v>0</v>
      </c>
      <c r="Y32" s="426">
        <f>+X32/I32</f>
        <v>0</v>
      </c>
      <c r="Z32" s="416">
        <f t="shared" si="5"/>
        <v>0.3</v>
      </c>
      <c r="AA32" s="175">
        <f t="shared" si="0"/>
        <v>793940</v>
      </c>
      <c r="AB32" s="176">
        <f>AA32/I32</f>
        <v>0.28544227841857339</v>
      </c>
    </row>
    <row r="33" spans="1:28" ht="28.8" x14ac:dyDescent="0.3">
      <c r="A33" s="1314"/>
      <c r="B33" s="1314"/>
      <c r="C33" s="250" t="s">
        <v>61</v>
      </c>
      <c r="D33" s="250" t="s">
        <v>214</v>
      </c>
      <c r="E33" s="250">
        <v>0</v>
      </c>
      <c r="F33" s="192">
        <v>2228604</v>
      </c>
      <c r="G33" s="32">
        <f t="shared" si="15"/>
        <v>2342263</v>
      </c>
      <c r="H33" s="192">
        <f>ROUND((E33*F33),0)</f>
        <v>0</v>
      </c>
      <c r="I33" s="32">
        <f>+ROUND(G33*E33,0)</f>
        <v>0</v>
      </c>
      <c r="J33" s="1314"/>
      <c r="K33" s="158">
        <v>0</v>
      </c>
      <c r="L33" s="194">
        <f>ROUND(K33*F33,0)</f>
        <v>0</v>
      </c>
      <c r="M33" s="195">
        <v>0</v>
      </c>
      <c r="N33" s="158">
        <v>0</v>
      </c>
      <c r="O33" s="194">
        <f>+ROUND((N33*$F$33),0)</f>
        <v>0</v>
      </c>
      <c r="P33" s="195">
        <v>0</v>
      </c>
      <c r="Q33" s="158">
        <v>0</v>
      </c>
      <c r="R33" s="194">
        <f>+ROUND((Q33*$F$33),0)</f>
        <v>0</v>
      </c>
      <c r="S33" s="195">
        <v>0</v>
      </c>
      <c r="T33" s="432">
        <v>0</v>
      </c>
      <c r="U33" s="425">
        <f t="shared" si="16"/>
        <v>0</v>
      </c>
      <c r="V33" s="426">
        <v>0</v>
      </c>
      <c r="W33" s="432">
        <v>0</v>
      </c>
      <c r="X33" s="425">
        <f t="shared" si="17"/>
        <v>0</v>
      </c>
      <c r="Y33" s="426">
        <v>0</v>
      </c>
      <c r="Z33" s="416">
        <f t="shared" si="5"/>
        <v>0</v>
      </c>
      <c r="AA33" s="175">
        <f t="shared" si="0"/>
        <v>0</v>
      </c>
      <c r="AB33" s="176">
        <v>0</v>
      </c>
    </row>
    <row r="34" spans="1:28" x14ac:dyDescent="0.3">
      <c r="A34" s="1314"/>
      <c r="B34" s="1314"/>
      <c r="C34" s="196"/>
      <c r="D34" s="196" t="s">
        <v>215</v>
      </c>
      <c r="E34" s="198"/>
      <c r="F34" s="198"/>
      <c r="G34" s="198"/>
      <c r="H34" s="199">
        <f>SUM(H31:H33)</f>
        <v>3447373</v>
      </c>
      <c r="I34" s="199">
        <f>SUM(I31:I33)</f>
        <v>3623189</v>
      </c>
      <c r="J34" s="1314"/>
      <c r="K34" s="150"/>
      <c r="L34" s="177">
        <f>SUM(L31:L33)</f>
        <v>1034212</v>
      </c>
      <c r="M34" s="178">
        <f>+L34/H34</f>
        <v>0.30000002900759504</v>
      </c>
      <c r="N34" s="150"/>
      <c r="O34" s="177">
        <f>SUM(O31:O33)</f>
        <v>0</v>
      </c>
      <c r="P34" s="178">
        <f>+O34/$H$34</f>
        <v>0</v>
      </c>
      <c r="Q34" s="306"/>
      <c r="R34" s="307">
        <f>SUM(R31:R33)</f>
        <v>0</v>
      </c>
      <c r="S34" s="308">
        <f>+R34/$H$34</f>
        <v>0</v>
      </c>
      <c r="T34" s="428"/>
      <c r="U34" s="307">
        <f>SUM(U31:U33)</f>
        <v>0</v>
      </c>
      <c r="V34" s="431">
        <f>+U34/$H$34</f>
        <v>0</v>
      </c>
      <c r="W34" s="428"/>
      <c r="X34" s="307">
        <f>SUM(X31:X33)</f>
        <v>0</v>
      </c>
      <c r="Y34" s="431">
        <f>+X34/$I$34</f>
        <v>0</v>
      </c>
      <c r="Z34" s="1082"/>
      <c r="AA34" s="1078">
        <f t="shared" si="0"/>
        <v>1034212</v>
      </c>
      <c r="AB34" s="178">
        <f>AA34/H34</f>
        <v>0.30000002900759504</v>
      </c>
    </row>
    <row r="35" spans="1:28" ht="28.8" x14ac:dyDescent="0.3">
      <c r="A35" s="1314" t="s">
        <v>372</v>
      </c>
      <c r="B35" s="1314" t="s">
        <v>364</v>
      </c>
      <c r="C35" s="250" t="s">
        <v>81</v>
      </c>
      <c r="D35" s="250" t="s">
        <v>365</v>
      </c>
      <c r="E35" s="250">
        <v>2</v>
      </c>
      <c r="F35" s="192">
        <v>1044658</v>
      </c>
      <c r="G35" s="32">
        <f t="shared" ref="G35:G37" si="18">+ROUND(F35*1.051,0)</f>
        <v>1097936</v>
      </c>
      <c r="H35" s="192">
        <f>ROUND((E35*F35),0)</f>
        <v>2089316</v>
      </c>
      <c r="I35" s="32">
        <f t="shared" ref="I35:I37" si="19">+ROUND(G35*E35,0)</f>
        <v>2195872</v>
      </c>
      <c r="J35" s="1315" t="s">
        <v>374</v>
      </c>
      <c r="K35" s="147">
        <v>0.6</v>
      </c>
      <c r="L35" s="167">
        <f>+ROUND((K35*F35),0)</f>
        <v>626795</v>
      </c>
      <c r="M35" s="168">
        <f>+L35/H35</f>
        <v>0.30000009572510811</v>
      </c>
      <c r="N35" s="303">
        <v>1.4</v>
      </c>
      <c r="O35" s="304">
        <f>+ROUND((N35*$F$35),0)</f>
        <v>1462521</v>
      </c>
      <c r="P35" s="305">
        <f>+O35/$H$35</f>
        <v>0.69999990427489189</v>
      </c>
      <c r="Q35" s="158">
        <v>0</v>
      </c>
      <c r="R35" s="194">
        <f>+ROUND((Q35*$F$35),0)</f>
        <v>0</v>
      </c>
      <c r="S35" s="195">
        <f>+R35/$H$35</f>
        <v>0</v>
      </c>
      <c r="T35" s="432">
        <v>0</v>
      </c>
      <c r="U35" s="425">
        <f t="shared" ref="U35:U37" si="20">+ROUND((T35*$G$14),0)</f>
        <v>0</v>
      </c>
      <c r="V35" s="426">
        <f>+U35/H35</f>
        <v>0</v>
      </c>
      <c r="W35" s="432">
        <v>0</v>
      </c>
      <c r="X35" s="425">
        <f>+ROUND((W35*$G35),0)</f>
        <v>0</v>
      </c>
      <c r="Y35" s="426">
        <f>+X35/I35</f>
        <v>0</v>
      </c>
      <c r="Z35" s="416">
        <f t="shared" si="5"/>
        <v>2</v>
      </c>
      <c r="AA35" s="175">
        <f t="shared" si="0"/>
        <v>2089316</v>
      </c>
      <c r="AB35" s="176">
        <f>AA35/H35</f>
        <v>1</v>
      </c>
    </row>
    <row r="36" spans="1:28" ht="28.8" x14ac:dyDescent="0.3">
      <c r="A36" s="1314"/>
      <c r="B36" s="1314"/>
      <c r="C36" s="250" t="s">
        <v>83</v>
      </c>
      <c r="D36" s="250" t="s">
        <v>367</v>
      </c>
      <c r="E36" s="250">
        <v>2</v>
      </c>
      <c r="F36" s="192">
        <v>2193782</v>
      </c>
      <c r="G36" s="32">
        <f t="shared" si="18"/>
        <v>2305665</v>
      </c>
      <c r="H36" s="192">
        <f>ROUND((E36*F36),0)</f>
        <v>4387564</v>
      </c>
      <c r="I36" s="32">
        <f t="shared" si="19"/>
        <v>4611330</v>
      </c>
      <c r="J36" s="1314"/>
      <c r="K36" s="147">
        <v>0.6</v>
      </c>
      <c r="L36" s="167">
        <f>+ROUND((K36*F36),0)</f>
        <v>1316269</v>
      </c>
      <c r="M36" s="168">
        <f>+L36/H36</f>
        <v>0.29999995441661936</v>
      </c>
      <c r="N36" s="303">
        <v>1.4</v>
      </c>
      <c r="O36" s="304">
        <f>+ROUND((N36*$F$36),0)</f>
        <v>3071295</v>
      </c>
      <c r="P36" s="305">
        <f>+O36/$H$36</f>
        <v>0.70000004558338069</v>
      </c>
      <c r="Q36" s="158">
        <v>0</v>
      </c>
      <c r="R36" s="194">
        <f>+ROUND((Q36*$F$36),0)</f>
        <v>0</v>
      </c>
      <c r="S36" s="195">
        <f>+R36/$H$36</f>
        <v>0</v>
      </c>
      <c r="T36" s="432">
        <v>0</v>
      </c>
      <c r="U36" s="425">
        <f t="shared" si="20"/>
        <v>0</v>
      </c>
      <c r="V36" s="426">
        <f>+U36/H36</f>
        <v>0</v>
      </c>
      <c r="W36" s="432">
        <v>0</v>
      </c>
      <c r="X36" s="425">
        <f t="shared" ref="X36:X37" si="21">+ROUND((W36*$G36),0)</f>
        <v>0</v>
      </c>
      <c r="Y36" s="426">
        <f>+X36/I36</f>
        <v>0</v>
      </c>
      <c r="Z36" s="416">
        <f t="shared" si="5"/>
        <v>2</v>
      </c>
      <c r="AA36" s="175">
        <f t="shared" si="0"/>
        <v>4387564</v>
      </c>
      <c r="AB36" s="176">
        <f>AA36/H36</f>
        <v>1</v>
      </c>
    </row>
    <row r="37" spans="1:28" ht="28.8" x14ac:dyDescent="0.3">
      <c r="A37" s="1314"/>
      <c r="B37" s="1314"/>
      <c r="C37" s="250" t="s">
        <v>61</v>
      </c>
      <c r="D37" s="250" t="s">
        <v>368</v>
      </c>
      <c r="E37" s="250">
        <v>0</v>
      </c>
      <c r="F37" s="192">
        <v>2785755</v>
      </c>
      <c r="G37" s="32">
        <f t="shared" si="18"/>
        <v>2927829</v>
      </c>
      <c r="H37" s="192">
        <f>ROUND((E37*F37),0)</f>
        <v>0</v>
      </c>
      <c r="I37" s="32">
        <f t="shared" si="19"/>
        <v>0</v>
      </c>
      <c r="J37" s="1314"/>
      <c r="K37" s="158">
        <v>0</v>
      </c>
      <c r="L37" s="194">
        <f>ROUND(K37*F37,0)</f>
        <v>0</v>
      </c>
      <c r="M37" s="195">
        <v>0</v>
      </c>
      <c r="N37" s="158">
        <v>0</v>
      </c>
      <c r="O37" s="194">
        <f>+ROUND((N37*$F$37),0)</f>
        <v>0</v>
      </c>
      <c r="P37" s="195">
        <v>0</v>
      </c>
      <c r="Q37" s="158">
        <v>0</v>
      </c>
      <c r="R37" s="194">
        <f>+ROUND((Q37*$F$37),0)</f>
        <v>0</v>
      </c>
      <c r="S37" s="195">
        <v>0</v>
      </c>
      <c r="T37" s="432">
        <v>0</v>
      </c>
      <c r="U37" s="425">
        <f t="shared" si="20"/>
        <v>0</v>
      </c>
      <c r="V37" s="426">
        <v>0</v>
      </c>
      <c r="W37" s="432">
        <v>0</v>
      </c>
      <c r="X37" s="425">
        <f t="shared" si="21"/>
        <v>0</v>
      </c>
      <c r="Y37" s="426">
        <v>0</v>
      </c>
      <c r="Z37" s="416">
        <f t="shared" si="5"/>
        <v>0</v>
      </c>
      <c r="AA37" s="175">
        <f t="shared" si="0"/>
        <v>0</v>
      </c>
      <c r="AB37" s="176">
        <v>0</v>
      </c>
    </row>
    <row r="38" spans="1:28" x14ac:dyDescent="0.3">
      <c r="A38" s="1314"/>
      <c r="B38" s="1314"/>
      <c r="C38" s="196"/>
      <c r="D38" s="196" t="s">
        <v>278</v>
      </c>
      <c r="E38" s="198"/>
      <c r="F38" s="198"/>
      <c r="G38" s="198"/>
      <c r="H38" s="199">
        <f>SUM(H35:H37)</f>
        <v>6476880</v>
      </c>
      <c r="I38" s="199">
        <f>SUM(I35:I37)</f>
        <v>6807202</v>
      </c>
      <c r="J38" s="1314"/>
      <c r="K38" s="150"/>
      <c r="L38" s="177">
        <f>SUM(L35:L37)</f>
        <v>1943064</v>
      </c>
      <c r="M38" s="178">
        <f>+L38/H38</f>
        <v>0.3</v>
      </c>
      <c r="N38" s="150"/>
      <c r="O38" s="177">
        <f>SUM(O35:O37)</f>
        <v>4533816</v>
      </c>
      <c r="P38" s="178">
        <f>+O38/$H$38</f>
        <v>0.7</v>
      </c>
      <c r="Q38" s="306"/>
      <c r="R38" s="307">
        <f>SUM(R35:R37)</f>
        <v>0</v>
      </c>
      <c r="S38" s="308">
        <f>+R38/$H$38</f>
        <v>0</v>
      </c>
      <c r="T38" s="428"/>
      <c r="U38" s="307">
        <f>SUM(U35:U37)</f>
        <v>0</v>
      </c>
      <c r="V38" s="431">
        <f>+U38/$H$38</f>
        <v>0</v>
      </c>
      <c r="W38" s="428"/>
      <c r="X38" s="307">
        <f>SUM(X35:X37)</f>
        <v>0</v>
      </c>
      <c r="Y38" s="431">
        <f>+X38/$I$38</f>
        <v>0</v>
      </c>
      <c r="Z38" s="1082"/>
      <c r="AA38" s="1078">
        <f t="shared" si="0"/>
        <v>6476880</v>
      </c>
      <c r="AB38" s="178">
        <f>AA38/H38</f>
        <v>1</v>
      </c>
    </row>
    <row r="39" spans="1:28" ht="28.8" x14ac:dyDescent="0.3">
      <c r="A39" s="1314" t="s">
        <v>375</v>
      </c>
      <c r="B39" s="1314" t="s">
        <v>364</v>
      </c>
      <c r="C39" s="250" t="s">
        <v>81</v>
      </c>
      <c r="D39" s="250" t="s">
        <v>365</v>
      </c>
      <c r="E39" s="250">
        <v>2</v>
      </c>
      <c r="F39" s="192">
        <v>1044658</v>
      </c>
      <c r="G39" s="32">
        <f t="shared" ref="G39:G41" si="22">+ROUND(F39*1.051,0)</f>
        <v>1097936</v>
      </c>
      <c r="H39" s="192">
        <f>ROUND((E39*F39),0)</f>
        <v>2089316</v>
      </c>
      <c r="I39" s="32">
        <f t="shared" ref="I39:I41" si="23">+ROUND(G39*E39,0)</f>
        <v>2195872</v>
      </c>
      <c r="J39" s="1315" t="s">
        <v>376</v>
      </c>
      <c r="K39" s="147">
        <v>0.6</v>
      </c>
      <c r="L39" s="167">
        <f>+ROUND((K39*F39),0)</f>
        <v>626795</v>
      </c>
      <c r="M39" s="168">
        <f>+L39/H39</f>
        <v>0.30000009572510811</v>
      </c>
      <c r="N39" s="303">
        <v>1.4</v>
      </c>
      <c r="O39" s="304">
        <f>+ROUND((N39*$F$39),0)</f>
        <v>1462521</v>
      </c>
      <c r="P39" s="305">
        <f>+O39/$H$39</f>
        <v>0.69999990427489189</v>
      </c>
      <c r="Q39" s="158">
        <v>0</v>
      </c>
      <c r="R39" s="194">
        <f>+ROUND((Q39*$F$39),0)</f>
        <v>0</v>
      </c>
      <c r="S39" s="195">
        <f>+R39/$H$39</f>
        <v>0</v>
      </c>
      <c r="T39" s="432">
        <v>0</v>
      </c>
      <c r="U39" s="425">
        <f t="shared" ref="U39:U41" si="24">+ROUND((T39*$G$14),0)</f>
        <v>0</v>
      </c>
      <c r="V39" s="426">
        <f>+U39/H39</f>
        <v>0</v>
      </c>
      <c r="W39" s="432">
        <v>0</v>
      </c>
      <c r="X39" s="425">
        <f>+ROUND((W39*$G39),0)</f>
        <v>0</v>
      </c>
      <c r="Y39" s="426">
        <f>+X39/I39</f>
        <v>0</v>
      </c>
      <c r="Z39" s="416">
        <f t="shared" si="5"/>
        <v>2</v>
      </c>
      <c r="AA39" s="175">
        <f t="shared" si="0"/>
        <v>2089316</v>
      </c>
      <c r="AB39" s="176">
        <f>AA39/H39</f>
        <v>1</v>
      </c>
    </row>
    <row r="40" spans="1:28" ht="28.8" x14ac:dyDescent="0.3">
      <c r="A40" s="1314"/>
      <c r="B40" s="1314"/>
      <c r="C40" s="250" t="s">
        <v>83</v>
      </c>
      <c r="D40" s="250" t="s">
        <v>367</v>
      </c>
      <c r="E40" s="250">
        <v>2</v>
      </c>
      <c r="F40" s="192">
        <v>2193782</v>
      </c>
      <c r="G40" s="32">
        <f t="shared" si="22"/>
        <v>2305665</v>
      </c>
      <c r="H40" s="192">
        <f>ROUND((E40*F40),0)</f>
        <v>4387564</v>
      </c>
      <c r="I40" s="32">
        <f t="shared" si="23"/>
        <v>4611330</v>
      </c>
      <c r="J40" s="1314"/>
      <c r="K40" s="147">
        <v>0.6</v>
      </c>
      <c r="L40" s="167">
        <f>+ROUND((K40*F40),0)</f>
        <v>1316269</v>
      </c>
      <c r="M40" s="168">
        <f>+L40/H40</f>
        <v>0.29999995441661936</v>
      </c>
      <c r="N40" s="303">
        <v>1.4</v>
      </c>
      <c r="O40" s="304">
        <f>+ROUND((N40*$F$40),0)</f>
        <v>3071295</v>
      </c>
      <c r="P40" s="305">
        <f>+O40/$H$40</f>
        <v>0.70000004558338069</v>
      </c>
      <c r="Q40" s="158">
        <v>0</v>
      </c>
      <c r="R40" s="194">
        <f>+ROUND((Q40*$F$40),0)</f>
        <v>0</v>
      </c>
      <c r="S40" s="195">
        <f>+R40/$H$40</f>
        <v>0</v>
      </c>
      <c r="T40" s="432">
        <v>0</v>
      </c>
      <c r="U40" s="425">
        <f t="shared" si="24"/>
        <v>0</v>
      </c>
      <c r="V40" s="426">
        <f>+U40/H40</f>
        <v>0</v>
      </c>
      <c r="W40" s="432">
        <v>0</v>
      </c>
      <c r="X40" s="425">
        <f t="shared" ref="X40:X41" si="25">+ROUND((W40*$G40),0)</f>
        <v>0</v>
      </c>
      <c r="Y40" s="426">
        <f>+X40/I40</f>
        <v>0</v>
      </c>
      <c r="Z40" s="416">
        <f t="shared" si="5"/>
        <v>2</v>
      </c>
      <c r="AA40" s="175">
        <f t="shared" si="0"/>
        <v>4387564</v>
      </c>
      <c r="AB40" s="176">
        <f>AA40/H40</f>
        <v>1</v>
      </c>
    </row>
    <row r="41" spans="1:28" ht="28.8" x14ac:dyDescent="0.3">
      <c r="A41" s="1314"/>
      <c r="B41" s="1314"/>
      <c r="C41" s="250" t="s">
        <v>61</v>
      </c>
      <c r="D41" s="250" t="s">
        <v>368</v>
      </c>
      <c r="E41" s="250">
        <v>0</v>
      </c>
      <c r="F41" s="192">
        <v>2785755</v>
      </c>
      <c r="G41" s="32">
        <f t="shared" si="22"/>
        <v>2927829</v>
      </c>
      <c r="H41" s="192">
        <f>ROUND((E41*F41),0)</f>
        <v>0</v>
      </c>
      <c r="I41" s="32">
        <f t="shared" si="23"/>
        <v>0</v>
      </c>
      <c r="J41" s="1314"/>
      <c r="K41" s="158">
        <v>0</v>
      </c>
      <c r="L41" s="194">
        <f>ROUND(K41*F41,0)</f>
        <v>0</v>
      </c>
      <c r="M41" s="195">
        <v>0</v>
      </c>
      <c r="N41" s="158">
        <v>0</v>
      </c>
      <c r="O41" s="194">
        <f>+ROUND((N41*$F$41),0)</f>
        <v>0</v>
      </c>
      <c r="P41" s="195">
        <v>0</v>
      </c>
      <c r="Q41" s="158">
        <v>0</v>
      </c>
      <c r="R41" s="194">
        <f>+ROUND((Q41*$F$41),0)</f>
        <v>0</v>
      </c>
      <c r="S41" s="195">
        <v>0</v>
      </c>
      <c r="T41" s="432">
        <v>0</v>
      </c>
      <c r="U41" s="425">
        <f t="shared" si="24"/>
        <v>0</v>
      </c>
      <c r="V41" s="426">
        <v>0</v>
      </c>
      <c r="W41" s="432">
        <v>0</v>
      </c>
      <c r="X41" s="425">
        <f t="shared" si="25"/>
        <v>0</v>
      </c>
      <c r="Y41" s="426">
        <v>0</v>
      </c>
      <c r="Z41" s="416">
        <f t="shared" si="5"/>
        <v>0</v>
      </c>
      <c r="AA41" s="175">
        <f t="shared" si="0"/>
        <v>0</v>
      </c>
      <c r="AB41" s="176">
        <v>0</v>
      </c>
    </row>
    <row r="42" spans="1:28" x14ac:dyDescent="0.3">
      <c r="A42" s="1314"/>
      <c r="B42" s="1314"/>
      <c r="C42" s="196"/>
      <c r="D42" s="196" t="s">
        <v>278</v>
      </c>
      <c r="E42" s="198"/>
      <c r="F42" s="198"/>
      <c r="G42" s="198"/>
      <c r="H42" s="199">
        <f>SUM(H39:H41)</f>
        <v>6476880</v>
      </c>
      <c r="I42" s="199">
        <f>SUM(I39:I41)</f>
        <v>6807202</v>
      </c>
      <c r="J42" s="1314"/>
      <c r="K42" s="150"/>
      <c r="L42" s="177">
        <f>SUM(L39:L41)</f>
        <v>1943064</v>
      </c>
      <c r="M42" s="178">
        <f>+L42/H42</f>
        <v>0.3</v>
      </c>
      <c r="N42" s="150"/>
      <c r="O42" s="177">
        <f>SUM(O39:O41)</f>
        <v>4533816</v>
      </c>
      <c r="P42" s="178">
        <f>+O42/$H$42</f>
        <v>0.7</v>
      </c>
      <c r="Q42" s="306"/>
      <c r="R42" s="307">
        <f>SUM(R39:R41)</f>
        <v>0</v>
      </c>
      <c r="S42" s="308">
        <f>+R42/$H$42</f>
        <v>0</v>
      </c>
      <c r="T42" s="428"/>
      <c r="U42" s="307">
        <f>SUM(U39:U41)</f>
        <v>0</v>
      </c>
      <c r="V42" s="431">
        <f>+U42/$H$42</f>
        <v>0</v>
      </c>
      <c r="W42" s="428"/>
      <c r="X42" s="307">
        <f>SUM(X39:X41)</f>
        <v>0</v>
      </c>
      <c r="Y42" s="431">
        <f>+X42/$I$42</f>
        <v>0</v>
      </c>
      <c r="Z42" s="1082"/>
      <c r="AA42" s="1078">
        <f t="shared" si="0"/>
        <v>6476880</v>
      </c>
      <c r="AB42" s="178">
        <f>AA42/H42</f>
        <v>1</v>
      </c>
    </row>
    <row r="43" spans="1:28" ht="28.8" x14ac:dyDescent="0.3">
      <c r="A43" s="1314" t="s">
        <v>377</v>
      </c>
      <c r="B43" s="1314" t="s">
        <v>211</v>
      </c>
      <c r="C43" s="250" t="s">
        <v>81</v>
      </c>
      <c r="D43" s="250" t="s">
        <v>212</v>
      </c>
      <c r="E43" s="250">
        <v>1</v>
      </c>
      <c r="F43" s="192">
        <v>800905</v>
      </c>
      <c r="G43" s="32">
        <f t="shared" ref="G43:G45" si="26">+ROUND(F43*1.051,0)</f>
        <v>841751</v>
      </c>
      <c r="H43" s="192">
        <f>ROUND((E43*F43),0)</f>
        <v>800905</v>
      </c>
      <c r="I43" s="32">
        <f t="shared" ref="I43:I45" si="27">+ROUND(G43*E43,0)</f>
        <v>841751</v>
      </c>
      <c r="J43" s="1314" t="s">
        <v>378</v>
      </c>
      <c r="K43" s="147">
        <v>0.3</v>
      </c>
      <c r="L43" s="167">
        <f>+ROUND((K43*F43),0)</f>
        <v>240272</v>
      </c>
      <c r="M43" s="168">
        <f>+L43/H43</f>
        <v>0.30000062429376767</v>
      </c>
      <c r="N43" s="158">
        <v>0</v>
      </c>
      <c r="O43" s="194">
        <f>+ROUND((N43*$F$43),0)</f>
        <v>0</v>
      </c>
      <c r="P43" s="195">
        <f>+O43/$H$43</f>
        <v>0</v>
      </c>
      <c r="Q43" s="158">
        <v>0</v>
      </c>
      <c r="R43" s="194">
        <f>+ROUND((Q43*$F$43),0)</f>
        <v>0</v>
      </c>
      <c r="S43" s="195">
        <f>+R43/$H$43</f>
        <v>0</v>
      </c>
      <c r="T43" s="432">
        <v>0</v>
      </c>
      <c r="U43" s="425">
        <f t="shared" ref="U43:U45" si="28">+ROUND((T43*$G$14),0)</f>
        <v>0</v>
      </c>
      <c r="V43" s="426">
        <f>+U43/H43</f>
        <v>0</v>
      </c>
      <c r="W43" s="432">
        <v>0</v>
      </c>
      <c r="X43" s="425">
        <f>+ROUND((W43*$G43),0)</f>
        <v>0</v>
      </c>
      <c r="Y43" s="426">
        <f>+X43/I43</f>
        <v>0</v>
      </c>
      <c r="Z43" s="416">
        <f t="shared" si="5"/>
        <v>0.3</v>
      </c>
      <c r="AA43" s="175">
        <f t="shared" si="0"/>
        <v>240272</v>
      </c>
      <c r="AB43" s="176">
        <f>AA43/I43</f>
        <v>0.28544308233670052</v>
      </c>
    </row>
    <row r="44" spans="1:28" ht="28.8" x14ac:dyDescent="0.3">
      <c r="A44" s="1314"/>
      <c r="B44" s="1314"/>
      <c r="C44" s="250" t="s">
        <v>83</v>
      </c>
      <c r="D44" s="250" t="s">
        <v>213</v>
      </c>
      <c r="E44" s="250">
        <v>1</v>
      </c>
      <c r="F44" s="192">
        <v>2646468</v>
      </c>
      <c r="G44" s="32">
        <f t="shared" si="26"/>
        <v>2781438</v>
      </c>
      <c r="H44" s="192">
        <f>ROUND((E44*F44),0)</f>
        <v>2646468</v>
      </c>
      <c r="I44" s="32">
        <f t="shared" si="27"/>
        <v>2781438</v>
      </c>
      <c r="J44" s="1314"/>
      <c r="K44" s="147">
        <v>0.3</v>
      </c>
      <c r="L44" s="167">
        <f>+ROUND((K44*F44),0)</f>
        <v>793940</v>
      </c>
      <c r="M44" s="168">
        <f>+L44/H44</f>
        <v>0.29999984885515335</v>
      </c>
      <c r="N44" s="158">
        <v>0</v>
      </c>
      <c r="O44" s="194">
        <f>+ROUND((N44*$F$44),0)</f>
        <v>0</v>
      </c>
      <c r="P44" s="195">
        <f>+O44/$H$44</f>
        <v>0</v>
      </c>
      <c r="Q44" s="158">
        <v>0</v>
      </c>
      <c r="R44" s="194">
        <f>+ROUND((Q44*$F$44),0)</f>
        <v>0</v>
      </c>
      <c r="S44" s="195">
        <f>+R44/$H$44</f>
        <v>0</v>
      </c>
      <c r="T44" s="432">
        <v>0</v>
      </c>
      <c r="U44" s="425">
        <f t="shared" si="28"/>
        <v>0</v>
      </c>
      <c r="V44" s="426">
        <f>+U44/H44</f>
        <v>0</v>
      </c>
      <c r="W44" s="432">
        <v>0</v>
      </c>
      <c r="X44" s="425">
        <f t="shared" ref="X44:X45" si="29">+ROUND((W44*$G44),0)</f>
        <v>0</v>
      </c>
      <c r="Y44" s="426">
        <f>+X44/I44</f>
        <v>0</v>
      </c>
      <c r="Z44" s="416">
        <f t="shared" si="5"/>
        <v>0.3</v>
      </c>
      <c r="AA44" s="175">
        <f t="shared" si="0"/>
        <v>793940</v>
      </c>
      <c r="AB44" s="176">
        <f>AA44/I44</f>
        <v>0.28544227841857339</v>
      </c>
    </row>
    <row r="45" spans="1:28" ht="28.8" x14ac:dyDescent="0.3">
      <c r="A45" s="1314"/>
      <c r="B45" s="1314"/>
      <c r="C45" s="250" t="s">
        <v>61</v>
      </c>
      <c r="D45" s="250" t="s">
        <v>214</v>
      </c>
      <c r="E45" s="250">
        <v>0</v>
      </c>
      <c r="F45" s="192">
        <v>2228604</v>
      </c>
      <c r="G45" s="32">
        <f t="shared" si="26"/>
        <v>2342263</v>
      </c>
      <c r="H45" s="192">
        <f>ROUND((E45*F45),0)</f>
        <v>0</v>
      </c>
      <c r="I45" s="32">
        <f t="shared" si="27"/>
        <v>0</v>
      </c>
      <c r="J45" s="1314"/>
      <c r="K45" s="158">
        <v>0</v>
      </c>
      <c r="L45" s="194">
        <f>ROUND(K45*F45,0)</f>
        <v>0</v>
      </c>
      <c r="M45" s="195">
        <v>0</v>
      </c>
      <c r="N45" s="158">
        <v>0</v>
      </c>
      <c r="O45" s="194">
        <f>+ROUND((N45*$F$45),0)</f>
        <v>0</v>
      </c>
      <c r="P45" s="195">
        <v>0</v>
      </c>
      <c r="Q45" s="158">
        <v>0</v>
      </c>
      <c r="R45" s="194">
        <f>+ROUND((Q45*$F$45),0)</f>
        <v>0</v>
      </c>
      <c r="S45" s="195">
        <v>0</v>
      </c>
      <c r="T45" s="432">
        <v>0</v>
      </c>
      <c r="U45" s="425">
        <f t="shared" si="28"/>
        <v>0</v>
      </c>
      <c r="V45" s="426">
        <v>0</v>
      </c>
      <c r="W45" s="432">
        <v>0</v>
      </c>
      <c r="X45" s="425">
        <f t="shared" si="29"/>
        <v>0</v>
      </c>
      <c r="Y45" s="426">
        <v>0</v>
      </c>
      <c r="Z45" s="416">
        <f t="shared" si="5"/>
        <v>0</v>
      </c>
      <c r="AA45" s="175">
        <f t="shared" si="0"/>
        <v>0</v>
      </c>
      <c r="AB45" s="176">
        <v>0</v>
      </c>
    </row>
    <row r="46" spans="1:28" x14ac:dyDescent="0.3">
      <c r="A46" s="1314"/>
      <c r="B46" s="1314"/>
      <c r="C46" s="196"/>
      <c r="D46" s="196" t="s">
        <v>215</v>
      </c>
      <c r="E46" s="198"/>
      <c r="F46" s="198"/>
      <c r="G46" s="198"/>
      <c r="H46" s="199">
        <f>SUM(H43:H45)</f>
        <v>3447373</v>
      </c>
      <c r="I46" s="199">
        <f>SUM(I43:I45)</f>
        <v>3623189</v>
      </c>
      <c r="J46" s="1314"/>
      <c r="K46" s="150"/>
      <c r="L46" s="177">
        <f>SUM(L43:L45)</f>
        <v>1034212</v>
      </c>
      <c r="M46" s="178">
        <f>+L46/H46</f>
        <v>0.30000002900759504</v>
      </c>
      <c r="N46" s="150"/>
      <c r="O46" s="177">
        <f>SUM(O43:O45)</f>
        <v>0</v>
      </c>
      <c r="P46" s="178">
        <f>+O46/$H$46</f>
        <v>0</v>
      </c>
      <c r="Q46" s="306"/>
      <c r="R46" s="307">
        <f>SUM(R43:R45)</f>
        <v>0</v>
      </c>
      <c r="S46" s="308">
        <f>+R46/$H$46</f>
        <v>0</v>
      </c>
      <c r="T46" s="428"/>
      <c r="U46" s="307">
        <f>SUM(U43:U45)</f>
        <v>0</v>
      </c>
      <c r="V46" s="431">
        <f>+U46/$H$46</f>
        <v>0</v>
      </c>
      <c r="W46" s="428"/>
      <c r="X46" s="307">
        <f>SUM(X43:X45)</f>
        <v>0</v>
      </c>
      <c r="Y46" s="431">
        <f>+X46/$I$46</f>
        <v>0</v>
      </c>
      <c r="Z46" s="1082"/>
      <c r="AA46" s="1078">
        <f t="shared" si="0"/>
        <v>1034212</v>
      </c>
      <c r="AB46" s="178">
        <f>AA46/H46</f>
        <v>0.30000002900759504</v>
      </c>
    </row>
    <row r="47" spans="1:28" ht="28.8" x14ac:dyDescent="0.3">
      <c r="A47" s="1314" t="s">
        <v>377</v>
      </c>
      <c r="B47" s="1314" t="s">
        <v>364</v>
      </c>
      <c r="C47" s="250" t="s">
        <v>81</v>
      </c>
      <c r="D47" s="250" t="s">
        <v>365</v>
      </c>
      <c r="E47" s="250">
        <v>2</v>
      </c>
      <c r="F47" s="192">
        <v>1044658</v>
      </c>
      <c r="G47" s="32">
        <f t="shared" ref="G47:G49" si="30">+ROUND(F47*1.051,0)</f>
        <v>1097936</v>
      </c>
      <c r="H47" s="192">
        <f>ROUND((E47*F47),0)</f>
        <v>2089316</v>
      </c>
      <c r="I47" s="32">
        <f t="shared" ref="I47:I49" si="31">+ROUND(G47*E47,0)</f>
        <v>2195872</v>
      </c>
      <c r="J47" s="1314" t="s">
        <v>379</v>
      </c>
      <c r="K47" s="147">
        <v>0.6</v>
      </c>
      <c r="L47" s="167">
        <f>+ROUND((K47*F47),0)</f>
        <v>626795</v>
      </c>
      <c r="M47" s="168">
        <f>+L47/H47</f>
        <v>0.30000009572510811</v>
      </c>
      <c r="N47" s="303">
        <v>1.4</v>
      </c>
      <c r="O47" s="304">
        <f>+ROUND((N47*$F$47),0)</f>
        <v>1462521</v>
      </c>
      <c r="P47" s="305">
        <f>+O47/$H$47</f>
        <v>0.69999990427489189</v>
      </c>
      <c r="Q47" s="158">
        <v>0</v>
      </c>
      <c r="R47" s="194">
        <f>+ROUND((Q47*$F$47),0)</f>
        <v>0</v>
      </c>
      <c r="S47" s="195">
        <f>+R47/$H$47</f>
        <v>0</v>
      </c>
      <c r="T47" s="432">
        <v>0</v>
      </c>
      <c r="U47" s="425">
        <f t="shared" ref="U47:U49" si="32">+ROUND((T47*$G$14),0)</f>
        <v>0</v>
      </c>
      <c r="V47" s="426">
        <f>+U47/H47</f>
        <v>0</v>
      </c>
      <c r="W47" s="432">
        <v>0</v>
      </c>
      <c r="X47" s="425">
        <f>+ROUND((W47*$G47),0)</f>
        <v>0</v>
      </c>
      <c r="Y47" s="426">
        <f>+X47/I47</f>
        <v>0</v>
      </c>
      <c r="Z47" s="416">
        <f t="shared" si="5"/>
        <v>2</v>
      </c>
      <c r="AA47" s="175">
        <f t="shared" si="0"/>
        <v>2089316</v>
      </c>
      <c r="AB47" s="176">
        <f>AA47/H47</f>
        <v>1</v>
      </c>
    </row>
    <row r="48" spans="1:28" ht="28.8" x14ac:dyDescent="0.3">
      <c r="A48" s="1314"/>
      <c r="B48" s="1314"/>
      <c r="C48" s="250" t="s">
        <v>83</v>
      </c>
      <c r="D48" s="250" t="s">
        <v>367</v>
      </c>
      <c r="E48" s="250">
        <v>2</v>
      </c>
      <c r="F48" s="192">
        <v>2193782</v>
      </c>
      <c r="G48" s="32">
        <f t="shared" si="30"/>
        <v>2305665</v>
      </c>
      <c r="H48" s="192">
        <f>ROUND((E48*F48),0)</f>
        <v>4387564</v>
      </c>
      <c r="I48" s="32">
        <f t="shared" si="31"/>
        <v>4611330</v>
      </c>
      <c r="J48" s="1314"/>
      <c r="K48" s="147">
        <v>0.6</v>
      </c>
      <c r="L48" s="167">
        <f>+ROUND((K48*F48),0)</f>
        <v>1316269</v>
      </c>
      <c r="M48" s="168">
        <f>+L48/H48</f>
        <v>0.29999995441661936</v>
      </c>
      <c r="N48" s="303">
        <v>1.4</v>
      </c>
      <c r="O48" s="304">
        <f>+ROUND((N48*$F$48),0)</f>
        <v>3071295</v>
      </c>
      <c r="P48" s="305">
        <f>+O48/$H$48</f>
        <v>0.70000004558338069</v>
      </c>
      <c r="Q48" s="158">
        <v>0</v>
      </c>
      <c r="R48" s="194">
        <f>+ROUND((Q48*$F$48),0)</f>
        <v>0</v>
      </c>
      <c r="S48" s="195">
        <f>+R48/$H$48</f>
        <v>0</v>
      </c>
      <c r="T48" s="432">
        <v>0</v>
      </c>
      <c r="U48" s="425">
        <f t="shared" si="32"/>
        <v>0</v>
      </c>
      <c r="V48" s="426">
        <f>+U48/H48</f>
        <v>0</v>
      </c>
      <c r="W48" s="432">
        <v>0</v>
      </c>
      <c r="X48" s="425">
        <f t="shared" ref="X48:X49" si="33">+ROUND((W48*$G48),0)</f>
        <v>0</v>
      </c>
      <c r="Y48" s="426">
        <f>+X48/I48</f>
        <v>0</v>
      </c>
      <c r="Z48" s="416">
        <f t="shared" si="5"/>
        <v>2</v>
      </c>
      <c r="AA48" s="175">
        <f t="shared" si="0"/>
        <v>4387564</v>
      </c>
      <c r="AB48" s="176">
        <f>AA48/H48</f>
        <v>1</v>
      </c>
    </row>
    <row r="49" spans="1:28" ht="28.8" x14ac:dyDescent="0.3">
      <c r="A49" s="1314"/>
      <c r="B49" s="1314"/>
      <c r="C49" s="250" t="s">
        <v>61</v>
      </c>
      <c r="D49" s="250" t="s">
        <v>368</v>
      </c>
      <c r="E49" s="250">
        <v>0</v>
      </c>
      <c r="F49" s="192">
        <v>2785755</v>
      </c>
      <c r="G49" s="32">
        <f t="shared" si="30"/>
        <v>2927829</v>
      </c>
      <c r="H49" s="192">
        <f>ROUND((E49*F49),0)</f>
        <v>0</v>
      </c>
      <c r="I49" s="32">
        <f t="shared" si="31"/>
        <v>0</v>
      </c>
      <c r="J49" s="1314"/>
      <c r="K49" s="158">
        <v>0</v>
      </c>
      <c r="L49" s="194">
        <f>ROUND(K49*F49,0)</f>
        <v>0</v>
      </c>
      <c r="M49" s="195">
        <v>0</v>
      </c>
      <c r="N49" s="158">
        <v>0</v>
      </c>
      <c r="O49" s="194">
        <f>+ROUND((N49*$F$49),0)</f>
        <v>0</v>
      </c>
      <c r="P49" s="195">
        <v>0</v>
      </c>
      <c r="Q49" s="158">
        <v>0</v>
      </c>
      <c r="R49" s="194">
        <f>+ROUND((Q49*$F$49),0)</f>
        <v>0</v>
      </c>
      <c r="S49" s="195">
        <v>0</v>
      </c>
      <c r="T49" s="432">
        <v>0</v>
      </c>
      <c r="U49" s="425">
        <f t="shared" si="32"/>
        <v>0</v>
      </c>
      <c r="V49" s="426">
        <v>0</v>
      </c>
      <c r="W49" s="432">
        <v>0</v>
      </c>
      <c r="X49" s="425">
        <f t="shared" si="33"/>
        <v>0</v>
      </c>
      <c r="Y49" s="426">
        <v>0</v>
      </c>
      <c r="Z49" s="416">
        <f t="shared" si="5"/>
        <v>0</v>
      </c>
      <c r="AA49" s="175">
        <f t="shared" si="0"/>
        <v>0</v>
      </c>
      <c r="AB49" s="176">
        <v>0</v>
      </c>
    </row>
    <row r="50" spans="1:28" x14ac:dyDescent="0.3">
      <c r="A50" s="1314"/>
      <c r="B50" s="1314"/>
      <c r="C50" s="196"/>
      <c r="D50" s="196" t="s">
        <v>278</v>
      </c>
      <c r="E50" s="198"/>
      <c r="F50" s="198"/>
      <c r="G50" s="198"/>
      <c r="H50" s="199">
        <f>SUM(H47:H49)</f>
        <v>6476880</v>
      </c>
      <c r="I50" s="199">
        <f>SUM(I47:I49)</f>
        <v>6807202</v>
      </c>
      <c r="J50" s="1314"/>
      <c r="K50" s="150"/>
      <c r="L50" s="177">
        <f>SUM(L47:L49)</f>
        <v>1943064</v>
      </c>
      <c r="M50" s="178">
        <f>+L50/H50</f>
        <v>0.3</v>
      </c>
      <c r="N50" s="150"/>
      <c r="O50" s="177">
        <f>SUM(O47:O49)</f>
        <v>4533816</v>
      </c>
      <c r="P50" s="178">
        <f>+O50/$H$50</f>
        <v>0.7</v>
      </c>
      <c r="Q50" s="306"/>
      <c r="R50" s="307">
        <f>SUM(R47:R49)</f>
        <v>0</v>
      </c>
      <c r="S50" s="308">
        <f>+R50/$H$50</f>
        <v>0</v>
      </c>
      <c r="T50" s="428"/>
      <c r="U50" s="307">
        <f>SUM(U47:U49)</f>
        <v>0</v>
      </c>
      <c r="V50" s="431">
        <f>+U50/$H$50</f>
        <v>0</v>
      </c>
      <c r="W50" s="428"/>
      <c r="X50" s="307">
        <f>SUM(X47:X49)</f>
        <v>0</v>
      </c>
      <c r="Y50" s="431">
        <f>+X50/$I$50</f>
        <v>0</v>
      </c>
      <c r="Z50" s="1082"/>
      <c r="AA50" s="1078">
        <f t="shared" si="0"/>
        <v>6476880</v>
      </c>
      <c r="AB50" s="178">
        <f>AA50/H50</f>
        <v>1</v>
      </c>
    </row>
    <row r="51" spans="1:28" ht="87.75" customHeight="1" x14ac:dyDescent="0.3">
      <c r="A51" s="1314" t="s">
        <v>156</v>
      </c>
      <c r="B51" s="1314" t="s">
        <v>194</v>
      </c>
      <c r="C51" s="250" t="s">
        <v>160</v>
      </c>
      <c r="D51" s="250" t="s">
        <v>161</v>
      </c>
      <c r="E51" s="250">
        <v>64</v>
      </c>
      <c r="F51" s="192">
        <v>69644</v>
      </c>
      <c r="G51" s="32">
        <f>+ROUND(F51*1.051,0)</f>
        <v>73196</v>
      </c>
      <c r="H51" s="192">
        <f>ROUND((E51*F51),0)</f>
        <v>4457216</v>
      </c>
      <c r="I51" s="32">
        <f>+ROUND(G51*E51,0)</f>
        <v>4684544</v>
      </c>
      <c r="J51" s="1315" t="s">
        <v>380</v>
      </c>
      <c r="K51" s="158">
        <v>0</v>
      </c>
      <c r="L51" s="194">
        <f>ROUND(K51*F51,0)</f>
        <v>0</v>
      </c>
      <c r="M51" s="195">
        <f>L51/H51</f>
        <v>0</v>
      </c>
      <c r="N51" s="158">
        <v>0</v>
      </c>
      <c r="O51" s="194">
        <f>+ROUND((N51*$F$51),0)</f>
        <v>0</v>
      </c>
      <c r="P51" s="195">
        <f>+O51/$H$51</f>
        <v>0</v>
      </c>
      <c r="Q51" s="433">
        <f>E51*0.3*0.7</f>
        <v>13.44</v>
      </c>
      <c r="R51" s="429">
        <f>+ROUND((Q51*$F$51),0)</f>
        <v>936015</v>
      </c>
      <c r="S51" s="430">
        <f>+R51/$H$51</f>
        <v>0.20999991923209466</v>
      </c>
      <c r="T51" s="415">
        <f>E51*0.3*0.3</f>
        <v>5.76</v>
      </c>
      <c r="U51" s="429">
        <f>+ROUND((T51*G51),0)</f>
        <v>421609</v>
      </c>
      <c r="V51" s="430">
        <f>+U51/I51</f>
        <v>9.0000008538717965E-2</v>
      </c>
      <c r="W51" s="1083">
        <v>0</v>
      </c>
      <c r="X51" s="425">
        <f>+ROUND((W51*G51),0)</f>
        <v>0</v>
      </c>
      <c r="Y51" s="426">
        <f>+X51/I51</f>
        <v>0</v>
      </c>
      <c r="Z51" s="416">
        <f t="shared" si="5"/>
        <v>19.2</v>
      </c>
      <c r="AA51" s="175">
        <f t="shared" si="0"/>
        <v>1357624</v>
      </c>
      <c r="AB51" s="176">
        <f>AA51/I51</f>
        <v>0.28980921088584077</v>
      </c>
    </row>
    <row r="52" spans="1:28" x14ac:dyDescent="0.3">
      <c r="A52" s="1314"/>
      <c r="B52" s="1314"/>
      <c r="C52" s="196"/>
      <c r="D52" s="196" t="s">
        <v>162</v>
      </c>
      <c r="E52" s="198"/>
      <c r="F52" s="198"/>
      <c r="G52" s="198"/>
      <c r="H52" s="199">
        <f>H51</f>
        <v>4457216</v>
      </c>
      <c r="I52" s="199">
        <f>SUM(I51)</f>
        <v>4684544</v>
      </c>
      <c r="J52" s="1314"/>
      <c r="K52" s="150"/>
      <c r="L52" s="177">
        <f>SUM(L51)</f>
        <v>0</v>
      </c>
      <c r="M52" s="178">
        <f>+L52/H52</f>
        <v>0</v>
      </c>
      <c r="N52" s="150"/>
      <c r="O52" s="177">
        <f>SUM(O51)</f>
        <v>0</v>
      </c>
      <c r="P52" s="178">
        <f>+O52/$H$52</f>
        <v>0</v>
      </c>
      <c r="Q52" s="306"/>
      <c r="R52" s="307">
        <f>SUM(R51)</f>
        <v>936015</v>
      </c>
      <c r="S52" s="308">
        <f>+R52/$H$52</f>
        <v>0.20999991923209466</v>
      </c>
      <c r="T52" s="428"/>
      <c r="U52" s="307">
        <f>SUM(U51)</f>
        <v>421609</v>
      </c>
      <c r="V52" s="431">
        <f>+U52/$H$52</f>
        <v>9.4590210570903457E-2</v>
      </c>
      <c r="W52" s="428"/>
      <c r="X52" s="307">
        <f>SUM(X51)</f>
        <v>0</v>
      </c>
      <c r="Y52" s="431">
        <f>+X52/$I$52</f>
        <v>0</v>
      </c>
      <c r="Z52" s="1082"/>
      <c r="AA52" s="1078">
        <f t="shared" si="0"/>
        <v>1357624</v>
      </c>
      <c r="AB52" s="178">
        <f>AA52/I52</f>
        <v>0.28980921088584077</v>
      </c>
    </row>
    <row r="53" spans="1:28" ht="28.8" x14ac:dyDescent="0.3">
      <c r="A53" s="1314" t="s">
        <v>200</v>
      </c>
      <c r="B53" s="1314" t="s">
        <v>211</v>
      </c>
      <c r="C53" s="250" t="s">
        <v>81</v>
      </c>
      <c r="D53" s="250" t="s">
        <v>212</v>
      </c>
      <c r="E53" s="250">
        <v>1</v>
      </c>
      <c r="F53" s="192">
        <v>800905</v>
      </c>
      <c r="G53" s="32">
        <f t="shared" ref="G53:G55" si="34">+ROUND(F53*1.051,0)</f>
        <v>841751</v>
      </c>
      <c r="H53" s="192">
        <f>ROUND((E53*F53),0)</f>
        <v>800905</v>
      </c>
      <c r="I53" s="32">
        <f t="shared" ref="I53:I55" si="35">+ROUND(G53*E53,0)</f>
        <v>841751</v>
      </c>
      <c r="J53" s="1315" t="s">
        <v>381</v>
      </c>
      <c r="K53" s="147">
        <v>0.3</v>
      </c>
      <c r="L53" s="167">
        <f>+ROUND((K53*F53),0)</f>
        <v>240272</v>
      </c>
      <c r="M53" s="168">
        <f>+L53/H53</f>
        <v>0.30000062429376767</v>
      </c>
      <c r="N53" s="158">
        <v>0</v>
      </c>
      <c r="O53" s="194">
        <f>+ROUND((N53*$F$53),0)</f>
        <v>0</v>
      </c>
      <c r="P53" s="195">
        <f>+O53/$H$53</f>
        <v>0</v>
      </c>
      <c r="Q53" s="158">
        <v>0</v>
      </c>
      <c r="R53" s="194">
        <f>+ROUND((Q53*$F$53),0)</f>
        <v>0</v>
      </c>
      <c r="S53" s="195">
        <f>+R53/$H$53</f>
        <v>0</v>
      </c>
      <c r="T53" s="432">
        <v>0</v>
      </c>
      <c r="U53" s="425">
        <f t="shared" ref="U53:U71" si="36">+ROUND((T53*$G$14),0)</f>
        <v>0</v>
      </c>
      <c r="V53" s="426">
        <f>+U53/H53</f>
        <v>0</v>
      </c>
      <c r="W53" s="432">
        <v>0</v>
      </c>
      <c r="X53" s="425">
        <f>+ROUND((W53*$G53),0)</f>
        <v>0</v>
      </c>
      <c r="Y53" s="426">
        <f>+X53/I53</f>
        <v>0</v>
      </c>
      <c r="Z53" s="416">
        <f t="shared" si="5"/>
        <v>0.3</v>
      </c>
      <c r="AA53" s="175">
        <f t="shared" si="0"/>
        <v>240272</v>
      </c>
      <c r="AB53" s="176">
        <f>AA53/I53</f>
        <v>0.28544308233670052</v>
      </c>
    </row>
    <row r="54" spans="1:28" ht="28.8" x14ac:dyDescent="0.3">
      <c r="A54" s="1314"/>
      <c r="B54" s="1314"/>
      <c r="C54" s="250" t="s">
        <v>83</v>
      </c>
      <c r="D54" s="250" t="s">
        <v>213</v>
      </c>
      <c r="E54" s="250">
        <v>1</v>
      </c>
      <c r="F54" s="192">
        <v>2646468</v>
      </c>
      <c r="G54" s="32">
        <f t="shared" si="34"/>
        <v>2781438</v>
      </c>
      <c r="H54" s="192">
        <f>ROUND((E54*F54),0)</f>
        <v>2646468</v>
      </c>
      <c r="I54" s="32">
        <f t="shared" si="35"/>
        <v>2781438</v>
      </c>
      <c r="J54" s="1314"/>
      <c r="K54" s="147">
        <v>0.3</v>
      </c>
      <c r="L54" s="167">
        <f>+ROUND((K54*F54),0)</f>
        <v>793940</v>
      </c>
      <c r="M54" s="168">
        <f>+L54/H54</f>
        <v>0.29999984885515335</v>
      </c>
      <c r="N54" s="158">
        <v>0</v>
      </c>
      <c r="O54" s="194">
        <f>+ROUND((N54*$F$54),0)</f>
        <v>0</v>
      </c>
      <c r="P54" s="195">
        <f>+O54/$H$54</f>
        <v>0</v>
      </c>
      <c r="Q54" s="158">
        <v>0</v>
      </c>
      <c r="R54" s="194">
        <f>+ROUND((Q54*$F$54),0)</f>
        <v>0</v>
      </c>
      <c r="S54" s="195">
        <f>+R54/$H$54</f>
        <v>0</v>
      </c>
      <c r="T54" s="432">
        <v>0</v>
      </c>
      <c r="U54" s="425">
        <f t="shared" si="36"/>
        <v>0</v>
      </c>
      <c r="V54" s="426">
        <f>+U54/H54</f>
        <v>0</v>
      </c>
      <c r="W54" s="432">
        <v>0</v>
      </c>
      <c r="X54" s="425">
        <f t="shared" ref="X54:X55" si="37">+ROUND((W54*$G54),0)</f>
        <v>0</v>
      </c>
      <c r="Y54" s="426">
        <f>+X54/I54</f>
        <v>0</v>
      </c>
      <c r="Z54" s="416">
        <f t="shared" si="5"/>
        <v>0.3</v>
      </c>
      <c r="AA54" s="175">
        <f t="shared" si="0"/>
        <v>793940</v>
      </c>
      <c r="AB54" s="176">
        <f>AA54/I54</f>
        <v>0.28544227841857339</v>
      </c>
    </row>
    <row r="55" spans="1:28" ht="28.8" x14ac:dyDescent="0.3">
      <c r="A55" s="1314"/>
      <c r="B55" s="1314"/>
      <c r="C55" s="250" t="s">
        <v>61</v>
      </c>
      <c r="D55" s="250" t="s">
        <v>214</v>
      </c>
      <c r="E55" s="250">
        <v>0</v>
      </c>
      <c r="F55" s="192">
        <v>2228604</v>
      </c>
      <c r="G55" s="32">
        <f t="shared" si="34"/>
        <v>2342263</v>
      </c>
      <c r="H55" s="192">
        <f>ROUND((E55*F55),0)</f>
        <v>0</v>
      </c>
      <c r="I55" s="32">
        <f t="shared" si="35"/>
        <v>0</v>
      </c>
      <c r="J55" s="1314"/>
      <c r="K55" s="158">
        <v>0</v>
      </c>
      <c r="L55" s="194">
        <f>ROUND(K55*F55,0)</f>
        <v>0</v>
      </c>
      <c r="M55" s="195">
        <v>0</v>
      </c>
      <c r="N55" s="158">
        <v>0</v>
      </c>
      <c r="O55" s="194">
        <f>+ROUND((N55*$F$55),0)</f>
        <v>0</v>
      </c>
      <c r="P55" s="195">
        <v>0</v>
      </c>
      <c r="Q55" s="158">
        <v>0</v>
      </c>
      <c r="R55" s="194">
        <f>+ROUND((Q55*$F$55),0)</f>
        <v>0</v>
      </c>
      <c r="S55" s="195">
        <v>0</v>
      </c>
      <c r="T55" s="432">
        <v>0</v>
      </c>
      <c r="U55" s="425">
        <f t="shared" si="36"/>
        <v>0</v>
      </c>
      <c r="V55" s="426">
        <v>0</v>
      </c>
      <c r="W55" s="432">
        <v>0</v>
      </c>
      <c r="X55" s="425">
        <f t="shared" si="37"/>
        <v>0</v>
      </c>
      <c r="Y55" s="426">
        <v>0</v>
      </c>
      <c r="Z55" s="416">
        <f t="shared" si="5"/>
        <v>0</v>
      </c>
      <c r="AA55" s="175">
        <f t="shared" si="0"/>
        <v>0</v>
      </c>
      <c r="AB55" s="176">
        <v>0</v>
      </c>
    </row>
    <row r="56" spans="1:28" x14ac:dyDescent="0.3">
      <c r="A56" s="1314"/>
      <c r="B56" s="1314"/>
      <c r="C56" s="196"/>
      <c r="D56" s="196" t="s">
        <v>215</v>
      </c>
      <c r="E56" s="198"/>
      <c r="F56" s="198"/>
      <c r="G56" s="198"/>
      <c r="H56" s="199">
        <f>SUM(H53:H55)</f>
        <v>3447373</v>
      </c>
      <c r="I56" s="199">
        <f>SUM(I53:I55)</f>
        <v>3623189</v>
      </c>
      <c r="J56" s="1314"/>
      <c r="K56" s="150"/>
      <c r="L56" s="177">
        <f>SUM(L53:L55)</f>
        <v>1034212</v>
      </c>
      <c r="M56" s="178">
        <f>+L56/H56</f>
        <v>0.30000002900759504</v>
      </c>
      <c r="N56" s="150"/>
      <c r="O56" s="177">
        <f>SUM(O53:O55)</f>
        <v>0</v>
      </c>
      <c r="P56" s="178">
        <f>+O56/$H$56</f>
        <v>0</v>
      </c>
      <c r="Q56" s="306"/>
      <c r="R56" s="307">
        <f>SUM(R53:R55)</f>
        <v>0</v>
      </c>
      <c r="S56" s="308">
        <f>+R56/$H$56</f>
        <v>0</v>
      </c>
      <c r="T56" s="428"/>
      <c r="U56" s="307">
        <f>SUM(U53:U55)</f>
        <v>0</v>
      </c>
      <c r="V56" s="431">
        <f>+U56/$H$56</f>
        <v>0</v>
      </c>
      <c r="W56" s="428"/>
      <c r="X56" s="307">
        <f>SUM(X53:X55)</f>
        <v>0</v>
      </c>
      <c r="Y56" s="431">
        <f>+X56/$I$56</f>
        <v>0</v>
      </c>
      <c r="Z56" s="1082"/>
      <c r="AA56" s="1078">
        <f t="shared" si="0"/>
        <v>1034212</v>
      </c>
      <c r="AB56" s="178">
        <f>AA56/I56</f>
        <v>0.28544246518743571</v>
      </c>
    </row>
    <row r="57" spans="1:28" ht="28.8" x14ac:dyDescent="0.3">
      <c r="A57" s="1314" t="s">
        <v>200</v>
      </c>
      <c r="B57" s="1314" t="s">
        <v>364</v>
      </c>
      <c r="C57" s="250" t="s">
        <v>81</v>
      </c>
      <c r="D57" s="250" t="s">
        <v>365</v>
      </c>
      <c r="E57" s="250">
        <v>1</v>
      </c>
      <c r="F57" s="192">
        <v>1044658</v>
      </c>
      <c r="G57" s="32">
        <f t="shared" ref="G57:G59" si="38">+ROUND(F57*1.051,0)</f>
        <v>1097936</v>
      </c>
      <c r="H57" s="192">
        <f>ROUND((E57*F57),0)</f>
        <v>1044658</v>
      </c>
      <c r="I57" s="32">
        <f t="shared" ref="I57:I59" si="39">+ROUND(G57*E57,0)</f>
        <v>1097936</v>
      </c>
      <c r="J57" s="1315" t="s">
        <v>382</v>
      </c>
      <c r="K57" s="147">
        <v>0.3</v>
      </c>
      <c r="L57" s="167">
        <f>+ROUND((K57*F57),0)</f>
        <v>313397</v>
      </c>
      <c r="M57" s="168">
        <f>+L57/H57</f>
        <v>0.29999961709956752</v>
      </c>
      <c r="N57" s="303">
        <v>0.7</v>
      </c>
      <c r="O57" s="304">
        <f>+ROUND((N57*$F$57),0)</f>
        <v>731261</v>
      </c>
      <c r="P57" s="305">
        <f>+O57/$H$57</f>
        <v>0.70000038290043254</v>
      </c>
      <c r="Q57" s="158">
        <v>0</v>
      </c>
      <c r="R57" s="194">
        <f>+ROUND((Q57*$F$57),0)</f>
        <v>0</v>
      </c>
      <c r="S57" s="195">
        <f>+R57/$H$57</f>
        <v>0</v>
      </c>
      <c r="T57" s="432">
        <v>0</v>
      </c>
      <c r="U57" s="425">
        <f t="shared" si="36"/>
        <v>0</v>
      </c>
      <c r="V57" s="426">
        <f>+U57/H57</f>
        <v>0</v>
      </c>
      <c r="W57" s="432">
        <v>0</v>
      </c>
      <c r="X57" s="425">
        <f>+ROUND((W57*$G57),0)</f>
        <v>0</v>
      </c>
      <c r="Y57" s="426">
        <f>+X57/I57</f>
        <v>0</v>
      </c>
      <c r="Z57" s="416">
        <f t="shared" si="5"/>
        <v>1</v>
      </c>
      <c r="AA57" s="175">
        <f t="shared" si="0"/>
        <v>1044658</v>
      </c>
      <c r="AB57" s="176">
        <f>AA57/H57</f>
        <v>1</v>
      </c>
    </row>
    <row r="58" spans="1:28" ht="28.8" x14ac:dyDescent="0.3">
      <c r="A58" s="1314"/>
      <c r="B58" s="1314"/>
      <c r="C58" s="250" t="s">
        <v>83</v>
      </c>
      <c r="D58" s="250" t="s">
        <v>367</v>
      </c>
      <c r="E58" s="250">
        <v>1</v>
      </c>
      <c r="F58" s="192">
        <v>2193782</v>
      </c>
      <c r="G58" s="32">
        <f t="shared" si="38"/>
        <v>2305665</v>
      </c>
      <c r="H58" s="192">
        <f>ROUND((E58*F58),0)</f>
        <v>2193782</v>
      </c>
      <c r="I58" s="32">
        <f t="shared" si="39"/>
        <v>2305665</v>
      </c>
      <c r="J58" s="1314"/>
      <c r="K58" s="147">
        <v>0.3</v>
      </c>
      <c r="L58" s="167">
        <f>+ROUND((K58*F58),0)</f>
        <v>658135</v>
      </c>
      <c r="M58" s="168">
        <f>+L58/H58</f>
        <v>0.30000018233352266</v>
      </c>
      <c r="N58" s="158">
        <v>0</v>
      </c>
      <c r="O58" s="194">
        <f>+ROUND((N58*$F$58),0)</f>
        <v>0</v>
      </c>
      <c r="P58" s="195">
        <f>+O58/$H$58</f>
        <v>0</v>
      </c>
      <c r="Q58" s="158">
        <v>0</v>
      </c>
      <c r="R58" s="194">
        <f>+ROUND((Q58*$F$58),0)</f>
        <v>0</v>
      </c>
      <c r="S58" s="195">
        <f>+R58/$H$58</f>
        <v>0</v>
      </c>
      <c r="T58" s="432">
        <v>0</v>
      </c>
      <c r="U58" s="425">
        <f t="shared" si="36"/>
        <v>0</v>
      </c>
      <c r="V58" s="426">
        <f>+U58/H58</f>
        <v>0</v>
      </c>
      <c r="W58" s="432">
        <v>0</v>
      </c>
      <c r="X58" s="425">
        <f t="shared" ref="X58:X59" si="40">+ROUND((W58*$G58),0)</f>
        <v>0</v>
      </c>
      <c r="Y58" s="426">
        <f>+X58/I58</f>
        <v>0</v>
      </c>
      <c r="Z58" s="416">
        <f t="shared" si="5"/>
        <v>0.3</v>
      </c>
      <c r="AA58" s="175">
        <f t="shared" si="0"/>
        <v>658135</v>
      </c>
      <c r="AB58" s="176">
        <f>AA58/H58</f>
        <v>0.30000018233352266</v>
      </c>
    </row>
    <row r="59" spans="1:28" ht="28.8" x14ac:dyDescent="0.3">
      <c r="A59" s="1314"/>
      <c r="B59" s="1314"/>
      <c r="C59" s="250" t="s">
        <v>61</v>
      </c>
      <c r="D59" s="250" t="s">
        <v>368</v>
      </c>
      <c r="E59" s="250">
        <v>0</v>
      </c>
      <c r="F59" s="192">
        <v>2785755</v>
      </c>
      <c r="G59" s="32">
        <f t="shared" si="38"/>
        <v>2927829</v>
      </c>
      <c r="H59" s="192">
        <f>ROUND((E59*F59),0)</f>
        <v>0</v>
      </c>
      <c r="I59" s="32">
        <f t="shared" si="39"/>
        <v>0</v>
      </c>
      <c r="J59" s="1314"/>
      <c r="K59" s="158">
        <v>0</v>
      </c>
      <c r="L59" s="194">
        <f>ROUND(K59*F59,0)</f>
        <v>0</v>
      </c>
      <c r="M59" s="195">
        <v>0</v>
      </c>
      <c r="N59" s="158">
        <v>0</v>
      </c>
      <c r="O59" s="194">
        <f>+ROUND((N59*$F$59),0)</f>
        <v>0</v>
      </c>
      <c r="P59" s="195">
        <v>0</v>
      </c>
      <c r="Q59" s="158">
        <v>0</v>
      </c>
      <c r="R59" s="194">
        <f>+ROUND((Q59*$F$59),0)</f>
        <v>0</v>
      </c>
      <c r="S59" s="195">
        <v>0</v>
      </c>
      <c r="T59" s="432">
        <v>0</v>
      </c>
      <c r="U59" s="425">
        <f t="shared" si="36"/>
        <v>0</v>
      </c>
      <c r="V59" s="426">
        <v>0</v>
      </c>
      <c r="W59" s="432">
        <v>0</v>
      </c>
      <c r="X59" s="425">
        <f t="shared" si="40"/>
        <v>0</v>
      </c>
      <c r="Y59" s="426">
        <v>0</v>
      </c>
      <c r="Z59" s="416">
        <f t="shared" si="5"/>
        <v>0</v>
      </c>
      <c r="AA59" s="175">
        <f t="shared" si="0"/>
        <v>0</v>
      </c>
      <c r="AB59" s="176">
        <v>0</v>
      </c>
    </row>
    <row r="60" spans="1:28" x14ac:dyDescent="0.3">
      <c r="A60" s="1314"/>
      <c r="B60" s="1314"/>
      <c r="C60" s="196"/>
      <c r="D60" s="196" t="s">
        <v>278</v>
      </c>
      <c r="E60" s="198"/>
      <c r="F60" s="198"/>
      <c r="G60" s="198"/>
      <c r="H60" s="199">
        <f>SUM(H57:H59)</f>
        <v>3238440</v>
      </c>
      <c r="I60" s="199">
        <f>SUM(I57:I59)</f>
        <v>3403601</v>
      </c>
      <c r="J60" s="1314"/>
      <c r="K60" s="150"/>
      <c r="L60" s="177">
        <f>SUM(L57:L59)</f>
        <v>971532</v>
      </c>
      <c r="M60" s="178">
        <f>+L60/H60</f>
        <v>0.3</v>
      </c>
      <c r="N60" s="150"/>
      <c r="O60" s="177">
        <f>SUM(O57:O59)</f>
        <v>731261</v>
      </c>
      <c r="P60" s="178">
        <f>+O60/$H$60</f>
        <v>0.22580656118377984</v>
      </c>
      <c r="Q60" s="306"/>
      <c r="R60" s="307">
        <f>SUM(R57:R59)</f>
        <v>0</v>
      </c>
      <c r="S60" s="308">
        <f>+R60/$H$60</f>
        <v>0</v>
      </c>
      <c r="T60" s="428"/>
      <c r="U60" s="307">
        <f>SUM(U57:U59)</f>
        <v>0</v>
      </c>
      <c r="V60" s="431">
        <f>+U60/$H$60</f>
        <v>0</v>
      </c>
      <c r="W60" s="428"/>
      <c r="X60" s="307">
        <f>SUM(X57:X59)</f>
        <v>0</v>
      </c>
      <c r="Y60" s="431">
        <f>+X60/$I$60</f>
        <v>0</v>
      </c>
      <c r="Z60" s="1082"/>
      <c r="AA60" s="1078">
        <f t="shared" si="0"/>
        <v>1702793</v>
      </c>
      <c r="AB60" s="178">
        <f>AA60/H60</f>
        <v>0.52580656118377989</v>
      </c>
    </row>
    <row r="61" spans="1:28" ht="28.8" x14ac:dyDescent="0.3">
      <c r="A61" s="1314" t="s">
        <v>131</v>
      </c>
      <c r="B61" s="1314" t="s">
        <v>211</v>
      </c>
      <c r="C61" s="250" t="s">
        <v>81</v>
      </c>
      <c r="D61" s="250" t="s">
        <v>212</v>
      </c>
      <c r="E61" s="250">
        <v>1</v>
      </c>
      <c r="F61" s="192">
        <v>800905</v>
      </c>
      <c r="G61" s="32">
        <f t="shared" ref="G61:G63" si="41">+ROUND(F61*1.051,0)</f>
        <v>841751</v>
      </c>
      <c r="H61" s="192">
        <f>ROUND((E61*F61),0)</f>
        <v>800905</v>
      </c>
      <c r="I61" s="32">
        <f t="shared" ref="I61:I63" si="42">+ROUND(G61*E61,0)</f>
        <v>841751</v>
      </c>
      <c r="J61" s="1314" t="s">
        <v>383</v>
      </c>
      <c r="K61" s="147">
        <v>0.3</v>
      </c>
      <c r="L61" s="167">
        <f>+ROUND((K61*F61),0)</f>
        <v>240272</v>
      </c>
      <c r="M61" s="168">
        <f>+L61/H61</f>
        <v>0.30000062429376767</v>
      </c>
      <c r="N61" s="158">
        <v>0</v>
      </c>
      <c r="O61" s="194">
        <f>+ROUND((N61*$F$61),0)</f>
        <v>0</v>
      </c>
      <c r="P61" s="195">
        <f>+O61/$H$61</f>
        <v>0</v>
      </c>
      <c r="Q61" s="158">
        <v>0</v>
      </c>
      <c r="R61" s="194">
        <f>+ROUND((Q61*$F$61),0)</f>
        <v>0</v>
      </c>
      <c r="S61" s="195">
        <f>+R61/$H$61</f>
        <v>0</v>
      </c>
      <c r="T61" s="432">
        <v>0</v>
      </c>
      <c r="U61" s="425">
        <f t="shared" si="36"/>
        <v>0</v>
      </c>
      <c r="V61" s="426">
        <f>+U61/H61</f>
        <v>0</v>
      </c>
      <c r="W61" s="432">
        <v>0</v>
      </c>
      <c r="X61" s="425">
        <f>+ROUND((W61*$G61),0)</f>
        <v>0</v>
      </c>
      <c r="Y61" s="426">
        <f>+X61/I61</f>
        <v>0</v>
      </c>
      <c r="Z61" s="416">
        <f t="shared" si="5"/>
        <v>0.3</v>
      </c>
      <c r="AA61" s="175">
        <f t="shared" si="0"/>
        <v>240272</v>
      </c>
      <c r="AB61" s="176">
        <f>AA61/I61</f>
        <v>0.28544308233670052</v>
      </c>
    </row>
    <row r="62" spans="1:28" ht="28.8" x14ac:dyDescent="0.3">
      <c r="A62" s="1314"/>
      <c r="B62" s="1314"/>
      <c r="C62" s="250" t="s">
        <v>83</v>
      </c>
      <c r="D62" s="250" t="s">
        <v>213</v>
      </c>
      <c r="E62" s="250">
        <v>1</v>
      </c>
      <c r="F62" s="192">
        <v>2646468</v>
      </c>
      <c r="G62" s="32">
        <f t="shared" si="41"/>
        <v>2781438</v>
      </c>
      <c r="H62" s="192">
        <f>ROUND((E62*F62),0)</f>
        <v>2646468</v>
      </c>
      <c r="I62" s="32">
        <f t="shared" si="42"/>
        <v>2781438</v>
      </c>
      <c r="J62" s="1314"/>
      <c r="K62" s="147">
        <v>0.3</v>
      </c>
      <c r="L62" s="167">
        <f>+ROUND((K62*F62),0)</f>
        <v>793940</v>
      </c>
      <c r="M62" s="168">
        <f>+L62/H62</f>
        <v>0.29999984885515335</v>
      </c>
      <c r="N62" s="158">
        <v>0</v>
      </c>
      <c r="O62" s="194">
        <f>+ROUND((N62*$F$62),0)</f>
        <v>0</v>
      </c>
      <c r="P62" s="195">
        <f>+O62/$H$62</f>
        <v>0</v>
      </c>
      <c r="Q62" s="158">
        <v>0</v>
      </c>
      <c r="R62" s="194">
        <f>+ROUND((Q62*$F$62),0)</f>
        <v>0</v>
      </c>
      <c r="S62" s="195">
        <f>+R62/$H$62</f>
        <v>0</v>
      </c>
      <c r="T62" s="432">
        <v>0</v>
      </c>
      <c r="U62" s="425">
        <f t="shared" si="36"/>
        <v>0</v>
      </c>
      <c r="V62" s="426">
        <f>+U62/H62</f>
        <v>0</v>
      </c>
      <c r="W62" s="432">
        <v>0</v>
      </c>
      <c r="X62" s="425">
        <f t="shared" ref="X62:X63" si="43">+ROUND((W62*$G62),0)</f>
        <v>0</v>
      </c>
      <c r="Y62" s="426">
        <f>+X62/I62</f>
        <v>0</v>
      </c>
      <c r="Z62" s="416">
        <f t="shared" si="5"/>
        <v>0.3</v>
      </c>
      <c r="AA62" s="175">
        <f t="shared" si="0"/>
        <v>793940</v>
      </c>
      <c r="AB62" s="176">
        <f>AA62/I62</f>
        <v>0.28544227841857339</v>
      </c>
    </row>
    <row r="63" spans="1:28" ht="28.8" x14ac:dyDescent="0.3">
      <c r="A63" s="1314"/>
      <c r="B63" s="1314"/>
      <c r="C63" s="250" t="s">
        <v>61</v>
      </c>
      <c r="D63" s="250" t="s">
        <v>214</v>
      </c>
      <c r="E63" s="250">
        <v>0</v>
      </c>
      <c r="F63" s="192">
        <v>2228604</v>
      </c>
      <c r="G63" s="32">
        <f t="shared" si="41"/>
        <v>2342263</v>
      </c>
      <c r="H63" s="192">
        <f>ROUND((E63*F63),0)</f>
        <v>0</v>
      </c>
      <c r="I63" s="32">
        <f t="shared" si="42"/>
        <v>0</v>
      </c>
      <c r="J63" s="1314"/>
      <c r="K63" s="158">
        <v>0</v>
      </c>
      <c r="L63" s="194">
        <f>ROUND(K63*F63,0)</f>
        <v>0</v>
      </c>
      <c r="M63" s="195">
        <v>0</v>
      </c>
      <c r="N63" s="158">
        <v>0</v>
      </c>
      <c r="O63" s="194">
        <f>+ROUND((N63*$F$63),0)</f>
        <v>0</v>
      </c>
      <c r="P63" s="195">
        <v>0</v>
      </c>
      <c r="Q63" s="158">
        <v>0</v>
      </c>
      <c r="R63" s="194">
        <f>+ROUND((Q63*$F$63),0)</f>
        <v>0</v>
      </c>
      <c r="S63" s="195">
        <v>0</v>
      </c>
      <c r="T63" s="432">
        <v>0</v>
      </c>
      <c r="U63" s="425">
        <f t="shared" si="36"/>
        <v>0</v>
      </c>
      <c r="V63" s="426">
        <v>0</v>
      </c>
      <c r="W63" s="432">
        <v>0</v>
      </c>
      <c r="X63" s="425">
        <f t="shared" si="43"/>
        <v>0</v>
      </c>
      <c r="Y63" s="426">
        <v>0</v>
      </c>
      <c r="Z63" s="416">
        <f t="shared" si="5"/>
        <v>0</v>
      </c>
      <c r="AA63" s="175">
        <f t="shared" si="0"/>
        <v>0</v>
      </c>
      <c r="AB63" s="176">
        <v>0</v>
      </c>
    </row>
    <row r="64" spans="1:28" x14ac:dyDescent="0.3">
      <c r="A64" s="1314"/>
      <c r="B64" s="1314"/>
      <c r="C64" s="196"/>
      <c r="D64" s="196" t="s">
        <v>215</v>
      </c>
      <c r="E64" s="198"/>
      <c r="F64" s="198"/>
      <c r="G64" s="198"/>
      <c r="H64" s="199">
        <f>SUM(H61:H63)</f>
        <v>3447373</v>
      </c>
      <c r="I64" s="199">
        <f>SUM(I61:I63)</f>
        <v>3623189</v>
      </c>
      <c r="J64" s="1314"/>
      <c r="K64" s="150"/>
      <c r="L64" s="177">
        <f>SUM(L61:L63)</f>
        <v>1034212</v>
      </c>
      <c r="M64" s="178">
        <f>+L64/H64</f>
        <v>0.30000002900759504</v>
      </c>
      <c r="N64" s="150"/>
      <c r="O64" s="177">
        <f>SUM(O61:O63)</f>
        <v>0</v>
      </c>
      <c r="P64" s="178">
        <f>+O64/$H$64</f>
        <v>0</v>
      </c>
      <c r="Q64" s="306"/>
      <c r="R64" s="307">
        <f>SUM(R61:R63)</f>
        <v>0</v>
      </c>
      <c r="S64" s="308">
        <f>+R64/$H$64</f>
        <v>0</v>
      </c>
      <c r="T64" s="428"/>
      <c r="U64" s="307">
        <f>SUM(U61:U63)</f>
        <v>0</v>
      </c>
      <c r="V64" s="431">
        <f>+U64/$H$64</f>
        <v>0</v>
      </c>
      <c r="W64" s="428"/>
      <c r="X64" s="307">
        <f>SUM(X61:X63)</f>
        <v>0</v>
      </c>
      <c r="Y64" s="431">
        <f>+X64/$I$64</f>
        <v>0</v>
      </c>
      <c r="Z64" s="1082"/>
      <c r="AA64" s="1078">
        <f t="shared" si="0"/>
        <v>1034212</v>
      </c>
      <c r="AB64" s="178">
        <f>AA64/I64</f>
        <v>0.28544246518743571</v>
      </c>
    </row>
    <row r="65" spans="1:28" ht="28.8" x14ac:dyDescent="0.3">
      <c r="A65" s="1314" t="s">
        <v>131</v>
      </c>
      <c r="B65" s="1314" t="s">
        <v>364</v>
      </c>
      <c r="C65" s="250" t="s">
        <v>81</v>
      </c>
      <c r="D65" s="250" t="s">
        <v>365</v>
      </c>
      <c r="E65" s="250">
        <v>1</v>
      </c>
      <c r="F65" s="192">
        <v>1044658</v>
      </c>
      <c r="G65" s="32">
        <f t="shared" ref="G65:G67" si="44">+ROUND(F65*1.051,0)</f>
        <v>1097936</v>
      </c>
      <c r="H65" s="192">
        <f>ROUND((E65*F65),0)</f>
        <v>1044658</v>
      </c>
      <c r="I65" s="32">
        <f t="shared" ref="I65:I67" si="45">+ROUND(G65*E65,0)</f>
        <v>1097936</v>
      </c>
      <c r="J65" s="1315" t="s">
        <v>384</v>
      </c>
      <c r="K65" s="147">
        <v>0.3</v>
      </c>
      <c r="L65" s="167">
        <f>+ROUND((K65*F65),0)</f>
        <v>313397</v>
      </c>
      <c r="M65" s="168">
        <f>+L65/H65</f>
        <v>0.29999961709956752</v>
      </c>
      <c r="N65" s="303">
        <v>0.7</v>
      </c>
      <c r="O65" s="304">
        <f>+ROUND((N65*$F$65),0)</f>
        <v>731261</v>
      </c>
      <c r="P65" s="305">
        <f>+O65/$H$65</f>
        <v>0.70000038290043254</v>
      </c>
      <c r="Q65" s="158">
        <v>0</v>
      </c>
      <c r="R65" s="194">
        <f>+ROUND((Q65*$F$65),0)</f>
        <v>0</v>
      </c>
      <c r="S65" s="195">
        <f>+R65/$H$65</f>
        <v>0</v>
      </c>
      <c r="T65" s="432">
        <v>0</v>
      </c>
      <c r="U65" s="425">
        <f t="shared" si="36"/>
        <v>0</v>
      </c>
      <c r="V65" s="426">
        <f>+U65/H65</f>
        <v>0</v>
      </c>
      <c r="W65" s="432">
        <v>0</v>
      </c>
      <c r="X65" s="425">
        <f>+ROUND((W65*$G65),0)</f>
        <v>0</v>
      </c>
      <c r="Y65" s="426">
        <f>+X65/I65</f>
        <v>0</v>
      </c>
      <c r="Z65" s="416">
        <f t="shared" si="5"/>
        <v>1</v>
      </c>
      <c r="AA65" s="175">
        <f t="shared" si="0"/>
        <v>1044658</v>
      </c>
      <c r="AB65" s="176">
        <f>AA65/H65</f>
        <v>1</v>
      </c>
    </row>
    <row r="66" spans="1:28" ht="28.8" x14ac:dyDescent="0.3">
      <c r="A66" s="1314"/>
      <c r="B66" s="1314"/>
      <c r="C66" s="250" t="s">
        <v>83</v>
      </c>
      <c r="D66" s="250" t="s">
        <v>367</v>
      </c>
      <c r="E66" s="250">
        <v>1</v>
      </c>
      <c r="F66" s="192">
        <v>2193782</v>
      </c>
      <c r="G66" s="32">
        <f t="shared" si="44"/>
        <v>2305665</v>
      </c>
      <c r="H66" s="192">
        <f>ROUND((E66*F66),0)</f>
        <v>2193782</v>
      </c>
      <c r="I66" s="32">
        <f t="shared" si="45"/>
        <v>2305665</v>
      </c>
      <c r="J66" s="1314"/>
      <c r="K66" s="147">
        <v>0.3</v>
      </c>
      <c r="L66" s="167">
        <f>+ROUND((K66*F66),0)</f>
        <v>658135</v>
      </c>
      <c r="M66" s="168">
        <f>+L66/H66</f>
        <v>0.30000018233352266</v>
      </c>
      <c r="N66" s="158">
        <v>0</v>
      </c>
      <c r="O66" s="194">
        <f>+ROUND((N66*$F$66),0)</f>
        <v>0</v>
      </c>
      <c r="P66" s="195">
        <f>+O66/$H$66</f>
        <v>0</v>
      </c>
      <c r="Q66" s="158">
        <v>0</v>
      </c>
      <c r="R66" s="194">
        <f>+ROUND((Q66*$F$66),0)</f>
        <v>0</v>
      </c>
      <c r="S66" s="195">
        <f>+R66/$H$66</f>
        <v>0</v>
      </c>
      <c r="T66" s="432">
        <v>0</v>
      </c>
      <c r="U66" s="425">
        <f t="shared" si="36"/>
        <v>0</v>
      </c>
      <c r="V66" s="426">
        <f>+U66/H66</f>
        <v>0</v>
      </c>
      <c r="W66" s="432">
        <v>0</v>
      </c>
      <c r="X66" s="425">
        <f t="shared" ref="X66:X67" si="46">+ROUND((W66*$G66),0)</f>
        <v>0</v>
      </c>
      <c r="Y66" s="426">
        <f>+X66/I66</f>
        <v>0</v>
      </c>
      <c r="Z66" s="416">
        <f t="shared" si="5"/>
        <v>0.3</v>
      </c>
      <c r="AA66" s="175">
        <f t="shared" si="0"/>
        <v>658135</v>
      </c>
      <c r="AB66" s="176">
        <f>AA66/I66</f>
        <v>0.28544259465273575</v>
      </c>
    </row>
    <row r="67" spans="1:28" ht="28.8" x14ac:dyDescent="0.3">
      <c r="A67" s="1314"/>
      <c r="B67" s="1314"/>
      <c r="C67" s="250" t="s">
        <v>61</v>
      </c>
      <c r="D67" s="250" t="s">
        <v>368</v>
      </c>
      <c r="E67" s="250">
        <v>0</v>
      </c>
      <c r="F67" s="192">
        <v>2785755</v>
      </c>
      <c r="G67" s="32">
        <f t="shared" si="44"/>
        <v>2927829</v>
      </c>
      <c r="H67" s="192">
        <f>ROUND((E67*F67),0)</f>
        <v>0</v>
      </c>
      <c r="I67" s="32">
        <f t="shared" si="45"/>
        <v>0</v>
      </c>
      <c r="J67" s="1314"/>
      <c r="K67" s="158">
        <v>0</v>
      </c>
      <c r="L67" s="194">
        <f>ROUND(K67*F67,0)</f>
        <v>0</v>
      </c>
      <c r="M67" s="195">
        <v>0</v>
      </c>
      <c r="N67" s="158">
        <v>0</v>
      </c>
      <c r="O67" s="194">
        <f>+ROUND((N67*$F$67),0)</f>
        <v>0</v>
      </c>
      <c r="P67" s="195">
        <v>0</v>
      </c>
      <c r="Q67" s="158">
        <v>0</v>
      </c>
      <c r="R67" s="194">
        <f>+ROUND((Q67*$F$67),0)</f>
        <v>0</v>
      </c>
      <c r="S67" s="195">
        <v>0</v>
      </c>
      <c r="T67" s="432">
        <v>0</v>
      </c>
      <c r="U67" s="425">
        <f t="shared" si="36"/>
        <v>0</v>
      </c>
      <c r="V67" s="426">
        <v>0</v>
      </c>
      <c r="W67" s="432">
        <v>0</v>
      </c>
      <c r="X67" s="425">
        <f t="shared" si="46"/>
        <v>0</v>
      </c>
      <c r="Y67" s="426">
        <v>0</v>
      </c>
      <c r="Z67" s="416">
        <f t="shared" si="5"/>
        <v>0</v>
      </c>
      <c r="AA67" s="175">
        <f t="shared" si="0"/>
        <v>0</v>
      </c>
      <c r="AB67" s="176">
        <v>0</v>
      </c>
    </row>
    <row r="68" spans="1:28" x14ac:dyDescent="0.3">
      <c r="A68" s="1314"/>
      <c r="B68" s="1314"/>
      <c r="C68" s="196"/>
      <c r="D68" s="196" t="s">
        <v>278</v>
      </c>
      <c r="E68" s="198"/>
      <c r="F68" s="198"/>
      <c r="G68" s="198"/>
      <c r="H68" s="199">
        <f>SUM(H65:H67)</f>
        <v>3238440</v>
      </c>
      <c r="I68" s="199">
        <f>SUM(I65:I67)</f>
        <v>3403601</v>
      </c>
      <c r="J68" s="1314"/>
      <c r="K68" s="150"/>
      <c r="L68" s="177">
        <f>SUM(L65:L67)</f>
        <v>971532</v>
      </c>
      <c r="M68" s="178">
        <v>0.3</v>
      </c>
      <c r="N68" s="150"/>
      <c r="O68" s="177">
        <f>SUM(O65:O67)</f>
        <v>731261</v>
      </c>
      <c r="P68" s="178">
        <f>+O68/$H$68</f>
        <v>0.22580656118377984</v>
      </c>
      <c r="Q68" s="306"/>
      <c r="R68" s="307">
        <f>SUM(R65:R67)</f>
        <v>0</v>
      </c>
      <c r="S68" s="308">
        <f>+R68/$H$68</f>
        <v>0</v>
      </c>
      <c r="T68" s="428"/>
      <c r="U68" s="307">
        <f>SUM(U65:U67)</f>
        <v>0</v>
      </c>
      <c r="V68" s="431">
        <f>+U68/$H$68</f>
        <v>0</v>
      </c>
      <c r="W68" s="428"/>
      <c r="X68" s="307">
        <f>SUM(X65:X67)</f>
        <v>0</v>
      </c>
      <c r="Y68" s="431">
        <f>+X68/$I$68</f>
        <v>0</v>
      </c>
      <c r="Z68" s="1082"/>
      <c r="AA68" s="1078">
        <f t="shared" si="0"/>
        <v>1702793</v>
      </c>
      <c r="AB68" s="178">
        <f>AA68/I68</f>
        <v>0.50029160292290431</v>
      </c>
    </row>
    <row r="69" spans="1:28" ht="28.8" x14ac:dyDescent="0.3">
      <c r="A69" s="1314" t="s">
        <v>385</v>
      </c>
      <c r="B69" s="1314" t="s">
        <v>364</v>
      </c>
      <c r="C69" s="250" t="s">
        <v>81</v>
      </c>
      <c r="D69" s="250" t="s">
        <v>365</v>
      </c>
      <c r="E69" s="250">
        <v>2</v>
      </c>
      <c r="F69" s="192">
        <v>1044658</v>
      </c>
      <c r="G69" s="32">
        <f t="shared" ref="G69:G71" si="47">+ROUND(F69*1.051,0)</f>
        <v>1097936</v>
      </c>
      <c r="H69" s="192">
        <f>ROUND((E69*F69),0)</f>
        <v>2089316</v>
      </c>
      <c r="I69" s="32">
        <f t="shared" ref="I69:I71" si="48">+ROUND(G69*E69,0)</f>
        <v>2195872</v>
      </c>
      <c r="J69" s="1315" t="s">
        <v>386</v>
      </c>
      <c r="K69" s="147">
        <v>0.6</v>
      </c>
      <c r="L69" s="167">
        <f>+ROUND((K69*F69),0)</f>
        <v>626795</v>
      </c>
      <c r="M69" s="168">
        <f>+L69/H69</f>
        <v>0.30000009572510811</v>
      </c>
      <c r="N69" s="303">
        <v>1.4</v>
      </c>
      <c r="O69" s="304">
        <f>+ROUND((N69*$F$69),0)</f>
        <v>1462521</v>
      </c>
      <c r="P69" s="305">
        <f>+O69/$H$69</f>
        <v>0.69999990427489189</v>
      </c>
      <c r="Q69" s="158">
        <v>0</v>
      </c>
      <c r="R69" s="194">
        <f>+ROUND((Q69*$F$69),0)</f>
        <v>0</v>
      </c>
      <c r="S69" s="195">
        <f>+R69/$H$69</f>
        <v>0</v>
      </c>
      <c r="T69" s="432">
        <v>0</v>
      </c>
      <c r="U69" s="425">
        <f t="shared" si="36"/>
        <v>0</v>
      </c>
      <c r="V69" s="426">
        <f>+U69/H69</f>
        <v>0</v>
      </c>
      <c r="W69" s="432">
        <v>0</v>
      </c>
      <c r="X69" s="425">
        <f>+ROUND((W69*$G69),0)</f>
        <v>0</v>
      </c>
      <c r="Y69" s="426">
        <f>+X69/I69</f>
        <v>0</v>
      </c>
      <c r="Z69" s="416">
        <f t="shared" si="5"/>
        <v>2</v>
      </c>
      <c r="AA69" s="175">
        <f t="shared" si="0"/>
        <v>2089316</v>
      </c>
      <c r="AB69" s="176">
        <f>AA69/H69</f>
        <v>1</v>
      </c>
    </row>
    <row r="70" spans="1:28" ht="28.8" x14ac:dyDescent="0.3">
      <c r="A70" s="1314"/>
      <c r="B70" s="1314"/>
      <c r="C70" s="250" t="s">
        <v>83</v>
      </c>
      <c r="D70" s="250" t="s">
        <v>367</v>
      </c>
      <c r="E70" s="250">
        <v>2</v>
      </c>
      <c r="F70" s="192">
        <v>2193782</v>
      </c>
      <c r="G70" s="32">
        <f t="shared" si="47"/>
        <v>2305665</v>
      </c>
      <c r="H70" s="192">
        <f>ROUND((E70*F70),0)</f>
        <v>4387564</v>
      </c>
      <c r="I70" s="32">
        <f t="shared" si="48"/>
        <v>4611330</v>
      </c>
      <c r="J70" s="1314"/>
      <c r="K70" s="147">
        <v>0.6</v>
      </c>
      <c r="L70" s="167">
        <f>+ROUND((K70*F70),0)</f>
        <v>1316269</v>
      </c>
      <c r="M70" s="168">
        <f>+L70/H70</f>
        <v>0.29999995441661936</v>
      </c>
      <c r="N70" s="158">
        <v>0</v>
      </c>
      <c r="O70" s="194">
        <f>+ROUND((N70*$F$70),0)</f>
        <v>0</v>
      </c>
      <c r="P70" s="195">
        <f>+O70/$H$70</f>
        <v>0</v>
      </c>
      <c r="Q70" s="158">
        <v>0</v>
      </c>
      <c r="R70" s="194">
        <f>+ROUND((Q70*$F$70),0)</f>
        <v>0</v>
      </c>
      <c r="S70" s="195">
        <f>+R70/$H$70</f>
        <v>0</v>
      </c>
      <c r="T70" s="432">
        <v>0</v>
      </c>
      <c r="U70" s="425">
        <f t="shared" si="36"/>
        <v>0</v>
      </c>
      <c r="V70" s="426">
        <f>+U70/H70</f>
        <v>0</v>
      </c>
      <c r="W70" s="432">
        <v>0</v>
      </c>
      <c r="X70" s="425">
        <f t="shared" ref="X70:X71" si="49">+ROUND((W70*$G70),0)</f>
        <v>0</v>
      </c>
      <c r="Y70" s="426">
        <f>+X70/I70</f>
        <v>0</v>
      </c>
      <c r="Z70" s="416">
        <f t="shared" si="5"/>
        <v>0.6</v>
      </c>
      <c r="AA70" s="175">
        <f t="shared" si="0"/>
        <v>1316269</v>
      </c>
      <c r="AB70" s="176">
        <f>AA70/I70</f>
        <v>0.28544237779556009</v>
      </c>
    </row>
    <row r="71" spans="1:28" ht="28.8" x14ac:dyDescent="0.3">
      <c r="A71" s="1314"/>
      <c r="B71" s="1314"/>
      <c r="C71" s="250" t="s">
        <v>61</v>
      </c>
      <c r="D71" s="250" t="s">
        <v>368</v>
      </c>
      <c r="E71" s="250">
        <v>0</v>
      </c>
      <c r="F71" s="192">
        <v>2785755</v>
      </c>
      <c r="G71" s="32">
        <f t="shared" si="47"/>
        <v>2927829</v>
      </c>
      <c r="H71" s="192">
        <f>ROUND((E71*F71),0)</f>
        <v>0</v>
      </c>
      <c r="I71" s="32">
        <f t="shared" si="48"/>
        <v>0</v>
      </c>
      <c r="J71" s="1314"/>
      <c r="K71" s="158">
        <v>0</v>
      </c>
      <c r="L71" s="194">
        <f>ROUND(K71*F71,0)</f>
        <v>0</v>
      </c>
      <c r="M71" s="195">
        <v>0</v>
      </c>
      <c r="N71" s="158">
        <v>0</v>
      </c>
      <c r="O71" s="194">
        <f>+ROUND((N71*$F$71),0)</f>
        <v>0</v>
      </c>
      <c r="P71" s="195">
        <v>0</v>
      </c>
      <c r="Q71" s="158">
        <v>0</v>
      </c>
      <c r="R71" s="194">
        <f>+ROUND((Q71*$F$71),0)</f>
        <v>0</v>
      </c>
      <c r="S71" s="195">
        <v>0</v>
      </c>
      <c r="T71" s="432">
        <v>0</v>
      </c>
      <c r="U71" s="425">
        <f t="shared" si="36"/>
        <v>0</v>
      </c>
      <c r="V71" s="426">
        <v>0</v>
      </c>
      <c r="W71" s="432">
        <v>0</v>
      </c>
      <c r="X71" s="425">
        <f t="shared" si="49"/>
        <v>0</v>
      </c>
      <c r="Y71" s="426">
        <v>0</v>
      </c>
      <c r="Z71" s="416">
        <f t="shared" si="5"/>
        <v>0</v>
      </c>
      <c r="AA71" s="175">
        <f t="shared" si="0"/>
        <v>0</v>
      </c>
      <c r="AB71" s="176">
        <v>0</v>
      </c>
    </row>
    <row r="72" spans="1:28" x14ac:dyDescent="0.3">
      <c r="A72" s="1314"/>
      <c r="B72" s="1314"/>
      <c r="C72" s="196"/>
      <c r="D72" s="196" t="s">
        <v>278</v>
      </c>
      <c r="E72" s="198"/>
      <c r="F72" s="198"/>
      <c r="G72" s="198"/>
      <c r="H72" s="199">
        <f>SUM(H69:H71)</f>
        <v>6476880</v>
      </c>
      <c r="I72" s="199">
        <f>SUM(I69:I71)</f>
        <v>6807202</v>
      </c>
      <c r="J72" s="1314"/>
      <c r="K72" s="150"/>
      <c r="L72" s="177">
        <f>SUM(L69:L71)</f>
        <v>1943064</v>
      </c>
      <c r="M72" s="178">
        <f>+L72/H72</f>
        <v>0.3</v>
      </c>
      <c r="N72" s="150"/>
      <c r="O72" s="177">
        <f>SUM(O69:O71)</f>
        <v>1462521</v>
      </c>
      <c r="P72" s="178">
        <f>+O72/$H$72</f>
        <v>0.22580640678845371</v>
      </c>
      <c r="Q72" s="306"/>
      <c r="R72" s="307">
        <f>SUM(R69:R71)</f>
        <v>0</v>
      </c>
      <c r="S72" s="308">
        <f>+R72/$H$72</f>
        <v>0</v>
      </c>
      <c r="T72" s="428"/>
      <c r="U72" s="307">
        <f>SUM(U69:U71)</f>
        <v>0</v>
      </c>
      <c r="V72" s="431">
        <f>+U72/$H$72</f>
        <v>0</v>
      </c>
      <c r="W72" s="428"/>
      <c r="X72" s="307">
        <f>SUM(X69:X71)</f>
        <v>0</v>
      </c>
      <c r="Y72" s="431">
        <f>+X72/$I$72</f>
        <v>0</v>
      </c>
      <c r="Z72" s="150"/>
      <c r="AA72" s="1078">
        <f t="shared" si="0"/>
        <v>3405585</v>
      </c>
      <c r="AB72" s="178">
        <f>AA72/I72</f>
        <v>0.50029145601966862</v>
      </c>
    </row>
    <row r="73" spans="1:28" x14ac:dyDescent="0.3">
      <c r="F73" s="151" t="s">
        <v>64</v>
      </c>
      <c r="G73" s="151"/>
      <c r="H73" s="181">
        <f>SUM(H14:H72)/2</f>
        <v>87612005</v>
      </c>
      <c r="I73" s="181">
        <f>SUM(I14:I72)/2</f>
        <v>92080236</v>
      </c>
      <c r="K73" s="152" t="s">
        <v>64</v>
      </c>
      <c r="L73" s="181">
        <f>SUM(L13:L72)/2</f>
        <v>22951140</v>
      </c>
      <c r="M73" s="201">
        <f>L73/H73</f>
        <v>0.26196341471696716</v>
      </c>
      <c r="N73" s="152" t="s">
        <v>64</v>
      </c>
      <c r="O73" s="181">
        <f>SUM(O13:O72)/2</f>
        <v>30127939</v>
      </c>
      <c r="P73" s="201">
        <f>O73/$H$73</f>
        <v>0.34387911793594955</v>
      </c>
      <c r="Q73" s="484" t="s">
        <v>64</v>
      </c>
      <c r="R73" s="481">
        <f>SUM(R13:R72)/2</f>
        <v>936015</v>
      </c>
      <c r="T73" s="484" t="s">
        <v>64</v>
      </c>
      <c r="U73" s="481">
        <f>SUM(U13:U72)/2</f>
        <v>421609</v>
      </c>
      <c r="W73" s="484" t="s">
        <v>64</v>
      </c>
      <c r="X73" s="481">
        <f>SUM(X13:X72)/2</f>
        <v>0</v>
      </c>
      <c r="Z73" s="484" t="s">
        <v>64</v>
      </c>
      <c r="AA73" s="481">
        <f>SUM(AA14:AA72)/2</f>
        <v>54436703</v>
      </c>
    </row>
    <row r="74" spans="1:28" x14ac:dyDescent="0.3">
      <c r="F74" s="153" t="s">
        <v>65</v>
      </c>
      <c r="G74" s="816"/>
      <c r="H74" s="182">
        <v>0</v>
      </c>
      <c r="I74" s="182">
        <v>0</v>
      </c>
      <c r="K74" s="153" t="s">
        <v>65</v>
      </c>
      <c r="L74" s="182">
        <v>0</v>
      </c>
      <c r="M74" s="148"/>
      <c r="N74" s="153" t="s">
        <v>65</v>
      </c>
      <c r="O74" s="182">
        <v>0</v>
      </c>
      <c r="P74" s="148"/>
      <c r="Q74" s="482" t="s">
        <v>65</v>
      </c>
      <c r="R74" s="483">
        <v>0</v>
      </c>
      <c r="S74" s="302"/>
      <c r="T74" s="482" t="s">
        <v>65</v>
      </c>
      <c r="U74" s="483">
        <v>0</v>
      </c>
      <c r="V74" s="795"/>
      <c r="W74" s="482" t="s">
        <v>65</v>
      </c>
      <c r="X74" s="483">
        <v>0</v>
      </c>
      <c r="Y74" s="1054"/>
      <c r="Z74" s="482" t="s">
        <v>65</v>
      </c>
      <c r="AA74" s="483">
        <v>0</v>
      </c>
      <c r="AB74" s="148"/>
    </row>
    <row r="75" spans="1:28" x14ac:dyDescent="0.3">
      <c r="F75" s="152" t="s">
        <v>64</v>
      </c>
      <c r="G75" s="817"/>
      <c r="H75" s="182">
        <f>+H73+H74</f>
        <v>87612005</v>
      </c>
      <c r="I75" s="182">
        <f>+I73+I74</f>
        <v>92080236</v>
      </c>
      <c r="K75" s="152" t="s">
        <v>64</v>
      </c>
      <c r="L75" s="182">
        <f>+L73+L74</f>
        <v>22951140</v>
      </c>
      <c r="M75" s="148"/>
      <c r="N75" s="152" t="s">
        <v>64</v>
      </c>
      <c r="O75" s="182">
        <f>+O73+O74</f>
        <v>30127939</v>
      </c>
      <c r="P75" s="148"/>
      <c r="Q75" s="484" t="s">
        <v>64</v>
      </c>
      <c r="R75" s="483">
        <f>+R73+R74</f>
        <v>936015</v>
      </c>
      <c r="S75" s="302"/>
      <c r="T75" s="484" t="s">
        <v>64</v>
      </c>
      <c r="U75" s="483">
        <f>+U73+U74</f>
        <v>421609</v>
      </c>
      <c r="V75" s="795"/>
      <c r="W75" s="484" t="s">
        <v>64</v>
      </c>
      <c r="X75" s="483">
        <f>+X73+X74</f>
        <v>0</v>
      </c>
      <c r="Y75" s="1054"/>
      <c r="Z75" s="484" t="s">
        <v>64</v>
      </c>
      <c r="AA75" s="483">
        <f>+AA73+AA74</f>
        <v>54436703</v>
      </c>
      <c r="AB75" s="148"/>
    </row>
    <row r="76" spans="1:28" ht="26.4" x14ac:dyDescent="0.3">
      <c r="F76" s="152"/>
      <c r="G76" s="817"/>
      <c r="H76" s="182"/>
      <c r="I76" s="182"/>
      <c r="K76" s="152"/>
      <c r="L76" s="182"/>
      <c r="M76" s="302"/>
      <c r="N76" s="152"/>
      <c r="O76" s="182"/>
      <c r="P76" s="302"/>
      <c r="Q76" s="484" t="s">
        <v>1439</v>
      </c>
      <c r="R76" s="483">
        <f>ROUND(R75*0.015,0)</f>
        <v>14040</v>
      </c>
      <c r="S76" s="302"/>
      <c r="T76" s="484" t="s">
        <v>1439</v>
      </c>
      <c r="U76" s="483">
        <f>ROUND(U75*0.015,0)</f>
        <v>6324</v>
      </c>
      <c r="V76" s="795"/>
      <c r="W76" s="484" t="s">
        <v>1439</v>
      </c>
      <c r="X76" s="483">
        <f>ROUND(X75*0.015,0)</f>
        <v>0</v>
      </c>
      <c r="Y76" s="1054"/>
      <c r="Z76" s="484" t="s">
        <v>1439</v>
      </c>
      <c r="AA76" s="483">
        <f>L76+O76+R76+U76+X76</f>
        <v>20364</v>
      </c>
      <c r="AB76" s="302"/>
    </row>
    <row r="77" spans="1:28" ht="26.4" x14ac:dyDescent="0.3">
      <c r="F77" s="152"/>
      <c r="G77" s="817"/>
      <c r="H77" s="182"/>
      <c r="I77" s="182"/>
      <c r="K77" s="152"/>
      <c r="L77" s="182"/>
      <c r="M77" s="302"/>
      <c r="N77" s="152"/>
      <c r="O77" s="182"/>
      <c r="P77" s="302"/>
      <c r="Q77" s="152" t="s">
        <v>1440</v>
      </c>
      <c r="R77" s="182">
        <f>R75+R76</f>
        <v>950055</v>
      </c>
      <c r="S77" s="570">
        <f>R77/$H$73</f>
        <v>1.0843890628915524E-2</v>
      </c>
      <c r="T77" s="152" t="s">
        <v>1440</v>
      </c>
      <c r="U77" s="182">
        <f>U75+U76</f>
        <v>427933</v>
      </c>
      <c r="V77" s="631">
        <f>U77/$H$73</f>
        <v>4.8844105325520169E-3</v>
      </c>
      <c r="W77" s="152" t="s">
        <v>1440</v>
      </c>
      <c r="X77" s="182">
        <f>X75+X76</f>
        <v>0</v>
      </c>
      <c r="Y77" s="631">
        <f>X77/$H$73</f>
        <v>0</v>
      </c>
      <c r="Z77" s="152" t="s">
        <v>1440</v>
      </c>
      <c r="AA77" s="182">
        <f>AA75+AA76</f>
        <v>54457067</v>
      </c>
      <c r="AB77" s="201">
        <f>AA77/H73</f>
        <v>0.62157083381438427</v>
      </c>
    </row>
    <row r="78" spans="1:28" x14ac:dyDescent="0.3">
      <c r="F78" s="154" t="s">
        <v>66</v>
      </c>
      <c r="G78" s="818"/>
      <c r="H78" s="182">
        <f>+H75*19%</f>
        <v>16646280.950000001</v>
      </c>
      <c r="I78" s="182">
        <f>+I75*19%</f>
        <v>17495244.84</v>
      </c>
      <c r="K78" s="154" t="s">
        <v>66</v>
      </c>
      <c r="L78" s="182">
        <f>+L75*19%</f>
        <v>4360716.5999999996</v>
      </c>
      <c r="M78" s="148"/>
      <c r="N78" s="154" t="s">
        <v>66</v>
      </c>
      <c r="O78" s="182">
        <f>+O75*19%</f>
        <v>5724308.4100000001</v>
      </c>
      <c r="P78" s="148"/>
      <c r="Q78" s="485" t="s">
        <v>66</v>
      </c>
      <c r="R78" s="483">
        <f>ROUND(R77*0.19,0)</f>
        <v>180510</v>
      </c>
      <c r="S78" s="302"/>
      <c r="T78" s="485" t="s">
        <v>66</v>
      </c>
      <c r="U78" s="483">
        <f>ROUND(U77*0.19,0)</f>
        <v>81307</v>
      </c>
      <c r="V78" s="795"/>
      <c r="W78" s="485" t="s">
        <v>66</v>
      </c>
      <c r="X78" s="483">
        <f>ROUND(X77*0.19,0)</f>
        <v>0</v>
      </c>
      <c r="Y78" s="1054"/>
      <c r="Z78" s="485" t="s">
        <v>66</v>
      </c>
      <c r="AA78" s="483">
        <f>ROUND(AA77*0.19,0)</f>
        <v>10346843</v>
      </c>
      <c r="AB78" s="148"/>
    </row>
    <row r="79" spans="1:28" x14ac:dyDescent="0.3">
      <c r="F79" s="155" t="s">
        <v>69</v>
      </c>
      <c r="G79" s="155"/>
      <c r="H79" s="181">
        <f>+H75+H78</f>
        <v>104258285.95</v>
      </c>
      <c r="I79" s="181">
        <f>+I75+I78</f>
        <v>109575480.84</v>
      </c>
      <c r="K79" s="155" t="s">
        <v>69</v>
      </c>
      <c r="L79" s="181">
        <f>+L75+L78</f>
        <v>27311856.600000001</v>
      </c>
      <c r="M79" s="148"/>
      <c r="N79" s="155" t="s">
        <v>69</v>
      </c>
      <c r="O79" s="181">
        <f>+O75+O78</f>
        <v>35852247.409999996</v>
      </c>
      <c r="P79" s="148"/>
      <c r="Q79" s="545" t="s">
        <v>69</v>
      </c>
      <c r="R79" s="481">
        <f>R77+R78</f>
        <v>1130565</v>
      </c>
      <c r="S79" s="302"/>
      <c r="T79" s="545" t="s">
        <v>69</v>
      </c>
      <c r="U79" s="481">
        <f>U77+U78</f>
        <v>509240</v>
      </c>
      <c r="V79" s="795"/>
      <c r="W79" s="545" t="s">
        <v>69</v>
      </c>
      <c r="X79" s="481">
        <f>X77+X78</f>
        <v>0</v>
      </c>
      <c r="Y79" s="1054"/>
      <c r="Z79" s="545" t="s">
        <v>69</v>
      </c>
      <c r="AA79" s="481">
        <f>AA77+AA78</f>
        <v>64803910</v>
      </c>
      <c r="AB79" s="148"/>
    </row>
    <row r="82" spans="1:31" s="148" customFormat="1" x14ac:dyDescent="0.3">
      <c r="A82" s="183" t="s">
        <v>67</v>
      </c>
      <c r="B82" s="184"/>
      <c r="C82" s="184"/>
      <c r="D82" s="185" t="s">
        <v>68</v>
      </c>
      <c r="G82" s="795"/>
      <c r="I82" s="795"/>
      <c r="K82" s="186" t="s">
        <v>70</v>
      </c>
      <c r="L82" s="187" t="s">
        <v>71</v>
      </c>
      <c r="M82" s="186" t="s">
        <v>58</v>
      </c>
      <c r="N82" s="186" t="s">
        <v>70</v>
      </c>
      <c r="O82" s="187" t="s">
        <v>71</v>
      </c>
      <c r="P82" s="186" t="s">
        <v>58</v>
      </c>
      <c r="Q82" s="186" t="s">
        <v>70</v>
      </c>
      <c r="R82" s="187" t="s">
        <v>71</v>
      </c>
      <c r="S82" s="186" t="s">
        <v>58</v>
      </c>
      <c r="T82" s="186" t="s">
        <v>70</v>
      </c>
      <c r="U82" s="187" t="s">
        <v>71</v>
      </c>
      <c r="V82" s="186" t="s">
        <v>58</v>
      </c>
      <c r="W82" s="186" t="s">
        <v>70</v>
      </c>
      <c r="X82" s="187" t="s">
        <v>71</v>
      </c>
      <c r="Y82" s="186" t="s">
        <v>58</v>
      </c>
      <c r="AC82" s="189"/>
      <c r="AD82" s="189"/>
      <c r="AE82" s="189"/>
    </row>
    <row r="83" spans="1:31" s="148" customFormat="1" x14ac:dyDescent="0.3">
      <c r="A83" s="183"/>
      <c r="B83" s="184"/>
      <c r="C83" s="184"/>
      <c r="D83" s="185"/>
      <c r="G83" s="795"/>
      <c r="I83" s="795"/>
      <c r="K83" s="203" t="s">
        <v>72</v>
      </c>
      <c r="L83" s="204">
        <f>L73</f>
        <v>22951140</v>
      </c>
      <c r="M83" s="205">
        <f>M73</f>
        <v>0.26196341471696716</v>
      </c>
      <c r="N83" s="203" t="s">
        <v>72</v>
      </c>
      <c r="O83" s="204">
        <f>$L$73</f>
        <v>22951140</v>
      </c>
      <c r="P83" s="205">
        <f>$M$73</f>
        <v>0.26196341471696716</v>
      </c>
      <c r="Q83" s="203" t="s">
        <v>72</v>
      </c>
      <c r="R83" s="204">
        <f>$L$73</f>
        <v>22951140</v>
      </c>
      <c r="S83" s="205">
        <f>$M$73</f>
        <v>0.26196341471696716</v>
      </c>
      <c r="T83" s="203" t="s">
        <v>72</v>
      </c>
      <c r="U83" s="204">
        <f>$L$73</f>
        <v>22951140</v>
      </c>
      <c r="V83" s="205">
        <f>$M$73</f>
        <v>0.26196341471696716</v>
      </c>
      <c r="W83" s="203" t="s">
        <v>72</v>
      </c>
      <c r="X83" s="204">
        <f>$L$73</f>
        <v>22951140</v>
      </c>
      <c r="Y83" s="205">
        <f>$M$73</f>
        <v>0.26196341471696716</v>
      </c>
      <c r="AC83" s="189"/>
      <c r="AD83" s="189"/>
      <c r="AE83" s="189"/>
    </row>
    <row r="84" spans="1:31" s="148" customFormat="1" x14ac:dyDescent="0.3">
      <c r="A84" s="183"/>
      <c r="B84" s="184"/>
      <c r="C84" s="184"/>
      <c r="D84" s="185"/>
      <c r="G84" s="795"/>
      <c r="I84" s="795"/>
      <c r="K84" s="203"/>
      <c r="L84" s="204"/>
      <c r="M84" s="205"/>
      <c r="N84" s="203" t="s">
        <v>73</v>
      </c>
      <c r="O84" s="204">
        <f>$O$73</f>
        <v>30127939</v>
      </c>
      <c r="P84" s="205">
        <f>$P$73</f>
        <v>0.34387911793594955</v>
      </c>
      <c r="Q84" s="203" t="s">
        <v>73</v>
      </c>
      <c r="R84" s="204">
        <f>$O$73</f>
        <v>30127939</v>
      </c>
      <c r="S84" s="205">
        <f>$P$73</f>
        <v>0.34387911793594955</v>
      </c>
      <c r="T84" s="203" t="s">
        <v>73</v>
      </c>
      <c r="U84" s="204">
        <f>$O$73</f>
        <v>30127939</v>
      </c>
      <c r="V84" s="205">
        <f>$P$73</f>
        <v>0.34387911793594955</v>
      </c>
      <c r="W84" s="203" t="s">
        <v>73</v>
      </c>
      <c r="X84" s="204">
        <f>$O$73</f>
        <v>30127939</v>
      </c>
      <c r="Y84" s="205">
        <f>$P$73</f>
        <v>0.34387911793594955</v>
      </c>
      <c r="AC84" s="189"/>
      <c r="AD84" s="189"/>
      <c r="AE84" s="189"/>
    </row>
    <row r="85" spans="1:31" s="302" customFormat="1" x14ac:dyDescent="0.3">
      <c r="A85" s="183"/>
      <c r="B85" s="184"/>
      <c r="C85" s="184"/>
      <c r="D85" s="185"/>
      <c r="G85" s="795"/>
      <c r="I85" s="795"/>
      <c r="K85" s="203"/>
      <c r="L85" s="204"/>
      <c r="M85" s="205"/>
      <c r="N85" s="203"/>
      <c r="O85" s="204"/>
      <c r="P85" s="205"/>
      <c r="Q85" s="203" t="s">
        <v>74</v>
      </c>
      <c r="R85" s="204">
        <f>$R$77</f>
        <v>950055</v>
      </c>
      <c r="S85" s="205">
        <f>$S$77</f>
        <v>1.0843890628915524E-2</v>
      </c>
      <c r="T85" s="203" t="s">
        <v>74</v>
      </c>
      <c r="U85" s="204">
        <f>$R$77</f>
        <v>950055</v>
      </c>
      <c r="V85" s="205">
        <f>$S$77</f>
        <v>1.0843890628915524E-2</v>
      </c>
      <c r="W85" s="203" t="s">
        <v>74</v>
      </c>
      <c r="X85" s="204">
        <f>$R$77</f>
        <v>950055</v>
      </c>
      <c r="Y85" s="205">
        <f>$S$77</f>
        <v>1.0843890628915524E-2</v>
      </c>
      <c r="AC85" s="189"/>
      <c r="AD85" s="189"/>
      <c r="AE85" s="189"/>
    </row>
    <row r="86" spans="1:31" s="795" customFormat="1" x14ac:dyDescent="0.3">
      <c r="A86" s="183"/>
      <c r="B86" s="184"/>
      <c r="C86" s="184"/>
      <c r="D86" s="185"/>
      <c r="K86" s="203"/>
      <c r="L86" s="204"/>
      <c r="M86" s="205"/>
      <c r="N86" s="203"/>
      <c r="O86" s="204"/>
      <c r="P86" s="205"/>
      <c r="Q86" s="203"/>
      <c r="R86" s="204"/>
      <c r="S86" s="205"/>
      <c r="T86" s="203" t="s">
        <v>155</v>
      </c>
      <c r="U86" s="204">
        <f>+U77</f>
        <v>427933</v>
      </c>
      <c r="V86" s="252">
        <f>+V77</f>
        <v>4.8844105325520169E-3</v>
      </c>
      <c r="W86" s="203" t="s">
        <v>155</v>
      </c>
      <c r="X86" s="204">
        <f>+U77</f>
        <v>427933</v>
      </c>
      <c r="Y86" s="252">
        <f>+V77</f>
        <v>4.8844105325520169E-3</v>
      </c>
      <c r="AC86" s="796"/>
      <c r="AD86" s="796"/>
      <c r="AE86" s="796"/>
    </row>
    <row r="87" spans="1:31" s="148" customFormat="1" x14ac:dyDescent="0.3">
      <c r="A87" s="183"/>
      <c r="B87" s="184"/>
      <c r="C87" s="184"/>
      <c r="D87" s="185"/>
      <c r="G87" s="795"/>
      <c r="I87" s="795"/>
      <c r="K87" s="206" t="s">
        <v>1</v>
      </c>
      <c r="L87" s="207">
        <f>SUM(L83:L83)</f>
        <v>22951140</v>
      </c>
      <c r="M87" s="208">
        <f>SUM(M83:M83)</f>
        <v>0.26196341471696716</v>
      </c>
      <c r="N87" s="206" t="s">
        <v>1</v>
      </c>
      <c r="O87" s="207">
        <f>SUM(O83:O84)</f>
        <v>53079079</v>
      </c>
      <c r="P87" s="208">
        <f>SUM(P83:P84)</f>
        <v>0.60584253265291665</v>
      </c>
      <c r="Q87" s="206" t="s">
        <v>1</v>
      </c>
      <c r="R87" s="207">
        <f>SUM(R83:R85)</f>
        <v>54029134</v>
      </c>
      <c r="S87" s="208">
        <f>SUM(S83:S85)</f>
        <v>0.61668642328183221</v>
      </c>
      <c r="T87" s="203"/>
      <c r="U87" s="204"/>
      <c r="V87" s="252"/>
      <c r="W87" s="203" t="s">
        <v>352</v>
      </c>
      <c r="X87" s="204">
        <f>+X77</f>
        <v>0</v>
      </c>
      <c r="Y87" s="252">
        <f>+Y77</f>
        <v>0</v>
      </c>
      <c r="AC87" s="189"/>
      <c r="AD87" s="189"/>
      <c r="AE87" s="189"/>
    </row>
    <row r="88" spans="1:31" s="148" customFormat="1" x14ac:dyDescent="0.3">
      <c r="A88" s="183"/>
      <c r="B88" s="184"/>
      <c r="C88" s="184"/>
      <c r="D88" s="185"/>
      <c r="G88" s="795"/>
      <c r="I88" s="795"/>
      <c r="K88" s="206" t="s">
        <v>9</v>
      </c>
      <c r="L88" s="1285"/>
      <c r="M88" s="1286"/>
      <c r="N88" s="206" t="s">
        <v>9</v>
      </c>
      <c r="O88" s="1285"/>
      <c r="P88" s="1286"/>
      <c r="Q88" s="206" t="s">
        <v>9</v>
      </c>
      <c r="R88" s="1285"/>
      <c r="S88" s="1286"/>
      <c r="T88" s="206" t="s">
        <v>1</v>
      </c>
      <c r="U88" s="207">
        <f>SUM(U83:U87)</f>
        <v>54457067</v>
      </c>
      <c r="V88" s="253">
        <f>SUM(V83:V87)</f>
        <v>0.62157083381438427</v>
      </c>
      <c r="W88" s="206" t="s">
        <v>1</v>
      </c>
      <c r="X88" s="207">
        <f>SUM(X83:X87)</f>
        <v>54457067</v>
      </c>
      <c r="Y88" s="253">
        <f>SUM(Y83:Y87)</f>
        <v>0.62157083381438427</v>
      </c>
      <c r="AC88" s="189"/>
      <c r="AD88" s="189"/>
      <c r="AE88" s="189"/>
    </row>
    <row r="89" spans="1:31" s="148" customFormat="1" x14ac:dyDescent="0.3">
      <c r="A89" s="183"/>
      <c r="B89" s="184"/>
      <c r="C89" s="184"/>
      <c r="D89" s="185"/>
      <c r="G89" s="795"/>
      <c r="I89" s="795"/>
      <c r="K89" s="156" t="s">
        <v>78</v>
      </c>
      <c r="L89" s="1285" t="s">
        <v>387</v>
      </c>
      <c r="M89" s="1286"/>
      <c r="N89" s="156" t="s">
        <v>78</v>
      </c>
      <c r="O89" s="1285" t="s">
        <v>387</v>
      </c>
      <c r="P89" s="1286"/>
      <c r="Q89" s="156" t="s">
        <v>78</v>
      </c>
      <c r="R89" s="1285" t="s">
        <v>2003</v>
      </c>
      <c r="S89" s="1286"/>
      <c r="T89" s="206" t="s">
        <v>9</v>
      </c>
      <c r="U89" s="1285"/>
      <c r="V89" s="1286"/>
      <c r="W89" s="206" t="s">
        <v>9</v>
      </c>
      <c r="X89" s="1285"/>
      <c r="Y89" s="1286"/>
      <c r="AC89" s="189"/>
      <c r="AD89" s="189"/>
      <c r="AE89" s="189"/>
    </row>
    <row r="90" spans="1:31" s="148" customFormat="1" x14ac:dyDescent="0.3">
      <c r="A90" s="183"/>
      <c r="B90" s="184"/>
      <c r="C90" s="184"/>
      <c r="D90" s="185"/>
      <c r="G90" s="795"/>
      <c r="I90" s="795"/>
      <c r="K90" s="157" t="s">
        <v>8</v>
      </c>
      <c r="L90" s="1287" t="s">
        <v>388</v>
      </c>
      <c r="M90" s="1288"/>
      <c r="N90" s="157" t="s">
        <v>8</v>
      </c>
      <c r="O90" s="1287" t="s">
        <v>388</v>
      </c>
      <c r="P90" s="1288"/>
      <c r="Q90" s="157" t="s">
        <v>8</v>
      </c>
      <c r="R90" s="1285" t="s">
        <v>2004</v>
      </c>
      <c r="S90" s="1286"/>
      <c r="T90" s="156" t="s">
        <v>78</v>
      </c>
      <c r="U90" s="1285" t="s">
        <v>2003</v>
      </c>
      <c r="V90" s="1286"/>
      <c r="W90" s="156" t="s">
        <v>78</v>
      </c>
      <c r="X90" s="1285" t="s">
        <v>2003</v>
      </c>
      <c r="Y90" s="1286"/>
      <c r="AC90" s="189"/>
      <c r="AD90" s="189"/>
      <c r="AE90" s="189"/>
    </row>
    <row r="91" spans="1:31" s="148" customFormat="1" x14ac:dyDescent="0.3">
      <c r="A91" s="183"/>
      <c r="B91" s="184"/>
      <c r="C91" s="184"/>
      <c r="D91" s="185" t="s">
        <v>75</v>
      </c>
      <c r="G91" s="795"/>
      <c r="I91" s="795"/>
      <c r="Q91" s="302"/>
      <c r="R91" s="302"/>
      <c r="S91" s="302"/>
      <c r="T91" s="157" t="s">
        <v>8</v>
      </c>
      <c r="U91" s="1285" t="s">
        <v>2004</v>
      </c>
      <c r="V91" s="1286"/>
      <c r="W91" s="157" t="s">
        <v>8</v>
      </c>
      <c r="X91" s="1285" t="s">
        <v>2004</v>
      </c>
      <c r="Y91" s="1286"/>
    </row>
    <row r="92" spans="1:31" s="148" customFormat="1" x14ac:dyDescent="0.3">
      <c r="A92" s="183" t="s">
        <v>76</v>
      </c>
      <c r="B92" s="180"/>
      <c r="C92" s="180"/>
      <c r="D92" s="185" t="s">
        <v>77</v>
      </c>
      <c r="G92" s="795"/>
      <c r="I92" s="795"/>
      <c r="Q92" s="302"/>
      <c r="R92" s="302"/>
      <c r="S92" s="302"/>
      <c r="T92" s="795"/>
      <c r="U92" s="795"/>
      <c r="V92" s="795"/>
      <c r="W92" s="1054"/>
      <c r="X92" s="1054"/>
      <c r="Y92" s="1054"/>
    </row>
    <row r="93" spans="1:31" s="148" customFormat="1" x14ac:dyDescent="0.3">
      <c r="A93" s="183" t="s">
        <v>79</v>
      </c>
      <c r="B93" s="180"/>
      <c r="C93" s="180"/>
      <c r="D93" s="185" t="s">
        <v>80</v>
      </c>
      <c r="G93" s="795"/>
      <c r="I93" s="795"/>
      <c r="Q93" s="302"/>
      <c r="R93" s="302"/>
      <c r="S93" s="302"/>
      <c r="T93" s="795"/>
      <c r="U93" s="795"/>
      <c r="V93" s="795"/>
      <c r="W93" s="1054"/>
      <c r="X93" s="1054"/>
      <c r="Y93" s="1054"/>
    </row>
    <row r="94" spans="1:31" x14ac:dyDescent="0.3">
      <c r="T94" s="795"/>
      <c r="U94" s="795"/>
      <c r="V94" s="795"/>
    </row>
  </sheetData>
  <sheetProtection formatCells="0" formatColumns="0" formatRows="0" insertColumns="0" insertRows="0" insertHyperlinks="0" deleteColumns="0" deleteRows="0" sort="0" autoFilter="0" pivotTables="0"/>
  <mergeCells count="82">
    <mergeCell ref="R88:S88"/>
    <mergeCell ref="O88:P88"/>
    <mergeCell ref="O89:P89"/>
    <mergeCell ref="O90:P90"/>
    <mergeCell ref="R89:S89"/>
    <mergeCell ref="R90:S90"/>
    <mergeCell ref="L88:M88"/>
    <mergeCell ref="L89:M89"/>
    <mergeCell ref="L90:M90"/>
    <mergeCell ref="A57:A60"/>
    <mergeCell ref="B57:B60"/>
    <mergeCell ref="J57:J60"/>
    <mergeCell ref="A61:A64"/>
    <mergeCell ref="B61:B64"/>
    <mergeCell ref="J61:J64"/>
    <mergeCell ref="A65:A68"/>
    <mergeCell ref="B65:B68"/>
    <mergeCell ref="J65:J68"/>
    <mergeCell ref="A69:A72"/>
    <mergeCell ref="B69:B72"/>
    <mergeCell ref="J69:J72"/>
    <mergeCell ref="A51:A52"/>
    <mergeCell ref="B51:B52"/>
    <mergeCell ref="J51:J52"/>
    <mergeCell ref="A53:A56"/>
    <mergeCell ref="B53:B56"/>
    <mergeCell ref="J53:J56"/>
    <mergeCell ref="A43:A46"/>
    <mergeCell ref="B43:B46"/>
    <mergeCell ref="J43:J46"/>
    <mergeCell ref="A47:A50"/>
    <mergeCell ref="B47:B50"/>
    <mergeCell ref="J47:J50"/>
    <mergeCell ref="A35:A38"/>
    <mergeCell ref="B35:B38"/>
    <mergeCell ref="J35:J38"/>
    <mergeCell ref="A39:A42"/>
    <mergeCell ref="B39:B42"/>
    <mergeCell ref="J39:J42"/>
    <mergeCell ref="A27:A30"/>
    <mergeCell ref="B27:B30"/>
    <mergeCell ref="J27:J30"/>
    <mergeCell ref="A31:A34"/>
    <mergeCell ref="B31:B34"/>
    <mergeCell ref="J31:J34"/>
    <mergeCell ref="A19:A22"/>
    <mergeCell ref="B19:B22"/>
    <mergeCell ref="J19:J22"/>
    <mergeCell ref="A23:A26"/>
    <mergeCell ref="B23:B26"/>
    <mergeCell ref="J23:J26"/>
    <mergeCell ref="A14:A15"/>
    <mergeCell ref="B14:B15"/>
    <mergeCell ref="J14:J15"/>
    <mergeCell ref="A16:A18"/>
    <mergeCell ref="B16:B18"/>
    <mergeCell ref="J16:J18"/>
    <mergeCell ref="B12:J12"/>
    <mergeCell ref="Z1:AB1"/>
    <mergeCell ref="Z2:AB2"/>
    <mergeCell ref="A3:AB3"/>
    <mergeCell ref="A4:AB4"/>
    <mergeCell ref="A5:AB5"/>
    <mergeCell ref="A6:AB6"/>
    <mergeCell ref="A7:AB7"/>
    <mergeCell ref="A8:AB8"/>
    <mergeCell ref="A9:AB9"/>
    <mergeCell ref="A10:AB10"/>
    <mergeCell ref="N11:P12"/>
    <mergeCell ref="B11:J11"/>
    <mergeCell ref="K11:M12"/>
    <mergeCell ref="C1:S2"/>
    <mergeCell ref="Q11:S12"/>
    <mergeCell ref="T11:V12"/>
    <mergeCell ref="U89:V89"/>
    <mergeCell ref="U90:V90"/>
    <mergeCell ref="U91:V91"/>
    <mergeCell ref="Z11:AB12"/>
    <mergeCell ref="W11:Y12"/>
    <mergeCell ref="X89:Y89"/>
    <mergeCell ref="X90:Y90"/>
    <mergeCell ref="X91:Y91"/>
  </mergeCells>
  <pageMargins left="0.70866141732283472" right="0.70866141732283472" top="0.74803149606299213" bottom="0.74803149606299213" header="0.31496062992125984" footer="0.31496062992125984"/>
  <pageSetup scale="70" orientation="landscape" r:id="rId1"/>
  <rowBreaks count="2" manualBreakCount="2">
    <brk id="34" max="7" man="1"/>
    <brk id="56" max="16383" man="1"/>
  </rowBreaks>
  <drawing r:id="rId2"/>
  <legacyDrawingHF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tabColor theme="1"/>
  </sheetPr>
  <dimension ref="A1:G49"/>
  <sheetViews>
    <sheetView zoomScaleNormal="100" workbookViewId="0">
      <selection activeCell="I37" sqref="I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RESUMEN!G23</f>
        <v>Proyecto: Ingenierías de detalle para la LT San José Concordia Veraguas a 115 kV</v>
      </c>
      <c r="C5" s="1281"/>
      <c r="D5" s="1281"/>
      <c r="E5" s="1281"/>
      <c r="F5" s="1281"/>
      <c r="G5" s="1282"/>
    </row>
    <row r="6" spans="1:7" x14ac:dyDescent="0.25">
      <c r="A6" s="1177"/>
      <c r="B6" s="1177"/>
      <c r="C6" s="1177"/>
      <c r="D6" s="1177"/>
      <c r="E6" s="1177"/>
      <c r="F6" s="1177"/>
      <c r="G6" s="1177"/>
    </row>
    <row r="7" spans="1:7" x14ac:dyDescent="0.25">
      <c r="A7" s="271" t="s">
        <v>0</v>
      </c>
      <c r="B7" s="1264" t="str">
        <f>RESUMEN!B23</f>
        <v>D00235083</v>
      </c>
      <c r="C7" s="1265"/>
      <c r="D7" s="1177"/>
      <c r="E7" s="1266" t="s">
        <v>627</v>
      </c>
      <c r="F7" s="1267"/>
      <c r="G7" s="280" t="str">
        <f>RESUMEN!E23</f>
        <v xml:space="preserve">17-142 </v>
      </c>
    </row>
    <row r="8" spans="1:7" x14ac:dyDescent="0.25">
      <c r="A8" s="271" t="s">
        <v>628</v>
      </c>
      <c r="B8" s="1264" t="str">
        <f>RESUMEN!C23</f>
        <v>D00235083000</v>
      </c>
      <c r="C8" s="1265"/>
      <c r="D8" s="1177"/>
      <c r="E8" s="1266" t="s">
        <v>629</v>
      </c>
      <c r="F8" s="1267"/>
      <c r="G8" s="280" t="str">
        <f>RESUMEN!U23</f>
        <v>Acta N° 6: Marzo</v>
      </c>
    </row>
    <row r="9" spans="1:7" x14ac:dyDescent="0.25">
      <c r="A9" s="271" t="s">
        <v>630</v>
      </c>
      <c r="B9" s="1283" t="s">
        <v>631</v>
      </c>
      <c r="C9" s="1265"/>
      <c r="D9" s="1177"/>
      <c r="E9" s="1266" t="s">
        <v>632</v>
      </c>
      <c r="F9" s="1267"/>
      <c r="G9" s="1178">
        <f>RESUMEN!H23</f>
        <v>32183144</v>
      </c>
    </row>
    <row r="10" spans="1:7" x14ac:dyDescent="0.25">
      <c r="A10" s="271" t="s">
        <v>633</v>
      </c>
      <c r="B10" s="1283" t="str">
        <f>RESUMEN!D23</f>
        <v>LT SAN JOSÉ-CONCOR</v>
      </c>
      <c r="C10" s="1265"/>
      <c r="D10" s="1177"/>
      <c r="E10" s="1266" t="s">
        <v>634</v>
      </c>
      <c r="F10" s="1267"/>
      <c r="G10" s="1178">
        <f>RESUMEN!R23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Ingenierías de detalle para la LT San José Concordia Veraguas a 115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RESUMEN!N23</f>
        <v>0</v>
      </c>
      <c r="F19" s="1248"/>
      <c r="G19" s="1177"/>
    </row>
    <row r="20" spans="1:7" ht="27" customHeight="1" x14ac:dyDescent="0.25">
      <c r="A20" s="1177"/>
      <c r="B20" s="1244" t="s">
        <v>1498</v>
      </c>
      <c r="C20" s="1245"/>
      <c r="D20" s="1246"/>
      <c r="E20" s="1247">
        <f>RESUMEN!P23</f>
        <v>0</v>
      </c>
      <c r="F20" s="1248"/>
      <c r="G20" s="1177"/>
    </row>
    <row r="21" spans="1:7" ht="27" customHeight="1" x14ac:dyDescent="0.25">
      <c r="A21" s="1177"/>
      <c r="B21" s="1244" t="s">
        <v>1499</v>
      </c>
      <c r="C21" s="1245"/>
      <c r="D21" s="1246"/>
      <c r="E21" s="1247">
        <f>RESUMEN!Q23</f>
        <v>0</v>
      </c>
      <c r="F21" s="1248"/>
      <c r="G21" s="1177"/>
    </row>
    <row r="22" spans="1:7" x14ac:dyDescent="0.25">
      <c r="A22" s="1177"/>
      <c r="B22" s="1254" t="s">
        <v>64</v>
      </c>
      <c r="C22" s="1254"/>
      <c r="D22" s="1254"/>
      <c r="E22" s="1255">
        <f>RESUMEN!R23</f>
        <v>0</v>
      </c>
      <c r="F22" s="1255"/>
      <c r="G22" s="1177"/>
    </row>
    <row r="23" spans="1:7" x14ac:dyDescent="0.25">
      <c r="A23" s="1177"/>
      <c r="B23" s="1256" t="s">
        <v>66</v>
      </c>
      <c r="C23" s="1256"/>
      <c r="D23" s="1256"/>
      <c r="E23" s="1257">
        <f>RESUMEN!S23</f>
        <v>0</v>
      </c>
      <c r="F23" s="1257"/>
      <c r="G23" s="1177"/>
    </row>
    <row r="24" spans="1:7" x14ac:dyDescent="0.25">
      <c r="A24" s="1177"/>
      <c r="B24" s="1258" t="s">
        <v>1</v>
      </c>
      <c r="C24" s="1258"/>
      <c r="D24" s="1258"/>
      <c r="E24" s="1259">
        <f>RESUMEN!T23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+'OT17-142 LT SAN JOSÉ-CONCOR'!Z37</f>
        <v>ACTA 1</v>
      </c>
      <c r="C28" s="1253">
        <f>+'OT17-142 LT SAN JOSÉ-CONCOR'!AA37</f>
        <v>2746755</v>
      </c>
      <c r="D28" s="1253"/>
      <c r="E28" s="267">
        <f>+'OT17-142 LT SAN JOSÉ-CONCOR'!AB37</f>
        <v>8.5347627938401546E-2</v>
      </c>
      <c r="F28" s="1177"/>
      <c r="G28" s="1177"/>
    </row>
    <row r="29" spans="1:7" x14ac:dyDescent="0.25">
      <c r="A29" s="1177"/>
      <c r="B29" s="280" t="str">
        <f>+'OT17-142 LT SAN JOSÉ-CONCOR'!Z38</f>
        <v>ACTA 2</v>
      </c>
      <c r="C29" s="1253">
        <f>+'OT17-142 LT SAN JOSÉ-CONCOR'!AA38</f>
        <v>2785755</v>
      </c>
      <c r="D29" s="1253"/>
      <c r="E29" s="267">
        <f>+'OT17-142 LT SAN JOSÉ-CONCOR'!AB38</f>
        <v>8.6559442421163077E-2</v>
      </c>
      <c r="F29" s="1177"/>
      <c r="G29" s="1177"/>
    </row>
    <row r="30" spans="1:7" x14ac:dyDescent="0.25">
      <c r="A30" s="1177"/>
      <c r="B30" s="280" t="str">
        <f>+'OT17-142 LT SAN JOSÉ-CONCOR'!Z39</f>
        <v>ACTA 3</v>
      </c>
      <c r="C30" s="1253">
        <f>+'OT17-142 LT SAN JOSÉ-CONCOR'!AA39</f>
        <v>10349788</v>
      </c>
      <c r="D30" s="1253"/>
      <c r="E30" s="267">
        <f>+'OT17-142 LT SAN JOSÉ-CONCOR'!AB39</f>
        <v>0.32159033312593699</v>
      </c>
      <c r="F30" s="1177"/>
      <c r="G30" s="1177"/>
    </row>
    <row r="31" spans="1:7" x14ac:dyDescent="0.25">
      <c r="A31" s="1177"/>
      <c r="B31" s="280" t="str">
        <f>+'OT17-142 LT SAN JOSÉ-CONCOR'!Z40</f>
        <v>ACTA 4</v>
      </c>
      <c r="C31" s="1253">
        <f>+'OT17-142 LT SAN JOSÉ-CONCOR'!AA40</f>
        <v>4666139</v>
      </c>
      <c r="D31" s="1253"/>
      <c r="E31" s="267">
        <f>+'OT17-142 LT SAN JOSÉ-CONCOR'!AB40</f>
        <v>0.14498704663534426</v>
      </c>
      <c r="F31" s="1177"/>
      <c r="G31" s="1177"/>
    </row>
    <row r="32" spans="1:7" x14ac:dyDescent="0.25">
      <c r="A32" s="1177"/>
      <c r="B32" s="280" t="str">
        <f>+'OT17-142 LT SAN JOSÉ-CONCOR'!Z41</f>
        <v>ACTA 5</v>
      </c>
      <c r="C32" s="1253">
        <f>+'OT17-142 LT SAN JOSÉ-CONCOR'!AA41</f>
        <v>11522231</v>
      </c>
      <c r="D32" s="1253"/>
      <c r="E32" s="267">
        <f>+'OT17-142 LT SAN JOSÉ-CONCOR'!AB41</f>
        <v>0.35802067691086986</v>
      </c>
      <c r="F32" s="1177"/>
      <c r="G32" s="1177"/>
    </row>
    <row r="33" spans="1:7" x14ac:dyDescent="0.25">
      <c r="A33" s="1177"/>
      <c r="B33" s="280" t="str">
        <f>+'OT17-142 LT SAN JOSÉ-CONCOR'!Z42</f>
        <v>ACTA 6</v>
      </c>
      <c r="C33" s="1253">
        <f>+'OT17-142 LT SAN JOSÉ-CONCOR'!AA42</f>
        <v>0</v>
      </c>
      <c r="D33" s="1253"/>
      <c r="E33" s="267">
        <f>+'OT17-142 LT SAN JOSÉ-CONCOR'!AB42</f>
        <v>0</v>
      </c>
      <c r="F33" s="1177"/>
      <c r="G33" s="1177"/>
    </row>
    <row r="34" spans="1:7" x14ac:dyDescent="0.25">
      <c r="A34" s="1177"/>
      <c r="B34" s="263" t="s">
        <v>1</v>
      </c>
      <c r="C34" s="1251">
        <f>SUM(C28:D33)</f>
        <v>32070668</v>
      </c>
      <c r="D34" s="1251"/>
      <c r="E34" s="264">
        <f>SUM(E28:E33)</f>
        <v>0.99650512703171579</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9:C49"/>
    <mergeCell ref="E49:G49"/>
    <mergeCell ref="A42:C42"/>
    <mergeCell ref="E42:G42"/>
    <mergeCell ref="A47:C47"/>
    <mergeCell ref="E47:G47"/>
    <mergeCell ref="A48:C48"/>
    <mergeCell ref="E48:G48"/>
    <mergeCell ref="A36:G36"/>
    <mergeCell ref="A40:C40"/>
    <mergeCell ref="E40:G40"/>
    <mergeCell ref="A41:C41"/>
    <mergeCell ref="E41:G41"/>
    <mergeCell ref="C34:D34"/>
    <mergeCell ref="B21:D21"/>
    <mergeCell ref="E21:F21"/>
    <mergeCell ref="B22:D22"/>
    <mergeCell ref="E22:F22"/>
    <mergeCell ref="B23:D23"/>
    <mergeCell ref="E23:F23"/>
    <mergeCell ref="B24:D24"/>
    <mergeCell ref="E24:F24"/>
    <mergeCell ref="C27:D27"/>
    <mergeCell ref="C28:D28"/>
    <mergeCell ref="C33:D33"/>
    <mergeCell ref="C29:D29"/>
    <mergeCell ref="C30:D30"/>
    <mergeCell ref="C31:D31"/>
    <mergeCell ref="C32:D32"/>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7">
    <tabColor rgb="FF92D050"/>
  </sheetPr>
  <dimension ref="A1:AE49"/>
  <sheetViews>
    <sheetView topLeftCell="E16" zoomScale="70" zoomScaleNormal="70" workbookViewId="0">
      <selection activeCell="J53" sqref="J53"/>
    </sheetView>
  </sheetViews>
  <sheetFormatPr baseColWidth="10" defaultColWidth="11.44140625" defaultRowHeight="14.4" x14ac:dyDescent="0.3"/>
  <cols>
    <col min="1" max="1" width="17.88671875" style="189" customWidth="1"/>
    <col min="2" max="2" width="22.5546875" style="189" customWidth="1"/>
    <col min="3" max="3" width="32.44140625" style="189" customWidth="1"/>
    <col min="4" max="4" width="22.33203125" style="189" customWidth="1"/>
    <col min="5" max="5" width="11.5546875" style="189" bestFit="1" customWidth="1"/>
    <col min="6" max="6" width="17.88671875" style="189" customWidth="1"/>
    <col min="7" max="7" width="17.88671875" style="796" customWidth="1"/>
    <col min="8" max="8" width="18" style="189" customWidth="1"/>
    <col min="9" max="9" width="18" style="796" customWidth="1"/>
    <col min="10" max="10" width="52"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hidden="1" customWidth="1"/>
    <col min="18" max="18" width="18" style="189" hidden="1" customWidth="1"/>
    <col min="19" max="19" width="12.33203125" style="189" hidden="1" customWidth="1"/>
    <col min="20" max="20" width="17.88671875" style="189" hidden="1" customWidth="1"/>
    <col min="21" max="21" width="18" style="189" hidden="1" customWidth="1"/>
    <col min="22" max="22" width="12.33203125" style="189" hidden="1" customWidth="1"/>
    <col min="23" max="23" width="17.88671875" style="189" customWidth="1"/>
    <col min="24" max="24" width="18" style="189" bestFit="1" customWidth="1"/>
    <col min="25" max="25" width="12.33203125" style="189" customWidth="1"/>
    <col min="26" max="26" width="17.88671875" style="796" customWidth="1"/>
    <col min="27" max="27" width="18" style="796" bestFit="1" customWidth="1"/>
    <col min="28" max="28" width="12.33203125" style="796" customWidth="1"/>
    <col min="29" max="30" width="17.88671875" style="189" bestFit="1" customWidth="1"/>
    <col min="31" max="16384" width="11.44140625" style="189"/>
  </cols>
  <sheetData>
    <row r="1" spans="1:31" s="148" customFormat="1" ht="28.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9"/>
      <c r="Z1" s="792"/>
      <c r="AA1" s="792"/>
      <c r="AB1" s="792"/>
      <c r="AC1" s="1328" t="s">
        <v>336</v>
      </c>
      <c r="AD1" s="1303"/>
      <c r="AE1" s="1304"/>
    </row>
    <row r="2" spans="1:31"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1"/>
      <c r="W2" s="1311"/>
      <c r="X2" s="1311"/>
      <c r="Y2" s="1312"/>
      <c r="Z2" s="793"/>
      <c r="AA2" s="793"/>
      <c r="AB2" s="793"/>
      <c r="AC2" s="1329" t="s">
        <v>41</v>
      </c>
      <c r="AD2" s="1305"/>
      <c r="AE2" s="1306"/>
    </row>
    <row r="3" spans="1:31"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1"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1"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1"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1" s="148" customFormat="1" ht="12.75" customHeight="1" x14ac:dyDescent="0.3">
      <c r="A7" s="1291" t="s">
        <v>337</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row>
    <row r="8" spans="1:31" s="148" customFormat="1" ht="13.5" customHeight="1" x14ac:dyDescent="0.3">
      <c r="A8" s="1292" t="s">
        <v>2304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1"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1" s="148" customFormat="1" ht="13.5" customHeight="1" x14ac:dyDescent="0.3">
      <c r="A10" s="1292" t="s">
        <v>338</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1" s="148" customFormat="1" ht="13.5" customHeight="1" x14ac:dyDescent="0.3">
      <c r="A11" s="249"/>
      <c r="B11" s="1318"/>
      <c r="C11" s="1320"/>
      <c r="D11" s="1320"/>
      <c r="E11" s="1320"/>
      <c r="F11" s="1320"/>
      <c r="G11" s="1320"/>
      <c r="H11" s="1320"/>
      <c r="I11" s="1320"/>
      <c r="J11" s="1320"/>
      <c r="K11" s="1293" t="s">
        <v>46</v>
      </c>
      <c r="L11" s="1294"/>
      <c r="M11" s="1295"/>
      <c r="N11" s="1293" t="s">
        <v>353</v>
      </c>
      <c r="O11" s="1294"/>
      <c r="P11" s="1295"/>
      <c r="Q11" s="1293" t="s">
        <v>463</v>
      </c>
      <c r="R11" s="1294"/>
      <c r="S11" s="1295"/>
      <c r="T11" s="1293" t="s">
        <v>674</v>
      </c>
      <c r="U11" s="1294"/>
      <c r="V11" s="1295"/>
      <c r="W11" s="1293" t="s">
        <v>1727</v>
      </c>
      <c r="X11" s="1294"/>
      <c r="Y11" s="1295"/>
      <c r="Z11" s="1293" t="s">
        <v>2303</v>
      </c>
      <c r="AA11" s="1294"/>
      <c r="AB11" s="1295"/>
      <c r="AC11" s="1299" t="s">
        <v>49</v>
      </c>
      <c r="AD11" s="1299"/>
      <c r="AE11" s="1299"/>
    </row>
    <row r="12" spans="1:31" s="148" customFormat="1" ht="13.5" customHeight="1" x14ac:dyDescent="0.3">
      <c r="A12" s="171"/>
      <c r="B12" s="1318"/>
      <c r="C12" s="1319"/>
      <c r="D12" s="1319"/>
      <c r="E12" s="1319"/>
      <c r="F12" s="1319"/>
      <c r="G12" s="1319"/>
      <c r="H12" s="1319"/>
      <c r="I12" s="1319"/>
      <c r="J12" s="1319"/>
      <c r="K12" s="1325"/>
      <c r="L12" s="1326"/>
      <c r="M12" s="1327"/>
      <c r="N12" s="1325"/>
      <c r="O12" s="1326"/>
      <c r="P12" s="1327"/>
      <c r="Q12" s="1325"/>
      <c r="R12" s="1326"/>
      <c r="S12" s="1327"/>
      <c r="T12" s="1296"/>
      <c r="U12" s="1297"/>
      <c r="V12" s="1298"/>
      <c r="W12" s="1296"/>
      <c r="X12" s="1297"/>
      <c r="Y12" s="1298"/>
      <c r="Z12" s="1296"/>
      <c r="AA12" s="1297"/>
      <c r="AB12" s="1298"/>
      <c r="AC12" s="1300"/>
      <c r="AD12" s="1300"/>
      <c r="AE12" s="1300"/>
    </row>
    <row r="13" spans="1:31" ht="28.8" x14ac:dyDescent="0.3">
      <c r="A13" s="209" t="s">
        <v>50</v>
      </c>
      <c r="B13" s="209" t="s">
        <v>51</v>
      </c>
      <c r="C13" s="209" t="s">
        <v>52</v>
      </c>
      <c r="D13" s="209" t="s">
        <v>164</v>
      </c>
      <c r="E13" s="209" t="s">
        <v>54</v>
      </c>
      <c r="F13" s="210" t="s">
        <v>55</v>
      </c>
      <c r="G13" s="821" t="s">
        <v>2007</v>
      </c>
      <c r="H13" s="209" t="s">
        <v>56</v>
      </c>
      <c r="I13" s="822" t="s">
        <v>56</v>
      </c>
      <c r="J13" s="209" t="s">
        <v>460</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c r="Z13" s="209" t="s">
        <v>54</v>
      </c>
      <c r="AA13" s="209" t="s">
        <v>56</v>
      </c>
      <c r="AB13" s="209" t="s">
        <v>58</v>
      </c>
      <c r="AC13" s="209" t="s">
        <v>54</v>
      </c>
      <c r="AD13" s="209" t="s">
        <v>56</v>
      </c>
      <c r="AE13" s="209" t="s">
        <v>58</v>
      </c>
    </row>
    <row r="14" spans="1:31" ht="30" customHeight="1" x14ac:dyDescent="0.3">
      <c r="A14" s="1314" t="s">
        <v>339</v>
      </c>
      <c r="B14" s="1314" t="s">
        <v>258</v>
      </c>
      <c r="C14" s="250" t="s">
        <v>259</v>
      </c>
      <c r="D14" s="250" t="s">
        <v>260</v>
      </c>
      <c r="E14" s="250">
        <v>1.5</v>
      </c>
      <c r="F14" s="192">
        <v>2019673</v>
      </c>
      <c r="G14" s="32">
        <f>+ROUND(F14*1.051,0)</f>
        <v>2122676</v>
      </c>
      <c r="H14" s="192">
        <f>ROUND((E14*F14),0)</f>
        <v>3029510</v>
      </c>
      <c r="I14" s="32">
        <f>+ROUND(G14*E14,0)</f>
        <v>3184014</v>
      </c>
      <c r="J14" s="1315" t="s">
        <v>340</v>
      </c>
      <c r="K14" s="160">
        <v>1.36</v>
      </c>
      <c r="L14" s="161">
        <f>ROUND(K14*F14,0)</f>
        <v>2746755</v>
      </c>
      <c r="M14" s="162">
        <f t="shared" ref="M14:M25" si="0">L14/H14</f>
        <v>0.9066664246033187</v>
      </c>
      <c r="N14" s="145">
        <v>0</v>
      </c>
      <c r="O14" s="143">
        <f>ROUND(N14*F14,0)</f>
        <v>0</v>
      </c>
      <c r="P14" s="144">
        <f t="shared" ref="P14:P25" si="1">O14/H14</f>
        <v>0</v>
      </c>
      <c r="Q14" s="145">
        <v>0</v>
      </c>
      <c r="R14" s="143">
        <f>ROUND(Q14*$F$14,0)</f>
        <v>0</v>
      </c>
      <c r="S14" s="144">
        <f>R14/$H$14</f>
        <v>0</v>
      </c>
      <c r="T14" s="145">
        <v>0</v>
      </c>
      <c r="U14" s="143">
        <f>ROUND(T14*$F$14,0)</f>
        <v>0</v>
      </c>
      <c r="V14" s="144">
        <f>U14/$H$14</f>
        <v>0</v>
      </c>
      <c r="W14" s="145">
        <v>0</v>
      </c>
      <c r="X14" s="143">
        <f>ROUND(W14*$F$14,0)</f>
        <v>0</v>
      </c>
      <c r="Y14" s="144">
        <f>X14/$H$14</f>
        <v>0</v>
      </c>
      <c r="Z14" s="408">
        <v>0</v>
      </c>
      <c r="AA14" s="143">
        <f>ROUND(Z14*$G$14,0)</f>
        <v>0</v>
      </c>
      <c r="AB14" s="144">
        <f>AA14/I14</f>
        <v>0</v>
      </c>
      <c r="AC14" s="163">
        <f>K14+N14+Q14+T14+W14+Z14</f>
        <v>1.36</v>
      </c>
      <c r="AD14" s="164">
        <f>L14+O14+R14+U14+X14+AA14</f>
        <v>2746755</v>
      </c>
      <c r="AE14" s="165">
        <f t="shared" ref="AE14" si="2">AD14/H14</f>
        <v>0.9066664246033187</v>
      </c>
    </row>
    <row r="15" spans="1:31" x14ac:dyDescent="0.3">
      <c r="A15" s="1314"/>
      <c r="B15" s="1314"/>
      <c r="C15" s="196"/>
      <c r="D15" s="196" t="s">
        <v>261</v>
      </c>
      <c r="E15" s="198"/>
      <c r="F15" s="198"/>
      <c r="G15" s="198"/>
      <c r="H15" s="199">
        <f>H14</f>
        <v>3029510</v>
      </c>
      <c r="I15" s="199">
        <f>SUM(I14)</f>
        <v>3184014</v>
      </c>
      <c r="J15" s="1314"/>
      <c r="K15" s="150"/>
      <c r="L15" s="177">
        <f>L14</f>
        <v>2746755</v>
      </c>
      <c r="M15" s="178">
        <f t="shared" si="0"/>
        <v>0.9066664246033187</v>
      </c>
      <c r="N15" s="150"/>
      <c r="O15" s="177">
        <f>O14</f>
        <v>0</v>
      </c>
      <c r="P15" s="178">
        <f t="shared" si="1"/>
        <v>0</v>
      </c>
      <c r="Q15" s="150"/>
      <c r="R15" s="177">
        <f>R14</f>
        <v>0</v>
      </c>
      <c r="S15" s="178">
        <f>R15/$H$15</f>
        <v>0</v>
      </c>
      <c r="T15" s="150"/>
      <c r="U15" s="289">
        <f>U14</f>
        <v>0</v>
      </c>
      <c r="V15" s="178">
        <f>U15/$H$15</f>
        <v>0</v>
      </c>
      <c r="W15" s="306"/>
      <c r="X15" s="307">
        <f>X14</f>
        <v>0</v>
      </c>
      <c r="Y15" s="308">
        <f>X15/$H$15</f>
        <v>0</v>
      </c>
      <c r="Z15" s="428"/>
      <c r="AA15" s="307">
        <f>AA14</f>
        <v>0</v>
      </c>
      <c r="AB15" s="431">
        <f>AA15/$I$15</f>
        <v>0</v>
      </c>
      <c r="AC15" s="150"/>
      <c r="AD15" s="177">
        <f>SUM(AD14)</f>
        <v>2746755</v>
      </c>
      <c r="AE15" s="178">
        <f>AD15/H15</f>
        <v>0.9066664246033187</v>
      </c>
    </row>
    <row r="16" spans="1:31" ht="30" customHeight="1" x14ac:dyDescent="0.3">
      <c r="A16" s="1314" t="s">
        <v>339</v>
      </c>
      <c r="B16" s="1314" t="s">
        <v>262</v>
      </c>
      <c r="C16" s="250" t="s">
        <v>263</v>
      </c>
      <c r="D16" s="250" t="s">
        <v>264</v>
      </c>
      <c r="E16" s="250">
        <v>1.5</v>
      </c>
      <c r="F16" s="192">
        <v>1532165</v>
      </c>
      <c r="G16" s="32">
        <f>+ROUND(F16*1.051,0)</f>
        <v>1610305</v>
      </c>
      <c r="H16" s="192">
        <f>ROUND((E16*F16),0)</f>
        <v>2298248</v>
      </c>
      <c r="I16" s="32">
        <f>+ROUND(G16*E16,0)</f>
        <v>2415458</v>
      </c>
      <c r="J16" s="1314" t="s">
        <v>341</v>
      </c>
      <c r="K16" s="163">
        <v>0</v>
      </c>
      <c r="L16" s="164">
        <f>ROUND(K16*F16,0)</f>
        <v>0</v>
      </c>
      <c r="M16" s="165">
        <f t="shared" si="0"/>
        <v>0</v>
      </c>
      <c r="N16" s="145">
        <v>0</v>
      </c>
      <c r="O16" s="143">
        <f>ROUND(N16*F16,0)</f>
        <v>0</v>
      </c>
      <c r="P16" s="144">
        <f t="shared" si="1"/>
        <v>0</v>
      </c>
      <c r="Q16" s="145">
        <v>0</v>
      </c>
      <c r="R16" s="143">
        <f>ROUND(Q16*$F$16,0)</f>
        <v>0</v>
      </c>
      <c r="S16" s="144">
        <f>R16/$H$16</f>
        <v>0</v>
      </c>
      <c r="T16" s="145">
        <v>0</v>
      </c>
      <c r="U16" s="143">
        <f>ROUND(T16*$F$16,0)</f>
        <v>0</v>
      </c>
      <c r="V16" s="144">
        <f>U16/$H$16</f>
        <v>0</v>
      </c>
      <c r="W16" s="412">
        <v>1.5</v>
      </c>
      <c r="X16" s="413">
        <f>ROUND(W16*$F$16,0)</f>
        <v>2298248</v>
      </c>
      <c r="Y16" s="414">
        <f>X16/$H$16</f>
        <v>1</v>
      </c>
      <c r="Z16" s="408">
        <v>0</v>
      </c>
      <c r="AA16" s="143">
        <f>ROUND(Z16*$G$16,0)</f>
        <v>0</v>
      </c>
      <c r="AB16" s="144">
        <f>AA16/I16</f>
        <v>0</v>
      </c>
      <c r="AC16" s="163">
        <f>K16+N16+Q16+T16+W16+Z16</f>
        <v>1.5</v>
      </c>
      <c r="AD16" s="164">
        <f>L16+O16+R16+U16+X16+AA16</f>
        <v>2298248</v>
      </c>
      <c r="AE16" s="165">
        <f t="shared" ref="AE16" si="3">AD16/H16</f>
        <v>1</v>
      </c>
    </row>
    <row r="17" spans="1:31" x14ac:dyDescent="0.3">
      <c r="A17" s="1314"/>
      <c r="B17" s="1314"/>
      <c r="C17" s="196"/>
      <c r="D17" s="196" t="s">
        <v>265</v>
      </c>
      <c r="E17" s="198"/>
      <c r="F17" s="198"/>
      <c r="G17" s="198"/>
      <c r="H17" s="199">
        <f>H16</f>
        <v>2298248</v>
      </c>
      <c r="I17" s="199">
        <f>SUM(I16)</f>
        <v>2415458</v>
      </c>
      <c r="J17" s="1314"/>
      <c r="K17" s="150"/>
      <c r="L17" s="177">
        <f>L16</f>
        <v>0</v>
      </c>
      <c r="M17" s="178">
        <f t="shared" si="0"/>
        <v>0</v>
      </c>
      <c r="N17" s="150"/>
      <c r="O17" s="177">
        <f>O16</f>
        <v>0</v>
      </c>
      <c r="P17" s="178">
        <f t="shared" si="1"/>
        <v>0</v>
      </c>
      <c r="Q17" s="150"/>
      <c r="R17" s="177">
        <f>R16</f>
        <v>0</v>
      </c>
      <c r="S17" s="178">
        <f>R17/$H$17</f>
        <v>0</v>
      </c>
      <c r="T17" s="150"/>
      <c r="U17" s="289">
        <f>U16</f>
        <v>0</v>
      </c>
      <c r="V17" s="178">
        <f>U17/$H$17</f>
        <v>0</v>
      </c>
      <c r="W17" s="306"/>
      <c r="X17" s="307">
        <f>X16</f>
        <v>2298248</v>
      </c>
      <c r="Y17" s="308">
        <f>X17/$H$17</f>
        <v>1</v>
      </c>
      <c r="Z17" s="428"/>
      <c r="AA17" s="307">
        <f>AA16</f>
        <v>0</v>
      </c>
      <c r="AB17" s="431">
        <f>AA17/$I$17</f>
        <v>0</v>
      </c>
      <c r="AC17" s="150"/>
      <c r="AD17" s="289">
        <f>SUM(AD16)</f>
        <v>2298248</v>
      </c>
      <c r="AE17" s="178">
        <f>AD17/H17</f>
        <v>1</v>
      </c>
    </row>
    <row r="18" spans="1:31" ht="28.8" x14ac:dyDescent="0.3">
      <c r="A18" s="1314" t="s">
        <v>339</v>
      </c>
      <c r="B18" s="1314" t="s">
        <v>342</v>
      </c>
      <c r="C18" s="250" t="s">
        <v>343</v>
      </c>
      <c r="D18" s="250" t="s">
        <v>344</v>
      </c>
      <c r="E18" s="250">
        <v>4</v>
      </c>
      <c r="F18" s="192">
        <v>940192</v>
      </c>
      <c r="G18" s="32">
        <f>+ROUND(F18*1.051,0)</f>
        <v>988142</v>
      </c>
      <c r="H18" s="192">
        <f>ROUND((E18*F18),0)</f>
        <v>3760768</v>
      </c>
      <c r="I18" s="32">
        <f>+ROUND(G18*E18,0)</f>
        <v>3952568</v>
      </c>
      <c r="J18" s="1315" t="s">
        <v>345</v>
      </c>
      <c r="K18" s="163">
        <v>0</v>
      </c>
      <c r="L18" s="164">
        <f>ROUND(K18*F18,0)</f>
        <v>0</v>
      </c>
      <c r="M18" s="165">
        <f t="shared" si="0"/>
        <v>0</v>
      </c>
      <c r="N18" s="145">
        <v>0</v>
      </c>
      <c r="O18" s="143">
        <f>ROUND(N18*F18,0)</f>
        <v>0</v>
      </c>
      <c r="P18" s="144">
        <f t="shared" si="1"/>
        <v>0</v>
      </c>
      <c r="Q18" s="145">
        <v>0</v>
      </c>
      <c r="R18" s="143">
        <f>ROUND(Q18*$F$18,0)</f>
        <v>0</v>
      </c>
      <c r="S18" s="144">
        <f>R18/$H$18</f>
        <v>0</v>
      </c>
      <c r="T18" s="309">
        <v>2</v>
      </c>
      <c r="U18" s="310">
        <f>ROUND(T18*$F$18,0)</f>
        <v>1880384</v>
      </c>
      <c r="V18" s="311">
        <f>U18/$H$18</f>
        <v>0.5</v>
      </c>
      <c r="W18" s="412">
        <v>2</v>
      </c>
      <c r="X18" s="413">
        <f>ROUND(W18*$F$18,0)</f>
        <v>1880384</v>
      </c>
      <c r="Y18" s="414">
        <f>X18/$H$18</f>
        <v>0.5</v>
      </c>
      <c r="Z18" s="408">
        <v>0</v>
      </c>
      <c r="AA18" s="143">
        <f>ROUND(Z18*$G$18,0)</f>
        <v>0</v>
      </c>
      <c r="AB18" s="144">
        <f>AA18/I18</f>
        <v>0</v>
      </c>
      <c r="AC18" s="163">
        <f>K18+N18+Q18+T18+W18+Z18</f>
        <v>4</v>
      </c>
      <c r="AD18" s="164">
        <f>L18+O18+R18+U18+X18+AA18</f>
        <v>3760768</v>
      </c>
      <c r="AE18" s="165">
        <f t="shared" ref="AE18" si="4">AD18/H18</f>
        <v>1</v>
      </c>
    </row>
    <row r="19" spans="1:31" x14ac:dyDescent="0.3">
      <c r="A19" s="1314"/>
      <c r="B19" s="1314"/>
      <c r="C19" s="196"/>
      <c r="D19" s="196" t="s">
        <v>346</v>
      </c>
      <c r="E19" s="198"/>
      <c r="F19" s="198"/>
      <c r="G19" s="198"/>
      <c r="H19" s="199">
        <f>H18</f>
        <v>3760768</v>
      </c>
      <c r="I19" s="199">
        <f>SUM(I18)</f>
        <v>3952568</v>
      </c>
      <c r="J19" s="1314"/>
      <c r="K19" s="150"/>
      <c r="L19" s="177">
        <f>L18</f>
        <v>0</v>
      </c>
      <c r="M19" s="178">
        <f t="shared" si="0"/>
        <v>0</v>
      </c>
      <c r="N19" s="150"/>
      <c r="O19" s="177">
        <f>O18</f>
        <v>0</v>
      </c>
      <c r="P19" s="178">
        <f t="shared" si="1"/>
        <v>0</v>
      </c>
      <c r="Q19" s="150"/>
      <c r="R19" s="177">
        <f>R18</f>
        <v>0</v>
      </c>
      <c r="S19" s="178">
        <f>R19/$H$19</f>
        <v>0</v>
      </c>
      <c r="T19" s="150"/>
      <c r="U19" s="289">
        <f>U18</f>
        <v>1880384</v>
      </c>
      <c r="V19" s="178">
        <f>U19/$H$19</f>
        <v>0.5</v>
      </c>
      <c r="W19" s="306"/>
      <c r="X19" s="307">
        <f>X18</f>
        <v>1880384</v>
      </c>
      <c r="Y19" s="308">
        <f>X19/$H$19</f>
        <v>0.5</v>
      </c>
      <c r="Z19" s="428"/>
      <c r="AA19" s="307">
        <f>AA18</f>
        <v>0</v>
      </c>
      <c r="AB19" s="431">
        <f>AA19/$I$19</f>
        <v>0</v>
      </c>
      <c r="AC19" s="150"/>
      <c r="AD19" s="289">
        <f>SUM(AD18)</f>
        <v>3760768</v>
      </c>
      <c r="AE19" s="178">
        <f>AD19/H19</f>
        <v>1</v>
      </c>
    </row>
    <row r="20" spans="1:31" ht="28.8" x14ac:dyDescent="0.3">
      <c r="A20" s="1314" t="s">
        <v>339</v>
      </c>
      <c r="B20" s="1314" t="s">
        <v>269</v>
      </c>
      <c r="C20" s="250" t="s">
        <v>270</v>
      </c>
      <c r="D20" s="250" t="s">
        <v>271</v>
      </c>
      <c r="E20" s="250">
        <v>1.5</v>
      </c>
      <c r="F20" s="192">
        <v>5571510</v>
      </c>
      <c r="G20" s="32">
        <f>+ROUND(F20*1.051,0)</f>
        <v>5855657</v>
      </c>
      <c r="H20" s="192">
        <f>ROUND((E20*F20),0)</f>
        <v>8357265</v>
      </c>
      <c r="I20" s="32">
        <f>+ROUND(G20*E20,0)</f>
        <v>8783486</v>
      </c>
      <c r="J20" s="1315" t="s">
        <v>347</v>
      </c>
      <c r="K20" s="163">
        <v>0</v>
      </c>
      <c r="L20" s="164">
        <f>ROUND(K20*F20,0)</f>
        <v>0</v>
      </c>
      <c r="M20" s="165">
        <f t="shared" si="0"/>
        <v>0</v>
      </c>
      <c r="N20" s="160">
        <v>0.5</v>
      </c>
      <c r="O20" s="161">
        <f>ROUND(N20*F20,0)</f>
        <v>2785755</v>
      </c>
      <c r="P20" s="162">
        <f t="shared" si="1"/>
        <v>0.33333333333333331</v>
      </c>
      <c r="Q20" s="145">
        <v>0</v>
      </c>
      <c r="R20" s="143">
        <f>ROUND(Q20*$F$20,0)</f>
        <v>0</v>
      </c>
      <c r="S20" s="144">
        <f>R20/$H$20</f>
        <v>0</v>
      </c>
      <c r="T20" s="309">
        <v>0.5</v>
      </c>
      <c r="U20" s="310">
        <f>ROUND(T20*$F$20,0)</f>
        <v>2785755</v>
      </c>
      <c r="V20" s="311">
        <f>U20/$H$20</f>
        <v>0.33333333333333331</v>
      </c>
      <c r="W20" s="412">
        <v>0.5</v>
      </c>
      <c r="X20" s="413">
        <f>ROUND(W20*$F$20,0)</f>
        <v>2785755</v>
      </c>
      <c r="Y20" s="414">
        <f>X20/$H$20</f>
        <v>0.33333333333333331</v>
      </c>
      <c r="Z20" s="408">
        <v>0</v>
      </c>
      <c r="AA20" s="143">
        <f>ROUND(Z20*$G$20,0)</f>
        <v>0</v>
      </c>
      <c r="AB20" s="144">
        <f>AA20/I20</f>
        <v>0</v>
      </c>
      <c r="AC20" s="163">
        <f>K20+N20+Q20+T20+W20+Z20</f>
        <v>1.5</v>
      </c>
      <c r="AD20" s="164">
        <f>L20+O20+R20+U20+X20+AA20</f>
        <v>8357265</v>
      </c>
      <c r="AE20" s="165">
        <f t="shared" ref="AE20" si="5">AD20/H20</f>
        <v>1</v>
      </c>
    </row>
    <row r="21" spans="1:31" x14ac:dyDescent="0.3">
      <c r="A21" s="1314"/>
      <c r="B21" s="1314"/>
      <c r="C21" s="196"/>
      <c r="D21" s="196" t="s">
        <v>215</v>
      </c>
      <c r="E21" s="198"/>
      <c r="F21" s="198"/>
      <c r="G21" s="198"/>
      <c r="H21" s="199">
        <f>H20</f>
        <v>8357265</v>
      </c>
      <c r="I21" s="199">
        <f>SUM(I20)</f>
        <v>8783486</v>
      </c>
      <c r="J21" s="1314"/>
      <c r="K21" s="150"/>
      <c r="L21" s="177">
        <f>L20</f>
        <v>0</v>
      </c>
      <c r="M21" s="178">
        <f t="shared" si="0"/>
        <v>0</v>
      </c>
      <c r="N21" s="150"/>
      <c r="O21" s="177">
        <f>O20</f>
        <v>2785755</v>
      </c>
      <c r="P21" s="178">
        <f t="shared" si="1"/>
        <v>0.33333333333333331</v>
      </c>
      <c r="Q21" s="150"/>
      <c r="R21" s="177">
        <f>R20</f>
        <v>0</v>
      </c>
      <c r="S21" s="178">
        <f>R21/$H$21</f>
        <v>0</v>
      </c>
      <c r="T21" s="150"/>
      <c r="U21" s="289">
        <f>U20</f>
        <v>2785755</v>
      </c>
      <c r="V21" s="178">
        <f>U21/$H$21</f>
        <v>0.33333333333333331</v>
      </c>
      <c r="W21" s="306"/>
      <c r="X21" s="307">
        <f>X20</f>
        <v>2785755</v>
      </c>
      <c r="Y21" s="308">
        <f>X21/$H$21</f>
        <v>0.33333333333333331</v>
      </c>
      <c r="Z21" s="428"/>
      <c r="AA21" s="307">
        <f>AA20</f>
        <v>0</v>
      </c>
      <c r="AB21" s="431">
        <f>AA21/$I$21</f>
        <v>0</v>
      </c>
      <c r="AC21" s="150"/>
      <c r="AD21" s="289">
        <f>SUM(AD20)</f>
        <v>8357265</v>
      </c>
      <c r="AE21" s="178">
        <f>AD21/H21</f>
        <v>1</v>
      </c>
    </row>
    <row r="22" spans="1:31" ht="28.8" x14ac:dyDescent="0.3">
      <c r="A22" s="1314" t="s">
        <v>339</v>
      </c>
      <c r="B22" s="1314" t="s">
        <v>272</v>
      </c>
      <c r="C22" s="250" t="s">
        <v>273</v>
      </c>
      <c r="D22" s="250" t="s">
        <v>274</v>
      </c>
      <c r="E22" s="250">
        <v>7</v>
      </c>
      <c r="F22" s="192">
        <v>1253590</v>
      </c>
      <c r="G22" s="32">
        <f>+ROUND(F22*1.051,0)</f>
        <v>1317523</v>
      </c>
      <c r="H22" s="192">
        <f>ROUND((E22*F22),0)</f>
        <v>8775130</v>
      </c>
      <c r="I22" s="32">
        <f>+ROUND(G22*E22,0)</f>
        <v>9222661</v>
      </c>
      <c r="J22" s="1315" t="s">
        <v>348</v>
      </c>
      <c r="K22" s="163">
        <v>0</v>
      </c>
      <c r="L22" s="164">
        <f>ROUND(K22*F22,0)</f>
        <v>0</v>
      </c>
      <c r="M22" s="165">
        <f t="shared" si="0"/>
        <v>0</v>
      </c>
      <c r="N22" s="145">
        <v>0</v>
      </c>
      <c r="O22" s="143">
        <f>ROUND(N22*F22,0)</f>
        <v>0</v>
      </c>
      <c r="P22" s="144">
        <f t="shared" si="1"/>
        <v>0</v>
      </c>
      <c r="Q22" s="160">
        <v>3.5</v>
      </c>
      <c r="R22" s="161">
        <f>ROUND(Q22*$F$22,0)</f>
        <v>4387565</v>
      </c>
      <c r="S22" s="162">
        <f>R22/$H$22</f>
        <v>0.5</v>
      </c>
      <c r="T22" s="145">
        <v>0</v>
      </c>
      <c r="U22" s="143">
        <f>ROUND(T22*$F$22,0)</f>
        <v>0</v>
      </c>
      <c r="V22" s="144">
        <f>U22/$H$22</f>
        <v>0</v>
      </c>
      <c r="W22" s="412">
        <v>3.5</v>
      </c>
      <c r="X22" s="413">
        <f>ROUND(W22*$F$22,0)</f>
        <v>4387565</v>
      </c>
      <c r="Y22" s="414">
        <f>X22/$H$22</f>
        <v>0.5</v>
      </c>
      <c r="Z22" s="408">
        <v>0</v>
      </c>
      <c r="AA22" s="143">
        <f>ROUND(Z22*$G$22,0)</f>
        <v>0</v>
      </c>
      <c r="AB22" s="144">
        <f>AA22/I22</f>
        <v>0</v>
      </c>
      <c r="AC22" s="163">
        <f>K22+N22+Q22+T22+W22+Z22</f>
        <v>7</v>
      </c>
      <c r="AD22" s="164">
        <f>L22+O22+R22+U22+X22+AA22</f>
        <v>8775130</v>
      </c>
      <c r="AE22" s="165">
        <f t="shared" ref="AE22" si="6">AD22/H22</f>
        <v>1</v>
      </c>
    </row>
    <row r="23" spans="1:31" ht="15" customHeight="1" x14ac:dyDescent="0.3">
      <c r="A23" s="1314"/>
      <c r="B23" s="1314"/>
      <c r="C23" s="196"/>
      <c r="D23" s="196" t="s">
        <v>136</v>
      </c>
      <c r="E23" s="198"/>
      <c r="F23" s="198"/>
      <c r="G23" s="198"/>
      <c r="H23" s="199">
        <f>H22</f>
        <v>8775130</v>
      </c>
      <c r="I23" s="199">
        <f>SUM(I22)</f>
        <v>9222661</v>
      </c>
      <c r="J23" s="1314"/>
      <c r="K23" s="150"/>
      <c r="L23" s="177">
        <f>L22</f>
        <v>0</v>
      </c>
      <c r="M23" s="178">
        <f t="shared" si="0"/>
        <v>0</v>
      </c>
      <c r="N23" s="150"/>
      <c r="O23" s="177">
        <f>O22</f>
        <v>0</v>
      </c>
      <c r="P23" s="178">
        <f t="shared" si="1"/>
        <v>0</v>
      </c>
      <c r="Q23" s="150"/>
      <c r="R23" s="177">
        <f>R22</f>
        <v>4387565</v>
      </c>
      <c r="S23" s="178">
        <f>R23/$H$23</f>
        <v>0.5</v>
      </c>
      <c r="T23" s="150"/>
      <c r="U23" s="289">
        <f>U22</f>
        <v>0</v>
      </c>
      <c r="V23" s="178">
        <f>U23/$H$23</f>
        <v>0</v>
      </c>
      <c r="W23" s="306"/>
      <c r="X23" s="307">
        <f>X22</f>
        <v>4387565</v>
      </c>
      <c r="Y23" s="308">
        <f>X23/$H$23</f>
        <v>0.5</v>
      </c>
      <c r="Z23" s="428"/>
      <c r="AA23" s="307">
        <f>AA22</f>
        <v>0</v>
      </c>
      <c r="AB23" s="431">
        <f>AA23/$I$23</f>
        <v>0</v>
      </c>
      <c r="AC23" s="150"/>
      <c r="AD23" s="289">
        <f>SUM(AD22)</f>
        <v>8775130</v>
      </c>
      <c r="AE23" s="178">
        <f>AD23/H23</f>
        <v>1</v>
      </c>
    </row>
    <row r="24" spans="1:31" ht="30" customHeight="1" x14ac:dyDescent="0.3">
      <c r="A24" s="1314" t="s">
        <v>339</v>
      </c>
      <c r="B24" s="1314" t="s">
        <v>275</v>
      </c>
      <c r="C24" s="250" t="s">
        <v>276</v>
      </c>
      <c r="D24" s="250" t="s">
        <v>277</v>
      </c>
      <c r="E24" s="250">
        <v>85.61</v>
      </c>
      <c r="F24" s="192">
        <v>69644</v>
      </c>
      <c r="G24" s="32">
        <f>+ROUND(F24*1.051,0)</f>
        <v>73196</v>
      </c>
      <c r="H24" s="192">
        <f>ROUND((E24*F24),0)</f>
        <v>5962223</v>
      </c>
      <c r="I24" s="32">
        <f>+ROUND(G24*E24,0)</f>
        <v>6266310</v>
      </c>
      <c r="J24" s="1358" t="s">
        <v>349</v>
      </c>
      <c r="K24" s="163">
        <v>0</v>
      </c>
      <c r="L24" s="164">
        <f>ROUND(K24*F24,0)</f>
        <v>0</v>
      </c>
      <c r="M24" s="165">
        <f t="shared" si="0"/>
        <v>0</v>
      </c>
      <c r="N24" s="145">
        <v>0</v>
      </c>
      <c r="O24" s="143">
        <f>ROUND(N24*F24,0)</f>
        <v>0</v>
      </c>
      <c r="P24" s="144">
        <f t="shared" si="1"/>
        <v>0</v>
      </c>
      <c r="Q24" s="160">
        <v>85.61</v>
      </c>
      <c r="R24" s="161">
        <f>ROUND(Q24*$F$24,0)</f>
        <v>5962223</v>
      </c>
      <c r="S24" s="162">
        <f>R24/$H$24</f>
        <v>1</v>
      </c>
      <c r="T24" s="145">
        <v>0</v>
      </c>
      <c r="U24" s="143">
        <f>ROUND(T24*$F$24,0)</f>
        <v>0</v>
      </c>
      <c r="V24" s="144">
        <f>U24/$H$24</f>
        <v>0</v>
      </c>
      <c r="W24" s="145">
        <v>0</v>
      </c>
      <c r="X24" s="143">
        <f>ROUND(W24*$F$24,0)</f>
        <v>0</v>
      </c>
      <c r="Y24" s="144">
        <f>X24/$H$24</f>
        <v>0</v>
      </c>
      <c r="Z24" s="408">
        <v>0</v>
      </c>
      <c r="AA24" s="143">
        <f>ROUND(Z24*$G$24,0)</f>
        <v>0</v>
      </c>
      <c r="AB24" s="144">
        <f>AA24/I24</f>
        <v>0</v>
      </c>
      <c r="AC24" s="163">
        <f>K24+N24+Q24+T24+W24+Z24</f>
        <v>85.61</v>
      </c>
      <c r="AD24" s="164">
        <f>L24+O24+R24+U24+X24+AA24</f>
        <v>5962223</v>
      </c>
      <c r="AE24" s="165">
        <f t="shared" ref="AE24" si="7">AD24/H24</f>
        <v>1</v>
      </c>
    </row>
    <row r="25" spans="1:31" ht="15" customHeight="1" x14ac:dyDescent="0.3">
      <c r="A25" s="1314"/>
      <c r="B25" s="1314"/>
      <c r="C25" s="196"/>
      <c r="D25" s="196" t="s">
        <v>278</v>
      </c>
      <c r="E25" s="198"/>
      <c r="F25" s="198"/>
      <c r="G25" s="198"/>
      <c r="H25" s="199">
        <f>H24</f>
        <v>5962223</v>
      </c>
      <c r="I25" s="199">
        <f>SUM(I24)</f>
        <v>6266310</v>
      </c>
      <c r="J25" s="1358"/>
      <c r="K25" s="150"/>
      <c r="L25" s="177">
        <f>L24</f>
        <v>0</v>
      </c>
      <c r="M25" s="178">
        <f t="shared" si="0"/>
        <v>0</v>
      </c>
      <c r="N25" s="150"/>
      <c r="O25" s="177">
        <f>O24</f>
        <v>0</v>
      </c>
      <c r="P25" s="178">
        <f t="shared" si="1"/>
        <v>0</v>
      </c>
      <c r="Q25" s="150"/>
      <c r="R25" s="177">
        <f>R24</f>
        <v>5962223</v>
      </c>
      <c r="S25" s="178">
        <f>R25/$H$25</f>
        <v>1</v>
      </c>
      <c r="T25" s="150"/>
      <c r="U25" s="289">
        <f>U24</f>
        <v>0</v>
      </c>
      <c r="V25" s="178">
        <f>U25/$H$25</f>
        <v>0</v>
      </c>
      <c r="W25" s="306"/>
      <c r="X25" s="307">
        <f>X24</f>
        <v>0</v>
      </c>
      <c r="Y25" s="308">
        <f>X25/$H$25</f>
        <v>0</v>
      </c>
      <c r="Z25" s="428"/>
      <c r="AA25" s="307">
        <f>AA24</f>
        <v>0</v>
      </c>
      <c r="AB25" s="431">
        <f>AA25/$I$25</f>
        <v>0</v>
      </c>
      <c r="AC25" s="150"/>
      <c r="AD25" s="289">
        <f>SUM(AD24)</f>
        <v>5962223</v>
      </c>
      <c r="AE25" s="178">
        <f>AD25/H25</f>
        <v>1</v>
      </c>
    </row>
    <row r="26" spans="1:31" x14ac:dyDescent="0.3">
      <c r="F26" s="151" t="s">
        <v>64</v>
      </c>
      <c r="G26" s="151"/>
      <c r="H26" s="181">
        <f>SUM(H14:H25)/2</f>
        <v>32183144</v>
      </c>
      <c r="I26" s="181">
        <f>SUM(I14:I25)/2</f>
        <v>33824497</v>
      </c>
      <c r="K26" s="152" t="s">
        <v>64</v>
      </c>
      <c r="L26" s="181">
        <f>SUM(L14:L25)/2</f>
        <v>2746755</v>
      </c>
      <c r="M26" s="201">
        <f>L26/H26</f>
        <v>8.5347627938401546E-2</v>
      </c>
      <c r="N26" s="152" t="s">
        <v>64</v>
      </c>
      <c r="O26" s="181">
        <f>SUM(O14:O25)/2</f>
        <v>2785755</v>
      </c>
      <c r="P26" s="201">
        <f>O26/H26</f>
        <v>8.6559442421163077E-2</v>
      </c>
      <c r="Q26" s="152" t="s">
        <v>64</v>
      </c>
      <c r="R26" s="181">
        <f>SUM(R14:R25)/2</f>
        <v>10349788</v>
      </c>
      <c r="S26" s="201">
        <f>R26/$H$26</f>
        <v>0.32159033312593699</v>
      </c>
      <c r="T26" s="152" t="s">
        <v>64</v>
      </c>
      <c r="U26" s="181">
        <f>SUM(U14:U25)/2</f>
        <v>4666139</v>
      </c>
      <c r="V26" s="201">
        <f>U26/$H$26</f>
        <v>0.14498704663534426</v>
      </c>
      <c r="W26" s="484" t="s">
        <v>64</v>
      </c>
      <c r="X26" s="481">
        <f>SUM(X14:X25)/2</f>
        <v>11351952</v>
      </c>
      <c r="Z26" s="484" t="s">
        <v>64</v>
      </c>
      <c r="AA26" s="481">
        <f>SUM(AA14:AA25)/2</f>
        <v>0</v>
      </c>
      <c r="AC26" s="484" t="s">
        <v>64</v>
      </c>
      <c r="AD26" s="481">
        <f>SUM(AD14:AD25)/2</f>
        <v>31900389</v>
      </c>
    </row>
    <row r="27" spans="1:31" x14ac:dyDescent="0.3">
      <c r="F27" s="153" t="s">
        <v>65</v>
      </c>
      <c r="G27" s="816"/>
      <c r="H27" s="182">
        <v>0</v>
      </c>
      <c r="I27" s="182">
        <v>0</v>
      </c>
      <c r="K27" s="153" t="s">
        <v>65</v>
      </c>
      <c r="L27" s="182">
        <v>0</v>
      </c>
      <c r="M27" s="148"/>
      <c r="N27" s="153" t="s">
        <v>65</v>
      </c>
      <c r="O27" s="182">
        <v>0</v>
      </c>
      <c r="P27" s="148"/>
      <c r="Q27" s="153" t="s">
        <v>65</v>
      </c>
      <c r="R27" s="182">
        <v>0</v>
      </c>
      <c r="S27" s="148"/>
      <c r="T27" s="153" t="s">
        <v>65</v>
      </c>
      <c r="U27" s="182">
        <v>0</v>
      </c>
      <c r="V27" s="148"/>
      <c r="W27" s="482" t="s">
        <v>65</v>
      </c>
      <c r="X27" s="483">
        <v>0</v>
      </c>
      <c r="Y27" s="302"/>
      <c r="Z27" s="482" t="s">
        <v>65</v>
      </c>
      <c r="AA27" s="483">
        <v>0</v>
      </c>
      <c r="AB27" s="795"/>
      <c r="AC27" s="482" t="s">
        <v>65</v>
      </c>
      <c r="AD27" s="483">
        <v>0</v>
      </c>
      <c r="AE27" s="148"/>
    </row>
    <row r="28" spans="1:31" x14ac:dyDescent="0.3">
      <c r="F28" s="152" t="s">
        <v>64</v>
      </c>
      <c r="G28" s="817"/>
      <c r="H28" s="182">
        <f>+H26+H27</f>
        <v>32183144</v>
      </c>
      <c r="I28" s="182">
        <f>+I26+I27</f>
        <v>33824497</v>
      </c>
      <c r="K28" s="152" t="s">
        <v>64</v>
      </c>
      <c r="L28" s="182">
        <f>+L26+L27</f>
        <v>2746755</v>
      </c>
      <c r="M28" s="148"/>
      <c r="N28" s="152" t="s">
        <v>64</v>
      </c>
      <c r="O28" s="182">
        <f>+O26+O27</f>
        <v>2785755</v>
      </c>
      <c r="P28" s="148"/>
      <c r="Q28" s="152" t="s">
        <v>64</v>
      </c>
      <c r="R28" s="182">
        <f>+R26+R27</f>
        <v>10349788</v>
      </c>
      <c r="S28" s="148"/>
      <c r="T28" s="152" t="s">
        <v>64</v>
      </c>
      <c r="U28" s="182">
        <f>+U26+U27</f>
        <v>4666139</v>
      </c>
      <c r="V28" s="148"/>
      <c r="W28" s="484" t="s">
        <v>64</v>
      </c>
      <c r="X28" s="483">
        <f>+X26+X27</f>
        <v>11351952</v>
      </c>
      <c r="Y28" s="302"/>
      <c r="Z28" s="484" t="s">
        <v>64</v>
      </c>
      <c r="AA28" s="483">
        <f>+AA26+AA27</f>
        <v>0</v>
      </c>
      <c r="AB28" s="795"/>
      <c r="AC28" s="484" t="s">
        <v>64</v>
      </c>
      <c r="AD28" s="483">
        <f>+AD26+AD27</f>
        <v>31900389</v>
      </c>
      <c r="AE28" s="148"/>
    </row>
    <row r="29" spans="1:31" ht="26.4" x14ac:dyDescent="0.3">
      <c r="F29" s="152"/>
      <c r="G29" s="817"/>
      <c r="H29" s="182"/>
      <c r="I29" s="182"/>
      <c r="K29" s="152"/>
      <c r="L29" s="182"/>
      <c r="M29" s="302"/>
      <c r="N29" s="152"/>
      <c r="O29" s="182"/>
      <c r="P29" s="302"/>
      <c r="Q29" s="152"/>
      <c r="R29" s="182"/>
      <c r="S29" s="302"/>
      <c r="T29" s="152"/>
      <c r="U29" s="182"/>
      <c r="V29" s="302"/>
      <c r="W29" s="484" t="s">
        <v>1439</v>
      </c>
      <c r="X29" s="483">
        <f>ROUND(X28*0.015,0)</f>
        <v>170279</v>
      </c>
      <c r="Y29" s="302"/>
      <c r="Z29" s="484" t="s">
        <v>1439</v>
      </c>
      <c r="AA29" s="483">
        <f>ROUND(AA28*0.015,0)</f>
        <v>0</v>
      </c>
      <c r="AB29" s="795"/>
      <c r="AC29" s="484" t="s">
        <v>1439</v>
      </c>
      <c r="AD29" s="483">
        <f>L29+O29+R29+U29+X29+AA29</f>
        <v>170279</v>
      </c>
      <c r="AE29" s="302"/>
    </row>
    <row r="30" spans="1:31" ht="26.4" x14ac:dyDescent="0.3">
      <c r="F30" s="152"/>
      <c r="G30" s="817"/>
      <c r="H30" s="182"/>
      <c r="I30" s="182"/>
      <c r="K30" s="152"/>
      <c r="L30" s="182"/>
      <c r="M30" s="302"/>
      <c r="N30" s="152"/>
      <c r="O30" s="182"/>
      <c r="P30" s="302"/>
      <c r="Q30" s="152"/>
      <c r="R30" s="182"/>
      <c r="S30" s="302"/>
      <c r="T30" s="152"/>
      <c r="U30" s="182"/>
      <c r="V30" s="302"/>
      <c r="W30" s="152" t="s">
        <v>1440</v>
      </c>
      <c r="X30" s="182">
        <f>X28+X29</f>
        <v>11522231</v>
      </c>
      <c r="Y30" s="201">
        <f>X30/$H$26</f>
        <v>0.35802067691086986</v>
      </c>
      <c r="Z30" s="152" t="s">
        <v>1440</v>
      </c>
      <c r="AA30" s="182">
        <f>AA28+AA29</f>
        <v>0</v>
      </c>
      <c r="AB30" s="201">
        <f>AA30/$H$26</f>
        <v>0</v>
      </c>
      <c r="AC30" s="152" t="s">
        <v>1440</v>
      </c>
      <c r="AD30" s="182">
        <f>AD28+AD29</f>
        <v>32070668</v>
      </c>
      <c r="AE30" s="630">
        <f>AD30/H26</f>
        <v>0.99650512703171579</v>
      </c>
    </row>
    <row r="31" spans="1:31" x14ac:dyDescent="0.3">
      <c r="F31" s="154" t="s">
        <v>66</v>
      </c>
      <c r="G31" s="818"/>
      <c r="H31" s="182">
        <f>+H28*19%</f>
        <v>6114797.3600000003</v>
      </c>
      <c r="I31" s="182">
        <f>+I28*19%</f>
        <v>6426654.4299999997</v>
      </c>
      <c r="K31" s="154" t="s">
        <v>66</v>
      </c>
      <c r="L31" s="182">
        <f>+L28*19%</f>
        <v>521883.45</v>
      </c>
      <c r="M31" s="148"/>
      <c r="N31" s="154" t="s">
        <v>66</v>
      </c>
      <c r="O31" s="182">
        <f>+O28*19%</f>
        <v>529293.44999999995</v>
      </c>
      <c r="P31" s="148"/>
      <c r="Q31" s="154" t="s">
        <v>66</v>
      </c>
      <c r="R31" s="182">
        <f>+R28*19%</f>
        <v>1966459.72</v>
      </c>
      <c r="S31" s="148"/>
      <c r="T31" s="154" t="s">
        <v>66</v>
      </c>
      <c r="U31" s="182">
        <f>+U28*19%</f>
        <v>886566.41</v>
      </c>
      <c r="V31" s="148"/>
      <c r="W31" s="485" t="s">
        <v>66</v>
      </c>
      <c r="X31" s="483">
        <f>ROUND(X30*0.19,0)</f>
        <v>2189224</v>
      </c>
      <c r="Y31" s="302"/>
      <c r="Z31" s="485" t="s">
        <v>66</v>
      </c>
      <c r="AA31" s="483">
        <f>ROUND(AA30*0.19,0)</f>
        <v>0</v>
      </c>
      <c r="AB31" s="795"/>
      <c r="AC31" s="485" t="s">
        <v>66</v>
      </c>
      <c r="AD31" s="483">
        <f>ROUND(AD30*0.19,0)</f>
        <v>6093427</v>
      </c>
      <c r="AE31" s="148"/>
    </row>
    <row r="32" spans="1:31" x14ac:dyDescent="0.3">
      <c r="F32" s="155" t="s">
        <v>69</v>
      </c>
      <c r="G32" s="155"/>
      <c r="H32" s="181">
        <f>+H28+H31</f>
        <v>38297941.359999999</v>
      </c>
      <c r="I32" s="181">
        <f>+I28+I31</f>
        <v>40251151.43</v>
      </c>
      <c r="K32" s="155" t="s">
        <v>69</v>
      </c>
      <c r="L32" s="181">
        <f>+L28+L31</f>
        <v>3268638.45</v>
      </c>
      <c r="M32" s="148"/>
      <c r="N32" s="155" t="s">
        <v>69</v>
      </c>
      <c r="O32" s="181">
        <f>+O28+O31</f>
        <v>3315048.45</v>
      </c>
      <c r="P32" s="148"/>
      <c r="Q32" s="155" t="s">
        <v>69</v>
      </c>
      <c r="R32" s="181">
        <f>+R28+R31</f>
        <v>12316247.720000001</v>
      </c>
      <c r="S32" s="148"/>
      <c r="T32" s="155" t="s">
        <v>69</v>
      </c>
      <c r="U32" s="181">
        <f>+U28+U31</f>
        <v>5552705.4100000001</v>
      </c>
      <c r="V32" s="148"/>
      <c r="W32" s="545" t="s">
        <v>69</v>
      </c>
      <c r="X32" s="481">
        <f>X30+X31</f>
        <v>13711455</v>
      </c>
      <c r="Y32" s="302"/>
      <c r="Z32" s="545" t="s">
        <v>69</v>
      </c>
      <c r="AA32" s="481">
        <f>AA30+AA31</f>
        <v>0</v>
      </c>
      <c r="AB32" s="795"/>
      <c r="AC32" s="545" t="s">
        <v>69</v>
      </c>
      <c r="AD32" s="481">
        <f>AD30+AD31</f>
        <v>38164095</v>
      </c>
      <c r="AE32" s="148"/>
    </row>
    <row r="36" spans="1:31" s="148" customFormat="1" x14ac:dyDescent="0.3">
      <c r="A36" s="183" t="s">
        <v>67</v>
      </c>
      <c r="B36" s="184"/>
      <c r="C36" s="184"/>
      <c r="D36" s="185" t="s">
        <v>68</v>
      </c>
      <c r="G36" s="795"/>
      <c r="I36" s="795"/>
      <c r="K36" s="186" t="s">
        <v>70</v>
      </c>
      <c r="L36" s="187" t="s">
        <v>71</v>
      </c>
      <c r="M36" s="186" t="s">
        <v>58</v>
      </c>
      <c r="N36" s="186" t="s">
        <v>70</v>
      </c>
      <c r="O36" s="187" t="s">
        <v>71</v>
      </c>
      <c r="P36" s="186" t="s">
        <v>58</v>
      </c>
      <c r="Q36" s="186" t="s">
        <v>70</v>
      </c>
      <c r="R36" s="187" t="s">
        <v>71</v>
      </c>
      <c r="S36" s="186" t="s">
        <v>58</v>
      </c>
      <c r="T36" s="186" t="s">
        <v>70</v>
      </c>
      <c r="U36" s="187" t="s">
        <v>71</v>
      </c>
      <c r="V36" s="186" t="s">
        <v>58</v>
      </c>
      <c r="W36" s="186" t="s">
        <v>70</v>
      </c>
      <c r="X36" s="187" t="s">
        <v>71</v>
      </c>
      <c r="Y36" s="186" t="s">
        <v>58</v>
      </c>
      <c r="Z36" s="186" t="s">
        <v>70</v>
      </c>
      <c r="AA36" s="187" t="s">
        <v>71</v>
      </c>
      <c r="AB36" s="186" t="s">
        <v>58</v>
      </c>
      <c r="AC36" s="189"/>
      <c r="AD36" s="189"/>
      <c r="AE36" s="189"/>
    </row>
    <row r="37" spans="1:31" s="148" customFormat="1" x14ac:dyDescent="0.3">
      <c r="A37" s="183"/>
      <c r="B37" s="184"/>
      <c r="C37" s="184"/>
      <c r="D37" s="185"/>
      <c r="G37" s="795"/>
      <c r="I37" s="795"/>
      <c r="K37" s="203" t="s">
        <v>72</v>
      </c>
      <c r="L37" s="204">
        <f>L28</f>
        <v>2746755</v>
      </c>
      <c r="M37" s="205">
        <f>M26</f>
        <v>8.5347627938401546E-2</v>
      </c>
      <c r="N37" s="203" t="s">
        <v>72</v>
      </c>
      <c r="O37" s="204">
        <f>L26</f>
        <v>2746755</v>
      </c>
      <c r="P37" s="205">
        <f>M26</f>
        <v>8.5347627938401546E-2</v>
      </c>
      <c r="Q37" s="203" t="s">
        <v>72</v>
      </c>
      <c r="R37" s="204">
        <f>$L$26</f>
        <v>2746755</v>
      </c>
      <c r="S37" s="205">
        <f>$M$26</f>
        <v>8.5347627938401546E-2</v>
      </c>
      <c r="T37" s="203" t="s">
        <v>72</v>
      </c>
      <c r="U37" s="204">
        <f>$L$26</f>
        <v>2746755</v>
      </c>
      <c r="V37" s="205">
        <f>$M$26</f>
        <v>8.5347627938401546E-2</v>
      </c>
      <c r="W37" s="203" t="s">
        <v>72</v>
      </c>
      <c r="X37" s="204">
        <f>$L$26</f>
        <v>2746755</v>
      </c>
      <c r="Y37" s="205">
        <f>$M$26</f>
        <v>8.5347627938401546E-2</v>
      </c>
      <c r="Z37" s="203" t="s">
        <v>72</v>
      </c>
      <c r="AA37" s="204">
        <f>$L$26</f>
        <v>2746755</v>
      </c>
      <c r="AB37" s="205">
        <f>$M$26</f>
        <v>8.5347627938401546E-2</v>
      </c>
      <c r="AC37" s="189"/>
      <c r="AD37" s="189"/>
      <c r="AE37" s="189"/>
    </row>
    <row r="38" spans="1:31" s="148" customFormat="1" x14ac:dyDescent="0.3">
      <c r="A38" s="183"/>
      <c r="B38" s="184"/>
      <c r="C38" s="184"/>
      <c r="D38" s="185"/>
      <c r="G38" s="795"/>
      <c r="I38" s="795"/>
      <c r="K38" s="203"/>
      <c r="L38" s="204"/>
      <c r="M38" s="205"/>
      <c r="N38" s="203" t="s">
        <v>73</v>
      </c>
      <c r="O38" s="204">
        <f>O26</f>
        <v>2785755</v>
      </c>
      <c r="P38" s="252">
        <f>P26</f>
        <v>8.6559442421163077E-2</v>
      </c>
      <c r="Q38" s="203" t="s">
        <v>73</v>
      </c>
      <c r="R38" s="204">
        <f>$O$26</f>
        <v>2785755</v>
      </c>
      <c r="S38" s="205">
        <f>$P$26</f>
        <v>8.6559442421163077E-2</v>
      </c>
      <c r="T38" s="203" t="s">
        <v>73</v>
      </c>
      <c r="U38" s="204">
        <f>$O$26</f>
        <v>2785755</v>
      </c>
      <c r="V38" s="205">
        <f>$P$26</f>
        <v>8.6559442421163077E-2</v>
      </c>
      <c r="W38" s="203" t="s">
        <v>73</v>
      </c>
      <c r="X38" s="204">
        <f>$O$26</f>
        <v>2785755</v>
      </c>
      <c r="Y38" s="205">
        <f>$P$26</f>
        <v>8.6559442421163077E-2</v>
      </c>
      <c r="Z38" s="203" t="s">
        <v>73</v>
      </c>
      <c r="AA38" s="204">
        <f>$O$26</f>
        <v>2785755</v>
      </c>
      <c r="AB38" s="205">
        <f>$P$26</f>
        <v>8.6559442421163077E-2</v>
      </c>
      <c r="AC38" s="189"/>
      <c r="AD38" s="189"/>
      <c r="AE38" s="189"/>
    </row>
    <row r="39" spans="1:31" s="148" customFormat="1" x14ac:dyDescent="0.3">
      <c r="A39" s="183"/>
      <c r="B39" s="184"/>
      <c r="C39" s="184"/>
      <c r="D39" s="185"/>
      <c r="G39" s="795"/>
      <c r="I39" s="795"/>
      <c r="K39" s="203"/>
      <c r="L39" s="204"/>
      <c r="M39" s="205"/>
      <c r="N39" s="203"/>
      <c r="O39" s="204"/>
      <c r="P39" s="252"/>
      <c r="Q39" s="203" t="s">
        <v>74</v>
      </c>
      <c r="R39" s="204">
        <f>$R$26</f>
        <v>10349788</v>
      </c>
      <c r="S39" s="205">
        <f>$S$26</f>
        <v>0.32159033312593699</v>
      </c>
      <c r="T39" s="203" t="s">
        <v>74</v>
      </c>
      <c r="U39" s="204">
        <f>$R$26</f>
        <v>10349788</v>
      </c>
      <c r="V39" s="205">
        <f>$S$26</f>
        <v>0.32159033312593699</v>
      </c>
      <c r="W39" s="203" t="s">
        <v>74</v>
      </c>
      <c r="X39" s="204">
        <f>$R$26</f>
        <v>10349788</v>
      </c>
      <c r="Y39" s="205">
        <f>$S$26</f>
        <v>0.32159033312593699</v>
      </c>
      <c r="Z39" s="203" t="s">
        <v>74</v>
      </c>
      <c r="AA39" s="204">
        <f>$R$26</f>
        <v>10349788</v>
      </c>
      <c r="AB39" s="205">
        <f>$S$26</f>
        <v>0.32159033312593699</v>
      </c>
      <c r="AC39" s="189"/>
      <c r="AD39" s="189"/>
      <c r="AE39" s="189"/>
    </row>
    <row r="40" spans="1:31" s="148" customFormat="1" x14ac:dyDescent="0.3">
      <c r="A40" s="183"/>
      <c r="B40" s="184"/>
      <c r="C40" s="184"/>
      <c r="D40" s="185"/>
      <c r="G40" s="795"/>
      <c r="I40" s="795"/>
      <c r="K40" s="203"/>
      <c r="L40" s="204"/>
      <c r="M40" s="205"/>
      <c r="N40" s="203"/>
      <c r="O40" s="204"/>
      <c r="P40" s="252"/>
      <c r="Q40" s="203"/>
      <c r="R40" s="204"/>
      <c r="S40" s="205"/>
      <c r="T40" s="203" t="s">
        <v>155</v>
      </c>
      <c r="U40" s="204">
        <f>$U$26</f>
        <v>4666139</v>
      </c>
      <c r="V40" s="205">
        <f>$V$26</f>
        <v>0.14498704663534426</v>
      </c>
      <c r="W40" s="203" t="s">
        <v>155</v>
      </c>
      <c r="X40" s="204">
        <f>$U$26</f>
        <v>4666139</v>
      </c>
      <c r="Y40" s="205">
        <f>$V$26</f>
        <v>0.14498704663534426</v>
      </c>
      <c r="Z40" s="203" t="s">
        <v>155</v>
      </c>
      <c r="AA40" s="204">
        <f>$U$26</f>
        <v>4666139</v>
      </c>
      <c r="AB40" s="205">
        <f>$V$26</f>
        <v>0.14498704663534426</v>
      </c>
      <c r="AC40" s="189"/>
      <c r="AD40" s="189"/>
      <c r="AE40" s="189"/>
    </row>
    <row r="41" spans="1:31" s="302" customFormat="1" x14ac:dyDescent="0.3">
      <c r="A41" s="183"/>
      <c r="B41" s="184"/>
      <c r="C41" s="184"/>
      <c r="D41" s="185"/>
      <c r="G41" s="795"/>
      <c r="I41" s="795"/>
      <c r="K41" s="203"/>
      <c r="L41" s="204"/>
      <c r="M41" s="205"/>
      <c r="N41" s="203"/>
      <c r="O41" s="204"/>
      <c r="P41" s="252"/>
      <c r="Q41" s="203"/>
      <c r="R41" s="204"/>
      <c r="S41" s="205"/>
      <c r="T41" s="203"/>
      <c r="U41" s="204"/>
      <c r="V41" s="205"/>
      <c r="W41" s="203" t="s">
        <v>352</v>
      </c>
      <c r="X41" s="204">
        <f>$X$30</f>
        <v>11522231</v>
      </c>
      <c r="Y41" s="205">
        <f>$Y$30</f>
        <v>0.35802067691086986</v>
      </c>
      <c r="Z41" s="203" t="s">
        <v>352</v>
      </c>
      <c r="AA41" s="204">
        <f>$X$30</f>
        <v>11522231</v>
      </c>
      <c r="AB41" s="205">
        <f>$Y$30</f>
        <v>0.35802067691086986</v>
      </c>
      <c r="AC41" s="189"/>
      <c r="AD41" s="189"/>
      <c r="AE41" s="189"/>
    </row>
    <row r="42" spans="1:31" s="795" customFormat="1" x14ac:dyDescent="0.3">
      <c r="A42" s="183"/>
      <c r="B42" s="184"/>
      <c r="C42" s="184"/>
      <c r="D42" s="185"/>
      <c r="K42" s="203"/>
      <c r="L42" s="204"/>
      <c r="M42" s="205"/>
      <c r="N42" s="203"/>
      <c r="O42" s="204"/>
      <c r="P42" s="252"/>
      <c r="Q42" s="203"/>
      <c r="R42" s="204"/>
      <c r="S42" s="205"/>
      <c r="T42" s="203"/>
      <c r="U42" s="204"/>
      <c r="V42" s="205"/>
      <c r="W42" s="203"/>
      <c r="X42" s="204"/>
      <c r="Y42" s="205"/>
      <c r="Z42" s="203" t="s">
        <v>979</v>
      </c>
      <c r="AA42" s="204">
        <f>+AA30</f>
        <v>0</v>
      </c>
      <c r="AB42" s="205">
        <f>+AB30</f>
        <v>0</v>
      </c>
      <c r="AC42" s="796"/>
      <c r="AD42" s="796"/>
      <c r="AE42" s="796"/>
    </row>
    <row r="43" spans="1:31" s="148" customFormat="1" x14ac:dyDescent="0.3">
      <c r="A43" s="183"/>
      <c r="B43" s="184"/>
      <c r="C43" s="184"/>
      <c r="D43" s="185"/>
      <c r="G43" s="795"/>
      <c r="I43" s="795"/>
      <c r="K43" s="206" t="s">
        <v>1</v>
      </c>
      <c r="L43" s="207">
        <f>SUM(L37:L37)</f>
        <v>2746755</v>
      </c>
      <c r="M43" s="208">
        <f>SUM(M37:M37)</f>
        <v>8.5347627938401546E-2</v>
      </c>
      <c r="N43" s="206" t="s">
        <v>1</v>
      </c>
      <c r="O43" s="207">
        <f>SUM(O37:O38)</f>
        <v>5532510</v>
      </c>
      <c r="P43" s="253">
        <f>SUM(P37:P38)</f>
        <v>0.17190707035956462</v>
      </c>
      <c r="Q43" s="206" t="s">
        <v>1</v>
      </c>
      <c r="R43" s="207">
        <f>SUM(R37:R$39)</f>
        <v>15882298</v>
      </c>
      <c r="S43" s="208">
        <f>SUM(S37:S39)</f>
        <v>0.49349740348550164</v>
      </c>
      <c r="T43" s="206" t="s">
        <v>1</v>
      </c>
      <c r="U43" s="207">
        <f>SUM(U37:U$40)</f>
        <v>20548437</v>
      </c>
      <c r="V43" s="208">
        <f>SUM(V37:V40)</f>
        <v>0.63848445012084587</v>
      </c>
      <c r="W43" s="206" t="s">
        <v>1</v>
      </c>
      <c r="X43" s="207">
        <f>SUM(X37:X$41)</f>
        <v>32070668</v>
      </c>
      <c r="Y43" s="253">
        <f>SUM(Y37:Y41)</f>
        <v>0.99650512703171579</v>
      </c>
      <c r="Z43" s="206" t="s">
        <v>1</v>
      </c>
      <c r="AA43" s="207">
        <f>SUM(AA37:AA$42)</f>
        <v>32070668</v>
      </c>
      <c r="AB43" s="253">
        <f>SUM(AB37:AB42)</f>
        <v>0.99650512703171579</v>
      </c>
      <c r="AC43" s="189"/>
      <c r="AD43" s="189"/>
      <c r="AE43" s="189"/>
    </row>
    <row r="44" spans="1:31" s="148" customFormat="1" x14ac:dyDescent="0.3">
      <c r="A44" s="183"/>
      <c r="B44" s="184"/>
      <c r="C44" s="184"/>
      <c r="D44" s="185"/>
      <c r="G44" s="795"/>
      <c r="I44" s="795"/>
      <c r="K44" s="206" t="s">
        <v>9</v>
      </c>
      <c r="L44" s="1285"/>
      <c r="M44" s="1286"/>
      <c r="N44" s="206" t="s">
        <v>9</v>
      </c>
      <c r="O44" s="1285"/>
      <c r="P44" s="1286"/>
      <c r="Q44" s="206" t="s">
        <v>9</v>
      </c>
      <c r="R44" s="1285"/>
      <c r="S44" s="1286"/>
      <c r="T44" s="206" t="s">
        <v>9</v>
      </c>
      <c r="U44" s="1285"/>
      <c r="V44" s="1286"/>
      <c r="W44" s="206" t="s">
        <v>9</v>
      </c>
      <c r="X44" s="1285"/>
      <c r="Y44" s="1286"/>
      <c r="Z44" s="206" t="s">
        <v>9</v>
      </c>
      <c r="AA44" s="1285"/>
      <c r="AB44" s="1286"/>
      <c r="AC44" s="189"/>
      <c r="AD44" s="189"/>
      <c r="AE44" s="189"/>
    </row>
    <row r="45" spans="1:31" s="148" customFormat="1" x14ac:dyDescent="0.3">
      <c r="A45" s="183"/>
      <c r="B45" s="184"/>
      <c r="C45" s="184"/>
      <c r="D45" s="185"/>
      <c r="G45" s="795"/>
      <c r="I45" s="795"/>
      <c r="K45" s="156" t="s">
        <v>78</v>
      </c>
      <c r="L45" s="1285" t="s">
        <v>350</v>
      </c>
      <c r="M45" s="1286"/>
      <c r="N45" s="156" t="s">
        <v>78</v>
      </c>
      <c r="O45" s="1285" t="s">
        <v>350</v>
      </c>
      <c r="P45" s="1286"/>
      <c r="Q45" s="156" t="s">
        <v>78</v>
      </c>
      <c r="R45" s="1285" t="s">
        <v>350</v>
      </c>
      <c r="S45" s="1286"/>
      <c r="T45" s="156" t="s">
        <v>78</v>
      </c>
      <c r="U45" s="1285" t="s">
        <v>350</v>
      </c>
      <c r="V45" s="1286"/>
      <c r="W45" s="156" t="s">
        <v>78</v>
      </c>
      <c r="X45" s="1285" t="s">
        <v>350</v>
      </c>
      <c r="Y45" s="1286"/>
      <c r="Z45" s="156" t="s">
        <v>78</v>
      </c>
      <c r="AA45" s="1285" t="s">
        <v>350</v>
      </c>
      <c r="AB45" s="1286"/>
      <c r="AC45" s="189"/>
      <c r="AD45" s="189"/>
      <c r="AE45" s="189"/>
    </row>
    <row r="46" spans="1:31" s="148" customFormat="1" x14ac:dyDescent="0.3">
      <c r="A46" s="183"/>
      <c r="B46" s="184"/>
      <c r="C46" s="184"/>
      <c r="D46" s="185"/>
      <c r="G46" s="795"/>
      <c r="I46" s="795"/>
      <c r="K46" s="157" t="s">
        <v>8</v>
      </c>
      <c r="L46" s="1287" t="s">
        <v>351</v>
      </c>
      <c r="M46" s="1288"/>
      <c r="N46" s="157" t="s">
        <v>8</v>
      </c>
      <c r="O46" s="1287" t="s">
        <v>351</v>
      </c>
      <c r="P46" s="1288"/>
      <c r="Q46" s="157" t="s">
        <v>8</v>
      </c>
      <c r="R46" s="1287" t="s">
        <v>351</v>
      </c>
      <c r="S46" s="1288"/>
      <c r="T46" s="157" t="s">
        <v>8</v>
      </c>
      <c r="U46" s="1287" t="s">
        <v>351</v>
      </c>
      <c r="V46" s="1288"/>
      <c r="W46" s="157" t="s">
        <v>8</v>
      </c>
      <c r="X46" s="1287" t="s">
        <v>351</v>
      </c>
      <c r="Y46" s="1288"/>
      <c r="Z46" s="157" t="s">
        <v>8</v>
      </c>
      <c r="AA46" s="1287" t="s">
        <v>351</v>
      </c>
      <c r="AB46" s="1288"/>
      <c r="AC46" s="189"/>
      <c r="AD46" s="189"/>
      <c r="AE46" s="189"/>
    </row>
    <row r="47" spans="1:31" s="148" customFormat="1" x14ac:dyDescent="0.3">
      <c r="A47" s="183"/>
      <c r="B47" s="184"/>
      <c r="C47" s="184"/>
      <c r="D47" s="185" t="s">
        <v>75</v>
      </c>
      <c r="G47" s="795"/>
      <c r="I47" s="795"/>
      <c r="W47" s="302"/>
      <c r="X47" s="302"/>
      <c r="Y47" s="302"/>
      <c r="Z47" s="795"/>
      <c r="AA47" s="795"/>
      <c r="AB47" s="795"/>
    </row>
    <row r="48" spans="1:31" s="148" customFormat="1" x14ac:dyDescent="0.3">
      <c r="A48" s="183" t="s">
        <v>76</v>
      </c>
      <c r="B48" s="180"/>
      <c r="C48" s="180"/>
      <c r="D48" s="185" t="s">
        <v>77</v>
      </c>
      <c r="G48" s="795"/>
      <c r="I48" s="795"/>
      <c r="W48" s="302"/>
      <c r="X48" s="302"/>
      <c r="Y48" s="302"/>
      <c r="Z48" s="795"/>
      <c r="AA48" s="795"/>
      <c r="AB48" s="795"/>
    </row>
    <row r="49" spans="1:28" s="148" customFormat="1" x14ac:dyDescent="0.3">
      <c r="A49" s="183" t="s">
        <v>79</v>
      </c>
      <c r="B49" s="180"/>
      <c r="C49" s="180"/>
      <c r="D49" s="185" t="s">
        <v>80</v>
      </c>
      <c r="G49" s="795"/>
      <c r="I49" s="795"/>
      <c r="W49" s="302"/>
      <c r="X49" s="302"/>
      <c r="Y49" s="302"/>
      <c r="Z49" s="795"/>
      <c r="AA49" s="795"/>
      <c r="AB49" s="795"/>
    </row>
  </sheetData>
  <sheetProtection formatCells="0" formatColumns="0" formatRows="0" insertColumns="0" insertRows="0" insertHyperlinks="0" deleteColumns="0" deleteRows="0" sort="0" autoFilter="0" pivotTables="0"/>
  <mergeCells count="56">
    <mergeCell ref="X44:Y44"/>
    <mergeCell ref="X45:Y45"/>
    <mergeCell ref="X46:Y46"/>
    <mergeCell ref="U44:V44"/>
    <mergeCell ref="U45:V45"/>
    <mergeCell ref="U46:V46"/>
    <mergeCell ref="R44:S44"/>
    <mergeCell ref="R45:S45"/>
    <mergeCell ref="R46:S46"/>
    <mergeCell ref="L44:M44"/>
    <mergeCell ref="O44:P44"/>
    <mergeCell ref="L45:M45"/>
    <mergeCell ref="O45:P45"/>
    <mergeCell ref="L46:M46"/>
    <mergeCell ref="O46:P46"/>
    <mergeCell ref="A18:A19"/>
    <mergeCell ref="B18:B19"/>
    <mergeCell ref="J18:J19"/>
    <mergeCell ref="A20:A21"/>
    <mergeCell ref="B20:B21"/>
    <mergeCell ref="J20:J21"/>
    <mergeCell ref="A22:A23"/>
    <mergeCell ref="B22:B23"/>
    <mergeCell ref="J22:J23"/>
    <mergeCell ref="A24:A25"/>
    <mergeCell ref="B24:B25"/>
    <mergeCell ref="J24:J25"/>
    <mergeCell ref="A9:AE9"/>
    <mergeCell ref="A10:AE10"/>
    <mergeCell ref="W11:Y12"/>
    <mergeCell ref="Z11:AB12"/>
    <mergeCell ref="A16:A17"/>
    <mergeCell ref="B16:B17"/>
    <mergeCell ref="J16:J17"/>
    <mergeCell ref="K11:M12"/>
    <mergeCell ref="N11:P12"/>
    <mergeCell ref="B11:J11"/>
    <mergeCell ref="A14:A15"/>
    <mergeCell ref="B14:B15"/>
    <mergeCell ref="J14:J15"/>
    <mergeCell ref="AA44:AB44"/>
    <mergeCell ref="AA45:AB45"/>
    <mergeCell ref="AA46:AB46"/>
    <mergeCell ref="AC1:AE1"/>
    <mergeCell ref="AC2:AE2"/>
    <mergeCell ref="A3:AE3"/>
    <mergeCell ref="A4:AE4"/>
    <mergeCell ref="C1:Y2"/>
    <mergeCell ref="AC11:AE12"/>
    <mergeCell ref="B12:J12"/>
    <mergeCell ref="Q11:S12"/>
    <mergeCell ref="T11:V12"/>
    <mergeCell ref="A5:AE5"/>
    <mergeCell ref="A6:AE6"/>
    <mergeCell ref="A7:AE7"/>
    <mergeCell ref="A8:AE8"/>
  </mergeCells>
  <pageMargins left="0.7" right="0.7" top="0.75" bottom="0.75" header="0.3" footer="0.3"/>
  <pageSetup scale="40" orientation="landscape" r:id="rId1"/>
  <drawing r:id="rId2"/>
  <legacyDrawing r:id="rId3"/>
  <legacyDrawingHF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tabColor theme="1"/>
  </sheetPr>
  <dimension ref="A1:G52"/>
  <sheetViews>
    <sheetView topLeftCell="A13"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RESUMEN!G24</f>
        <v>Proyecto: NORMALIZACIÓN SSEE SATÉLITE-ROSARIO CSPQ CS27 ROSARIO UOB, ubicado en Calle 62B #26-66</v>
      </c>
      <c r="C5" s="1281"/>
      <c r="D5" s="1281"/>
      <c r="E5" s="1281"/>
      <c r="F5" s="1281"/>
      <c r="G5" s="1282"/>
    </row>
    <row r="6" spans="1:7" x14ac:dyDescent="0.25">
      <c r="A6" s="1177"/>
      <c r="B6" s="1177"/>
      <c r="C6" s="1177"/>
      <c r="D6" s="1177"/>
      <c r="E6" s="1177"/>
      <c r="F6" s="1177"/>
      <c r="G6" s="1177"/>
    </row>
    <row r="7" spans="1:7" x14ac:dyDescent="0.25">
      <c r="A7" s="271" t="s">
        <v>0</v>
      </c>
      <c r="B7" s="1264" t="str">
        <f>RESUMEN!B24</f>
        <v>D00249179</v>
      </c>
      <c r="C7" s="1265"/>
      <c r="D7" s="1177"/>
      <c r="E7" s="1266" t="s">
        <v>627</v>
      </c>
      <c r="F7" s="1267"/>
      <c r="G7" s="280" t="str">
        <f>RESUMEN!E24</f>
        <v>17-152</v>
      </c>
    </row>
    <row r="8" spans="1:7" x14ac:dyDescent="0.25">
      <c r="A8" s="271" t="s">
        <v>628</v>
      </c>
      <c r="B8" s="1264" t="str">
        <f>RESUMEN!C24</f>
        <v>D00249179000</v>
      </c>
      <c r="C8" s="1265"/>
      <c r="D8" s="1177"/>
      <c r="E8" s="1266" t="s">
        <v>629</v>
      </c>
      <c r="F8" s="1267"/>
      <c r="G8" s="280" t="str">
        <f>RESUMEN!U24</f>
        <v>Acta N° 6: Marzo</v>
      </c>
    </row>
    <row r="9" spans="1:7" x14ac:dyDescent="0.25">
      <c r="A9" s="271" t="s">
        <v>630</v>
      </c>
      <c r="B9" s="1283" t="s">
        <v>631</v>
      </c>
      <c r="C9" s="1265"/>
      <c r="D9" s="1177"/>
      <c r="E9" s="1266" t="s">
        <v>632</v>
      </c>
      <c r="F9" s="1267"/>
      <c r="G9" s="1178">
        <f>RESUMEN!H24</f>
        <v>26133862</v>
      </c>
    </row>
    <row r="10" spans="1:7" x14ac:dyDescent="0.25">
      <c r="A10" s="271" t="s">
        <v>633</v>
      </c>
      <c r="B10" s="1283" t="str">
        <f>RESUMEN!D24</f>
        <v>SATELITE ROSARIO</v>
      </c>
      <c r="C10" s="1265"/>
      <c r="D10" s="1177"/>
      <c r="E10" s="1266" t="s">
        <v>634</v>
      </c>
      <c r="F10" s="1267"/>
      <c r="G10" s="1178">
        <f>RESUMEN!R24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",RESUMEN!G24)</f>
        <v>A los 14 días del mes de Marzo se reunieron en las instalaciones de CODENSA S.A. E.S.P., los ingenieros Ing. David Jaramillo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NORMALIZACIÓN SSEE SATÉLITE-ROSARIO CSPQ CS27 ROSARIO UOB, ubicado en Calle 62B #26-66</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RESUMEN!N24</f>
        <v>0</v>
      </c>
      <c r="F19" s="1248"/>
      <c r="G19" s="1177"/>
    </row>
    <row r="20" spans="1:7" ht="27" customHeight="1" x14ac:dyDescent="0.25">
      <c r="A20" s="1177"/>
      <c r="B20" s="1244" t="s">
        <v>1498</v>
      </c>
      <c r="C20" s="1245"/>
      <c r="D20" s="1246"/>
      <c r="E20" s="1247">
        <f>RESUMEN!P24</f>
        <v>0</v>
      </c>
      <c r="F20" s="1248"/>
      <c r="G20" s="1177"/>
    </row>
    <row r="21" spans="1:7" ht="27" customHeight="1" x14ac:dyDescent="0.25">
      <c r="A21" s="1177"/>
      <c r="B21" s="1244" t="s">
        <v>1499</v>
      </c>
      <c r="C21" s="1245"/>
      <c r="D21" s="1246"/>
      <c r="E21" s="1247">
        <f>RESUMEN!Q24</f>
        <v>0</v>
      </c>
      <c r="F21" s="1248"/>
      <c r="G21" s="1177"/>
    </row>
    <row r="22" spans="1:7" x14ac:dyDescent="0.25">
      <c r="A22" s="1177"/>
      <c r="B22" s="1254" t="s">
        <v>64</v>
      </c>
      <c r="C22" s="1254"/>
      <c r="D22" s="1254"/>
      <c r="E22" s="1255">
        <f>RESUMEN!R24</f>
        <v>0</v>
      </c>
      <c r="F22" s="1255"/>
      <c r="G22" s="1177"/>
    </row>
    <row r="23" spans="1:7" x14ac:dyDescent="0.25">
      <c r="A23" s="1177"/>
      <c r="B23" s="1256" t="s">
        <v>66</v>
      </c>
      <c r="C23" s="1256"/>
      <c r="D23" s="1256"/>
      <c r="E23" s="1257">
        <f>RESUMEN!S24</f>
        <v>0</v>
      </c>
      <c r="F23" s="1257"/>
      <c r="G23" s="1177"/>
    </row>
    <row r="24" spans="1:7" x14ac:dyDescent="0.25">
      <c r="A24" s="1177"/>
      <c r="B24" s="1258" t="s">
        <v>1</v>
      </c>
      <c r="C24" s="1258"/>
      <c r="D24" s="1258"/>
      <c r="E24" s="1259">
        <f>RESUMEN!T24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+'OT17-152 SATÉLITE SIMP ROSARIO'!Z36</f>
        <v>ACTA 1</v>
      </c>
      <c r="C28" s="1253">
        <f>+'OT17-152 SATÉLITE SIMP ROSARIO'!AA36</f>
        <v>3687643</v>
      </c>
      <c r="D28" s="1253"/>
      <c r="E28" s="267">
        <f>+'OT17-152 SATÉLITE SIMP ROSARIO'!AB36</f>
        <v>0.14110593374986063</v>
      </c>
      <c r="F28" s="1177"/>
      <c r="G28" s="1177"/>
    </row>
    <row r="29" spans="1:7" x14ac:dyDescent="0.25">
      <c r="A29" s="1177"/>
      <c r="B29" s="280" t="str">
        <f>+'OT17-152 SATÉLITE SIMP ROSARIO'!Z37</f>
        <v>ACTA 2</v>
      </c>
      <c r="C29" s="1253">
        <f>+'OT17-152 SATÉLITE SIMP ROSARIO'!AA37</f>
        <v>11365880</v>
      </c>
      <c r="D29" s="1253"/>
      <c r="E29" s="267">
        <f>+'OT17-152 SATÉLITE SIMP ROSARIO'!AB37</f>
        <v>0.4349100794976265</v>
      </c>
      <c r="F29" s="1177"/>
      <c r="G29" s="1177"/>
    </row>
    <row r="30" spans="1:7" x14ac:dyDescent="0.25">
      <c r="A30" s="1177"/>
      <c r="B30" s="280" t="str">
        <f>+'OT17-152 SATÉLITE SIMP ROSARIO'!Z38</f>
        <v>ACTA 3</v>
      </c>
      <c r="C30" s="1253">
        <f>+'OT17-152 SATÉLITE SIMP ROSARIO'!AA38</f>
        <v>1696525</v>
      </c>
      <c r="D30" s="1253"/>
      <c r="E30" s="267">
        <f>+'OT17-152 SATÉLITE SIMP ROSARIO'!AB38</f>
        <v>6.4916735230330674E-2</v>
      </c>
      <c r="F30" s="1177"/>
      <c r="G30" s="1177"/>
    </row>
    <row r="31" spans="1:7" x14ac:dyDescent="0.25">
      <c r="A31" s="1177"/>
      <c r="B31" s="280" t="str">
        <f>+'OT17-152 SATÉLITE SIMP ROSARIO'!Z39</f>
        <v>ACTA 4</v>
      </c>
      <c r="C31" s="1253">
        <f>+'OT17-152 SATÉLITE SIMP ROSARIO'!AA39</f>
        <v>2158230</v>
      </c>
      <c r="D31" s="1253"/>
      <c r="E31" s="267">
        <f>+'OT17-152 SATÉLITE SIMP ROSARIO'!AB39</f>
        <v>8.2583660998898675E-2</v>
      </c>
      <c r="F31" s="1177"/>
      <c r="G31" s="1177"/>
    </row>
    <row r="32" spans="1:7" x14ac:dyDescent="0.25">
      <c r="A32" s="1177"/>
      <c r="B32" s="280" t="str">
        <f>+'OT17-152 SATÉLITE SIMP ROSARIO'!Z40</f>
        <v>ACTA 5</v>
      </c>
      <c r="C32" s="1253">
        <f>+'OT17-152 SATÉLITE SIMP ROSARIO'!AA40</f>
        <v>2158230</v>
      </c>
      <c r="D32" s="1253"/>
      <c r="E32" s="267">
        <f>+'OT17-152 SATÉLITE SIMP ROSARIO'!AB40</f>
        <v>8.2583660998898675E-2</v>
      </c>
      <c r="F32" s="1177"/>
      <c r="G32" s="1177"/>
    </row>
    <row r="33" spans="1:7" x14ac:dyDescent="0.25">
      <c r="A33" s="1177"/>
      <c r="B33" s="280" t="str">
        <f>+'OT17-152 SATÉLITE SIMP ROSARIO'!Z41</f>
        <v>ACTA 6</v>
      </c>
      <c r="C33" s="1253">
        <f>+'OT17-152 SATÉLITE SIMP ROSARIO'!AA41</f>
        <v>0</v>
      </c>
      <c r="D33" s="1253"/>
      <c r="E33" s="267">
        <f>+'OT17-152 SATÉLITE SIMP ROSARIO'!AB41</f>
        <v>0</v>
      </c>
      <c r="F33" s="1177"/>
      <c r="G33" s="1177"/>
    </row>
    <row r="34" spans="1:7" x14ac:dyDescent="0.25">
      <c r="A34" s="1177"/>
      <c r="B34" s="280"/>
      <c r="C34" s="1253"/>
      <c r="D34" s="1253"/>
      <c r="E34" s="267"/>
      <c r="F34" s="1177"/>
      <c r="G34" s="1177"/>
    </row>
    <row r="35" spans="1:7" x14ac:dyDescent="0.25">
      <c r="A35" s="1177"/>
      <c r="B35" s="280"/>
      <c r="C35" s="1253"/>
      <c r="D35" s="1253"/>
      <c r="E35" s="267"/>
      <c r="F35" s="1177"/>
      <c r="G35" s="1177"/>
    </row>
    <row r="36" spans="1:7" x14ac:dyDescent="0.25">
      <c r="A36" s="1177"/>
      <c r="B36" s="280"/>
      <c r="C36" s="1253"/>
      <c r="D36" s="1253"/>
      <c r="E36" s="267"/>
      <c r="F36" s="1177"/>
      <c r="G36" s="1177"/>
    </row>
    <row r="37" spans="1:7" x14ac:dyDescent="0.25">
      <c r="A37" s="1177"/>
      <c r="B37" s="263" t="s">
        <v>1</v>
      </c>
      <c r="C37" s="1251">
        <f>SUM(C28:D36)</f>
        <v>21066508</v>
      </c>
      <c r="D37" s="1251"/>
      <c r="E37" s="264">
        <f>SUM(E28:E36)</f>
        <v>0.80610007047561527</v>
      </c>
      <c r="F37" s="1177"/>
      <c r="G37" s="1177"/>
    </row>
    <row r="38" spans="1:7" x14ac:dyDescent="0.25">
      <c r="A38" s="1177"/>
      <c r="B38" s="1177"/>
      <c r="C38" s="1177"/>
      <c r="D38" s="1177"/>
      <c r="E38" s="1177"/>
      <c r="F38" s="1177"/>
      <c r="G38" s="260"/>
    </row>
    <row r="39" spans="1:7" x14ac:dyDescent="0.25">
      <c r="A39" s="1252" t="s">
        <v>1500</v>
      </c>
      <c r="B39" s="1252"/>
      <c r="C39" s="1252"/>
      <c r="D39" s="1252"/>
      <c r="E39" s="1252"/>
      <c r="F39" s="1252"/>
      <c r="G39" s="1252"/>
    </row>
    <row r="40" spans="1:7" x14ac:dyDescent="0.25">
      <c r="A40" s="1177"/>
      <c r="B40" s="1177"/>
      <c r="C40" s="1177"/>
      <c r="D40" s="1177"/>
      <c r="E40" s="1177"/>
      <c r="F40" s="1177"/>
      <c r="G40" s="1177"/>
    </row>
    <row r="41" spans="1:7" x14ac:dyDescent="0.25">
      <c r="A41" s="1177"/>
      <c r="B41" s="1177"/>
      <c r="C41" s="1177"/>
      <c r="D41" s="1177"/>
      <c r="E41" s="1177"/>
      <c r="F41" s="1177"/>
      <c r="G41" s="1177"/>
    </row>
    <row r="42" spans="1:7" x14ac:dyDescent="0.25">
      <c r="A42" s="266"/>
      <c r="B42" s="266"/>
      <c r="C42" s="266"/>
      <c r="D42" s="1177"/>
      <c r="E42" s="266"/>
      <c r="F42" s="266"/>
      <c r="G42" s="266"/>
    </row>
    <row r="43" spans="1:7" x14ac:dyDescent="0.25">
      <c r="A43" s="1250" t="str">
        <f>RESUMEN!V24</f>
        <v>Ing. David Jaramillo</v>
      </c>
      <c r="B43" s="1250"/>
      <c r="C43" s="1250"/>
      <c r="D43" s="1177"/>
      <c r="E43" s="1250" t="s">
        <v>642</v>
      </c>
      <c r="F43" s="1250"/>
      <c r="G43" s="1250"/>
    </row>
    <row r="44" spans="1:7" x14ac:dyDescent="0.25">
      <c r="A44" s="1249" t="s">
        <v>643</v>
      </c>
      <c r="B44" s="1249"/>
      <c r="C44" s="1249"/>
      <c r="D44" s="1177"/>
      <c r="E44" s="1249" t="s">
        <v>644</v>
      </c>
      <c r="F44" s="1249"/>
      <c r="G44" s="1249"/>
    </row>
    <row r="45" spans="1:7" x14ac:dyDescent="0.25">
      <c r="A45" s="1249" t="s">
        <v>645</v>
      </c>
      <c r="B45" s="1249"/>
      <c r="C45" s="1249"/>
      <c r="D45" s="1177"/>
      <c r="E45" s="1249" t="s">
        <v>645</v>
      </c>
      <c r="F45" s="1249"/>
      <c r="G45" s="1249"/>
    </row>
    <row r="46" spans="1:7" x14ac:dyDescent="0.25">
      <c r="A46" s="1177"/>
      <c r="B46" s="1177"/>
      <c r="C46" s="1177"/>
      <c r="D46" s="1177"/>
      <c r="E46" s="1177"/>
      <c r="F46" s="1177"/>
      <c r="G46" s="1177"/>
    </row>
    <row r="47" spans="1:7" x14ac:dyDescent="0.25">
      <c r="A47" s="1177"/>
      <c r="B47" s="1177"/>
      <c r="C47" s="1177"/>
      <c r="D47" s="1177"/>
      <c r="E47" s="1177"/>
      <c r="F47" s="1177"/>
      <c r="G47" s="1177"/>
    </row>
    <row r="48" spans="1:7" x14ac:dyDescent="0.25">
      <c r="A48" s="1177"/>
      <c r="B48" s="1177"/>
      <c r="C48" s="1177"/>
      <c r="D48" s="1177"/>
      <c r="E48" s="1177"/>
      <c r="F48" s="1177"/>
      <c r="G48" s="1177"/>
    </row>
    <row r="49" spans="1:7" x14ac:dyDescent="0.25">
      <c r="A49" s="266"/>
      <c r="B49" s="266"/>
      <c r="C49" s="266"/>
      <c r="D49" s="1177"/>
      <c r="E49" s="266"/>
      <c r="F49" s="266"/>
      <c r="G49" s="266"/>
    </row>
    <row r="50" spans="1:7" x14ac:dyDescent="0.25">
      <c r="A50" s="1250" t="s">
        <v>646</v>
      </c>
      <c r="B50" s="1250"/>
      <c r="C50" s="1250"/>
      <c r="D50" s="1177"/>
      <c r="E50" s="1250" t="s">
        <v>647</v>
      </c>
      <c r="F50" s="1250"/>
      <c r="G50" s="1250"/>
    </row>
    <row r="51" spans="1:7" x14ac:dyDescent="0.25">
      <c r="A51" s="1249" t="s">
        <v>648</v>
      </c>
      <c r="B51" s="1249"/>
      <c r="C51" s="1249"/>
      <c r="D51" s="1177"/>
      <c r="E51" s="1249" t="s">
        <v>763</v>
      </c>
      <c r="F51" s="1249"/>
      <c r="G51" s="1249"/>
    </row>
    <row r="52" spans="1:7" x14ac:dyDescent="0.25">
      <c r="A52" s="1249" t="s">
        <v>645</v>
      </c>
      <c r="B52" s="1249"/>
      <c r="C52" s="1249"/>
      <c r="D52" s="1177"/>
      <c r="E52" s="1249" t="s">
        <v>764</v>
      </c>
      <c r="F52" s="1249"/>
      <c r="G52" s="1249"/>
    </row>
  </sheetData>
  <mergeCells count="52">
    <mergeCell ref="A51:C51"/>
    <mergeCell ref="E51:G51"/>
    <mergeCell ref="A52:C52"/>
    <mergeCell ref="E52:G52"/>
    <mergeCell ref="A44:C44"/>
    <mergeCell ref="E44:G44"/>
    <mergeCell ref="A45:C45"/>
    <mergeCell ref="E45:G45"/>
    <mergeCell ref="A50:C50"/>
    <mergeCell ref="E50:G50"/>
    <mergeCell ref="C34:D34"/>
    <mergeCell ref="C35:D35"/>
    <mergeCell ref="C37:D37"/>
    <mergeCell ref="A39:G39"/>
    <mergeCell ref="A43:C43"/>
    <mergeCell ref="E43:G43"/>
    <mergeCell ref="C36:D36"/>
    <mergeCell ref="C33:D33"/>
    <mergeCell ref="B21:D21"/>
    <mergeCell ref="E21:F21"/>
    <mergeCell ref="B22:D22"/>
    <mergeCell ref="E22:F22"/>
    <mergeCell ref="B23:D23"/>
    <mergeCell ref="E23:F23"/>
    <mergeCell ref="B24:D24"/>
    <mergeCell ref="E24:F24"/>
    <mergeCell ref="C27:D27"/>
    <mergeCell ref="C28:D28"/>
    <mergeCell ref="C29:D29"/>
    <mergeCell ref="C30:D30"/>
    <mergeCell ref="C31:D31"/>
    <mergeCell ref="C32:D32"/>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tabColor rgb="FF72104A"/>
    <pageSetUpPr fitToPage="1"/>
  </sheetPr>
  <dimension ref="A1:AH51"/>
  <sheetViews>
    <sheetView zoomScale="60" zoomScaleNormal="60" workbookViewId="0">
      <selection activeCell="W17" sqref="W17"/>
    </sheetView>
  </sheetViews>
  <sheetFormatPr baseColWidth="10" defaultColWidth="11.44140625" defaultRowHeight="14.4" x14ac:dyDescent="0.3"/>
  <cols>
    <col min="1" max="1" width="19.5546875" style="189" customWidth="1"/>
    <col min="2" max="2" width="23.33203125" style="189" customWidth="1"/>
    <col min="3" max="3" width="20.6640625" style="189" customWidth="1"/>
    <col min="4" max="4" width="24" style="189" customWidth="1"/>
    <col min="5" max="5" width="11.5546875" style="189" bestFit="1" customWidth="1"/>
    <col min="6" max="6" width="17.88671875" style="189" customWidth="1"/>
    <col min="7" max="7" width="17.88671875" style="796" customWidth="1"/>
    <col min="8" max="8" width="17.88671875" style="189" customWidth="1"/>
    <col min="9" max="9" width="17.88671875" style="796" customWidth="1"/>
    <col min="10" max="10" width="47"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hidden="1" customWidth="1"/>
    <col min="18" max="18" width="18" style="189" hidden="1" customWidth="1"/>
    <col min="19" max="19" width="11.44140625" style="189" hidden="1" customWidth="1"/>
    <col min="20" max="20" width="17.88671875" style="627" hidden="1" customWidth="1"/>
    <col min="21" max="21" width="18" style="627" hidden="1" customWidth="1"/>
    <col min="22" max="22" width="11.44140625" style="627" hidden="1" customWidth="1"/>
    <col min="23" max="23" width="17.88671875" style="796" bestFit="1" customWidth="1"/>
    <col min="24" max="24" width="18" style="796" bestFit="1" customWidth="1"/>
    <col min="25" max="25" width="11.44140625" style="796"/>
    <col min="26" max="26" width="19.5546875" style="1055" customWidth="1"/>
    <col min="27" max="27" width="20" style="1055" customWidth="1"/>
    <col min="28" max="28" width="17.33203125" style="1055" customWidth="1"/>
    <col min="29" max="29" width="17.88671875" style="189" bestFit="1" customWidth="1"/>
    <col min="30" max="30" width="18.33203125" style="189" bestFit="1" customWidth="1"/>
    <col min="31" max="16384" width="11.44140625" style="189"/>
  </cols>
  <sheetData>
    <row r="1" spans="1:32" s="302" customFormat="1" ht="47.2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624"/>
      <c r="U1" s="624"/>
      <c r="V1" s="624"/>
      <c r="W1" s="792"/>
      <c r="X1" s="792"/>
      <c r="Y1" s="792"/>
      <c r="Z1" s="1052"/>
      <c r="AA1" s="1052"/>
      <c r="AB1" s="1052"/>
      <c r="AC1" s="1328" t="s">
        <v>942</v>
      </c>
      <c r="AD1" s="1303"/>
      <c r="AE1" s="1304"/>
    </row>
    <row r="2" spans="1:32"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625"/>
      <c r="U2" s="625"/>
      <c r="V2" s="625"/>
      <c r="W2" s="793"/>
      <c r="X2" s="793"/>
      <c r="Y2" s="793"/>
      <c r="Z2" s="1053"/>
      <c r="AA2" s="1053"/>
      <c r="AB2" s="1053"/>
      <c r="AC2" s="1329" t="s">
        <v>41</v>
      </c>
      <c r="AD2" s="1305"/>
      <c r="AE2" s="1306"/>
    </row>
    <row r="3" spans="1:3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2" s="302" customFormat="1" x14ac:dyDescent="0.3">
      <c r="A7" s="1291" t="s">
        <v>943</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row>
    <row r="8" spans="1:32" s="302" customFormat="1" ht="13.5" customHeight="1" x14ac:dyDescent="0.3">
      <c r="A8" s="1292" t="s">
        <v>2304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2"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2" s="302" customFormat="1" ht="13.5" customHeight="1" x14ac:dyDescent="0.3">
      <c r="A10" s="1292" t="s">
        <v>944</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2" s="302" customFormat="1" ht="13.5" customHeight="1" x14ac:dyDescent="0.3">
      <c r="A11" s="354"/>
      <c r="B11" s="1318"/>
      <c r="C11" s="1320"/>
      <c r="D11" s="1320"/>
      <c r="E11" s="1320"/>
      <c r="F11" s="1320"/>
      <c r="G11" s="1320"/>
      <c r="H11" s="1320"/>
      <c r="I11" s="1320"/>
      <c r="J11" s="1320"/>
      <c r="K11" s="1293" t="s">
        <v>46</v>
      </c>
      <c r="L11" s="1294"/>
      <c r="M11" s="1295"/>
      <c r="N11" s="1293" t="s">
        <v>981</v>
      </c>
      <c r="O11" s="1294"/>
      <c r="P11" s="1295"/>
      <c r="Q11" s="1293" t="s">
        <v>1431</v>
      </c>
      <c r="R11" s="1294"/>
      <c r="S11" s="1295"/>
      <c r="T11" s="1293" t="s">
        <v>1723</v>
      </c>
      <c r="U11" s="1294"/>
      <c r="V11" s="1295"/>
      <c r="W11" s="1293" t="s">
        <v>2097</v>
      </c>
      <c r="X11" s="1294"/>
      <c r="Y11" s="1295"/>
      <c r="Z11" s="1293" t="s">
        <v>2303</v>
      </c>
      <c r="AA11" s="1294"/>
      <c r="AB11" s="1295"/>
      <c r="AC11" s="1299" t="s">
        <v>49</v>
      </c>
      <c r="AD11" s="1299"/>
      <c r="AE11" s="1299"/>
    </row>
    <row r="12" spans="1:32" s="302" customFormat="1"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296"/>
      <c r="U12" s="1297"/>
      <c r="V12" s="1298"/>
      <c r="W12" s="1296"/>
      <c r="X12" s="1297"/>
      <c r="Y12" s="1298"/>
      <c r="Z12" s="1296"/>
      <c r="AA12" s="1297"/>
      <c r="AB12" s="1298"/>
      <c r="AC12" s="1300"/>
      <c r="AD12" s="1300"/>
      <c r="AE12" s="1300"/>
    </row>
    <row r="13" spans="1:32"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c r="Z13" s="209" t="s">
        <v>54</v>
      </c>
      <c r="AA13" s="209" t="s">
        <v>56</v>
      </c>
      <c r="AB13" s="209" t="s">
        <v>58</v>
      </c>
      <c r="AC13" s="209" t="s">
        <v>54</v>
      </c>
      <c r="AD13" s="209" t="s">
        <v>56</v>
      </c>
      <c r="AE13" s="209" t="s">
        <v>58</v>
      </c>
    </row>
    <row r="14" spans="1:32" ht="57.6" x14ac:dyDescent="0.3">
      <c r="A14" s="1315" t="s">
        <v>945</v>
      </c>
      <c r="B14" s="1314" t="s">
        <v>240</v>
      </c>
      <c r="C14" s="355" t="s">
        <v>59</v>
      </c>
      <c r="D14" s="355" t="s">
        <v>241</v>
      </c>
      <c r="E14" s="355">
        <v>1</v>
      </c>
      <c r="F14" s="192">
        <v>2437535</v>
      </c>
      <c r="G14" s="32">
        <f>+ROUND(F14*1.051,0)</f>
        <v>2561849</v>
      </c>
      <c r="H14" s="192">
        <f>ROUND((E14*F14),0)</f>
        <v>2437535</v>
      </c>
      <c r="I14" s="32">
        <f>+ROUND(G14*E14,0)</f>
        <v>2561849</v>
      </c>
      <c r="J14" s="1315" t="s">
        <v>946</v>
      </c>
      <c r="K14" s="309">
        <v>0.3</v>
      </c>
      <c r="L14" s="310">
        <f>ROUND(K14*$F$14,0)</f>
        <v>731261</v>
      </c>
      <c r="M14" s="311">
        <f>L14/$H$14</f>
        <v>0.30000020512525977</v>
      </c>
      <c r="N14" s="412">
        <v>0.25</v>
      </c>
      <c r="O14" s="413">
        <f>ROUND(N14*$F$14,0)</f>
        <v>609384</v>
      </c>
      <c r="P14" s="414">
        <f>O14/$H$14</f>
        <v>0.25000010256262989</v>
      </c>
      <c r="Q14" s="412">
        <v>0.1</v>
      </c>
      <c r="R14" s="413">
        <f>ROUND(Q14*$F$14,0)</f>
        <v>243754</v>
      </c>
      <c r="S14" s="414">
        <f>R14/$H$14</f>
        <v>0.10000020512525974</v>
      </c>
      <c r="T14" s="408">
        <v>0</v>
      </c>
      <c r="U14" s="143">
        <f>ROUND(T14*$F$14,0)</f>
        <v>0</v>
      </c>
      <c r="V14" s="144">
        <f>U14/$H$14</f>
        <v>0</v>
      </c>
      <c r="W14" s="408">
        <v>0</v>
      </c>
      <c r="X14" s="143">
        <f>ROUND(W14*G14,0)</f>
        <v>0</v>
      </c>
      <c r="Y14" s="144">
        <f>X14/H14</f>
        <v>0</v>
      </c>
      <c r="Z14" s="408">
        <v>0</v>
      </c>
      <c r="AA14" s="143">
        <f>ROUND(Z14*G14,0)</f>
        <v>0</v>
      </c>
      <c r="AB14" s="144">
        <f>AA14/I14</f>
        <v>0</v>
      </c>
      <c r="AC14" s="163">
        <f>K14+N14+Q14+T14+W14+Z14</f>
        <v>0.65</v>
      </c>
      <c r="AD14" s="164">
        <f>L14+O14+R14+U14+X14+AA14</f>
        <v>1584399</v>
      </c>
      <c r="AE14" s="165">
        <f>AD14/I14</f>
        <v>0.6184591675777924</v>
      </c>
    </row>
    <row r="15" spans="1:32" x14ac:dyDescent="0.3">
      <c r="A15" s="1314"/>
      <c r="B15" s="1314"/>
      <c r="C15" s="196"/>
      <c r="D15" s="196" t="s">
        <v>242</v>
      </c>
      <c r="E15" s="198"/>
      <c r="F15" s="198"/>
      <c r="G15" s="198"/>
      <c r="H15" s="199">
        <f>H14</f>
        <v>2437535</v>
      </c>
      <c r="I15" s="199">
        <f>SUM(I14)</f>
        <v>2561849</v>
      </c>
      <c r="J15" s="1314"/>
      <c r="K15" s="306"/>
      <c r="L15" s="307">
        <f>SUM(L14)</f>
        <v>731261</v>
      </c>
      <c r="M15" s="308">
        <f>L15/$H$15</f>
        <v>0.30000020512525977</v>
      </c>
      <c r="N15" s="306"/>
      <c r="O15" s="307">
        <f>SUM(O14)</f>
        <v>609384</v>
      </c>
      <c r="P15" s="308">
        <f>O15/$H$15</f>
        <v>0.25000010256262989</v>
      </c>
      <c r="Q15" s="428"/>
      <c r="R15" s="307">
        <f>SUM(R14)</f>
        <v>243754</v>
      </c>
      <c r="S15" s="431">
        <f>R15/$H$15</f>
        <v>0.10000020512525974</v>
      </c>
      <c r="T15" s="428"/>
      <c r="U15" s="307">
        <f>SUM(U14)</f>
        <v>0</v>
      </c>
      <c r="V15" s="431">
        <f>U15/$H$15</f>
        <v>0</v>
      </c>
      <c r="W15" s="428"/>
      <c r="X15" s="307">
        <f>SUM(X14)</f>
        <v>0</v>
      </c>
      <c r="Y15" s="431">
        <f>X15/$H$15</f>
        <v>0</v>
      </c>
      <c r="Z15" s="428"/>
      <c r="AA15" s="307">
        <f>SUM(AA14)</f>
        <v>0</v>
      </c>
      <c r="AB15" s="431">
        <f>AA15/$I$15</f>
        <v>0</v>
      </c>
      <c r="AC15" s="1084"/>
      <c r="AD15" s="307">
        <f t="shared" ref="AD15:AD25" si="0">L15+O15+R15+U15+X15+AA15</f>
        <v>1584399</v>
      </c>
      <c r="AE15" s="308">
        <f>AD15/I15</f>
        <v>0.6184591675777924</v>
      </c>
    </row>
    <row r="16" spans="1:32" ht="57.6" x14ac:dyDescent="0.3">
      <c r="A16" s="1314" t="s">
        <v>945</v>
      </c>
      <c r="B16" s="1314" t="s">
        <v>243</v>
      </c>
      <c r="C16" s="355" t="s">
        <v>59</v>
      </c>
      <c r="D16" s="355" t="s">
        <v>141</v>
      </c>
      <c r="E16" s="355">
        <v>0.7</v>
      </c>
      <c r="F16" s="192">
        <v>940192</v>
      </c>
      <c r="G16" s="32">
        <f t="shared" ref="G16:G17" si="1">+ROUND(F16*1.051,0)</f>
        <v>988142</v>
      </c>
      <c r="H16" s="192">
        <f>ROUND((E16*F16),0)</f>
        <v>658134</v>
      </c>
      <c r="I16" s="32">
        <f t="shared" ref="I16:I17" si="2">+ROUND(G16*E16,0)</f>
        <v>691699</v>
      </c>
      <c r="J16" s="1315" t="s">
        <v>947</v>
      </c>
      <c r="K16" s="163">
        <v>0</v>
      </c>
      <c r="L16" s="164">
        <f>ROUND(K16*$F$16,0)</f>
        <v>0</v>
      </c>
      <c r="M16" s="165">
        <f>L16/$H$16</f>
        <v>0</v>
      </c>
      <c r="N16" s="412">
        <v>0.25</v>
      </c>
      <c r="O16" s="413">
        <f>ROUND(N16*$F$16,0)</f>
        <v>235048</v>
      </c>
      <c r="P16" s="414">
        <f>O16/$H$16</f>
        <v>0.35714307420677249</v>
      </c>
      <c r="Q16" s="412">
        <v>0.1</v>
      </c>
      <c r="R16" s="413">
        <f>ROUND(Q16*$F$16,0)</f>
        <v>94019</v>
      </c>
      <c r="S16" s="414">
        <f>R16/$H$16</f>
        <v>0.14285692579322751</v>
      </c>
      <c r="T16" s="408">
        <v>0</v>
      </c>
      <c r="U16" s="143">
        <f>ROUND(T16*$F$16,0)</f>
        <v>0</v>
      </c>
      <c r="V16" s="144">
        <f>U16/$H$16</f>
        <v>0</v>
      </c>
      <c r="W16" s="408">
        <v>0</v>
      </c>
      <c r="X16" s="143">
        <f t="shared" ref="X16" si="3">ROUND(W16*G16,0)</f>
        <v>0</v>
      </c>
      <c r="Y16" s="144">
        <f>X16/H16</f>
        <v>0</v>
      </c>
      <c r="Z16" s="408">
        <v>0</v>
      </c>
      <c r="AA16" s="143">
        <f>ROUND(Z16*G16,0)</f>
        <v>0</v>
      </c>
      <c r="AB16" s="144">
        <f>AA16/I16</f>
        <v>0</v>
      </c>
      <c r="AC16" s="163">
        <f t="shared" ref="AC16:AC24" si="4">K16+N16+Q16+T16+W16+Z16</f>
        <v>0.35</v>
      </c>
      <c r="AD16" s="164">
        <f t="shared" si="0"/>
        <v>329067</v>
      </c>
      <c r="AE16" s="165">
        <f>AD16/I16</f>
        <v>0.47573727878744948</v>
      </c>
      <c r="AF16" s="189" t="s">
        <v>2217</v>
      </c>
    </row>
    <row r="17" spans="1:31" ht="43.2" x14ac:dyDescent="0.3">
      <c r="A17" s="1314"/>
      <c r="B17" s="1314"/>
      <c r="C17" s="355" t="s">
        <v>61</v>
      </c>
      <c r="D17" s="355" t="s">
        <v>142</v>
      </c>
      <c r="E17" s="355">
        <v>0.7</v>
      </c>
      <c r="F17" s="192">
        <v>2890220</v>
      </c>
      <c r="G17" s="32">
        <f t="shared" si="1"/>
        <v>3037621</v>
      </c>
      <c r="H17" s="192">
        <f>ROUND((E17*F17),0)</f>
        <v>2023154</v>
      </c>
      <c r="I17" s="32">
        <f t="shared" si="2"/>
        <v>2126335</v>
      </c>
      <c r="J17" s="1314"/>
      <c r="K17" s="163">
        <v>0</v>
      </c>
      <c r="L17" s="164">
        <f>ROUND(K17*$F$17,0)</f>
        <v>0</v>
      </c>
      <c r="M17" s="165">
        <f>L17/$H$17</f>
        <v>0</v>
      </c>
      <c r="N17" s="145">
        <v>0</v>
      </c>
      <c r="O17" s="143">
        <f>ROUND(N17*$F$17,0)</f>
        <v>0</v>
      </c>
      <c r="P17" s="144">
        <f>O17/$H$17</f>
        <v>0</v>
      </c>
      <c r="Q17" s="408">
        <v>0</v>
      </c>
      <c r="R17" s="143">
        <f>ROUND(Q17*$F$17,0)</f>
        <v>0</v>
      </c>
      <c r="S17" s="144">
        <f>R17/$H$17</f>
        <v>0</v>
      </c>
      <c r="T17" s="408">
        <v>0</v>
      </c>
      <c r="U17" s="143">
        <f>ROUND(T17*$F$17,0)</f>
        <v>0</v>
      </c>
      <c r="V17" s="144">
        <f>U17/$H$17</f>
        <v>0</v>
      </c>
      <c r="W17" s="412">
        <v>0.7</v>
      </c>
      <c r="X17" s="413">
        <f>ROUND(W17*G17,0)</f>
        <v>2126335</v>
      </c>
      <c r="Y17" s="414">
        <f>X17/H17</f>
        <v>1.0510000721645509</v>
      </c>
      <c r="Z17" s="408">
        <v>0</v>
      </c>
      <c r="AA17" s="143">
        <f>ROUND(Z17*G17,0)</f>
        <v>0</v>
      </c>
      <c r="AB17" s="144">
        <f>AA17/I17</f>
        <v>0</v>
      </c>
      <c r="AC17" s="163">
        <f t="shared" si="4"/>
        <v>0.7</v>
      </c>
      <c r="AD17" s="164">
        <f t="shared" si="0"/>
        <v>2126335</v>
      </c>
      <c r="AE17" s="165">
        <f>AD17/H17</f>
        <v>1.0510000721645509</v>
      </c>
    </row>
    <row r="18" spans="1:31" x14ac:dyDescent="0.3">
      <c r="A18" s="1314"/>
      <c r="B18" s="1314"/>
      <c r="C18" s="196"/>
      <c r="D18" s="196" t="s">
        <v>143</v>
      </c>
      <c r="E18" s="198"/>
      <c r="F18" s="198"/>
      <c r="G18" s="198"/>
      <c r="H18" s="199">
        <f>SUM(H16:H17)</f>
        <v>2681288</v>
      </c>
      <c r="I18" s="199">
        <f>SUM(I16:I17)</f>
        <v>2818034</v>
      </c>
      <c r="J18" s="1314"/>
      <c r="K18" s="306"/>
      <c r="L18" s="307">
        <f>SUM(L16:L17)</f>
        <v>0</v>
      </c>
      <c r="M18" s="308">
        <f>L18/$H$18</f>
        <v>0</v>
      </c>
      <c r="N18" s="306"/>
      <c r="O18" s="307">
        <f>SUM(O16:O17)</f>
        <v>235048</v>
      </c>
      <c r="P18" s="308">
        <f>O18/$H$18</f>
        <v>8.7662347349482792E-2</v>
      </c>
      <c r="Q18" s="428"/>
      <c r="R18" s="307">
        <f>SUM(R16:R17)</f>
        <v>94019</v>
      </c>
      <c r="S18" s="431">
        <f>R18/$H$18</f>
        <v>3.5064864348775662E-2</v>
      </c>
      <c r="T18" s="428"/>
      <c r="U18" s="307">
        <f>SUM(U16:U17)</f>
        <v>0</v>
      </c>
      <c r="V18" s="431">
        <f>U18/$H$18</f>
        <v>0</v>
      </c>
      <c r="W18" s="428"/>
      <c r="X18" s="307">
        <f>SUM(X16:X17)</f>
        <v>2126335</v>
      </c>
      <c r="Y18" s="431">
        <f>X18/$I$18</f>
        <v>0.75454554487277303</v>
      </c>
      <c r="Z18" s="428"/>
      <c r="AA18" s="307">
        <f>SUM(AA16:AA17)</f>
        <v>0</v>
      </c>
      <c r="AB18" s="431">
        <f>AA18/$I$18</f>
        <v>0</v>
      </c>
      <c r="AC18" s="1084"/>
      <c r="AD18" s="307">
        <f t="shared" si="0"/>
        <v>2455402</v>
      </c>
      <c r="AE18" s="308">
        <f>AD18/I18</f>
        <v>0.87131737942125609</v>
      </c>
    </row>
    <row r="19" spans="1:31" ht="57.6" x14ac:dyDescent="0.3">
      <c r="A19" s="1314" t="s">
        <v>945</v>
      </c>
      <c r="B19" s="1314" t="s">
        <v>392</v>
      </c>
      <c r="C19" s="355" t="s">
        <v>59</v>
      </c>
      <c r="D19" s="355" t="s">
        <v>60</v>
      </c>
      <c r="E19" s="355">
        <v>0.5</v>
      </c>
      <c r="F19" s="192">
        <v>13336802</v>
      </c>
      <c r="G19" s="32">
        <f t="shared" ref="G19:G20" si="5">+ROUND(F19*1.051,0)</f>
        <v>14016979</v>
      </c>
      <c r="H19" s="192">
        <f>ROUND((E19*F19),0)</f>
        <v>6668401</v>
      </c>
      <c r="I19" s="32">
        <f t="shared" ref="I19:I20" si="6">+ROUND(G19*E19,0)</f>
        <v>7008490</v>
      </c>
      <c r="J19" s="1315" t="s">
        <v>948</v>
      </c>
      <c r="K19" s="163">
        <v>0</v>
      </c>
      <c r="L19" s="164">
        <f>ROUND(K19*$F$19,0)</f>
        <v>0</v>
      </c>
      <c r="M19" s="165">
        <f>L19/$H$19</f>
        <v>0</v>
      </c>
      <c r="N19" s="412">
        <v>0.15</v>
      </c>
      <c r="O19" s="413">
        <f>ROUND(N19*$F$19,0)</f>
        <v>2000520</v>
      </c>
      <c r="P19" s="414">
        <f>O19/$H$19</f>
        <v>0.29999995501170368</v>
      </c>
      <c r="Q19" s="412">
        <v>0.1</v>
      </c>
      <c r="R19" s="413">
        <f>ROUND(Q19*$F$19,0)</f>
        <v>1333680</v>
      </c>
      <c r="S19" s="414">
        <f>R19/$H$19</f>
        <v>0.19999997000780248</v>
      </c>
      <c r="T19" s="408">
        <v>0</v>
      </c>
      <c r="U19" s="143">
        <f>ROUND(T19*$F$19,0)</f>
        <v>0</v>
      </c>
      <c r="V19" s="144">
        <f>U19/$H$19</f>
        <v>0</v>
      </c>
      <c r="W19" s="408">
        <v>0</v>
      </c>
      <c r="X19" s="143">
        <f t="shared" ref="X19:X20" si="7">ROUND(W19*G19,0)</f>
        <v>0</v>
      </c>
      <c r="Y19" s="144">
        <f>X19/H19</f>
        <v>0</v>
      </c>
      <c r="Z19" s="408">
        <v>0</v>
      </c>
      <c r="AA19" s="143">
        <f>ROUND(Z19*G19,0)</f>
        <v>0</v>
      </c>
      <c r="AB19" s="144">
        <f>AA19/I19</f>
        <v>0</v>
      </c>
      <c r="AC19" s="163">
        <f t="shared" si="4"/>
        <v>0.25</v>
      </c>
      <c r="AD19" s="164">
        <f t="shared" si="0"/>
        <v>3334200</v>
      </c>
      <c r="AE19" s="165">
        <f>AD19/I19</f>
        <v>0.47573728435083734</v>
      </c>
    </row>
    <row r="20" spans="1:31" ht="43.2" x14ac:dyDescent="0.3">
      <c r="A20" s="1314"/>
      <c r="B20" s="1314"/>
      <c r="C20" s="355" t="s">
        <v>61</v>
      </c>
      <c r="D20" s="355" t="s">
        <v>62</v>
      </c>
      <c r="E20" s="355">
        <v>0</v>
      </c>
      <c r="F20" s="192">
        <v>5049181</v>
      </c>
      <c r="G20" s="32">
        <f t="shared" si="5"/>
        <v>5306689</v>
      </c>
      <c r="H20" s="192">
        <f>ROUND((E20*F20),0)</f>
        <v>0</v>
      </c>
      <c r="I20" s="32">
        <f t="shared" si="6"/>
        <v>0</v>
      </c>
      <c r="J20" s="1314"/>
      <c r="K20" s="163">
        <v>0</v>
      </c>
      <c r="L20" s="164">
        <f>ROUND(K20*$F$20,0)</f>
        <v>0</v>
      </c>
      <c r="M20" s="165">
        <v>0</v>
      </c>
      <c r="N20" s="145">
        <v>0</v>
      </c>
      <c r="O20" s="143">
        <f>ROUND(N20*$F$20,0)</f>
        <v>0</v>
      </c>
      <c r="P20" s="144">
        <v>0</v>
      </c>
      <c r="Q20" s="408">
        <v>0</v>
      </c>
      <c r="R20" s="143">
        <f>ROUND(Q20*$F$20,0)</f>
        <v>0</v>
      </c>
      <c r="S20" s="144">
        <v>0</v>
      </c>
      <c r="T20" s="408">
        <v>0</v>
      </c>
      <c r="U20" s="143">
        <f>ROUND(T20*$F$20,0)</f>
        <v>0</v>
      </c>
      <c r="V20" s="144">
        <v>0</v>
      </c>
      <c r="W20" s="408">
        <v>0</v>
      </c>
      <c r="X20" s="143">
        <f t="shared" si="7"/>
        <v>0</v>
      </c>
      <c r="Y20" s="144">
        <v>0</v>
      </c>
      <c r="Z20" s="408">
        <v>0</v>
      </c>
      <c r="AA20" s="143">
        <f>ROUND(Z20*G20,0)</f>
        <v>0</v>
      </c>
      <c r="AB20" s="144">
        <v>0</v>
      </c>
      <c r="AC20" s="163">
        <f t="shared" si="4"/>
        <v>0</v>
      </c>
      <c r="AD20" s="164">
        <f t="shared" si="0"/>
        <v>0</v>
      </c>
      <c r="AE20" s="165">
        <v>0</v>
      </c>
    </row>
    <row r="21" spans="1:31" x14ac:dyDescent="0.3">
      <c r="A21" s="1314"/>
      <c r="B21" s="1314"/>
      <c r="C21" s="196"/>
      <c r="D21" s="196" t="s">
        <v>63</v>
      </c>
      <c r="E21" s="198"/>
      <c r="F21" s="198"/>
      <c r="G21" s="198"/>
      <c r="H21" s="199">
        <f>SUM(H19:H20)</f>
        <v>6668401</v>
      </c>
      <c r="I21" s="199">
        <f>SUM(I19:I20)</f>
        <v>7008490</v>
      </c>
      <c r="J21" s="1314"/>
      <c r="K21" s="306"/>
      <c r="L21" s="307">
        <f>SUM(L19:L20)</f>
        <v>0</v>
      </c>
      <c r="M21" s="308">
        <f>L21/$H$21</f>
        <v>0</v>
      </c>
      <c r="N21" s="306"/>
      <c r="O21" s="307">
        <f>SUM(O19:O20)</f>
        <v>2000520</v>
      </c>
      <c r="P21" s="308">
        <f>O21/$H$21</f>
        <v>0.29999995501170368</v>
      </c>
      <c r="Q21" s="428"/>
      <c r="R21" s="307">
        <f>SUM(R19:R20)</f>
        <v>1333680</v>
      </c>
      <c r="S21" s="431">
        <f>R21/$H$21</f>
        <v>0.19999997000780248</v>
      </c>
      <c r="T21" s="428"/>
      <c r="U21" s="307">
        <f>SUM(U19:U20)</f>
        <v>0</v>
      </c>
      <c r="V21" s="431">
        <f>U21/$H$21</f>
        <v>0</v>
      </c>
      <c r="W21" s="428"/>
      <c r="X21" s="307">
        <f>SUM(X19:X20)</f>
        <v>0</v>
      </c>
      <c r="Y21" s="431">
        <f>X21/$H$21</f>
        <v>0</v>
      </c>
      <c r="Z21" s="428"/>
      <c r="AA21" s="307">
        <f>SUM(AA19:AA20)</f>
        <v>0</v>
      </c>
      <c r="AB21" s="431">
        <f>AA21/$I$21</f>
        <v>0</v>
      </c>
      <c r="AC21" s="1084"/>
      <c r="AD21" s="307">
        <f t="shared" si="0"/>
        <v>3334200</v>
      </c>
      <c r="AE21" s="308">
        <f>AD21/I21</f>
        <v>0.47573728435083734</v>
      </c>
    </row>
    <row r="22" spans="1:31" ht="33.75" customHeight="1" x14ac:dyDescent="0.3">
      <c r="A22" s="1323" t="s">
        <v>945</v>
      </c>
      <c r="B22" s="1323" t="s">
        <v>949</v>
      </c>
      <c r="C22" s="356" t="s">
        <v>88</v>
      </c>
      <c r="D22" s="356" t="s">
        <v>89</v>
      </c>
      <c r="E22" s="356">
        <v>1</v>
      </c>
      <c r="F22" s="114">
        <v>4492030</v>
      </c>
      <c r="G22" s="32">
        <f>+ROUND(F22*1.051,0)</f>
        <v>4721124</v>
      </c>
      <c r="H22" s="114">
        <v>4492030</v>
      </c>
      <c r="I22" s="32">
        <f>+ROUND(G22*E22,0)</f>
        <v>4721124</v>
      </c>
      <c r="J22" s="1362"/>
      <c r="K22" s="163">
        <v>0</v>
      </c>
      <c r="L22" s="164">
        <f>ROUND(K22*$F$22,0)</f>
        <v>0</v>
      </c>
      <c r="M22" s="165">
        <f>L22/$H$22</f>
        <v>0</v>
      </c>
      <c r="N22" s="412">
        <v>0.8</v>
      </c>
      <c r="O22" s="413">
        <f>ROUND(N22*$F$22,0)</f>
        <v>3593624</v>
      </c>
      <c r="P22" s="414">
        <f>O22/$H$22</f>
        <v>0.8</v>
      </c>
      <c r="Q22" s="408">
        <v>0</v>
      </c>
      <c r="R22" s="143">
        <f>ROUND(Q22*$F$22,0)</f>
        <v>0</v>
      </c>
      <c r="S22" s="144">
        <f>R22/$H$22</f>
        <v>0</v>
      </c>
      <c r="T22" s="412">
        <v>0.2</v>
      </c>
      <c r="U22" s="413">
        <f>ROUND(T22*$F$22,0)</f>
        <v>898406</v>
      </c>
      <c r="V22" s="414">
        <f>U22/$H$22</f>
        <v>0.2</v>
      </c>
      <c r="W22" s="408">
        <v>0</v>
      </c>
      <c r="X22" s="143">
        <f>ROUND(W22*G22,0)</f>
        <v>0</v>
      </c>
      <c r="Y22" s="144">
        <f>X22/H22</f>
        <v>0</v>
      </c>
      <c r="Z22" s="408">
        <v>0</v>
      </c>
      <c r="AA22" s="143">
        <f>ROUND(Z22*G22,0)</f>
        <v>0</v>
      </c>
      <c r="AB22" s="144">
        <f>AA22/I22</f>
        <v>0</v>
      </c>
      <c r="AC22" s="163">
        <f t="shared" si="4"/>
        <v>1</v>
      </c>
      <c r="AD22" s="164">
        <f t="shared" si="0"/>
        <v>4492030</v>
      </c>
      <c r="AE22" s="165">
        <f t="shared" ref="AE22:AE23" si="8">AD22/H22</f>
        <v>1</v>
      </c>
    </row>
    <row r="23" spans="1:31" x14ac:dyDescent="0.3">
      <c r="A23" s="1323"/>
      <c r="B23" s="1323"/>
      <c r="C23" s="115"/>
      <c r="D23" s="115" t="s">
        <v>90</v>
      </c>
      <c r="E23" s="116"/>
      <c r="F23" s="116"/>
      <c r="G23" s="116"/>
      <c r="H23" s="117">
        <v>4492030</v>
      </c>
      <c r="I23" s="117">
        <f>SUM(I22)</f>
        <v>4721124</v>
      </c>
      <c r="J23" s="1362"/>
      <c r="K23" s="306"/>
      <c r="L23" s="307">
        <f>SUM(L22)</f>
        <v>0</v>
      </c>
      <c r="M23" s="308">
        <f>L23/$H$23</f>
        <v>0</v>
      </c>
      <c r="N23" s="306"/>
      <c r="O23" s="307">
        <f>SUM(O22)</f>
        <v>3593624</v>
      </c>
      <c r="P23" s="308">
        <f>O23/$H$23</f>
        <v>0.8</v>
      </c>
      <c r="Q23" s="428"/>
      <c r="R23" s="307">
        <f>SUM(R22)</f>
        <v>0</v>
      </c>
      <c r="S23" s="431">
        <f>R23/$H$23</f>
        <v>0</v>
      </c>
      <c r="T23" s="428"/>
      <c r="U23" s="307">
        <f>SUM(U22)</f>
        <v>898406</v>
      </c>
      <c r="V23" s="431">
        <f>U23/$H$23</f>
        <v>0.2</v>
      </c>
      <c r="W23" s="428"/>
      <c r="X23" s="307">
        <f>SUM(X22)</f>
        <v>0</v>
      </c>
      <c r="Y23" s="431">
        <f>X23/$H$23</f>
        <v>0</v>
      </c>
      <c r="Z23" s="428"/>
      <c r="AA23" s="307">
        <f>SUM(AA22)</f>
        <v>0</v>
      </c>
      <c r="AB23" s="431">
        <f>AA23/$I$23</f>
        <v>0</v>
      </c>
      <c r="AC23" s="1084"/>
      <c r="AD23" s="307">
        <f t="shared" si="0"/>
        <v>4492030</v>
      </c>
      <c r="AE23" s="308">
        <f t="shared" si="8"/>
        <v>1</v>
      </c>
    </row>
    <row r="24" spans="1:31" ht="57.6" x14ac:dyDescent="0.3">
      <c r="A24" s="1314" t="s">
        <v>945</v>
      </c>
      <c r="B24" s="1314" t="s">
        <v>226</v>
      </c>
      <c r="C24" s="355" t="s">
        <v>148</v>
      </c>
      <c r="D24" s="355" t="s">
        <v>149</v>
      </c>
      <c r="E24" s="355">
        <v>1</v>
      </c>
      <c r="F24" s="192">
        <v>9854608</v>
      </c>
      <c r="G24" s="32">
        <f>+ROUND(F24*1.051,0)</f>
        <v>10357193</v>
      </c>
      <c r="H24" s="192">
        <f>ROUND((E24*F24),0)</f>
        <v>9854608</v>
      </c>
      <c r="I24" s="32">
        <f>+ROUND(G24*E24,0)</f>
        <v>10357193</v>
      </c>
      <c r="J24" s="1315" t="s">
        <v>950</v>
      </c>
      <c r="K24" s="309">
        <v>0.3</v>
      </c>
      <c r="L24" s="310">
        <f>ROUND(K24*$F$24,0)</f>
        <v>2956382</v>
      </c>
      <c r="M24" s="311">
        <f>L24/$H$24</f>
        <v>0.29999995940985169</v>
      </c>
      <c r="N24" s="412">
        <v>0.5</v>
      </c>
      <c r="O24" s="413">
        <f>ROUND(N24*$F$24,0)</f>
        <v>4927304</v>
      </c>
      <c r="P24" s="414">
        <f>O24/$H$24</f>
        <v>0.5</v>
      </c>
      <c r="Q24" s="408">
        <v>0</v>
      </c>
      <c r="R24" s="143">
        <f>ROUND(Q24*$F$22,0)</f>
        <v>0</v>
      </c>
      <c r="S24" s="144">
        <f>R24/$H$22</f>
        <v>0</v>
      </c>
      <c r="T24" s="412">
        <v>0.2</v>
      </c>
      <c r="U24" s="413">
        <f>ROUND(T24*$F$24,0)</f>
        <v>1970922</v>
      </c>
      <c r="V24" s="414">
        <f>U24/$H$22</f>
        <v>0.43875975895085295</v>
      </c>
      <c r="W24" s="408">
        <v>0</v>
      </c>
      <c r="X24" s="143">
        <f>ROUND(W24*G24,0)</f>
        <v>0</v>
      </c>
      <c r="Y24" s="144">
        <f>X24/H24</f>
        <v>0</v>
      </c>
      <c r="Z24" s="408">
        <v>0</v>
      </c>
      <c r="AA24" s="143">
        <f>ROUND(Z24*G24,0)</f>
        <v>0</v>
      </c>
      <c r="AB24" s="144">
        <f>AA24/I24</f>
        <v>0</v>
      </c>
      <c r="AC24" s="163">
        <f t="shared" si="4"/>
        <v>1</v>
      </c>
      <c r="AD24" s="164">
        <f t="shared" si="0"/>
        <v>9854608</v>
      </c>
      <c r="AE24" s="165">
        <f>AD24/I24</f>
        <v>0.95147478665310181</v>
      </c>
    </row>
    <row r="25" spans="1:31" x14ac:dyDescent="0.3">
      <c r="A25" s="1314"/>
      <c r="B25" s="1314"/>
      <c r="C25" s="196"/>
      <c r="D25" s="196" t="s">
        <v>150</v>
      </c>
      <c r="E25" s="198"/>
      <c r="F25" s="198"/>
      <c r="G25" s="198"/>
      <c r="H25" s="199">
        <f>H24</f>
        <v>9854608</v>
      </c>
      <c r="I25" s="199">
        <f>SUM(I24)</f>
        <v>10357193</v>
      </c>
      <c r="J25" s="1314"/>
      <c r="K25" s="306"/>
      <c r="L25" s="307">
        <f>SUM(L24)</f>
        <v>2956382</v>
      </c>
      <c r="M25" s="308">
        <f>L25/$H$25</f>
        <v>0.29999995940985169</v>
      </c>
      <c r="N25" s="306"/>
      <c r="O25" s="307">
        <f>SUM(O24)</f>
        <v>4927304</v>
      </c>
      <c r="P25" s="308">
        <f>O25/$H$25</f>
        <v>0.5</v>
      </c>
      <c r="Q25" s="428"/>
      <c r="R25" s="307">
        <f>SUM(R24)</f>
        <v>0</v>
      </c>
      <c r="S25" s="431">
        <f>R25/$H$25</f>
        <v>0</v>
      </c>
      <c r="T25" s="428"/>
      <c r="U25" s="307">
        <f>SUM(U24)</f>
        <v>1970922</v>
      </c>
      <c r="V25" s="431">
        <f>U25/$H$25</f>
        <v>0.20000004059014828</v>
      </c>
      <c r="W25" s="428"/>
      <c r="X25" s="307">
        <f>SUM(X24)</f>
        <v>0</v>
      </c>
      <c r="Y25" s="431">
        <f>X25/$H$25</f>
        <v>0</v>
      </c>
      <c r="Z25" s="428"/>
      <c r="AA25" s="307">
        <f>SUM(AA24)</f>
        <v>0</v>
      </c>
      <c r="AB25" s="431">
        <f>AA25/$I$25</f>
        <v>0</v>
      </c>
      <c r="AC25" s="306"/>
      <c r="AD25" s="307">
        <f t="shared" si="0"/>
        <v>9854608</v>
      </c>
      <c r="AE25" s="308">
        <f>AD25/I25</f>
        <v>0.95147478665310181</v>
      </c>
    </row>
    <row r="26" spans="1:31" x14ac:dyDescent="0.3">
      <c r="F26" s="151" t="s">
        <v>64</v>
      </c>
      <c r="G26" s="151"/>
      <c r="H26" s="181">
        <f>SUM(H11:H25)/2</f>
        <v>26133862</v>
      </c>
      <c r="I26" s="181">
        <f>SUM(I11:I25)/2</f>
        <v>27466690</v>
      </c>
      <c r="K26" s="152" t="s">
        <v>64</v>
      </c>
      <c r="L26" s="181">
        <f>SUM(L11:L25)/2</f>
        <v>3687643</v>
      </c>
      <c r="M26" s="201">
        <f>L26/$H$26</f>
        <v>0.14110593374986063</v>
      </c>
      <c r="N26" s="152" t="s">
        <v>64</v>
      </c>
      <c r="O26" s="181">
        <f>SUM(O11:O25)/2</f>
        <v>11365880</v>
      </c>
      <c r="P26" s="201">
        <f>O26/$H$26</f>
        <v>0.4349100794976265</v>
      </c>
      <c r="Q26" s="484" t="s">
        <v>64</v>
      </c>
      <c r="R26" s="481">
        <f>SUM(R11:R25)/2</f>
        <v>1671453</v>
      </c>
      <c r="T26" s="484" t="s">
        <v>64</v>
      </c>
      <c r="U26" s="481">
        <f>SUM(U11:U25)/2</f>
        <v>2869328</v>
      </c>
      <c r="W26" s="484" t="s">
        <v>64</v>
      </c>
      <c r="X26" s="481">
        <f>SUM(X11:X25)/2</f>
        <v>2126335</v>
      </c>
      <c r="Z26" s="484" t="s">
        <v>64</v>
      </c>
      <c r="AA26" s="481">
        <f>SUM(AA11:AA25)/2</f>
        <v>0</v>
      </c>
      <c r="AC26" s="484" t="s">
        <v>64</v>
      </c>
      <c r="AD26" s="481">
        <f>SUM(AD11:AD25)/2</f>
        <v>21720639</v>
      </c>
    </row>
    <row r="27" spans="1:31" x14ac:dyDescent="0.3">
      <c r="F27" s="153" t="s">
        <v>65</v>
      </c>
      <c r="G27" s="816"/>
      <c r="H27" s="182">
        <v>0</v>
      </c>
      <c r="I27" s="182">
        <v>0</v>
      </c>
      <c r="K27" s="153" t="s">
        <v>65</v>
      </c>
      <c r="L27" s="182">
        <v>0</v>
      </c>
      <c r="M27" s="302"/>
      <c r="N27" s="153" t="s">
        <v>65</v>
      </c>
      <c r="O27" s="182">
        <v>0</v>
      </c>
      <c r="P27" s="302"/>
      <c r="Q27" s="482" t="s">
        <v>65</v>
      </c>
      <c r="R27" s="483">
        <v>0</v>
      </c>
      <c r="S27" s="302"/>
      <c r="T27" s="482" t="s">
        <v>65</v>
      </c>
      <c r="U27" s="483">
        <v>0</v>
      </c>
      <c r="V27" s="626"/>
      <c r="W27" s="482" t="s">
        <v>65</v>
      </c>
      <c r="X27" s="483">
        <v>0</v>
      </c>
      <c r="Y27" s="795"/>
      <c r="Z27" s="482" t="s">
        <v>65</v>
      </c>
      <c r="AA27" s="483">
        <v>0</v>
      </c>
      <c r="AB27" s="1054"/>
      <c r="AC27" s="482" t="s">
        <v>65</v>
      </c>
      <c r="AD27" s="483">
        <v>0</v>
      </c>
      <c r="AE27" s="302"/>
    </row>
    <row r="28" spans="1:31" x14ac:dyDescent="0.3">
      <c r="F28" s="152" t="s">
        <v>64</v>
      </c>
      <c r="G28" s="817"/>
      <c r="H28" s="182">
        <f>+H26+H27</f>
        <v>26133862</v>
      </c>
      <c r="I28" s="182">
        <f>+I26+I27</f>
        <v>27466690</v>
      </c>
      <c r="K28" s="152" t="s">
        <v>64</v>
      </c>
      <c r="L28" s="182">
        <f>+L26+L27</f>
        <v>3687643</v>
      </c>
      <c r="M28" s="302"/>
      <c r="N28" s="152" t="s">
        <v>64</v>
      </c>
      <c r="O28" s="182">
        <f>+O26+O27</f>
        <v>11365880</v>
      </c>
      <c r="P28" s="302"/>
      <c r="Q28" s="484" t="s">
        <v>64</v>
      </c>
      <c r="R28" s="483">
        <f>+R26+R27</f>
        <v>1671453</v>
      </c>
      <c r="S28" s="302"/>
      <c r="T28" s="484" t="s">
        <v>64</v>
      </c>
      <c r="U28" s="483">
        <f>+U26+U27</f>
        <v>2869328</v>
      </c>
      <c r="V28" s="626"/>
      <c r="W28" s="484" t="s">
        <v>64</v>
      </c>
      <c r="X28" s="483">
        <f>+X26+X27</f>
        <v>2126335</v>
      </c>
      <c r="Y28" s="795"/>
      <c r="Z28" s="484" t="s">
        <v>64</v>
      </c>
      <c r="AA28" s="483">
        <f>+AA26+AA27</f>
        <v>0</v>
      </c>
      <c r="AB28" s="1054"/>
      <c r="AC28" s="484" t="s">
        <v>64</v>
      </c>
      <c r="AD28" s="483">
        <f>+AD26+AD27</f>
        <v>21720639</v>
      </c>
      <c r="AE28" s="302"/>
    </row>
    <row r="29" spans="1:31" ht="26.4" x14ac:dyDescent="0.3">
      <c r="F29" s="152"/>
      <c r="G29" s="817"/>
      <c r="H29" s="182"/>
      <c r="I29" s="182"/>
      <c r="K29" s="152"/>
      <c r="L29" s="182"/>
      <c r="M29" s="302"/>
      <c r="N29" s="152"/>
      <c r="O29" s="182"/>
      <c r="P29" s="302"/>
      <c r="Q29" s="484" t="s">
        <v>1439</v>
      </c>
      <c r="R29" s="483">
        <f>ROUND(R28*0.015,0)</f>
        <v>25072</v>
      </c>
      <c r="S29" s="302"/>
      <c r="T29" s="484" t="s">
        <v>1439</v>
      </c>
      <c r="U29" s="483">
        <f>ROUND(U28*0.015,0)</f>
        <v>43040</v>
      </c>
      <c r="V29" s="626"/>
      <c r="W29" s="484" t="s">
        <v>1439</v>
      </c>
      <c r="X29" s="483">
        <f>ROUND(X28*0.015,0)</f>
        <v>31895</v>
      </c>
      <c r="Y29" s="795"/>
      <c r="Z29" s="484" t="s">
        <v>1439</v>
      </c>
      <c r="AA29" s="483">
        <f>ROUND(AA28*0.015,0)</f>
        <v>0</v>
      </c>
      <c r="AB29" s="1054"/>
      <c r="AC29" s="484" t="s">
        <v>1439</v>
      </c>
      <c r="AD29" s="483">
        <f>L29+O29+R29+U29+X29+AA29</f>
        <v>100007</v>
      </c>
      <c r="AE29" s="302"/>
    </row>
    <row r="30" spans="1:31" ht="26.4" x14ac:dyDescent="0.3">
      <c r="F30" s="152"/>
      <c r="G30" s="817"/>
      <c r="H30" s="182"/>
      <c r="I30" s="182"/>
      <c r="K30" s="152"/>
      <c r="L30" s="182"/>
      <c r="M30" s="302"/>
      <c r="N30" s="152"/>
      <c r="O30" s="182"/>
      <c r="P30" s="302"/>
      <c r="Q30" s="152" t="s">
        <v>1440</v>
      </c>
      <c r="R30" s="182">
        <f>R28+R29</f>
        <v>1696525</v>
      </c>
      <c r="S30" s="570">
        <f>R30/$H$26</f>
        <v>6.4916735230330674E-2</v>
      </c>
      <c r="T30" s="152" t="s">
        <v>1440</v>
      </c>
      <c r="U30" s="182">
        <f>U28+U29</f>
        <v>2912368</v>
      </c>
      <c r="V30" s="570">
        <f>U30/$H$26</f>
        <v>0.11144039866744533</v>
      </c>
      <c r="W30" s="152" t="s">
        <v>1440</v>
      </c>
      <c r="X30" s="182">
        <f>X28+X29</f>
        <v>2158230</v>
      </c>
      <c r="Y30" s="570">
        <f>X30/$H$26</f>
        <v>8.2583660998898675E-2</v>
      </c>
      <c r="Z30" s="152" t="s">
        <v>1440</v>
      </c>
      <c r="AA30" s="182">
        <f>AA28+AA29</f>
        <v>0</v>
      </c>
      <c r="AB30" s="570">
        <f>AA30/$H$26</f>
        <v>0</v>
      </c>
      <c r="AC30" s="152" t="s">
        <v>1440</v>
      </c>
      <c r="AD30" s="182">
        <f>AD28+AD29</f>
        <v>21820646</v>
      </c>
      <c r="AE30" s="631">
        <f>AD30/H26</f>
        <v>0.83495680814416173</v>
      </c>
    </row>
    <row r="31" spans="1:31" x14ac:dyDescent="0.3">
      <c r="F31" s="154" t="s">
        <v>66</v>
      </c>
      <c r="G31" s="818"/>
      <c r="H31" s="182">
        <f>+H28*19%</f>
        <v>4965433.78</v>
      </c>
      <c r="I31" s="182">
        <f>+I28*19%</f>
        <v>5218671.0999999996</v>
      </c>
      <c r="K31" s="154" t="s">
        <v>66</v>
      </c>
      <c r="L31" s="182">
        <f>+L28*19%</f>
        <v>700652.17</v>
      </c>
      <c r="M31" s="302"/>
      <c r="N31" s="154" t="s">
        <v>66</v>
      </c>
      <c r="O31" s="182">
        <f>+O28*19%</f>
        <v>2159517.2000000002</v>
      </c>
      <c r="P31" s="302"/>
      <c r="Q31" s="485" t="s">
        <v>66</v>
      </c>
      <c r="R31" s="483">
        <f>ROUND(R30*0.19,0)</f>
        <v>322340</v>
      </c>
      <c r="S31" s="302"/>
      <c r="T31" s="485" t="s">
        <v>66</v>
      </c>
      <c r="U31" s="483">
        <f>ROUND(U30*0.19,0)</f>
        <v>553350</v>
      </c>
      <c r="V31" s="626"/>
      <c r="W31" s="485" t="s">
        <v>66</v>
      </c>
      <c r="X31" s="483">
        <f>ROUND(X30*0.19,0)</f>
        <v>410064</v>
      </c>
      <c r="Y31" s="795"/>
      <c r="Z31" s="485" t="s">
        <v>66</v>
      </c>
      <c r="AA31" s="483">
        <f>ROUND(AA30*0.19,0)</f>
        <v>0</v>
      </c>
      <c r="AB31" s="1054"/>
      <c r="AC31" s="485" t="s">
        <v>66</v>
      </c>
      <c r="AD31" s="483">
        <f>ROUND(AD30*0.19,0)</f>
        <v>4145923</v>
      </c>
      <c r="AE31" s="302"/>
    </row>
    <row r="32" spans="1:31" x14ac:dyDescent="0.3">
      <c r="F32" s="155" t="s">
        <v>69</v>
      </c>
      <c r="G32" s="155"/>
      <c r="H32" s="181">
        <f>+H28+H31</f>
        <v>31099295.780000001</v>
      </c>
      <c r="I32" s="181">
        <f>+I28+I31</f>
        <v>32685361.100000001</v>
      </c>
      <c r="K32" s="155" t="s">
        <v>69</v>
      </c>
      <c r="L32" s="181">
        <f>+L28+L31</f>
        <v>4388295.17</v>
      </c>
      <c r="M32" s="302"/>
      <c r="N32" s="155" t="s">
        <v>69</v>
      </c>
      <c r="O32" s="181">
        <f>+O28+O31</f>
        <v>13525397.199999999</v>
      </c>
      <c r="P32" s="302"/>
      <c r="Q32" s="545" t="s">
        <v>69</v>
      </c>
      <c r="R32" s="481">
        <f>R30+R31</f>
        <v>2018865</v>
      </c>
      <c r="S32" s="302"/>
      <c r="T32" s="545" t="s">
        <v>69</v>
      </c>
      <c r="U32" s="481">
        <f>U30+U31</f>
        <v>3465718</v>
      </c>
      <c r="V32" s="626"/>
      <c r="W32" s="545" t="s">
        <v>69</v>
      </c>
      <c r="X32" s="481">
        <f>X30+X31</f>
        <v>2568294</v>
      </c>
      <c r="Y32" s="795"/>
      <c r="Z32" s="545" t="s">
        <v>69</v>
      </c>
      <c r="AA32" s="481">
        <f>AA30+AA31</f>
        <v>0</v>
      </c>
      <c r="AB32" s="1054"/>
      <c r="AC32" s="545" t="s">
        <v>69</v>
      </c>
      <c r="AD32" s="481">
        <f>AD30+AD31</f>
        <v>25966569</v>
      </c>
      <c r="AE32" s="302"/>
    </row>
    <row r="35" spans="1:34" s="302" customFormat="1" x14ac:dyDescent="0.3">
      <c r="A35" s="183" t="s">
        <v>67</v>
      </c>
      <c r="B35" s="184"/>
      <c r="C35" s="184"/>
      <c r="D35" s="185" t="s">
        <v>68</v>
      </c>
      <c r="G35" s="795"/>
      <c r="I35" s="795"/>
      <c r="K35" s="186" t="s">
        <v>70</v>
      </c>
      <c r="L35" s="187" t="s">
        <v>71</v>
      </c>
      <c r="M35" s="186" t="s">
        <v>58</v>
      </c>
      <c r="N35" s="186" t="s">
        <v>70</v>
      </c>
      <c r="O35" s="187" t="s">
        <v>71</v>
      </c>
      <c r="P35" s="186" t="s">
        <v>58</v>
      </c>
      <c r="Q35" s="186" t="s">
        <v>70</v>
      </c>
      <c r="R35" s="187" t="s">
        <v>71</v>
      </c>
      <c r="S35" s="186" t="s">
        <v>58</v>
      </c>
      <c r="T35" s="186" t="s">
        <v>70</v>
      </c>
      <c r="U35" s="187" t="s">
        <v>71</v>
      </c>
      <c r="V35" s="186" t="s">
        <v>58</v>
      </c>
      <c r="W35" s="186" t="s">
        <v>70</v>
      </c>
      <c r="X35" s="187" t="s">
        <v>71</v>
      </c>
      <c r="Y35" s="186" t="s">
        <v>58</v>
      </c>
      <c r="Z35" s="186" t="s">
        <v>70</v>
      </c>
      <c r="AA35" s="187" t="s">
        <v>71</v>
      </c>
      <c r="AB35" s="186" t="s">
        <v>58</v>
      </c>
      <c r="AF35" s="189"/>
      <c r="AG35" s="189"/>
      <c r="AH35" s="189"/>
    </row>
    <row r="36" spans="1:34" s="302" customFormat="1" x14ac:dyDescent="0.3">
      <c r="A36" s="183"/>
      <c r="B36" s="184"/>
      <c r="C36" s="184"/>
      <c r="D36" s="185"/>
      <c r="G36" s="795"/>
      <c r="I36" s="795"/>
      <c r="K36" s="203" t="s">
        <v>72</v>
      </c>
      <c r="L36" s="204">
        <f>$L$26</f>
        <v>3687643</v>
      </c>
      <c r="M36" s="205">
        <f>$M$26</f>
        <v>0.14110593374986063</v>
      </c>
      <c r="N36" s="203" t="s">
        <v>72</v>
      </c>
      <c r="O36" s="204">
        <f>$L$26</f>
        <v>3687643</v>
      </c>
      <c r="P36" s="205">
        <f>$M$26</f>
        <v>0.14110593374986063</v>
      </c>
      <c r="Q36" s="203" t="s">
        <v>72</v>
      </c>
      <c r="R36" s="204">
        <f>$L$26</f>
        <v>3687643</v>
      </c>
      <c r="S36" s="205">
        <f>$M$26</f>
        <v>0.14110593374986063</v>
      </c>
      <c r="T36" s="203" t="s">
        <v>72</v>
      </c>
      <c r="U36" s="204">
        <f>$L$26</f>
        <v>3687643</v>
      </c>
      <c r="V36" s="205">
        <f>$M$26</f>
        <v>0.14110593374986063</v>
      </c>
      <c r="W36" s="203" t="s">
        <v>72</v>
      </c>
      <c r="X36" s="204">
        <f>$L$26</f>
        <v>3687643</v>
      </c>
      <c r="Y36" s="252">
        <f>$M$26</f>
        <v>0.14110593374986063</v>
      </c>
      <c r="Z36" s="203" t="s">
        <v>72</v>
      </c>
      <c r="AA36" s="204">
        <f>$L$26</f>
        <v>3687643</v>
      </c>
      <c r="AB36" s="252">
        <f>$M$26</f>
        <v>0.14110593374986063</v>
      </c>
      <c r="AF36" s="189"/>
      <c r="AG36" s="189"/>
      <c r="AH36" s="189"/>
    </row>
    <row r="37" spans="1:34" s="302" customFormat="1" x14ac:dyDescent="0.3">
      <c r="A37" s="183"/>
      <c r="B37" s="184"/>
      <c r="C37" s="184"/>
      <c r="D37" s="185"/>
      <c r="G37" s="795"/>
      <c r="I37" s="795"/>
      <c r="K37" s="203"/>
      <c r="L37" s="204"/>
      <c r="M37" s="205"/>
      <c r="N37" s="203" t="s">
        <v>73</v>
      </c>
      <c r="O37" s="204">
        <f>$O$26</f>
        <v>11365880</v>
      </c>
      <c r="P37" s="205">
        <f>$P$26</f>
        <v>0.4349100794976265</v>
      </c>
      <c r="Q37" s="203" t="s">
        <v>73</v>
      </c>
      <c r="R37" s="204">
        <f>$O$26</f>
        <v>11365880</v>
      </c>
      <c r="S37" s="205">
        <f>$P$26</f>
        <v>0.4349100794976265</v>
      </c>
      <c r="T37" s="203" t="s">
        <v>73</v>
      </c>
      <c r="U37" s="204">
        <f>$O$26</f>
        <v>11365880</v>
      </c>
      <c r="V37" s="205">
        <f>$P$26</f>
        <v>0.4349100794976265</v>
      </c>
      <c r="W37" s="203" t="s">
        <v>73</v>
      </c>
      <c r="X37" s="204">
        <f>$O$26</f>
        <v>11365880</v>
      </c>
      <c r="Y37" s="252">
        <f>$P$26</f>
        <v>0.4349100794976265</v>
      </c>
      <c r="Z37" s="203" t="s">
        <v>73</v>
      </c>
      <c r="AA37" s="204">
        <f>$O$26</f>
        <v>11365880</v>
      </c>
      <c r="AB37" s="252">
        <f>$P$26</f>
        <v>0.4349100794976265</v>
      </c>
      <c r="AF37" s="189"/>
      <c r="AG37" s="189"/>
      <c r="AH37" s="189"/>
    </row>
    <row r="38" spans="1:34" s="302" customFormat="1" x14ac:dyDescent="0.3">
      <c r="A38" s="183"/>
      <c r="B38" s="184"/>
      <c r="C38" s="184"/>
      <c r="D38" s="185"/>
      <c r="G38" s="795"/>
      <c r="I38" s="795"/>
      <c r="K38" s="203"/>
      <c r="L38" s="204"/>
      <c r="M38" s="205"/>
      <c r="N38" s="203"/>
      <c r="O38" s="204"/>
      <c r="P38" s="205"/>
      <c r="Q38" s="203" t="s">
        <v>74</v>
      </c>
      <c r="R38" s="204">
        <f>$R$30</f>
        <v>1696525</v>
      </c>
      <c r="S38" s="205">
        <f>$S$30</f>
        <v>6.4916735230330674E-2</v>
      </c>
      <c r="T38" s="203" t="s">
        <v>74</v>
      </c>
      <c r="U38" s="204">
        <f>$R$30</f>
        <v>1696525</v>
      </c>
      <c r="V38" s="205">
        <f>$S$30</f>
        <v>6.4916735230330674E-2</v>
      </c>
      <c r="W38" s="203" t="s">
        <v>74</v>
      </c>
      <c r="X38" s="204">
        <f>$R$30</f>
        <v>1696525</v>
      </c>
      <c r="Y38" s="252">
        <f>$S$30</f>
        <v>6.4916735230330674E-2</v>
      </c>
      <c r="Z38" s="203" t="s">
        <v>74</v>
      </c>
      <c r="AA38" s="204">
        <f>$R$30</f>
        <v>1696525</v>
      </c>
      <c r="AB38" s="252">
        <f>$S$30</f>
        <v>6.4916735230330674E-2</v>
      </c>
      <c r="AF38" s="189"/>
      <c r="AG38" s="189"/>
      <c r="AH38" s="189"/>
    </row>
    <row r="39" spans="1:34" s="626" customFormat="1" x14ac:dyDescent="0.3">
      <c r="A39" s="183"/>
      <c r="B39" s="184"/>
      <c r="C39" s="184"/>
      <c r="D39" s="185"/>
      <c r="G39" s="795"/>
      <c r="I39" s="795"/>
      <c r="K39" s="203"/>
      <c r="L39" s="204"/>
      <c r="M39" s="205"/>
      <c r="N39" s="203"/>
      <c r="O39" s="204"/>
      <c r="P39" s="205"/>
      <c r="Q39" s="203"/>
      <c r="R39" s="204"/>
      <c r="S39" s="205"/>
      <c r="T39" s="203" t="s">
        <v>155</v>
      </c>
      <c r="U39" s="204">
        <f>+U30</f>
        <v>2912368</v>
      </c>
      <c r="V39" s="205">
        <f>+V30</f>
        <v>0.11144039866744533</v>
      </c>
      <c r="W39" s="203" t="s">
        <v>155</v>
      </c>
      <c r="X39" s="204">
        <f>+U30</f>
        <v>2912368</v>
      </c>
      <c r="Y39" s="252">
        <f>+V30</f>
        <v>0.11144039866744533</v>
      </c>
      <c r="Z39" s="203" t="s">
        <v>155</v>
      </c>
      <c r="AA39" s="204">
        <f>+X30</f>
        <v>2158230</v>
      </c>
      <c r="AB39" s="252">
        <f>+Y30</f>
        <v>8.2583660998898675E-2</v>
      </c>
      <c r="AF39" s="627"/>
      <c r="AG39" s="627"/>
      <c r="AH39" s="627"/>
    </row>
    <row r="40" spans="1:34" s="795" customFormat="1" x14ac:dyDescent="0.3">
      <c r="A40" s="183"/>
      <c r="B40" s="184"/>
      <c r="C40" s="184"/>
      <c r="D40" s="185"/>
      <c r="K40" s="203"/>
      <c r="L40" s="204"/>
      <c r="M40" s="205"/>
      <c r="N40" s="203"/>
      <c r="O40" s="204"/>
      <c r="P40" s="205"/>
      <c r="Q40" s="203"/>
      <c r="R40" s="204"/>
      <c r="S40" s="205"/>
      <c r="T40" s="203"/>
      <c r="U40" s="204"/>
      <c r="V40" s="205"/>
      <c r="W40" s="203" t="s">
        <v>352</v>
      </c>
      <c r="X40" s="204">
        <f>+X30</f>
        <v>2158230</v>
      </c>
      <c r="Y40" s="252">
        <f>+Y30</f>
        <v>8.2583660998898675E-2</v>
      </c>
      <c r="Z40" s="203" t="s">
        <v>352</v>
      </c>
      <c r="AA40" s="204">
        <f>+X30</f>
        <v>2158230</v>
      </c>
      <c r="AB40" s="252">
        <f>+Y30</f>
        <v>8.2583660998898675E-2</v>
      </c>
      <c r="AF40" s="796"/>
      <c r="AG40" s="796"/>
      <c r="AH40" s="796"/>
    </row>
    <row r="41" spans="1:34" s="302" customFormat="1" x14ac:dyDescent="0.3">
      <c r="A41" s="183"/>
      <c r="B41" s="184"/>
      <c r="C41" s="184"/>
      <c r="D41" s="185"/>
      <c r="G41" s="795"/>
      <c r="I41" s="795"/>
      <c r="K41" s="206" t="s">
        <v>1</v>
      </c>
      <c r="L41" s="207">
        <f>SUM(L36:L36)</f>
        <v>3687643</v>
      </c>
      <c r="M41" s="208">
        <f>SUM(M36:M36)</f>
        <v>0.14110593374986063</v>
      </c>
      <c r="N41" s="206" t="s">
        <v>1</v>
      </c>
      <c r="O41" s="207">
        <f>SUM(O36:O37)</f>
        <v>15053523</v>
      </c>
      <c r="P41" s="208">
        <f>SUM(P36:P37)</f>
        <v>0.57601601324748719</v>
      </c>
      <c r="Q41" s="206" t="s">
        <v>1</v>
      </c>
      <c r="R41" s="207">
        <f>SUM(R36:R38)</f>
        <v>16750048</v>
      </c>
      <c r="S41" s="208">
        <f>SUM(S36:S38)</f>
        <v>0.64093274847781789</v>
      </c>
      <c r="T41" s="206" t="s">
        <v>1</v>
      </c>
      <c r="U41" s="207">
        <f>SUM(U36:U39)</f>
        <v>19662416</v>
      </c>
      <c r="V41" s="253">
        <f>SUM(V36:V39)</f>
        <v>0.75237314714526327</v>
      </c>
      <c r="W41" s="203" t="s">
        <v>979</v>
      </c>
      <c r="X41" s="204">
        <f>+AA30</f>
        <v>0</v>
      </c>
      <c r="Y41" s="252">
        <f>+AB30</f>
        <v>0</v>
      </c>
      <c r="Z41" s="203" t="s">
        <v>979</v>
      </c>
      <c r="AA41" s="204">
        <f>+AA30</f>
        <v>0</v>
      </c>
      <c r="AB41" s="252">
        <f>+AB30</f>
        <v>0</v>
      </c>
      <c r="AF41" s="189"/>
      <c r="AG41" s="189"/>
      <c r="AH41" s="189"/>
    </row>
    <row r="42" spans="1:34" s="302" customFormat="1" x14ac:dyDescent="0.3">
      <c r="A42" s="183"/>
      <c r="B42" s="184"/>
      <c r="C42" s="184"/>
      <c r="D42" s="185"/>
      <c r="G42" s="795"/>
      <c r="I42" s="795"/>
      <c r="K42" s="206" t="s">
        <v>9</v>
      </c>
      <c r="L42" s="1285" t="s">
        <v>951</v>
      </c>
      <c r="M42" s="1286"/>
      <c r="N42" s="206" t="s">
        <v>9</v>
      </c>
      <c r="O42" s="1359"/>
      <c r="P42" s="1359"/>
      <c r="Q42" s="206" t="s">
        <v>9</v>
      </c>
      <c r="R42" s="1359"/>
      <c r="S42" s="1359"/>
      <c r="T42" s="206" t="s">
        <v>9</v>
      </c>
      <c r="U42" s="1359"/>
      <c r="V42" s="1359"/>
      <c r="W42" s="206" t="s">
        <v>1</v>
      </c>
      <c r="X42" s="207">
        <f>SUM(X36:X41)</f>
        <v>21820646</v>
      </c>
      <c r="Y42" s="253">
        <f>SUM(Y36:Y41)</f>
        <v>0.83495680814416195</v>
      </c>
      <c r="Z42" s="206" t="s">
        <v>1</v>
      </c>
      <c r="AA42" s="207">
        <f>SUM(AA36:AA41)</f>
        <v>21066508</v>
      </c>
      <c r="AB42" s="253">
        <f>SUM(AB36:AB41)</f>
        <v>0.80610007047561527</v>
      </c>
      <c r="AF42" s="189"/>
      <c r="AG42" s="189"/>
      <c r="AH42" s="189"/>
    </row>
    <row r="43" spans="1:34" s="302" customFormat="1" x14ac:dyDescent="0.3">
      <c r="A43" s="183"/>
      <c r="B43" s="184"/>
      <c r="C43" s="184"/>
      <c r="D43" s="185"/>
      <c r="G43" s="795"/>
      <c r="I43" s="795"/>
      <c r="K43" s="156" t="s">
        <v>78</v>
      </c>
      <c r="L43" s="1285"/>
      <c r="M43" s="1286"/>
      <c r="N43" s="156" t="s">
        <v>78</v>
      </c>
      <c r="O43" s="1285" t="s">
        <v>951</v>
      </c>
      <c r="P43" s="1286"/>
      <c r="Q43" s="156" t="s">
        <v>78</v>
      </c>
      <c r="R43" s="1285" t="s">
        <v>951</v>
      </c>
      <c r="S43" s="1286"/>
      <c r="T43" s="156" t="s">
        <v>78</v>
      </c>
      <c r="U43" s="1285" t="s">
        <v>951</v>
      </c>
      <c r="V43" s="1286"/>
      <c r="W43" s="206" t="s">
        <v>9</v>
      </c>
      <c r="X43" s="1359"/>
      <c r="Y43" s="1359"/>
      <c r="Z43" s="206" t="s">
        <v>9</v>
      </c>
      <c r="AA43" s="1359"/>
      <c r="AB43" s="1359"/>
      <c r="AF43" s="189"/>
      <c r="AG43" s="189"/>
      <c r="AH43" s="189"/>
    </row>
    <row r="44" spans="1:34" s="302" customFormat="1" x14ac:dyDescent="0.3">
      <c r="A44" s="183"/>
      <c r="B44" s="184"/>
      <c r="C44" s="184"/>
      <c r="D44" s="185"/>
      <c r="G44" s="795"/>
      <c r="I44" s="795"/>
      <c r="K44" s="157" t="s">
        <v>8</v>
      </c>
      <c r="L44" s="1287"/>
      <c r="M44" s="1288"/>
      <c r="N44" s="157" t="s">
        <v>8</v>
      </c>
      <c r="O44" s="1287"/>
      <c r="P44" s="1288"/>
      <c r="Q44" s="157" t="s">
        <v>8</v>
      </c>
      <c r="R44" s="1287">
        <v>500000755221</v>
      </c>
      <c r="S44" s="1288"/>
      <c r="T44" s="157" t="s">
        <v>8</v>
      </c>
      <c r="U44" s="1287">
        <v>500000755221</v>
      </c>
      <c r="V44" s="1288"/>
      <c r="W44" s="156" t="s">
        <v>78</v>
      </c>
      <c r="X44" s="1285" t="s">
        <v>2218</v>
      </c>
      <c r="Y44" s="1286"/>
      <c r="Z44" s="156" t="s">
        <v>78</v>
      </c>
      <c r="AA44" s="1285" t="s">
        <v>2218</v>
      </c>
      <c r="AB44" s="1286"/>
      <c r="AF44" s="189"/>
      <c r="AG44" s="189"/>
      <c r="AH44" s="189"/>
    </row>
    <row r="45" spans="1:34" s="302" customFormat="1" x14ac:dyDescent="0.3">
      <c r="A45" s="183"/>
      <c r="B45" s="184"/>
      <c r="C45" s="184"/>
      <c r="D45" s="185" t="s">
        <v>75</v>
      </c>
      <c r="G45" s="795"/>
      <c r="I45" s="795"/>
      <c r="T45" s="626"/>
      <c r="U45" s="626"/>
      <c r="V45" s="626"/>
      <c r="W45" s="157" t="s">
        <v>8</v>
      </c>
      <c r="X45" s="1285" t="s">
        <v>2219</v>
      </c>
      <c r="Y45" s="1286"/>
      <c r="Z45" s="157" t="s">
        <v>8</v>
      </c>
      <c r="AA45" s="1285" t="s">
        <v>2219</v>
      </c>
      <c r="AB45" s="1286"/>
    </row>
    <row r="46" spans="1:34" s="302" customFormat="1" x14ac:dyDescent="0.3">
      <c r="A46" s="183" t="s">
        <v>76</v>
      </c>
      <c r="B46" s="180"/>
      <c r="C46" s="180"/>
      <c r="D46" s="185" t="s">
        <v>77</v>
      </c>
      <c r="G46" s="795"/>
      <c r="I46" s="795"/>
      <c r="T46" s="626"/>
      <c r="U46" s="626"/>
      <c r="V46" s="626"/>
      <c r="W46" s="795"/>
      <c r="X46" s="795"/>
      <c r="Y46" s="795"/>
      <c r="Z46" s="1054"/>
      <c r="AA46" s="1054"/>
      <c r="AB46" s="1054"/>
    </row>
    <row r="47" spans="1:34" s="302" customFormat="1" x14ac:dyDescent="0.3">
      <c r="A47" s="183" t="s">
        <v>79</v>
      </c>
      <c r="B47" s="180"/>
      <c r="C47" s="180"/>
      <c r="D47" s="185" t="s">
        <v>80</v>
      </c>
      <c r="G47" s="795"/>
      <c r="I47" s="795"/>
      <c r="T47" s="626"/>
      <c r="U47" s="626"/>
      <c r="V47" s="626"/>
      <c r="W47" s="795"/>
      <c r="X47" s="795"/>
      <c r="Y47" s="795"/>
      <c r="Z47" s="1054"/>
      <c r="AA47" s="1054"/>
      <c r="AB47" s="1054"/>
    </row>
    <row r="48" spans="1:34" x14ac:dyDescent="0.3">
      <c r="W48" s="795"/>
      <c r="X48" s="795"/>
      <c r="Y48" s="795"/>
    </row>
    <row r="49" spans="18:28" x14ac:dyDescent="0.3">
      <c r="R49" s="1361"/>
      <c r="S49" s="1360"/>
      <c r="U49" s="1361"/>
      <c r="V49" s="1360"/>
      <c r="Z49" s="1054"/>
      <c r="AA49" s="1054"/>
      <c r="AB49" s="1054"/>
    </row>
    <row r="50" spans="18:28" x14ac:dyDescent="0.3">
      <c r="R50" s="1360"/>
      <c r="S50" s="1360"/>
      <c r="U50" s="1360"/>
      <c r="V50" s="1360"/>
      <c r="X50" s="1361"/>
      <c r="Y50" s="1360"/>
      <c r="Z50" s="1054"/>
      <c r="AA50" s="1054"/>
      <c r="AB50" s="1054"/>
    </row>
    <row r="51" spans="18:28" x14ac:dyDescent="0.3">
      <c r="X51" s="1360"/>
      <c r="Y51" s="1360"/>
    </row>
  </sheetData>
  <sheetProtection formatCells="0" formatColumns="0" formatRows="0" insertColumns="0" insertRows="0" insertHyperlinks="0" deleteColumns="0" deleteRows="0" sort="0" autoFilter="0" pivotTables="0"/>
  <mergeCells count="59">
    <mergeCell ref="AC11:AE12"/>
    <mergeCell ref="B12:J12"/>
    <mergeCell ref="AC1:AE1"/>
    <mergeCell ref="AC2:AE2"/>
    <mergeCell ref="A3:AE3"/>
    <mergeCell ref="A4:AE4"/>
    <mergeCell ref="A5:AE5"/>
    <mergeCell ref="A6:AE6"/>
    <mergeCell ref="A7:AE7"/>
    <mergeCell ref="A8:AE8"/>
    <mergeCell ref="A9:AE9"/>
    <mergeCell ref="A10:AE10"/>
    <mergeCell ref="N11:P12"/>
    <mergeCell ref="Q11:S12"/>
    <mergeCell ref="C1:S2"/>
    <mergeCell ref="T11:V12"/>
    <mergeCell ref="A14:A15"/>
    <mergeCell ref="B14:B15"/>
    <mergeCell ref="J14:J15"/>
    <mergeCell ref="A16:A18"/>
    <mergeCell ref="B16:B18"/>
    <mergeCell ref="J16:J18"/>
    <mergeCell ref="A24:A25"/>
    <mergeCell ref="B24:B25"/>
    <mergeCell ref="J24:J25"/>
    <mergeCell ref="L42:M42"/>
    <mergeCell ref="L43:M43"/>
    <mergeCell ref="A19:A21"/>
    <mergeCell ref="B19:B21"/>
    <mergeCell ref="J19:J21"/>
    <mergeCell ref="A22:A23"/>
    <mergeCell ref="B22:B23"/>
    <mergeCell ref="J22:J23"/>
    <mergeCell ref="O43:P43"/>
    <mergeCell ref="O44:P44"/>
    <mergeCell ref="O42:P42"/>
    <mergeCell ref="L44:M44"/>
    <mergeCell ref="B11:J11"/>
    <mergeCell ref="K11:M12"/>
    <mergeCell ref="R49:S49"/>
    <mergeCell ref="R50:S50"/>
    <mergeCell ref="R42:S42"/>
    <mergeCell ref="R43:S43"/>
    <mergeCell ref="R44:S44"/>
    <mergeCell ref="U42:V42"/>
    <mergeCell ref="U43:V43"/>
    <mergeCell ref="U44:V44"/>
    <mergeCell ref="U49:V49"/>
    <mergeCell ref="U50:V50"/>
    <mergeCell ref="Z11:AB12"/>
    <mergeCell ref="AA43:AB43"/>
    <mergeCell ref="AA44:AB44"/>
    <mergeCell ref="AA45:AB45"/>
    <mergeCell ref="X51:Y51"/>
    <mergeCell ref="W11:Y12"/>
    <mergeCell ref="X43:Y43"/>
    <mergeCell ref="X44:Y44"/>
    <mergeCell ref="X45:Y45"/>
    <mergeCell ref="X50:Y50"/>
  </mergeCells>
  <pageMargins left="0.7" right="0.7" top="0.75" bottom="0.75" header="0.3" footer="0.3"/>
  <pageSetup scale="67" fitToHeight="0" orientation="landscape" r:id="rId1"/>
  <drawing r:id="rId2"/>
  <legacyDrawingHF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tabColor theme="1"/>
  </sheetPr>
  <dimension ref="A1:G52"/>
  <sheetViews>
    <sheetView topLeftCell="A25" zoomScaleNormal="100" workbookViewId="0">
      <selection activeCell="F32" sqref="F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RESUMEN!G25</f>
        <v>Proyecto: NORMALIZACIÓN SSEE SATÉLITE-MAGDALENA CSPQ CR22 MAGDALENA UOB, ubicado en Calle 42 #15-77</v>
      </c>
      <c r="C5" s="1281"/>
      <c r="D5" s="1281"/>
      <c r="E5" s="1281"/>
      <c r="F5" s="1281"/>
      <c r="G5" s="1282"/>
    </row>
    <row r="6" spans="1:7" x14ac:dyDescent="0.25">
      <c r="A6" s="1177"/>
      <c r="B6" s="1177"/>
      <c r="C6" s="1177"/>
      <c r="D6" s="1177"/>
      <c r="E6" s="1177"/>
      <c r="F6" s="1177"/>
      <c r="G6" s="1177"/>
    </row>
    <row r="7" spans="1:7" x14ac:dyDescent="0.25">
      <c r="A7" s="271" t="s">
        <v>0</v>
      </c>
      <c r="B7" s="1264" t="str">
        <f>RESUMEN!B25</f>
        <v>D00234935</v>
      </c>
      <c r="C7" s="1265"/>
      <c r="D7" s="1177"/>
      <c r="E7" s="1266" t="s">
        <v>627</v>
      </c>
      <c r="F7" s="1267"/>
      <c r="G7" s="280" t="str">
        <f>RESUMEN!E25</f>
        <v xml:space="preserve">17-153 </v>
      </c>
    </row>
    <row r="8" spans="1:7" x14ac:dyDescent="0.25">
      <c r="A8" s="271" t="s">
        <v>628</v>
      </c>
      <c r="B8" s="1264">
        <f>RESUMEN!C25</f>
        <v>500000755220</v>
      </c>
      <c r="C8" s="1265"/>
      <c r="D8" s="1177"/>
      <c r="E8" s="1266" t="s">
        <v>629</v>
      </c>
      <c r="F8" s="1267"/>
      <c r="G8" s="280" t="str">
        <f>RESUMEN!U25</f>
        <v>Acta N° 6: Marzo</v>
      </c>
    </row>
    <row r="9" spans="1:7" x14ac:dyDescent="0.25">
      <c r="A9" s="271" t="s">
        <v>630</v>
      </c>
      <c r="B9" s="1283" t="s">
        <v>631</v>
      </c>
      <c r="C9" s="1265"/>
      <c r="D9" s="1177"/>
      <c r="E9" s="1266" t="s">
        <v>632</v>
      </c>
      <c r="F9" s="1267"/>
      <c r="G9" s="1178">
        <f>RESUMEN!H25</f>
        <v>26133862</v>
      </c>
    </row>
    <row r="10" spans="1:7" x14ac:dyDescent="0.25">
      <c r="A10" s="271" t="s">
        <v>633</v>
      </c>
      <c r="B10" s="1283" t="str">
        <f>RESUMEN!D25</f>
        <v>SATÉLITE SIMP MAGDALEN</v>
      </c>
      <c r="C10" s="1265"/>
      <c r="D10" s="1177"/>
      <c r="E10" s="1266" t="s">
        <v>634</v>
      </c>
      <c r="F10" s="1267"/>
      <c r="G10" s="1178">
        <f>RESUMEN!R25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NORMALIZACIÓN SSEE SATÉLITE-MAGDALENA CSPQ CR22 MAGDALENA UOB, ubicado en Calle 42 #15-77</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RESUMEN!N25</f>
        <v>0</v>
      </c>
      <c r="F19" s="1248"/>
      <c r="G19" s="1177"/>
    </row>
    <row r="20" spans="1:7" ht="27" customHeight="1" x14ac:dyDescent="0.25">
      <c r="A20" s="1177"/>
      <c r="B20" s="1244" t="s">
        <v>1498</v>
      </c>
      <c r="C20" s="1245"/>
      <c r="D20" s="1246"/>
      <c r="E20" s="1247">
        <f>RESUMEN!P25</f>
        <v>0</v>
      </c>
      <c r="F20" s="1248"/>
      <c r="G20" s="1177"/>
    </row>
    <row r="21" spans="1:7" ht="27" customHeight="1" x14ac:dyDescent="0.25">
      <c r="A21" s="1177"/>
      <c r="B21" s="1244" t="s">
        <v>1499</v>
      </c>
      <c r="C21" s="1245"/>
      <c r="D21" s="1246"/>
      <c r="E21" s="1247">
        <f>RESUMEN!Q25</f>
        <v>0</v>
      </c>
      <c r="F21" s="1248"/>
      <c r="G21" s="1177"/>
    </row>
    <row r="22" spans="1:7" x14ac:dyDescent="0.25">
      <c r="A22" s="1177"/>
      <c r="B22" s="1254" t="s">
        <v>64</v>
      </c>
      <c r="C22" s="1254"/>
      <c r="D22" s="1254"/>
      <c r="E22" s="1255">
        <f>RESUMEN!R25</f>
        <v>0</v>
      </c>
      <c r="F22" s="1255"/>
      <c r="G22" s="1177"/>
    </row>
    <row r="23" spans="1:7" x14ac:dyDescent="0.25">
      <c r="A23" s="1177"/>
      <c r="B23" s="1256" t="s">
        <v>66</v>
      </c>
      <c r="C23" s="1256"/>
      <c r="D23" s="1256"/>
      <c r="E23" s="1257">
        <f>RESUMEN!S25</f>
        <v>0</v>
      </c>
      <c r="F23" s="1257"/>
      <c r="G23" s="1177"/>
    </row>
    <row r="24" spans="1:7" x14ac:dyDescent="0.25">
      <c r="A24" s="1177"/>
      <c r="B24" s="1258" t="s">
        <v>1</v>
      </c>
      <c r="C24" s="1258"/>
      <c r="D24" s="1258"/>
      <c r="E24" s="1259">
        <f>RESUMEN!T25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+'OT17-153 SATÉLITE SIMP MAGDALEN'!Z35</f>
        <v>ACTA 1</v>
      </c>
      <c r="C28" s="1253">
        <f>+'OT17-153 SATÉLITE SIMP MAGDALEN'!AA35</f>
        <v>3687643</v>
      </c>
      <c r="D28" s="1253"/>
      <c r="E28" s="267">
        <f>+'OT17-153 SATÉLITE SIMP MAGDALEN'!AB35</f>
        <v>0.14110593374986063</v>
      </c>
      <c r="F28" s="1177"/>
      <c r="G28" s="1177"/>
    </row>
    <row r="29" spans="1:7" x14ac:dyDescent="0.25">
      <c r="A29" s="1177"/>
      <c r="B29" s="280" t="str">
        <f>+'OT17-153 SATÉLITE SIMP MAGDALEN'!Z36</f>
        <v>ACTA 2</v>
      </c>
      <c r="C29" s="1253">
        <f>+'OT17-153 SATÉLITE SIMP MAGDALEN'!AA36</f>
        <v>2246015</v>
      </c>
      <c r="D29" s="1253"/>
      <c r="E29" s="267">
        <f>+'OT17-153 SATÉLITE SIMP MAGDALEN'!AB36</f>
        <v>8.5942712944608035E-2</v>
      </c>
      <c r="F29" s="1177"/>
      <c r="G29" s="1177"/>
    </row>
    <row r="30" spans="1:7" x14ac:dyDescent="0.25">
      <c r="A30" s="1177"/>
      <c r="B30" s="280" t="str">
        <f>+'OT17-153 SATÉLITE SIMP MAGDALEN'!Z37</f>
        <v>ACTA 3</v>
      </c>
      <c r="C30" s="1253">
        <f>+'OT17-153 SATÉLITE SIMP MAGDALEN'!AA37</f>
        <v>6176367</v>
      </c>
      <c r="D30" s="1253"/>
      <c r="E30" s="267">
        <f>+'OT17-153 SATÉLITE SIMP MAGDALEN'!AB37</f>
        <v>0.23633579300296298</v>
      </c>
      <c r="F30" s="1177"/>
      <c r="G30" s="1177"/>
    </row>
    <row r="31" spans="1:7" x14ac:dyDescent="0.25">
      <c r="A31" s="1177"/>
      <c r="B31" s="280" t="str">
        <f>+'OT17-153 SATÉLITE SIMP MAGDALEN'!Z38</f>
        <v>ACTA 4</v>
      </c>
      <c r="C31" s="1253">
        <f>+'OT17-153 SATÉLITE SIMP MAGDALEN'!AA38</f>
        <v>5600412</v>
      </c>
      <c r="D31" s="1253"/>
      <c r="E31" s="267">
        <f>+'OT17-153 SATÉLITE SIMP MAGDALEN'!AB38</f>
        <v>0.21429714444807277</v>
      </c>
      <c r="F31" s="1177"/>
      <c r="G31" s="1177"/>
    </row>
    <row r="32" spans="1:7" x14ac:dyDescent="0.25">
      <c r="A32" s="1177"/>
      <c r="B32" s="280" t="str">
        <f>+'OT17-153 SATÉLITE SIMP MAGDALEN'!Z39</f>
        <v>ACTA 5</v>
      </c>
      <c r="C32" s="1253">
        <f>+'OT17-153 SATÉLITE SIMP MAGDALEN'!AA39</f>
        <v>1912125</v>
      </c>
      <c r="D32" s="1253"/>
      <c r="E32" s="267">
        <f>+'OT17-153 SATÉLITE SIMP MAGDALEN'!AB39</f>
        <v>7.3166568339574148E-2</v>
      </c>
      <c r="F32" s="1177"/>
      <c r="G32" s="1177"/>
    </row>
    <row r="33" spans="1:7" x14ac:dyDescent="0.25">
      <c r="A33" s="1177"/>
      <c r="B33" s="280" t="str">
        <f>+'OT17-153 SATÉLITE SIMP MAGDALEN'!Z40</f>
        <v>ACTA 6</v>
      </c>
      <c r="C33" s="1253">
        <f>+'OT17-153 SATÉLITE SIMP MAGDALEN'!AA40</f>
        <v>0</v>
      </c>
      <c r="D33" s="1253"/>
      <c r="E33" s="267">
        <f>+'OT17-153 SATÉLITE SIMP MAGDALEN'!AB40</f>
        <v>0</v>
      </c>
      <c r="F33" s="1177"/>
      <c r="G33" s="1177"/>
    </row>
    <row r="34" spans="1:7" x14ac:dyDescent="0.25">
      <c r="A34" s="1177"/>
      <c r="B34" s="280"/>
      <c r="C34" s="1253"/>
      <c r="D34" s="1253"/>
      <c r="E34" s="267"/>
      <c r="F34" s="1177"/>
      <c r="G34" s="1177"/>
    </row>
    <row r="35" spans="1:7" x14ac:dyDescent="0.25">
      <c r="A35" s="1177"/>
      <c r="B35" s="280"/>
      <c r="C35" s="1253"/>
      <c r="D35" s="1253"/>
      <c r="E35" s="267"/>
      <c r="F35" s="1177"/>
      <c r="G35" s="1177"/>
    </row>
    <row r="36" spans="1:7" x14ac:dyDescent="0.25">
      <c r="A36" s="1177"/>
      <c r="B36" s="280"/>
      <c r="C36" s="1253"/>
      <c r="D36" s="1253"/>
      <c r="E36" s="267"/>
      <c r="F36" s="1177"/>
      <c r="G36" s="1177"/>
    </row>
    <row r="37" spans="1:7" x14ac:dyDescent="0.25">
      <c r="A37" s="1177"/>
      <c r="B37" s="263" t="s">
        <v>1</v>
      </c>
      <c r="C37" s="1251">
        <f>SUM(C28:D36)</f>
        <v>19622562</v>
      </c>
      <c r="D37" s="1251"/>
      <c r="E37" s="264">
        <f>SUM(E28:E36)</f>
        <v>0.75084815248507852</v>
      </c>
      <c r="F37" s="1177"/>
      <c r="G37" s="1177"/>
    </row>
    <row r="38" spans="1:7" x14ac:dyDescent="0.25">
      <c r="A38" s="1177"/>
      <c r="B38" s="1177"/>
      <c r="C38" s="1177"/>
      <c r="D38" s="1177"/>
      <c r="E38" s="1177"/>
      <c r="F38" s="1177"/>
      <c r="G38" s="260"/>
    </row>
    <row r="39" spans="1:7" x14ac:dyDescent="0.25">
      <c r="A39" s="1252" t="s">
        <v>1500</v>
      </c>
      <c r="B39" s="1252"/>
      <c r="C39" s="1252"/>
      <c r="D39" s="1252"/>
      <c r="E39" s="1252"/>
      <c r="F39" s="1252"/>
      <c r="G39" s="1252"/>
    </row>
    <row r="40" spans="1:7" x14ac:dyDescent="0.25">
      <c r="A40" s="1177"/>
      <c r="B40" s="1177"/>
      <c r="C40" s="1177"/>
      <c r="D40" s="1177"/>
      <c r="E40" s="1177"/>
      <c r="F40" s="1177"/>
      <c r="G40" s="1177"/>
    </row>
    <row r="41" spans="1:7" x14ac:dyDescent="0.25">
      <c r="A41" s="1177"/>
      <c r="B41" s="1177"/>
      <c r="C41" s="1177"/>
      <c r="D41" s="1177"/>
      <c r="E41" s="1177"/>
      <c r="F41" s="1177"/>
      <c r="G41" s="1177"/>
    </row>
    <row r="42" spans="1:7" x14ac:dyDescent="0.25">
      <c r="A42" s="266"/>
      <c r="B42" s="266"/>
      <c r="C42" s="266"/>
      <c r="D42" s="1177"/>
      <c r="E42" s="266"/>
      <c r="F42" s="266"/>
      <c r="G42" s="266"/>
    </row>
    <row r="43" spans="1:7" x14ac:dyDescent="0.25">
      <c r="A43" s="1250">
        <f>RESUMEN!V25</f>
        <v>0</v>
      </c>
      <c r="B43" s="1250"/>
      <c r="C43" s="1250"/>
      <c r="D43" s="1177"/>
      <c r="E43" s="1250" t="s">
        <v>642</v>
      </c>
      <c r="F43" s="1250"/>
      <c r="G43" s="1250"/>
    </row>
    <row r="44" spans="1:7" x14ac:dyDescent="0.25">
      <c r="A44" s="1249" t="s">
        <v>643</v>
      </c>
      <c r="B44" s="1249"/>
      <c r="C44" s="1249"/>
      <c r="D44" s="1177"/>
      <c r="E44" s="1249" t="s">
        <v>644</v>
      </c>
      <c r="F44" s="1249"/>
      <c r="G44" s="1249"/>
    </row>
    <row r="45" spans="1:7" x14ac:dyDescent="0.25">
      <c r="A45" s="1249" t="s">
        <v>645</v>
      </c>
      <c r="B45" s="1249"/>
      <c r="C45" s="1249"/>
      <c r="D45" s="1177"/>
      <c r="E45" s="1249" t="s">
        <v>645</v>
      </c>
      <c r="F45" s="1249"/>
      <c r="G45" s="1249"/>
    </row>
    <row r="46" spans="1:7" x14ac:dyDescent="0.25">
      <c r="A46" s="1177"/>
      <c r="B46" s="1177"/>
      <c r="C46" s="1177"/>
      <c r="D46" s="1177"/>
      <c r="E46" s="1177"/>
      <c r="F46" s="1177"/>
      <c r="G46" s="1177"/>
    </row>
    <row r="47" spans="1:7" x14ac:dyDescent="0.25">
      <c r="A47" s="1177"/>
      <c r="B47" s="1177"/>
      <c r="C47" s="1177"/>
      <c r="D47" s="1177"/>
      <c r="E47" s="1177"/>
      <c r="F47" s="1177"/>
      <c r="G47" s="1177"/>
    </row>
    <row r="48" spans="1:7" x14ac:dyDescent="0.25">
      <c r="A48" s="1177"/>
      <c r="B48" s="1177"/>
      <c r="C48" s="1177"/>
      <c r="D48" s="1177"/>
      <c r="E48" s="1177"/>
      <c r="F48" s="1177"/>
      <c r="G48" s="1177"/>
    </row>
    <row r="49" spans="1:7" x14ac:dyDescent="0.25">
      <c r="A49" s="266"/>
      <c r="B49" s="266"/>
      <c r="C49" s="266"/>
      <c r="D49" s="1177"/>
      <c r="E49" s="266"/>
      <c r="F49" s="266"/>
      <c r="G49" s="266"/>
    </row>
    <row r="50" spans="1:7" x14ac:dyDescent="0.25">
      <c r="A50" s="1250" t="s">
        <v>646</v>
      </c>
      <c r="B50" s="1250"/>
      <c r="C50" s="1250"/>
      <c r="D50" s="1177"/>
      <c r="E50" s="1250" t="s">
        <v>647</v>
      </c>
      <c r="F50" s="1250"/>
      <c r="G50" s="1250"/>
    </row>
    <row r="51" spans="1:7" x14ac:dyDescent="0.25">
      <c r="A51" s="1249" t="s">
        <v>648</v>
      </c>
      <c r="B51" s="1249"/>
      <c r="C51" s="1249"/>
      <c r="D51" s="1177"/>
      <c r="E51" s="1249" t="s">
        <v>763</v>
      </c>
      <c r="F51" s="1249"/>
      <c r="G51" s="1249"/>
    </row>
    <row r="52" spans="1:7" x14ac:dyDescent="0.25">
      <c r="A52" s="1249" t="s">
        <v>645</v>
      </c>
      <c r="B52" s="1249"/>
      <c r="C52" s="1249"/>
      <c r="D52" s="1177"/>
      <c r="E52" s="1249" t="s">
        <v>764</v>
      </c>
      <c r="F52" s="1249"/>
      <c r="G52" s="1249"/>
    </row>
  </sheetData>
  <mergeCells count="52">
    <mergeCell ref="E43:G43"/>
    <mergeCell ref="A44:C44"/>
    <mergeCell ref="E44:G44"/>
    <mergeCell ref="A45:C45"/>
    <mergeCell ref="E45:G45"/>
    <mergeCell ref="B24:D24"/>
    <mergeCell ref="E24:F24"/>
    <mergeCell ref="C27:D27"/>
    <mergeCell ref="C28:D28"/>
    <mergeCell ref="C29:D29"/>
    <mergeCell ref="B21:D21"/>
    <mergeCell ref="E21:F21"/>
    <mergeCell ref="B22:D22"/>
    <mergeCell ref="E22:F22"/>
    <mergeCell ref="B23:D23"/>
    <mergeCell ref="E23:F23"/>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 ref="A52:C52"/>
    <mergeCell ref="E52:G52"/>
    <mergeCell ref="C30:D30"/>
    <mergeCell ref="C31:D31"/>
    <mergeCell ref="C32:D32"/>
    <mergeCell ref="C33:D33"/>
    <mergeCell ref="C34:D34"/>
    <mergeCell ref="C35:D35"/>
    <mergeCell ref="C36:D36"/>
    <mergeCell ref="C37:D37"/>
    <mergeCell ref="A39:G39"/>
    <mergeCell ref="A50:C50"/>
    <mergeCell ref="E50:G50"/>
    <mergeCell ref="A51:C51"/>
    <mergeCell ref="E51:G51"/>
    <mergeCell ref="A43:C43"/>
  </mergeCells>
  <pageMargins left="0.70866141732283472" right="0.70866141732283472" top="0.74803149606299213" bottom="0.74803149606299213" header="0.31496062992125984" footer="0.31496062992125984"/>
  <pageSetup scale="86"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tabColor rgb="FF92D050"/>
    <pageSetUpPr fitToPage="1"/>
  </sheetPr>
  <dimension ref="A1:AH47"/>
  <sheetViews>
    <sheetView topLeftCell="E19" zoomScale="70" zoomScaleNormal="70" workbookViewId="0">
      <selection activeCell="J39" sqref="J39"/>
    </sheetView>
  </sheetViews>
  <sheetFormatPr baseColWidth="10" defaultColWidth="11.44140625" defaultRowHeight="14.4" x14ac:dyDescent="0.3"/>
  <cols>
    <col min="1" max="1" width="19.5546875" style="189" customWidth="1"/>
    <col min="2" max="2" width="23.33203125" style="189" customWidth="1"/>
    <col min="3" max="3" width="20.6640625" style="189" customWidth="1"/>
    <col min="4" max="4" width="24" style="189" customWidth="1"/>
    <col min="5" max="5" width="11.5546875" style="189" bestFit="1" customWidth="1"/>
    <col min="6" max="6" width="18.33203125" style="189" customWidth="1"/>
    <col min="7" max="7" width="18.33203125" style="796" customWidth="1"/>
    <col min="8" max="8" width="17.88671875" style="189" customWidth="1"/>
    <col min="9" max="9" width="17.88671875" style="796" customWidth="1"/>
    <col min="10" max="10" width="47" style="189" customWidth="1"/>
    <col min="11" max="11" width="20.6640625" style="189" hidden="1" customWidth="1"/>
    <col min="12" max="12" width="18" style="189" hidden="1" customWidth="1"/>
    <col min="13" max="13" width="11.44140625" style="189" hidden="1" customWidth="1"/>
    <col min="14" max="14" width="20.6640625" style="189" hidden="1" customWidth="1"/>
    <col min="15" max="15" width="18" style="189" hidden="1" customWidth="1"/>
    <col min="16" max="16" width="11.44140625" style="189" hidden="1" customWidth="1"/>
    <col min="17" max="17" width="17.88671875" style="189" hidden="1" customWidth="1"/>
    <col min="18" max="18" width="18" style="189" hidden="1" customWidth="1"/>
    <col min="19" max="19" width="11.44140625" style="189" hidden="1" customWidth="1"/>
    <col min="20" max="20" width="17.88671875" style="189" hidden="1" customWidth="1"/>
    <col min="21" max="21" width="18" style="189" hidden="1" customWidth="1"/>
    <col min="22" max="22" width="11.44140625" style="189" hidden="1" customWidth="1"/>
    <col min="23" max="23" width="17.88671875" style="189" bestFit="1" customWidth="1"/>
    <col min="24" max="24" width="18" style="189" bestFit="1" customWidth="1"/>
    <col min="25" max="25" width="11.44140625" style="189"/>
    <col min="26" max="26" width="17.88671875" style="796" bestFit="1" customWidth="1"/>
    <col min="27" max="27" width="18" style="796" bestFit="1" customWidth="1"/>
    <col min="28" max="28" width="11.44140625" style="796"/>
    <col min="29" max="29" width="19.6640625" style="189" customWidth="1"/>
    <col min="30" max="30" width="17.33203125" style="189" bestFit="1" customWidth="1"/>
    <col min="31" max="16384" width="11.44140625" style="189"/>
  </cols>
  <sheetData>
    <row r="1" spans="1:31" s="302" customFormat="1" ht="54.7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9"/>
      <c r="Z1" s="792"/>
      <c r="AA1" s="792"/>
      <c r="AB1" s="792"/>
      <c r="AC1" s="1328" t="s">
        <v>952</v>
      </c>
      <c r="AD1" s="1303"/>
      <c r="AE1" s="1304"/>
    </row>
    <row r="2" spans="1:31"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1"/>
      <c r="W2" s="1311"/>
      <c r="X2" s="1311"/>
      <c r="Y2" s="1312"/>
      <c r="Z2" s="793"/>
      <c r="AA2" s="793"/>
      <c r="AB2" s="793"/>
      <c r="AC2" s="1329" t="s">
        <v>41</v>
      </c>
      <c r="AD2" s="1305"/>
      <c r="AE2" s="1306"/>
    </row>
    <row r="3" spans="1:31"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1"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1"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1"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1" s="302" customFormat="1" x14ac:dyDescent="0.3">
      <c r="A7" s="1291" t="s">
        <v>953</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row>
    <row r="8" spans="1:31" s="302" customFormat="1" ht="13.5" customHeight="1" x14ac:dyDescent="0.3">
      <c r="A8" s="1292" t="s">
        <v>2304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1" s="302" customFormat="1" ht="13.5" customHeight="1" x14ac:dyDescent="0.3">
      <c r="A9" s="1292" t="s">
        <v>2327</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1" s="302" customFormat="1" ht="13.5" customHeight="1" x14ac:dyDescent="0.3">
      <c r="A10" s="1292" t="s">
        <v>954</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1" s="302" customFormat="1" ht="13.5" customHeight="1" x14ac:dyDescent="0.3">
      <c r="A11" s="354"/>
      <c r="B11" s="1318"/>
      <c r="C11" s="1320"/>
      <c r="D11" s="1320"/>
      <c r="E11" s="1320"/>
      <c r="F11" s="1320"/>
      <c r="G11" s="1320"/>
      <c r="H11" s="1320"/>
      <c r="I11" s="1320"/>
      <c r="J11" s="1320"/>
      <c r="K11" s="1293" t="s">
        <v>46</v>
      </c>
      <c r="L11" s="1294"/>
      <c r="M11" s="1295"/>
      <c r="N11" s="1293" t="s">
        <v>464</v>
      </c>
      <c r="O11" s="1294"/>
      <c r="P11" s="1295"/>
      <c r="Q11" s="1293" t="s">
        <v>676</v>
      </c>
      <c r="R11" s="1294"/>
      <c r="S11" s="1295"/>
      <c r="T11" s="1293" t="s">
        <v>1408</v>
      </c>
      <c r="U11" s="1294"/>
      <c r="V11" s="1295"/>
      <c r="W11" s="1293" t="s">
        <v>1727</v>
      </c>
      <c r="X11" s="1294"/>
      <c r="Y11" s="1295"/>
      <c r="Z11" s="1293" t="s">
        <v>2303</v>
      </c>
      <c r="AA11" s="1294"/>
      <c r="AB11" s="1295"/>
      <c r="AC11" s="1299" t="s">
        <v>49</v>
      </c>
      <c r="AD11" s="1299"/>
      <c r="AE11" s="1299"/>
    </row>
    <row r="12" spans="1:31" s="302" customFormat="1"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296"/>
      <c r="X12" s="1297"/>
      <c r="Y12" s="1298"/>
      <c r="Z12" s="1296"/>
      <c r="AA12" s="1297"/>
      <c r="AB12" s="1298"/>
      <c r="AC12" s="1300"/>
      <c r="AD12" s="1300"/>
      <c r="AE12" s="1300"/>
    </row>
    <row r="13" spans="1:31"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c r="Z13" s="209" t="s">
        <v>54</v>
      </c>
      <c r="AA13" s="209" t="s">
        <v>56</v>
      </c>
      <c r="AB13" s="209" t="s">
        <v>58</v>
      </c>
      <c r="AC13" s="209" t="s">
        <v>54</v>
      </c>
      <c r="AD13" s="209" t="s">
        <v>56</v>
      </c>
      <c r="AE13" s="209" t="s">
        <v>58</v>
      </c>
    </row>
    <row r="14" spans="1:31" ht="57.6" x14ac:dyDescent="0.3">
      <c r="A14" s="1315" t="s">
        <v>945</v>
      </c>
      <c r="B14" s="1314" t="s">
        <v>240</v>
      </c>
      <c r="C14" s="355" t="s">
        <v>59</v>
      </c>
      <c r="D14" s="355" t="s">
        <v>241</v>
      </c>
      <c r="E14" s="355">
        <v>1</v>
      </c>
      <c r="F14" s="192">
        <v>2437535</v>
      </c>
      <c r="G14" s="32">
        <f>+ROUND(F14*1.051,0)</f>
        <v>2561849</v>
      </c>
      <c r="H14" s="192">
        <f>ROUND((E14*F14),0)</f>
        <v>2437535</v>
      </c>
      <c r="I14" s="32">
        <f>+ROUND(G14*E14,0)</f>
        <v>2561849</v>
      </c>
      <c r="J14" s="1315" t="s">
        <v>946</v>
      </c>
      <c r="K14" s="309">
        <v>0.3</v>
      </c>
      <c r="L14" s="310">
        <f>ROUND(K14*F14,0)</f>
        <v>731261</v>
      </c>
      <c r="M14" s="311">
        <f t="shared" ref="M14:M19" si="0">L14/H14</f>
        <v>0.30000020512525977</v>
      </c>
      <c r="N14" s="145">
        <v>0</v>
      </c>
      <c r="O14" s="143">
        <f>ROUND(N14*$F$14,0)</f>
        <v>0</v>
      </c>
      <c r="P14" s="144">
        <f>O14/$H$14</f>
        <v>0</v>
      </c>
      <c r="Q14" s="408">
        <v>0</v>
      </c>
      <c r="R14" s="143">
        <f>ROUND(Q14*$F$14,0)</f>
        <v>0</v>
      </c>
      <c r="S14" s="144">
        <f>R14/$H$14</f>
        <v>0</v>
      </c>
      <c r="T14" s="412">
        <v>0.35</v>
      </c>
      <c r="U14" s="413">
        <f>ROUND(T14*$F$14,0)</f>
        <v>853137</v>
      </c>
      <c r="V14" s="414">
        <f>U14/$H$14</f>
        <v>0.34999989743737014</v>
      </c>
      <c r="W14" s="408">
        <v>0</v>
      </c>
      <c r="X14" s="143">
        <f>ROUND(W14*$F$14,0)</f>
        <v>0</v>
      </c>
      <c r="Y14" s="144">
        <f>X14/$H$14</f>
        <v>0</v>
      </c>
      <c r="Z14" s="408">
        <v>0</v>
      </c>
      <c r="AA14" s="143">
        <f>ROUND(Z14*G14,0)</f>
        <v>0</v>
      </c>
      <c r="AB14" s="144">
        <f>AA14/I14</f>
        <v>0</v>
      </c>
      <c r="AC14" s="163">
        <f>K14+N14+Q14+T14+W14+Z14</f>
        <v>0.64999999999999991</v>
      </c>
      <c r="AD14" s="164">
        <f>L14+O14+R14+U14+X14+AA14</f>
        <v>1584398</v>
      </c>
      <c r="AE14" s="165">
        <f t="shared" ref="AE14:AE19" si="1">AD14/H14</f>
        <v>0.65000010256262986</v>
      </c>
    </row>
    <row r="15" spans="1:31" x14ac:dyDescent="0.3">
      <c r="A15" s="1314"/>
      <c r="B15" s="1314"/>
      <c r="C15" s="196"/>
      <c r="D15" s="196" t="s">
        <v>242</v>
      </c>
      <c r="E15" s="198"/>
      <c r="F15" s="198"/>
      <c r="G15" s="198"/>
      <c r="H15" s="199">
        <f>H14</f>
        <v>2437535</v>
      </c>
      <c r="I15" s="199"/>
      <c r="J15" s="1314"/>
      <c r="K15" s="306"/>
      <c r="L15" s="307">
        <f>SUM(L14)</f>
        <v>731261</v>
      </c>
      <c r="M15" s="308">
        <f t="shared" si="0"/>
        <v>0.30000020512525977</v>
      </c>
      <c r="N15" s="306"/>
      <c r="O15" s="307">
        <f>SUM(O14)</f>
        <v>0</v>
      </c>
      <c r="P15" s="308">
        <f>O15/$H$15</f>
        <v>0</v>
      </c>
      <c r="Q15" s="407"/>
      <c r="R15" s="307">
        <f>SUM(R14)</f>
        <v>0</v>
      </c>
      <c r="S15" s="308">
        <f>R15/$H$15</f>
        <v>0</v>
      </c>
      <c r="T15" s="428"/>
      <c r="U15" s="307">
        <f>SUM(U14)</f>
        <v>853137</v>
      </c>
      <c r="V15" s="431">
        <f>U15/$H$15</f>
        <v>0.34999989743737014</v>
      </c>
      <c r="W15" s="428"/>
      <c r="X15" s="307">
        <f>SUM(X14)</f>
        <v>0</v>
      </c>
      <c r="Y15" s="431">
        <f>X15/$H$15</f>
        <v>0</v>
      </c>
      <c r="Z15" s="428"/>
      <c r="AA15" s="307">
        <f>SUM(AA14)</f>
        <v>0</v>
      </c>
      <c r="AB15" s="431">
        <f>AA15/$H$15</f>
        <v>0</v>
      </c>
      <c r="AC15" s="306"/>
      <c r="AD15" s="307">
        <f>SUM(AD14)</f>
        <v>1584398</v>
      </c>
      <c r="AE15" s="308">
        <f t="shared" si="1"/>
        <v>0.65000010256262986</v>
      </c>
    </row>
    <row r="16" spans="1:31" ht="57.6" x14ac:dyDescent="0.3">
      <c r="A16" s="1314" t="s">
        <v>945</v>
      </c>
      <c r="B16" s="1314" t="s">
        <v>243</v>
      </c>
      <c r="C16" s="355" t="s">
        <v>59</v>
      </c>
      <c r="D16" s="355" t="s">
        <v>141</v>
      </c>
      <c r="E16" s="355">
        <v>0.7</v>
      </c>
      <c r="F16" s="192">
        <v>940192</v>
      </c>
      <c r="G16" s="32">
        <f t="shared" ref="G16:G17" si="2">+ROUND(F16*1.051,0)</f>
        <v>988142</v>
      </c>
      <c r="H16" s="192">
        <f>ROUND((E16*F16),0)</f>
        <v>658134</v>
      </c>
      <c r="I16" s="32">
        <f>+ROUND(G16*E16,0)</f>
        <v>691699</v>
      </c>
      <c r="J16" s="1315" t="s">
        <v>947</v>
      </c>
      <c r="K16" s="163">
        <v>0</v>
      </c>
      <c r="L16" s="164">
        <f>ROUND(K16*F16,0)</f>
        <v>0</v>
      </c>
      <c r="M16" s="165">
        <f t="shared" si="0"/>
        <v>0</v>
      </c>
      <c r="N16" s="145">
        <v>0</v>
      </c>
      <c r="O16" s="143">
        <f>ROUND(N16*$F$16,0)</f>
        <v>0</v>
      </c>
      <c r="P16" s="144">
        <f>O16/$H$16</f>
        <v>0</v>
      </c>
      <c r="Q16" s="408">
        <v>0</v>
      </c>
      <c r="R16" s="143">
        <f>ROUND(Q16*$F$16,0)</f>
        <v>0</v>
      </c>
      <c r="S16" s="144">
        <f>R16/$H$16</f>
        <v>0</v>
      </c>
      <c r="T16" s="412">
        <v>0.35</v>
      </c>
      <c r="U16" s="413">
        <f>ROUND(T16*$F$16,0)</f>
        <v>329067</v>
      </c>
      <c r="V16" s="414">
        <f>U16/$H$16</f>
        <v>0.5</v>
      </c>
      <c r="W16" s="408">
        <v>0</v>
      </c>
      <c r="X16" s="143">
        <f>ROUND(W16*$F$16,0)</f>
        <v>0</v>
      </c>
      <c r="Y16" s="144">
        <f>X16/$H$16</f>
        <v>0</v>
      </c>
      <c r="Z16" s="408">
        <v>0</v>
      </c>
      <c r="AA16" s="143">
        <f t="shared" ref="AA16:AA17" si="3">ROUND(Z16*G16,0)</f>
        <v>0</v>
      </c>
      <c r="AB16" s="144">
        <f t="shared" ref="AB16:AB17" si="4">AA16/I16</f>
        <v>0</v>
      </c>
      <c r="AC16" s="163">
        <f t="shared" ref="AC16:AC17" si="5">K16+N16+Q16+T16+W16+Z16</f>
        <v>0.35</v>
      </c>
      <c r="AD16" s="164">
        <f t="shared" ref="AD16:AD17" si="6">L16+O16+R16+U16+X16+AA16</f>
        <v>329067</v>
      </c>
      <c r="AE16" s="165">
        <f t="shared" si="1"/>
        <v>0.5</v>
      </c>
    </row>
    <row r="17" spans="1:31" ht="43.2" x14ac:dyDescent="0.3">
      <c r="A17" s="1314"/>
      <c r="B17" s="1314"/>
      <c r="C17" s="355" t="s">
        <v>61</v>
      </c>
      <c r="D17" s="355" t="s">
        <v>142</v>
      </c>
      <c r="E17" s="355">
        <v>0.7</v>
      </c>
      <c r="F17" s="192">
        <v>2890220</v>
      </c>
      <c r="G17" s="32">
        <f t="shared" si="2"/>
        <v>3037621</v>
      </c>
      <c r="H17" s="192">
        <f>ROUND((E17*F17),0)</f>
        <v>2023154</v>
      </c>
      <c r="I17" s="32">
        <f>+ROUND(G17*E17,0)</f>
        <v>2126335</v>
      </c>
      <c r="J17" s="1314"/>
      <c r="K17" s="163">
        <v>0</v>
      </c>
      <c r="L17" s="164">
        <f>ROUND(K17*F17,0)</f>
        <v>0</v>
      </c>
      <c r="M17" s="165">
        <f t="shared" si="0"/>
        <v>0</v>
      </c>
      <c r="N17" s="145">
        <v>0</v>
      </c>
      <c r="O17" s="143">
        <f>ROUND(N17*$F$17,0)</f>
        <v>0</v>
      </c>
      <c r="P17" s="144">
        <f>O17/$H$17</f>
        <v>0</v>
      </c>
      <c r="Q17" s="408">
        <v>0</v>
      </c>
      <c r="R17" s="143">
        <f>ROUND(Q17*$F$17,0)</f>
        <v>0</v>
      </c>
      <c r="S17" s="144">
        <f>R17/$H$17</f>
        <v>0</v>
      </c>
      <c r="T17" s="408">
        <v>0</v>
      </c>
      <c r="U17" s="143">
        <f>ROUND(T17*$F$17,0)</f>
        <v>0</v>
      </c>
      <c r="V17" s="144">
        <f>U17/$H$17</f>
        <v>0</v>
      </c>
      <c r="W17" s="408">
        <v>0</v>
      </c>
      <c r="X17" s="143">
        <f>ROUND(W17*$F$17,0)</f>
        <v>0</v>
      </c>
      <c r="Y17" s="144">
        <f>X17/$H$17</f>
        <v>0</v>
      </c>
      <c r="Z17" s="408">
        <v>0</v>
      </c>
      <c r="AA17" s="143">
        <f t="shared" si="3"/>
        <v>0</v>
      </c>
      <c r="AB17" s="144">
        <f t="shared" si="4"/>
        <v>0</v>
      </c>
      <c r="AC17" s="163">
        <f t="shared" si="5"/>
        <v>0</v>
      </c>
      <c r="AD17" s="164">
        <f t="shared" si="6"/>
        <v>0</v>
      </c>
      <c r="AE17" s="165">
        <f t="shared" si="1"/>
        <v>0</v>
      </c>
    </row>
    <row r="18" spans="1:31" x14ac:dyDescent="0.3">
      <c r="A18" s="1314"/>
      <c r="B18" s="1314"/>
      <c r="C18" s="196"/>
      <c r="D18" s="196" t="s">
        <v>143</v>
      </c>
      <c r="E18" s="198"/>
      <c r="F18" s="198"/>
      <c r="G18" s="198"/>
      <c r="H18" s="199">
        <f>SUM(H16:H17)</f>
        <v>2681288</v>
      </c>
      <c r="I18" s="199"/>
      <c r="J18" s="1314"/>
      <c r="K18" s="306"/>
      <c r="L18" s="307">
        <f>SUM(L16:L17)</f>
        <v>0</v>
      </c>
      <c r="M18" s="308">
        <f t="shared" si="0"/>
        <v>0</v>
      </c>
      <c r="N18" s="306"/>
      <c r="O18" s="307">
        <f>SUM(O16:O17)</f>
        <v>0</v>
      </c>
      <c r="P18" s="308">
        <f>O18/$H$18</f>
        <v>0</v>
      </c>
      <c r="Q18" s="407"/>
      <c r="R18" s="307">
        <f>SUM(R16:R17)</f>
        <v>0</v>
      </c>
      <c r="S18" s="308">
        <f>R18/$H$18</f>
        <v>0</v>
      </c>
      <c r="T18" s="428"/>
      <c r="U18" s="307">
        <f>SUM(U16:U17)</f>
        <v>329067</v>
      </c>
      <c r="V18" s="431">
        <f>U18/$H$18</f>
        <v>0.12272721169825845</v>
      </c>
      <c r="W18" s="428"/>
      <c r="X18" s="307">
        <f>SUM(X16:X17)</f>
        <v>0</v>
      </c>
      <c r="Y18" s="431">
        <f>X18/$H$18</f>
        <v>0</v>
      </c>
      <c r="Z18" s="428"/>
      <c r="AA18" s="307">
        <f>SUM(AA16:AA17)</f>
        <v>0</v>
      </c>
      <c r="AB18" s="431">
        <f>AA18/$H$18</f>
        <v>0</v>
      </c>
      <c r="AC18" s="306"/>
      <c r="AD18" s="307">
        <f>L18+O18+R18+U18+X18+AA18</f>
        <v>329067</v>
      </c>
      <c r="AE18" s="308">
        <f t="shared" si="1"/>
        <v>0.12272721169825845</v>
      </c>
    </row>
    <row r="19" spans="1:31" ht="57.6" x14ac:dyDescent="0.3">
      <c r="A19" s="1314" t="s">
        <v>945</v>
      </c>
      <c r="B19" s="1314" t="s">
        <v>392</v>
      </c>
      <c r="C19" s="355" t="s">
        <v>59</v>
      </c>
      <c r="D19" s="355" t="s">
        <v>60</v>
      </c>
      <c r="E19" s="355">
        <v>0.5</v>
      </c>
      <c r="F19" s="192">
        <v>13336802</v>
      </c>
      <c r="G19" s="32">
        <f t="shared" ref="G19:G20" si="7">+ROUND(F19*1.051,0)</f>
        <v>14016979</v>
      </c>
      <c r="H19" s="192">
        <f>ROUND((E19*F19),0)</f>
        <v>6668401</v>
      </c>
      <c r="I19" s="32">
        <f>+ROUND(G19*E19,0)</f>
        <v>7008490</v>
      </c>
      <c r="J19" s="1315" t="s">
        <v>948</v>
      </c>
      <c r="K19" s="163">
        <v>0</v>
      </c>
      <c r="L19" s="164">
        <f>ROUND(K19*F19,0)</f>
        <v>0</v>
      </c>
      <c r="M19" s="165">
        <f t="shared" si="0"/>
        <v>0</v>
      </c>
      <c r="N19" s="145">
        <v>0</v>
      </c>
      <c r="O19" s="143">
        <f>ROUND(N19*$F$19,0)</f>
        <v>0</v>
      </c>
      <c r="P19" s="144">
        <f>O19/$H$19</f>
        <v>0</v>
      </c>
      <c r="Q19" s="408">
        <v>0</v>
      </c>
      <c r="R19" s="143">
        <f>ROUND(Q19*$F$19,0)</f>
        <v>0</v>
      </c>
      <c r="S19" s="144">
        <f>R19/$H$19</f>
        <v>0</v>
      </c>
      <c r="T19" s="412">
        <v>0.25</v>
      </c>
      <c r="U19" s="413">
        <f>ROUND(T19*$F$19,0)</f>
        <v>3334201</v>
      </c>
      <c r="V19" s="414">
        <f>U19/$H$19</f>
        <v>0.50000007498049381</v>
      </c>
      <c r="W19" s="408">
        <v>0</v>
      </c>
      <c r="X19" s="143">
        <f>ROUND(W19*$F$19,0)</f>
        <v>0</v>
      </c>
      <c r="Y19" s="144">
        <f>X19/$H$19</f>
        <v>0</v>
      </c>
      <c r="Z19" s="408">
        <v>0</v>
      </c>
      <c r="AA19" s="143">
        <f t="shared" ref="AA19:AA20" si="8">ROUND(Z19*G19,0)</f>
        <v>0</v>
      </c>
      <c r="AB19" s="144">
        <f t="shared" ref="AB19" si="9">AA19/I19</f>
        <v>0</v>
      </c>
      <c r="AC19" s="163">
        <f t="shared" ref="AC19:AC20" si="10">K19+N19+Q19+T19+W19+Z19</f>
        <v>0.25</v>
      </c>
      <c r="AD19" s="164">
        <f t="shared" ref="AD19:AD20" si="11">L19+O19+R19+U19+X19+AA19</f>
        <v>3334201</v>
      </c>
      <c r="AE19" s="165">
        <f t="shared" si="1"/>
        <v>0.50000007498049381</v>
      </c>
    </row>
    <row r="20" spans="1:31" ht="43.2" x14ac:dyDescent="0.3">
      <c r="A20" s="1314"/>
      <c r="B20" s="1314"/>
      <c r="C20" s="355" t="s">
        <v>61</v>
      </c>
      <c r="D20" s="355" t="s">
        <v>62</v>
      </c>
      <c r="E20" s="355">
        <v>0</v>
      </c>
      <c r="F20" s="192">
        <v>5049181</v>
      </c>
      <c r="G20" s="32">
        <f t="shared" si="7"/>
        <v>5306689</v>
      </c>
      <c r="H20" s="192">
        <f>ROUND((E20*F20),0)</f>
        <v>0</v>
      </c>
      <c r="I20" s="32">
        <f>+ROUND(G20*E20,0)</f>
        <v>0</v>
      </c>
      <c r="J20" s="1314"/>
      <c r="K20" s="163">
        <v>0</v>
      </c>
      <c r="L20" s="164">
        <f>ROUND(K20*F20,0)</f>
        <v>0</v>
      </c>
      <c r="M20" s="165">
        <v>0</v>
      </c>
      <c r="N20" s="145">
        <v>0</v>
      </c>
      <c r="O20" s="143">
        <f>ROUND(N20*$F$20,0)</f>
        <v>0</v>
      </c>
      <c r="P20" s="144">
        <v>0</v>
      </c>
      <c r="Q20" s="408">
        <v>0</v>
      </c>
      <c r="R20" s="143">
        <f>ROUND(Q20*$F$20,0)</f>
        <v>0</v>
      </c>
      <c r="S20" s="144">
        <v>0</v>
      </c>
      <c r="T20" s="408">
        <v>0</v>
      </c>
      <c r="U20" s="143">
        <f>ROUND(T20*$F$20,0)</f>
        <v>0</v>
      </c>
      <c r="V20" s="144">
        <v>0</v>
      </c>
      <c r="W20" s="408">
        <v>0</v>
      </c>
      <c r="X20" s="143">
        <f>ROUND(W20*$F$20,0)</f>
        <v>0</v>
      </c>
      <c r="Y20" s="144">
        <v>0</v>
      </c>
      <c r="Z20" s="408">
        <v>0</v>
      </c>
      <c r="AA20" s="143">
        <f t="shared" si="8"/>
        <v>0</v>
      </c>
      <c r="AB20" s="144">
        <v>0</v>
      </c>
      <c r="AC20" s="163">
        <f t="shared" si="10"/>
        <v>0</v>
      </c>
      <c r="AD20" s="164">
        <f t="shared" si="11"/>
        <v>0</v>
      </c>
      <c r="AE20" s="165">
        <v>0</v>
      </c>
    </row>
    <row r="21" spans="1:31" x14ac:dyDescent="0.3">
      <c r="A21" s="1314"/>
      <c r="B21" s="1314"/>
      <c r="C21" s="196"/>
      <c r="D21" s="196" t="s">
        <v>63</v>
      </c>
      <c r="E21" s="198"/>
      <c r="F21" s="198"/>
      <c r="G21" s="198"/>
      <c r="H21" s="199">
        <f>SUM(H19:H20)</f>
        <v>6668401</v>
      </c>
      <c r="I21" s="199"/>
      <c r="J21" s="1314"/>
      <c r="K21" s="306"/>
      <c r="L21" s="307">
        <f>SUM(L19:L20)</f>
        <v>0</v>
      </c>
      <c r="M21" s="308">
        <f t="shared" ref="M21:M26" si="12">L21/H21</f>
        <v>0</v>
      </c>
      <c r="N21" s="306"/>
      <c r="O21" s="307">
        <f>SUM(O19:O20)</f>
        <v>0</v>
      </c>
      <c r="P21" s="308">
        <f>O21/$H$21</f>
        <v>0</v>
      </c>
      <c r="Q21" s="407"/>
      <c r="R21" s="307">
        <f>SUM(R19:R20)</f>
        <v>0</v>
      </c>
      <c r="S21" s="308">
        <f>R21/$H$21</f>
        <v>0</v>
      </c>
      <c r="T21" s="428"/>
      <c r="U21" s="307">
        <f>SUM(U19:U20)</f>
        <v>3334201</v>
      </c>
      <c r="V21" s="431">
        <f>U21/$H$21</f>
        <v>0.50000007498049381</v>
      </c>
      <c r="W21" s="428"/>
      <c r="X21" s="307">
        <f>SUM(X19:X20)</f>
        <v>0</v>
      </c>
      <c r="Y21" s="431">
        <f>X21/$H$21</f>
        <v>0</v>
      </c>
      <c r="Z21" s="428"/>
      <c r="AA21" s="307">
        <f>SUM(AA19:AA20)</f>
        <v>0</v>
      </c>
      <c r="AB21" s="431">
        <f>AA21/$H$21</f>
        <v>0</v>
      </c>
      <c r="AC21" s="306"/>
      <c r="AD21" s="307">
        <f>L21+O21+R21+U21+X21+AA21</f>
        <v>3334201</v>
      </c>
      <c r="AE21" s="308">
        <f>AD21/H21</f>
        <v>0.50000007498049381</v>
      </c>
    </row>
    <row r="22" spans="1:31" ht="30" customHeight="1" x14ac:dyDescent="0.3">
      <c r="A22" s="1323" t="s">
        <v>945</v>
      </c>
      <c r="B22" s="1323" t="s">
        <v>949</v>
      </c>
      <c r="C22" s="356" t="s">
        <v>88</v>
      </c>
      <c r="D22" s="356" t="s">
        <v>89</v>
      </c>
      <c r="E22" s="356">
        <v>1</v>
      </c>
      <c r="F22" s="114">
        <v>4492030</v>
      </c>
      <c r="G22" s="32">
        <f>+ROUND(F22*1.051,0)</f>
        <v>4721124</v>
      </c>
      <c r="H22" s="114">
        <v>4492030</v>
      </c>
      <c r="I22" s="32">
        <f>+ROUND(G22*E22,0)</f>
        <v>4721124</v>
      </c>
      <c r="J22" s="1362"/>
      <c r="K22" s="163">
        <v>0</v>
      </c>
      <c r="L22" s="164">
        <f>ROUND(K22*F22,0)</f>
        <v>0</v>
      </c>
      <c r="M22" s="165">
        <f t="shared" si="12"/>
        <v>0</v>
      </c>
      <c r="N22" s="309">
        <v>0.5</v>
      </c>
      <c r="O22" s="310">
        <f>ROUND(N22*$F$22,0)</f>
        <v>2246015</v>
      </c>
      <c r="P22" s="311">
        <f>O22/$H$22</f>
        <v>0.5</v>
      </c>
      <c r="Q22" s="409">
        <v>0.3</v>
      </c>
      <c r="R22" s="410">
        <f>ROUND(Q22*$F$22,0)</f>
        <v>1347609</v>
      </c>
      <c r="S22" s="411">
        <f>R22/$H$22</f>
        <v>0.3</v>
      </c>
      <c r="T22" s="408"/>
      <c r="U22" s="143">
        <f>ROUND(T22*$F$22,0)</f>
        <v>0</v>
      </c>
      <c r="V22" s="144">
        <f>U22/$H$22</f>
        <v>0</v>
      </c>
      <c r="W22" s="412">
        <v>0.2</v>
      </c>
      <c r="X22" s="413">
        <f>ROUND(W22*$F$22,0)</f>
        <v>898406</v>
      </c>
      <c r="Y22" s="414">
        <f>X22/$H$22</f>
        <v>0.2</v>
      </c>
      <c r="Z22" s="408">
        <v>0</v>
      </c>
      <c r="AA22" s="143">
        <f t="shared" ref="AA22" si="13">ROUND(Z22*G22,0)</f>
        <v>0</v>
      </c>
      <c r="AB22" s="144">
        <f t="shared" ref="AB22" si="14">AA22/I22</f>
        <v>0</v>
      </c>
      <c r="AC22" s="163">
        <f>K22+N22+Q22+T22+W22+Z22</f>
        <v>1</v>
      </c>
      <c r="AD22" s="164">
        <f>L22+O22+R22+U22+X22+AA22</f>
        <v>4492030</v>
      </c>
      <c r="AE22" s="165">
        <f>AD22/H22</f>
        <v>1</v>
      </c>
    </row>
    <row r="23" spans="1:31" x14ac:dyDescent="0.3">
      <c r="A23" s="1323"/>
      <c r="B23" s="1323"/>
      <c r="C23" s="115"/>
      <c r="D23" s="115" t="s">
        <v>90</v>
      </c>
      <c r="E23" s="116"/>
      <c r="F23" s="116"/>
      <c r="G23" s="116"/>
      <c r="H23" s="117">
        <v>4492030</v>
      </c>
      <c r="I23" s="117"/>
      <c r="J23" s="1362"/>
      <c r="K23" s="306"/>
      <c r="L23" s="307">
        <f>SUM(L22)</f>
        <v>0</v>
      </c>
      <c r="M23" s="308">
        <f t="shared" si="12"/>
        <v>0</v>
      </c>
      <c r="N23" s="306"/>
      <c r="O23" s="307">
        <f>SUM(O22)</f>
        <v>2246015</v>
      </c>
      <c r="P23" s="308">
        <f>O23/$H$23</f>
        <v>0.5</v>
      </c>
      <c r="Q23" s="407"/>
      <c r="R23" s="307">
        <f>SUM(R22)</f>
        <v>1347609</v>
      </c>
      <c r="S23" s="308">
        <f>R23/$H$23</f>
        <v>0.3</v>
      </c>
      <c r="T23" s="428"/>
      <c r="U23" s="307">
        <f>SUM(U22)</f>
        <v>0</v>
      </c>
      <c r="V23" s="431">
        <f>U23/$H$23</f>
        <v>0</v>
      </c>
      <c r="W23" s="428"/>
      <c r="X23" s="307">
        <f>SUM(X22)</f>
        <v>898406</v>
      </c>
      <c r="Y23" s="431">
        <f>X23/$H$23</f>
        <v>0.2</v>
      </c>
      <c r="Z23" s="428"/>
      <c r="AA23" s="307">
        <f>SUM(AA22)</f>
        <v>0</v>
      </c>
      <c r="AB23" s="431">
        <f>AA23/$H$23</f>
        <v>0</v>
      </c>
      <c r="AC23" s="306"/>
      <c r="AD23" s="307">
        <f>L23+O23+R23+U23+X23+AA23</f>
        <v>4492030</v>
      </c>
      <c r="AE23" s="308">
        <f>AD23/H23</f>
        <v>1</v>
      </c>
    </row>
    <row r="24" spans="1:31" ht="57.6" x14ac:dyDescent="0.3">
      <c r="A24" s="1314" t="s">
        <v>945</v>
      </c>
      <c r="B24" s="1314" t="s">
        <v>226</v>
      </c>
      <c r="C24" s="355" t="s">
        <v>148</v>
      </c>
      <c r="D24" s="355" t="s">
        <v>149</v>
      </c>
      <c r="E24" s="355">
        <v>1</v>
      </c>
      <c r="F24" s="192">
        <v>9854608</v>
      </c>
      <c r="G24" s="32">
        <f>+ROUND(F24*1.051,0)</f>
        <v>10357193</v>
      </c>
      <c r="H24" s="192">
        <f>ROUND((E24*F24),0)</f>
        <v>9854608</v>
      </c>
      <c r="I24" s="32">
        <f>+ROUND(G24*E24,0)</f>
        <v>10357193</v>
      </c>
      <c r="J24" s="1315" t="s">
        <v>950</v>
      </c>
      <c r="K24" s="309">
        <v>0.3</v>
      </c>
      <c r="L24" s="310">
        <f>ROUND(K24*F24,0)</f>
        <v>2956382</v>
      </c>
      <c r="M24" s="311">
        <f t="shared" si="12"/>
        <v>0.29999995940985169</v>
      </c>
      <c r="N24" s="145">
        <v>0</v>
      </c>
      <c r="O24" s="143">
        <f>ROUND(N24*$F$24,0)</f>
        <v>0</v>
      </c>
      <c r="P24" s="144">
        <f>O24/$H$24</f>
        <v>0</v>
      </c>
      <c r="Q24" s="409">
        <v>0.48999999999999994</v>
      </c>
      <c r="R24" s="310">
        <f>ROUND(Q24*$F$24,0)</f>
        <v>4828758</v>
      </c>
      <c r="S24" s="311">
        <f>R24/$H$24</f>
        <v>0.49000000811802968</v>
      </c>
      <c r="T24" s="412">
        <v>0.11</v>
      </c>
      <c r="U24" s="413">
        <f>ROUND(T24*$F$24,0)</f>
        <v>1084007</v>
      </c>
      <c r="V24" s="414">
        <f>U24/$H$24</f>
        <v>0.11000001217704448</v>
      </c>
      <c r="W24" s="412">
        <v>0.1</v>
      </c>
      <c r="X24" s="413">
        <f>ROUND(W24*$F$24,0)</f>
        <v>985461</v>
      </c>
      <c r="Y24" s="414">
        <f>X24/$H$24</f>
        <v>0.10000002029507414</v>
      </c>
      <c r="Z24" s="408">
        <v>0</v>
      </c>
      <c r="AA24" s="143">
        <f t="shared" ref="AA24" si="15">ROUND(Z24*G24,0)</f>
        <v>0</v>
      </c>
      <c r="AB24" s="144">
        <f t="shared" ref="AB24" si="16">AA24/I24</f>
        <v>0</v>
      </c>
      <c r="AC24" s="163">
        <f>K24+N24+Q24+T24+W24+Z24</f>
        <v>0.99999999999999989</v>
      </c>
      <c r="AD24" s="164">
        <f>L24+O24+R24+U24+X24+AA24</f>
        <v>9854608</v>
      </c>
      <c r="AE24" s="165">
        <f>AD24/H24</f>
        <v>1</v>
      </c>
    </row>
    <row r="25" spans="1:31" x14ac:dyDescent="0.3">
      <c r="A25" s="1314"/>
      <c r="B25" s="1314"/>
      <c r="C25" s="196"/>
      <c r="D25" s="196" t="s">
        <v>150</v>
      </c>
      <c r="E25" s="198"/>
      <c r="F25" s="198"/>
      <c r="G25" s="198"/>
      <c r="H25" s="199">
        <f>H24</f>
        <v>9854608</v>
      </c>
      <c r="I25" s="199"/>
      <c r="J25" s="1314"/>
      <c r="K25" s="306"/>
      <c r="L25" s="307">
        <f>SUM(L24)</f>
        <v>2956382</v>
      </c>
      <c r="M25" s="308">
        <f t="shared" si="12"/>
        <v>0.29999995940985169</v>
      </c>
      <c r="N25" s="306"/>
      <c r="O25" s="307">
        <f>SUM(O24)</f>
        <v>0</v>
      </c>
      <c r="P25" s="308">
        <f>O25/$H$25</f>
        <v>0</v>
      </c>
      <c r="Q25" s="407"/>
      <c r="R25" s="307">
        <f>SUM(R24)</f>
        <v>4828758</v>
      </c>
      <c r="S25" s="308">
        <f>R25/$H$25</f>
        <v>0.49000000811802968</v>
      </c>
      <c r="T25" s="428"/>
      <c r="U25" s="307">
        <f>SUM(U24)</f>
        <v>1084007</v>
      </c>
      <c r="V25" s="431">
        <f>U25/$H$25</f>
        <v>0.11000001217704448</v>
      </c>
      <c r="W25" s="428"/>
      <c r="X25" s="307">
        <f>SUM(X24)</f>
        <v>985461</v>
      </c>
      <c r="Y25" s="431">
        <f>X25/$H$25</f>
        <v>0.10000002029507414</v>
      </c>
      <c r="Z25" s="428"/>
      <c r="AA25" s="307">
        <f>SUM(AA24)</f>
        <v>0</v>
      </c>
      <c r="AB25" s="431">
        <f>AA25/$H$25</f>
        <v>0</v>
      </c>
      <c r="AC25" s="306"/>
      <c r="AD25" s="307">
        <f>L25+O25+R25+U25+X25+AA25</f>
        <v>9854608</v>
      </c>
      <c r="AE25" s="308">
        <f>AD25/H25</f>
        <v>1</v>
      </c>
    </row>
    <row r="26" spans="1:31" x14ac:dyDescent="0.3">
      <c r="F26" s="151" t="s">
        <v>64</v>
      </c>
      <c r="G26" s="151"/>
      <c r="H26" s="181">
        <f>SUM(H11:H25)/2</f>
        <v>26133862</v>
      </c>
      <c r="I26" s="138"/>
      <c r="K26" s="152" t="s">
        <v>64</v>
      </c>
      <c r="L26" s="181">
        <f>SUM(L11:L25)/2</f>
        <v>3687643</v>
      </c>
      <c r="M26" s="201">
        <f t="shared" si="12"/>
        <v>0.14110593374986063</v>
      </c>
      <c r="N26" s="152" t="s">
        <v>64</v>
      </c>
      <c r="O26" s="181">
        <f>SUM(O11:O25)/2</f>
        <v>2246015</v>
      </c>
      <c r="P26" s="201">
        <f>O26/$H$26</f>
        <v>8.5942712944608035E-2</v>
      </c>
      <c r="Q26" s="152" t="s">
        <v>64</v>
      </c>
      <c r="R26" s="181">
        <f>SUM(R11:R25)/2</f>
        <v>6176367</v>
      </c>
      <c r="S26" s="201">
        <f>R26/$H$26</f>
        <v>0.23633579300296298</v>
      </c>
      <c r="T26" s="152" t="s">
        <v>64</v>
      </c>
      <c r="U26" s="181">
        <f>SUM(U11:U25)/2</f>
        <v>5600412</v>
      </c>
      <c r="V26" s="201">
        <f>U26/$H$26</f>
        <v>0.21429714444807277</v>
      </c>
      <c r="W26" s="484" t="s">
        <v>64</v>
      </c>
      <c r="X26" s="481">
        <f>SUM(X11:X25)/2</f>
        <v>1883867</v>
      </c>
      <c r="Z26" s="484" t="s">
        <v>64</v>
      </c>
      <c r="AA26" s="481">
        <f>SUM(AA11:AA25)/2</f>
        <v>0</v>
      </c>
      <c r="AC26" s="484" t="s">
        <v>64</v>
      </c>
      <c r="AD26" s="481">
        <f>SUM(AD11:AD25)/2</f>
        <v>19594304</v>
      </c>
    </row>
    <row r="27" spans="1:31" x14ac:dyDescent="0.3">
      <c r="F27" s="153" t="s">
        <v>65</v>
      </c>
      <c r="G27" s="816"/>
      <c r="H27" s="182">
        <v>0</v>
      </c>
      <c r="I27" s="138"/>
      <c r="K27" s="153" t="s">
        <v>65</v>
      </c>
      <c r="L27" s="182">
        <v>0</v>
      </c>
      <c r="M27" s="302"/>
      <c r="N27" s="153" t="s">
        <v>65</v>
      </c>
      <c r="O27" s="182">
        <v>0</v>
      </c>
      <c r="P27" s="302"/>
      <c r="Q27" s="153" t="s">
        <v>65</v>
      </c>
      <c r="R27" s="182">
        <v>0</v>
      </c>
      <c r="S27" s="302"/>
      <c r="T27" s="153" t="s">
        <v>65</v>
      </c>
      <c r="U27" s="182">
        <v>0</v>
      </c>
      <c r="V27" s="302"/>
      <c r="W27" s="482" t="s">
        <v>65</v>
      </c>
      <c r="X27" s="483">
        <v>0</v>
      </c>
      <c r="Y27" s="302"/>
      <c r="Z27" s="482" t="s">
        <v>65</v>
      </c>
      <c r="AA27" s="483">
        <v>0</v>
      </c>
      <c r="AB27" s="795"/>
      <c r="AC27" s="482" t="s">
        <v>65</v>
      </c>
      <c r="AD27" s="483">
        <v>0</v>
      </c>
      <c r="AE27" s="302"/>
    </row>
    <row r="28" spans="1:31" x14ac:dyDescent="0.3">
      <c r="F28" s="152" t="s">
        <v>64</v>
      </c>
      <c r="G28" s="817"/>
      <c r="H28" s="182">
        <f>+H26+H27</f>
        <v>26133862</v>
      </c>
      <c r="I28" s="138"/>
      <c r="K28" s="152" t="s">
        <v>64</v>
      </c>
      <c r="L28" s="182">
        <f>+L26+L27</f>
        <v>3687643</v>
      </c>
      <c r="M28" s="302"/>
      <c r="N28" s="152" t="s">
        <v>64</v>
      </c>
      <c r="O28" s="182">
        <f>+O26+O27</f>
        <v>2246015</v>
      </c>
      <c r="P28" s="302"/>
      <c r="Q28" s="152" t="s">
        <v>64</v>
      </c>
      <c r="R28" s="182">
        <f>+R26+R27</f>
        <v>6176367</v>
      </c>
      <c r="S28" s="302"/>
      <c r="T28" s="152" t="s">
        <v>64</v>
      </c>
      <c r="U28" s="182">
        <f>+U26+U27</f>
        <v>5600412</v>
      </c>
      <c r="V28" s="302"/>
      <c r="W28" s="484" t="s">
        <v>64</v>
      </c>
      <c r="X28" s="483">
        <f>+X26+X27</f>
        <v>1883867</v>
      </c>
      <c r="Y28" s="302"/>
      <c r="Z28" s="484" t="s">
        <v>64</v>
      </c>
      <c r="AA28" s="483">
        <f>+AA26+AA27</f>
        <v>0</v>
      </c>
      <c r="AB28" s="795"/>
      <c r="AC28" s="484" t="s">
        <v>64</v>
      </c>
      <c r="AD28" s="483">
        <f>+AD26+AD27</f>
        <v>19594304</v>
      </c>
      <c r="AE28" s="302"/>
    </row>
    <row r="29" spans="1:31" ht="26.4" x14ac:dyDescent="0.3">
      <c r="F29" s="152"/>
      <c r="G29" s="817"/>
      <c r="H29" s="182"/>
      <c r="I29" s="138"/>
      <c r="K29" s="152"/>
      <c r="L29" s="182"/>
      <c r="M29" s="302"/>
      <c r="N29" s="152"/>
      <c r="O29" s="182"/>
      <c r="P29" s="302"/>
      <c r="Q29" s="152"/>
      <c r="R29" s="182"/>
      <c r="S29" s="302"/>
      <c r="T29" s="152"/>
      <c r="U29" s="182"/>
      <c r="V29" s="302"/>
      <c r="W29" s="484" t="s">
        <v>1439</v>
      </c>
      <c r="X29" s="483">
        <f>ROUND(X28*0.015,0)</f>
        <v>28258</v>
      </c>
      <c r="Y29" s="302"/>
      <c r="Z29" s="484" t="s">
        <v>1439</v>
      </c>
      <c r="AA29" s="483">
        <f>ROUND(AA28*0.015,0)</f>
        <v>0</v>
      </c>
      <c r="AB29" s="795"/>
      <c r="AC29" s="484" t="s">
        <v>1439</v>
      </c>
      <c r="AD29" s="483">
        <f>L29+O29+R29+U29+X29+AA29</f>
        <v>28258</v>
      </c>
      <c r="AE29" s="302"/>
    </row>
    <row r="30" spans="1:31" ht="26.4" x14ac:dyDescent="0.3">
      <c r="F30" s="152"/>
      <c r="G30" s="817"/>
      <c r="H30" s="182"/>
      <c r="I30" s="138"/>
      <c r="K30" s="152"/>
      <c r="L30" s="182"/>
      <c r="M30" s="302"/>
      <c r="N30" s="152"/>
      <c r="O30" s="182"/>
      <c r="P30" s="302"/>
      <c r="Q30" s="152"/>
      <c r="R30" s="182"/>
      <c r="S30" s="302"/>
      <c r="T30" s="152"/>
      <c r="U30" s="182"/>
      <c r="V30" s="302"/>
      <c r="W30" s="152" t="s">
        <v>1440</v>
      </c>
      <c r="X30" s="182">
        <f>X28+X29</f>
        <v>1912125</v>
      </c>
      <c r="Y30" s="201">
        <f>X30/$H$26</f>
        <v>7.3166568339574148E-2</v>
      </c>
      <c r="Z30" s="152" t="s">
        <v>1440</v>
      </c>
      <c r="AA30" s="182">
        <f>AA28+AA29</f>
        <v>0</v>
      </c>
      <c r="AB30" s="201">
        <f>AA30/$H$26</f>
        <v>0</v>
      </c>
      <c r="AC30" s="152" t="s">
        <v>1440</v>
      </c>
      <c r="AD30" s="182">
        <f>AD28+AD29</f>
        <v>19622562</v>
      </c>
      <c r="AE30" s="630">
        <f>AD30/H26</f>
        <v>0.75084815248507852</v>
      </c>
    </row>
    <row r="31" spans="1:31" x14ac:dyDescent="0.3">
      <c r="F31" s="154" t="s">
        <v>66</v>
      </c>
      <c r="G31" s="818"/>
      <c r="H31" s="182">
        <f>+H28*19%</f>
        <v>4965433.78</v>
      </c>
      <c r="I31" s="138"/>
      <c r="K31" s="154" t="s">
        <v>66</v>
      </c>
      <c r="L31" s="182">
        <f>+L28*19%</f>
        <v>700652.17</v>
      </c>
      <c r="M31" s="302"/>
      <c r="N31" s="154" t="s">
        <v>66</v>
      </c>
      <c r="O31" s="182">
        <f>+O28*19%</f>
        <v>426742.85</v>
      </c>
      <c r="P31" s="302"/>
      <c r="Q31" s="154" t="s">
        <v>66</v>
      </c>
      <c r="R31" s="182">
        <f>+R28*19%</f>
        <v>1173509.73</v>
      </c>
      <c r="S31" s="302"/>
      <c r="T31" s="154" t="s">
        <v>66</v>
      </c>
      <c r="U31" s="182">
        <f>+U28*19%</f>
        <v>1064078.28</v>
      </c>
      <c r="V31" s="302"/>
      <c r="W31" s="485" t="s">
        <v>66</v>
      </c>
      <c r="X31" s="483">
        <f>ROUND(X30*0.19,0)</f>
        <v>363304</v>
      </c>
      <c r="Y31" s="302"/>
      <c r="Z31" s="485" t="s">
        <v>66</v>
      </c>
      <c r="AA31" s="483">
        <f>ROUND(AA30*0.19,0)</f>
        <v>0</v>
      </c>
      <c r="AB31" s="795"/>
      <c r="AC31" s="485" t="s">
        <v>66</v>
      </c>
      <c r="AD31" s="483">
        <f>ROUND(AD30*0.19,0)</f>
        <v>3728287</v>
      </c>
      <c r="AE31" s="302"/>
    </row>
    <row r="32" spans="1:31" x14ac:dyDescent="0.3">
      <c r="F32" s="155" t="s">
        <v>69</v>
      </c>
      <c r="G32" s="155"/>
      <c r="H32" s="181">
        <f>+H28+H31</f>
        <v>31099295.780000001</v>
      </c>
      <c r="I32" s="138"/>
      <c r="K32" s="155" t="s">
        <v>69</v>
      </c>
      <c r="L32" s="181">
        <f>+L28+L31</f>
        <v>4388295.17</v>
      </c>
      <c r="M32" s="302"/>
      <c r="N32" s="155" t="s">
        <v>69</v>
      </c>
      <c r="O32" s="181">
        <f>+O28+O31</f>
        <v>2672757.85</v>
      </c>
      <c r="P32" s="302"/>
      <c r="Q32" s="155" t="s">
        <v>69</v>
      </c>
      <c r="R32" s="181">
        <f>+R28+R31</f>
        <v>7349876.7300000004</v>
      </c>
      <c r="S32" s="302"/>
      <c r="T32" s="155" t="s">
        <v>69</v>
      </c>
      <c r="U32" s="181">
        <f>+U28+U31</f>
        <v>6664490.2800000003</v>
      </c>
      <c r="V32" s="302"/>
      <c r="W32" s="545" t="s">
        <v>69</v>
      </c>
      <c r="X32" s="481">
        <f>X30+X31</f>
        <v>2275429</v>
      </c>
      <c r="Y32" s="302"/>
      <c r="Z32" s="545" t="s">
        <v>69</v>
      </c>
      <c r="AA32" s="481">
        <f>AA30+AA31</f>
        <v>0</v>
      </c>
      <c r="AB32" s="795"/>
      <c r="AC32" s="545" t="s">
        <v>69</v>
      </c>
      <c r="AD32" s="481">
        <f>AD30+AD31</f>
        <v>23350849</v>
      </c>
      <c r="AE32" s="302"/>
    </row>
    <row r="34" spans="1:34" s="302" customFormat="1" x14ac:dyDescent="0.3">
      <c r="A34" s="183" t="s">
        <v>67</v>
      </c>
      <c r="B34" s="184"/>
      <c r="C34" s="184"/>
      <c r="D34" s="185" t="s">
        <v>68</v>
      </c>
      <c r="G34" s="795"/>
      <c r="I34" s="795"/>
      <c r="K34" s="186" t="s">
        <v>70</v>
      </c>
      <c r="L34" s="187" t="s">
        <v>71</v>
      </c>
      <c r="M34" s="186" t="s">
        <v>58</v>
      </c>
      <c r="N34" s="186" t="s">
        <v>70</v>
      </c>
      <c r="O34" s="187" t="s">
        <v>71</v>
      </c>
      <c r="P34" s="186" t="s">
        <v>58</v>
      </c>
      <c r="Q34" s="186" t="s">
        <v>70</v>
      </c>
      <c r="R34" s="187" t="s">
        <v>71</v>
      </c>
      <c r="S34" s="186" t="s">
        <v>58</v>
      </c>
      <c r="T34" s="186" t="s">
        <v>70</v>
      </c>
      <c r="U34" s="187" t="s">
        <v>71</v>
      </c>
      <c r="V34" s="186" t="s">
        <v>58</v>
      </c>
      <c r="W34" s="186" t="s">
        <v>70</v>
      </c>
      <c r="X34" s="187" t="s">
        <v>71</v>
      </c>
      <c r="Y34" s="186" t="s">
        <v>58</v>
      </c>
      <c r="Z34" s="186" t="s">
        <v>70</v>
      </c>
      <c r="AA34" s="187" t="s">
        <v>71</v>
      </c>
      <c r="AB34" s="186" t="s">
        <v>58</v>
      </c>
      <c r="AF34" s="189"/>
      <c r="AG34" s="189"/>
      <c r="AH34" s="189"/>
    </row>
    <row r="35" spans="1:34" s="302" customFormat="1" x14ac:dyDescent="0.3">
      <c r="A35" s="183"/>
      <c r="B35" s="184"/>
      <c r="C35" s="184"/>
      <c r="D35" s="185"/>
      <c r="G35" s="795"/>
      <c r="I35" s="795"/>
      <c r="K35" s="203" t="s">
        <v>72</v>
      </c>
      <c r="L35" s="204">
        <f>L26</f>
        <v>3687643</v>
      </c>
      <c r="M35" s="205">
        <f>M26</f>
        <v>0.14110593374986063</v>
      </c>
      <c r="N35" s="203" t="s">
        <v>72</v>
      </c>
      <c r="O35" s="204">
        <f>$L$26</f>
        <v>3687643</v>
      </c>
      <c r="P35" s="205">
        <f>$M$26</f>
        <v>0.14110593374986063</v>
      </c>
      <c r="Q35" s="203" t="s">
        <v>72</v>
      </c>
      <c r="R35" s="204">
        <f>$L$26</f>
        <v>3687643</v>
      </c>
      <c r="S35" s="205">
        <f>$M$26</f>
        <v>0.14110593374986063</v>
      </c>
      <c r="T35" s="203" t="s">
        <v>72</v>
      </c>
      <c r="U35" s="204">
        <f>$L$26</f>
        <v>3687643</v>
      </c>
      <c r="V35" s="205">
        <f>$M$26</f>
        <v>0.14110593374986063</v>
      </c>
      <c r="W35" s="203" t="s">
        <v>72</v>
      </c>
      <c r="X35" s="204">
        <f>$L$26</f>
        <v>3687643</v>
      </c>
      <c r="Y35" s="205">
        <f>$M$26</f>
        <v>0.14110593374986063</v>
      </c>
      <c r="Z35" s="203" t="s">
        <v>72</v>
      </c>
      <c r="AA35" s="204">
        <f>$L$26</f>
        <v>3687643</v>
      </c>
      <c r="AB35" s="205">
        <f>$M$26</f>
        <v>0.14110593374986063</v>
      </c>
      <c r="AF35" s="189"/>
      <c r="AG35" s="189"/>
      <c r="AH35" s="189"/>
    </row>
    <row r="36" spans="1:34" s="302" customFormat="1" x14ac:dyDescent="0.3">
      <c r="A36" s="183"/>
      <c r="B36" s="184"/>
      <c r="C36" s="184"/>
      <c r="D36" s="185"/>
      <c r="G36" s="795"/>
      <c r="I36" s="795"/>
      <c r="K36" s="203"/>
      <c r="L36" s="204"/>
      <c r="M36" s="205"/>
      <c r="N36" s="203" t="s">
        <v>73</v>
      </c>
      <c r="O36" s="204">
        <f>$O$26</f>
        <v>2246015</v>
      </c>
      <c r="P36" s="205">
        <f>$P$26</f>
        <v>8.5942712944608035E-2</v>
      </c>
      <c r="Q36" s="203" t="s">
        <v>73</v>
      </c>
      <c r="R36" s="204">
        <f>$O$26</f>
        <v>2246015</v>
      </c>
      <c r="S36" s="205">
        <f>$P$26</f>
        <v>8.5942712944608035E-2</v>
      </c>
      <c r="T36" s="203" t="s">
        <v>73</v>
      </c>
      <c r="U36" s="204">
        <f>$O$26</f>
        <v>2246015</v>
      </c>
      <c r="V36" s="205">
        <f>$P$26</f>
        <v>8.5942712944608035E-2</v>
      </c>
      <c r="W36" s="203" t="s">
        <v>73</v>
      </c>
      <c r="X36" s="204">
        <f>$O$26</f>
        <v>2246015</v>
      </c>
      <c r="Y36" s="205">
        <f>$P$26</f>
        <v>8.5942712944608035E-2</v>
      </c>
      <c r="Z36" s="203" t="s">
        <v>73</v>
      </c>
      <c r="AA36" s="204">
        <f>$O$26</f>
        <v>2246015</v>
      </c>
      <c r="AB36" s="205">
        <f>$P$26</f>
        <v>8.5942712944608035E-2</v>
      </c>
      <c r="AF36" s="189"/>
      <c r="AG36" s="189"/>
      <c r="AH36" s="189"/>
    </row>
    <row r="37" spans="1:34" s="302" customFormat="1" x14ac:dyDescent="0.3">
      <c r="A37" s="183"/>
      <c r="B37" s="184"/>
      <c r="C37" s="184"/>
      <c r="D37" s="185"/>
      <c r="G37" s="795"/>
      <c r="I37" s="795"/>
      <c r="K37" s="203"/>
      <c r="L37" s="204"/>
      <c r="M37" s="205"/>
      <c r="N37" s="203"/>
      <c r="O37" s="204"/>
      <c r="P37" s="205"/>
      <c r="Q37" s="203" t="s">
        <v>74</v>
      </c>
      <c r="R37" s="204">
        <f>$R$26</f>
        <v>6176367</v>
      </c>
      <c r="S37" s="205">
        <f>$S$26</f>
        <v>0.23633579300296298</v>
      </c>
      <c r="T37" s="203" t="s">
        <v>74</v>
      </c>
      <c r="U37" s="204">
        <f>$R$26</f>
        <v>6176367</v>
      </c>
      <c r="V37" s="205">
        <f>$S$26</f>
        <v>0.23633579300296298</v>
      </c>
      <c r="W37" s="203" t="s">
        <v>74</v>
      </c>
      <c r="X37" s="204">
        <f>$R$26</f>
        <v>6176367</v>
      </c>
      <c r="Y37" s="205">
        <f>$S$26</f>
        <v>0.23633579300296298</v>
      </c>
      <c r="Z37" s="203" t="s">
        <v>74</v>
      </c>
      <c r="AA37" s="204">
        <f>$R$26</f>
        <v>6176367</v>
      </c>
      <c r="AB37" s="205">
        <f>$S$26</f>
        <v>0.23633579300296298</v>
      </c>
      <c r="AF37" s="189"/>
      <c r="AG37" s="189"/>
      <c r="AH37" s="189"/>
    </row>
    <row r="38" spans="1:34" s="302" customFormat="1" x14ac:dyDescent="0.3">
      <c r="A38" s="183"/>
      <c r="B38" s="184"/>
      <c r="C38" s="184"/>
      <c r="D38" s="185"/>
      <c r="G38" s="795"/>
      <c r="I38" s="795"/>
      <c r="K38" s="203"/>
      <c r="L38" s="204"/>
      <c r="M38" s="205"/>
      <c r="N38" s="203"/>
      <c r="O38" s="204"/>
      <c r="P38" s="205"/>
      <c r="Q38" s="203"/>
      <c r="R38" s="204"/>
      <c r="S38" s="205"/>
      <c r="T38" s="203" t="s">
        <v>155</v>
      </c>
      <c r="U38" s="204">
        <f>$U$26</f>
        <v>5600412</v>
      </c>
      <c r="V38" s="205">
        <f>$V$26</f>
        <v>0.21429714444807277</v>
      </c>
      <c r="W38" s="203" t="s">
        <v>155</v>
      </c>
      <c r="X38" s="204">
        <f>$U$26</f>
        <v>5600412</v>
      </c>
      <c r="Y38" s="205">
        <f>$V$26</f>
        <v>0.21429714444807277</v>
      </c>
      <c r="Z38" s="203" t="s">
        <v>155</v>
      </c>
      <c r="AA38" s="204">
        <f>$U$26</f>
        <v>5600412</v>
      </c>
      <c r="AB38" s="205">
        <f>$V$26</f>
        <v>0.21429714444807277</v>
      </c>
      <c r="AF38" s="189"/>
      <c r="AG38" s="189"/>
      <c r="AH38" s="189"/>
    </row>
    <row r="39" spans="1:34" s="302" customFormat="1" x14ac:dyDescent="0.3">
      <c r="A39" s="183"/>
      <c r="B39" s="184"/>
      <c r="C39" s="184"/>
      <c r="D39" s="185"/>
      <c r="G39" s="795"/>
      <c r="I39" s="795"/>
      <c r="K39" s="203"/>
      <c r="L39" s="204"/>
      <c r="M39" s="205"/>
      <c r="N39" s="203"/>
      <c r="O39" s="204"/>
      <c r="P39" s="205"/>
      <c r="Q39" s="203"/>
      <c r="R39" s="204"/>
      <c r="S39" s="205"/>
      <c r="T39" s="203"/>
      <c r="U39" s="204"/>
      <c r="V39" s="205"/>
      <c r="W39" s="203" t="s">
        <v>352</v>
      </c>
      <c r="X39" s="204">
        <f>$X$30</f>
        <v>1912125</v>
      </c>
      <c r="Y39" s="205">
        <f>$Y$30</f>
        <v>7.3166568339574148E-2</v>
      </c>
      <c r="Z39" s="203" t="s">
        <v>352</v>
      </c>
      <c r="AA39" s="204">
        <f>$X$30</f>
        <v>1912125</v>
      </c>
      <c r="AB39" s="205">
        <f>$Y$30</f>
        <v>7.3166568339574148E-2</v>
      </c>
      <c r="AF39" s="189"/>
      <c r="AG39" s="189"/>
      <c r="AH39" s="189"/>
    </row>
    <row r="40" spans="1:34" s="795" customFormat="1" x14ac:dyDescent="0.3">
      <c r="A40" s="183"/>
      <c r="B40" s="184"/>
      <c r="C40" s="184"/>
      <c r="D40" s="185"/>
      <c r="K40" s="203"/>
      <c r="L40" s="204"/>
      <c r="M40" s="205"/>
      <c r="N40" s="203"/>
      <c r="O40" s="204"/>
      <c r="P40" s="205"/>
      <c r="Q40" s="203"/>
      <c r="R40" s="204"/>
      <c r="S40" s="205"/>
      <c r="T40" s="203"/>
      <c r="U40" s="204"/>
      <c r="V40" s="205"/>
      <c r="W40" s="203"/>
      <c r="X40" s="204"/>
      <c r="Y40" s="205"/>
      <c r="Z40" s="203" t="s">
        <v>979</v>
      </c>
      <c r="AA40" s="204">
        <f>+AA30</f>
        <v>0</v>
      </c>
      <c r="AB40" s="205">
        <f>$AB$30</f>
        <v>0</v>
      </c>
      <c r="AF40" s="796"/>
      <c r="AG40" s="796"/>
      <c r="AH40" s="796"/>
    </row>
    <row r="41" spans="1:34" s="302" customFormat="1" x14ac:dyDescent="0.3">
      <c r="A41" s="183"/>
      <c r="B41" s="184"/>
      <c r="C41" s="184"/>
      <c r="D41" s="185"/>
      <c r="G41" s="795"/>
      <c r="I41" s="795"/>
      <c r="K41" s="206" t="s">
        <v>1</v>
      </c>
      <c r="L41" s="207">
        <f>SUM(L35:L35)</f>
        <v>3687643</v>
      </c>
      <c r="M41" s="208">
        <f>SUM(M35:M35)</f>
        <v>0.14110593374986063</v>
      </c>
      <c r="N41" s="206" t="s">
        <v>1</v>
      </c>
      <c r="O41" s="207">
        <f>SUM(O35:O36)</f>
        <v>5933658</v>
      </c>
      <c r="P41" s="208">
        <f>SUM(P35:P36)</f>
        <v>0.22704864669446867</v>
      </c>
      <c r="Q41" s="206" t="s">
        <v>1</v>
      </c>
      <c r="R41" s="207">
        <f>SUM(R35:R37)</f>
        <v>12110025</v>
      </c>
      <c r="S41" s="208">
        <f>SUM(S35:S37)</f>
        <v>0.46338443969743165</v>
      </c>
      <c r="T41" s="206" t="s">
        <v>1</v>
      </c>
      <c r="U41" s="207">
        <f>SUM(U35:U38)</f>
        <v>17710437</v>
      </c>
      <c r="V41" s="208">
        <f>SUM(V35:V38)</f>
        <v>0.67768158414550439</v>
      </c>
      <c r="W41" s="206" t="s">
        <v>1</v>
      </c>
      <c r="X41" s="207">
        <f>SUM(X35:X39)</f>
        <v>19622562</v>
      </c>
      <c r="Y41" s="253">
        <f>SUM(Y35:Y39)</f>
        <v>0.75084815248507852</v>
      </c>
      <c r="Z41" s="206" t="s">
        <v>1</v>
      </c>
      <c r="AA41" s="207">
        <f>SUM(AA35:AA40)</f>
        <v>19622562</v>
      </c>
      <c r="AB41" s="632">
        <f>SUM(AB35:AB40)</f>
        <v>0.75084815248507852</v>
      </c>
      <c r="AF41" s="189"/>
      <c r="AG41" s="189"/>
      <c r="AH41" s="189"/>
    </row>
    <row r="42" spans="1:34" s="302" customFormat="1" x14ac:dyDescent="0.3">
      <c r="A42" s="183"/>
      <c r="B42" s="184"/>
      <c r="C42" s="184"/>
      <c r="D42" s="185"/>
      <c r="G42" s="795"/>
      <c r="I42" s="795"/>
      <c r="K42" s="206" t="s">
        <v>9</v>
      </c>
      <c r="L42" s="1285"/>
      <c r="M42" s="1286"/>
      <c r="N42" s="206" t="s">
        <v>9</v>
      </c>
      <c r="O42" s="1285"/>
      <c r="P42" s="1286"/>
      <c r="Q42" s="206" t="s">
        <v>9</v>
      </c>
      <c r="R42" s="1285"/>
      <c r="S42" s="1286"/>
      <c r="T42" s="206" t="s">
        <v>9</v>
      </c>
      <c r="U42" s="1285"/>
      <c r="V42" s="1286"/>
      <c r="W42" s="206" t="s">
        <v>9</v>
      </c>
      <c r="X42" s="1285"/>
      <c r="Y42" s="1286"/>
      <c r="Z42" s="206" t="s">
        <v>9</v>
      </c>
      <c r="AA42" s="1285"/>
      <c r="AB42" s="1286"/>
      <c r="AF42" s="189"/>
      <c r="AG42" s="189"/>
      <c r="AH42" s="189"/>
    </row>
    <row r="43" spans="1:34" s="302" customFormat="1" x14ac:dyDescent="0.3">
      <c r="A43" s="183"/>
      <c r="B43" s="184"/>
      <c r="C43" s="184"/>
      <c r="D43" s="185"/>
      <c r="G43" s="795"/>
      <c r="I43" s="795"/>
      <c r="K43" s="156" t="s">
        <v>78</v>
      </c>
      <c r="L43" s="1285" t="s">
        <v>951</v>
      </c>
      <c r="M43" s="1286"/>
      <c r="N43" s="156" t="s">
        <v>78</v>
      </c>
      <c r="O43" s="1285" t="s">
        <v>951</v>
      </c>
      <c r="P43" s="1286"/>
      <c r="Q43" s="156" t="s">
        <v>78</v>
      </c>
      <c r="R43" s="1285" t="s">
        <v>951</v>
      </c>
      <c r="S43" s="1286"/>
      <c r="T43" s="156" t="s">
        <v>78</v>
      </c>
      <c r="U43" s="1285" t="s">
        <v>951</v>
      </c>
      <c r="V43" s="1286"/>
      <c r="W43" s="156" t="s">
        <v>78</v>
      </c>
      <c r="X43" s="1285" t="s">
        <v>951</v>
      </c>
      <c r="Y43" s="1286"/>
      <c r="Z43" s="156" t="s">
        <v>78</v>
      </c>
      <c r="AA43" s="1285" t="s">
        <v>951</v>
      </c>
      <c r="AB43" s="1286"/>
      <c r="AF43" s="189"/>
      <c r="AG43" s="189"/>
      <c r="AH43" s="189"/>
    </row>
    <row r="44" spans="1:34" s="302" customFormat="1" x14ac:dyDescent="0.3">
      <c r="A44" s="183"/>
      <c r="B44" s="184"/>
      <c r="C44" s="184"/>
      <c r="D44" s="185"/>
      <c r="G44" s="795"/>
      <c r="I44" s="795"/>
      <c r="K44" s="157" t="s">
        <v>8</v>
      </c>
      <c r="L44" s="1287"/>
      <c r="M44" s="1288"/>
      <c r="N44" s="157" t="s">
        <v>8</v>
      </c>
      <c r="O44" s="1287">
        <v>500000755220</v>
      </c>
      <c r="P44" s="1288"/>
      <c r="Q44" s="157" t="s">
        <v>8</v>
      </c>
      <c r="R44" s="1287">
        <v>500000755220</v>
      </c>
      <c r="S44" s="1288"/>
      <c r="T44" s="157" t="s">
        <v>8</v>
      </c>
      <c r="U44" s="1287">
        <v>500000755220</v>
      </c>
      <c r="V44" s="1288"/>
      <c r="W44" s="157" t="s">
        <v>8</v>
      </c>
      <c r="X44" s="1287">
        <v>500000755220</v>
      </c>
      <c r="Y44" s="1288"/>
      <c r="Z44" s="157" t="s">
        <v>8</v>
      </c>
      <c r="AA44" s="1287">
        <v>500000755220</v>
      </c>
      <c r="AB44" s="1288"/>
      <c r="AF44" s="189"/>
      <c r="AG44" s="189"/>
      <c r="AH44" s="189"/>
    </row>
    <row r="45" spans="1:34" s="302" customFormat="1" x14ac:dyDescent="0.3">
      <c r="A45" s="183"/>
      <c r="B45" s="184"/>
      <c r="C45" s="184"/>
      <c r="D45" s="185" t="s">
        <v>75</v>
      </c>
      <c r="G45" s="795"/>
      <c r="I45" s="795"/>
      <c r="Z45" s="795"/>
      <c r="AA45" s="795"/>
      <c r="AB45" s="795"/>
    </row>
    <row r="46" spans="1:34" s="302" customFormat="1" x14ac:dyDescent="0.3">
      <c r="A46" s="183" t="s">
        <v>76</v>
      </c>
      <c r="B46" s="180"/>
      <c r="C46" s="180"/>
      <c r="D46" s="185" t="s">
        <v>77</v>
      </c>
      <c r="G46" s="795"/>
      <c r="I46" s="795"/>
      <c r="Z46" s="795"/>
      <c r="AA46" s="795"/>
      <c r="AB46" s="795"/>
    </row>
    <row r="47" spans="1:34" s="302" customFormat="1" x14ac:dyDescent="0.3">
      <c r="A47" s="183" t="s">
        <v>79</v>
      </c>
      <c r="B47" s="180"/>
      <c r="C47" s="180"/>
      <c r="D47" s="185" t="s">
        <v>80</v>
      </c>
      <c r="G47" s="795"/>
      <c r="I47" s="795"/>
      <c r="Z47" s="795"/>
      <c r="AA47" s="795"/>
      <c r="AB47" s="795"/>
    </row>
  </sheetData>
  <sheetProtection formatCells="0" formatColumns="0" formatRows="0" insertColumns="0" insertRows="0" insertHyperlinks="0" deleteColumns="0" deleteRows="0" sort="0" autoFilter="0" pivotTables="0"/>
  <mergeCells count="53">
    <mergeCell ref="C1:Y2"/>
    <mergeCell ref="U42:V42"/>
    <mergeCell ref="U43:V43"/>
    <mergeCell ref="U44:V44"/>
    <mergeCell ref="A5:AE5"/>
    <mergeCell ref="AC1:AE1"/>
    <mergeCell ref="AC2:AE2"/>
    <mergeCell ref="A3:AE3"/>
    <mergeCell ref="A4:AE4"/>
    <mergeCell ref="B11:J11"/>
    <mergeCell ref="K11:M12"/>
    <mergeCell ref="N11:P12"/>
    <mergeCell ref="AC11:AE12"/>
    <mergeCell ref="B12:J12"/>
    <mergeCell ref="Q11:S12"/>
    <mergeCell ref="T11:V12"/>
    <mergeCell ref="A6:AE6"/>
    <mergeCell ref="A7:AE7"/>
    <mergeCell ref="A8:AE8"/>
    <mergeCell ref="A9:AE9"/>
    <mergeCell ref="A10:AE10"/>
    <mergeCell ref="W11:Y12"/>
    <mergeCell ref="Z11:AB12"/>
    <mergeCell ref="A14:A15"/>
    <mergeCell ref="B14:B15"/>
    <mergeCell ref="J14:J15"/>
    <mergeCell ref="A16:A18"/>
    <mergeCell ref="B16:B18"/>
    <mergeCell ref="J16:J18"/>
    <mergeCell ref="A19:A21"/>
    <mergeCell ref="B19:B21"/>
    <mergeCell ref="J19:J21"/>
    <mergeCell ref="A22:A23"/>
    <mergeCell ref="B22:B23"/>
    <mergeCell ref="J22:J23"/>
    <mergeCell ref="L44:M44"/>
    <mergeCell ref="O44:P44"/>
    <mergeCell ref="L43:M43"/>
    <mergeCell ref="O43:P43"/>
    <mergeCell ref="A24:A25"/>
    <mergeCell ref="B24:B25"/>
    <mergeCell ref="J24:J25"/>
    <mergeCell ref="L42:M42"/>
    <mergeCell ref="O42:P42"/>
    <mergeCell ref="AA42:AB42"/>
    <mergeCell ref="AA43:AB43"/>
    <mergeCell ref="AA44:AB44"/>
    <mergeCell ref="R42:S42"/>
    <mergeCell ref="R43:S43"/>
    <mergeCell ref="R44:S44"/>
    <mergeCell ref="X42:Y42"/>
    <mergeCell ref="X43:Y43"/>
    <mergeCell ref="X44:Y44"/>
  </mergeCells>
  <pageMargins left="0.7" right="0.7" top="0.75" bottom="0.75" header="0.3" footer="0.3"/>
  <pageSetup scale="44" fitToHeight="0" orientation="landscape" r:id="rId1"/>
  <drawing r:id="rId2"/>
  <legacyDrawingHF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tabColor theme="1"/>
  </sheetPr>
  <dimension ref="A1:G49"/>
  <sheetViews>
    <sheetView topLeftCell="A19" zoomScaleNormal="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RESUMEN!G26</f>
        <v>Proyecto: CDIM_CADCRA_R0117, AMPLIACIÓN SUBESTACIÓN MT-MT TOCANCIPÁ</v>
      </c>
      <c r="C5" s="1281"/>
      <c r="D5" s="1281"/>
      <c r="E5" s="1281"/>
      <c r="F5" s="1281"/>
      <c r="G5" s="1282"/>
    </row>
    <row r="6" spans="1:7" x14ac:dyDescent="0.25">
      <c r="A6" s="1177"/>
      <c r="B6" s="1177"/>
      <c r="C6" s="1177"/>
      <c r="D6" s="1177"/>
      <c r="E6" s="1177"/>
      <c r="F6" s="1177"/>
      <c r="G6" s="1177"/>
    </row>
    <row r="7" spans="1:7" x14ac:dyDescent="0.25">
      <c r="A7" s="271" t="s">
        <v>0</v>
      </c>
      <c r="B7" s="1264" t="str">
        <f>RESUMEN!B26</f>
        <v>D00235024</v>
      </c>
      <c r="C7" s="1265"/>
      <c r="D7" s="1177"/>
      <c r="E7" s="1266" t="s">
        <v>627</v>
      </c>
      <c r="F7" s="1267"/>
      <c r="G7" s="280" t="str">
        <f>RESUMEN!E26</f>
        <v>17-155</v>
      </c>
    </row>
    <row r="8" spans="1:7" x14ac:dyDescent="0.25">
      <c r="A8" s="271" t="s">
        <v>628</v>
      </c>
      <c r="B8" s="1264" t="str">
        <f>RESUMEN!C26</f>
        <v>D00235024000</v>
      </c>
      <c r="C8" s="1265"/>
      <c r="D8" s="1177"/>
      <c r="E8" s="1266" t="s">
        <v>629</v>
      </c>
      <c r="F8" s="1267"/>
      <c r="G8" s="280" t="str">
        <f>RESUMEN!U26</f>
        <v>Acta N° 4: Marzo</v>
      </c>
    </row>
    <row r="9" spans="1:7" x14ac:dyDescent="0.25">
      <c r="A9" s="271" t="s">
        <v>630</v>
      </c>
      <c r="B9" s="1283" t="s">
        <v>631</v>
      </c>
      <c r="C9" s="1265"/>
      <c r="D9" s="1177"/>
      <c r="E9" s="1266" t="s">
        <v>632</v>
      </c>
      <c r="F9" s="1267"/>
      <c r="G9" s="1178">
        <f>RESUMEN!H26</f>
        <v>18055175</v>
      </c>
    </row>
    <row r="10" spans="1:7" x14ac:dyDescent="0.25">
      <c r="A10" s="271" t="s">
        <v>633</v>
      </c>
      <c r="B10" s="1283" t="str">
        <f>RESUMEN!D26</f>
        <v>TOCANCIPÁ PROVISIONAL</v>
      </c>
      <c r="C10" s="1265"/>
      <c r="D10" s="1177"/>
      <c r="E10" s="1266" t="s">
        <v>634</v>
      </c>
      <c r="F10" s="1267"/>
      <c r="G10" s="1178">
        <f>RESUMEN!R26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CDIM_CADCRA_R0117, AMPLIACIÓN SUBESTACIÓN MT-MT TOCANCIPÁ</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RESUMEN!N26</f>
        <v>0</v>
      </c>
      <c r="F19" s="1248"/>
      <c r="G19" s="1177"/>
    </row>
    <row r="20" spans="1:7" ht="27" customHeight="1" x14ac:dyDescent="0.25">
      <c r="A20" s="1177"/>
      <c r="B20" s="1244" t="s">
        <v>1498</v>
      </c>
      <c r="C20" s="1245"/>
      <c r="D20" s="1246"/>
      <c r="E20" s="1247">
        <f>RESUMEN!P26</f>
        <v>0</v>
      </c>
      <c r="F20" s="1248"/>
      <c r="G20" s="1177"/>
    </row>
    <row r="21" spans="1:7" ht="27" customHeight="1" x14ac:dyDescent="0.25">
      <c r="A21" s="1177"/>
      <c r="B21" s="1244" t="s">
        <v>1499</v>
      </c>
      <c r="C21" s="1245"/>
      <c r="D21" s="1246"/>
      <c r="E21" s="1247">
        <f>RESUMEN!Q26</f>
        <v>0</v>
      </c>
      <c r="F21" s="1248"/>
      <c r="G21" s="1177"/>
    </row>
    <row r="22" spans="1:7" x14ac:dyDescent="0.25">
      <c r="A22" s="1177"/>
      <c r="B22" s="1254" t="s">
        <v>64</v>
      </c>
      <c r="C22" s="1254"/>
      <c r="D22" s="1254"/>
      <c r="E22" s="1255">
        <f>RESUMEN!R26</f>
        <v>0</v>
      </c>
      <c r="F22" s="1255"/>
      <c r="G22" s="1177"/>
    </row>
    <row r="23" spans="1:7" x14ac:dyDescent="0.25">
      <c r="A23" s="1177"/>
      <c r="B23" s="1256" t="s">
        <v>66</v>
      </c>
      <c r="C23" s="1256"/>
      <c r="D23" s="1256"/>
      <c r="E23" s="1257">
        <f>RESUMEN!S26</f>
        <v>0</v>
      </c>
      <c r="F23" s="1257"/>
      <c r="G23" s="1177"/>
    </row>
    <row r="24" spans="1:7" x14ac:dyDescent="0.25">
      <c r="A24" s="1177"/>
      <c r="B24" s="1258" t="s">
        <v>1</v>
      </c>
      <c r="C24" s="1258"/>
      <c r="D24" s="1258"/>
      <c r="E24" s="1259">
        <f>RESUMEN!T26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+'OT17-155 TOCANCIPÁ PROVISIONAL'!T33</f>
        <v>ACTA 1</v>
      </c>
      <c r="C28" s="1253">
        <f>+'OT17-155 TOCANCIPÁ PROVISIONAL'!U33</f>
        <v>6313217</v>
      </c>
      <c r="D28" s="1253"/>
      <c r="E28" s="267">
        <f>+'OT17-155 TOCANCIPÁ PROVISIONAL'!V33</f>
        <v>0.34966246519349714</v>
      </c>
      <c r="F28" s="1177"/>
      <c r="G28" s="1177"/>
    </row>
    <row r="29" spans="1:7" x14ac:dyDescent="0.25">
      <c r="A29" s="1177"/>
      <c r="B29" s="280" t="str">
        <f>+'OT17-155 TOCANCIPÁ PROVISIONAL'!T34</f>
        <v>ACTA 2</v>
      </c>
      <c r="C29" s="1253">
        <f>+'OT17-155 TOCANCIPÁ PROVISIONAL'!U34</f>
        <v>10042648</v>
      </c>
      <c r="D29" s="1253"/>
      <c r="E29" s="267">
        <f>+'OT17-155 TOCANCIPÁ PROVISIONAL'!V34</f>
        <v>0.55621992032755152</v>
      </c>
      <c r="F29" s="1177"/>
      <c r="G29" s="1177"/>
    </row>
    <row r="30" spans="1:7" x14ac:dyDescent="0.25">
      <c r="A30" s="1177"/>
      <c r="B30" s="280" t="str">
        <f>+'OT17-155 TOCANCIPÁ PROVISIONAL'!T35</f>
        <v>ACTA 3</v>
      </c>
      <c r="C30" s="1253">
        <f>+'OT17-155 TOCANCIPÁ PROVISIONAL'!U35</f>
        <v>406459</v>
      </c>
      <c r="D30" s="1253"/>
      <c r="E30" s="267">
        <f>+'OT17-155 TOCANCIPÁ PROVISIONAL'!V35</f>
        <v>2.2512049869358786E-2</v>
      </c>
      <c r="F30" s="1177"/>
      <c r="G30" s="1177"/>
    </row>
    <row r="31" spans="1:7" x14ac:dyDescent="0.25">
      <c r="A31" s="1177"/>
      <c r="B31" s="280" t="str">
        <f>+'OT17-155 TOCANCIPÁ PROVISIONAL'!T36</f>
        <v>ACTA 4</v>
      </c>
      <c r="C31" s="1253">
        <f>+'OT17-155 TOCANCIPÁ PROVISIONAL'!U36</f>
        <v>0</v>
      </c>
      <c r="D31" s="1253"/>
      <c r="E31" s="267">
        <f>+'OT17-155 TOCANCIPÁ PROVISIONAL'!V36</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16762324</v>
      </c>
      <c r="D34" s="1251"/>
      <c r="E34" s="264">
        <f>SUM(E28:E33)</f>
        <v>0.92839443539040745</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tabColor rgb="FF72104A"/>
  </sheetPr>
  <dimension ref="A1:Z43"/>
  <sheetViews>
    <sheetView zoomScale="55" zoomScaleNormal="55" workbookViewId="0">
      <selection activeCell="T22" sqref="T22"/>
    </sheetView>
  </sheetViews>
  <sheetFormatPr baseColWidth="10" defaultColWidth="11.44140625" defaultRowHeight="14.4" x14ac:dyDescent="0.3"/>
  <cols>
    <col min="1" max="1" width="17.44140625" style="189" customWidth="1"/>
    <col min="2" max="2" width="22.88671875" style="189" customWidth="1"/>
    <col min="3" max="3" width="32.44140625" style="189" customWidth="1"/>
    <col min="4" max="4" width="22.88671875" style="189" customWidth="1"/>
    <col min="5" max="5" width="11.5546875" style="189" bestFit="1" customWidth="1"/>
    <col min="6" max="6" width="17.88671875" style="189" customWidth="1"/>
    <col min="7" max="7" width="17.88671875" style="796" customWidth="1"/>
    <col min="8" max="8" width="17.5546875" style="189" customWidth="1"/>
    <col min="9" max="9" width="17.5546875" style="796" customWidth="1"/>
    <col min="10" max="10" width="52" style="189" customWidth="1"/>
    <col min="11" max="11" width="17.88671875" style="189" hidden="1" customWidth="1"/>
    <col min="12" max="12" width="17.5546875" style="189" hidden="1" customWidth="1"/>
    <col min="13" max="13" width="11.44140625" style="189" hidden="1" customWidth="1"/>
    <col min="14" max="14" width="17.88671875" style="189" hidden="1" customWidth="1"/>
    <col min="15" max="15" width="19.109375" style="189" hidden="1" customWidth="1"/>
    <col min="16" max="16" width="11.44140625" style="189" hidden="1" customWidth="1"/>
    <col min="17" max="17" width="17.88671875" style="189" bestFit="1" customWidth="1"/>
    <col min="18" max="18" width="18" style="189" bestFit="1" customWidth="1"/>
    <col min="19" max="19" width="11.44140625" style="189"/>
    <col min="20" max="20" width="18.33203125" style="1055" customWidth="1"/>
    <col min="21" max="21" width="18.88671875" style="1055" customWidth="1"/>
    <col min="22" max="22" width="20.109375" style="1055" customWidth="1"/>
    <col min="23" max="23" width="17.88671875" style="189" bestFit="1" customWidth="1"/>
    <col min="24" max="24" width="17.5546875" style="189" bestFit="1" customWidth="1"/>
    <col min="25" max="25" width="12.88671875" style="189" bestFit="1" customWidth="1"/>
    <col min="26" max="16384" width="11.44140625" style="189"/>
  </cols>
  <sheetData>
    <row r="1" spans="1:26" s="302" customFormat="1" ht="15" thickBot="1" x14ac:dyDescent="0.35">
      <c r="A1" s="169"/>
      <c r="B1" s="188"/>
      <c r="C1" s="1307" t="s">
        <v>40</v>
      </c>
      <c r="D1" s="1308"/>
      <c r="E1" s="1308"/>
      <c r="F1" s="1308"/>
      <c r="G1" s="1308"/>
      <c r="H1" s="1308"/>
      <c r="I1" s="1308"/>
      <c r="J1" s="1308"/>
      <c r="K1" s="1308"/>
      <c r="L1" s="1308"/>
      <c r="M1" s="1308"/>
      <c r="N1" s="1308"/>
      <c r="O1" s="1308"/>
      <c r="P1" s="1308"/>
      <c r="Q1" s="1308"/>
      <c r="R1" s="1308"/>
      <c r="S1" s="1309"/>
      <c r="T1" s="1052"/>
      <c r="U1" s="1052"/>
      <c r="V1" s="1052"/>
      <c r="W1" s="1328" t="s">
        <v>899</v>
      </c>
      <c r="X1" s="1303"/>
      <c r="Y1" s="1304"/>
    </row>
    <row r="2" spans="1:26"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053"/>
      <c r="U2" s="1053"/>
      <c r="V2" s="1053"/>
      <c r="W2" s="1329" t="s">
        <v>41</v>
      </c>
      <c r="X2" s="1305"/>
      <c r="Y2" s="1306"/>
    </row>
    <row r="3" spans="1:26"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6"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6"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6"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6" s="302" customFormat="1" ht="12.75" customHeight="1" x14ac:dyDescent="0.3">
      <c r="A7" s="1291" t="s">
        <v>955</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6"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6"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6" s="302" customFormat="1" ht="13.5" customHeight="1" x14ac:dyDescent="0.3">
      <c r="A10" s="1292" t="s">
        <v>956</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6" s="302" customFormat="1" ht="13.5" customHeight="1" x14ac:dyDescent="0.3">
      <c r="A11" s="354"/>
      <c r="B11" s="1318"/>
      <c r="C11" s="1320"/>
      <c r="D11" s="1320"/>
      <c r="E11" s="1320"/>
      <c r="F11" s="1320"/>
      <c r="G11" s="1320"/>
      <c r="H11" s="1320"/>
      <c r="I11" s="1320"/>
      <c r="J11" s="1320"/>
      <c r="K11" s="1293" t="s">
        <v>46</v>
      </c>
      <c r="L11" s="1294"/>
      <c r="M11" s="1295"/>
      <c r="N11" s="1293" t="s">
        <v>353</v>
      </c>
      <c r="O11" s="1294"/>
      <c r="P11" s="1295"/>
      <c r="Q11" s="1293" t="s">
        <v>2088</v>
      </c>
      <c r="R11" s="1294"/>
      <c r="S11" s="1295"/>
      <c r="T11" s="1293" t="s">
        <v>2319</v>
      </c>
      <c r="U11" s="1294"/>
      <c r="V11" s="1295"/>
      <c r="W11" s="1299" t="s">
        <v>49</v>
      </c>
      <c r="X11" s="1299"/>
      <c r="Y11" s="1299"/>
    </row>
    <row r="12" spans="1:26" s="302" customFormat="1"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300"/>
      <c r="X12" s="1300"/>
      <c r="Y12" s="1300"/>
    </row>
    <row r="13" spans="1:26"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row>
    <row r="14" spans="1:26" ht="43.2" x14ac:dyDescent="0.3">
      <c r="A14" s="1314" t="s">
        <v>285</v>
      </c>
      <c r="B14" s="1314" t="s">
        <v>957</v>
      </c>
      <c r="C14" s="355" t="s">
        <v>59</v>
      </c>
      <c r="D14" s="355" t="s">
        <v>958</v>
      </c>
      <c r="E14" s="191">
        <v>1</v>
      </c>
      <c r="F14" s="192">
        <v>800904</v>
      </c>
      <c r="G14" s="32">
        <f>+ROUND(F14*1.051,0)</f>
        <v>841750</v>
      </c>
      <c r="H14" s="192">
        <f>ROUND((E14*F14),0)</f>
        <v>800904</v>
      </c>
      <c r="I14" s="32">
        <f>+ROUND(G14*E14,0)</f>
        <v>841750</v>
      </c>
      <c r="J14" s="1314" t="s">
        <v>959</v>
      </c>
      <c r="K14" s="163">
        <v>0</v>
      </c>
      <c r="L14" s="164">
        <f>ROUND(K14*F14,0)</f>
        <v>0</v>
      </c>
      <c r="M14" s="165">
        <f t="shared" ref="M14:M23" si="0">L14/H14</f>
        <v>0</v>
      </c>
      <c r="N14" s="163">
        <v>0</v>
      </c>
      <c r="O14" s="164">
        <f>ROUND(N14*$F$14,0)</f>
        <v>0</v>
      </c>
      <c r="P14" s="165">
        <f>O14/$H$14</f>
        <v>0</v>
      </c>
      <c r="Q14" s="412">
        <v>0.5</v>
      </c>
      <c r="R14" s="413">
        <f>ROUND(Q14*$F$14,0)</f>
        <v>400452</v>
      </c>
      <c r="S14" s="414">
        <f>R14/$H$14</f>
        <v>0.5</v>
      </c>
      <c r="T14" s="408">
        <v>0</v>
      </c>
      <c r="U14" s="143">
        <f>ROUND(T14*G14,0)</f>
        <v>0</v>
      </c>
      <c r="V14" s="144">
        <f>U14/$I$14</f>
        <v>0</v>
      </c>
      <c r="W14" s="163">
        <f>K14+N14+Q14+T14</f>
        <v>0.5</v>
      </c>
      <c r="X14" s="164">
        <f>L14+O14+R14+U14</f>
        <v>400452</v>
      </c>
      <c r="Y14" s="165">
        <f t="shared" ref="Y14:Y22" si="1">X14/H14</f>
        <v>0.5</v>
      </c>
      <c r="Z14" s="189" t="s">
        <v>2200</v>
      </c>
    </row>
    <row r="15" spans="1:26" ht="28.8" x14ac:dyDescent="0.3">
      <c r="A15" s="1314"/>
      <c r="B15" s="1314"/>
      <c r="C15" s="355" t="s">
        <v>61</v>
      </c>
      <c r="D15" s="355" t="s">
        <v>960</v>
      </c>
      <c r="E15" s="191">
        <v>1</v>
      </c>
      <c r="F15" s="192">
        <v>2994686</v>
      </c>
      <c r="G15" s="32">
        <f>+ROUND(F15*1.051,0)</f>
        <v>3147415</v>
      </c>
      <c r="H15" s="192">
        <f>ROUND((E15*F15),0)</f>
        <v>2994686</v>
      </c>
      <c r="I15" s="32">
        <f>+ROUND(G15*E15,0)</f>
        <v>3147415</v>
      </c>
      <c r="J15" s="1314"/>
      <c r="K15" s="309">
        <v>0.7</v>
      </c>
      <c r="L15" s="310">
        <f>ROUND(K15*F15,0)</f>
        <v>2096280</v>
      </c>
      <c r="M15" s="311">
        <f t="shared" si="0"/>
        <v>0.69999993321503495</v>
      </c>
      <c r="N15" s="163">
        <v>0</v>
      </c>
      <c r="O15" s="164">
        <f>ROUND(N15*$F$15,0)</f>
        <v>0</v>
      </c>
      <c r="P15" s="165">
        <f>O15/$H$15</f>
        <v>0</v>
      </c>
      <c r="Q15" s="163">
        <v>0</v>
      </c>
      <c r="R15" s="164">
        <f>ROUND(Q15*$F$15,0)</f>
        <v>0</v>
      </c>
      <c r="S15" s="165">
        <f>R15/$H$15</f>
        <v>0</v>
      </c>
      <c r="T15" s="163">
        <v>0</v>
      </c>
      <c r="U15" s="143">
        <f>ROUND(T15*G15,0)</f>
        <v>0</v>
      </c>
      <c r="V15" s="165">
        <f>U15/$I$15</f>
        <v>0</v>
      </c>
      <c r="W15" s="163">
        <f t="shared" ref="W15:W21" si="2">K15+N15+Q15+T15</f>
        <v>0.7</v>
      </c>
      <c r="X15" s="164">
        <f t="shared" ref="X15:X22" si="3">L15+O15+R15+U15</f>
        <v>2096280</v>
      </c>
      <c r="Y15" s="165">
        <f>X15/I15</f>
        <v>0.66603228363593614</v>
      </c>
    </row>
    <row r="16" spans="1:26" x14ac:dyDescent="0.3">
      <c r="A16" s="1314"/>
      <c r="B16" s="1314"/>
      <c r="C16" s="196"/>
      <c r="D16" s="196" t="s">
        <v>961</v>
      </c>
      <c r="E16" s="197"/>
      <c r="F16" s="198"/>
      <c r="G16" s="198"/>
      <c r="H16" s="199">
        <f>SUM(H14:H15)</f>
        <v>3795590</v>
      </c>
      <c r="I16" s="199">
        <f>SUM(I14:I15)</f>
        <v>3989165</v>
      </c>
      <c r="J16" s="1314"/>
      <c r="K16" s="306"/>
      <c r="L16" s="307">
        <f>SUM(L14:L15)</f>
        <v>2096280</v>
      </c>
      <c r="M16" s="308">
        <f t="shared" si="0"/>
        <v>0.55229358281584684</v>
      </c>
      <c r="N16" s="306"/>
      <c r="O16" s="307">
        <f>SUM(O14:O15)</f>
        <v>0</v>
      </c>
      <c r="P16" s="308">
        <f>O16/$H$16</f>
        <v>0</v>
      </c>
      <c r="Q16" s="306"/>
      <c r="R16" s="307">
        <f>SUM(R14:R15)</f>
        <v>400452</v>
      </c>
      <c r="S16" s="308">
        <f>R16/$H$16</f>
        <v>0.1055045460653021</v>
      </c>
      <c r="T16" s="428"/>
      <c r="U16" s="307">
        <f>SUM(U14:U15)</f>
        <v>0</v>
      </c>
      <c r="V16" s="431">
        <f>U16/$I$16</f>
        <v>0</v>
      </c>
      <c r="W16" s="1084"/>
      <c r="X16" s="1085">
        <f t="shared" si="3"/>
        <v>2496732</v>
      </c>
      <c r="Y16" s="308">
        <f t="shared" si="1"/>
        <v>0.65779812888114886</v>
      </c>
    </row>
    <row r="17" spans="1:25" ht="43.2" x14ac:dyDescent="0.3">
      <c r="A17" s="1314" t="s">
        <v>285</v>
      </c>
      <c r="B17" s="1314" t="s">
        <v>320</v>
      </c>
      <c r="C17" s="355" t="s">
        <v>59</v>
      </c>
      <c r="D17" s="355" t="s">
        <v>321</v>
      </c>
      <c r="E17" s="191">
        <v>0.7</v>
      </c>
      <c r="F17" s="192">
        <v>6024196</v>
      </c>
      <c r="G17" s="32">
        <f t="shared" ref="G17:G18" si="4">+ROUND(F17*1.051,0)</f>
        <v>6331430</v>
      </c>
      <c r="H17" s="192">
        <f>ROUND((E17*F17),0)</f>
        <v>4216937</v>
      </c>
      <c r="I17" s="32">
        <f t="shared" ref="I17:I18" si="5">+ROUND(G17*E17,0)</f>
        <v>4432001</v>
      </c>
      <c r="J17" s="1314" t="s">
        <v>962</v>
      </c>
      <c r="K17" s="163">
        <v>0</v>
      </c>
      <c r="L17" s="164">
        <f>ROUND(K17*F17,0)</f>
        <v>0</v>
      </c>
      <c r="M17" s="165">
        <f t="shared" si="0"/>
        <v>0</v>
      </c>
      <c r="N17" s="309">
        <v>0.7</v>
      </c>
      <c r="O17" s="310">
        <f>ROUND(N17*$F$17,0)</f>
        <v>4216937</v>
      </c>
      <c r="P17" s="311">
        <f>O17/$H$17</f>
        <v>1</v>
      </c>
      <c r="Q17" s="163">
        <v>0</v>
      </c>
      <c r="R17" s="164">
        <f>ROUND(Q17*$F$17,0)</f>
        <v>0</v>
      </c>
      <c r="S17" s="165">
        <f>R17/$H$17</f>
        <v>0</v>
      </c>
      <c r="T17" s="163">
        <v>0</v>
      </c>
      <c r="U17" s="164">
        <f>ROUND(T17*$G$17,0)</f>
        <v>0</v>
      </c>
      <c r="V17" s="165">
        <f>U17/$I$17</f>
        <v>0</v>
      </c>
      <c r="W17" s="163">
        <f t="shared" si="2"/>
        <v>0.7</v>
      </c>
      <c r="X17" s="164">
        <f t="shared" si="3"/>
        <v>4216937</v>
      </c>
      <c r="Y17" s="165">
        <f t="shared" si="1"/>
        <v>1</v>
      </c>
    </row>
    <row r="18" spans="1:25" ht="28.8" x14ac:dyDescent="0.3">
      <c r="A18" s="1314"/>
      <c r="B18" s="1314"/>
      <c r="C18" s="355" t="s">
        <v>61</v>
      </c>
      <c r="D18" s="355" t="s">
        <v>322</v>
      </c>
      <c r="E18" s="191">
        <v>0.7</v>
      </c>
      <c r="F18" s="192">
        <v>6650991</v>
      </c>
      <c r="G18" s="32">
        <f t="shared" si="4"/>
        <v>6990192</v>
      </c>
      <c r="H18" s="192">
        <f>ROUND((E18*F18),0)</f>
        <v>4655694</v>
      </c>
      <c r="I18" s="32">
        <f t="shared" si="5"/>
        <v>4893134</v>
      </c>
      <c r="J18" s="1314"/>
      <c r="K18" s="163">
        <v>0</v>
      </c>
      <c r="L18" s="164">
        <f>ROUND(K18*F18,0)</f>
        <v>0</v>
      </c>
      <c r="M18" s="165">
        <f t="shared" si="0"/>
        <v>0</v>
      </c>
      <c r="N18" s="309">
        <v>0.7</v>
      </c>
      <c r="O18" s="310">
        <f>ROUND(N18*$F$18,0)</f>
        <v>4655694</v>
      </c>
      <c r="P18" s="311">
        <f>O18/$H$18</f>
        <v>1</v>
      </c>
      <c r="Q18" s="163">
        <v>0</v>
      </c>
      <c r="R18" s="164">
        <f>ROUND(Q18*$F$18,0)</f>
        <v>0</v>
      </c>
      <c r="S18" s="165">
        <f>R18/$H$18</f>
        <v>0</v>
      </c>
      <c r="T18" s="163">
        <v>0</v>
      </c>
      <c r="U18" s="164">
        <f>ROUND(T18*$G$18,0)</f>
        <v>0</v>
      </c>
      <c r="V18" s="165">
        <f>U18/$I$18</f>
        <v>0</v>
      </c>
      <c r="W18" s="163">
        <f t="shared" si="2"/>
        <v>0.7</v>
      </c>
      <c r="X18" s="164">
        <f t="shared" si="3"/>
        <v>4655694</v>
      </c>
      <c r="Y18" s="165">
        <f t="shared" si="1"/>
        <v>1</v>
      </c>
    </row>
    <row r="19" spans="1:25" x14ac:dyDescent="0.3">
      <c r="A19" s="1314"/>
      <c r="B19" s="1314"/>
      <c r="C19" s="196"/>
      <c r="D19" s="196" t="s">
        <v>143</v>
      </c>
      <c r="E19" s="197"/>
      <c r="F19" s="198"/>
      <c r="G19" s="198"/>
      <c r="H19" s="199">
        <f>SUM(H17:H18)</f>
        <v>8872631</v>
      </c>
      <c r="I19" s="199">
        <f>SUM(I17:I18)</f>
        <v>9325135</v>
      </c>
      <c r="J19" s="1314"/>
      <c r="K19" s="306"/>
      <c r="L19" s="307">
        <f>SUM(L17:L18)</f>
        <v>0</v>
      </c>
      <c r="M19" s="308">
        <f t="shared" si="0"/>
        <v>0</v>
      </c>
      <c r="N19" s="306"/>
      <c r="O19" s="307">
        <f>SUM(O17:O18)</f>
        <v>8872631</v>
      </c>
      <c r="P19" s="308">
        <f>O19/$H$19</f>
        <v>1</v>
      </c>
      <c r="Q19" s="306"/>
      <c r="R19" s="307">
        <f>SUM(R17:R18)</f>
        <v>0</v>
      </c>
      <c r="S19" s="308">
        <f>R19/$H$19</f>
        <v>0</v>
      </c>
      <c r="T19" s="428"/>
      <c r="U19" s="307">
        <f>SUM(U17:U18)</f>
        <v>0</v>
      </c>
      <c r="V19" s="431">
        <f>U19/$I$19</f>
        <v>0</v>
      </c>
      <c r="W19" s="1084"/>
      <c r="X19" s="1085">
        <f t="shared" si="3"/>
        <v>8872631</v>
      </c>
      <c r="Y19" s="308">
        <f t="shared" si="1"/>
        <v>1</v>
      </c>
    </row>
    <row r="20" spans="1:25" ht="43.2" x14ac:dyDescent="0.3">
      <c r="A20" s="1314" t="s">
        <v>285</v>
      </c>
      <c r="B20" s="1314" t="s">
        <v>239</v>
      </c>
      <c r="C20" s="355" t="s">
        <v>59</v>
      </c>
      <c r="D20" s="355" t="s">
        <v>204</v>
      </c>
      <c r="E20" s="191">
        <v>0.7</v>
      </c>
      <c r="F20" s="192">
        <v>2124138</v>
      </c>
      <c r="G20" s="32">
        <f t="shared" ref="G20:G21" si="6">+ROUND(F20*1.051,0)</f>
        <v>2232469</v>
      </c>
      <c r="H20" s="192">
        <f>ROUND((E20*F20),0)</f>
        <v>1486897</v>
      </c>
      <c r="I20" s="32">
        <f t="shared" ref="I20:I21" si="7">+ROUND(G20*E20,0)</f>
        <v>1562728</v>
      </c>
      <c r="J20" s="1314" t="s">
        <v>963</v>
      </c>
      <c r="K20" s="309">
        <v>0.7</v>
      </c>
      <c r="L20" s="310">
        <f>ROUND(K20*F20,0)</f>
        <v>1486897</v>
      </c>
      <c r="M20" s="311">
        <f t="shared" si="0"/>
        <v>1</v>
      </c>
      <c r="N20" s="163">
        <v>0</v>
      </c>
      <c r="O20" s="143">
        <f>ROUND(N20*$F$20,0)</f>
        <v>0</v>
      </c>
      <c r="P20" s="144">
        <f>O20/$H$20</f>
        <v>0</v>
      </c>
      <c r="Q20" s="163">
        <v>0</v>
      </c>
      <c r="R20" s="164">
        <f>ROUND(Q20*$F$20,0)</f>
        <v>0</v>
      </c>
      <c r="S20" s="165">
        <f>R20/$H$20</f>
        <v>0</v>
      </c>
      <c r="T20" s="163">
        <v>0</v>
      </c>
      <c r="U20" s="164">
        <f>ROUND(T20*$G$20,0)</f>
        <v>0</v>
      </c>
      <c r="V20" s="165">
        <f>U20/$I$20</f>
        <v>0</v>
      </c>
      <c r="W20" s="163">
        <f t="shared" si="2"/>
        <v>0.7</v>
      </c>
      <c r="X20" s="164">
        <f t="shared" si="3"/>
        <v>1486897</v>
      </c>
      <c r="Y20" s="165">
        <f t="shared" si="1"/>
        <v>1</v>
      </c>
    </row>
    <row r="21" spans="1:25" ht="28.8" x14ac:dyDescent="0.3">
      <c r="A21" s="1314"/>
      <c r="B21" s="1314"/>
      <c r="C21" s="355" t="s">
        <v>61</v>
      </c>
      <c r="D21" s="355" t="s">
        <v>205</v>
      </c>
      <c r="E21" s="191">
        <v>1</v>
      </c>
      <c r="F21" s="192">
        <v>3900057</v>
      </c>
      <c r="G21" s="32">
        <f t="shared" si="6"/>
        <v>4098960</v>
      </c>
      <c r="H21" s="192">
        <f>ROUND((E21*F21),0)</f>
        <v>3900057</v>
      </c>
      <c r="I21" s="32">
        <f t="shared" si="7"/>
        <v>4098960</v>
      </c>
      <c r="J21" s="1314"/>
      <c r="K21" s="309">
        <v>0.7</v>
      </c>
      <c r="L21" s="310">
        <f>ROUND(K21*F21,0)</f>
        <v>2730040</v>
      </c>
      <c r="M21" s="311">
        <f t="shared" si="0"/>
        <v>0.70000002564065089</v>
      </c>
      <c r="N21" s="309">
        <v>0.3</v>
      </c>
      <c r="O21" s="310">
        <f>ROUND(N21*$F$21,0)</f>
        <v>1170017</v>
      </c>
      <c r="P21" s="311">
        <f>O21/$H$21</f>
        <v>0.29999997435934911</v>
      </c>
      <c r="Q21" s="163">
        <v>0</v>
      </c>
      <c r="R21" s="164">
        <f>ROUND(Q21*$F$21,0)</f>
        <v>0</v>
      </c>
      <c r="S21" s="165">
        <f>R21/$H$21</f>
        <v>0</v>
      </c>
      <c r="T21" s="163">
        <v>0</v>
      </c>
      <c r="U21" s="164">
        <f>ROUND(T21*$G$21,0)</f>
        <v>0</v>
      </c>
      <c r="V21" s="165">
        <f>U21/$I$21</f>
        <v>0</v>
      </c>
      <c r="W21" s="163">
        <f t="shared" si="2"/>
        <v>1</v>
      </c>
      <c r="X21" s="164">
        <f t="shared" si="3"/>
        <v>3900057</v>
      </c>
      <c r="Y21" s="165">
        <f t="shared" si="1"/>
        <v>1</v>
      </c>
    </row>
    <row r="22" spans="1:25" x14ac:dyDescent="0.3">
      <c r="A22" s="1314"/>
      <c r="B22" s="1314"/>
      <c r="C22" s="196"/>
      <c r="D22" s="196" t="s">
        <v>206</v>
      </c>
      <c r="E22" s="197"/>
      <c r="F22" s="198"/>
      <c r="G22" s="198"/>
      <c r="H22" s="199">
        <f>SUM(H20:H21)</f>
        <v>5386954</v>
      </c>
      <c r="I22" s="199">
        <f>SUM(I20:I21)</f>
        <v>5661688</v>
      </c>
      <c r="J22" s="1314"/>
      <c r="K22" s="306"/>
      <c r="L22" s="307">
        <f>SUM(L20:L21)</f>
        <v>4216937</v>
      </c>
      <c r="M22" s="308">
        <f t="shared" si="0"/>
        <v>0.78280545926324974</v>
      </c>
      <c r="N22" s="306"/>
      <c r="O22" s="307">
        <f>SUM(O20:O21)</f>
        <v>1170017</v>
      </c>
      <c r="P22" s="308">
        <f>O22/$H$22</f>
        <v>0.21719454073675029</v>
      </c>
      <c r="Q22" s="306"/>
      <c r="R22" s="307">
        <f>SUM(R20:R21)</f>
        <v>0</v>
      </c>
      <c r="S22" s="308">
        <f>R22/$H$22</f>
        <v>0</v>
      </c>
      <c r="T22" s="428"/>
      <c r="U22" s="307">
        <f>SUM(U20:U21)</f>
        <v>0</v>
      </c>
      <c r="V22" s="431">
        <f>U22/$I$22</f>
        <v>0</v>
      </c>
      <c r="W22" s="306"/>
      <c r="X22" s="1085">
        <f t="shared" si="3"/>
        <v>5386954</v>
      </c>
      <c r="Y22" s="308">
        <f t="shared" si="1"/>
        <v>1</v>
      </c>
    </row>
    <row r="23" spans="1:25" x14ac:dyDescent="0.3">
      <c r="F23" s="151" t="s">
        <v>64</v>
      </c>
      <c r="G23" s="151"/>
      <c r="H23" s="181">
        <f>SUM(H8:H22)/2</f>
        <v>18055175</v>
      </c>
      <c r="I23" s="181">
        <f>SUM(I14:I22)/2</f>
        <v>18975988</v>
      </c>
      <c r="K23" s="152" t="s">
        <v>64</v>
      </c>
      <c r="L23" s="181">
        <f>SUM(L8:L22)/2</f>
        <v>6313217</v>
      </c>
      <c r="M23" s="201">
        <f t="shared" si="0"/>
        <v>0.34966246519349714</v>
      </c>
      <c r="N23" s="152" t="s">
        <v>64</v>
      </c>
      <c r="O23" s="181">
        <f>SUM(O8:O22)/2</f>
        <v>10042648</v>
      </c>
      <c r="P23" s="201">
        <f>O23/$H$23</f>
        <v>0.55621992032755152</v>
      </c>
      <c r="Q23" s="484" t="s">
        <v>64</v>
      </c>
      <c r="R23" s="481">
        <f>SUM(R8:R22)/2</f>
        <v>400452</v>
      </c>
      <c r="T23" s="484" t="s">
        <v>64</v>
      </c>
      <c r="U23" s="481">
        <f>SUM(U8:U22)/2</f>
        <v>0</v>
      </c>
      <c r="W23" s="484" t="s">
        <v>64</v>
      </c>
      <c r="X23" s="481">
        <f>SUM(X8:X22)/2</f>
        <v>16756317</v>
      </c>
    </row>
    <row r="24" spans="1:25" x14ac:dyDescent="0.3">
      <c r="F24" s="153" t="s">
        <v>65</v>
      </c>
      <c r="G24" s="816"/>
      <c r="H24" s="182">
        <v>0</v>
      </c>
      <c r="I24" s="182">
        <v>0</v>
      </c>
      <c r="K24" s="153" t="s">
        <v>65</v>
      </c>
      <c r="L24" s="182">
        <v>0</v>
      </c>
      <c r="M24" s="302"/>
      <c r="N24" s="153" t="s">
        <v>65</v>
      </c>
      <c r="O24" s="182">
        <v>0</v>
      </c>
      <c r="P24" s="302"/>
      <c r="Q24" s="482" t="s">
        <v>65</v>
      </c>
      <c r="R24" s="483">
        <v>0</v>
      </c>
      <c r="S24" s="302"/>
      <c r="T24" s="482" t="s">
        <v>65</v>
      </c>
      <c r="U24" s="483">
        <v>0</v>
      </c>
      <c r="V24" s="1054"/>
      <c r="W24" s="482" t="s">
        <v>65</v>
      </c>
      <c r="X24" s="483">
        <v>0</v>
      </c>
      <c r="Y24" s="302"/>
    </row>
    <row r="25" spans="1:25" x14ac:dyDescent="0.3">
      <c r="F25" s="152" t="s">
        <v>64</v>
      </c>
      <c r="G25" s="817"/>
      <c r="H25" s="182">
        <f>+H23+H24</f>
        <v>18055175</v>
      </c>
      <c r="I25" s="182">
        <f>+I23+I24</f>
        <v>18975988</v>
      </c>
      <c r="K25" s="152" t="s">
        <v>64</v>
      </c>
      <c r="L25" s="182">
        <f>+L23+L24</f>
        <v>6313217</v>
      </c>
      <c r="M25" s="302"/>
      <c r="N25" s="152" t="s">
        <v>64</v>
      </c>
      <c r="O25" s="182">
        <f>+O23+O24</f>
        <v>10042648</v>
      </c>
      <c r="P25" s="302"/>
      <c r="Q25" s="484" t="s">
        <v>64</v>
      </c>
      <c r="R25" s="483">
        <f>+R23+R24</f>
        <v>400452</v>
      </c>
      <c r="S25" s="302"/>
      <c r="T25" s="484" t="s">
        <v>64</v>
      </c>
      <c r="U25" s="483">
        <f>+U23+U24</f>
        <v>0</v>
      </c>
      <c r="V25" s="1054"/>
      <c r="W25" s="484" t="s">
        <v>64</v>
      </c>
      <c r="X25" s="483">
        <f>+X23+X24</f>
        <v>16756317</v>
      </c>
      <c r="Y25" s="302"/>
    </row>
    <row r="26" spans="1:25" ht="26.4" x14ac:dyDescent="0.3">
      <c r="F26" s="152"/>
      <c r="G26" s="817"/>
      <c r="H26" s="182"/>
      <c r="I26" s="182"/>
      <c r="K26" s="152"/>
      <c r="L26" s="182"/>
      <c r="M26" s="302"/>
      <c r="N26" s="152"/>
      <c r="O26" s="182"/>
      <c r="P26" s="302"/>
      <c r="Q26" s="484" t="s">
        <v>1439</v>
      </c>
      <c r="R26" s="483">
        <f>ROUND(R25*0.015,0)</f>
        <v>6007</v>
      </c>
      <c r="S26" s="302"/>
      <c r="T26" s="484" t="s">
        <v>1439</v>
      </c>
      <c r="U26" s="483">
        <f>ROUND(U25*0.015,0)</f>
        <v>0</v>
      </c>
      <c r="V26" s="1054"/>
      <c r="W26" s="484" t="s">
        <v>1439</v>
      </c>
      <c r="X26" s="483">
        <f>L26+O26+R26+U26</f>
        <v>6007</v>
      </c>
      <c r="Y26" s="302"/>
    </row>
    <row r="27" spans="1:25" ht="26.4" x14ac:dyDescent="0.3">
      <c r="F27" s="152"/>
      <c r="G27" s="817"/>
      <c r="H27" s="182"/>
      <c r="I27" s="182"/>
      <c r="K27" s="152"/>
      <c r="L27" s="182"/>
      <c r="M27" s="302"/>
      <c r="N27" s="152"/>
      <c r="O27" s="182"/>
      <c r="P27" s="302"/>
      <c r="Q27" s="152" t="s">
        <v>1440</v>
      </c>
      <c r="R27" s="182">
        <f>R25+R26</f>
        <v>406459</v>
      </c>
      <c r="S27" s="201">
        <f>R27/$H$23</f>
        <v>2.2512049869358786E-2</v>
      </c>
      <c r="T27" s="152" t="s">
        <v>1440</v>
      </c>
      <c r="U27" s="182">
        <f>U25+U26</f>
        <v>0</v>
      </c>
      <c r="V27" s="201">
        <f>U27/$H$23</f>
        <v>0</v>
      </c>
      <c r="W27" s="152" t="s">
        <v>1440</v>
      </c>
      <c r="X27" s="182">
        <f>X25+X26</f>
        <v>16762324</v>
      </c>
      <c r="Y27" s="201">
        <f>X27/H23</f>
        <v>0.92839443539040745</v>
      </c>
    </row>
    <row r="28" spans="1:25" x14ac:dyDescent="0.3">
      <c r="F28" s="154" t="s">
        <v>66</v>
      </c>
      <c r="G28" s="818"/>
      <c r="H28" s="182">
        <f>+H25*19%</f>
        <v>3430483.25</v>
      </c>
      <c r="I28" s="182">
        <f>+I25*19%</f>
        <v>3605437.72</v>
      </c>
      <c r="K28" s="154" t="s">
        <v>66</v>
      </c>
      <c r="L28" s="182">
        <f>+L25*19%</f>
        <v>1199511.23</v>
      </c>
      <c r="M28" s="302"/>
      <c r="N28" s="154" t="s">
        <v>66</v>
      </c>
      <c r="O28" s="182">
        <f>+O25*19%</f>
        <v>1908103.12</v>
      </c>
      <c r="P28" s="302"/>
      <c r="Q28" s="485" t="s">
        <v>66</v>
      </c>
      <c r="R28" s="483">
        <f>ROUND(R27*0.19,0)</f>
        <v>77227</v>
      </c>
      <c r="S28" s="302"/>
      <c r="T28" s="485" t="s">
        <v>66</v>
      </c>
      <c r="U28" s="483">
        <f>ROUND(U27*0.19,0)</f>
        <v>0</v>
      </c>
      <c r="V28" s="1054"/>
      <c r="W28" s="485" t="s">
        <v>66</v>
      </c>
      <c r="X28" s="483">
        <f>ROUND(X27*0.19,0)</f>
        <v>3184842</v>
      </c>
      <c r="Y28" s="302"/>
    </row>
    <row r="29" spans="1:25" x14ac:dyDescent="0.3">
      <c r="F29" s="155" t="s">
        <v>69</v>
      </c>
      <c r="G29" s="155"/>
      <c r="H29" s="181">
        <f>+H25+H28</f>
        <v>21485658.25</v>
      </c>
      <c r="I29" s="181">
        <f>+I25+I28</f>
        <v>22581425.719999999</v>
      </c>
      <c r="K29" s="155" t="s">
        <v>69</v>
      </c>
      <c r="L29" s="181">
        <f>+L25+L28</f>
        <v>7512728.2300000004</v>
      </c>
      <c r="M29" s="302"/>
      <c r="N29" s="155" t="s">
        <v>69</v>
      </c>
      <c r="O29" s="181">
        <f>+O25+O28</f>
        <v>11950751.120000001</v>
      </c>
      <c r="P29" s="302"/>
      <c r="Q29" s="545" t="s">
        <v>69</v>
      </c>
      <c r="R29" s="481">
        <f>R27+R28</f>
        <v>483686</v>
      </c>
      <c r="S29" s="302"/>
      <c r="T29" s="545" t="s">
        <v>69</v>
      </c>
      <c r="U29" s="481">
        <f>U27+U28</f>
        <v>0</v>
      </c>
      <c r="V29" s="1054"/>
      <c r="W29" s="545" t="s">
        <v>69</v>
      </c>
      <c r="X29" s="481">
        <f>X27+X28</f>
        <v>19947166</v>
      </c>
      <c r="Y29" s="302"/>
    </row>
    <row r="32" spans="1:25" s="302" customFormat="1" x14ac:dyDescent="0.3">
      <c r="A32" s="183" t="s">
        <v>67</v>
      </c>
      <c r="B32" s="184"/>
      <c r="C32" s="184"/>
      <c r="D32" s="185" t="s">
        <v>68</v>
      </c>
      <c r="G32" s="795"/>
      <c r="I32" s="795"/>
      <c r="K32" s="186" t="s">
        <v>70</v>
      </c>
      <c r="L32" s="187" t="s">
        <v>71</v>
      </c>
      <c r="M32" s="186" t="s">
        <v>58</v>
      </c>
      <c r="N32" s="186" t="s">
        <v>70</v>
      </c>
      <c r="O32" s="187" t="s">
        <v>71</v>
      </c>
      <c r="P32" s="186" t="s">
        <v>58</v>
      </c>
      <c r="Q32" s="186" t="s">
        <v>70</v>
      </c>
      <c r="R32" s="187" t="s">
        <v>71</v>
      </c>
      <c r="S32" s="186" t="s">
        <v>58</v>
      </c>
      <c r="T32" s="186" t="s">
        <v>70</v>
      </c>
      <c r="U32" s="187" t="s">
        <v>71</v>
      </c>
      <c r="V32" s="186" t="s">
        <v>58</v>
      </c>
      <c r="W32" s="189"/>
      <c r="X32" s="189"/>
      <c r="Y32" s="189"/>
    </row>
    <row r="33" spans="1:25" s="302" customFormat="1" x14ac:dyDescent="0.3">
      <c r="A33" s="183"/>
      <c r="B33" s="184"/>
      <c r="C33" s="184"/>
      <c r="D33" s="185"/>
      <c r="G33" s="795"/>
      <c r="I33" s="795"/>
      <c r="K33" s="203" t="s">
        <v>72</v>
      </c>
      <c r="L33" s="204">
        <f>L23</f>
        <v>6313217</v>
      </c>
      <c r="M33" s="205">
        <f>M23</f>
        <v>0.34966246519349714</v>
      </c>
      <c r="N33" s="203" t="s">
        <v>72</v>
      </c>
      <c r="O33" s="204">
        <f>+$L$25</f>
        <v>6313217</v>
      </c>
      <c r="P33" s="205">
        <f>+$M$23</f>
        <v>0.34966246519349714</v>
      </c>
      <c r="Q33" s="203" t="s">
        <v>72</v>
      </c>
      <c r="R33" s="204">
        <f>+$L$25</f>
        <v>6313217</v>
      </c>
      <c r="S33" s="205">
        <f>+$M$23</f>
        <v>0.34966246519349714</v>
      </c>
      <c r="T33" s="203" t="s">
        <v>72</v>
      </c>
      <c r="U33" s="204">
        <f>+$L$25</f>
        <v>6313217</v>
      </c>
      <c r="V33" s="205">
        <f>+$M$23</f>
        <v>0.34966246519349714</v>
      </c>
      <c r="W33" s="189"/>
      <c r="X33" s="189"/>
      <c r="Y33" s="189"/>
    </row>
    <row r="34" spans="1:25" s="302" customFormat="1" x14ac:dyDescent="0.3">
      <c r="A34" s="183"/>
      <c r="B34" s="184"/>
      <c r="C34" s="184"/>
      <c r="D34" s="185"/>
      <c r="G34" s="795"/>
      <c r="I34" s="795"/>
      <c r="K34" s="203"/>
      <c r="L34" s="204"/>
      <c r="M34" s="205"/>
      <c r="N34" s="203" t="s">
        <v>73</v>
      </c>
      <c r="O34" s="204">
        <f>+$O$25</f>
        <v>10042648</v>
      </c>
      <c r="P34" s="205">
        <f>+$P$23</f>
        <v>0.55621992032755152</v>
      </c>
      <c r="Q34" s="203" t="s">
        <v>73</v>
      </c>
      <c r="R34" s="204">
        <f>+$O$25</f>
        <v>10042648</v>
      </c>
      <c r="S34" s="205">
        <f>+$P$23</f>
        <v>0.55621992032755152</v>
      </c>
      <c r="T34" s="203" t="s">
        <v>73</v>
      </c>
      <c r="U34" s="204">
        <f>+$O$25</f>
        <v>10042648</v>
      </c>
      <c r="V34" s="205">
        <f>+$P$23</f>
        <v>0.55621992032755152</v>
      </c>
      <c r="W34" s="189"/>
      <c r="X34" s="189"/>
      <c r="Y34" s="189"/>
    </row>
    <row r="35" spans="1:25" s="1054" customFormat="1" x14ac:dyDescent="0.3">
      <c r="A35" s="183"/>
      <c r="B35" s="184"/>
      <c r="C35" s="184"/>
      <c r="D35" s="185"/>
      <c r="K35" s="203"/>
      <c r="L35" s="204"/>
      <c r="M35" s="205"/>
      <c r="N35" s="203"/>
      <c r="O35" s="204"/>
      <c r="P35" s="205"/>
      <c r="Q35" s="203" t="s">
        <v>74</v>
      </c>
      <c r="R35" s="204">
        <f>$R$27</f>
        <v>406459</v>
      </c>
      <c r="S35" s="205">
        <f>$S$27</f>
        <v>2.2512049869358786E-2</v>
      </c>
      <c r="T35" s="203" t="s">
        <v>74</v>
      </c>
      <c r="U35" s="204">
        <f>$R$27</f>
        <v>406459</v>
      </c>
      <c r="V35" s="205">
        <f>$S$27</f>
        <v>2.2512049869358786E-2</v>
      </c>
      <c r="W35" s="1055"/>
      <c r="X35" s="1055"/>
      <c r="Y35" s="1055"/>
    </row>
    <row r="36" spans="1:25" s="302" customFormat="1" x14ac:dyDescent="0.3">
      <c r="A36" s="183"/>
      <c r="B36" s="184"/>
      <c r="C36" s="184"/>
      <c r="D36" s="185"/>
      <c r="G36" s="795"/>
      <c r="I36" s="795"/>
      <c r="K36" s="203"/>
      <c r="L36" s="204"/>
      <c r="M36" s="205"/>
      <c r="N36" s="203"/>
      <c r="O36" s="204"/>
      <c r="P36" s="205"/>
      <c r="Q36" s="203"/>
      <c r="R36" s="204"/>
      <c r="S36" s="205"/>
      <c r="T36" s="203" t="s">
        <v>155</v>
      </c>
      <c r="U36" s="204">
        <f>$U$27</f>
        <v>0</v>
      </c>
      <c r="V36" s="205">
        <f>$V$27</f>
        <v>0</v>
      </c>
      <c r="W36" s="189"/>
      <c r="X36" s="189"/>
      <c r="Y36" s="189"/>
    </row>
    <row r="37" spans="1:25" s="302" customFormat="1" x14ac:dyDescent="0.3">
      <c r="A37" s="183"/>
      <c r="B37" s="184"/>
      <c r="C37" s="184"/>
      <c r="D37" s="185"/>
      <c r="G37" s="795"/>
      <c r="I37" s="795"/>
      <c r="K37" s="206" t="s">
        <v>1</v>
      </c>
      <c r="L37" s="207">
        <f>SUM(L33:L33)</f>
        <v>6313217</v>
      </c>
      <c r="M37" s="208">
        <f>SUM(M33:M33)</f>
        <v>0.34966246519349714</v>
      </c>
      <c r="N37" s="206" t="s">
        <v>1</v>
      </c>
      <c r="O37" s="207">
        <f>SUM(O33:O34)</f>
        <v>16355865</v>
      </c>
      <c r="P37" s="208">
        <f>SUM(P33:P34)</f>
        <v>0.90588238552104872</v>
      </c>
      <c r="Q37" s="206" t="s">
        <v>1</v>
      </c>
      <c r="R37" s="207">
        <f>SUM(R33:R36)</f>
        <v>16762324</v>
      </c>
      <c r="S37" s="208">
        <f>SUM(S33:S36)</f>
        <v>0.92839443539040745</v>
      </c>
      <c r="T37" s="206" t="s">
        <v>1</v>
      </c>
      <c r="U37" s="207">
        <f>SUM(U33:U36)</f>
        <v>16762324</v>
      </c>
      <c r="V37" s="208">
        <f>SUM(V33:V36)</f>
        <v>0.92839443539040745</v>
      </c>
      <c r="W37" s="189"/>
      <c r="X37" s="189"/>
      <c r="Y37" s="189"/>
    </row>
    <row r="38" spans="1:25" s="302" customFormat="1" x14ac:dyDescent="0.3">
      <c r="A38" s="183"/>
      <c r="B38" s="184"/>
      <c r="C38" s="184"/>
      <c r="D38" s="185"/>
      <c r="G38" s="795"/>
      <c r="I38" s="795"/>
      <c r="K38" s="206" t="s">
        <v>9</v>
      </c>
      <c r="L38" s="1285"/>
      <c r="M38" s="1286"/>
      <c r="N38" s="206" t="s">
        <v>9</v>
      </c>
      <c r="O38" s="1285"/>
      <c r="P38" s="1286"/>
      <c r="Q38" s="206" t="s">
        <v>9</v>
      </c>
      <c r="R38" s="1285"/>
      <c r="S38" s="1286"/>
      <c r="T38" s="206" t="s">
        <v>9</v>
      </c>
      <c r="U38" s="1285"/>
      <c r="V38" s="1286"/>
      <c r="W38" s="189"/>
      <c r="X38" s="189"/>
      <c r="Y38" s="189"/>
    </row>
    <row r="39" spans="1:25" s="302" customFormat="1" x14ac:dyDescent="0.3">
      <c r="A39" s="183"/>
      <c r="B39" s="184"/>
      <c r="C39" s="184"/>
      <c r="D39" s="185"/>
      <c r="G39" s="795"/>
      <c r="I39" s="795"/>
      <c r="K39" s="156" t="s">
        <v>78</v>
      </c>
      <c r="L39" s="1285" t="s">
        <v>915</v>
      </c>
      <c r="M39" s="1286"/>
      <c r="N39" s="156" t="s">
        <v>78</v>
      </c>
      <c r="O39" s="1285" t="s">
        <v>915</v>
      </c>
      <c r="P39" s="1286"/>
      <c r="Q39" s="156" t="s">
        <v>78</v>
      </c>
      <c r="R39" s="1285" t="s">
        <v>915</v>
      </c>
      <c r="S39" s="1286"/>
      <c r="T39" s="156" t="s">
        <v>78</v>
      </c>
      <c r="U39" s="1285" t="s">
        <v>915</v>
      </c>
      <c r="V39" s="1286"/>
      <c r="W39" s="189"/>
      <c r="X39" s="189"/>
      <c r="Y39" s="189"/>
    </row>
    <row r="40" spans="1:25" s="302" customFormat="1" x14ac:dyDescent="0.3">
      <c r="A40" s="183"/>
      <c r="B40" s="184"/>
      <c r="C40" s="184"/>
      <c r="D40" s="185"/>
      <c r="G40" s="795"/>
      <c r="I40" s="795"/>
      <c r="K40" s="157" t="s">
        <v>8</v>
      </c>
      <c r="L40" s="1287" t="s">
        <v>964</v>
      </c>
      <c r="M40" s="1288"/>
      <c r="N40" s="157" t="s">
        <v>8</v>
      </c>
      <c r="O40" s="1287" t="s">
        <v>964</v>
      </c>
      <c r="P40" s="1288"/>
      <c r="Q40" s="157" t="s">
        <v>8</v>
      </c>
      <c r="R40" s="1287" t="s">
        <v>964</v>
      </c>
      <c r="S40" s="1288"/>
      <c r="T40" s="157" t="s">
        <v>8</v>
      </c>
      <c r="U40" s="1287" t="s">
        <v>964</v>
      </c>
      <c r="V40" s="1288"/>
      <c r="W40" s="189"/>
      <c r="X40" s="189"/>
      <c r="Y40" s="189"/>
    </row>
    <row r="41" spans="1:25" s="302" customFormat="1" x14ac:dyDescent="0.3">
      <c r="A41" s="183"/>
      <c r="B41" s="184"/>
      <c r="C41" s="184"/>
      <c r="D41" s="185" t="s">
        <v>75</v>
      </c>
      <c r="G41" s="795"/>
      <c r="I41" s="795"/>
      <c r="T41" s="1054"/>
      <c r="U41" s="1054"/>
      <c r="V41" s="1054"/>
    </row>
    <row r="42" spans="1:25" s="302" customFormat="1" x14ac:dyDescent="0.3">
      <c r="A42" s="183" t="s">
        <v>76</v>
      </c>
      <c r="B42" s="180"/>
      <c r="C42" s="180"/>
      <c r="D42" s="185" t="s">
        <v>77</v>
      </c>
      <c r="G42" s="795"/>
      <c r="I42" s="795"/>
      <c r="T42" s="1054"/>
      <c r="U42" s="1054"/>
      <c r="V42" s="1054"/>
    </row>
    <row r="43" spans="1:25" s="302" customFormat="1" ht="26.4" x14ac:dyDescent="0.3">
      <c r="A43" s="183" t="s">
        <v>79</v>
      </c>
      <c r="B43" s="180"/>
      <c r="C43" s="180"/>
      <c r="D43" s="185" t="s">
        <v>80</v>
      </c>
      <c r="G43" s="795"/>
      <c r="I43" s="795"/>
      <c r="T43" s="1054"/>
      <c r="U43" s="1054"/>
      <c r="V43" s="1054"/>
    </row>
  </sheetData>
  <sheetProtection formatCells="0" formatColumns="0" formatRows="0" insertColumns="0" insertRows="0" insertHyperlinks="0" deleteColumns="0" deleteRows="0" sort="0" autoFilter="0" pivotTables="0"/>
  <mergeCells count="39">
    <mergeCell ref="A5:Y5"/>
    <mergeCell ref="W1:Y1"/>
    <mergeCell ref="W2:Y2"/>
    <mergeCell ref="A3:Y3"/>
    <mergeCell ref="A4:Y4"/>
    <mergeCell ref="C1:S2"/>
    <mergeCell ref="B11:J11"/>
    <mergeCell ref="K11:M12"/>
    <mergeCell ref="N11:P12"/>
    <mergeCell ref="W11:Y12"/>
    <mergeCell ref="B12:J12"/>
    <mergeCell ref="Q11:S12"/>
    <mergeCell ref="T11:V12"/>
    <mergeCell ref="A6:Y6"/>
    <mergeCell ref="A7:Y7"/>
    <mergeCell ref="A8:Y8"/>
    <mergeCell ref="A9:Y9"/>
    <mergeCell ref="A10:Y10"/>
    <mergeCell ref="A14:A16"/>
    <mergeCell ref="B14:B16"/>
    <mergeCell ref="J14:J16"/>
    <mergeCell ref="A17:A19"/>
    <mergeCell ref="B17:B19"/>
    <mergeCell ref="J17:J19"/>
    <mergeCell ref="L40:M40"/>
    <mergeCell ref="O40:P40"/>
    <mergeCell ref="L39:M39"/>
    <mergeCell ref="O39:P39"/>
    <mergeCell ref="A20:A22"/>
    <mergeCell ref="B20:B22"/>
    <mergeCell ref="J20:J22"/>
    <mergeCell ref="L38:M38"/>
    <mergeCell ref="O38:P38"/>
    <mergeCell ref="U38:V38"/>
    <mergeCell ref="U39:V39"/>
    <mergeCell ref="U40:V40"/>
    <mergeCell ref="R38:S38"/>
    <mergeCell ref="R39:S39"/>
    <mergeCell ref="R40:S40"/>
  </mergeCells>
  <pageMargins left="0.7" right="0.7" top="0.75" bottom="0.75" header="0.3" footer="0.3"/>
  <pageSetup scale="40" orientation="landscape" r:id="rId1"/>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tabColor theme="1"/>
  </sheetPr>
  <dimension ref="A1:G50"/>
  <sheetViews>
    <sheetView view="pageBreakPreview" topLeftCell="A7" zoomScale="80" zoomScaleNormal="100" zoomScaleSheetLayoutView="80" workbookViewId="0">
      <selection activeCell="A40" sqref="A40:C40"/>
    </sheetView>
  </sheetViews>
  <sheetFormatPr baseColWidth="10" defaultRowHeight="14.4" x14ac:dyDescent="0.3"/>
  <cols>
    <col min="1" max="1" width="24" style="852" customWidth="1"/>
    <col min="2" max="3" width="11.44140625" style="852"/>
    <col min="4" max="4" width="5.6640625" style="852" customWidth="1"/>
    <col min="5" max="6" width="11.44140625" style="852"/>
    <col min="7" max="7" width="23.6640625" style="852" customWidth="1"/>
    <col min="8" max="256" width="11.44140625" style="852"/>
    <col min="257" max="257" width="24" style="852" customWidth="1"/>
    <col min="258" max="259" width="11.44140625" style="852"/>
    <col min="260" max="260" width="5.6640625" style="852" customWidth="1"/>
    <col min="261" max="262" width="11.44140625" style="852"/>
    <col min="263" max="263" width="23.6640625" style="852" customWidth="1"/>
    <col min="264" max="512" width="11.44140625" style="852"/>
    <col min="513" max="513" width="24" style="852" customWidth="1"/>
    <col min="514" max="515" width="11.44140625" style="852"/>
    <col min="516" max="516" width="5.6640625" style="852" customWidth="1"/>
    <col min="517" max="518" width="11.44140625" style="852"/>
    <col min="519" max="519" width="23.6640625" style="852" customWidth="1"/>
    <col min="520" max="768" width="11.44140625" style="852"/>
    <col min="769" max="769" width="24" style="852" customWidth="1"/>
    <col min="770" max="771" width="11.44140625" style="852"/>
    <col min="772" max="772" width="5.6640625" style="852" customWidth="1"/>
    <col min="773" max="774" width="11.44140625" style="852"/>
    <col min="775" max="775" width="23.6640625" style="852" customWidth="1"/>
    <col min="776" max="1024" width="11.44140625" style="852"/>
    <col min="1025" max="1025" width="24" style="852" customWidth="1"/>
    <col min="1026" max="1027" width="11.44140625" style="852"/>
    <col min="1028" max="1028" width="5.6640625" style="852" customWidth="1"/>
    <col min="1029" max="1030" width="11.44140625" style="852"/>
    <col min="1031" max="1031" width="23.6640625" style="852" customWidth="1"/>
    <col min="1032" max="1280" width="11.44140625" style="852"/>
    <col min="1281" max="1281" width="24" style="852" customWidth="1"/>
    <col min="1282" max="1283" width="11.44140625" style="852"/>
    <col min="1284" max="1284" width="5.6640625" style="852" customWidth="1"/>
    <col min="1285" max="1286" width="11.44140625" style="852"/>
    <col min="1287" max="1287" width="23.6640625" style="852" customWidth="1"/>
    <col min="1288" max="1536" width="11.44140625" style="852"/>
    <col min="1537" max="1537" width="24" style="852" customWidth="1"/>
    <col min="1538" max="1539" width="11.44140625" style="852"/>
    <col min="1540" max="1540" width="5.6640625" style="852" customWidth="1"/>
    <col min="1541" max="1542" width="11.44140625" style="852"/>
    <col min="1543" max="1543" width="23.6640625" style="852" customWidth="1"/>
    <col min="1544" max="1792" width="11.44140625" style="852"/>
    <col min="1793" max="1793" width="24" style="852" customWidth="1"/>
    <col min="1794" max="1795" width="11.44140625" style="852"/>
    <col min="1796" max="1796" width="5.6640625" style="852" customWidth="1"/>
    <col min="1797" max="1798" width="11.44140625" style="852"/>
    <col min="1799" max="1799" width="23.6640625" style="852" customWidth="1"/>
    <col min="1800" max="2048" width="11.44140625" style="852"/>
    <col min="2049" max="2049" width="24" style="852" customWidth="1"/>
    <col min="2050" max="2051" width="11.44140625" style="852"/>
    <col min="2052" max="2052" width="5.6640625" style="852" customWidth="1"/>
    <col min="2053" max="2054" width="11.44140625" style="852"/>
    <col min="2055" max="2055" width="23.6640625" style="852" customWidth="1"/>
    <col min="2056" max="2304" width="11.44140625" style="852"/>
    <col min="2305" max="2305" width="24" style="852" customWidth="1"/>
    <col min="2306" max="2307" width="11.44140625" style="852"/>
    <col min="2308" max="2308" width="5.6640625" style="852" customWidth="1"/>
    <col min="2309" max="2310" width="11.44140625" style="852"/>
    <col min="2311" max="2311" width="23.6640625" style="852" customWidth="1"/>
    <col min="2312" max="2560" width="11.44140625" style="852"/>
    <col min="2561" max="2561" width="24" style="852" customWidth="1"/>
    <col min="2562" max="2563" width="11.44140625" style="852"/>
    <col min="2564" max="2564" width="5.6640625" style="852" customWidth="1"/>
    <col min="2565" max="2566" width="11.44140625" style="852"/>
    <col min="2567" max="2567" width="23.6640625" style="852" customWidth="1"/>
    <col min="2568" max="2816" width="11.44140625" style="852"/>
    <col min="2817" max="2817" width="24" style="852" customWidth="1"/>
    <col min="2818" max="2819" width="11.44140625" style="852"/>
    <col min="2820" max="2820" width="5.6640625" style="852" customWidth="1"/>
    <col min="2821" max="2822" width="11.44140625" style="852"/>
    <col min="2823" max="2823" width="23.6640625" style="852" customWidth="1"/>
    <col min="2824" max="3072" width="11.44140625" style="852"/>
    <col min="3073" max="3073" width="24" style="852" customWidth="1"/>
    <col min="3074" max="3075" width="11.44140625" style="852"/>
    <col min="3076" max="3076" width="5.6640625" style="852" customWidth="1"/>
    <col min="3077" max="3078" width="11.44140625" style="852"/>
    <col min="3079" max="3079" width="23.6640625" style="852" customWidth="1"/>
    <col min="3080" max="3328" width="11.44140625" style="852"/>
    <col min="3329" max="3329" width="24" style="852" customWidth="1"/>
    <col min="3330" max="3331" width="11.44140625" style="852"/>
    <col min="3332" max="3332" width="5.6640625" style="852" customWidth="1"/>
    <col min="3333" max="3334" width="11.44140625" style="852"/>
    <col min="3335" max="3335" width="23.6640625" style="852" customWidth="1"/>
    <col min="3336" max="3584" width="11.44140625" style="852"/>
    <col min="3585" max="3585" width="24" style="852" customWidth="1"/>
    <col min="3586" max="3587" width="11.44140625" style="852"/>
    <col min="3588" max="3588" width="5.6640625" style="852" customWidth="1"/>
    <col min="3589" max="3590" width="11.44140625" style="852"/>
    <col min="3591" max="3591" width="23.6640625" style="852" customWidth="1"/>
    <col min="3592" max="3840" width="11.44140625" style="852"/>
    <col min="3841" max="3841" width="24" style="852" customWidth="1"/>
    <col min="3842" max="3843" width="11.44140625" style="852"/>
    <col min="3844" max="3844" width="5.6640625" style="852" customWidth="1"/>
    <col min="3845" max="3846" width="11.44140625" style="852"/>
    <col min="3847" max="3847" width="23.6640625" style="852" customWidth="1"/>
    <col min="3848" max="4096" width="11.44140625" style="852"/>
    <col min="4097" max="4097" width="24" style="852" customWidth="1"/>
    <col min="4098" max="4099" width="11.44140625" style="852"/>
    <col min="4100" max="4100" width="5.6640625" style="852" customWidth="1"/>
    <col min="4101" max="4102" width="11.44140625" style="852"/>
    <col min="4103" max="4103" width="23.6640625" style="852" customWidth="1"/>
    <col min="4104" max="4352" width="11.44140625" style="852"/>
    <col min="4353" max="4353" width="24" style="852" customWidth="1"/>
    <col min="4354" max="4355" width="11.44140625" style="852"/>
    <col min="4356" max="4356" width="5.6640625" style="852" customWidth="1"/>
    <col min="4357" max="4358" width="11.44140625" style="852"/>
    <col min="4359" max="4359" width="23.6640625" style="852" customWidth="1"/>
    <col min="4360" max="4608" width="11.44140625" style="852"/>
    <col min="4609" max="4609" width="24" style="852" customWidth="1"/>
    <col min="4610" max="4611" width="11.44140625" style="852"/>
    <col min="4612" max="4612" width="5.6640625" style="852" customWidth="1"/>
    <col min="4613" max="4614" width="11.44140625" style="852"/>
    <col min="4615" max="4615" width="23.6640625" style="852" customWidth="1"/>
    <col min="4616" max="4864" width="11.44140625" style="852"/>
    <col min="4865" max="4865" width="24" style="852" customWidth="1"/>
    <col min="4866" max="4867" width="11.44140625" style="852"/>
    <col min="4868" max="4868" width="5.6640625" style="852" customWidth="1"/>
    <col min="4869" max="4870" width="11.44140625" style="852"/>
    <col min="4871" max="4871" width="23.6640625" style="852" customWidth="1"/>
    <col min="4872" max="5120" width="11.44140625" style="852"/>
    <col min="5121" max="5121" width="24" style="852" customWidth="1"/>
    <col min="5122" max="5123" width="11.44140625" style="852"/>
    <col min="5124" max="5124" width="5.6640625" style="852" customWidth="1"/>
    <col min="5125" max="5126" width="11.44140625" style="852"/>
    <col min="5127" max="5127" width="23.6640625" style="852" customWidth="1"/>
    <col min="5128" max="5376" width="11.44140625" style="852"/>
    <col min="5377" max="5377" width="24" style="852" customWidth="1"/>
    <col min="5378" max="5379" width="11.44140625" style="852"/>
    <col min="5380" max="5380" width="5.6640625" style="852" customWidth="1"/>
    <col min="5381" max="5382" width="11.44140625" style="852"/>
    <col min="5383" max="5383" width="23.6640625" style="852" customWidth="1"/>
    <col min="5384" max="5632" width="11.44140625" style="852"/>
    <col min="5633" max="5633" width="24" style="852" customWidth="1"/>
    <col min="5634" max="5635" width="11.44140625" style="852"/>
    <col min="5636" max="5636" width="5.6640625" style="852" customWidth="1"/>
    <col min="5637" max="5638" width="11.44140625" style="852"/>
    <col min="5639" max="5639" width="23.6640625" style="852" customWidth="1"/>
    <col min="5640" max="5888" width="11.44140625" style="852"/>
    <col min="5889" max="5889" width="24" style="852" customWidth="1"/>
    <col min="5890" max="5891" width="11.44140625" style="852"/>
    <col min="5892" max="5892" width="5.6640625" style="852" customWidth="1"/>
    <col min="5893" max="5894" width="11.44140625" style="852"/>
    <col min="5895" max="5895" width="23.6640625" style="852" customWidth="1"/>
    <col min="5896" max="6144" width="11.44140625" style="852"/>
    <col min="6145" max="6145" width="24" style="852" customWidth="1"/>
    <col min="6146" max="6147" width="11.44140625" style="852"/>
    <col min="6148" max="6148" width="5.6640625" style="852" customWidth="1"/>
    <col min="6149" max="6150" width="11.44140625" style="852"/>
    <col min="6151" max="6151" width="23.6640625" style="852" customWidth="1"/>
    <col min="6152" max="6400" width="11.44140625" style="852"/>
    <col min="6401" max="6401" width="24" style="852" customWidth="1"/>
    <col min="6402" max="6403" width="11.44140625" style="852"/>
    <col min="6404" max="6404" width="5.6640625" style="852" customWidth="1"/>
    <col min="6405" max="6406" width="11.44140625" style="852"/>
    <col min="6407" max="6407" width="23.6640625" style="852" customWidth="1"/>
    <col min="6408" max="6656" width="11.44140625" style="852"/>
    <col min="6657" max="6657" width="24" style="852" customWidth="1"/>
    <col min="6658" max="6659" width="11.44140625" style="852"/>
    <col min="6660" max="6660" width="5.6640625" style="852" customWidth="1"/>
    <col min="6661" max="6662" width="11.44140625" style="852"/>
    <col min="6663" max="6663" width="23.6640625" style="852" customWidth="1"/>
    <col min="6664" max="6912" width="11.44140625" style="852"/>
    <col min="6913" max="6913" width="24" style="852" customWidth="1"/>
    <col min="6914" max="6915" width="11.44140625" style="852"/>
    <col min="6916" max="6916" width="5.6640625" style="852" customWidth="1"/>
    <col min="6917" max="6918" width="11.44140625" style="852"/>
    <col min="6919" max="6919" width="23.6640625" style="852" customWidth="1"/>
    <col min="6920" max="7168" width="11.44140625" style="852"/>
    <col min="7169" max="7169" width="24" style="852" customWidth="1"/>
    <col min="7170" max="7171" width="11.44140625" style="852"/>
    <col min="7172" max="7172" width="5.6640625" style="852" customWidth="1"/>
    <col min="7173" max="7174" width="11.44140625" style="852"/>
    <col min="7175" max="7175" width="23.6640625" style="852" customWidth="1"/>
    <col min="7176" max="7424" width="11.44140625" style="852"/>
    <col min="7425" max="7425" width="24" style="852" customWidth="1"/>
    <col min="7426" max="7427" width="11.44140625" style="852"/>
    <col min="7428" max="7428" width="5.6640625" style="852" customWidth="1"/>
    <col min="7429" max="7430" width="11.44140625" style="852"/>
    <col min="7431" max="7431" width="23.6640625" style="852" customWidth="1"/>
    <col min="7432" max="7680" width="11.44140625" style="852"/>
    <col min="7681" max="7681" width="24" style="852" customWidth="1"/>
    <col min="7682" max="7683" width="11.44140625" style="852"/>
    <col min="7684" max="7684" width="5.6640625" style="852" customWidth="1"/>
    <col min="7685" max="7686" width="11.44140625" style="852"/>
    <col min="7687" max="7687" width="23.6640625" style="852" customWidth="1"/>
    <col min="7688" max="7936" width="11.44140625" style="852"/>
    <col min="7937" max="7937" width="24" style="852" customWidth="1"/>
    <col min="7938" max="7939" width="11.44140625" style="852"/>
    <col min="7940" max="7940" width="5.6640625" style="852" customWidth="1"/>
    <col min="7941" max="7942" width="11.44140625" style="852"/>
    <col min="7943" max="7943" width="23.6640625" style="852" customWidth="1"/>
    <col min="7944" max="8192" width="11.44140625" style="852"/>
    <col min="8193" max="8193" width="24" style="852" customWidth="1"/>
    <col min="8194" max="8195" width="11.44140625" style="852"/>
    <col min="8196" max="8196" width="5.6640625" style="852" customWidth="1"/>
    <col min="8197" max="8198" width="11.44140625" style="852"/>
    <col min="8199" max="8199" width="23.6640625" style="852" customWidth="1"/>
    <col min="8200" max="8448" width="11.44140625" style="852"/>
    <col min="8449" max="8449" width="24" style="852" customWidth="1"/>
    <col min="8450" max="8451" width="11.44140625" style="852"/>
    <col min="8452" max="8452" width="5.6640625" style="852" customWidth="1"/>
    <col min="8453" max="8454" width="11.44140625" style="852"/>
    <col min="8455" max="8455" width="23.6640625" style="852" customWidth="1"/>
    <col min="8456" max="8704" width="11.44140625" style="852"/>
    <col min="8705" max="8705" width="24" style="852" customWidth="1"/>
    <col min="8706" max="8707" width="11.44140625" style="852"/>
    <col min="8708" max="8708" width="5.6640625" style="852" customWidth="1"/>
    <col min="8709" max="8710" width="11.44140625" style="852"/>
    <col min="8711" max="8711" width="23.6640625" style="852" customWidth="1"/>
    <col min="8712" max="8960" width="11.44140625" style="852"/>
    <col min="8961" max="8961" width="24" style="852" customWidth="1"/>
    <col min="8962" max="8963" width="11.44140625" style="852"/>
    <col min="8964" max="8964" width="5.6640625" style="852" customWidth="1"/>
    <col min="8965" max="8966" width="11.44140625" style="852"/>
    <col min="8967" max="8967" width="23.6640625" style="852" customWidth="1"/>
    <col min="8968" max="9216" width="11.44140625" style="852"/>
    <col min="9217" max="9217" width="24" style="852" customWidth="1"/>
    <col min="9218" max="9219" width="11.44140625" style="852"/>
    <col min="9220" max="9220" width="5.6640625" style="852" customWidth="1"/>
    <col min="9221" max="9222" width="11.44140625" style="852"/>
    <col min="9223" max="9223" width="23.6640625" style="852" customWidth="1"/>
    <col min="9224" max="9472" width="11.44140625" style="852"/>
    <col min="9473" max="9473" width="24" style="852" customWidth="1"/>
    <col min="9474" max="9475" width="11.44140625" style="852"/>
    <col min="9476" max="9476" width="5.6640625" style="852" customWidth="1"/>
    <col min="9477" max="9478" width="11.44140625" style="852"/>
    <col min="9479" max="9479" width="23.6640625" style="852" customWidth="1"/>
    <col min="9480" max="9728" width="11.44140625" style="852"/>
    <col min="9729" max="9729" width="24" style="852" customWidth="1"/>
    <col min="9730" max="9731" width="11.44140625" style="852"/>
    <col min="9732" max="9732" width="5.6640625" style="852" customWidth="1"/>
    <col min="9733" max="9734" width="11.44140625" style="852"/>
    <col min="9735" max="9735" width="23.6640625" style="852" customWidth="1"/>
    <col min="9736" max="9984" width="11.44140625" style="852"/>
    <col min="9985" max="9985" width="24" style="852" customWidth="1"/>
    <col min="9986" max="9987" width="11.44140625" style="852"/>
    <col min="9988" max="9988" width="5.6640625" style="852" customWidth="1"/>
    <col min="9989" max="9990" width="11.44140625" style="852"/>
    <col min="9991" max="9991" width="23.6640625" style="852" customWidth="1"/>
    <col min="9992" max="10240" width="11.44140625" style="852"/>
    <col min="10241" max="10241" width="24" style="852" customWidth="1"/>
    <col min="10242" max="10243" width="11.44140625" style="852"/>
    <col min="10244" max="10244" width="5.6640625" style="852" customWidth="1"/>
    <col min="10245" max="10246" width="11.44140625" style="852"/>
    <col min="10247" max="10247" width="23.6640625" style="852" customWidth="1"/>
    <col min="10248" max="10496" width="11.44140625" style="852"/>
    <col min="10497" max="10497" width="24" style="852" customWidth="1"/>
    <col min="10498" max="10499" width="11.44140625" style="852"/>
    <col min="10500" max="10500" width="5.6640625" style="852" customWidth="1"/>
    <col min="10501" max="10502" width="11.44140625" style="852"/>
    <col min="10503" max="10503" width="23.6640625" style="852" customWidth="1"/>
    <col min="10504" max="10752" width="11.44140625" style="852"/>
    <col min="10753" max="10753" width="24" style="852" customWidth="1"/>
    <col min="10754" max="10755" width="11.44140625" style="852"/>
    <col min="10756" max="10756" width="5.6640625" style="852" customWidth="1"/>
    <col min="10757" max="10758" width="11.44140625" style="852"/>
    <col min="10759" max="10759" width="23.6640625" style="852" customWidth="1"/>
    <col min="10760" max="11008" width="11.44140625" style="852"/>
    <col min="11009" max="11009" width="24" style="852" customWidth="1"/>
    <col min="11010" max="11011" width="11.44140625" style="852"/>
    <col min="11012" max="11012" width="5.6640625" style="852" customWidth="1"/>
    <col min="11013" max="11014" width="11.44140625" style="852"/>
    <col min="11015" max="11015" width="23.6640625" style="852" customWidth="1"/>
    <col min="11016" max="11264" width="11.44140625" style="852"/>
    <col min="11265" max="11265" width="24" style="852" customWidth="1"/>
    <col min="11266" max="11267" width="11.44140625" style="852"/>
    <col min="11268" max="11268" width="5.6640625" style="852" customWidth="1"/>
    <col min="11269" max="11270" width="11.44140625" style="852"/>
    <col min="11271" max="11271" width="23.6640625" style="852" customWidth="1"/>
    <col min="11272" max="11520" width="11.44140625" style="852"/>
    <col min="11521" max="11521" width="24" style="852" customWidth="1"/>
    <col min="11522" max="11523" width="11.44140625" style="852"/>
    <col min="11524" max="11524" width="5.6640625" style="852" customWidth="1"/>
    <col min="11525" max="11526" width="11.44140625" style="852"/>
    <col min="11527" max="11527" width="23.6640625" style="852" customWidth="1"/>
    <col min="11528" max="11776" width="11.44140625" style="852"/>
    <col min="11777" max="11777" width="24" style="852" customWidth="1"/>
    <col min="11778" max="11779" width="11.44140625" style="852"/>
    <col min="11780" max="11780" width="5.6640625" style="852" customWidth="1"/>
    <col min="11781" max="11782" width="11.44140625" style="852"/>
    <col min="11783" max="11783" width="23.6640625" style="852" customWidth="1"/>
    <col min="11784" max="12032" width="11.44140625" style="852"/>
    <col min="12033" max="12033" width="24" style="852" customWidth="1"/>
    <col min="12034" max="12035" width="11.44140625" style="852"/>
    <col min="12036" max="12036" width="5.6640625" style="852" customWidth="1"/>
    <col min="12037" max="12038" width="11.44140625" style="852"/>
    <col min="12039" max="12039" width="23.6640625" style="852" customWidth="1"/>
    <col min="12040" max="12288" width="11.44140625" style="852"/>
    <col min="12289" max="12289" width="24" style="852" customWidth="1"/>
    <col min="12290" max="12291" width="11.44140625" style="852"/>
    <col min="12292" max="12292" width="5.6640625" style="852" customWidth="1"/>
    <col min="12293" max="12294" width="11.44140625" style="852"/>
    <col min="12295" max="12295" width="23.6640625" style="852" customWidth="1"/>
    <col min="12296" max="12544" width="11.44140625" style="852"/>
    <col min="12545" max="12545" width="24" style="852" customWidth="1"/>
    <col min="12546" max="12547" width="11.44140625" style="852"/>
    <col min="12548" max="12548" width="5.6640625" style="852" customWidth="1"/>
    <col min="12549" max="12550" width="11.44140625" style="852"/>
    <col min="12551" max="12551" width="23.6640625" style="852" customWidth="1"/>
    <col min="12552" max="12800" width="11.44140625" style="852"/>
    <col min="12801" max="12801" width="24" style="852" customWidth="1"/>
    <col min="12802" max="12803" width="11.44140625" style="852"/>
    <col min="12804" max="12804" width="5.6640625" style="852" customWidth="1"/>
    <col min="12805" max="12806" width="11.44140625" style="852"/>
    <col min="12807" max="12807" width="23.6640625" style="852" customWidth="1"/>
    <col min="12808" max="13056" width="11.44140625" style="852"/>
    <col min="13057" max="13057" width="24" style="852" customWidth="1"/>
    <col min="13058" max="13059" width="11.44140625" style="852"/>
    <col min="13060" max="13060" width="5.6640625" style="852" customWidth="1"/>
    <col min="13061" max="13062" width="11.44140625" style="852"/>
    <col min="13063" max="13063" width="23.6640625" style="852" customWidth="1"/>
    <col min="13064" max="13312" width="11.44140625" style="852"/>
    <col min="13313" max="13313" width="24" style="852" customWidth="1"/>
    <col min="13314" max="13315" width="11.44140625" style="852"/>
    <col min="13316" max="13316" width="5.6640625" style="852" customWidth="1"/>
    <col min="13317" max="13318" width="11.44140625" style="852"/>
    <col min="13319" max="13319" width="23.6640625" style="852" customWidth="1"/>
    <col min="13320" max="13568" width="11.44140625" style="852"/>
    <col min="13569" max="13569" width="24" style="852" customWidth="1"/>
    <col min="13570" max="13571" width="11.44140625" style="852"/>
    <col min="13572" max="13572" width="5.6640625" style="852" customWidth="1"/>
    <col min="13573" max="13574" width="11.44140625" style="852"/>
    <col min="13575" max="13575" width="23.6640625" style="852" customWidth="1"/>
    <col min="13576" max="13824" width="11.44140625" style="852"/>
    <col min="13825" max="13825" width="24" style="852" customWidth="1"/>
    <col min="13826" max="13827" width="11.44140625" style="852"/>
    <col min="13828" max="13828" width="5.6640625" style="852" customWidth="1"/>
    <col min="13829" max="13830" width="11.44140625" style="852"/>
    <col min="13831" max="13831" width="23.6640625" style="852" customWidth="1"/>
    <col min="13832" max="14080" width="11.44140625" style="852"/>
    <col min="14081" max="14081" width="24" style="852" customWidth="1"/>
    <col min="14082" max="14083" width="11.44140625" style="852"/>
    <col min="14084" max="14084" width="5.6640625" style="852" customWidth="1"/>
    <col min="14085" max="14086" width="11.44140625" style="852"/>
    <col min="14087" max="14087" width="23.6640625" style="852" customWidth="1"/>
    <col min="14088" max="14336" width="11.44140625" style="852"/>
    <col min="14337" max="14337" width="24" style="852" customWidth="1"/>
    <col min="14338" max="14339" width="11.44140625" style="852"/>
    <col min="14340" max="14340" width="5.6640625" style="852" customWidth="1"/>
    <col min="14341" max="14342" width="11.44140625" style="852"/>
    <col min="14343" max="14343" width="23.6640625" style="852" customWidth="1"/>
    <col min="14344" max="14592" width="11.44140625" style="852"/>
    <col min="14593" max="14593" width="24" style="852" customWidth="1"/>
    <col min="14594" max="14595" width="11.44140625" style="852"/>
    <col min="14596" max="14596" width="5.6640625" style="852" customWidth="1"/>
    <col min="14597" max="14598" width="11.44140625" style="852"/>
    <col min="14599" max="14599" width="23.6640625" style="852" customWidth="1"/>
    <col min="14600" max="14848" width="11.44140625" style="852"/>
    <col min="14849" max="14849" width="24" style="852" customWidth="1"/>
    <col min="14850" max="14851" width="11.44140625" style="852"/>
    <col min="14852" max="14852" width="5.6640625" style="852" customWidth="1"/>
    <col min="14853" max="14854" width="11.44140625" style="852"/>
    <col min="14855" max="14855" width="23.6640625" style="852" customWidth="1"/>
    <col min="14856" max="15104" width="11.44140625" style="852"/>
    <col min="15105" max="15105" width="24" style="852" customWidth="1"/>
    <col min="15106" max="15107" width="11.44140625" style="852"/>
    <col min="15108" max="15108" width="5.6640625" style="852" customWidth="1"/>
    <col min="15109" max="15110" width="11.44140625" style="852"/>
    <col min="15111" max="15111" width="23.6640625" style="852" customWidth="1"/>
    <col min="15112" max="15360" width="11.44140625" style="852"/>
    <col min="15361" max="15361" width="24" style="852" customWidth="1"/>
    <col min="15362" max="15363" width="11.44140625" style="852"/>
    <col min="15364" max="15364" width="5.6640625" style="852" customWidth="1"/>
    <col min="15365" max="15366" width="11.44140625" style="852"/>
    <col min="15367" max="15367" width="23.6640625" style="852" customWidth="1"/>
    <col min="15368" max="15616" width="11.44140625" style="852"/>
    <col min="15617" max="15617" width="24" style="852" customWidth="1"/>
    <col min="15618" max="15619" width="11.44140625" style="852"/>
    <col min="15620" max="15620" width="5.6640625" style="852" customWidth="1"/>
    <col min="15621" max="15622" width="11.44140625" style="852"/>
    <col min="15623" max="15623" width="23.6640625" style="852" customWidth="1"/>
    <col min="15624" max="15872" width="11.44140625" style="852"/>
    <col min="15873" max="15873" width="24" style="852" customWidth="1"/>
    <col min="15874" max="15875" width="11.44140625" style="852"/>
    <col min="15876" max="15876" width="5.6640625" style="852" customWidth="1"/>
    <col min="15877" max="15878" width="11.44140625" style="852"/>
    <col min="15879" max="15879" width="23.6640625" style="852" customWidth="1"/>
    <col min="15880" max="16128" width="11.44140625" style="852"/>
    <col min="16129" max="16129" width="24" style="852" customWidth="1"/>
    <col min="16130" max="16131" width="11.44140625" style="852"/>
    <col min="16132" max="16132" width="5.6640625" style="852" customWidth="1"/>
    <col min="16133" max="16134" width="11.44140625" style="852"/>
    <col min="16135" max="16135" width="23.6640625" style="852" customWidth="1"/>
    <col min="16136" max="16384" width="11.44140625" style="852"/>
  </cols>
  <sheetData>
    <row r="1" spans="1:7" x14ac:dyDescent="0.3">
      <c r="A1" s="1268"/>
      <c r="B1" s="1271" t="s">
        <v>623</v>
      </c>
      <c r="C1" s="1272"/>
      <c r="D1" s="1272"/>
      <c r="E1" s="1272"/>
      <c r="F1" s="1273"/>
      <c r="G1" s="262" t="s">
        <v>624</v>
      </c>
    </row>
    <row r="2" spans="1:7" x14ac:dyDescent="0.3">
      <c r="A2" s="1269"/>
      <c r="B2" s="1274"/>
      <c r="C2" s="1275"/>
      <c r="D2" s="1275"/>
      <c r="E2" s="1275"/>
      <c r="F2" s="1276"/>
      <c r="G2" s="285" t="s">
        <v>625</v>
      </c>
    </row>
    <row r="3" spans="1:7" ht="15" customHeight="1" x14ac:dyDescent="0.3">
      <c r="A3" s="1270"/>
      <c r="B3" s="1277"/>
      <c r="C3" s="1278"/>
      <c r="D3" s="1278"/>
      <c r="E3" s="1278"/>
      <c r="F3" s="1279"/>
      <c r="G3" s="261">
        <v>42934</v>
      </c>
    </row>
    <row r="4" spans="1:7" x14ac:dyDescent="0.3">
      <c r="A4" s="838"/>
      <c r="B4" s="838"/>
      <c r="C4" s="838"/>
      <c r="D4" s="838"/>
      <c r="E4" s="838"/>
      <c r="F4" s="838"/>
      <c r="G4" s="838"/>
    </row>
    <row r="5" spans="1:7" ht="42" customHeight="1" x14ac:dyDescent="0.3">
      <c r="A5" s="280" t="s">
        <v>626</v>
      </c>
      <c r="B5" s="1356" t="str">
        <f>RESUMEN!G27</f>
        <v>Proyecto: CDIE_CBCCSM_R0158, NORMALIZACIÓN SE MT-MT, Ingeniería Montaje Reconectador Subestación ESPERANZA para desarrollo de Ingeniería e implementación Reconectadores de entrada y Salida</v>
      </c>
      <c r="C5" s="1281"/>
      <c r="D5" s="1281"/>
      <c r="E5" s="1281"/>
      <c r="F5" s="1281"/>
      <c r="G5" s="1282"/>
    </row>
    <row r="6" spans="1:7" x14ac:dyDescent="0.3">
      <c r="A6" s="838"/>
      <c r="B6" s="838"/>
      <c r="C6" s="838"/>
      <c r="D6" s="838"/>
      <c r="E6" s="838"/>
      <c r="F6" s="838"/>
      <c r="G6" s="838"/>
    </row>
    <row r="7" spans="1:7" x14ac:dyDescent="0.3">
      <c r="A7" s="271" t="s">
        <v>0</v>
      </c>
      <c r="B7" s="1264" t="str">
        <f>+RESUMEN!B27</f>
        <v>D00249260</v>
      </c>
      <c r="C7" s="1265"/>
      <c r="D7" s="838"/>
      <c r="E7" s="1266" t="s">
        <v>627</v>
      </c>
      <c r="F7" s="1267"/>
      <c r="G7" s="490" t="str">
        <f>+RESUMEN!E27</f>
        <v>17-157</v>
      </c>
    </row>
    <row r="8" spans="1:7" x14ac:dyDescent="0.3">
      <c r="A8" s="271" t="s">
        <v>628</v>
      </c>
      <c r="B8" s="1264" t="str">
        <f>+RESUMEN!C27</f>
        <v>D00249260000</v>
      </c>
      <c r="C8" s="1265"/>
      <c r="D8" s="838"/>
      <c r="E8" s="1266" t="s">
        <v>629</v>
      </c>
      <c r="F8" s="1267"/>
      <c r="G8" s="490" t="str">
        <f>+RESUMEN!U27</f>
        <v>Acta N° 5: Febrero</v>
      </c>
    </row>
    <row r="9" spans="1:7" x14ac:dyDescent="0.3">
      <c r="A9" s="271" t="s">
        <v>630</v>
      </c>
      <c r="B9" s="1283" t="s">
        <v>631</v>
      </c>
      <c r="C9" s="1265"/>
      <c r="D9" s="838"/>
      <c r="E9" s="1266" t="s">
        <v>632</v>
      </c>
      <c r="F9" s="1267"/>
      <c r="G9" s="839">
        <f>+RESUMEN!K27</f>
        <v>12789263.683</v>
      </c>
    </row>
    <row r="10" spans="1:7" x14ac:dyDescent="0.3">
      <c r="A10" s="271" t="s">
        <v>633</v>
      </c>
      <c r="B10" s="1264" t="str">
        <f>+RESUMEN!D27</f>
        <v>ESPERANZA</v>
      </c>
      <c r="C10" s="1265"/>
      <c r="D10" s="838"/>
      <c r="E10" s="1266" t="s">
        <v>634</v>
      </c>
      <c r="F10" s="1267"/>
      <c r="G10" s="839">
        <f>+RESUMEN!R27</f>
        <v>2750123.378</v>
      </c>
    </row>
    <row r="11" spans="1:7" x14ac:dyDescent="0.3">
      <c r="A11" s="838"/>
      <c r="B11" s="838"/>
      <c r="C11" s="838"/>
      <c r="D11" s="838"/>
      <c r="E11" s="838"/>
      <c r="F11" s="838"/>
      <c r="G11" s="838"/>
    </row>
    <row r="12" spans="1:7" ht="88.5" customHeight="1" x14ac:dyDescent="0.3">
      <c r="A12" s="1284" t="str">
        <f>CONCATENATE("A los 15 días del mes de Febrero se reunieron en las instalaciones"," de CODENSA S.A. E.S.P., los ingenieros ", RESUMEN!V27,"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Fecrero de 2018 para el ",RESUMEN!G27)</f>
        <v>A los 15 días del mes de Febrero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Fecrero de 2018 para el Proyecto: CDIE_CBCCSM_R0158, NORMALIZACIÓN SE MT-MT, Ingeniería Montaje Reconectador Subestación ESPERANZA para desarrollo de Ingeniería e implementación Reconectadores de entrada y Salida</v>
      </c>
      <c r="B12" s="1284"/>
      <c r="C12" s="1284"/>
      <c r="D12" s="1284"/>
      <c r="E12" s="1284"/>
      <c r="F12" s="1284"/>
      <c r="G12" s="1284"/>
    </row>
    <row r="13" spans="1:7" x14ac:dyDescent="0.3">
      <c r="A13" s="838"/>
      <c r="B13" s="838"/>
      <c r="C13" s="838"/>
      <c r="D13" s="838"/>
      <c r="E13" s="838"/>
      <c r="F13" s="838"/>
      <c r="G13" s="838"/>
    </row>
    <row r="14" spans="1:7" ht="30" customHeight="1" x14ac:dyDescent="0.3">
      <c r="A14" s="1370" t="s">
        <v>2168</v>
      </c>
      <c r="B14" s="1261"/>
      <c r="C14" s="1261"/>
      <c r="D14" s="1261"/>
      <c r="E14" s="1261"/>
      <c r="F14" s="1261"/>
      <c r="G14" s="1261"/>
    </row>
    <row r="15" spans="1:7" x14ac:dyDescent="0.3">
      <c r="A15" s="838"/>
      <c r="B15" s="838"/>
      <c r="C15" s="838"/>
      <c r="D15" s="838"/>
      <c r="E15" s="838"/>
      <c r="F15" s="838"/>
      <c r="G15" s="838"/>
    </row>
    <row r="16" spans="1:7" x14ac:dyDescent="0.3">
      <c r="A16" s="1261" t="s">
        <v>1679</v>
      </c>
      <c r="B16" s="1261"/>
      <c r="C16" s="1261"/>
      <c r="D16" s="1261"/>
      <c r="E16" s="1261"/>
      <c r="F16" s="1261"/>
      <c r="G16" s="1261"/>
    </row>
    <row r="17" spans="1:7" x14ac:dyDescent="0.3">
      <c r="A17" s="838"/>
      <c r="B17" s="838"/>
      <c r="C17" s="838"/>
      <c r="D17" s="838"/>
      <c r="E17" s="838"/>
      <c r="F17" s="838"/>
      <c r="G17" s="838"/>
    </row>
    <row r="18" spans="1:7" x14ac:dyDescent="0.3">
      <c r="A18" s="838"/>
      <c r="B18" s="1262" t="s">
        <v>636</v>
      </c>
      <c r="C18" s="1262"/>
      <c r="D18" s="1262"/>
      <c r="E18" s="1262" t="s">
        <v>31</v>
      </c>
      <c r="F18" s="1262"/>
      <c r="G18" s="838"/>
    </row>
    <row r="19" spans="1:7" x14ac:dyDescent="0.3">
      <c r="A19" s="838"/>
      <c r="B19" s="1263" t="s">
        <v>637</v>
      </c>
      <c r="C19" s="1263"/>
      <c r="D19" s="1263"/>
      <c r="E19" s="1247">
        <f>+RESUMEN!N27</f>
        <v>2705314</v>
      </c>
      <c r="F19" s="1248"/>
      <c r="G19" s="838"/>
    </row>
    <row r="20" spans="1:7" s="279" customFormat="1" ht="27" customHeight="1" x14ac:dyDescent="0.25">
      <c r="A20" s="838"/>
      <c r="B20" s="1244" t="s">
        <v>1498</v>
      </c>
      <c r="C20" s="1245"/>
      <c r="D20" s="1246"/>
      <c r="E20" s="1247">
        <f>+RESUMEN!P27</f>
        <v>4167.3779999999897</v>
      </c>
      <c r="F20" s="1248"/>
      <c r="G20" s="838"/>
    </row>
    <row r="21" spans="1:7" s="279" customFormat="1" ht="27" customHeight="1" x14ac:dyDescent="0.25">
      <c r="A21" s="838"/>
      <c r="B21" s="1244" t="s">
        <v>1499</v>
      </c>
      <c r="C21" s="1245"/>
      <c r="D21" s="1246"/>
      <c r="E21" s="1247">
        <f>+RESUMEN!Q27</f>
        <v>40642</v>
      </c>
      <c r="F21" s="1248"/>
      <c r="G21" s="838"/>
    </row>
    <row r="22" spans="1:7" x14ac:dyDescent="0.3">
      <c r="A22" s="838"/>
      <c r="B22" s="1365" t="s">
        <v>64</v>
      </c>
      <c r="C22" s="1366"/>
      <c r="D22" s="1367"/>
      <c r="E22" s="1368">
        <f>+RESUMEN!R27</f>
        <v>2750123.378</v>
      </c>
      <c r="F22" s="1369"/>
      <c r="G22" s="838"/>
    </row>
    <row r="23" spans="1:7" x14ac:dyDescent="0.3">
      <c r="A23" s="838"/>
      <c r="B23" s="1244" t="s">
        <v>66</v>
      </c>
      <c r="C23" s="1245"/>
      <c r="D23" s="1246"/>
      <c r="E23" s="1247">
        <f>+RESUMEN!S27</f>
        <v>522523</v>
      </c>
      <c r="F23" s="1248"/>
      <c r="G23" s="838"/>
    </row>
    <row r="24" spans="1:7" x14ac:dyDescent="0.3">
      <c r="A24" s="838"/>
      <c r="B24" s="1254" t="s">
        <v>1</v>
      </c>
      <c r="C24" s="1254"/>
      <c r="D24" s="1254"/>
      <c r="E24" s="1255">
        <f>+RESUMEN!T27</f>
        <v>3272646.378</v>
      </c>
      <c r="F24" s="1255"/>
      <c r="G24" s="838"/>
    </row>
    <row r="25" spans="1:7" x14ac:dyDescent="0.3">
      <c r="A25" s="838" t="s">
        <v>638</v>
      </c>
      <c r="B25" s="838"/>
      <c r="C25" s="838"/>
      <c r="D25" s="838"/>
      <c r="E25" s="838"/>
      <c r="F25" s="838"/>
      <c r="G25" s="838"/>
    </row>
    <row r="26" spans="1:7" x14ac:dyDescent="0.3">
      <c r="A26" s="260"/>
      <c r="B26" s="840" t="s">
        <v>639</v>
      </c>
      <c r="C26" s="1260" t="s">
        <v>640</v>
      </c>
      <c r="D26" s="1260"/>
      <c r="E26" s="840" t="s">
        <v>641</v>
      </c>
      <c r="F26" s="838"/>
      <c r="G26" s="838"/>
    </row>
    <row r="27" spans="1:7" x14ac:dyDescent="0.3">
      <c r="A27" s="838"/>
      <c r="B27" s="280" t="str">
        <f>'OT17-157 ESPERANZA'!T26</f>
        <v>ACTA 1</v>
      </c>
      <c r="C27" s="1253">
        <f>'OT17-157 ESPERANZA'!U26</f>
        <v>2055155.91</v>
      </c>
      <c r="D27" s="1253"/>
      <c r="E27" s="267">
        <f>'OT17-157 ESPERANZA'!V26</f>
        <v>0.16069384140791429</v>
      </c>
      <c r="F27" s="838"/>
      <c r="G27" s="838"/>
    </row>
    <row r="28" spans="1:7" x14ac:dyDescent="0.3">
      <c r="A28" s="838"/>
      <c r="B28" s="280" t="str">
        <f>'OT17-157 ESPERANZA'!T27</f>
        <v>ACTA 2</v>
      </c>
      <c r="C28" s="1253">
        <f>'OT17-157 ESPERANZA'!U27</f>
        <v>1918145.31</v>
      </c>
      <c r="D28" s="1253"/>
      <c r="E28" s="267">
        <f>'OT17-157 ESPERANZA'!V27</f>
        <v>0.14998090254012633</v>
      </c>
      <c r="F28" s="838"/>
      <c r="G28" s="838"/>
    </row>
    <row r="29" spans="1:7" x14ac:dyDescent="0.3">
      <c r="A29" s="838"/>
      <c r="B29" s="280" t="str">
        <f>'OT17-157 ESPERANZA'!T28</f>
        <v>ACTA 3</v>
      </c>
      <c r="C29" s="1253">
        <f>'OT17-157 ESPERANZA'!U28</f>
        <v>4436316</v>
      </c>
      <c r="D29" s="1253"/>
      <c r="E29" s="267">
        <f>'OT17-157 ESPERANZA'!V28</f>
        <v>0.34687814013068857</v>
      </c>
      <c r="F29" s="838"/>
      <c r="G29" s="838"/>
    </row>
    <row r="30" spans="1:7" x14ac:dyDescent="0.3">
      <c r="A30" s="838"/>
      <c r="B30" s="280" t="str">
        <f>'OT17-157 ESPERANZA'!T29</f>
        <v>ACTA 4</v>
      </c>
      <c r="C30" s="1253">
        <f>'OT17-157 ESPERANZA'!U29</f>
        <v>1807259</v>
      </c>
      <c r="D30" s="1253"/>
      <c r="E30" s="267">
        <f>'OT17-157 ESPERANZA'!V29</f>
        <v>0.14131063717157391</v>
      </c>
      <c r="F30" s="838"/>
      <c r="G30" s="838"/>
    </row>
    <row r="31" spans="1:7" x14ac:dyDescent="0.3">
      <c r="A31" s="838"/>
      <c r="B31" s="280" t="str">
        <f>+'OT17-157 ESPERANZA'!W30</f>
        <v>ACTA 5</v>
      </c>
      <c r="C31" s="1253">
        <f>+'OT17-157 ESPERANZA'!X30</f>
        <v>2750123.378</v>
      </c>
      <c r="D31" s="1253"/>
      <c r="E31" s="267">
        <f>+'OT17-157 ESPERANZA'!Y30</f>
        <v>0.21503375379268894</v>
      </c>
      <c r="F31" s="838"/>
      <c r="G31" s="838"/>
    </row>
    <row r="32" spans="1:7" x14ac:dyDescent="0.3">
      <c r="A32" s="838"/>
      <c r="B32" s="280"/>
      <c r="C32" s="1253"/>
      <c r="D32" s="1253"/>
      <c r="E32" s="267"/>
      <c r="F32" s="838"/>
      <c r="G32" s="838"/>
    </row>
    <row r="33" spans="1:7" x14ac:dyDescent="0.3">
      <c r="A33" s="838"/>
      <c r="B33" s="840" t="s">
        <v>1</v>
      </c>
      <c r="C33" s="1364">
        <f>SUM(C27:D32)</f>
        <v>12966999.597999999</v>
      </c>
      <c r="D33" s="1364"/>
      <c r="E33" s="901">
        <f>SUM(E27:E32)</f>
        <v>1.013897275042992</v>
      </c>
      <c r="F33" s="838"/>
      <c r="G33" s="838"/>
    </row>
    <row r="34" spans="1:7" x14ac:dyDescent="0.3">
      <c r="A34" s="838"/>
      <c r="B34" s="838"/>
      <c r="C34" s="838"/>
      <c r="D34" s="838"/>
      <c r="E34" s="838"/>
      <c r="F34" s="838"/>
      <c r="G34" s="838"/>
    </row>
    <row r="35" spans="1:7" x14ac:dyDescent="0.3">
      <c r="A35" s="838" t="s">
        <v>2165</v>
      </c>
      <c r="B35" s="838"/>
      <c r="C35" s="838"/>
      <c r="D35" s="838"/>
      <c r="E35" s="838"/>
      <c r="F35" s="838"/>
      <c r="G35" s="260"/>
    </row>
    <row r="36" spans="1:7" x14ac:dyDescent="0.3">
      <c r="A36" s="1252"/>
      <c r="B36" s="1252"/>
      <c r="C36" s="1252"/>
      <c r="D36" s="1252"/>
      <c r="E36" s="1252"/>
      <c r="F36" s="1252"/>
      <c r="G36" s="1252"/>
    </row>
    <row r="37" spans="1:7" x14ac:dyDescent="0.3">
      <c r="A37" s="838"/>
      <c r="B37" s="838"/>
      <c r="C37" s="838"/>
      <c r="D37" s="838"/>
      <c r="E37" s="838"/>
      <c r="F37" s="838"/>
      <c r="G37" s="838"/>
    </row>
    <row r="38" spans="1:7" x14ac:dyDescent="0.3">
      <c r="A38" s="838"/>
      <c r="B38" s="838"/>
      <c r="C38" s="838"/>
      <c r="D38" s="838"/>
      <c r="E38" s="838"/>
      <c r="F38" s="838"/>
      <c r="G38" s="838"/>
    </row>
    <row r="39" spans="1:7" x14ac:dyDescent="0.3">
      <c r="A39" s="1363" t="str">
        <f>+RESUMEN!V27</f>
        <v>Ing. Manuel Urbina</v>
      </c>
      <c r="B39" s="1363"/>
      <c r="C39" s="1363"/>
      <c r="D39" s="838"/>
      <c r="E39" s="1250" t="s">
        <v>642</v>
      </c>
      <c r="F39" s="1250"/>
      <c r="G39" s="1250"/>
    </row>
    <row r="40" spans="1:7" x14ac:dyDescent="0.3">
      <c r="A40" s="1249" t="s">
        <v>643</v>
      </c>
      <c r="B40" s="1249"/>
      <c r="C40" s="1249"/>
      <c r="D40" s="838"/>
      <c r="E40" s="1249" t="s">
        <v>644</v>
      </c>
      <c r="F40" s="1249"/>
      <c r="G40" s="1249"/>
    </row>
    <row r="41" spans="1:7" x14ac:dyDescent="0.3">
      <c r="A41" s="1249" t="s">
        <v>645</v>
      </c>
      <c r="B41" s="1249"/>
      <c r="C41" s="1249"/>
      <c r="D41" s="838"/>
      <c r="E41" s="1249" t="s">
        <v>645</v>
      </c>
      <c r="F41" s="1249"/>
      <c r="G41" s="1249"/>
    </row>
    <row r="42" spans="1:7" x14ac:dyDescent="0.3">
      <c r="A42" s="1249"/>
      <c r="B42" s="1249"/>
      <c r="C42" s="1249"/>
      <c r="D42" s="838"/>
      <c r="E42" s="1249"/>
      <c r="F42" s="1249"/>
      <c r="G42" s="1249"/>
    </row>
    <row r="43" spans="1:7" x14ac:dyDescent="0.3">
      <c r="A43" s="838"/>
      <c r="B43" s="838"/>
      <c r="C43" s="838"/>
      <c r="D43" s="838"/>
      <c r="E43" s="960"/>
      <c r="F43" s="960"/>
      <c r="G43" s="960"/>
    </row>
    <row r="44" spans="1:7" x14ac:dyDescent="0.3">
      <c r="A44" s="838"/>
      <c r="B44" s="838"/>
      <c r="C44" s="838"/>
      <c r="D44" s="838"/>
      <c r="E44" s="960"/>
      <c r="F44" s="960"/>
      <c r="G44" s="960"/>
    </row>
    <row r="45" spans="1:7" x14ac:dyDescent="0.3">
      <c r="A45" s="838"/>
      <c r="B45" s="838"/>
      <c r="C45" s="838"/>
      <c r="D45" s="838"/>
      <c r="E45" s="960"/>
      <c r="F45" s="960"/>
      <c r="G45" s="960"/>
    </row>
    <row r="46" spans="1:7" x14ac:dyDescent="0.3">
      <c r="A46" s="1250" t="s">
        <v>646</v>
      </c>
      <c r="B46" s="1250"/>
      <c r="C46" s="1250"/>
      <c r="D46" s="838"/>
      <c r="E46" s="1250" t="s">
        <v>647</v>
      </c>
      <c r="F46" s="1250"/>
      <c r="G46" s="1250"/>
    </row>
    <row r="47" spans="1:7" x14ac:dyDescent="0.3">
      <c r="A47" s="1249" t="s">
        <v>648</v>
      </c>
      <c r="B47" s="1249"/>
      <c r="C47" s="1249"/>
      <c r="D47" s="838"/>
      <c r="E47" s="1249" t="s">
        <v>763</v>
      </c>
      <c r="F47" s="1249"/>
      <c r="G47" s="1249"/>
    </row>
    <row r="48" spans="1:7" x14ac:dyDescent="0.3">
      <c r="A48" s="1249" t="s">
        <v>645</v>
      </c>
      <c r="B48" s="1249"/>
      <c r="C48" s="1249"/>
      <c r="D48" s="838"/>
      <c r="E48" s="1249" t="s">
        <v>764</v>
      </c>
      <c r="F48" s="1249"/>
      <c r="G48" s="1249"/>
    </row>
    <row r="49" spans="5:7" x14ac:dyDescent="0.3">
      <c r="E49" s="102"/>
      <c r="F49" s="102"/>
      <c r="G49" s="102"/>
    </row>
    <row r="50" spans="5:7" x14ac:dyDescent="0.3">
      <c r="E50" s="102"/>
      <c r="F50" s="102"/>
      <c r="G50" s="102"/>
    </row>
  </sheetData>
  <mergeCells count="51">
    <mergeCell ref="B8:C8"/>
    <mergeCell ref="E8:F8"/>
    <mergeCell ref="A1:A3"/>
    <mergeCell ref="B1:F3"/>
    <mergeCell ref="B5:G5"/>
    <mergeCell ref="B7:C7"/>
    <mergeCell ref="E7:F7"/>
    <mergeCell ref="B20:D20"/>
    <mergeCell ref="E20:F20"/>
    <mergeCell ref="B21:D21"/>
    <mergeCell ref="B9:C9"/>
    <mergeCell ref="E9:F9"/>
    <mergeCell ref="B10:C10"/>
    <mergeCell ref="E10:F10"/>
    <mergeCell ref="A12:G12"/>
    <mergeCell ref="A14:G14"/>
    <mergeCell ref="A16:G16"/>
    <mergeCell ref="B18:D18"/>
    <mergeCell ref="E18:F18"/>
    <mergeCell ref="B19:D19"/>
    <mergeCell ref="E19:F19"/>
    <mergeCell ref="E21:F21"/>
    <mergeCell ref="C32:D32"/>
    <mergeCell ref="C31:D31"/>
    <mergeCell ref="C33:D33"/>
    <mergeCell ref="B22:D22"/>
    <mergeCell ref="E22:F22"/>
    <mergeCell ref="B23:D23"/>
    <mergeCell ref="E23:F23"/>
    <mergeCell ref="B24:D24"/>
    <mergeCell ref="E24:F24"/>
    <mergeCell ref="C26:D26"/>
    <mergeCell ref="C27:D27"/>
    <mergeCell ref="C28:D28"/>
    <mergeCell ref="C29:D29"/>
    <mergeCell ref="C30:D30"/>
    <mergeCell ref="A48:C48"/>
    <mergeCell ref="E48:G48"/>
    <mergeCell ref="A36:G36"/>
    <mergeCell ref="A42:C42"/>
    <mergeCell ref="E42:G42"/>
    <mergeCell ref="A41:C41"/>
    <mergeCell ref="E41:G41"/>
    <mergeCell ref="A46:C46"/>
    <mergeCell ref="E46:G46"/>
    <mergeCell ref="A47:C47"/>
    <mergeCell ref="E47:G47"/>
    <mergeCell ref="A39:C39"/>
    <mergeCell ref="E39:G39"/>
    <mergeCell ref="A40:C40"/>
    <mergeCell ref="E40:G40"/>
  </mergeCells>
  <pageMargins left="0.70866141732283472" right="0.70866141732283472" top="0.74803149606299213" bottom="0.74803149606299213" header="0.31496062992125984" footer="0.31496062992125984"/>
  <pageSetup scale="80"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tabColor rgb="FF72104A"/>
  </sheetPr>
  <dimension ref="A1:AB37"/>
  <sheetViews>
    <sheetView view="pageBreakPreview" zoomScale="60" zoomScaleNormal="70" workbookViewId="0">
      <selection activeCell="A40" sqref="A40:C40"/>
    </sheetView>
  </sheetViews>
  <sheetFormatPr baseColWidth="10" defaultRowHeight="14.4" x14ac:dyDescent="0.3"/>
  <cols>
    <col min="1" max="1" width="16.88671875" style="852" customWidth="1"/>
    <col min="2" max="2" width="23.5546875" style="852" customWidth="1"/>
    <col min="3" max="3" width="26.109375" style="852" customWidth="1"/>
    <col min="4" max="4" width="23.6640625" style="852" customWidth="1"/>
    <col min="5" max="5" width="11.5546875" style="852" bestFit="1" customWidth="1"/>
    <col min="6" max="7" width="18.44140625" style="852" customWidth="1"/>
    <col min="8" max="9" width="17.5546875" style="852" customWidth="1"/>
    <col min="10" max="10" width="28" style="852" customWidth="1"/>
    <col min="11" max="11" width="18.44140625" style="852" hidden="1" customWidth="1"/>
    <col min="12" max="12" width="19.109375" style="852" hidden="1" customWidth="1"/>
    <col min="13" max="13" width="11.44140625" style="852" hidden="1" customWidth="1"/>
    <col min="14" max="14" width="18.44140625" style="852" hidden="1" customWidth="1"/>
    <col min="15" max="15" width="19.109375" style="852" hidden="1" customWidth="1"/>
    <col min="16" max="16" width="11.44140625" style="852" hidden="1" customWidth="1"/>
    <col min="17" max="17" width="17.88671875" style="852" hidden="1" customWidth="1"/>
    <col min="18" max="18" width="18" style="852" hidden="1" customWidth="1"/>
    <col min="19" max="19" width="11.44140625" style="852" hidden="1" customWidth="1"/>
    <col min="20" max="20" width="17.88671875" style="108" hidden="1" customWidth="1"/>
    <col min="21" max="21" width="18" style="108" hidden="1" customWidth="1"/>
    <col min="22" max="22" width="11.44140625" style="108" hidden="1" customWidth="1"/>
    <col min="23" max="23" width="17.88671875" style="108" customWidth="1"/>
    <col min="24" max="24" width="18.44140625" style="108" customWidth="1"/>
    <col min="25" max="25" width="11.44140625" style="108" customWidth="1"/>
    <col min="26" max="26" width="18.44140625" style="108" bestFit="1" customWidth="1"/>
    <col min="27" max="27" width="18.109375" style="108" customWidth="1"/>
    <col min="28" max="28" width="11.44140625" style="108"/>
    <col min="29" max="261" width="11.44140625" style="852"/>
    <col min="262" max="262" width="16.88671875" style="852" customWidth="1"/>
    <col min="263" max="263" width="23.5546875" style="852" customWidth="1"/>
    <col min="264" max="264" width="26.109375" style="852" customWidth="1"/>
    <col min="265" max="265" width="23.6640625" style="852" customWidth="1"/>
    <col min="266" max="266" width="11.5546875" style="852" bestFit="1" customWidth="1"/>
    <col min="267" max="267" width="18.44140625" style="852" customWidth="1"/>
    <col min="268" max="268" width="17.5546875" style="852" customWidth="1"/>
    <col min="269" max="269" width="52" style="852" customWidth="1"/>
    <col min="270" max="278" width="0" style="852" hidden="1" customWidth="1"/>
    <col min="279" max="279" width="17.88671875" style="852" customWidth="1"/>
    <col min="280" max="280" width="18" style="852" customWidth="1"/>
    <col min="281" max="281" width="11.44140625" style="852" customWidth="1"/>
    <col min="282" max="282" width="18.44140625" style="852" bestFit="1" customWidth="1"/>
    <col min="283" max="283" width="18.109375" style="852" customWidth="1"/>
    <col min="284" max="517" width="11.44140625" style="852"/>
    <col min="518" max="518" width="16.88671875" style="852" customWidth="1"/>
    <col min="519" max="519" width="23.5546875" style="852" customWidth="1"/>
    <col min="520" max="520" width="26.109375" style="852" customWidth="1"/>
    <col min="521" max="521" width="23.6640625" style="852" customWidth="1"/>
    <col min="522" max="522" width="11.5546875" style="852" bestFit="1" customWidth="1"/>
    <col min="523" max="523" width="18.44140625" style="852" customWidth="1"/>
    <col min="524" max="524" width="17.5546875" style="852" customWidth="1"/>
    <col min="525" max="525" width="52" style="852" customWidth="1"/>
    <col min="526" max="534" width="0" style="852" hidden="1" customWidth="1"/>
    <col min="535" max="535" width="17.88671875" style="852" customWidth="1"/>
    <col min="536" max="536" width="18" style="852" customWidth="1"/>
    <col min="537" max="537" width="11.44140625" style="852" customWidth="1"/>
    <col min="538" max="538" width="18.44140625" style="852" bestFit="1" customWidth="1"/>
    <col min="539" max="539" width="18.109375" style="852" customWidth="1"/>
    <col min="540" max="773" width="11.44140625" style="852"/>
    <col min="774" max="774" width="16.88671875" style="852" customWidth="1"/>
    <col min="775" max="775" width="23.5546875" style="852" customWidth="1"/>
    <col min="776" max="776" width="26.109375" style="852" customWidth="1"/>
    <col min="777" max="777" width="23.6640625" style="852" customWidth="1"/>
    <col min="778" max="778" width="11.5546875" style="852" bestFit="1" customWidth="1"/>
    <col min="779" max="779" width="18.44140625" style="852" customWidth="1"/>
    <col min="780" max="780" width="17.5546875" style="852" customWidth="1"/>
    <col min="781" max="781" width="52" style="852" customWidth="1"/>
    <col min="782" max="790" width="0" style="852" hidden="1" customWidth="1"/>
    <col min="791" max="791" width="17.88671875" style="852" customWidth="1"/>
    <col min="792" max="792" width="18" style="852" customWidth="1"/>
    <col min="793" max="793" width="11.44140625" style="852" customWidth="1"/>
    <col min="794" max="794" width="18.44140625" style="852" bestFit="1" customWidth="1"/>
    <col min="795" max="795" width="18.109375" style="852" customWidth="1"/>
    <col min="796" max="1029" width="11.44140625" style="852"/>
    <col min="1030" max="1030" width="16.88671875" style="852" customWidth="1"/>
    <col min="1031" max="1031" width="23.5546875" style="852" customWidth="1"/>
    <col min="1032" max="1032" width="26.109375" style="852" customWidth="1"/>
    <col min="1033" max="1033" width="23.6640625" style="852" customWidth="1"/>
    <col min="1034" max="1034" width="11.5546875" style="852" bestFit="1" customWidth="1"/>
    <col min="1035" max="1035" width="18.44140625" style="852" customWidth="1"/>
    <col min="1036" max="1036" width="17.5546875" style="852" customWidth="1"/>
    <col min="1037" max="1037" width="52" style="852" customWidth="1"/>
    <col min="1038" max="1046" width="0" style="852" hidden="1" customWidth="1"/>
    <col min="1047" max="1047" width="17.88671875" style="852" customWidth="1"/>
    <col min="1048" max="1048" width="18" style="852" customWidth="1"/>
    <col min="1049" max="1049" width="11.44140625" style="852" customWidth="1"/>
    <col min="1050" max="1050" width="18.44140625" style="852" bestFit="1" customWidth="1"/>
    <col min="1051" max="1051" width="18.109375" style="852" customWidth="1"/>
    <col min="1052" max="1285" width="11.44140625" style="852"/>
    <col min="1286" max="1286" width="16.88671875" style="852" customWidth="1"/>
    <col min="1287" max="1287" width="23.5546875" style="852" customWidth="1"/>
    <col min="1288" max="1288" width="26.109375" style="852" customWidth="1"/>
    <col min="1289" max="1289" width="23.6640625" style="852" customWidth="1"/>
    <col min="1290" max="1290" width="11.5546875" style="852" bestFit="1" customWidth="1"/>
    <col min="1291" max="1291" width="18.44140625" style="852" customWidth="1"/>
    <col min="1292" max="1292" width="17.5546875" style="852" customWidth="1"/>
    <col min="1293" max="1293" width="52" style="852" customWidth="1"/>
    <col min="1294" max="1302" width="0" style="852" hidden="1" customWidth="1"/>
    <col min="1303" max="1303" width="17.88671875" style="852" customWidth="1"/>
    <col min="1304" max="1304" width="18" style="852" customWidth="1"/>
    <col min="1305" max="1305" width="11.44140625" style="852" customWidth="1"/>
    <col min="1306" max="1306" width="18.44140625" style="852" bestFit="1" customWidth="1"/>
    <col min="1307" max="1307" width="18.109375" style="852" customWidth="1"/>
    <col min="1308" max="1541" width="11.44140625" style="852"/>
    <col min="1542" max="1542" width="16.88671875" style="852" customWidth="1"/>
    <col min="1543" max="1543" width="23.5546875" style="852" customWidth="1"/>
    <col min="1544" max="1544" width="26.109375" style="852" customWidth="1"/>
    <col min="1545" max="1545" width="23.6640625" style="852" customWidth="1"/>
    <col min="1546" max="1546" width="11.5546875" style="852" bestFit="1" customWidth="1"/>
    <col min="1547" max="1547" width="18.44140625" style="852" customWidth="1"/>
    <col min="1548" max="1548" width="17.5546875" style="852" customWidth="1"/>
    <col min="1549" max="1549" width="52" style="852" customWidth="1"/>
    <col min="1550" max="1558" width="0" style="852" hidden="1" customWidth="1"/>
    <col min="1559" max="1559" width="17.88671875" style="852" customWidth="1"/>
    <col min="1560" max="1560" width="18" style="852" customWidth="1"/>
    <col min="1561" max="1561" width="11.44140625" style="852" customWidth="1"/>
    <col min="1562" max="1562" width="18.44140625" style="852" bestFit="1" customWidth="1"/>
    <col min="1563" max="1563" width="18.109375" style="852" customWidth="1"/>
    <col min="1564" max="1797" width="11.44140625" style="852"/>
    <col min="1798" max="1798" width="16.88671875" style="852" customWidth="1"/>
    <col min="1799" max="1799" width="23.5546875" style="852" customWidth="1"/>
    <col min="1800" max="1800" width="26.109375" style="852" customWidth="1"/>
    <col min="1801" max="1801" width="23.6640625" style="852" customWidth="1"/>
    <col min="1802" max="1802" width="11.5546875" style="852" bestFit="1" customWidth="1"/>
    <col min="1803" max="1803" width="18.44140625" style="852" customWidth="1"/>
    <col min="1804" max="1804" width="17.5546875" style="852" customWidth="1"/>
    <col min="1805" max="1805" width="52" style="852" customWidth="1"/>
    <col min="1806" max="1814" width="0" style="852" hidden="1" customWidth="1"/>
    <col min="1815" max="1815" width="17.88671875" style="852" customWidth="1"/>
    <col min="1816" max="1816" width="18" style="852" customWidth="1"/>
    <col min="1817" max="1817" width="11.44140625" style="852" customWidth="1"/>
    <col min="1818" max="1818" width="18.44140625" style="852" bestFit="1" customWidth="1"/>
    <col min="1819" max="1819" width="18.109375" style="852" customWidth="1"/>
    <col min="1820" max="2053" width="11.44140625" style="852"/>
    <col min="2054" max="2054" width="16.88671875" style="852" customWidth="1"/>
    <col min="2055" max="2055" width="23.5546875" style="852" customWidth="1"/>
    <col min="2056" max="2056" width="26.109375" style="852" customWidth="1"/>
    <col min="2057" max="2057" width="23.6640625" style="852" customWidth="1"/>
    <col min="2058" max="2058" width="11.5546875" style="852" bestFit="1" customWidth="1"/>
    <col min="2059" max="2059" width="18.44140625" style="852" customWidth="1"/>
    <col min="2060" max="2060" width="17.5546875" style="852" customWidth="1"/>
    <col min="2061" max="2061" width="52" style="852" customWidth="1"/>
    <col min="2062" max="2070" width="0" style="852" hidden="1" customWidth="1"/>
    <col min="2071" max="2071" width="17.88671875" style="852" customWidth="1"/>
    <col min="2072" max="2072" width="18" style="852" customWidth="1"/>
    <col min="2073" max="2073" width="11.44140625" style="852" customWidth="1"/>
    <col min="2074" max="2074" width="18.44140625" style="852" bestFit="1" customWidth="1"/>
    <col min="2075" max="2075" width="18.109375" style="852" customWidth="1"/>
    <col min="2076" max="2309" width="11.44140625" style="852"/>
    <col min="2310" max="2310" width="16.88671875" style="852" customWidth="1"/>
    <col min="2311" max="2311" width="23.5546875" style="852" customWidth="1"/>
    <col min="2312" max="2312" width="26.109375" style="852" customWidth="1"/>
    <col min="2313" max="2313" width="23.6640625" style="852" customWidth="1"/>
    <col min="2314" max="2314" width="11.5546875" style="852" bestFit="1" customWidth="1"/>
    <col min="2315" max="2315" width="18.44140625" style="852" customWidth="1"/>
    <col min="2316" max="2316" width="17.5546875" style="852" customWidth="1"/>
    <col min="2317" max="2317" width="52" style="852" customWidth="1"/>
    <col min="2318" max="2326" width="0" style="852" hidden="1" customWidth="1"/>
    <col min="2327" max="2327" width="17.88671875" style="852" customWidth="1"/>
    <col min="2328" max="2328" width="18" style="852" customWidth="1"/>
    <col min="2329" max="2329" width="11.44140625" style="852" customWidth="1"/>
    <col min="2330" max="2330" width="18.44140625" style="852" bestFit="1" customWidth="1"/>
    <col min="2331" max="2331" width="18.109375" style="852" customWidth="1"/>
    <col min="2332" max="2565" width="11.44140625" style="852"/>
    <col min="2566" max="2566" width="16.88671875" style="852" customWidth="1"/>
    <col min="2567" max="2567" width="23.5546875" style="852" customWidth="1"/>
    <col min="2568" max="2568" width="26.109375" style="852" customWidth="1"/>
    <col min="2569" max="2569" width="23.6640625" style="852" customWidth="1"/>
    <col min="2570" max="2570" width="11.5546875" style="852" bestFit="1" customWidth="1"/>
    <col min="2571" max="2571" width="18.44140625" style="852" customWidth="1"/>
    <col min="2572" max="2572" width="17.5546875" style="852" customWidth="1"/>
    <col min="2573" max="2573" width="52" style="852" customWidth="1"/>
    <col min="2574" max="2582" width="0" style="852" hidden="1" customWidth="1"/>
    <col min="2583" max="2583" width="17.88671875" style="852" customWidth="1"/>
    <col min="2584" max="2584" width="18" style="852" customWidth="1"/>
    <col min="2585" max="2585" width="11.44140625" style="852" customWidth="1"/>
    <col min="2586" max="2586" width="18.44140625" style="852" bestFit="1" customWidth="1"/>
    <col min="2587" max="2587" width="18.109375" style="852" customWidth="1"/>
    <col min="2588" max="2821" width="11.44140625" style="852"/>
    <col min="2822" max="2822" width="16.88671875" style="852" customWidth="1"/>
    <col min="2823" max="2823" width="23.5546875" style="852" customWidth="1"/>
    <col min="2824" max="2824" width="26.109375" style="852" customWidth="1"/>
    <col min="2825" max="2825" width="23.6640625" style="852" customWidth="1"/>
    <col min="2826" max="2826" width="11.5546875" style="852" bestFit="1" customWidth="1"/>
    <col min="2827" max="2827" width="18.44140625" style="852" customWidth="1"/>
    <col min="2828" max="2828" width="17.5546875" style="852" customWidth="1"/>
    <col min="2829" max="2829" width="52" style="852" customWidth="1"/>
    <col min="2830" max="2838" width="0" style="852" hidden="1" customWidth="1"/>
    <col min="2839" max="2839" width="17.88671875" style="852" customWidth="1"/>
    <col min="2840" max="2840" width="18" style="852" customWidth="1"/>
    <col min="2841" max="2841" width="11.44140625" style="852" customWidth="1"/>
    <col min="2842" max="2842" width="18.44140625" style="852" bestFit="1" customWidth="1"/>
    <col min="2843" max="2843" width="18.109375" style="852" customWidth="1"/>
    <col min="2844" max="3077" width="11.44140625" style="852"/>
    <col min="3078" max="3078" width="16.88671875" style="852" customWidth="1"/>
    <col min="3079" max="3079" width="23.5546875" style="852" customWidth="1"/>
    <col min="3080" max="3080" width="26.109375" style="852" customWidth="1"/>
    <col min="3081" max="3081" width="23.6640625" style="852" customWidth="1"/>
    <col min="3082" max="3082" width="11.5546875" style="852" bestFit="1" customWidth="1"/>
    <col min="3083" max="3083" width="18.44140625" style="852" customWidth="1"/>
    <col min="3084" max="3084" width="17.5546875" style="852" customWidth="1"/>
    <col min="3085" max="3085" width="52" style="852" customWidth="1"/>
    <col min="3086" max="3094" width="0" style="852" hidden="1" customWidth="1"/>
    <col min="3095" max="3095" width="17.88671875" style="852" customWidth="1"/>
    <col min="3096" max="3096" width="18" style="852" customWidth="1"/>
    <col min="3097" max="3097" width="11.44140625" style="852" customWidth="1"/>
    <col min="3098" max="3098" width="18.44140625" style="852" bestFit="1" customWidth="1"/>
    <col min="3099" max="3099" width="18.109375" style="852" customWidth="1"/>
    <col min="3100" max="3333" width="11.44140625" style="852"/>
    <col min="3334" max="3334" width="16.88671875" style="852" customWidth="1"/>
    <col min="3335" max="3335" width="23.5546875" style="852" customWidth="1"/>
    <col min="3336" max="3336" width="26.109375" style="852" customWidth="1"/>
    <col min="3337" max="3337" width="23.6640625" style="852" customWidth="1"/>
    <col min="3338" max="3338" width="11.5546875" style="852" bestFit="1" customWidth="1"/>
    <col min="3339" max="3339" width="18.44140625" style="852" customWidth="1"/>
    <col min="3340" max="3340" width="17.5546875" style="852" customWidth="1"/>
    <col min="3341" max="3341" width="52" style="852" customWidth="1"/>
    <col min="3342" max="3350" width="0" style="852" hidden="1" customWidth="1"/>
    <col min="3351" max="3351" width="17.88671875" style="852" customWidth="1"/>
    <col min="3352" max="3352" width="18" style="852" customWidth="1"/>
    <col min="3353" max="3353" width="11.44140625" style="852" customWidth="1"/>
    <col min="3354" max="3354" width="18.44140625" style="852" bestFit="1" customWidth="1"/>
    <col min="3355" max="3355" width="18.109375" style="852" customWidth="1"/>
    <col min="3356" max="3589" width="11.44140625" style="852"/>
    <col min="3590" max="3590" width="16.88671875" style="852" customWidth="1"/>
    <col min="3591" max="3591" width="23.5546875" style="852" customWidth="1"/>
    <col min="3592" max="3592" width="26.109375" style="852" customWidth="1"/>
    <col min="3593" max="3593" width="23.6640625" style="852" customWidth="1"/>
    <col min="3594" max="3594" width="11.5546875" style="852" bestFit="1" customWidth="1"/>
    <col min="3595" max="3595" width="18.44140625" style="852" customWidth="1"/>
    <col min="3596" max="3596" width="17.5546875" style="852" customWidth="1"/>
    <col min="3597" max="3597" width="52" style="852" customWidth="1"/>
    <col min="3598" max="3606" width="0" style="852" hidden="1" customWidth="1"/>
    <col min="3607" max="3607" width="17.88671875" style="852" customWidth="1"/>
    <col min="3608" max="3608" width="18" style="852" customWidth="1"/>
    <col min="3609" max="3609" width="11.44140625" style="852" customWidth="1"/>
    <col min="3610" max="3610" width="18.44140625" style="852" bestFit="1" customWidth="1"/>
    <col min="3611" max="3611" width="18.109375" style="852" customWidth="1"/>
    <col min="3612" max="3845" width="11.44140625" style="852"/>
    <col min="3846" max="3846" width="16.88671875" style="852" customWidth="1"/>
    <col min="3847" max="3847" width="23.5546875" style="852" customWidth="1"/>
    <col min="3848" max="3848" width="26.109375" style="852" customWidth="1"/>
    <col min="3849" max="3849" width="23.6640625" style="852" customWidth="1"/>
    <col min="3850" max="3850" width="11.5546875" style="852" bestFit="1" customWidth="1"/>
    <col min="3851" max="3851" width="18.44140625" style="852" customWidth="1"/>
    <col min="3852" max="3852" width="17.5546875" style="852" customWidth="1"/>
    <col min="3853" max="3853" width="52" style="852" customWidth="1"/>
    <col min="3854" max="3862" width="0" style="852" hidden="1" customWidth="1"/>
    <col min="3863" max="3863" width="17.88671875" style="852" customWidth="1"/>
    <col min="3864" max="3864" width="18" style="852" customWidth="1"/>
    <col min="3865" max="3865" width="11.44140625" style="852" customWidth="1"/>
    <col min="3866" max="3866" width="18.44140625" style="852" bestFit="1" customWidth="1"/>
    <col min="3867" max="3867" width="18.109375" style="852" customWidth="1"/>
    <col min="3868" max="4101" width="11.44140625" style="852"/>
    <col min="4102" max="4102" width="16.88671875" style="852" customWidth="1"/>
    <col min="4103" max="4103" width="23.5546875" style="852" customWidth="1"/>
    <col min="4104" max="4104" width="26.109375" style="852" customWidth="1"/>
    <col min="4105" max="4105" width="23.6640625" style="852" customWidth="1"/>
    <col min="4106" max="4106" width="11.5546875" style="852" bestFit="1" customWidth="1"/>
    <col min="4107" max="4107" width="18.44140625" style="852" customWidth="1"/>
    <col min="4108" max="4108" width="17.5546875" style="852" customWidth="1"/>
    <col min="4109" max="4109" width="52" style="852" customWidth="1"/>
    <col min="4110" max="4118" width="0" style="852" hidden="1" customWidth="1"/>
    <col min="4119" max="4119" width="17.88671875" style="852" customWidth="1"/>
    <col min="4120" max="4120" width="18" style="852" customWidth="1"/>
    <col min="4121" max="4121" width="11.44140625" style="852" customWidth="1"/>
    <col min="4122" max="4122" width="18.44140625" style="852" bestFit="1" customWidth="1"/>
    <col min="4123" max="4123" width="18.109375" style="852" customWidth="1"/>
    <col min="4124" max="4357" width="11.44140625" style="852"/>
    <col min="4358" max="4358" width="16.88671875" style="852" customWidth="1"/>
    <col min="4359" max="4359" width="23.5546875" style="852" customWidth="1"/>
    <col min="4360" max="4360" width="26.109375" style="852" customWidth="1"/>
    <col min="4361" max="4361" width="23.6640625" style="852" customWidth="1"/>
    <col min="4362" max="4362" width="11.5546875" style="852" bestFit="1" customWidth="1"/>
    <col min="4363" max="4363" width="18.44140625" style="852" customWidth="1"/>
    <col min="4364" max="4364" width="17.5546875" style="852" customWidth="1"/>
    <col min="4365" max="4365" width="52" style="852" customWidth="1"/>
    <col min="4366" max="4374" width="0" style="852" hidden="1" customWidth="1"/>
    <col min="4375" max="4375" width="17.88671875" style="852" customWidth="1"/>
    <col min="4376" max="4376" width="18" style="852" customWidth="1"/>
    <col min="4377" max="4377" width="11.44140625" style="852" customWidth="1"/>
    <col min="4378" max="4378" width="18.44140625" style="852" bestFit="1" customWidth="1"/>
    <col min="4379" max="4379" width="18.109375" style="852" customWidth="1"/>
    <col min="4380" max="4613" width="11.44140625" style="852"/>
    <col min="4614" max="4614" width="16.88671875" style="852" customWidth="1"/>
    <col min="4615" max="4615" width="23.5546875" style="852" customWidth="1"/>
    <col min="4616" max="4616" width="26.109375" style="852" customWidth="1"/>
    <col min="4617" max="4617" width="23.6640625" style="852" customWidth="1"/>
    <col min="4618" max="4618" width="11.5546875" style="852" bestFit="1" customWidth="1"/>
    <col min="4619" max="4619" width="18.44140625" style="852" customWidth="1"/>
    <col min="4620" max="4620" width="17.5546875" style="852" customWidth="1"/>
    <col min="4621" max="4621" width="52" style="852" customWidth="1"/>
    <col min="4622" max="4630" width="0" style="852" hidden="1" customWidth="1"/>
    <col min="4631" max="4631" width="17.88671875" style="852" customWidth="1"/>
    <col min="4632" max="4632" width="18" style="852" customWidth="1"/>
    <col min="4633" max="4633" width="11.44140625" style="852" customWidth="1"/>
    <col min="4634" max="4634" width="18.44140625" style="852" bestFit="1" customWidth="1"/>
    <col min="4635" max="4635" width="18.109375" style="852" customWidth="1"/>
    <col min="4636" max="4869" width="11.44140625" style="852"/>
    <col min="4870" max="4870" width="16.88671875" style="852" customWidth="1"/>
    <col min="4871" max="4871" width="23.5546875" style="852" customWidth="1"/>
    <col min="4872" max="4872" width="26.109375" style="852" customWidth="1"/>
    <col min="4873" max="4873" width="23.6640625" style="852" customWidth="1"/>
    <col min="4874" max="4874" width="11.5546875" style="852" bestFit="1" customWidth="1"/>
    <col min="4875" max="4875" width="18.44140625" style="852" customWidth="1"/>
    <col min="4876" max="4876" width="17.5546875" style="852" customWidth="1"/>
    <col min="4877" max="4877" width="52" style="852" customWidth="1"/>
    <col min="4878" max="4886" width="0" style="852" hidden="1" customWidth="1"/>
    <col min="4887" max="4887" width="17.88671875" style="852" customWidth="1"/>
    <col min="4888" max="4888" width="18" style="852" customWidth="1"/>
    <col min="4889" max="4889" width="11.44140625" style="852" customWidth="1"/>
    <col min="4890" max="4890" width="18.44140625" style="852" bestFit="1" customWidth="1"/>
    <col min="4891" max="4891" width="18.109375" style="852" customWidth="1"/>
    <col min="4892" max="5125" width="11.44140625" style="852"/>
    <col min="5126" max="5126" width="16.88671875" style="852" customWidth="1"/>
    <col min="5127" max="5127" width="23.5546875" style="852" customWidth="1"/>
    <col min="5128" max="5128" width="26.109375" style="852" customWidth="1"/>
    <col min="5129" max="5129" width="23.6640625" style="852" customWidth="1"/>
    <col min="5130" max="5130" width="11.5546875" style="852" bestFit="1" customWidth="1"/>
    <col min="5131" max="5131" width="18.44140625" style="852" customWidth="1"/>
    <col min="5132" max="5132" width="17.5546875" style="852" customWidth="1"/>
    <col min="5133" max="5133" width="52" style="852" customWidth="1"/>
    <col min="5134" max="5142" width="0" style="852" hidden="1" customWidth="1"/>
    <col min="5143" max="5143" width="17.88671875" style="852" customWidth="1"/>
    <col min="5144" max="5144" width="18" style="852" customWidth="1"/>
    <col min="5145" max="5145" width="11.44140625" style="852" customWidth="1"/>
    <col min="5146" max="5146" width="18.44140625" style="852" bestFit="1" customWidth="1"/>
    <col min="5147" max="5147" width="18.109375" style="852" customWidth="1"/>
    <col min="5148" max="5381" width="11.44140625" style="852"/>
    <col min="5382" max="5382" width="16.88671875" style="852" customWidth="1"/>
    <col min="5383" max="5383" width="23.5546875" style="852" customWidth="1"/>
    <col min="5384" max="5384" width="26.109375" style="852" customWidth="1"/>
    <col min="5385" max="5385" width="23.6640625" style="852" customWidth="1"/>
    <col min="5386" max="5386" width="11.5546875" style="852" bestFit="1" customWidth="1"/>
    <col min="5387" max="5387" width="18.44140625" style="852" customWidth="1"/>
    <col min="5388" max="5388" width="17.5546875" style="852" customWidth="1"/>
    <col min="5389" max="5389" width="52" style="852" customWidth="1"/>
    <col min="5390" max="5398" width="0" style="852" hidden="1" customWidth="1"/>
    <col min="5399" max="5399" width="17.88671875" style="852" customWidth="1"/>
    <col min="5400" max="5400" width="18" style="852" customWidth="1"/>
    <col min="5401" max="5401" width="11.44140625" style="852" customWidth="1"/>
    <col min="5402" max="5402" width="18.44140625" style="852" bestFit="1" customWidth="1"/>
    <col min="5403" max="5403" width="18.109375" style="852" customWidth="1"/>
    <col min="5404" max="5637" width="11.44140625" style="852"/>
    <col min="5638" max="5638" width="16.88671875" style="852" customWidth="1"/>
    <col min="5639" max="5639" width="23.5546875" style="852" customWidth="1"/>
    <col min="5640" max="5640" width="26.109375" style="852" customWidth="1"/>
    <col min="5641" max="5641" width="23.6640625" style="852" customWidth="1"/>
    <col min="5642" max="5642" width="11.5546875" style="852" bestFit="1" customWidth="1"/>
    <col min="5643" max="5643" width="18.44140625" style="852" customWidth="1"/>
    <col min="5644" max="5644" width="17.5546875" style="852" customWidth="1"/>
    <col min="5645" max="5645" width="52" style="852" customWidth="1"/>
    <col min="5646" max="5654" width="0" style="852" hidden="1" customWidth="1"/>
    <col min="5655" max="5655" width="17.88671875" style="852" customWidth="1"/>
    <col min="5656" max="5656" width="18" style="852" customWidth="1"/>
    <col min="5657" max="5657" width="11.44140625" style="852" customWidth="1"/>
    <col min="5658" max="5658" width="18.44140625" style="852" bestFit="1" customWidth="1"/>
    <col min="5659" max="5659" width="18.109375" style="852" customWidth="1"/>
    <col min="5660" max="5893" width="11.44140625" style="852"/>
    <col min="5894" max="5894" width="16.88671875" style="852" customWidth="1"/>
    <col min="5895" max="5895" width="23.5546875" style="852" customWidth="1"/>
    <col min="5896" max="5896" width="26.109375" style="852" customWidth="1"/>
    <col min="5897" max="5897" width="23.6640625" style="852" customWidth="1"/>
    <col min="5898" max="5898" width="11.5546875" style="852" bestFit="1" customWidth="1"/>
    <col min="5899" max="5899" width="18.44140625" style="852" customWidth="1"/>
    <col min="5900" max="5900" width="17.5546875" style="852" customWidth="1"/>
    <col min="5901" max="5901" width="52" style="852" customWidth="1"/>
    <col min="5902" max="5910" width="0" style="852" hidden="1" customWidth="1"/>
    <col min="5911" max="5911" width="17.88671875" style="852" customWidth="1"/>
    <col min="5912" max="5912" width="18" style="852" customWidth="1"/>
    <col min="5913" max="5913" width="11.44140625" style="852" customWidth="1"/>
    <col min="5914" max="5914" width="18.44140625" style="852" bestFit="1" customWidth="1"/>
    <col min="5915" max="5915" width="18.109375" style="852" customWidth="1"/>
    <col min="5916" max="6149" width="11.44140625" style="852"/>
    <col min="6150" max="6150" width="16.88671875" style="852" customWidth="1"/>
    <col min="6151" max="6151" width="23.5546875" style="852" customWidth="1"/>
    <col min="6152" max="6152" width="26.109375" style="852" customWidth="1"/>
    <col min="6153" max="6153" width="23.6640625" style="852" customWidth="1"/>
    <col min="6154" max="6154" width="11.5546875" style="852" bestFit="1" customWidth="1"/>
    <col min="6155" max="6155" width="18.44140625" style="852" customWidth="1"/>
    <col min="6156" max="6156" width="17.5546875" style="852" customWidth="1"/>
    <col min="6157" max="6157" width="52" style="852" customWidth="1"/>
    <col min="6158" max="6166" width="0" style="852" hidden="1" customWidth="1"/>
    <col min="6167" max="6167" width="17.88671875" style="852" customWidth="1"/>
    <col min="6168" max="6168" width="18" style="852" customWidth="1"/>
    <col min="6169" max="6169" width="11.44140625" style="852" customWidth="1"/>
    <col min="6170" max="6170" width="18.44140625" style="852" bestFit="1" customWidth="1"/>
    <col min="6171" max="6171" width="18.109375" style="852" customWidth="1"/>
    <col min="6172" max="6405" width="11.44140625" style="852"/>
    <col min="6406" max="6406" width="16.88671875" style="852" customWidth="1"/>
    <col min="6407" max="6407" width="23.5546875" style="852" customWidth="1"/>
    <col min="6408" max="6408" width="26.109375" style="852" customWidth="1"/>
    <col min="6409" max="6409" width="23.6640625" style="852" customWidth="1"/>
    <col min="6410" max="6410" width="11.5546875" style="852" bestFit="1" customWidth="1"/>
    <col min="6411" max="6411" width="18.44140625" style="852" customWidth="1"/>
    <col min="6412" max="6412" width="17.5546875" style="852" customWidth="1"/>
    <col min="6413" max="6413" width="52" style="852" customWidth="1"/>
    <col min="6414" max="6422" width="0" style="852" hidden="1" customWidth="1"/>
    <col min="6423" max="6423" width="17.88671875" style="852" customWidth="1"/>
    <col min="6424" max="6424" width="18" style="852" customWidth="1"/>
    <col min="6425" max="6425" width="11.44140625" style="852" customWidth="1"/>
    <col min="6426" max="6426" width="18.44140625" style="852" bestFit="1" customWidth="1"/>
    <col min="6427" max="6427" width="18.109375" style="852" customWidth="1"/>
    <col min="6428" max="6661" width="11.44140625" style="852"/>
    <col min="6662" max="6662" width="16.88671875" style="852" customWidth="1"/>
    <col min="6663" max="6663" width="23.5546875" style="852" customWidth="1"/>
    <col min="6664" max="6664" width="26.109375" style="852" customWidth="1"/>
    <col min="6665" max="6665" width="23.6640625" style="852" customWidth="1"/>
    <col min="6666" max="6666" width="11.5546875" style="852" bestFit="1" customWidth="1"/>
    <col min="6667" max="6667" width="18.44140625" style="852" customWidth="1"/>
    <col min="6668" max="6668" width="17.5546875" style="852" customWidth="1"/>
    <col min="6669" max="6669" width="52" style="852" customWidth="1"/>
    <col min="6670" max="6678" width="0" style="852" hidden="1" customWidth="1"/>
    <col min="6679" max="6679" width="17.88671875" style="852" customWidth="1"/>
    <col min="6680" max="6680" width="18" style="852" customWidth="1"/>
    <col min="6681" max="6681" width="11.44140625" style="852" customWidth="1"/>
    <col min="6682" max="6682" width="18.44140625" style="852" bestFit="1" customWidth="1"/>
    <col min="6683" max="6683" width="18.109375" style="852" customWidth="1"/>
    <col min="6684" max="6917" width="11.44140625" style="852"/>
    <col min="6918" max="6918" width="16.88671875" style="852" customWidth="1"/>
    <col min="6919" max="6919" width="23.5546875" style="852" customWidth="1"/>
    <col min="6920" max="6920" width="26.109375" style="852" customWidth="1"/>
    <col min="6921" max="6921" width="23.6640625" style="852" customWidth="1"/>
    <col min="6922" max="6922" width="11.5546875" style="852" bestFit="1" customWidth="1"/>
    <col min="6923" max="6923" width="18.44140625" style="852" customWidth="1"/>
    <col min="6924" max="6924" width="17.5546875" style="852" customWidth="1"/>
    <col min="6925" max="6925" width="52" style="852" customWidth="1"/>
    <col min="6926" max="6934" width="0" style="852" hidden="1" customWidth="1"/>
    <col min="6935" max="6935" width="17.88671875" style="852" customWidth="1"/>
    <col min="6936" max="6936" width="18" style="852" customWidth="1"/>
    <col min="6937" max="6937" width="11.44140625" style="852" customWidth="1"/>
    <col min="6938" max="6938" width="18.44140625" style="852" bestFit="1" customWidth="1"/>
    <col min="6939" max="6939" width="18.109375" style="852" customWidth="1"/>
    <col min="6940" max="7173" width="11.44140625" style="852"/>
    <col min="7174" max="7174" width="16.88671875" style="852" customWidth="1"/>
    <col min="7175" max="7175" width="23.5546875" style="852" customWidth="1"/>
    <col min="7176" max="7176" width="26.109375" style="852" customWidth="1"/>
    <col min="7177" max="7177" width="23.6640625" style="852" customWidth="1"/>
    <col min="7178" max="7178" width="11.5546875" style="852" bestFit="1" customWidth="1"/>
    <col min="7179" max="7179" width="18.44140625" style="852" customWidth="1"/>
    <col min="7180" max="7180" width="17.5546875" style="852" customWidth="1"/>
    <col min="7181" max="7181" width="52" style="852" customWidth="1"/>
    <col min="7182" max="7190" width="0" style="852" hidden="1" customWidth="1"/>
    <col min="7191" max="7191" width="17.88671875" style="852" customWidth="1"/>
    <col min="7192" max="7192" width="18" style="852" customWidth="1"/>
    <col min="7193" max="7193" width="11.44140625" style="852" customWidth="1"/>
    <col min="7194" max="7194" width="18.44140625" style="852" bestFit="1" customWidth="1"/>
    <col min="7195" max="7195" width="18.109375" style="852" customWidth="1"/>
    <col min="7196" max="7429" width="11.44140625" style="852"/>
    <col min="7430" max="7430" width="16.88671875" style="852" customWidth="1"/>
    <col min="7431" max="7431" width="23.5546875" style="852" customWidth="1"/>
    <col min="7432" max="7432" width="26.109375" style="852" customWidth="1"/>
    <col min="7433" max="7433" width="23.6640625" style="852" customWidth="1"/>
    <col min="7434" max="7434" width="11.5546875" style="852" bestFit="1" customWidth="1"/>
    <col min="7435" max="7435" width="18.44140625" style="852" customWidth="1"/>
    <col min="7436" max="7436" width="17.5546875" style="852" customWidth="1"/>
    <col min="7437" max="7437" width="52" style="852" customWidth="1"/>
    <col min="7438" max="7446" width="0" style="852" hidden="1" customWidth="1"/>
    <col min="7447" max="7447" width="17.88671875" style="852" customWidth="1"/>
    <col min="7448" max="7448" width="18" style="852" customWidth="1"/>
    <col min="7449" max="7449" width="11.44140625" style="852" customWidth="1"/>
    <col min="7450" max="7450" width="18.44140625" style="852" bestFit="1" customWidth="1"/>
    <col min="7451" max="7451" width="18.109375" style="852" customWidth="1"/>
    <col min="7452" max="7685" width="11.44140625" style="852"/>
    <col min="7686" max="7686" width="16.88671875" style="852" customWidth="1"/>
    <col min="7687" max="7687" width="23.5546875" style="852" customWidth="1"/>
    <col min="7688" max="7688" width="26.109375" style="852" customWidth="1"/>
    <col min="7689" max="7689" width="23.6640625" style="852" customWidth="1"/>
    <col min="7690" max="7690" width="11.5546875" style="852" bestFit="1" customWidth="1"/>
    <col min="7691" max="7691" width="18.44140625" style="852" customWidth="1"/>
    <col min="7692" max="7692" width="17.5546875" style="852" customWidth="1"/>
    <col min="7693" max="7693" width="52" style="852" customWidth="1"/>
    <col min="7694" max="7702" width="0" style="852" hidden="1" customWidth="1"/>
    <col min="7703" max="7703" width="17.88671875" style="852" customWidth="1"/>
    <col min="7704" max="7704" width="18" style="852" customWidth="1"/>
    <col min="7705" max="7705" width="11.44140625" style="852" customWidth="1"/>
    <col min="7706" max="7706" width="18.44140625" style="852" bestFit="1" customWidth="1"/>
    <col min="7707" max="7707" width="18.109375" style="852" customWidth="1"/>
    <col min="7708" max="7941" width="11.44140625" style="852"/>
    <col min="7942" max="7942" width="16.88671875" style="852" customWidth="1"/>
    <col min="7943" max="7943" width="23.5546875" style="852" customWidth="1"/>
    <col min="7944" max="7944" width="26.109375" style="852" customWidth="1"/>
    <col min="7945" max="7945" width="23.6640625" style="852" customWidth="1"/>
    <col min="7946" max="7946" width="11.5546875" style="852" bestFit="1" customWidth="1"/>
    <col min="7947" max="7947" width="18.44140625" style="852" customWidth="1"/>
    <col min="7948" max="7948" width="17.5546875" style="852" customWidth="1"/>
    <col min="7949" max="7949" width="52" style="852" customWidth="1"/>
    <col min="7950" max="7958" width="0" style="852" hidden="1" customWidth="1"/>
    <col min="7959" max="7959" width="17.88671875" style="852" customWidth="1"/>
    <col min="7960" max="7960" width="18" style="852" customWidth="1"/>
    <col min="7961" max="7961" width="11.44140625" style="852" customWidth="1"/>
    <col min="7962" max="7962" width="18.44140625" style="852" bestFit="1" customWidth="1"/>
    <col min="7963" max="7963" width="18.109375" style="852" customWidth="1"/>
    <col min="7964" max="8197" width="11.44140625" style="852"/>
    <col min="8198" max="8198" width="16.88671875" style="852" customWidth="1"/>
    <col min="8199" max="8199" width="23.5546875" style="852" customWidth="1"/>
    <col min="8200" max="8200" width="26.109375" style="852" customWidth="1"/>
    <col min="8201" max="8201" width="23.6640625" style="852" customWidth="1"/>
    <col min="8202" max="8202" width="11.5546875" style="852" bestFit="1" customWidth="1"/>
    <col min="8203" max="8203" width="18.44140625" style="852" customWidth="1"/>
    <col min="8204" max="8204" width="17.5546875" style="852" customWidth="1"/>
    <col min="8205" max="8205" width="52" style="852" customWidth="1"/>
    <col min="8206" max="8214" width="0" style="852" hidden="1" customWidth="1"/>
    <col min="8215" max="8215" width="17.88671875" style="852" customWidth="1"/>
    <col min="8216" max="8216" width="18" style="852" customWidth="1"/>
    <col min="8217" max="8217" width="11.44140625" style="852" customWidth="1"/>
    <col min="8218" max="8218" width="18.44140625" style="852" bestFit="1" customWidth="1"/>
    <col min="8219" max="8219" width="18.109375" style="852" customWidth="1"/>
    <col min="8220" max="8453" width="11.44140625" style="852"/>
    <col min="8454" max="8454" width="16.88671875" style="852" customWidth="1"/>
    <col min="8455" max="8455" width="23.5546875" style="852" customWidth="1"/>
    <col min="8456" max="8456" width="26.109375" style="852" customWidth="1"/>
    <col min="8457" max="8457" width="23.6640625" style="852" customWidth="1"/>
    <col min="8458" max="8458" width="11.5546875" style="852" bestFit="1" customWidth="1"/>
    <col min="8459" max="8459" width="18.44140625" style="852" customWidth="1"/>
    <col min="8460" max="8460" width="17.5546875" style="852" customWidth="1"/>
    <col min="8461" max="8461" width="52" style="852" customWidth="1"/>
    <col min="8462" max="8470" width="0" style="852" hidden="1" customWidth="1"/>
    <col min="8471" max="8471" width="17.88671875" style="852" customWidth="1"/>
    <col min="8472" max="8472" width="18" style="852" customWidth="1"/>
    <col min="8473" max="8473" width="11.44140625" style="852" customWidth="1"/>
    <col min="8474" max="8474" width="18.44140625" style="852" bestFit="1" customWidth="1"/>
    <col min="8475" max="8475" width="18.109375" style="852" customWidth="1"/>
    <col min="8476" max="8709" width="11.44140625" style="852"/>
    <col min="8710" max="8710" width="16.88671875" style="852" customWidth="1"/>
    <col min="8711" max="8711" width="23.5546875" style="852" customWidth="1"/>
    <col min="8712" max="8712" width="26.109375" style="852" customWidth="1"/>
    <col min="8713" max="8713" width="23.6640625" style="852" customWidth="1"/>
    <col min="8714" max="8714" width="11.5546875" style="852" bestFit="1" customWidth="1"/>
    <col min="8715" max="8715" width="18.44140625" style="852" customWidth="1"/>
    <col min="8716" max="8716" width="17.5546875" style="852" customWidth="1"/>
    <col min="8717" max="8717" width="52" style="852" customWidth="1"/>
    <col min="8718" max="8726" width="0" style="852" hidden="1" customWidth="1"/>
    <col min="8727" max="8727" width="17.88671875" style="852" customWidth="1"/>
    <col min="8728" max="8728" width="18" style="852" customWidth="1"/>
    <col min="8729" max="8729" width="11.44140625" style="852" customWidth="1"/>
    <col min="8730" max="8730" width="18.44140625" style="852" bestFit="1" customWidth="1"/>
    <col min="8731" max="8731" width="18.109375" style="852" customWidth="1"/>
    <col min="8732" max="8965" width="11.44140625" style="852"/>
    <col min="8966" max="8966" width="16.88671875" style="852" customWidth="1"/>
    <col min="8967" max="8967" width="23.5546875" style="852" customWidth="1"/>
    <col min="8968" max="8968" width="26.109375" style="852" customWidth="1"/>
    <col min="8969" max="8969" width="23.6640625" style="852" customWidth="1"/>
    <col min="8970" max="8970" width="11.5546875" style="852" bestFit="1" customWidth="1"/>
    <col min="8971" max="8971" width="18.44140625" style="852" customWidth="1"/>
    <col min="8972" max="8972" width="17.5546875" style="852" customWidth="1"/>
    <col min="8973" max="8973" width="52" style="852" customWidth="1"/>
    <col min="8974" max="8982" width="0" style="852" hidden="1" customWidth="1"/>
    <col min="8983" max="8983" width="17.88671875" style="852" customWidth="1"/>
    <col min="8984" max="8984" width="18" style="852" customWidth="1"/>
    <col min="8985" max="8985" width="11.44140625" style="852" customWidth="1"/>
    <col min="8986" max="8986" width="18.44140625" style="852" bestFit="1" customWidth="1"/>
    <col min="8987" max="8987" width="18.109375" style="852" customWidth="1"/>
    <col min="8988" max="9221" width="11.44140625" style="852"/>
    <col min="9222" max="9222" width="16.88671875" style="852" customWidth="1"/>
    <col min="9223" max="9223" width="23.5546875" style="852" customWidth="1"/>
    <col min="9224" max="9224" width="26.109375" style="852" customWidth="1"/>
    <col min="9225" max="9225" width="23.6640625" style="852" customWidth="1"/>
    <col min="9226" max="9226" width="11.5546875" style="852" bestFit="1" customWidth="1"/>
    <col min="9227" max="9227" width="18.44140625" style="852" customWidth="1"/>
    <col min="9228" max="9228" width="17.5546875" style="852" customWidth="1"/>
    <col min="9229" max="9229" width="52" style="852" customWidth="1"/>
    <col min="9230" max="9238" width="0" style="852" hidden="1" customWidth="1"/>
    <col min="9239" max="9239" width="17.88671875" style="852" customWidth="1"/>
    <col min="9240" max="9240" width="18" style="852" customWidth="1"/>
    <col min="9241" max="9241" width="11.44140625" style="852" customWidth="1"/>
    <col min="9242" max="9242" width="18.44140625" style="852" bestFit="1" customWidth="1"/>
    <col min="9243" max="9243" width="18.109375" style="852" customWidth="1"/>
    <col min="9244" max="9477" width="11.44140625" style="852"/>
    <col min="9478" max="9478" width="16.88671875" style="852" customWidth="1"/>
    <col min="9479" max="9479" width="23.5546875" style="852" customWidth="1"/>
    <col min="9480" max="9480" width="26.109375" style="852" customWidth="1"/>
    <col min="9481" max="9481" width="23.6640625" style="852" customWidth="1"/>
    <col min="9482" max="9482" width="11.5546875" style="852" bestFit="1" customWidth="1"/>
    <col min="9483" max="9483" width="18.44140625" style="852" customWidth="1"/>
    <col min="9484" max="9484" width="17.5546875" style="852" customWidth="1"/>
    <col min="9485" max="9485" width="52" style="852" customWidth="1"/>
    <col min="9486" max="9494" width="0" style="852" hidden="1" customWidth="1"/>
    <col min="9495" max="9495" width="17.88671875" style="852" customWidth="1"/>
    <col min="9496" max="9496" width="18" style="852" customWidth="1"/>
    <col min="9497" max="9497" width="11.44140625" style="852" customWidth="1"/>
    <col min="9498" max="9498" width="18.44140625" style="852" bestFit="1" customWidth="1"/>
    <col min="9499" max="9499" width="18.109375" style="852" customWidth="1"/>
    <col min="9500" max="9733" width="11.44140625" style="852"/>
    <col min="9734" max="9734" width="16.88671875" style="852" customWidth="1"/>
    <col min="9735" max="9735" width="23.5546875" style="852" customWidth="1"/>
    <col min="9736" max="9736" width="26.109375" style="852" customWidth="1"/>
    <col min="9737" max="9737" width="23.6640625" style="852" customWidth="1"/>
    <col min="9738" max="9738" width="11.5546875" style="852" bestFit="1" customWidth="1"/>
    <col min="9739" max="9739" width="18.44140625" style="852" customWidth="1"/>
    <col min="9740" max="9740" width="17.5546875" style="852" customWidth="1"/>
    <col min="9741" max="9741" width="52" style="852" customWidth="1"/>
    <col min="9742" max="9750" width="0" style="852" hidden="1" customWidth="1"/>
    <col min="9751" max="9751" width="17.88671875" style="852" customWidth="1"/>
    <col min="9752" max="9752" width="18" style="852" customWidth="1"/>
    <col min="9753" max="9753" width="11.44140625" style="852" customWidth="1"/>
    <col min="9754" max="9754" width="18.44140625" style="852" bestFit="1" customWidth="1"/>
    <col min="9755" max="9755" width="18.109375" style="852" customWidth="1"/>
    <col min="9756" max="9989" width="11.44140625" style="852"/>
    <col min="9990" max="9990" width="16.88671875" style="852" customWidth="1"/>
    <col min="9991" max="9991" width="23.5546875" style="852" customWidth="1"/>
    <col min="9992" max="9992" width="26.109375" style="852" customWidth="1"/>
    <col min="9993" max="9993" width="23.6640625" style="852" customWidth="1"/>
    <col min="9994" max="9994" width="11.5546875" style="852" bestFit="1" customWidth="1"/>
    <col min="9995" max="9995" width="18.44140625" style="852" customWidth="1"/>
    <col min="9996" max="9996" width="17.5546875" style="852" customWidth="1"/>
    <col min="9997" max="9997" width="52" style="852" customWidth="1"/>
    <col min="9998" max="10006" width="0" style="852" hidden="1" customWidth="1"/>
    <col min="10007" max="10007" width="17.88671875" style="852" customWidth="1"/>
    <col min="10008" max="10008" width="18" style="852" customWidth="1"/>
    <col min="10009" max="10009" width="11.44140625" style="852" customWidth="1"/>
    <col min="10010" max="10010" width="18.44140625" style="852" bestFit="1" customWidth="1"/>
    <col min="10011" max="10011" width="18.109375" style="852" customWidth="1"/>
    <col min="10012" max="10245" width="11.44140625" style="852"/>
    <col min="10246" max="10246" width="16.88671875" style="852" customWidth="1"/>
    <col min="10247" max="10247" width="23.5546875" style="852" customWidth="1"/>
    <col min="10248" max="10248" width="26.109375" style="852" customWidth="1"/>
    <col min="10249" max="10249" width="23.6640625" style="852" customWidth="1"/>
    <col min="10250" max="10250" width="11.5546875" style="852" bestFit="1" customWidth="1"/>
    <col min="10251" max="10251" width="18.44140625" style="852" customWidth="1"/>
    <col min="10252" max="10252" width="17.5546875" style="852" customWidth="1"/>
    <col min="10253" max="10253" width="52" style="852" customWidth="1"/>
    <col min="10254" max="10262" width="0" style="852" hidden="1" customWidth="1"/>
    <col min="10263" max="10263" width="17.88671875" style="852" customWidth="1"/>
    <col min="10264" max="10264" width="18" style="852" customWidth="1"/>
    <col min="10265" max="10265" width="11.44140625" style="852" customWidth="1"/>
    <col min="10266" max="10266" width="18.44140625" style="852" bestFit="1" customWidth="1"/>
    <col min="10267" max="10267" width="18.109375" style="852" customWidth="1"/>
    <col min="10268" max="10501" width="11.44140625" style="852"/>
    <col min="10502" max="10502" width="16.88671875" style="852" customWidth="1"/>
    <col min="10503" max="10503" width="23.5546875" style="852" customWidth="1"/>
    <col min="10504" max="10504" width="26.109375" style="852" customWidth="1"/>
    <col min="10505" max="10505" width="23.6640625" style="852" customWidth="1"/>
    <col min="10506" max="10506" width="11.5546875" style="852" bestFit="1" customWidth="1"/>
    <col min="10507" max="10507" width="18.44140625" style="852" customWidth="1"/>
    <col min="10508" max="10508" width="17.5546875" style="852" customWidth="1"/>
    <col min="10509" max="10509" width="52" style="852" customWidth="1"/>
    <col min="10510" max="10518" width="0" style="852" hidden="1" customWidth="1"/>
    <col min="10519" max="10519" width="17.88671875" style="852" customWidth="1"/>
    <col min="10520" max="10520" width="18" style="852" customWidth="1"/>
    <col min="10521" max="10521" width="11.44140625" style="852" customWidth="1"/>
    <col min="10522" max="10522" width="18.44140625" style="852" bestFit="1" customWidth="1"/>
    <col min="10523" max="10523" width="18.109375" style="852" customWidth="1"/>
    <col min="10524" max="10757" width="11.44140625" style="852"/>
    <col min="10758" max="10758" width="16.88671875" style="852" customWidth="1"/>
    <col min="10759" max="10759" width="23.5546875" style="852" customWidth="1"/>
    <col min="10760" max="10760" width="26.109375" style="852" customWidth="1"/>
    <col min="10761" max="10761" width="23.6640625" style="852" customWidth="1"/>
    <col min="10762" max="10762" width="11.5546875" style="852" bestFit="1" customWidth="1"/>
    <col min="10763" max="10763" width="18.44140625" style="852" customWidth="1"/>
    <col min="10764" max="10764" width="17.5546875" style="852" customWidth="1"/>
    <col min="10765" max="10765" width="52" style="852" customWidth="1"/>
    <col min="10766" max="10774" width="0" style="852" hidden="1" customWidth="1"/>
    <col min="10775" max="10775" width="17.88671875" style="852" customWidth="1"/>
    <col min="10776" max="10776" width="18" style="852" customWidth="1"/>
    <col min="10777" max="10777" width="11.44140625" style="852" customWidth="1"/>
    <col min="10778" max="10778" width="18.44140625" style="852" bestFit="1" customWidth="1"/>
    <col min="10779" max="10779" width="18.109375" style="852" customWidth="1"/>
    <col min="10780" max="11013" width="11.44140625" style="852"/>
    <col min="11014" max="11014" width="16.88671875" style="852" customWidth="1"/>
    <col min="11015" max="11015" width="23.5546875" style="852" customWidth="1"/>
    <col min="11016" max="11016" width="26.109375" style="852" customWidth="1"/>
    <col min="11017" max="11017" width="23.6640625" style="852" customWidth="1"/>
    <col min="11018" max="11018" width="11.5546875" style="852" bestFit="1" customWidth="1"/>
    <col min="11019" max="11019" width="18.44140625" style="852" customWidth="1"/>
    <col min="11020" max="11020" width="17.5546875" style="852" customWidth="1"/>
    <col min="11021" max="11021" width="52" style="852" customWidth="1"/>
    <col min="11022" max="11030" width="0" style="852" hidden="1" customWidth="1"/>
    <col min="11031" max="11031" width="17.88671875" style="852" customWidth="1"/>
    <col min="11032" max="11032" width="18" style="852" customWidth="1"/>
    <col min="11033" max="11033" width="11.44140625" style="852" customWidth="1"/>
    <col min="11034" max="11034" width="18.44140625" style="852" bestFit="1" customWidth="1"/>
    <col min="11035" max="11035" width="18.109375" style="852" customWidth="1"/>
    <col min="11036" max="11269" width="11.44140625" style="852"/>
    <col min="11270" max="11270" width="16.88671875" style="852" customWidth="1"/>
    <col min="11271" max="11271" width="23.5546875" style="852" customWidth="1"/>
    <col min="11272" max="11272" width="26.109375" style="852" customWidth="1"/>
    <col min="11273" max="11273" width="23.6640625" style="852" customWidth="1"/>
    <col min="11274" max="11274" width="11.5546875" style="852" bestFit="1" customWidth="1"/>
    <col min="11275" max="11275" width="18.44140625" style="852" customWidth="1"/>
    <col min="11276" max="11276" width="17.5546875" style="852" customWidth="1"/>
    <col min="11277" max="11277" width="52" style="852" customWidth="1"/>
    <col min="11278" max="11286" width="0" style="852" hidden="1" customWidth="1"/>
    <col min="11287" max="11287" width="17.88671875" style="852" customWidth="1"/>
    <col min="11288" max="11288" width="18" style="852" customWidth="1"/>
    <col min="11289" max="11289" width="11.44140625" style="852" customWidth="1"/>
    <col min="11290" max="11290" width="18.44140625" style="852" bestFit="1" customWidth="1"/>
    <col min="11291" max="11291" width="18.109375" style="852" customWidth="1"/>
    <col min="11292" max="11525" width="11.44140625" style="852"/>
    <col min="11526" max="11526" width="16.88671875" style="852" customWidth="1"/>
    <col min="11527" max="11527" width="23.5546875" style="852" customWidth="1"/>
    <col min="11528" max="11528" width="26.109375" style="852" customWidth="1"/>
    <col min="11529" max="11529" width="23.6640625" style="852" customWidth="1"/>
    <col min="11530" max="11530" width="11.5546875" style="852" bestFit="1" customWidth="1"/>
    <col min="11531" max="11531" width="18.44140625" style="852" customWidth="1"/>
    <col min="11532" max="11532" width="17.5546875" style="852" customWidth="1"/>
    <col min="11533" max="11533" width="52" style="852" customWidth="1"/>
    <col min="11534" max="11542" width="0" style="852" hidden="1" customWidth="1"/>
    <col min="11543" max="11543" width="17.88671875" style="852" customWidth="1"/>
    <col min="11544" max="11544" width="18" style="852" customWidth="1"/>
    <col min="11545" max="11545" width="11.44140625" style="852" customWidth="1"/>
    <col min="11546" max="11546" width="18.44140625" style="852" bestFit="1" customWidth="1"/>
    <col min="11547" max="11547" width="18.109375" style="852" customWidth="1"/>
    <col min="11548" max="11781" width="11.44140625" style="852"/>
    <col min="11782" max="11782" width="16.88671875" style="852" customWidth="1"/>
    <col min="11783" max="11783" width="23.5546875" style="852" customWidth="1"/>
    <col min="11784" max="11784" width="26.109375" style="852" customWidth="1"/>
    <col min="11785" max="11785" width="23.6640625" style="852" customWidth="1"/>
    <col min="11786" max="11786" width="11.5546875" style="852" bestFit="1" customWidth="1"/>
    <col min="11787" max="11787" width="18.44140625" style="852" customWidth="1"/>
    <col min="11788" max="11788" width="17.5546875" style="852" customWidth="1"/>
    <col min="11789" max="11789" width="52" style="852" customWidth="1"/>
    <col min="11790" max="11798" width="0" style="852" hidden="1" customWidth="1"/>
    <col min="11799" max="11799" width="17.88671875" style="852" customWidth="1"/>
    <col min="11800" max="11800" width="18" style="852" customWidth="1"/>
    <col min="11801" max="11801" width="11.44140625" style="852" customWidth="1"/>
    <col min="11802" max="11802" width="18.44140625" style="852" bestFit="1" customWidth="1"/>
    <col min="11803" max="11803" width="18.109375" style="852" customWidth="1"/>
    <col min="11804" max="12037" width="11.44140625" style="852"/>
    <col min="12038" max="12038" width="16.88671875" style="852" customWidth="1"/>
    <col min="12039" max="12039" width="23.5546875" style="852" customWidth="1"/>
    <col min="12040" max="12040" width="26.109375" style="852" customWidth="1"/>
    <col min="12041" max="12041" width="23.6640625" style="852" customWidth="1"/>
    <col min="12042" max="12042" width="11.5546875" style="852" bestFit="1" customWidth="1"/>
    <col min="12043" max="12043" width="18.44140625" style="852" customWidth="1"/>
    <col min="12044" max="12044" width="17.5546875" style="852" customWidth="1"/>
    <col min="12045" max="12045" width="52" style="852" customWidth="1"/>
    <col min="12046" max="12054" width="0" style="852" hidden="1" customWidth="1"/>
    <col min="12055" max="12055" width="17.88671875" style="852" customWidth="1"/>
    <col min="12056" max="12056" width="18" style="852" customWidth="1"/>
    <col min="12057" max="12057" width="11.44140625" style="852" customWidth="1"/>
    <col min="12058" max="12058" width="18.44140625" style="852" bestFit="1" customWidth="1"/>
    <col min="12059" max="12059" width="18.109375" style="852" customWidth="1"/>
    <col min="12060" max="12293" width="11.44140625" style="852"/>
    <col min="12294" max="12294" width="16.88671875" style="852" customWidth="1"/>
    <col min="12295" max="12295" width="23.5546875" style="852" customWidth="1"/>
    <col min="12296" max="12296" width="26.109375" style="852" customWidth="1"/>
    <col min="12297" max="12297" width="23.6640625" style="852" customWidth="1"/>
    <col min="12298" max="12298" width="11.5546875" style="852" bestFit="1" customWidth="1"/>
    <col min="12299" max="12299" width="18.44140625" style="852" customWidth="1"/>
    <col min="12300" max="12300" width="17.5546875" style="852" customWidth="1"/>
    <col min="12301" max="12301" width="52" style="852" customWidth="1"/>
    <col min="12302" max="12310" width="0" style="852" hidden="1" customWidth="1"/>
    <col min="12311" max="12311" width="17.88671875" style="852" customWidth="1"/>
    <col min="12312" max="12312" width="18" style="852" customWidth="1"/>
    <col min="12313" max="12313" width="11.44140625" style="852" customWidth="1"/>
    <col min="12314" max="12314" width="18.44140625" style="852" bestFit="1" customWidth="1"/>
    <col min="12315" max="12315" width="18.109375" style="852" customWidth="1"/>
    <col min="12316" max="12549" width="11.44140625" style="852"/>
    <col min="12550" max="12550" width="16.88671875" style="852" customWidth="1"/>
    <col min="12551" max="12551" width="23.5546875" style="852" customWidth="1"/>
    <col min="12552" max="12552" width="26.109375" style="852" customWidth="1"/>
    <col min="12553" max="12553" width="23.6640625" style="852" customWidth="1"/>
    <col min="12554" max="12554" width="11.5546875" style="852" bestFit="1" customWidth="1"/>
    <col min="12555" max="12555" width="18.44140625" style="852" customWidth="1"/>
    <col min="12556" max="12556" width="17.5546875" style="852" customWidth="1"/>
    <col min="12557" max="12557" width="52" style="852" customWidth="1"/>
    <col min="12558" max="12566" width="0" style="852" hidden="1" customWidth="1"/>
    <col min="12567" max="12567" width="17.88671875" style="852" customWidth="1"/>
    <col min="12568" max="12568" width="18" style="852" customWidth="1"/>
    <col min="12569" max="12569" width="11.44140625" style="852" customWidth="1"/>
    <col min="12570" max="12570" width="18.44140625" style="852" bestFit="1" customWidth="1"/>
    <col min="12571" max="12571" width="18.109375" style="852" customWidth="1"/>
    <col min="12572" max="12805" width="11.44140625" style="852"/>
    <col min="12806" max="12806" width="16.88671875" style="852" customWidth="1"/>
    <col min="12807" max="12807" width="23.5546875" style="852" customWidth="1"/>
    <col min="12808" max="12808" width="26.109375" style="852" customWidth="1"/>
    <col min="12809" max="12809" width="23.6640625" style="852" customWidth="1"/>
    <col min="12810" max="12810" width="11.5546875" style="852" bestFit="1" customWidth="1"/>
    <col min="12811" max="12811" width="18.44140625" style="852" customWidth="1"/>
    <col min="12812" max="12812" width="17.5546875" style="852" customWidth="1"/>
    <col min="12813" max="12813" width="52" style="852" customWidth="1"/>
    <col min="12814" max="12822" width="0" style="852" hidden="1" customWidth="1"/>
    <col min="12823" max="12823" width="17.88671875" style="852" customWidth="1"/>
    <col min="12824" max="12824" width="18" style="852" customWidth="1"/>
    <col min="12825" max="12825" width="11.44140625" style="852" customWidth="1"/>
    <col min="12826" max="12826" width="18.44140625" style="852" bestFit="1" customWidth="1"/>
    <col min="12827" max="12827" width="18.109375" style="852" customWidth="1"/>
    <col min="12828" max="13061" width="11.44140625" style="852"/>
    <col min="13062" max="13062" width="16.88671875" style="852" customWidth="1"/>
    <col min="13063" max="13063" width="23.5546875" style="852" customWidth="1"/>
    <col min="13064" max="13064" width="26.109375" style="852" customWidth="1"/>
    <col min="13065" max="13065" width="23.6640625" style="852" customWidth="1"/>
    <col min="13066" max="13066" width="11.5546875" style="852" bestFit="1" customWidth="1"/>
    <col min="13067" max="13067" width="18.44140625" style="852" customWidth="1"/>
    <col min="13068" max="13068" width="17.5546875" style="852" customWidth="1"/>
    <col min="13069" max="13069" width="52" style="852" customWidth="1"/>
    <col min="13070" max="13078" width="0" style="852" hidden="1" customWidth="1"/>
    <col min="13079" max="13079" width="17.88671875" style="852" customWidth="1"/>
    <col min="13080" max="13080" width="18" style="852" customWidth="1"/>
    <col min="13081" max="13081" width="11.44140625" style="852" customWidth="1"/>
    <col min="13082" max="13082" width="18.44140625" style="852" bestFit="1" customWidth="1"/>
    <col min="13083" max="13083" width="18.109375" style="852" customWidth="1"/>
    <col min="13084" max="13317" width="11.44140625" style="852"/>
    <col min="13318" max="13318" width="16.88671875" style="852" customWidth="1"/>
    <col min="13319" max="13319" width="23.5546875" style="852" customWidth="1"/>
    <col min="13320" max="13320" width="26.109375" style="852" customWidth="1"/>
    <col min="13321" max="13321" width="23.6640625" style="852" customWidth="1"/>
    <col min="13322" max="13322" width="11.5546875" style="852" bestFit="1" customWidth="1"/>
    <col min="13323" max="13323" width="18.44140625" style="852" customWidth="1"/>
    <col min="13324" max="13324" width="17.5546875" style="852" customWidth="1"/>
    <col min="13325" max="13325" width="52" style="852" customWidth="1"/>
    <col min="13326" max="13334" width="0" style="852" hidden="1" customWidth="1"/>
    <col min="13335" max="13335" width="17.88671875" style="852" customWidth="1"/>
    <col min="13336" max="13336" width="18" style="852" customWidth="1"/>
    <col min="13337" max="13337" width="11.44140625" style="852" customWidth="1"/>
    <col min="13338" max="13338" width="18.44140625" style="852" bestFit="1" customWidth="1"/>
    <col min="13339" max="13339" width="18.109375" style="852" customWidth="1"/>
    <col min="13340" max="13573" width="11.44140625" style="852"/>
    <col min="13574" max="13574" width="16.88671875" style="852" customWidth="1"/>
    <col min="13575" max="13575" width="23.5546875" style="852" customWidth="1"/>
    <col min="13576" max="13576" width="26.109375" style="852" customWidth="1"/>
    <col min="13577" max="13577" width="23.6640625" style="852" customWidth="1"/>
    <col min="13578" max="13578" width="11.5546875" style="852" bestFit="1" customWidth="1"/>
    <col min="13579" max="13579" width="18.44140625" style="852" customWidth="1"/>
    <col min="13580" max="13580" width="17.5546875" style="852" customWidth="1"/>
    <col min="13581" max="13581" width="52" style="852" customWidth="1"/>
    <col min="13582" max="13590" width="0" style="852" hidden="1" customWidth="1"/>
    <col min="13591" max="13591" width="17.88671875" style="852" customWidth="1"/>
    <col min="13592" max="13592" width="18" style="852" customWidth="1"/>
    <col min="13593" max="13593" width="11.44140625" style="852" customWidth="1"/>
    <col min="13594" max="13594" width="18.44140625" style="852" bestFit="1" customWidth="1"/>
    <col min="13595" max="13595" width="18.109375" style="852" customWidth="1"/>
    <col min="13596" max="13829" width="11.44140625" style="852"/>
    <col min="13830" max="13830" width="16.88671875" style="852" customWidth="1"/>
    <col min="13831" max="13831" width="23.5546875" style="852" customWidth="1"/>
    <col min="13832" max="13832" width="26.109375" style="852" customWidth="1"/>
    <col min="13833" max="13833" width="23.6640625" style="852" customWidth="1"/>
    <col min="13834" max="13834" width="11.5546875" style="852" bestFit="1" customWidth="1"/>
    <col min="13835" max="13835" width="18.44140625" style="852" customWidth="1"/>
    <col min="13836" max="13836" width="17.5546875" style="852" customWidth="1"/>
    <col min="13837" max="13837" width="52" style="852" customWidth="1"/>
    <col min="13838" max="13846" width="0" style="852" hidden="1" customWidth="1"/>
    <col min="13847" max="13847" width="17.88671875" style="852" customWidth="1"/>
    <col min="13848" max="13848" width="18" style="852" customWidth="1"/>
    <col min="13849" max="13849" width="11.44140625" style="852" customWidth="1"/>
    <col min="13850" max="13850" width="18.44140625" style="852" bestFit="1" customWidth="1"/>
    <col min="13851" max="13851" width="18.109375" style="852" customWidth="1"/>
    <col min="13852" max="14085" width="11.44140625" style="852"/>
    <col min="14086" max="14086" width="16.88671875" style="852" customWidth="1"/>
    <col min="14087" max="14087" width="23.5546875" style="852" customWidth="1"/>
    <col min="14088" max="14088" width="26.109375" style="852" customWidth="1"/>
    <col min="14089" max="14089" width="23.6640625" style="852" customWidth="1"/>
    <col min="14090" max="14090" width="11.5546875" style="852" bestFit="1" customWidth="1"/>
    <col min="14091" max="14091" width="18.44140625" style="852" customWidth="1"/>
    <col min="14092" max="14092" width="17.5546875" style="852" customWidth="1"/>
    <col min="14093" max="14093" width="52" style="852" customWidth="1"/>
    <col min="14094" max="14102" width="0" style="852" hidden="1" customWidth="1"/>
    <col min="14103" max="14103" width="17.88671875" style="852" customWidth="1"/>
    <col min="14104" max="14104" width="18" style="852" customWidth="1"/>
    <col min="14105" max="14105" width="11.44140625" style="852" customWidth="1"/>
    <col min="14106" max="14106" width="18.44140625" style="852" bestFit="1" customWidth="1"/>
    <col min="14107" max="14107" width="18.109375" style="852" customWidth="1"/>
    <col min="14108" max="14341" width="11.44140625" style="852"/>
    <col min="14342" max="14342" width="16.88671875" style="852" customWidth="1"/>
    <col min="14343" max="14343" width="23.5546875" style="852" customWidth="1"/>
    <col min="14344" max="14344" width="26.109375" style="852" customWidth="1"/>
    <col min="14345" max="14345" width="23.6640625" style="852" customWidth="1"/>
    <col min="14346" max="14346" width="11.5546875" style="852" bestFit="1" customWidth="1"/>
    <col min="14347" max="14347" width="18.44140625" style="852" customWidth="1"/>
    <col min="14348" max="14348" width="17.5546875" style="852" customWidth="1"/>
    <col min="14349" max="14349" width="52" style="852" customWidth="1"/>
    <col min="14350" max="14358" width="0" style="852" hidden="1" customWidth="1"/>
    <col min="14359" max="14359" width="17.88671875" style="852" customWidth="1"/>
    <col min="14360" max="14360" width="18" style="852" customWidth="1"/>
    <col min="14361" max="14361" width="11.44140625" style="852" customWidth="1"/>
    <col min="14362" max="14362" width="18.44140625" style="852" bestFit="1" customWidth="1"/>
    <col min="14363" max="14363" width="18.109375" style="852" customWidth="1"/>
    <col min="14364" max="14597" width="11.44140625" style="852"/>
    <col min="14598" max="14598" width="16.88671875" style="852" customWidth="1"/>
    <col min="14599" max="14599" width="23.5546875" style="852" customWidth="1"/>
    <col min="14600" max="14600" width="26.109375" style="852" customWidth="1"/>
    <col min="14601" max="14601" width="23.6640625" style="852" customWidth="1"/>
    <col min="14602" max="14602" width="11.5546875" style="852" bestFit="1" customWidth="1"/>
    <col min="14603" max="14603" width="18.44140625" style="852" customWidth="1"/>
    <col min="14604" max="14604" width="17.5546875" style="852" customWidth="1"/>
    <col min="14605" max="14605" width="52" style="852" customWidth="1"/>
    <col min="14606" max="14614" width="0" style="852" hidden="1" customWidth="1"/>
    <col min="14615" max="14615" width="17.88671875" style="852" customWidth="1"/>
    <col min="14616" max="14616" width="18" style="852" customWidth="1"/>
    <col min="14617" max="14617" width="11.44140625" style="852" customWidth="1"/>
    <col min="14618" max="14618" width="18.44140625" style="852" bestFit="1" customWidth="1"/>
    <col min="14619" max="14619" width="18.109375" style="852" customWidth="1"/>
    <col min="14620" max="14853" width="11.44140625" style="852"/>
    <col min="14854" max="14854" width="16.88671875" style="852" customWidth="1"/>
    <col min="14855" max="14855" width="23.5546875" style="852" customWidth="1"/>
    <col min="14856" max="14856" width="26.109375" style="852" customWidth="1"/>
    <col min="14857" max="14857" width="23.6640625" style="852" customWidth="1"/>
    <col min="14858" max="14858" width="11.5546875" style="852" bestFit="1" customWidth="1"/>
    <col min="14859" max="14859" width="18.44140625" style="852" customWidth="1"/>
    <col min="14860" max="14860" width="17.5546875" style="852" customWidth="1"/>
    <col min="14861" max="14861" width="52" style="852" customWidth="1"/>
    <col min="14862" max="14870" width="0" style="852" hidden="1" customWidth="1"/>
    <col min="14871" max="14871" width="17.88671875" style="852" customWidth="1"/>
    <col min="14872" max="14872" width="18" style="852" customWidth="1"/>
    <col min="14873" max="14873" width="11.44140625" style="852" customWidth="1"/>
    <col min="14874" max="14874" width="18.44140625" style="852" bestFit="1" customWidth="1"/>
    <col min="14875" max="14875" width="18.109375" style="852" customWidth="1"/>
    <col min="14876" max="15109" width="11.44140625" style="852"/>
    <col min="15110" max="15110" width="16.88671875" style="852" customWidth="1"/>
    <col min="15111" max="15111" width="23.5546875" style="852" customWidth="1"/>
    <col min="15112" max="15112" width="26.109375" style="852" customWidth="1"/>
    <col min="15113" max="15113" width="23.6640625" style="852" customWidth="1"/>
    <col min="15114" max="15114" width="11.5546875" style="852" bestFit="1" customWidth="1"/>
    <col min="15115" max="15115" width="18.44140625" style="852" customWidth="1"/>
    <col min="15116" max="15116" width="17.5546875" style="852" customWidth="1"/>
    <col min="15117" max="15117" width="52" style="852" customWidth="1"/>
    <col min="15118" max="15126" width="0" style="852" hidden="1" customWidth="1"/>
    <col min="15127" max="15127" width="17.88671875" style="852" customWidth="1"/>
    <col min="15128" max="15128" width="18" style="852" customWidth="1"/>
    <col min="15129" max="15129" width="11.44140625" style="852" customWidth="1"/>
    <col min="15130" max="15130" width="18.44140625" style="852" bestFit="1" customWidth="1"/>
    <col min="15131" max="15131" width="18.109375" style="852" customWidth="1"/>
    <col min="15132" max="15365" width="11.44140625" style="852"/>
    <col min="15366" max="15366" width="16.88671875" style="852" customWidth="1"/>
    <col min="15367" max="15367" width="23.5546875" style="852" customWidth="1"/>
    <col min="15368" max="15368" width="26.109375" style="852" customWidth="1"/>
    <col min="15369" max="15369" width="23.6640625" style="852" customWidth="1"/>
    <col min="15370" max="15370" width="11.5546875" style="852" bestFit="1" customWidth="1"/>
    <col min="15371" max="15371" width="18.44140625" style="852" customWidth="1"/>
    <col min="15372" max="15372" width="17.5546875" style="852" customWidth="1"/>
    <col min="15373" max="15373" width="52" style="852" customWidth="1"/>
    <col min="15374" max="15382" width="0" style="852" hidden="1" customWidth="1"/>
    <col min="15383" max="15383" width="17.88671875" style="852" customWidth="1"/>
    <col min="15384" max="15384" width="18" style="852" customWidth="1"/>
    <col min="15385" max="15385" width="11.44140625" style="852" customWidth="1"/>
    <col min="15386" max="15386" width="18.44140625" style="852" bestFit="1" customWidth="1"/>
    <col min="15387" max="15387" width="18.109375" style="852" customWidth="1"/>
    <col min="15388" max="15621" width="11.44140625" style="852"/>
    <col min="15622" max="15622" width="16.88671875" style="852" customWidth="1"/>
    <col min="15623" max="15623" width="23.5546875" style="852" customWidth="1"/>
    <col min="15624" max="15624" width="26.109375" style="852" customWidth="1"/>
    <col min="15625" max="15625" width="23.6640625" style="852" customWidth="1"/>
    <col min="15626" max="15626" width="11.5546875" style="852" bestFit="1" customWidth="1"/>
    <col min="15627" max="15627" width="18.44140625" style="852" customWidth="1"/>
    <col min="15628" max="15628" width="17.5546875" style="852" customWidth="1"/>
    <col min="15629" max="15629" width="52" style="852" customWidth="1"/>
    <col min="15630" max="15638" width="0" style="852" hidden="1" customWidth="1"/>
    <col min="15639" max="15639" width="17.88671875" style="852" customWidth="1"/>
    <col min="15640" max="15640" width="18" style="852" customWidth="1"/>
    <col min="15641" max="15641" width="11.44140625" style="852" customWidth="1"/>
    <col min="15642" max="15642" width="18.44140625" style="852" bestFit="1" customWidth="1"/>
    <col min="15643" max="15643" width="18.109375" style="852" customWidth="1"/>
    <col min="15644" max="15877" width="11.44140625" style="852"/>
    <col min="15878" max="15878" width="16.88671875" style="852" customWidth="1"/>
    <col min="15879" max="15879" width="23.5546875" style="852" customWidth="1"/>
    <col min="15880" max="15880" width="26.109375" style="852" customWidth="1"/>
    <col min="15881" max="15881" width="23.6640625" style="852" customWidth="1"/>
    <col min="15882" max="15882" width="11.5546875" style="852" bestFit="1" customWidth="1"/>
    <col min="15883" max="15883" width="18.44140625" style="852" customWidth="1"/>
    <col min="15884" max="15884" width="17.5546875" style="852" customWidth="1"/>
    <col min="15885" max="15885" width="52" style="852" customWidth="1"/>
    <col min="15886" max="15894" width="0" style="852" hidden="1" customWidth="1"/>
    <col min="15895" max="15895" width="17.88671875" style="852" customWidth="1"/>
    <col min="15896" max="15896" width="18" style="852" customWidth="1"/>
    <col min="15897" max="15897" width="11.44140625" style="852" customWidth="1"/>
    <col min="15898" max="15898" width="18.44140625" style="852" bestFit="1" customWidth="1"/>
    <col min="15899" max="15899" width="18.109375" style="852" customWidth="1"/>
    <col min="15900" max="16133" width="11.44140625" style="852"/>
    <col min="16134" max="16134" width="16.88671875" style="852" customWidth="1"/>
    <col min="16135" max="16135" width="23.5546875" style="852" customWidth="1"/>
    <col min="16136" max="16136" width="26.109375" style="852" customWidth="1"/>
    <col min="16137" max="16137" width="23.6640625" style="852" customWidth="1"/>
    <col min="16138" max="16138" width="11.5546875" style="852" bestFit="1" customWidth="1"/>
    <col min="16139" max="16139" width="18.44140625" style="852" customWidth="1"/>
    <col min="16140" max="16140" width="17.5546875" style="852" customWidth="1"/>
    <col min="16141" max="16141" width="52" style="852" customWidth="1"/>
    <col min="16142" max="16150" width="0" style="852" hidden="1" customWidth="1"/>
    <col min="16151" max="16151" width="17.88671875" style="852" customWidth="1"/>
    <col min="16152" max="16152" width="18" style="852" customWidth="1"/>
    <col min="16153" max="16153" width="11.44140625" style="852" customWidth="1"/>
    <col min="16154" max="16154" width="18.44140625" style="852" bestFit="1" customWidth="1"/>
    <col min="16155" max="16155" width="18.109375" style="852" customWidth="1"/>
    <col min="16156" max="16384" width="11.44140625" style="852"/>
  </cols>
  <sheetData>
    <row r="1" spans="1:28" ht="68.25" customHeight="1" x14ac:dyDescent="0.3">
      <c r="A1" s="1374"/>
      <c r="B1" s="1375"/>
      <c r="C1" s="1378" t="s">
        <v>40</v>
      </c>
      <c r="D1" s="1378"/>
      <c r="E1" s="1378"/>
      <c r="F1" s="1378"/>
      <c r="G1" s="1378"/>
      <c r="H1" s="1378"/>
      <c r="I1" s="1378"/>
      <c r="J1" s="1378"/>
      <c r="K1" s="1378"/>
      <c r="L1" s="1378"/>
      <c r="M1" s="1378"/>
      <c r="N1" s="1378"/>
      <c r="O1" s="1378"/>
      <c r="P1" s="1378"/>
      <c r="Q1" s="1378"/>
      <c r="R1" s="1378"/>
      <c r="S1" s="1378"/>
      <c r="T1" s="1378"/>
      <c r="U1" s="1378"/>
      <c r="V1" s="1378"/>
      <c r="W1" s="1380" t="s">
        <v>2171</v>
      </c>
      <c r="X1" s="1381"/>
      <c r="Y1" s="1381"/>
      <c r="Z1" s="1381"/>
      <c r="AA1" s="1381"/>
      <c r="AB1" s="1382"/>
    </row>
    <row r="2" spans="1:28" ht="13.5" customHeight="1" x14ac:dyDescent="0.3">
      <c r="A2" s="1376"/>
      <c r="B2" s="1377"/>
      <c r="C2" s="1378"/>
      <c r="D2" s="1378"/>
      <c r="E2" s="1378"/>
      <c r="F2" s="1378"/>
      <c r="G2" s="1378"/>
      <c r="H2" s="1378"/>
      <c r="I2" s="1378"/>
      <c r="J2" s="1378"/>
      <c r="K2" s="1378"/>
      <c r="L2" s="1378"/>
      <c r="M2" s="1378"/>
      <c r="N2" s="1378"/>
      <c r="O2" s="1378"/>
      <c r="P2" s="1378"/>
      <c r="Q2" s="1378"/>
      <c r="R2" s="1378"/>
      <c r="S2" s="1378"/>
      <c r="T2" s="1378"/>
      <c r="U2" s="1378"/>
      <c r="V2" s="1378"/>
      <c r="W2" s="1383" t="s">
        <v>41</v>
      </c>
      <c r="X2" s="1384"/>
      <c r="Y2" s="1384"/>
      <c r="Z2" s="1384"/>
      <c r="AA2" s="1384"/>
      <c r="AB2" s="1385"/>
    </row>
    <row r="3" spans="1:28"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845"/>
      <c r="X3" s="845"/>
      <c r="Y3" s="845"/>
      <c r="Z3" s="1292"/>
      <c r="AA3" s="1292"/>
      <c r="AB3" s="1292"/>
    </row>
    <row r="4" spans="1:28"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845"/>
      <c r="X4" s="845"/>
      <c r="Y4" s="845"/>
      <c r="Z4" s="1292"/>
      <c r="AA4" s="1292"/>
      <c r="AB4" s="1292"/>
    </row>
    <row r="5" spans="1:28"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845"/>
      <c r="X5" s="845"/>
      <c r="Y5" s="845"/>
      <c r="Z5" s="1292"/>
      <c r="AA5" s="1292"/>
      <c r="AB5" s="1292"/>
    </row>
    <row r="6" spans="1:28"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845"/>
      <c r="X6" s="845"/>
      <c r="Y6" s="845"/>
      <c r="Z6" s="1292"/>
      <c r="AA6" s="1292"/>
      <c r="AB6" s="1292"/>
    </row>
    <row r="7" spans="1:28" ht="32.25" customHeight="1" x14ac:dyDescent="0.3">
      <c r="A7" s="1291" t="s">
        <v>2170</v>
      </c>
      <c r="B7" s="1292"/>
      <c r="C7" s="1292"/>
      <c r="D7" s="1292"/>
      <c r="E7" s="1292"/>
      <c r="F7" s="1292"/>
      <c r="G7" s="1292"/>
      <c r="H7" s="1292"/>
      <c r="I7" s="1292"/>
      <c r="J7" s="1292"/>
      <c r="K7" s="1292"/>
      <c r="L7" s="1292"/>
      <c r="M7" s="1292"/>
      <c r="N7" s="1292"/>
      <c r="O7" s="1292"/>
      <c r="P7" s="1292"/>
      <c r="Q7" s="1292"/>
      <c r="R7" s="1292"/>
      <c r="S7" s="1292"/>
      <c r="T7" s="1292"/>
      <c r="U7" s="1292"/>
      <c r="V7" s="1292"/>
      <c r="W7" s="845"/>
      <c r="X7" s="845"/>
      <c r="Y7" s="845"/>
      <c r="Z7" s="1291"/>
      <c r="AA7" s="1292"/>
      <c r="AB7" s="1292"/>
    </row>
    <row r="8" spans="1:28" ht="13.5" customHeight="1" x14ac:dyDescent="0.3">
      <c r="A8" s="1292" t="s">
        <v>2093</v>
      </c>
      <c r="B8" s="1292"/>
      <c r="C8" s="1292"/>
      <c r="D8" s="1292"/>
      <c r="E8" s="1292"/>
      <c r="F8" s="1292"/>
      <c r="G8" s="1292"/>
      <c r="H8" s="1292"/>
      <c r="I8" s="1292"/>
      <c r="J8" s="1292"/>
      <c r="K8" s="1292"/>
      <c r="L8" s="1292"/>
      <c r="M8" s="1292"/>
      <c r="N8" s="1292"/>
      <c r="O8" s="1292"/>
      <c r="P8" s="1292"/>
      <c r="Q8" s="1292"/>
      <c r="R8" s="1292"/>
      <c r="S8" s="1292"/>
      <c r="T8" s="1292"/>
      <c r="U8" s="1292"/>
      <c r="V8" s="1292"/>
      <c r="W8" s="845"/>
      <c r="X8" s="845"/>
      <c r="Y8" s="845"/>
      <c r="Z8" s="1292"/>
      <c r="AA8" s="1292"/>
      <c r="AB8" s="1292"/>
    </row>
    <row r="9" spans="1:28" ht="13.5" customHeight="1" x14ac:dyDescent="0.3">
      <c r="A9" s="1292" t="s">
        <v>2096</v>
      </c>
      <c r="B9" s="1292"/>
      <c r="C9" s="1292"/>
      <c r="D9" s="1292"/>
      <c r="E9" s="1292"/>
      <c r="F9" s="1292"/>
      <c r="G9" s="1292"/>
      <c r="H9" s="1292"/>
      <c r="I9" s="1292"/>
      <c r="J9" s="1292"/>
      <c r="K9" s="1292"/>
      <c r="L9" s="1292"/>
      <c r="M9" s="1292"/>
      <c r="N9" s="1292"/>
      <c r="O9" s="1292"/>
      <c r="P9" s="1292"/>
      <c r="Q9" s="1292"/>
      <c r="R9" s="1292"/>
      <c r="S9" s="1292"/>
      <c r="T9" s="1292"/>
      <c r="U9" s="1292"/>
      <c r="V9" s="1292"/>
      <c r="W9" s="845"/>
      <c r="X9" s="845"/>
      <c r="Y9" s="845"/>
      <c r="Z9" s="1292"/>
      <c r="AA9" s="1292"/>
      <c r="AB9" s="1292"/>
    </row>
    <row r="10" spans="1:28" ht="13.5" customHeight="1" x14ac:dyDescent="0.3">
      <c r="A10" s="1292" t="s">
        <v>2169</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845"/>
      <c r="X10" s="845"/>
      <c r="Y10" s="845"/>
      <c r="Z10" s="1292"/>
      <c r="AA10" s="1292"/>
      <c r="AB10" s="1292"/>
    </row>
    <row r="11" spans="1:28" ht="13.5" customHeight="1" x14ac:dyDescent="0.3">
      <c r="B11" s="1379"/>
      <c r="C11" s="1379"/>
      <c r="D11" s="1379"/>
      <c r="E11" s="1379"/>
      <c r="F11" s="1379"/>
      <c r="G11" s="1379"/>
      <c r="H11" s="1379"/>
      <c r="I11" s="1379"/>
      <c r="J11" s="1379"/>
      <c r="K11" s="1293" t="s">
        <v>46</v>
      </c>
      <c r="L11" s="1294"/>
      <c r="M11" s="1295"/>
      <c r="N11" s="1293" t="s">
        <v>464</v>
      </c>
      <c r="O11" s="1294"/>
      <c r="P11" s="1295"/>
      <c r="Q11" s="1293" t="s">
        <v>980</v>
      </c>
      <c r="R11" s="1294"/>
      <c r="S11" s="1295"/>
      <c r="T11" s="1293" t="s">
        <v>1408</v>
      </c>
      <c r="U11" s="1294"/>
      <c r="V11" s="1295"/>
      <c r="W11" s="1293" t="s">
        <v>2097</v>
      </c>
      <c r="X11" s="1294"/>
      <c r="Y11" s="1295"/>
      <c r="Z11" s="1299" t="s">
        <v>49</v>
      </c>
      <c r="AA11" s="1299"/>
      <c r="AB11" s="1299"/>
    </row>
    <row r="12" spans="1:28" ht="13.5" customHeight="1" x14ac:dyDescent="0.3">
      <c r="B12" s="1379"/>
      <c r="C12" s="1379"/>
      <c r="D12" s="1379"/>
      <c r="E12" s="1379"/>
      <c r="F12" s="1379"/>
      <c r="G12" s="1379"/>
      <c r="H12" s="1379"/>
      <c r="I12" s="1379"/>
      <c r="J12" s="1379"/>
      <c r="K12" s="1296"/>
      <c r="L12" s="1297"/>
      <c r="M12" s="1298"/>
      <c r="N12" s="1296"/>
      <c r="O12" s="1297"/>
      <c r="P12" s="1298"/>
      <c r="Q12" s="1296"/>
      <c r="R12" s="1297"/>
      <c r="S12" s="1298"/>
      <c r="T12" s="1296"/>
      <c r="U12" s="1297"/>
      <c r="V12" s="1298"/>
      <c r="W12" s="1296"/>
      <c r="X12" s="1297"/>
      <c r="Y12" s="1298"/>
      <c r="Z12" s="1300"/>
      <c r="AA12" s="1300"/>
      <c r="AB12" s="1300"/>
    </row>
    <row r="13" spans="1:28" ht="28.8" x14ac:dyDescent="0.3">
      <c r="A13" s="159" t="s">
        <v>50</v>
      </c>
      <c r="B13" s="159" t="s">
        <v>51</v>
      </c>
      <c r="C13" s="159" t="s">
        <v>52</v>
      </c>
      <c r="D13" s="159" t="s">
        <v>164</v>
      </c>
      <c r="E13" s="141" t="s">
        <v>54</v>
      </c>
      <c r="F13" s="141" t="s">
        <v>55</v>
      </c>
      <c r="G13" s="823" t="s">
        <v>2007</v>
      </c>
      <c r="H13" s="159" t="s">
        <v>56</v>
      </c>
      <c r="I13" s="824" t="s">
        <v>56</v>
      </c>
      <c r="J13" s="15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c r="Z13" s="209" t="s">
        <v>54</v>
      </c>
      <c r="AA13" s="209" t="s">
        <v>56</v>
      </c>
      <c r="AB13" s="209" t="s">
        <v>58</v>
      </c>
    </row>
    <row r="14" spans="1:28" ht="90" customHeight="1" x14ac:dyDescent="0.3">
      <c r="A14" s="1290" t="s">
        <v>283</v>
      </c>
      <c r="B14" s="1371" t="s">
        <v>2166</v>
      </c>
      <c r="C14" s="843" t="s">
        <v>59</v>
      </c>
      <c r="D14" s="843" t="s">
        <v>321</v>
      </c>
      <c r="E14" s="894">
        <v>1</v>
      </c>
      <c r="F14" s="895">
        <v>6024196</v>
      </c>
      <c r="G14" s="32">
        <f>+ROUND(F14*1.051,0)</f>
        <v>6331430</v>
      </c>
      <c r="H14" s="895">
        <f>ROUND((E14*F14),0)</f>
        <v>6024196</v>
      </c>
      <c r="I14" s="32">
        <f>+ROUND(G14*E14,0)</f>
        <v>6331430</v>
      </c>
      <c r="J14" s="1314" t="s">
        <v>2167</v>
      </c>
      <c r="K14" s="896">
        <v>0</v>
      </c>
      <c r="L14" s="897">
        <f>ROUND(K14*F14,0)</f>
        <v>0</v>
      </c>
      <c r="M14" s="898">
        <f>L14/H14</f>
        <v>0</v>
      </c>
      <c r="N14" s="896">
        <v>0</v>
      </c>
      <c r="O14" s="897">
        <f>ROUND(N14*$F$14,0)</f>
        <v>0</v>
      </c>
      <c r="P14" s="898">
        <f>O14/$H$14</f>
        <v>0</v>
      </c>
      <c r="Q14" s="532">
        <v>0.35</v>
      </c>
      <c r="R14" s="902">
        <f>ROUND(Q14*$F$14,0)</f>
        <v>2108469</v>
      </c>
      <c r="S14" s="534">
        <f>R14/$H$14</f>
        <v>0.35000006639890202</v>
      </c>
      <c r="T14" s="532">
        <v>0.3</v>
      </c>
      <c r="U14" s="902">
        <f>ROUND(T14*$F$14,0)</f>
        <v>1807259</v>
      </c>
      <c r="V14" s="534">
        <f>U14/$H$14</f>
        <v>0.30000003319945101</v>
      </c>
      <c r="W14" s="532">
        <v>0.35</v>
      </c>
      <c r="X14" s="902">
        <f>ROUND(W14*G14,0)</f>
        <v>2216001</v>
      </c>
      <c r="Y14" s="534">
        <f>X14/H14</f>
        <v>0.36785008323102369</v>
      </c>
      <c r="Z14" s="896">
        <f>K14+N14+Q14+T14+W14</f>
        <v>0.99999999999999989</v>
      </c>
      <c r="AA14" s="897">
        <f>L14+O14+R14+U14+X14</f>
        <v>6131729</v>
      </c>
      <c r="AB14" s="898">
        <f>AA14/H14</f>
        <v>1.0178501828293767</v>
      </c>
    </row>
    <row r="15" spans="1:28" ht="43.2" x14ac:dyDescent="0.3">
      <c r="A15" s="1289"/>
      <c r="B15" s="1372"/>
      <c r="C15" s="843" t="s">
        <v>61</v>
      </c>
      <c r="D15" s="843" t="s">
        <v>322</v>
      </c>
      <c r="E15" s="894">
        <v>1</v>
      </c>
      <c r="F15" s="514">
        <v>6650991</v>
      </c>
      <c r="G15" s="32">
        <f>+ROUND(F15*1.051,0)</f>
        <v>6990192</v>
      </c>
      <c r="H15" s="514">
        <f>ROUND((E15*F15),0)</f>
        <v>6650991</v>
      </c>
      <c r="I15" s="32">
        <f>+ROUND(G15*E15,0)</f>
        <v>6990192</v>
      </c>
      <c r="J15" s="1314"/>
      <c r="K15" s="532">
        <v>0.3</v>
      </c>
      <c r="L15" s="902">
        <f>ROUND(K15*F15,0)</f>
        <v>1995297</v>
      </c>
      <c r="M15" s="534">
        <f>L15/H15</f>
        <v>0.29999995489393988</v>
      </c>
      <c r="N15" s="532">
        <f>0.7*40%</f>
        <v>0.27999999999999997</v>
      </c>
      <c r="O15" s="902">
        <f>ROUND(N15*$F$15,0)</f>
        <v>1862277</v>
      </c>
      <c r="P15" s="534">
        <f>O15/$H$15</f>
        <v>0.27999992783030381</v>
      </c>
      <c r="Q15" s="532">
        <v>0.35</v>
      </c>
      <c r="R15" s="902">
        <f>ROUND(Q15*$F$15,0)</f>
        <v>2327847</v>
      </c>
      <c r="S15" s="534">
        <f>R15/$H$15</f>
        <v>0.35000002255303009</v>
      </c>
      <c r="T15" s="896">
        <v>0</v>
      </c>
      <c r="U15" s="897">
        <f>ROUND(T15*$F$15,0)</f>
        <v>0</v>
      </c>
      <c r="V15" s="898">
        <f>U15/$H$15</f>
        <v>0</v>
      </c>
      <c r="W15" s="930">
        <f>E15-SUM(Q15+N15+K15)</f>
        <v>7.0000000000000062E-2</v>
      </c>
      <c r="X15" s="902">
        <f>ROUND(W15*G15,0)</f>
        <v>489313</v>
      </c>
      <c r="Y15" s="534">
        <f>X15/H15</f>
        <v>7.3569938675304175E-2</v>
      </c>
      <c r="Z15" s="896">
        <f>K15+N15+Q15+T15+W15</f>
        <v>1</v>
      </c>
      <c r="AA15" s="897">
        <f>L15+O15+R15+U15+X15</f>
        <v>6674734</v>
      </c>
      <c r="AB15" s="898">
        <f>AA15/H15</f>
        <v>1.003569843952578</v>
      </c>
    </row>
    <row r="16" spans="1:28" x14ac:dyDescent="0.3">
      <c r="A16" s="1289"/>
      <c r="B16" s="39"/>
      <c r="C16" s="39"/>
      <c r="D16" s="41" t="s">
        <v>143</v>
      </c>
      <c r="E16" s="41"/>
      <c r="F16" s="41"/>
      <c r="G16" s="41"/>
      <c r="H16" s="42">
        <f>SUM(H14:H15)</f>
        <v>12675187</v>
      </c>
      <c r="I16" s="42">
        <f>SUM(I14:I15)</f>
        <v>13321622</v>
      </c>
      <c r="J16" s="1314"/>
      <c r="K16" s="428"/>
      <c r="L16" s="307">
        <f>SUM(L14:L15)</f>
        <v>1995297</v>
      </c>
      <c r="M16" s="431"/>
      <c r="N16" s="428"/>
      <c r="O16" s="307">
        <f>SUM(O14:O15)</f>
        <v>1862277</v>
      </c>
      <c r="P16" s="431">
        <f>O16/$H$16</f>
        <v>0.14692303947862859</v>
      </c>
      <c r="Q16" s="428"/>
      <c r="R16" s="307">
        <f>SUM(R14:R15)</f>
        <v>4436316</v>
      </c>
      <c r="S16" s="431">
        <f>R16/$H$16</f>
        <v>0.35000004339186475</v>
      </c>
      <c r="T16" s="428"/>
      <c r="U16" s="307">
        <f>SUM(U14:U15)</f>
        <v>1807259</v>
      </c>
      <c r="V16" s="431">
        <f>U16/$H$16</f>
        <v>0.14258243290611808</v>
      </c>
      <c r="W16" s="428"/>
      <c r="X16" s="307">
        <f>SUM(X14:X15)</f>
        <v>2705314</v>
      </c>
      <c r="Y16" s="431">
        <f>X16/$H$16</f>
        <v>0.21343385308634893</v>
      </c>
      <c r="Z16" s="428"/>
      <c r="AA16" s="307">
        <f>L16+O16+R16+U16+X16</f>
        <v>12806463</v>
      </c>
      <c r="AB16" s="431">
        <f>AA16/$H$16</f>
        <v>1.0103569280674123</v>
      </c>
    </row>
    <row r="17" spans="1:28" x14ac:dyDescent="0.3">
      <c r="F17" s="852" t="s">
        <v>64</v>
      </c>
      <c r="H17" s="514">
        <f>SUM(H2:H16)/2</f>
        <v>12675187</v>
      </c>
      <c r="I17" s="514">
        <f>SUM(I2:I16)/2</f>
        <v>13321622</v>
      </c>
      <c r="K17" s="896" t="s">
        <v>64</v>
      </c>
      <c r="L17" s="897">
        <f>SUM(L14:L16)/2</f>
        <v>1995297</v>
      </c>
      <c r="M17" s="108"/>
      <c r="N17" s="896" t="s">
        <v>64</v>
      </c>
      <c r="O17" s="897">
        <f>SUM(O14:O16)/2</f>
        <v>1862277</v>
      </c>
      <c r="P17" s="108"/>
      <c r="Q17" s="896" t="s">
        <v>64</v>
      </c>
      <c r="R17" s="897">
        <f>SUM(R14:R16)/2</f>
        <v>4436316</v>
      </c>
      <c r="S17" s="108"/>
      <c r="T17" s="896" t="s">
        <v>64</v>
      </c>
      <c r="U17" s="897">
        <f>SUM(U14:U16)/2</f>
        <v>1807259</v>
      </c>
      <c r="W17" s="484" t="s">
        <v>64</v>
      </c>
      <c r="X17" s="481">
        <f>SUM(X14:X16)/2</f>
        <v>2705314</v>
      </c>
      <c r="Z17" s="484" t="s">
        <v>64</v>
      </c>
      <c r="AA17" s="481">
        <f>SUM(AA2:AA16)/2</f>
        <v>12806463</v>
      </c>
    </row>
    <row r="18" spans="1:28" x14ac:dyDescent="0.3">
      <c r="F18" s="852" t="s">
        <v>65</v>
      </c>
      <c r="H18" s="514">
        <f>((H17*0.3)*0.03)</f>
        <v>114076.68299999999</v>
      </c>
      <c r="I18" s="514">
        <f>((I17*0.3)*0.03)</f>
        <v>119894.59799999998</v>
      </c>
      <c r="K18" s="896" t="s">
        <v>65</v>
      </c>
      <c r="L18" s="897">
        <f>L17*0.03</f>
        <v>59858.909999999996</v>
      </c>
      <c r="M18" s="108"/>
      <c r="N18" s="896" t="s">
        <v>65</v>
      </c>
      <c r="O18" s="897">
        <f>O17*0.03</f>
        <v>55868.31</v>
      </c>
      <c r="P18" s="108"/>
      <c r="Q18" s="896" t="s">
        <v>65</v>
      </c>
      <c r="R18" s="897">
        <v>0</v>
      </c>
      <c r="S18" s="108"/>
      <c r="T18" s="896" t="s">
        <v>65</v>
      </c>
      <c r="U18" s="897">
        <v>0</v>
      </c>
      <c r="W18" s="482" t="s">
        <v>65</v>
      </c>
      <c r="X18" s="483">
        <f>+I18-L18-O18-R18-U18</f>
        <v>4167.3779999999897</v>
      </c>
      <c r="Z18" s="482" t="s">
        <v>65</v>
      </c>
      <c r="AA18" s="483">
        <f>+L18+O18+R18+U18+X18</f>
        <v>119894.598</v>
      </c>
    </row>
    <row r="19" spans="1:28" x14ac:dyDescent="0.3">
      <c r="H19" s="514"/>
      <c r="I19" s="514"/>
      <c r="K19" s="896"/>
      <c r="L19" s="897"/>
      <c r="M19" s="108"/>
      <c r="N19" s="896"/>
      <c r="O19" s="897"/>
      <c r="P19" s="108"/>
      <c r="Q19" s="896"/>
      <c r="R19" s="897"/>
      <c r="S19" s="108"/>
      <c r="T19" s="896"/>
      <c r="U19" s="897"/>
      <c r="W19" s="484" t="s">
        <v>64</v>
      </c>
      <c r="X19" s="483">
        <f>+X17+X18</f>
        <v>2709481.378</v>
      </c>
      <c r="Z19" s="484" t="s">
        <v>64</v>
      </c>
      <c r="AA19" s="483">
        <f>+AA17+AA18</f>
        <v>12926357.597999999</v>
      </c>
    </row>
    <row r="20" spans="1:28" ht="26.4" x14ac:dyDescent="0.3">
      <c r="H20" s="514"/>
      <c r="I20" s="514"/>
      <c r="K20" s="896"/>
      <c r="L20" s="897"/>
      <c r="M20" s="108"/>
      <c r="N20" s="896"/>
      <c r="O20" s="897"/>
      <c r="P20" s="108"/>
      <c r="Q20" s="896"/>
      <c r="R20" s="897"/>
      <c r="S20" s="108"/>
      <c r="T20" s="896"/>
      <c r="U20" s="897"/>
      <c r="W20" s="484" t="s">
        <v>1439</v>
      </c>
      <c r="X20" s="483">
        <f>ROUND(X19*0.015,0)</f>
        <v>40642</v>
      </c>
      <c r="Z20" s="484" t="s">
        <v>1439</v>
      </c>
      <c r="AA20" s="483">
        <f>+X20</f>
        <v>40642</v>
      </c>
    </row>
    <row r="21" spans="1:28" ht="26.4" x14ac:dyDescent="0.3">
      <c r="F21" s="852" t="s">
        <v>64</v>
      </c>
      <c r="H21" s="514">
        <f>+H17+H18</f>
        <v>12789263.683</v>
      </c>
      <c r="I21" s="514">
        <f>+I17+I18</f>
        <v>13441516.597999999</v>
      </c>
      <c r="K21" s="896" t="s">
        <v>64</v>
      </c>
      <c r="L21" s="897">
        <f>+L17+L18</f>
        <v>2055155.91</v>
      </c>
      <c r="M21" s="615">
        <f>L21/H21</f>
        <v>0.16069384140791429</v>
      </c>
      <c r="N21" s="896" t="s">
        <v>64</v>
      </c>
      <c r="O21" s="897">
        <f>+O17+O18</f>
        <v>1918145.31</v>
      </c>
      <c r="P21" s="615">
        <f>O21/$H$21</f>
        <v>0.14998090254012633</v>
      </c>
      <c r="Q21" s="896" t="s">
        <v>64</v>
      </c>
      <c r="R21" s="897">
        <f>+R17+R18</f>
        <v>4436316</v>
      </c>
      <c r="S21" s="615">
        <f>R21/$H$21</f>
        <v>0.34687814013068857</v>
      </c>
      <c r="T21" s="896" t="s">
        <v>64</v>
      </c>
      <c r="U21" s="897">
        <f>+U17+U18</f>
        <v>1807259</v>
      </c>
      <c r="V21" s="615">
        <f>U21/$H$21</f>
        <v>0.14131063717157391</v>
      </c>
      <c r="W21" s="152" t="s">
        <v>1440</v>
      </c>
      <c r="X21" s="182">
        <f>X19+X20</f>
        <v>2750123.378</v>
      </c>
      <c r="Y21" s="615">
        <f>X21/$H$21</f>
        <v>0.21503375379268894</v>
      </c>
      <c r="Z21" s="152" t="s">
        <v>1440</v>
      </c>
      <c r="AA21" s="182">
        <f>AA19+AA20</f>
        <v>12966999.597999999</v>
      </c>
      <c r="AB21" s="615">
        <f>AA21/$H$21</f>
        <v>1.013897275042992</v>
      </c>
    </row>
    <row r="22" spans="1:28" x14ac:dyDescent="0.3">
      <c r="F22" s="852" t="s">
        <v>66</v>
      </c>
      <c r="H22" s="514">
        <f>+H21*19%</f>
        <v>2429960.0997700002</v>
      </c>
      <c r="I22" s="514">
        <f>+I21*19%</f>
        <v>2553888.15362</v>
      </c>
      <c r="K22" s="896" t="s">
        <v>66</v>
      </c>
      <c r="L22" s="897">
        <f>+L21*19%</f>
        <v>390479.62290000002</v>
      </c>
      <c r="M22" s="108"/>
      <c r="N22" s="896" t="s">
        <v>66</v>
      </c>
      <c r="O22" s="897">
        <f>+O21*19%</f>
        <v>364447.60889999999</v>
      </c>
      <c r="P22" s="108"/>
      <c r="Q22" s="896" t="s">
        <v>66</v>
      </c>
      <c r="R22" s="897">
        <f>+R21*19%</f>
        <v>842900.04</v>
      </c>
      <c r="S22" s="108"/>
      <c r="T22" s="896" t="s">
        <v>66</v>
      </c>
      <c r="U22" s="897">
        <f>+U21*19%</f>
        <v>343379.21</v>
      </c>
      <c r="W22" s="485" t="s">
        <v>66</v>
      </c>
      <c r="X22" s="483">
        <f>ROUND(X21*0.19,0)</f>
        <v>522523</v>
      </c>
      <c r="Z22" s="485" t="s">
        <v>66</v>
      </c>
      <c r="AA22" s="483">
        <f>ROUND(AA21*0.19,0)</f>
        <v>2463730</v>
      </c>
    </row>
    <row r="23" spans="1:28" x14ac:dyDescent="0.3">
      <c r="F23" s="852" t="s">
        <v>69</v>
      </c>
      <c r="H23" s="514">
        <f>+H21+H22</f>
        <v>15219223.78277</v>
      </c>
      <c r="I23" s="514">
        <f>+I21+I22</f>
        <v>15995404.751619998</v>
      </c>
      <c r="K23" s="896" t="s">
        <v>69</v>
      </c>
      <c r="L23" s="897">
        <f>+L21+L22</f>
        <v>2445635.5329</v>
      </c>
      <c r="M23" s="108"/>
      <c r="N23" s="896" t="s">
        <v>69</v>
      </c>
      <c r="O23" s="897">
        <f>+O21+O22</f>
        <v>2282592.9188999999</v>
      </c>
      <c r="P23" s="108"/>
      <c r="Q23" s="896" t="s">
        <v>69</v>
      </c>
      <c r="R23" s="897">
        <f>+R21+R22</f>
        <v>5279216.04</v>
      </c>
      <c r="S23" s="108"/>
      <c r="T23" s="896" t="s">
        <v>69</v>
      </c>
      <c r="U23" s="897">
        <f>+U21+U22</f>
        <v>2150638.21</v>
      </c>
      <c r="W23" s="545" t="s">
        <v>69</v>
      </c>
      <c r="X23" s="481">
        <f>X21+X22</f>
        <v>3272646.378</v>
      </c>
      <c r="Z23" s="545" t="s">
        <v>69</v>
      </c>
      <c r="AA23" s="481">
        <f>AA21+AA22</f>
        <v>15430729.597999999</v>
      </c>
    </row>
    <row r="24" spans="1:28" x14ac:dyDescent="0.3">
      <c r="K24" s="108"/>
      <c r="L24" s="108"/>
      <c r="M24" s="108"/>
      <c r="N24" s="108"/>
      <c r="O24" s="108"/>
      <c r="P24" s="108"/>
      <c r="Q24" s="108"/>
      <c r="R24" s="108"/>
      <c r="S24" s="108"/>
    </row>
    <row r="25" spans="1:28" x14ac:dyDescent="0.3">
      <c r="A25" s="852" t="s">
        <v>67</v>
      </c>
      <c r="D25" s="852" t="s">
        <v>68</v>
      </c>
      <c r="K25" s="896" t="s">
        <v>70</v>
      </c>
      <c r="L25" s="896" t="s">
        <v>71</v>
      </c>
      <c r="M25" s="896" t="s">
        <v>58</v>
      </c>
      <c r="N25" s="896" t="s">
        <v>70</v>
      </c>
      <c r="O25" s="896" t="s">
        <v>71</v>
      </c>
      <c r="P25" s="896" t="s">
        <v>58</v>
      </c>
      <c r="Q25" s="896" t="s">
        <v>70</v>
      </c>
      <c r="R25" s="896" t="s">
        <v>71</v>
      </c>
      <c r="S25" s="896" t="s">
        <v>58</v>
      </c>
      <c r="T25" s="896" t="s">
        <v>70</v>
      </c>
      <c r="U25" s="896" t="s">
        <v>71</v>
      </c>
      <c r="V25" s="896" t="s">
        <v>58</v>
      </c>
      <c r="W25" s="900" t="s">
        <v>70</v>
      </c>
      <c r="X25" s="900" t="s">
        <v>71</v>
      </c>
      <c r="Y25" s="900" t="s">
        <v>58</v>
      </c>
    </row>
    <row r="26" spans="1:28" x14ac:dyDescent="0.3">
      <c r="K26" s="896" t="s">
        <v>72</v>
      </c>
      <c r="L26" s="899">
        <f>L21</f>
        <v>2055155.91</v>
      </c>
      <c r="M26" s="896">
        <f>M21</f>
        <v>0.16069384140791429</v>
      </c>
      <c r="N26" s="896" t="s">
        <v>72</v>
      </c>
      <c r="O26" s="899">
        <f>$L$21</f>
        <v>2055155.91</v>
      </c>
      <c r="P26" s="896">
        <f>$M$21</f>
        <v>0.16069384140791429</v>
      </c>
      <c r="Q26" s="896" t="s">
        <v>72</v>
      </c>
      <c r="R26" s="899">
        <f>$L$21</f>
        <v>2055155.91</v>
      </c>
      <c r="S26" s="896">
        <f>$M$21</f>
        <v>0.16069384140791429</v>
      </c>
      <c r="T26" s="896" t="s">
        <v>72</v>
      </c>
      <c r="U26" s="899">
        <f>$L$21</f>
        <v>2055155.91</v>
      </c>
      <c r="V26" s="896">
        <f>$M$21</f>
        <v>0.16069384140791429</v>
      </c>
      <c r="W26" s="905" t="s">
        <v>72</v>
      </c>
      <c r="X26" s="906">
        <f>$L$21</f>
        <v>2055155.91</v>
      </c>
      <c r="Y26" s="898">
        <f>$M$21</f>
        <v>0.16069384140791429</v>
      </c>
    </row>
    <row r="27" spans="1:28" x14ac:dyDescent="0.3">
      <c r="K27" s="896"/>
      <c r="L27" s="899"/>
      <c r="M27" s="896"/>
      <c r="N27" s="896" t="s">
        <v>73</v>
      </c>
      <c r="O27" s="899">
        <f>$O$21</f>
        <v>1918145.31</v>
      </c>
      <c r="P27" s="896">
        <f>$P$21</f>
        <v>0.14998090254012633</v>
      </c>
      <c r="Q27" s="896" t="s">
        <v>73</v>
      </c>
      <c r="R27" s="899">
        <f>$O$21</f>
        <v>1918145.31</v>
      </c>
      <c r="S27" s="896">
        <f>$P$21</f>
        <v>0.14998090254012633</v>
      </c>
      <c r="T27" s="896" t="s">
        <v>73</v>
      </c>
      <c r="U27" s="899">
        <f>$O$21</f>
        <v>1918145.31</v>
      </c>
      <c r="V27" s="896">
        <f>$P$21</f>
        <v>0.14998090254012633</v>
      </c>
      <c r="W27" s="905" t="s">
        <v>73</v>
      </c>
      <c r="X27" s="906">
        <f>$O$21</f>
        <v>1918145.31</v>
      </c>
      <c r="Y27" s="898">
        <f>$P$21</f>
        <v>0.14998090254012633</v>
      </c>
    </row>
    <row r="28" spans="1:28" x14ac:dyDescent="0.3">
      <c r="K28" s="896"/>
      <c r="L28" s="899"/>
      <c r="M28" s="896"/>
      <c r="N28" s="896"/>
      <c r="O28" s="899"/>
      <c r="P28" s="896"/>
      <c r="Q28" s="896" t="s">
        <v>74</v>
      </c>
      <c r="R28" s="899">
        <f>$R$17</f>
        <v>4436316</v>
      </c>
      <c r="S28" s="896">
        <f>$S$21</f>
        <v>0.34687814013068857</v>
      </c>
      <c r="T28" s="896" t="s">
        <v>74</v>
      </c>
      <c r="U28" s="899">
        <f>$R$17</f>
        <v>4436316</v>
      </c>
      <c r="V28" s="896">
        <f>$S$21</f>
        <v>0.34687814013068857</v>
      </c>
      <c r="W28" s="905" t="s">
        <v>74</v>
      </c>
      <c r="X28" s="906">
        <f>$R$17</f>
        <v>4436316</v>
      </c>
      <c r="Y28" s="898">
        <f>$S$21</f>
        <v>0.34687814013068857</v>
      </c>
    </row>
    <row r="29" spans="1:28" x14ac:dyDescent="0.3">
      <c r="K29" s="896"/>
      <c r="L29" s="899"/>
      <c r="M29" s="896"/>
      <c r="N29" s="896"/>
      <c r="O29" s="899"/>
      <c r="P29" s="896"/>
      <c r="Q29" s="896"/>
      <c r="R29" s="899"/>
      <c r="S29" s="896"/>
      <c r="T29" s="896" t="s">
        <v>155</v>
      </c>
      <c r="U29" s="899">
        <f>U21</f>
        <v>1807259</v>
      </c>
      <c r="V29" s="896">
        <f>V21</f>
        <v>0.14131063717157391</v>
      </c>
      <c r="W29" s="905" t="s">
        <v>155</v>
      </c>
      <c r="X29" s="906">
        <f>U21</f>
        <v>1807259</v>
      </c>
      <c r="Y29" s="907">
        <f>V21</f>
        <v>0.14131063717157391</v>
      </c>
    </row>
    <row r="30" spans="1:28" x14ac:dyDescent="0.3">
      <c r="K30" s="896"/>
      <c r="L30" s="899"/>
      <c r="M30" s="896"/>
      <c r="N30" s="896"/>
      <c r="O30" s="899"/>
      <c r="P30" s="896"/>
      <c r="Q30" s="896"/>
      <c r="R30" s="899"/>
      <c r="S30" s="896"/>
      <c r="T30" s="896"/>
      <c r="U30" s="899"/>
      <c r="V30" s="896"/>
      <c r="W30" s="905" t="s">
        <v>352</v>
      </c>
      <c r="X30" s="908">
        <f>+X21</f>
        <v>2750123.378</v>
      </c>
      <c r="Y30" s="907">
        <f>+Y21</f>
        <v>0.21503375379268894</v>
      </c>
    </row>
    <row r="31" spans="1:28" x14ac:dyDescent="0.3">
      <c r="K31" s="896" t="s">
        <v>1</v>
      </c>
      <c r="L31" s="899">
        <f>SUM(L26:L26)</f>
        <v>2055155.91</v>
      </c>
      <c r="M31" s="896">
        <f>SUM(M26:M26)</f>
        <v>0.16069384140791429</v>
      </c>
      <c r="N31" s="896" t="s">
        <v>1</v>
      </c>
      <c r="O31" s="899">
        <f>SUM(O26:O27)</f>
        <v>3973301.2199999997</v>
      </c>
      <c r="P31" s="896">
        <f>SUM(P26:P27)</f>
        <v>0.31067474394804062</v>
      </c>
      <c r="Q31" s="896" t="s">
        <v>1</v>
      </c>
      <c r="R31" s="899">
        <f>SUM(R26:R28)</f>
        <v>8409617.2199999988</v>
      </c>
      <c r="S31" s="896">
        <f>SUM(S26:S28)</f>
        <v>0.65755288407872925</v>
      </c>
      <c r="T31" s="896" t="s">
        <v>1</v>
      </c>
      <c r="U31" s="899">
        <f>SUM(U26:U29)</f>
        <v>10216876.219999999</v>
      </c>
      <c r="V31" s="896">
        <f>SUM(V26:V29)</f>
        <v>0.79886352125030313</v>
      </c>
      <c r="W31" s="900" t="s">
        <v>1</v>
      </c>
      <c r="X31" s="903">
        <f>SUM(X26:X30)</f>
        <v>12966999.597999999</v>
      </c>
      <c r="Y31" s="904">
        <f>SUM(Y26:Y30)</f>
        <v>1.013897275042992</v>
      </c>
    </row>
    <row r="32" spans="1:28" x14ac:dyDescent="0.3">
      <c r="K32" s="896" t="s">
        <v>9</v>
      </c>
      <c r="L32" s="1373"/>
      <c r="M32" s="1373"/>
      <c r="N32" s="896" t="s">
        <v>9</v>
      </c>
      <c r="O32" s="1373"/>
      <c r="P32" s="1373"/>
      <c r="Q32" s="896" t="s">
        <v>9</v>
      </c>
      <c r="R32" s="1373"/>
      <c r="S32" s="1373"/>
      <c r="T32" s="896" t="s">
        <v>9</v>
      </c>
      <c r="U32" s="1373"/>
      <c r="V32" s="1373"/>
      <c r="W32" s="900" t="s">
        <v>9</v>
      </c>
      <c r="X32" s="1378"/>
      <c r="Y32" s="1378"/>
    </row>
    <row r="33" spans="1:25" x14ac:dyDescent="0.3">
      <c r="K33" s="896" t="s">
        <v>78</v>
      </c>
      <c r="L33" s="1373" t="s">
        <v>458</v>
      </c>
      <c r="M33" s="1373"/>
      <c r="N33" s="896" t="s">
        <v>78</v>
      </c>
      <c r="O33" s="1373" t="s">
        <v>458</v>
      </c>
      <c r="P33" s="1373"/>
      <c r="Q33" s="896" t="s">
        <v>78</v>
      </c>
      <c r="R33" s="1373" t="s">
        <v>458</v>
      </c>
      <c r="S33" s="1373"/>
      <c r="T33" s="896" t="s">
        <v>78</v>
      </c>
      <c r="U33" s="1373" t="s">
        <v>458</v>
      </c>
      <c r="V33" s="1373"/>
      <c r="W33" s="900" t="s">
        <v>78</v>
      </c>
      <c r="X33" s="1378" t="s">
        <v>1999</v>
      </c>
      <c r="Y33" s="1378"/>
    </row>
    <row r="34" spans="1:25" x14ac:dyDescent="0.3">
      <c r="K34" s="896" t="s">
        <v>8</v>
      </c>
      <c r="L34" s="1373"/>
      <c r="M34" s="1373"/>
      <c r="N34" s="896" t="s">
        <v>8</v>
      </c>
      <c r="O34" s="1373" t="s">
        <v>673</v>
      </c>
      <c r="P34" s="1373"/>
      <c r="Q34" s="896" t="s">
        <v>8</v>
      </c>
      <c r="R34" s="1373" t="s">
        <v>673</v>
      </c>
      <c r="S34" s="1373"/>
      <c r="T34" s="896" t="s">
        <v>8</v>
      </c>
      <c r="U34" s="1373" t="s">
        <v>673</v>
      </c>
      <c r="V34" s="1373"/>
      <c r="W34" s="900" t="s">
        <v>8</v>
      </c>
      <c r="X34" s="1378" t="s">
        <v>2000</v>
      </c>
      <c r="Y34" s="1378"/>
    </row>
    <row r="35" spans="1:25" x14ac:dyDescent="0.3">
      <c r="D35" s="852" t="s">
        <v>75</v>
      </c>
    </row>
    <row r="36" spans="1:25" x14ac:dyDescent="0.3">
      <c r="A36" s="852" t="s">
        <v>76</v>
      </c>
      <c r="D36" s="852" t="s">
        <v>77</v>
      </c>
    </row>
    <row r="37" spans="1:25" x14ac:dyDescent="0.3">
      <c r="A37" s="852" t="s">
        <v>79</v>
      </c>
      <c r="D37" s="852" t="s">
        <v>80</v>
      </c>
    </row>
  </sheetData>
  <sheetProtection formatCells="0" formatColumns="0" formatRows="0" insertColumns="0" insertRows="0" insertHyperlinks="0" deleteColumns="0" deleteRows="0" sort="0" autoFilter="0" pivotTables="0"/>
  <mergeCells count="46">
    <mergeCell ref="L34:M34"/>
    <mergeCell ref="O34:P34"/>
    <mergeCell ref="R34:S34"/>
    <mergeCell ref="U34:V34"/>
    <mergeCell ref="Z11:AB12"/>
    <mergeCell ref="L32:M32"/>
    <mergeCell ref="O32:P32"/>
    <mergeCell ref="R32:S32"/>
    <mergeCell ref="U32:V32"/>
    <mergeCell ref="K11:M12"/>
    <mergeCell ref="N11:P12"/>
    <mergeCell ref="Q11:S12"/>
    <mergeCell ref="T11:V12"/>
    <mergeCell ref="X34:Y34"/>
    <mergeCell ref="W1:AB1"/>
    <mergeCell ref="W2:AB2"/>
    <mergeCell ref="Z6:AB6"/>
    <mergeCell ref="A7:V7"/>
    <mergeCell ref="Z7:AB7"/>
    <mergeCell ref="Z3:AB3"/>
    <mergeCell ref="A8:V8"/>
    <mergeCell ref="Z8:AB8"/>
    <mergeCell ref="A9:V9"/>
    <mergeCell ref="Z9:AB9"/>
    <mergeCell ref="A3:V3"/>
    <mergeCell ref="A4:V4"/>
    <mergeCell ref="A5:V5"/>
    <mergeCell ref="A6:V6"/>
    <mergeCell ref="Z4:AB4"/>
    <mergeCell ref="Z5:AB5"/>
    <mergeCell ref="B14:B15"/>
    <mergeCell ref="A10:V10"/>
    <mergeCell ref="L33:M33"/>
    <mergeCell ref="Z10:AB10"/>
    <mergeCell ref="A1:B2"/>
    <mergeCell ref="W11:Y12"/>
    <mergeCell ref="X32:Y32"/>
    <mergeCell ref="X33:Y33"/>
    <mergeCell ref="O33:P33"/>
    <mergeCell ref="R33:S33"/>
    <mergeCell ref="U33:V33"/>
    <mergeCell ref="B12:J12"/>
    <mergeCell ref="A14:A16"/>
    <mergeCell ref="J14:J16"/>
    <mergeCell ref="B11:J11"/>
    <mergeCell ref="C1:V2"/>
  </mergeCells>
  <pageMargins left="0.7" right="0.7" top="0.75" bottom="0.75" header="0.3" footer="0.3"/>
  <pageSetup scale="41" orientation="landscape" r:id="rId1"/>
  <drawing r:id="rId2"/>
  <legacyDrawingHF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tabColor theme="1"/>
  </sheetPr>
  <dimension ref="A1:G48"/>
  <sheetViews>
    <sheetView view="pageBreakPreview" topLeftCell="A13" zoomScale="60" zoomScaleNormal="100" workbookViewId="0">
      <selection activeCell="Q43" sqref="Q43"/>
    </sheetView>
  </sheetViews>
  <sheetFormatPr baseColWidth="10" defaultColWidth="11.44140625" defaultRowHeight="13.8" x14ac:dyDescent="0.25"/>
  <cols>
    <col min="1" max="1" width="24" style="909" customWidth="1"/>
    <col min="2" max="3" width="11.44140625" style="909"/>
    <col min="4" max="4" width="5.6640625" style="909" customWidth="1"/>
    <col min="5" max="6" width="11.44140625" style="909"/>
    <col min="7" max="7" width="23.6640625" style="909" customWidth="1"/>
    <col min="8" max="16384" width="11.44140625" style="909"/>
  </cols>
  <sheetData>
    <row r="1" spans="1:7" x14ac:dyDescent="0.25">
      <c r="A1" s="1403"/>
      <c r="B1" s="1406" t="s">
        <v>623</v>
      </c>
      <c r="C1" s="1407"/>
      <c r="D1" s="1407"/>
      <c r="E1" s="1407"/>
      <c r="F1" s="1408"/>
      <c r="G1" s="262" t="s">
        <v>624</v>
      </c>
    </row>
    <row r="2" spans="1:7" x14ac:dyDescent="0.25">
      <c r="A2" s="1404"/>
      <c r="B2" s="1409"/>
      <c r="C2" s="1410"/>
      <c r="D2" s="1410"/>
      <c r="E2" s="1410"/>
      <c r="F2" s="1411"/>
      <c r="G2" s="285" t="s">
        <v>625</v>
      </c>
    </row>
    <row r="3" spans="1:7" ht="15" customHeight="1" x14ac:dyDescent="0.25">
      <c r="A3" s="1405"/>
      <c r="B3" s="1412"/>
      <c r="C3" s="1413"/>
      <c r="D3" s="1413"/>
      <c r="E3" s="1413"/>
      <c r="F3" s="1414"/>
      <c r="G3" s="261">
        <v>42934</v>
      </c>
    </row>
    <row r="4" spans="1:7" x14ac:dyDescent="0.25">
      <c r="A4" s="910"/>
      <c r="B4" s="910"/>
      <c r="C4" s="910"/>
      <c r="D4" s="910"/>
      <c r="E4" s="910"/>
      <c r="F4" s="910"/>
      <c r="G4" s="910"/>
    </row>
    <row r="5" spans="1:7" ht="42" customHeight="1" x14ac:dyDescent="0.25">
      <c r="A5" s="911" t="s">
        <v>626</v>
      </c>
      <c r="B5" s="1415" t="str">
        <f>+RESUMEN!G28</f>
        <v>Proyecto: CDIE_CBCCSM_R0158, NORMALIZACIÓN SE MT-MT, Ingeniería Montaje Reconectador Subestación JURATENA para desarrollo de Ingeniería e implementación Reconectadores de entrada y Salida</v>
      </c>
      <c r="C5" s="1416"/>
      <c r="D5" s="1416"/>
      <c r="E5" s="1416"/>
      <c r="F5" s="1416"/>
      <c r="G5" s="1417"/>
    </row>
    <row r="6" spans="1:7" x14ac:dyDescent="0.25">
      <c r="A6" s="910"/>
      <c r="B6" s="910"/>
      <c r="C6" s="910"/>
      <c r="D6" s="910"/>
      <c r="E6" s="910"/>
      <c r="F6" s="910"/>
      <c r="G6" s="910"/>
    </row>
    <row r="7" spans="1:7" x14ac:dyDescent="0.25">
      <c r="A7" s="912" t="s">
        <v>0</v>
      </c>
      <c r="B7" s="1418" t="str">
        <f>+RESUMEN!B28</f>
        <v>D00249258</v>
      </c>
      <c r="C7" s="1419"/>
      <c r="D7" s="910"/>
      <c r="E7" s="1420" t="s">
        <v>627</v>
      </c>
      <c r="F7" s="1421"/>
      <c r="G7" s="911" t="str">
        <f>+RESUMEN!E28</f>
        <v>17-158</v>
      </c>
    </row>
    <row r="8" spans="1:7" x14ac:dyDescent="0.25">
      <c r="A8" s="912" t="s">
        <v>628</v>
      </c>
      <c r="B8" s="1418" t="str">
        <f>+RESUMEN!C28</f>
        <v>D00249258000</v>
      </c>
      <c r="C8" s="1419"/>
      <c r="D8" s="910"/>
      <c r="E8" s="1420" t="s">
        <v>629</v>
      </c>
      <c r="F8" s="1421"/>
      <c r="G8" s="911" t="str">
        <f>+RESUMEN!U28</f>
        <v>Acta N° 4: Febrero</v>
      </c>
    </row>
    <row r="9" spans="1:7" x14ac:dyDescent="0.25">
      <c r="A9" s="912" t="s">
        <v>630</v>
      </c>
      <c r="B9" s="1422" t="s">
        <v>631</v>
      </c>
      <c r="C9" s="1419"/>
      <c r="D9" s="910"/>
      <c r="E9" s="1420" t="s">
        <v>632</v>
      </c>
      <c r="F9" s="1421"/>
      <c r="G9" s="913">
        <f>+RESUMEN!K28</f>
        <v>13441516.597999999</v>
      </c>
    </row>
    <row r="10" spans="1:7" x14ac:dyDescent="0.25">
      <c r="A10" s="912" t="s">
        <v>633</v>
      </c>
      <c r="B10" s="1422" t="str">
        <f>+RESUMEN!D28</f>
        <v>JURATENA</v>
      </c>
      <c r="C10" s="1419"/>
      <c r="D10" s="910"/>
      <c r="E10" s="1420" t="s">
        <v>634</v>
      </c>
      <c r="F10" s="1421"/>
      <c r="G10" s="913">
        <f>+RESUMEN!R28</f>
        <v>4678044.3779999996</v>
      </c>
    </row>
    <row r="11" spans="1:7" x14ac:dyDescent="0.25">
      <c r="A11" s="910"/>
      <c r="B11" s="910"/>
      <c r="C11" s="910"/>
      <c r="D11" s="910"/>
      <c r="E11" s="910"/>
      <c r="F11" s="910"/>
      <c r="G11" s="910"/>
    </row>
    <row r="12" spans="1:7" ht="76.5" customHeight="1" x14ac:dyDescent="0.25">
      <c r="A12" s="1284" t="str">
        <f>CONCATENATE("A los 15 días del mes de Febrero se reunieron en las instalaciones"," de CODENSA S.A. E.S.P., los ingenieros ", RESUMEN!V28,"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Febrero de 2018 para el ",RESUMEN!G28)</f>
        <v>A los 15 días del mes de Febrero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de 2018 y el 5 de Febrero de 2018 para el Proyecto: CDIE_CBCCSM_R0158, NORMALIZACIÓN SE MT-MT, Ingeniería Montaje Reconectador Subestación JURATENA para desarrollo de Ingeniería e implementación Reconectadores de entrada y Salida</v>
      </c>
      <c r="B12" s="1284"/>
      <c r="C12" s="1284"/>
      <c r="D12" s="1284"/>
      <c r="E12" s="1284"/>
      <c r="F12" s="1284"/>
      <c r="G12" s="1284"/>
    </row>
    <row r="13" spans="1:7" x14ac:dyDescent="0.25">
      <c r="A13" s="910"/>
      <c r="B13" s="910"/>
      <c r="C13" s="910"/>
      <c r="D13" s="910"/>
      <c r="E13" s="910"/>
      <c r="F13" s="910"/>
      <c r="G13" s="910"/>
    </row>
    <row r="14" spans="1:7" ht="30" customHeight="1" x14ac:dyDescent="0.25">
      <c r="A14" s="1398" t="s">
        <v>2176</v>
      </c>
      <c r="B14" s="1398"/>
      <c r="C14" s="1398"/>
      <c r="D14" s="1398"/>
      <c r="E14" s="1398"/>
      <c r="F14" s="1398"/>
      <c r="G14" s="1398"/>
    </row>
    <row r="15" spans="1:7" x14ac:dyDescent="0.25">
      <c r="A15" s="910"/>
      <c r="B15" s="910"/>
      <c r="C15" s="910"/>
      <c r="D15" s="910"/>
      <c r="E15" s="910"/>
      <c r="F15" s="910"/>
      <c r="G15" s="910"/>
    </row>
    <row r="16" spans="1:7" x14ac:dyDescent="0.25">
      <c r="A16" s="1398" t="s">
        <v>635</v>
      </c>
      <c r="B16" s="1398"/>
      <c r="C16" s="1398"/>
      <c r="D16" s="1398"/>
      <c r="E16" s="1398"/>
      <c r="F16" s="1398"/>
      <c r="G16" s="1398"/>
    </row>
    <row r="17" spans="1:7" x14ac:dyDescent="0.25">
      <c r="A17" s="910"/>
      <c r="B17" s="910"/>
      <c r="C17" s="910"/>
      <c r="D17" s="910"/>
      <c r="E17" s="910"/>
      <c r="F17" s="910"/>
      <c r="G17" s="910"/>
    </row>
    <row r="18" spans="1:7" x14ac:dyDescent="0.25">
      <c r="A18" s="910"/>
      <c r="B18" s="1399" t="s">
        <v>636</v>
      </c>
      <c r="C18" s="1399"/>
      <c r="D18" s="1399"/>
      <c r="E18" s="1399" t="s">
        <v>31</v>
      </c>
      <c r="F18" s="1399"/>
      <c r="G18" s="910"/>
    </row>
    <row r="19" spans="1:7" x14ac:dyDescent="0.25">
      <c r="A19" s="910"/>
      <c r="B19" s="1400" t="s">
        <v>637</v>
      </c>
      <c r="C19" s="1400"/>
      <c r="D19" s="1400"/>
      <c r="E19" s="1401">
        <f>+RESUMEN!N28</f>
        <v>4604743</v>
      </c>
      <c r="F19" s="1402"/>
      <c r="G19" s="910"/>
    </row>
    <row r="20" spans="1:7" s="279" customFormat="1" ht="27" customHeight="1" x14ac:dyDescent="0.25">
      <c r="A20" s="838"/>
      <c r="B20" s="1244" t="s">
        <v>1498</v>
      </c>
      <c r="C20" s="1245"/>
      <c r="D20" s="1246"/>
      <c r="E20" s="1247">
        <f>+RESUMEN!P28</f>
        <v>4167.3779999999897</v>
      </c>
      <c r="F20" s="1248"/>
      <c r="G20" s="838"/>
    </row>
    <row r="21" spans="1:7" s="279" customFormat="1" ht="27" customHeight="1" x14ac:dyDescent="0.25">
      <c r="A21" s="838"/>
      <c r="B21" s="1244" t="s">
        <v>1499</v>
      </c>
      <c r="C21" s="1245"/>
      <c r="D21" s="1246"/>
      <c r="E21" s="1247">
        <f>+RESUMEN!Q28</f>
        <v>69134</v>
      </c>
      <c r="F21" s="1248"/>
      <c r="G21" s="838"/>
    </row>
    <row r="22" spans="1:7" x14ac:dyDescent="0.25">
      <c r="A22" s="910"/>
      <c r="B22" s="1392" t="s">
        <v>64</v>
      </c>
      <c r="C22" s="1392"/>
      <c r="D22" s="1392"/>
      <c r="E22" s="1393">
        <f>+RESUMEN!R28</f>
        <v>4678044.3779999996</v>
      </c>
      <c r="F22" s="1393"/>
      <c r="G22" s="910"/>
    </row>
    <row r="23" spans="1:7" x14ac:dyDescent="0.25">
      <c r="A23" s="910"/>
      <c r="B23" s="1394" t="s">
        <v>66</v>
      </c>
      <c r="C23" s="1394"/>
      <c r="D23" s="1394"/>
      <c r="E23" s="1395">
        <f>+RESUMEN!S28</f>
        <v>888828</v>
      </c>
      <c r="F23" s="1395"/>
      <c r="G23" s="910"/>
    </row>
    <row r="24" spans="1:7" x14ac:dyDescent="0.25">
      <c r="A24" s="910"/>
      <c r="B24" s="1396" t="s">
        <v>1</v>
      </c>
      <c r="C24" s="1396"/>
      <c r="D24" s="1396"/>
      <c r="E24" s="1397">
        <f>+RESUMEN!T28</f>
        <v>5566872.3779999996</v>
      </c>
      <c r="F24" s="1397"/>
      <c r="G24" s="910"/>
    </row>
    <row r="25" spans="1:7" x14ac:dyDescent="0.25">
      <c r="A25" s="910"/>
      <c r="B25" s="910"/>
      <c r="C25" s="910"/>
      <c r="D25" s="910"/>
      <c r="E25" s="910"/>
      <c r="F25" s="910"/>
      <c r="G25" s="910"/>
    </row>
    <row r="26" spans="1:7" x14ac:dyDescent="0.25">
      <c r="A26" s="914" t="s">
        <v>638</v>
      </c>
      <c r="B26" s="914"/>
      <c r="C26" s="910"/>
      <c r="D26" s="910"/>
      <c r="E26" s="910"/>
      <c r="F26" s="910"/>
      <c r="G26" s="910"/>
    </row>
    <row r="27" spans="1:7" x14ac:dyDescent="0.25">
      <c r="A27" s="910"/>
      <c r="B27" s="915" t="s">
        <v>639</v>
      </c>
      <c r="C27" s="1390" t="s">
        <v>640</v>
      </c>
      <c r="D27" s="1390"/>
      <c r="E27" s="915" t="s">
        <v>641</v>
      </c>
      <c r="F27" s="910"/>
      <c r="G27" s="910"/>
    </row>
    <row r="28" spans="1:7" x14ac:dyDescent="0.25">
      <c r="A28" s="910"/>
      <c r="B28" s="911" t="str">
        <f>'OT17-158 JURATENA'!Q27</f>
        <v>ACTA 1</v>
      </c>
      <c r="C28" s="1391">
        <f>'OT17-158 JURATENA'!R27</f>
        <v>2055155.91</v>
      </c>
      <c r="D28" s="1391"/>
      <c r="E28" s="916">
        <f>'OT17-158 JURATENA'!S27</f>
        <v>0.16069384140791429</v>
      </c>
      <c r="F28" s="910"/>
      <c r="G28" s="910"/>
    </row>
    <row r="29" spans="1:7" x14ac:dyDescent="0.25">
      <c r="A29" s="910"/>
      <c r="B29" s="911" t="str">
        <f>'OT17-158 JURATENA'!Q28</f>
        <v>ACTA 2</v>
      </c>
      <c r="C29" s="1391">
        <f>'OT17-158 JURATENA'!R28</f>
        <v>1918145.31</v>
      </c>
      <c r="D29" s="1391"/>
      <c r="E29" s="916">
        <f>'OT17-158 JURATENA'!S28</f>
        <v>0.14998090254012633</v>
      </c>
      <c r="F29" s="910"/>
      <c r="G29" s="910"/>
    </row>
    <row r="30" spans="1:7" x14ac:dyDescent="0.25">
      <c r="A30" s="910"/>
      <c r="B30" s="911" t="str">
        <f>'OT17-158 JURATENA'!Q29</f>
        <v>ACTA 3</v>
      </c>
      <c r="C30" s="1391">
        <f>'OT17-158 JURATENA'!R29</f>
        <v>4436316</v>
      </c>
      <c r="D30" s="1391"/>
      <c r="E30" s="916">
        <f>'OT17-158 JURATENA'!S29</f>
        <v>0.34687814013068857</v>
      </c>
      <c r="F30" s="910"/>
      <c r="G30" s="910"/>
    </row>
    <row r="31" spans="1:7" x14ac:dyDescent="0.25">
      <c r="A31" s="910"/>
      <c r="B31" s="911" t="str">
        <f>+'OT17-158 JURATENA'!T30</f>
        <v>ACTA 4</v>
      </c>
      <c r="C31" s="1391">
        <f>+'OT17-158 JURATENA'!U30</f>
        <v>4678044.3779999996</v>
      </c>
      <c r="D31" s="1391"/>
      <c r="E31" s="916">
        <f>+'OT17-158 JURATENA'!V30</f>
        <v>0.36577902324574346</v>
      </c>
      <c r="F31" s="910"/>
      <c r="G31" s="910"/>
    </row>
    <row r="32" spans="1:7" x14ac:dyDescent="0.25">
      <c r="A32" s="910"/>
      <c r="B32" s="911"/>
      <c r="C32" s="1391"/>
      <c r="D32" s="1391"/>
      <c r="E32" s="916"/>
      <c r="F32" s="910"/>
      <c r="G32" s="910"/>
    </row>
    <row r="33" spans="1:7" x14ac:dyDescent="0.25">
      <c r="A33" s="910"/>
      <c r="B33" s="917" t="s">
        <v>1</v>
      </c>
      <c r="C33" s="1388">
        <f>SUM(C28:D32)</f>
        <v>13087661.597999997</v>
      </c>
      <c r="D33" s="1388"/>
      <c r="E33" s="918">
        <f>SUM(E28:E32)</f>
        <v>1.0233319073244727</v>
      </c>
      <c r="F33" s="910"/>
      <c r="G33" s="910"/>
    </row>
    <row r="34" spans="1:7" x14ac:dyDescent="0.25">
      <c r="A34" s="910"/>
      <c r="B34" s="910"/>
      <c r="C34" s="910"/>
      <c r="D34" s="910"/>
      <c r="E34" s="910"/>
      <c r="F34" s="910"/>
      <c r="G34" s="914"/>
    </row>
    <row r="35" spans="1:7" x14ac:dyDescent="0.25">
      <c r="A35" s="1389" t="s">
        <v>2165</v>
      </c>
      <c r="B35" s="1389"/>
      <c r="C35" s="1389"/>
      <c r="D35" s="1389"/>
      <c r="E35" s="1389"/>
      <c r="F35" s="1389"/>
      <c r="G35" s="1389"/>
    </row>
    <row r="36" spans="1:7" x14ac:dyDescent="0.25">
      <c r="A36" s="910"/>
      <c r="B36" s="910"/>
      <c r="C36" s="910"/>
      <c r="D36" s="910"/>
      <c r="E36" s="910"/>
      <c r="F36" s="910"/>
      <c r="G36" s="910"/>
    </row>
    <row r="37" spans="1:7" x14ac:dyDescent="0.25">
      <c r="A37" s="910"/>
      <c r="B37" s="910"/>
      <c r="C37" s="910"/>
      <c r="D37" s="910"/>
      <c r="E37" s="910"/>
      <c r="F37" s="910"/>
      <c r="G37" s="910"/>
    </row>
    <row r="38" spans="1:7" x14ac:dyDescent="0.25">
      <c r="A38" s="919"/>
      <c r="B38" s="919"/>
      <c r="C38" s="919"/>
      <c r="D38" s="910"/>
      <c r="E38" s="919"/>
      <c r="F38" s="919"/>
      <c r="G38" s="919"/>
    </row>
    <row r="39" spans="1:7" x14ac:dyDescent="0.25">
      <c r="A39" s="1387" t="str">
        <f>+RESUMEN!V28</f>
        <v>Ing. Manuel Urbina</v>
      </c>
      <c r="B39" s="1387"/>
      <c r="C39" s="1387"/>
      <c r="D39" s="910"/>
      <c r="E39" s="1387" t="s">
        <v>642</v>
      </c>
      <c r="F39" s="1387"/>
      <c r="G39" s="1387"/>
    </row>
    <row r="40" spans="1:7" x14ac:dyDescent="0.25">
      <c r="A40" s="1386" t="s">
        <v>643</v>
      </c>
      <c r="B40" s="1386"/>
      <c r="C40" s="1386"/>
      <c r="D40" s="910"/>
      <c r="E40" s="1386" t="s">
        <v>644</v>
      </c>
      <c r="F40" s="1386"/>
      <c r="G40" s="1386"/>
    </row>
    <row r="41" spans="1:7" x14ac:dyDescent="0.25">
      <c r="A41" s="1386" t="s">
        <v>645</v>
      </c>
      <c r="B41" s="1386"/>
      <c r="C41" s="1386"/>
      <c r="D41" s="910"/>
      <c r="E41" s="1386" t="s">
        <v>645</v>
      </c>
      <c r="F41" s="1386"/>
      <c r="G41" s="1386"/>
    </row>
    <row r="42" spans="1:7" x14ac:dyDescent="0.25">
      <c r="A42" s="910"/>
      <c r="B42" s="910"/>
      <c r="C42" s="910"/>
      <c r="D42" s="910"/>
      <c r="E42" s="910"/>
      <c r="F42" s="910"/>
      <c r="G42" s="910"/>
    </row>
    <row r="43" spans="1:7" x14ac:dyDescent="0.25">
      <c r="A43" s="910"/>
      <c r="B43" s="910"/>
      <c r="C43" s="910"/>
      <c r="D43" s="910"/>
      <c r="E43" s="910"/>
      <c r="F43" s="910"/>
      <c r="G43" s="910"/>
    </row>
    <row r="44" spans="1:7" x14ac:dyDescent="0.25">
      <c r="A44" s="910"/>
      <c r="B44" s="910"/>
      <c r="C44" s="910"/>
      <c r="D44" s="910"/>
      <c r="E44" s="910"/>
      <c r="F44" s="910"/>
      <c r="G44" s="910"/>
    </row>
    <row r="45" spans="1:7" x14ac:dyDescent="0.25">
      <c r="A45" s="919"/>
      <c r="B45" s="919"/>
      <c r="C45" s="919"/>
      <c r="D45" s="910"/>
      <c r="E45" s="919"/>
      <c r="F45" s="919"/>
      <c r="G45" s="919"/>
    </row>
    <row r="46" spans="1:7" x14ac:dyDescent="0.25">
      <c r="A46" s="1250" t="s">
        <v>646</v>
      </c>
      <c r="B46" s="1250"/>
      <c r="C46" s="1250"/>
      <c r="D46" s="910"/>
      <c r="E46" s="1387" t="s">
        <v>647</v>
      </c>
      <c r="F46" s="1387"/>
      <c r="G46" s="1387"/>
    </row>
    <row r="47" spans="1:7" x14ac:dyDescent="0.25">
      <c r="A47" s="1249" t="s">
        <v>648</v>
      </c>
      <c r="B47" s="1249"/>
      <c r="C47" s="1249"/>
      <c r="D47" s="910"/>
      <c r="E47" s="1386" t="s">
        <v>763</v>
      </c>
      <c r="F47" s="1386"/>
      <c r="G47" s="1386"/>
    </row>
    <row r="48" spans="1:7" x14ac:dyDescent="0.25">
      <c r="A48" s="1249" t="s">
        <v>645</v>
      </c>
      <c r="B48" s="1249"/>
      <c r="C48" s="1249"/>
      <c r="D48" s="910"/>
      <c r="E48" s="1386" t="s">
        <v>764</v>
      </c>
      <c r="F48" s="1386"/>
      <c r="G48" s="1386"/>
    </row>
  </sheetData>
  <mergeCells count="48">
    <mergeCell ref="A14:G14"/>
    <mergeCell ref="A1:A3"/>
    <mergeCell ref="B1:F3"/>
    <mergeCell ref="B5:G5"/>
    <mergeCell ref="B7:C7"/>
    <mergeCell ref="E7:F7"/>
    <mergeCell ref="B8:C8"/>
    <mergeCell ref="E8:F8"/>
    <mergeCell ref="B9:C9"/>
    <mergeCell ref="E9:F9"/>
    <mergeCell ref="B10:C10"/>
    <mergeCell ref="E10:F10"/>
    <mergeCell ref="A12:G12"/>
    <mergeCell ref="A16:G16"/>
    <mergeCell ref="B18:D18"/>
    <mergeCell ref="E18:F18"/>
    <mergeCell ref="B19:D19"/>
    <mergeCell ref="E19:F19"/>
    <mergeCell ref="B22:D22"/>
    <mergeCell ref="E22:F22"/>
    <mergeCell ref="B23:D23"/>
    <mergeCell ref="E23:F23"/>
    <mergeCell ref="B24:D24"/>
    <mergeCell ref="E24:F24"/>
    <mergeCell ref="A40:C40"/>
    <mergeCell ref="E40:G40"/>
    <mergeCell ref="C27:D27"/>
    <mergeCell ref="C28:D28"/>
    <mergeCell ref="C29:D29"/>
    <mergeCell ref="C30:D30"/>
    <mergeCell ref="C31:D31"/>
    <mergeCell ref="C32:D32"/>
    <mergeCell ref="A48:C48"/>
    <mergeCell ref="E48:G48"/>
    <mergeCell ref="B20:D20"/>
    <mergeCell ref="E20:F20"/>
    <mergeCell ref="B21:D21"/>
    <mergeCell ref="E21:F21"/>
    <mergeCell ref="A41:C41"/>
    <mergeCell ref="E41:G41"/>
    <mergeCell ref="A46:C46"/>
    <mergeCell ref="E46:G46"/>
    <mergeCell ref="A47:C47"/>
    <mergeCell ref="E47:G47"/>
    <mergeCell ref="C33:D33"/>
    <mergeCell ref="A35:G35"/>
    <mergeCell ref="A39:C39"/>
    <mergeCell ref="E39:G39"/>
  </mergeCells>
  <pageMargins left="0.70866141732283472" right="0.70866141732283472" top="0.74803149606299213" bottom="0.74803149606299213" header="0.31496062992125984" footer="0.31496062992125984"/>
  <pageSetup scale="84"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tabColor rgb="FF72104A"/>
  </sheetPr>
  <dimension ref="A1:Y37"/>
  <sheetViews>
    <sheetView view="pageBreakPreview" topLeftCell="A7" zoomScale="60" zoomScaleNormal="55" workbookViewId="0">
      <selection activeCell="V16" sqref="V16"/>
    </sheetView>
  </sheetViews>
  <sheetFormatPr baseColWidth="10" defaultColWidth="11.44140625" defaultRowHeight="14.4" x14ac:dyDescent="0.3"/>
  <cols>
    <col min="1" max="1" width="16.88671875" style="852" customWidth="1"/>
    <col min="2" max="2" width="23.5546875" style="852" customWidth="1"/>
    <col min="3" max="3" width="26.109375" style="852" customWidth="1"/>
    <col min="4" max="4" width="23.6640625" style="852" customWidth="1"/>
    <col min="5" max="5" width="11.5546875" style="852" bestFit="1" customWidth="1"/>
    <col min="6" max="7" width="18.44140625" style="852" customWidth="1"/>
    <col min="8" max="9" width="17.5546875" style="852" customWidth="1"/>
    <col min="10" max="10" width="52" style="852" customWidth="1"/>
    <col min="11" max="11" width="18.44140625" style="852" hidden="1" customWidth="1"/>
    <col min="12" max="12" width="19.109375" style="852" hidden="1" customWidth="1"/>
    <col min="13" max="13" width="11.44140625" style="852" hidden="1" customWidth="1"/>
    <col min="14" max="14" width="18.44140625" style="852" hidden="1" customWidth="1"/>
    <col min="15" max="15" width="19.109375" style="852" hidden="1" customWidth="1"/>
    <col min="16" max="16" width="11.44140625" style="852" hidden="1" customWidth="1"/>
    <col min="17" max="17" width="17.88671875" style="852" hidden="1" customWidth="1"/>
    <col min="18" max="18" width="18" style="852" hidden="1" customWidth="1"/>
    <col min="19" max="19" width="10" style="852" hidden="1" customWidth="1"/>
    <col min="20" max="20" width="17.88671875" style="852" bestFit="1" customWidth="1"/>
    <col min="21" max="21" width="18" style="852" bestFit="1" customWidth="1"/>
    <col min="22" max="22" width="10" style="852" bestFit="1" customWidth="1"/>
    <col min="23" max="23" width="18.44140625" style="852" bestFit="1" customWidth="1"/>
    <col min="24" max="24" width="18" style="852" bestFit="1" customWidth="1"/>
    <col min="25" max="16384" width="11.44140625" style="852"/>
  </cols>
  <sheetData>
    <row r="1" spans="1:25" ht="82.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846"/>
      <c r="U1" s="846"/>
      <c r="V1" s="846"/>
      <c r="W1" s="1328" t="s">
        <v>2172</v>
      </c>
      <c r="X1" s="1303"/>
      <c r="Y1" s="1304"/>
    </row>
    <row r="2" spans="1:25"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847"/>
      <c r="U2" s="847"/>
      <c r="V2" s="847"/>
      <c r="W2" s="1329" t="s">
        <v>41</v>
      </c>
      <c r="X2" s="1305"/>
      <c r="Y2" s="1306"/>
    </row>
    <row r="3" spans="1:25"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x14ac:dyDescent="0.3">
      <c r="A7" s="1291" t="s">
        <v>2173</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ht="13.5" customHeight="1" x14ac:dyDescent="0.3">
      <c r="A8" s="1292" t="s">
        <v>2090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ht="13.5" customHeight="1" x14ac:dyDescent="0.3">
      <c r="A9" s="1292" t="s">
        <v>2096</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ht="13.5" customHeight="1" x14ac:dyDescent="0.3">
      <c r="A10" s="1292" t="s">
        <v>2174</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ht="13.5" customHeight="1" x14ac:dyDescent="0.3">
      <c r="A11" s="845"/>
      <c r="B11" s="1318"/>
      <c r="C11" s="1320"/>
      <c r="D11" s="1320"/>
      <c r="E11" s="1320"/>
      <c r="F11" s="1320"/>
      <c r="G11" s="1320"/>
      <c r="H11" s="1320"/>
      <c r="I11" s="1320"/>
      <c r="J11" s="1320"/>
      <c r="K11" s="1293" t="s">
        <v>46</v>
      </c>
      <c r="L11" s="1294"/>
      <c r="M11" s="1295"/>
      <c r="N11" s="1293" t="s">
        <v>464</v>
      </c>
      <c r="O11" s="1294"/>
      <c r="P11" s="1295"/>
      <c r="Q11" s="1293" t="s">
        <v>980</v>
      </c>
      <c r="R11" s="1294"/>
      <c r="S11" s="1295"/>
      <c r="T11" s="1293" t="s">
        <v>2098</v>
      </c>
      <c r="U11" s="1294"/>
      <c r="V11" s="1295"/>
      <c r="W11" s="1299" t="s">
        <v>49</v>
      </c>
      <c r="X11" s="1299"/>
      <c r="Y11" s="1299"/>
    </row>
    <row r="12" spans="1:25"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296"/>
      <c r="U12" s="1297"/>
      <c r="V12" s="1298"/>
      <c r="W12" s="1300"/>
      <c r="X12" s="1300"/>
      <c r="Y12" s="1300"/>
    </row>
    <row r="13" spans="1:25" ht="28.8" x14ac:dyDescent="0.3">
      <c r="A13" s="209" t="s">
        <v>50</v>
      </c>
      <c r="B13" s="209" t="s">
        <v>51</v>
      </c>
      <c r="C13" s="209" t="s">
        <v>52</v>
      </c>
      <c r="D13" s="209" t="s">
        <v>164</v>
      </c>
      <c r="E13" s="209" t="s">
        <v>54</v>
      </c>
      <c r="F13" s="210" t="s">
        <v>55</v>
      </c>
      <c r="G13" s="823" t="s">
        <v>2007</v>
      </c>
      <c r="H13" s="209" t="s">
        <v>56</v>
      </c>
      <c r="I13" s="824"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row>
    <row r="14" spans="1:25" ht="43.2" x14ac:dyDescent="0.3">
      <c r="A14" s="1314" t="s">
        <v>283</v>
      </c>
      <c r="B14" s="1315" t="s">
        <v>320</v>
      </c>
      <c r="C14" s="848" t="s">
        <v>59</v>
      </c>
      <c r="D14" s="848" t="s">
        <v>321</v>
      </c>
      <c r="E14" s="848">
        <v>1</v>
      </c>
      <c r="F14" s="192">
        <v>6024196</v>
      </c>
      <c r="G14" s="32">
        <f>+ROUND(F14*1.051,0)</f>
        <v>6331430</v>
      </c>
      <c r="H14" s="192">
        <f>ROUND((E14*F14),0)</f>
        <v>6024196</v>
      </c>
      <c r="I14" s="32">
        <f>+ROUND(G14*E14,0)</f>
        <v>6331430</v>
      </c>
      <c r="J14" s="1314" t="s">
        <v>2167</v>
      </c>
      <c r="K14" s="920">
        <v>0</v>
      </c>
      <c r="L14" s="164">
        <f>ROUND(K14*F14,0)</f>
        <v>0</v>
      </c>
      <c r="M14" s="165">
        <f>L14/H14</f>
        <v>0</v>
      </c>
      <c r="N14" s="920">
        <v>0</v>
      </c>
      <c r="O14" s="164">
        <f>ROUND(N14*$F$14,0)</f>
        <v>0</v>
      </c>
      <c r="P14" s="165">
        <f>O14/$H$14</f>
        <v>0</v>
      </c>
      <c r="Q14" s="921">
        <v>0.35</v>
      </c>
      <c r="R14" s="413">
        <f>ROUND(Q14*$F$14,0)</f>
        <v>2108469</v>
      </c>
      <c r="S14" s="414">
        <f>R14/$H$14</f>
        <v>0.35000006639890202</v>
      </c>
      <c r="T14" s="921">
        <v>0.65</v>
      </c>
      <c r="U14" s="413">
        <f>ROUND(T14*G14,0)</f>
        <v>4115430</v>
      </c>
      <c r="V14" s="414">
        <f>U14/H14</f>
        <v>0.68315008343022043</v>
      </c>
      <c r="W14" s="920">
        <f>K14+N14+Q14+T14</f>
        <v>1</v>
      </c>
      <c r="X14" s="164">
        <f>L14+O14+R14+U14</f>
        <v>6223899</v>
      </c>
      <c r="Y14" s="165">
        <f>X14/H14</f>
        <v>1.0331501498291225</v>
      </c>
    </row>
    <row r="15" spans="1:25" ht="43.2" x14ac:dyDescent="0.3">
      <c r="A15" s="1314"/>
      <c r="B15" s="1314"/>
      <c r="C15" s="848" t="s">
        <v>61</v>
      </c>
      <c r="D15" s="848" t="s">
        <v>322</v>
      </c>
      <c r="E15" s="848">
        <v>1</v>
      </c>
      <c r="F15" s="192">
        <v>6650991</v>
      </c>
      <c r="G15" s="32">
        <f>+ROUND(F15*1.051,0)</f>
        <v>6990192</v>
      </c>
      <c r="H15" s="192">
        <f>ROUND((E15*F15),0)</f>
        <v>6650991</v>
      </c>
      <c r="I15" s="32">
        <f>+ROUND(G15*E15,0)</f>
        <v>6990192</v>
      </c>
      <c r="J15" s="1314"/>
      <c r="K15" s="921">
        <v>0.3</v>
      </c>
      <c r="L15" s="413">
        <f>ROUND(K15*F15,0)</f>
        <v>1995297</v>
      </c>
      <c r="M15" s="414">
        <f>L15/H15</f>
        <v>0.29999995489393988</v>
      </c>
      <c r="N15" s="921">
        <f>0.7*40%</f>
        <v>0.27999999999999997</v>
      </c>
      <c r="O15" s="413">
        <f>ROUND(N15*$F$15,0)</f>
        <v>1862277</v>
      </c>
      <c r="P15" s="414">
        <f>O15/$H$15</f>
        <v>0.27999992783030381</v>
      </c>
      <c r="Q15" s="921">
        <v>0.35</v>
      </c>
      <c r="R15" s="413">
        <f>ROUND(Q15*$F$15,0)</f>
        <v>2327847</v>
      </c>
      <c r="S15" s="414">
        <f>R15/$H$15</f>
        <v>0.35000002255303009</v>
      </c>
      <c r="T15" s="921">
        <v>7.0000000000000007E-2</v>
      </c>
      <c r="U15" s="413">
        <f>ROUND(T15*G15,0)</f>
        <v>489313</v>
      </c>
      <c r="V15" s="414">
        <f>U15/H15</f>
        <v>7.3569938675304175E-2</v>
      </c>
      <c r="W15" s="920">
        <f>K15+N15+Q15+T15</f>
        <v>1</v>
      </c>
      <c r="X15" s="164">
        <f>L15+O15+R15+U15</f>
        <v>6674734</v>
      </c>
      <c r="Y15" s="165">
        <f>X15/H15</f>
        <v>1.003569843952578</v>
      </c>
    </row>
    <row r="16" spans="1:25" x14ac:dyDescent="0.3">
      <c r="A16" s="1314"/>
      <c r="B16" s="1314"/>
      <c r="C16" s="196"/>
      <c r="D16" s="196" t="s">
        <v>143</v>
      </c>
      <c r="E16" s="198"/>
      <c r="F16" s="198"/>
      <c r="G16" s="198"/>
      <c r="H16" s="199">
        <f>SUM(H14:H15)</f>
        <v>12675187</v>
      </c>
      <c r="I16" s="199">
        <f>SUM(I14:I15)</f>
        <v>13321622</v>
      </c>
      <c r="J16" s="1314"/>
      <c r="K16" s="200"/>
      <c r="L16" s="307">
        <f>SUM(L14:L15)</f>
        <v>1995297</v>
      </c>
      <c r="M16" s="431">
        <f>L16/H16</f>
        <v>0.15741755920445197</v>
      </c>
      <c r="N16" s="200"/>
      <c r="O16" s="307">
        <f>SUM(O14:O15)</f>
        <v>1862277</v>
      </c>
      <c r="P16" s="431">
        <f>O16/$H$16</f>
        <v>0.14692303947862859</v>
      </c>
      <c r="Q16" s="200"/>
      <c r="R16" s="307">
        <f>SUM(R14:R15)</f>
        <v>4436316</v>
      </c>
      <c r="S16" s="431">
        <f>R16/$H$16</f>
        <v>0.35000004339186475</v>
      </c>
      <c r="T16" s="200"/>
      <c r="U16" s="307">
        <f>SUM(U14:U15)</f>
        <v>4604743</v>
      </c>
      <c r="V16" s="431">
        <f>U16/$H$16</f>
        <v>0.36328797358177045</v>
      </c>
      <c r="W16" s="200"/>
      <c r="X16" s="307">
        <f>L16+O16+R16+U16</f>
        <v>12898633</v>
      </c>
      <c r="Y16" s="431">
        <f>X16/H16</f>
        <v>1.0176286156567158</v>
      </c>
    </row>
    <row r="17" spans="1:25" x14ac:dyDescent="0.3">
      <c r="F17" s="94" t="s">
        <v>64</v>
      </c>
      <c r="G17" s="94"/>
      <c r="H17" s="181">
        <f>SUM(H2:H16)/2</f>
        <v>12675187</v>
      </c>
      <c r="I17" s="181">
        <f>SUM(I2:I16)/2</f>
        <v>13321622</v>
      </c>
      <c r="K17" s="96" t="s">
        <v>64</v>
      </c>
      <c r="L17" s="181">
        <f>SUM(L2:L16)/2</f>
        <v>1995297</v>
      </c>
      <c r="N17" s="96" t="s">
        <v>64</v>
      </c>
      <c r="O17" s="181">
        <f>SUM(O2:O16)/2</f>
        <v>1862277</v>
      </c>
      <c r="Q17" s="96" t="s">
        <v>64</v>
      </c>
      <c r="R17" s="181">
        <f>SUM(R2:R16)/2</f>
        <v>4436316</v>
      </c>
      <c r="T17" s="484" t="s">
        <v>64</v>
      </c>
      <c r="U17" s="481">
        <f>SUM(U2:U16)/2</f>
        <v>4604743</v>
      </c>
      <c r="W17" s="152" t="s">
        <v>64</v>
      </c>
      <c r="X17" s="181">
        <f>SUM(X2:X16)/2</f>
        <v>12898633</v>
      </c>
    </row>
    <row r="18" spans="1:25" x14ac:dyDescent="0.3">
      <c r="F18" s="99" t="s">
        <v>65</v>
      </c>
      <c r="G18" s="776"/>
      <c r="H18" s="182">
        <f>((H17*0.3)*0.03)</f>
        <v>114076.68299999999</v>
      </c>
      <c r="I18" s="182">
        <f>((I17*0.3)*0.03)</f>
        <v>119894.59799999998</v>
      </c>
      <c r="K18" s="99" t="s">
        <v>65</v>
      </c>
      <c r="L18" s="182">
        <f>L17*0.03</f>
        <v>59858.909999999996</v>
      </c>
      <c r="N18" s="99" t="s">
        <v>65</v>
      </c>
      <c r="O18" s="182">
        <f>O17*0.03</f>
        <v>55868.31</v>
      </c>
      <c r="Q18" s="99" t="s">
        <v>65</v>
      </c>
      <c r="R18" s="182">
        <v>0</v>
      </c>
      <c r="T18" s="482" t="s">
        <v>65</v>
      </c>
      <c r="U18" s="483">
        <f>+I18-L18-O18-R18</f>
        <v>4167.3779999999897</v>
      </c>
      <c r="W18" s="153" t="s">
        <v>65</v>
      </c>
      <c r="X18" s="182">
        <f>+U18+R18+O18+L18</f>
        <v>119894.59799999998</v>
      </c>
    </row>
    <row r="19" spans="1:25" x14ac:dyDescent="0.3">
      <c r="F19" s="99"/>
      <c r="G19" s="776"/>
      <c r="H19" s="182"/>
      <c r="I19" s="182"/>
      <c r="K19" s="99"/>
      <c r="L19" s="182"/>
      <c r="N19" s="99"/>
      <c r="O19" s="182"/>
      <c r="Q19" s="99"/>
      <c r="R19" s="182"/>
      <c r="T19" s="484" t="s">
        <v>64</v>
      </c>
      <c r="U19" s="483">
        <f>+U17+U18</f>
        <v>4608910.3779999996</v>
      </c>
      <c r="W19" s="152" t="s">
        <v>64</v>
      </c>
      <c r="X19" s="182">
        <f>+X17+X18</f>
        <v>13018527.597999999</v>
      </c>
    </row>
    <row r="20" spans="1:25" ht="26.4" x14ac:dyDescent="0.3">
      <c r="F20" s="99"/>
      <c r="G20" s="776"/>
      <c r="H20" s="182"/>
      <c r="I20" s="182"/>
      <c r="K20" s="99"/>
      <c r="L20" s="182"/>
      <c r="N20" s="99"/>
      <c r="O20" s="182"/>
      <c r="Q20" s="99"/>
      <c r="R20" s="182"/>
      <c r="T20" s="484" t="s">
        <v>1439</v>
      </c>
      <c r="U20" s="483">
        <f>ROUND(U19*0.015,0)</f>
        <v>69134</v>
      </c>
      <c r="W20" s="484" t="s">
        <v>1439</v>
      </c>
      <c r="X20" s="182">
        <f>+U20</f>
        <v>69134</v>
      </c>
    </row>
    <row r="21" spans="1:25" ht="26.4" x14ac:dyDescent="0.3">
      <c r="F21" s="96" t="s">
        <v>64</v>
      </c>
      <c r="G21" s="775"/>
      <c r="H21" s="182">
        <f>+H17+H18</f>
        <v>12789263.683</v>
      </c>
      <c r="I21" s="182">
        <f>+I17+I18</f>
        <v>13441516.597999999</v>
      </c>
      <c r="K21" s="96" t="s">
        <v>64</v>
      </c>
      <c r="L21" s="182">
        <f>+L17+L18</f>
        <v>2055155.91</v>
      </c>
      <c r="M21" s="201">
        <f>L21/H21</f>
        <v>0.16069384140791429</v>
      </c>
      <c r="N21" s="96" t="s">
        <v>64</v>
      </c>
      <c r="O21" s="182">
        <f>+O17+O18</f>
        <v>1918145.31</v>
      </c>
      <c r="P21" s="201">
        <f>O21/$H$21</f>
        <v>0.14998090254012633</v>
      </c>
      <c r="Q21" s="96" t="s">
        <v>64</v>
      </c>
      <c r="R21" s="182">
        <f>+R17+R18</f>
        <v>4436316</v>
      </c>
      <c r="S21" s="201">
        <f>R21/$H$21</f>
        <v>0.34687814013068857</v>
      </c>
      <c r="T21" s="152" t="s">
        <v>1440</v>
      </c>
      <c r="U21" s="182">
        <f>U19+U20</f>
        <v>4678044.3779999996</v>
      </c>
      <c r="V21" s="201">
        <f>U21/$H$21</f>
        <v>0.36577902324574346</v>
      </c>
      <c r="W21" s="152" t="s">
        <v>1440</v>
      </c>
      <c r="X21" s="182">
        <f>X19+X20</f>
        <v>13087661.597999999</v>
      </c>
      <c r="Y21" s="201">
        <f>X21/H21</f>
        <v>1.0233319073244727</v>
      </c>
    </row>
    <row r="22" spans="1:25" x14ac:dyDescent="0.3">
      <c r="F22" s="100" t="s">
        <v>66</v>
      </c>
      <c r="G22" s="777"/>
      <c r="H22" s="182">
        <f>+H21*19%</f>
        <v>2429960.0997700002</v>
      </c>
      <c r="I22" s="182">
        <f>+I21*19%</f>
        <v>2553888.15362</v>
      </c>
      <c r="K22" s="100" t="s">
        <v>66</v>
      </c>
      <c r="L22" s="182">
        <f>+L21*19%</f>
        <v>390479.62290000002</v>
      </c>
      <c r="N22" s="100" t="s">
        <v>66</v>
      </c>
      <c r="O22" s="182">
        <f>+O21*19%</f>
        <v>364447.60889999999</v>
      </c>
      <c r="Q22" s="100" t="s">
        <v>66</v>
      </c>
      <c r="R22" s="182">
        <f>+R21*19%</f>
        <v>842900.04</v>
      </c>
      <c r="T22" s="485" t="s">
        <v>66</v>
      </c>
      <c r="U22" s="483">
        <f>ROUND(U21*0.19,0)</f>
        <v>888828</v>
      </c>
      <c r="W22" s="154" t="s">
        <v>66</v>
      </c>
      <c r="X22" s="182">
        <f>ROUND(X21*0.19,0)</f>
        <v>2486656</v>
      </c>
    </row>
    <row r="23" spans="1:25" x14ac:dyDescent="0.3">
      <c r="F23" s="101" t="s">
        <v>69</v>
      </c>
      <c r="G23" s="101"/>
      <c r="H23" s="181">
        <f>+H21+H22</f>
        <v>15219223.78277</v>
      </c>
      <c r="I23" s="181">
        <f>+I21+I22</f>
        <v>15995404.751619998</v>
      </c>
      <c r="K23" s="101" t="s">
        <v>69</v>
      </c>
      <c r="L23" s="181">
        <f>+L21+L22</f>
        <v>2445635.5329</v>
      </c>
      <c r="N23" s="101" t="s">
        <v>69</v>
      </c>
      <c r="O23" s="181">
        <f>+O21+O22</f>
        <v>2282592.9188999999</v>
      </c>
      <c r="Q23" s="101" t="s">
        <v>69</v>
      </c>
      <c r="R23" s="181">
        <f>+R21+R22</f>
        <v>5279216.04</v>
      </c>
      <c r="T23" s="545" t="s">
        <v>69</v>
      </c>
      <c r="U23" s="481">
        <f>U21+U22</f>
        <v>5566872.3779999996</v>
      </c>
      <c r="W23" s="155" t="s">
        <v>69</v>
      </c>
      <c r="X23" s="181">
        <f>X21+X22</f>
        <v>15574317.597999999</v>
      </c>
    </row>
    <row r="26" spans="1:25" x14ac:dyDescent="0.3">
      <c r="A26" s="183" t="s">
        <v>67</v>
      </c>
      <c r="B26" s="184"/>
      <c r="C26" s="184"/>
      <c r="D26" s="185" t="s">
        <v>68</v>
      </c>
      <c r="K26" s="186" t="s">
        <v>70</v>
      </c>
      <c r="L26" s="187" t="s">
        <v>71</v>
      </c>
      <c r="M26" s="186" t="s">
        <v>58</v>
      </c>
      <c r="N26" s="186" t="s">
        <v>70</v>
      </c>
      <c r="O26" s="187" t="s">
        <v>71</v>
      </c>
      <c r="P26" s="186" t="s">
        <v>58</v>
      </c>
      <c r="Q26" s="186" t="s">
        <v>70</v>
      </c>
      <c r="R26" s="187" t="s">
        <v>71</v>
      </c>
      <c r="S26" s="186" t="s">
        <v>58</v>
      </c>
      <c r="T26" s="186" t="s">
        <v>70</v>
      </c>
      <c r="U26" s="187" t="s">
        <v>71</v>
      </c>
      <c r="V26" s="186" t="s">
        <v>58</v>
      </c>
    </row>
    <row r="27" spans="1:25" x14ac:dyDescent="0.3">
      <c r="A27" s="183"/>
      <c r="B27" s="184"/>
      <c r="C27" s="184"/>
      <c r="D27" s="185"/>
      <c r="K27" s="203" t="s">
        <v>72</v>
      </c>
      <c r="L27" s="204">
        <f>L21</f>
        <v>2055155.91</v>
      </c>
      <c r="M27" s="205">
        <f>M21</f>
        <v>0.16069384140791429</v>
      </c>
      <c r="N27" s="203" t="s">
        <v>72</v>
      </c>
      <c r="O27" s="204">
        <f>$L$21</f>
        <v>2055155.91</v>
      </c>
      <c r="P27" s="205">
        <f>$M$21</f>
        <v>0.16069384140791429</v>
      </c>
      <c r="Q27" s="203" t="s">
        <v>72</v>
      </c>
      <c r="R27" s="204">
        <f>$L$21</f>
        <v>2055155.91</v>
      </c>
      <c r="S27" s="205">
        <f>$M$21</f>
        <v>0.16069384140791429</v>
      </c>
      <c r="T27" s="203" t="s">
        <v>72</v>
      </c>
      <c r="U27" s="204">
        <f>$L$21</f>
        <v>2055155.91</v>
      </c>
      <c r="V27" s="205">
        <f>$M$21</f>
        <v>0.16069384140791429</v>
      </c>
    </row>
    <row r="28" spans="1:25" x14ac:dyDescent="0.3">
      <c r="A28" s="183"/>
      <c r="B28" s="184"/>
      <c r="C28" s="184"/>
      <c r="D28" s="185"/>
      <c r="K28" s="203"/>
      <c r="L28" s="204"/>
      <c r="M28" s="205"/>
      <c r="N28" s="203" t="s">
        <v>73</v>
      </c>
      <c r="O28" s="204">
        <f>$O$21</f>
        <v>1918145.31</v>
      </c>
      <c r="P28" s="205">
        <f>$P$21</f>
        <v>0.14998090254012633</v>
      </c>
      <c r="Q28" s="203" t="s">
        <v>73</v>
      </c>
      <c r="R28" s="204">
        <f>$O$21</f>
        <v>1918145.31</v>
      </c>
      <c r="S28" s="205">
        <f>$P$21</f>
        <v>0.14998090254012633</v>
      </c>
      <c r="T28" s="203" t="s">
        <v>73</v>
      </c>
      <c r="U28" s="204">
        <f>$O$21</f>
        <v>1918145.31</v>
      </c>
      <c r="V28" s="205">
        <f>$P$21</f>
        <v>0.14998090254012633</v>
      </c>
    </row>
    <row r="29" spans="1:25" x14ac:dyDescent="0.3">
      <c r="A29" s="183"/>
      <c r="B29" s="184"/>
      <c r="C29" s="184"/>
      <c r="D29" s="185"/>
      <c r="K29" s="203"/>
      <c r="L29" s="204"/>
      <c r="M29" s="205"/>
      <c r="N29" s="203"/>
      <c r="O29" s="204"/>
      <c r="P29" s="205"/>
      <c r="Q29" s="203" t="s">
        <v>74</v>
      </c>
      <c r="R29" s="204">
        <f>R17</f>
        <v>4436316</v>
      </c>
      <c r="S29" s="205">
        <f>S21</f>
        <v>0.34687814013068857</v>
      </c>
      <c r="T29" s="203" t="s">
        <v>74</v>
      </c>
      <c r="U29" s="204">
        <f>R17</f>
        <v>4436316</v>
      </c>
      <c r="V29" s="205">
        <f>S21</f>
        <v>0.34687814013068857</v>
      </c>
    </row>
    <row r="30" spans="1:25" x14ac:dyDescent="0.3">
      <c r="A30" s="183"/>
      <c r="B30" s="184"/>
      <c r="C30" s="184"/>
      <c r="D30" s="185"/>
      <c r="K30" s="203"/>
      <c r="L30" s="204"/>
      <c r="M30" s="205"/>
      <c r="N30" s="203"/>
      <c r="O30" s="204"/>
      <c r="P30" s="205"/>
      <c r="Q30" s="203"/>
      <c r="R30" s="204"/>
      <c r="S30" s="205"/>
      <c r="T30" s="203" t="s">
        <v>155</v>
      </c>
      <c r="U30" s="204">
        <f>+U21</f>
        <v>4678044.3779999996</v>
      </c>
      <c r="V30" s="205">
        <f>+V21</f>
        <v>0.36577902324574346</v>
      </c>
    </row>
    <row r="31" spans="1:25" x14ac:dyDescent="0.3">
      <c r="A31" s="183"/>
      <c r="B31" s="184"/>
      <c r="C31" s="184"/>
      <c r="D31" s="185"/>
      <c r="K31" s="206" t="s">
        <v>1</v>
      </c>
      <c r="L31" s="207">
        <f>SUM(L27:L27)</f>
        <v>2055155.91</v>
      </c>
      <c r="M31" s="208">
        <f>SUM(M27:M27)</f>
        <v>0.16069384140791429</v>
      </c>
      <c r="N31" s="206" t="s">
        <v>1</v>
      </c>
      <c r="O31" s="207">
        <f>SUM(O27:O28)</f>
        <v>3973301.2199999997</v>
      </c>
      <c r="P31" s="208">
        <f>SUM(P27:P28)</f>
        <v>0.31067474394804062</v>
      </c>
      <c r="Q31" s="206" t="s">
        <v>1</v>
      </c>
      <c r="R31" s="207">
        <f>SUM(R27:R29)</f>
        <v>8409617.2199999988</v>
      </c>
      <c r="S31" s="208">
        <f>SUM(S27:S29)</f>
        <v>0.65755288407872925</v>
      </c>
      <c r="T31" s="206" t="s">
        <v>1</v>
      </c>
      <c r="U31" s="207">
        <f>SUM(U27:U30)</f>
        <v>13087661.597999997</v>
      </c>
      <c r="V31" s="208">
        <f>SUM(V27:V30)</f>
        <v>1.0233319073244727</v>
      </c>
    </row>
    <row r="32" spans="1:25" x14ac:dyDescent="0.3">
      <c r="A32" s="183"/>
      <c r="B32" s="184"/>
      <c r="C32" s="184"/>
      <c r="D32" s="185"/>
      <c r="K32" s="206" t="s">
        <v>9</v>
      </c>
      <c r="L32" s="1321"/>
      <c r="M32" s="1322"/>
      <c r="N32" s="206" t="s">
        <v>9</v>
      </c>
      <c r="O32" s="1321"/>
      <c r="P32" s="1322"/>
      <c r="Q32" s="206" t="s">
        <v>9</v>
      </c>
      <c r="R32" s="1321"/>
      <c r="S32" s="1322"/>
      <c r="T32" s="206" t="s">
        <v>9</v>
      </c>
      <c r="U32" s="1321"/>
      <c r="V32" s="1322"/>
    </row>
    <row r="33" spans="1:22" x14ac:dyDescent="0.3">
      <c r="A33" s="183"/>
      <c r="B33" s="184"/>
      <c r="C33" s="184"/>
      <c r="D33" s="185"/>
      <c r="K33" s="109" t="s">
        <v>78</v>
      </c>
      <c r="L33" s="1321" t="s">
        <v>394</v>
      </c>
      <c r="M33" s="1322"/>
      <c r="N33" s="109" t="s">
        <v>78</v>
      </c>
      <c r="O33" s="1321" t="s">
        <v>394</v>
      </c>
      <c r="P33" s="1322"/>
      <c r="Q33" s="109" t="s">
        <v>78</v>
      </c>
      <c r="R33" s="1321" t="s">
        <v>394</v>
      </c>
      <c r="S33" s="1322"/>
      <c r="T33" s="109" t="s">
        <v>78</v>
      </c>
      <c r="U33" s="1321" t="s">
        <v>1997</v>
      </c>
      <c r="V33" s="1322"/>
    </row>
    <row r="34" spans="1:22" x14ac:dyDescent="0.3">
      <c r="A34" s="183"/>
      <c r="B34" s="184"/>
      <c r="C34" s="184"/>
      <c r="D34" s="185"/>
      <c r="K34" s="110" t="s">
        <v>8</v>
      </c>
      <c r="L34" s="1354"/>
      <c r="M34" s="1355"/>
      <c r="N34" s="110" t="s">
        <v>8</v>
      </c>
      <c r="O34" s="1321" t="s">
        <v>2175</v>
      </c>
      <c r="P34" s="1322"/>
      <c r="Q34" s="110" t="s">
        <v>8</v>
      </c>
      <c r="R34" s="1321" t="s">
        <v>2175</v>
      </c>
      <c r="S34" s="1322"/>
      <c r="T34" s="110" t="s">
        <v>8</v>
      </c>
      <c r="U34" s="1321" t="s">
        <v>1998</v>
      </c>
      <c r="V34" s="1322"/>
    </row>
    <row r="35" spans="1:22" x14ac:dyDescent="0.3">
      <c r="A35" s="183"/>
      <c r="B35" s="184"/>
      <c r="C35" s="184"/>
      <c r="D35" s="185" t="s">
        <v>75</v>
      </c>
    </row>
    <row r="36" spans="1:22" x14ac:dyDescent="0.3">
      <c r="A36" s="183" t="s">
        <v>76</v>
      </c>
      <c r="B36" s="180"/>
      <c r="C36" s="180"/>
      <c r="D36" s="185" t="s">
        <v>77</v>
      </c>
    </row>
    <row r="37" spans="1:22" ht="26.4" x14ac:dyDescent="0.3">
      <c r="A37" s="183" t="s">
        <v>79</v>
      </c>
      <c r="B37" s="180"/>
      <c r="C37" s="180"/>
      <c r="D37" s="185" t="s">
        <v>80</v>
      </c>
    </row>
  </sheetData>
  <sheetProtection formatCells="0" formatColumns="0" formatRows="0" insertColumns="0" insertRows="0" insertHyperlinks="0" deleteColumns="0" deleteRows="0" sort="0" autoFilter="0" pivotTables="0"/>
  <mergeCells count="33">
    <mergeCell ref="A5:Y5"/>
    <mergeCell ref="C1:S2"/>
    <mergeCell ref="W1:Y1"/>
    <mergeCell ref="W2:Y2"/>
    <mergeCell ref="A3:Y3"/>
    <mergeCell ref="A4:Y4"/>
    <mergeCell ref="O32:P32"/>
    <mergeCell ref="A6:Y6"/>
    <mergeCell ref="A7:Y7"/>
    <mergeCell ref="A8:Y8"/>
    <mergeCell ref="A9:Y9"/>
    <mergeCell ref="A10:Y10"/>
    <mergeCell ref="B11:J11"/>
    <mergeCell ref="K11:M12"/>
    <mergeCell ref="N11:P12"/>
    <mergeCell ref="Q11:S12"/>
    <mergeCell ref="W11:Y12"/>
    <mergeCell ref="B12:J12"/>
    <mergeCell ref="A14:A16"/>
    <mergeCell ref="B14:B16"/>
    <mergeCell ref="J14:J16"/>
    <mergeCell ref="L32:M32"/>
    <mergeCell ref="L33:M33"/>
    <mergeCell ref="O33:P33"/>
    <mergeCell ref="R33:S33"/>
    <mergeCell ref="L34:M34"/>
    <mergeCell ref="O34:P34"/>
    <mergeCell ref="R34:S34"/>
    <mergeCell ref="T11:V12"/>
    <mergeCell ref="U32:V32"/>
    <mergeCell ref="U33:V33"/>
    <mergeCell ref="U34:V34"/>
    <mergeCell ref="R32:S32"/>
  </mergeCells>
  <pageMargins left="0.7" right="0.7" top="0.75" bottom="0.75" header="0.3" footer="0.3"/>
  <pageSetup scale="36" orientation="landscape" r:id="rId1"/>
  <drawing r:id="rId2"/>
  <legacyDrawingHF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tabColor theme="1"/>
  </sheetPr>
  <dimension ref="A1:G49"/>
  <sheetViews>
    <sheetView topLeftCell="A20" zoomScaleNormal="100" workbookViewId="0">
      <selection activeCell="F30" sqref="F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RESUMEN!G29</f>
        <v>Proyecto: CDIM_CAOLIG_R0078 - RES. CREG 038-14 CÓDIGO DE MEDIDA, IMPLEMENTACIÓN DEL CÓDIGO DE MEDIDA EN LA S/E LLANOS (LEVANTAMIENTO)</v>
      </c>
      <c r="C5" s="1281"/>
      <c r="D5" s="1281"/>
      <c r="E5" s="1281"/>
      <c r="F5" s="1281"/>
      <c r="G5" s="1282"/>
    </row>
    <row r="6" spans="1:7" x14ac:dyDescent="0.25">
      <c r="A6" s="1177"/>
      <c r="B6" s="1177"/>
      <c r="C6" s="1177"/>
      <c r="D6" s="1177"/>
      <c r="E6" s="1177"/>
      <c r="F6" s="1177"/>
      <c r="G6" s="1177"/>
    </row>
    <row r="7" spans="1:7" x14ac:dyDescent="0.25">
      <c r="A7" s="271" t="s">
        <v>0</v>
      </c>
      <c r="B7" s="1264" t="str">
        <f>RESUMEN!B29</f>
        <v>D00243137</v>
      </c>
      <c r="C7" s="1265"/>
      <c r="D7" s="1177"/>
      <c r="E7" s="1266" t="s">
        <v>627</v>
      </c>
      <c r="F7" s="1267"/>
      <c r="G7" s="280" t="str">
        <f>RESUMEN!E29</f>
        <v>17-169</v>
      </c>
    </row>
    <row r="8" spans="1:7" x14ac:dyDescent="0.25">
      <c r="A8" s="271" t="s">
        <v>628</v>
      </c>
      <c r="B8" s="1264" t="str">
        <f>RESUMEN!C29</f>
        <v>D00243137000</v>
      </c>
      <c r="C8" s="1265"/>
      <c r="D8" s="1177"/>
      <c r="E8" s="1266" t="s">
        <v>629</v>
      </c>
      <c r="F8" s="1267"/>
      <c r="G8" s="280" t="str">
        <f>RESUMEN!U29</f>
        <v>Acta N° 3: Marzo</v>
      </c>
    </row>
    <row r="9" spans="1:7" x14ac:dyDescent="0.25">
      <c r="A9" s="271" t="s">
        <v>630</v>
      </c>
      <c r="B9" s="1283" t="s">
        <v>631</v>
      </c>
      <c r="C9" s="1265"/>
      <c r="D9" s="1177"/>
      <c r="E9" s="1266" t="s">
        <v>632</v>
      </c>
      <c r="F9" s="1267"/>
      <c r="G9" s="1178">
        <f>RESUMEN!H29</f>
        <v>7700871</v>
      </c>
    </row>
    <row r="10" spans="1:7" x14ac:dyDescent="0.25">
      <c r="A10" s="271" t="s">
        <v>633</v>
      </c>
      <c r="B10" s="1283" t="str">
        <f>RESUMEN!D29</f>
        <v>LLANOS COD MEDIDA</v>
      </c>
      <c r="C10" s="1265"/>
      <c r="D10" s="1177"/>
      <c r="E10" s="1266" t="s">
        <v>634</v>
      </c>
      <c r="F10" s="1267"/>
      <c r="G10" s="1178">
        <f>RESUMEN!R29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 IMPLEMENTACIÓN DEL CÓDIGO DE MEDIDA EN LA S/E LLANOS (LEVANTAMIENTO)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RESUMEN!N29</f>
        <v>0</v>
      </c>
      <c r="F19" s="1248"/>
      <c r="G19" s="1177"/>
    </row>
    <row r="20" spans="1:7" ht="27" customHeight="1" x14ac:dyDescent="0.25">
      <c r="A20" s="1177"/>
      <c r="B20" s="1244" t="s">
        <v>1498</v>
      </c>
      <c r="C20" s="1245"/>
      <c r="D20" s="1246"/>
      <c r="E20" s="1247">
        <f>RESUMEN!P29</f>
        <v>0</v>
      </c>
      <c r="F20" s="1248"/>
      <c r="G20" s="1177"/>
    </row>
    <row r="21" spans="1:7" ht="27" customHeight="1" x14ac:dyDescent="0.25">
      <c r="A21" s="1177"/>
      <c r="B21" s="1244" t="s">
        <v>1499</v>
      </c>
      <c r="C21" s="1245"/>
      <c r="D21" s="1246"/>
      <c r="E21" s="1247">
        <f>RESUMEN!Q29</f>
        <v>0</v>
      </c>
      <c r="F21" s="1248"/>
      <c r="G21" s="1177"/>
    </row>
    <row r="22" spans="1:7" x14ac:dyDescent="0.25">
      <c r="A22" s="1177"/>
      <c r="B22" s="1254" t="s">
        <v>64</v>
      </c>
      <c r="C22" s="1254"/>
      <c r="D22" s="1254"/>
      <c r="E22" s="1255">
        <f>RESUMEN!R29</f>
        <v>0</v>
      </c>
      <c r="F22" s="1255"/>
      <c r="G22" s="1177"/>
    </row>
    <row r="23" spans="1:7" x14ac:dyDescent="0.25">
      <c r="A23" s="1177"/>
      <c r="B23" s="1256" t="s">
        <v>66</v>
      </c>
      <c r="C23" s="1256"/>
      <c r="D23" s="1256"/>
      <c r="E23" s="1257">
        <f>RESUMEN!S29</f>
        <v>0</v>
      </c>
      <c r="F23" s="1257"/>
      <c r="G23" s="1177"/>
    </row>
    <row r="24" spans="1:7" x14ac:dyDescent="0.25">
      <c r="A24" s="1177"/>
      <c r="B24" s="1258" t="s">
        <v>1</v>
      </c>
      <c r="C24" s="1258"/>
      <c r="D24" s="1258"/>
      <c r="E24" s="1259">
        <f>RESUMEN!T29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+'OT17-169 LLANOS COD MEDIDA'!Q34</f>
        <v>ACTA 1</v>
      </c>
      <c r="C28" s="1253">
        <f>+'OT17-169 LLANOS COD MEDIDA'!R34</f>
        <v>823137.89</v>
      </c>
      <c r="D28" s="1253"/>
      <c r="E28" s="267">
        <f>+'OT17-169 LLANOS COD MEDIDA'!S34</f>
        <v>0.10377566381776815</v>
      </c>
      <c r="F28" s="1177"/>
      <c r="G28" s="1177"/>
    </row>
    <row r="29" spans="1:7" x14ac:dyDescent="0.25">
      <c r="A29" s="1177"/>
      <c r="B29" s="280" t="str">
        <f>+'OT17-169 LLANOS COD MEDIDA'!Q35</f>
        <v>ACTA 2</v>
      </c>
      <c r="C29" s="1253">
        <f>+'OT17-169 LLANOS COD MEDIDA'!R35</f>
        <v>6420120.8099999996</v>
      </c>
      <c r="D29" s="1253"/>
      <c r="E29" s="267">
        <f>+'OT17-169 LLANOS COD MEDIDA'!S35</f>
        <v>0.80940545556470167</v>
      </c>
      <c r="F29" s="1177"/>
      <c r="G29" s="1177"/>
    </row>
    <row r="30" spans="1:7" x14ac:dyDescent="0.25">
      <c r="A30" s="1177"/>
      <c r="B30" s="280" t="str">
        <f>+'OT17-169 LLANOS COD MEDIDA'!Q36</f>
        <v>ACTA 3</v>
      </c>
      <c r="C30" s="1253">
        <f>+'OT17-169 LLANOS COD MEDIDA'!R36</f>
        <v>0</v>
      </c>
      <c r="D30" s="1253"/>
      <c r="E30" s="267">
        <f>+'OT17-169 LLANOS COD MEDIDA'!S36</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7243258.6999999993</v>
      </c>
      <c r="D34" s="1251"/>
      <c r="E34" s="264">
        <f>SUM(E28:E33)</f>
        <v>0.91318111938246982</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0">
    <tabColor theme="7"/>
  </sheetPr>
  <dimension ref="A1:Y44"/>
  <sheetViews>
    <sheetView topLeftCell="A7" zoomScale="55" zoomScaleNormal="55" zoomScaleSheetLayoutView="55" workbookViewId="0">
      <selection activeCell="V25" sqref="V25"/>
    </sheetView>
  </sheetViews>
  <sheetFormatPr baseColWidth="10" defaultColWidth="11.44140625" defaultRowHeight="14.4" x14ac:dyDescent="0.3"/>
  <cols>
    <col min="1" max="1" width="19.5546875" style="302" customWidth="1"/>
    <col min="2" max="2" width="22.44140625" style="302" customWidth="1"/>
    <col min="3" max="3" width="32.6640625" style="302" customWidth="1"/>
    <col min="4" max="4" width="23.6640625" style="302" customWidth="1"/>
    <col min="5" max="5" width="13" style="302" customWidth="1"/>
    <col min="6" max="6" width="18.44140625" style="302" bestFit="1" customWidth="1"/>
    <col min="7" max="7" width="18.44140625" style="795" customWidth="1"/>
    <col min="8" max="8" width="16.6640625" style="302" customWidth="1"/>
    <col min="9" max="9" width="16.6640625" style="795" customWidth="1"/>
    <col min="10" max="10" width="47.44140625" style="302" customWidth="1"/>
    <col min="11" max="11" width="17.88671875" style="302" hidden="1" customWidth="1"/>
    <col min="12" max="12" width="18" style="302" hidden="1" customWidth="1"/>
    <col min="13" max="13" width="11.44140625" style="302" hidden="1" customWidth="1"/>
    <col min="14" max="14" width="18.44140625" style="302" hidden="1" customWidth="1"/>
    <col min="15" max="15" width="19.109375" style="302" hidden="1" customWidth="1"/>
    <col min="16" max="16" width="12.33203125" style="302" hidden="1" customWidth="1"/>
    <col min="17" max="17" width="17.88671875" style="302" customWidth="1"/>
    <col min="18" max="18" width="18" style="302" customWidth="1"/>
    <col min="19" max="19" width="12.33203125" style="302" customWidth="1"/>
    <col min="20" max="20" width="19.33203125" style="302" customWidth="1"/>
    <col min="21" max="21" width="16.6640625" style="302" bestFit="1" customWidth="1"/>
    <col min="22" max="16384" width="11.44140625" style="302"/>
  </cols>
  <sheetData>
    <row r="1" spans="1:22" ht="63"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28" t="s">
        <v>965</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966</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967</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354"/>
      <c r="B11" s="1318"/>
      <c r="C11" s="1320"/>
      <c r="D11" s="1320"/>
      <c r="E11" s="1320"/>
      <c r="F11" s="1320"/>
      <c r="G11" s="1320"/>
      <c r="H11" s="1320"/>
      <c r="I11" s="1320"/>
      <c r="J11" s="1320"/>
      <c r="K11" s="1293" t="s">
        <v>46</v>
      </c>
      <c r="L11" s="1294"/>
      <c r="M11" s="1295"/>
      <c r="N11" s="1293" t="s">
        <v>464</v>
      </c>
      <c r="O11" s="1294"/>
      <c r="P11" s="1295"/>
      <c r="Q11" s="1293" t="s">
        <v>2318</v>
      </c>
      <c r="R11" s="1294"/>
      <c r="S11" s="1295"/>
      <c r="T11" s="1299" t="s">
        <v>49</v>
      </c>
      <c r="U11" s="1299"/>
      <c r="V11" s="1299"/>
    </row>
    <row r="12" spans="1:22" ht="13.5" customHeight="1" x14ac:dyDescent="0.3">
      <c r="A12" s="171"/>
      <c r="B12" s="1318"/>
      <c r="C12" s="1319"/>
      <c r="D12" s="1319"/>
      <c r="E12" s="1319"/>
      <c r="F12" s="1319"/>
      <c r="G12" s="1319"/>
      <c r="H12" s="1319"/>
      <c r="I12" s="1319"/>
      <c r="J12" s="1319"/>
      <c r="K12" s="1325"/>
      <c r="L12" s="1326"/>
      <c r="M12" s="1327"/>
      <c r="N12" s="1325"/>
      <c r="O12" s="1326"/>
      <c r="P12" s="1327"/>
      <c r="Q12" s="1296"/>
      <c r="R12" s="1297"/>
      <c r="S12" s="1298"/>
      <c r="T12" s="1300"/>
      <c r="U12" s="1300"/>
      <c r="V12" s="1300"/>
    </row>
    <row r="13" spans="1:22" ht="28.8" x14ac:dyDescent="0.3">
      <c r="A13" s="159" t="s">
        <v>50</v>
      </c>
      <c r="B13" s="159" t="s">
        <v>51</v>
      </c>
      <c r="C13" s="159" t="s">
        <v>52</v>
      </c>
      <c r="D13" s="159" t="s">
        <v>164</v>
      </c>
      <c r="E13" s="159" t="s">
        <v>54</v>
      </c>
      <c r="F13" s="141" t="s">
        <v>55</v>
      </c>
      <c r="G13" s="823" t="s">
        <v>2007</v>
      </c>
      <c r="H13" s="159" t="s">
        <v>56</v>
      </c>
      <c r="I13" s="824" t="s">
        <v>56</v>
      </c>
      <c r="J13" s="159" t="s">
        <v>57</v>
      </c>
      <c r="K13" s="209" t="s">
        <v>54</v>
      </c>
      <c r="L13" s="209" t="s">
        <v>56</v>
      </c>
      <c r="M13" s="209" t="s">
        <v>58</v>
      </c>
      <c r="N13" s="209" t="s">
        <v>54</v>
      </c>
      <c r="O13" s="209" t="s">
        <v>56</v>
      </c>
      <c r="P13" s="209" t="s">
        <v>58</v>
      </c>
      <c r="Q13" s="209" t="s">
        <v>54</v>
      </c>
      <c r="R13" s="209" t="s">
        <v>56</v>
      </c>
      <c r="S13" s="209" t="s">
        <v>58</v>
      </c>
      <c r="T13" s="209" t="s">
        <v>54</v>
      </c>
      <c r="U13" s="209" t="s">
        <v>56</v>
      </c>
      <c r="V13" s="209" t="s">
        <v>58</v>
      </c>
    </row>
    <row r="14" spans="1:22" ht="43.2" x14ac:dyDescent="0.3">
      <c r="A14" s="1289" t="s">
        <v>280</v>
      </c>
      <c r="B14" s="1289" t="s">
        <v>240</v>
      </c>
      <c r="C14" s="353" t="s">
        <v>59</v>
      </c>
      <c r="D14" s="353" t="s">
        <v>241</v>
      </c>
      <c r="E14" s="353">
        <v>0.15</v>
      </c>
      <c r="F14" s="32">
        <v>2437535</v>
      </c>
      <c r="G14" s="32">
        <f>+ROUND(F14*1.051,0)</f>
        <v>2561849</v>
      </c>
      <c r="H14" s="32">
        <f>ROUND((E14*F14),0)</f>
        <v>365630</v>
      </c>
      <c r="I14" s="32">
        <f>+ROUND(G14*E14,0)</f>
        <v>384277</v>
      </c>
      <c r="J14" s="1289" t="s">
        <v>424</v>
      </c>
      <c r="K14" s="309">
        <v>0.15</v>
      </c>
      <c r="L14" s="310">
        <f>ROUND(K14*F14,0)</f>
        <v>365630</v>
      </c>
      <c r="M14" s="311">
        <f>L14/H14</f>
        <v>1</v>
      </c>
      <c r="N14" s="145">
        <v>0</v>
      </c>
      <c r="O14" s="143">
        <f>ROUND(N14*$F$14,0)</f>
        <v>0</v>
      </c>
      <c r="P14" s="144">
        <f>O14/$H$14</f>
        <v>0</v>
      </c>
      <c r="Q14" s="145">
        <v>0</v>
      </c>
      <c r="R14" s="143">
        <f>ROUND(Q14*G14,0)</f>
        <v>0</v>
      </c>
      <c r="S14" s="144">
        <f>R14/I14</f>
        <v>0</v>
      </c>
      <c r="T14" s="163">
        <f>K14+N14+Q14</f>
        <v>0.15</v>
      </c>
      <c r="U14" s="164">
        <f>L14+O14+R14</f>
        <v>365630</v>
      </c>
      <c r="V14" s="165">
        <f>U14/H14</f>
        <v>1</v>
      </c>
    </row>
    <row r="15" spans="1:22" x14ac:dyDescent="0.3">
      <c r="A15" s="1289"/>
      <c r="B15" s="1289"/>
      <c r="C15" s="39"/>
      <c r="D15" s="39" t="s">
        <v>242</v>
      </c>
      <c r="E15" s="41"/>
      <c r="F15" s="41"/>
      <c r="G15" s="41"/>
      <c r="H15" s="42">
        <f>H14</f>
        <v>365630</v>
      </c>
      <c r="I15" s="42">
        <f>SUM(I14)</f>
        <v>384277</v>
      </c>
      <c r="J15" s="1289"/>
      <c r="K15" s="306"/>
      <c r="L15" s="307">
        <f>L14</f>
        <v>365630</v>
      </c>
      <c r="M15" s="308">
        <f>L15/H15</f>
        <v>1</v>
      </c>
      <c r="N15" s="306"/>
      <c r="O15" s="307">
        <f>O14</f>
        <v>0</v>
      </c>
      <c r="P15" s="308">
        <f>O15/$H$15</f>
        <v>0</v>
      </c>
      <c r="Q15" s="306"/>
      <c r="R15" s="307">
        <f>R14</f>
        <v>0</v>
      </c>
      <c r="S15" s="1086">
        <f t="shared" ref="S15:S24" si="0">R15/I15</f>
        <v>0</v>
      </c>
      <c r="T15" s="306"/>
      <c r="U15" s="307">
        <f t="shared" ref="U15:U24" si="1">L15+O15+R15</f>
        <v>365630</v>
      </c>
      <c r="V15" s="308">
        <f>U15/H15</f>
        <v>1</v>
      </c>
    </row>
    <row r="16" spans="1:22" ht="43.2" x14ac:dyDescent="0.3">
      <c r="A16" s="1289" t="s">
        <v>280</v>
      </c>
      <c r="B16" s="1290" t="s">
        <v>243</v>
      </c>
      <c r="C16" s="353" t="s">
        <v>59</v>
      </c>
      <c r="D16" s="353" t="s">
        <v>141</v>
      </c>
      <c r="E16" s="353">
        <v>0</v>
      </c>
      <c r="F16" s="32">
        <v>940192</v>
      </c>
      <c r="G16" s="32">
        <f t="shared" ref="G16:G17" si="2">+ROUND(F16*1.051,0)</f>
        <v>988142</v>
      </c>
      <c r="H16" s="32">
        <f>ROUND((E16*F16),0)</f>
        <v>0</v>
      </c>
      <c r="I16" s="32">
        <f>+ROUND(G16*E16,0)</f>
        <v>0</v>
      </c>
      <c r="J16" s="1290" t="s">
        <v>395</v>
      </c>
      <c r="K16" s="163">
        <v>0</v>
      </c>
      <c r="L16" s="164">
        <f>ROUND(K16*F16,0)</f>
        <v>0</v>
      </c>
      <c r="M16" s="165">
        <v>0</v>
      </c>
      <c r="N16" s="145">
        <v>0</v>
      </c>
      <c r="O16" s="143">
        <f>ROUND(N16*$F$16,0)</f>
        <v>0</v>
      </c>
      <c r="P16" s="144">
        <v>0</v>
      </c>
      <c r="Q16" s="408">
        <v>0</v>
      </c>
      <c r="R16" s="143">
        <f t="shared" ref="R16:R17" si="3">ROUND(Q16*G16,0)</f>
        <v>0</v>
      </c>
      <c r="S16" s="144">
        <v>0</v>
      </c>
      <c r="T16" s="163">
        <f>K16+N16+Q16</f>
        <v>0</v>
      </c>
      <c r="U16" s="164">
        <f t="shared" si="1"/>
        <v>0</v>
      </c>
      <c r="V16" s="165">
        <v>0</v>
      </c>
    </row>
    <row r="17" spans="1:22" ht="28.8" x14ac:dyDescent="0.3">
      <c r="A17" s="1289"/>
      <c r="B17" s="1289"/>
      <c r="C17" s="353" t="s">
        <v>61</v>
      </c>
      <c r="D17" s="353" t="s">
        <v>142</v>
      </c>
      <c r="E17" s="353">
        <v>0.15</v>
      </c>
      <c r="F17" s="32">
        <v>2890220</v>
      </c>
      <c r="G17" s="32">
        <f t="shared" si="2"/>
        <v>3037621</v>
      </c>
      <c r="H17" s="32">
        <f>ROUND((E17*F17),0)</f>
        <v>433533</v>
      </c>
      <c r="I17" s="32">
        <f>+ROUND(G17*E17,0)</f>
        <v>455643</v>
      </c>
      <c r="J17" s="1289"/>
      <c r="K17" s="309">
        <v>0.15</v>
      </c>
      <c r="L17" s="310">
        <f>ROUND(K17*F17,0)</f>
        <v>433533</v>
      </c>
      <c r="M17" s="311">
        <f>L17/H17</f>
        <v>1</v>
      </c>
      <c r="N17" s="145">
        <v>0</v>
      </c>
      <c r="O17" s="143">
        <f>ROUND(N17*$F$17,0)</f>
        <v>0</v>
      </c>
      <c r="P17" s="144">
        <f>O17/$H$17</f>
        <v>0</v>
      </c>
      <c r="Q17" s="408">
        <v>0</v>
      </c>
      <c r="R17" s="143">
        <f t="shared" si="3"/>
        <v>0</v>
      </c>
      <c r="S17" s="144">
        <f t="shared" si="0"/>
        <v>0</v>
      </c>
      <c r="T17" s="163">
        <f>K17+N17+Q17</f>
        <v>0.15</v>
      </c>
      <c r="U17" s="164">
        <f t="shared" si="1"/>
        <v>433533</v>
      </c>
      <c r="V17" s="165">
        <f>U17/H17</f>
        <v>1</v>
      </c>
    </row>
    <row r="18" spans="1:22" x14ac:dyDescent="0.3">
      <c r="A18" s="1289"/>
      <c r="B18" s="1289"/>
      <c r="C18" s="39"/>
      <c r="D18" s="39" t="s">
        <v>143</v>
      </c>
      <c r="E18" s="41"/>
      <c r="F18" s="41"/>
      <c r="G18" s="41"/>
      <c r="H18" s="42">
        <f>SUM(H16:H17)</f>
        <v>433533</v>
      </c>
      <c r="I18" s="42">
        <f>SUM(I16:I17)</f>
        <v>455643</v>
      </c>
      <c r="J18" s="1289"/>
      <c r="K18" s="306"/>
      <c r="L18" s="307">
        <f>SUM(L16:L17)</f>
        <v>433533</v>
      </c>
      <c r="M18" s="308">
        <f>L18/H18</f>
        <v>1</v>
      </c>
      <c r="N18" s="306"/>
      <c r="O18" s="307">
        <f>SUM(O16:O17)</f>
        <v>0</v>
      </c>
      <c r="P18" s="308">
        <f>O18/$H$18</f>
        <v>0</v>
      </c>
      <c r="Q18" s="306"/>
      <c r="R18" s="307">
        <f>SUM(R16:R17)</f>
        <v>0</v>
      </c>
      <c r="S18" s="1086">
        <f t="shared" si="0"/>
        <v>0</v>
      </c>
      <c r="T18" s="306"/>
      <c r="U18" s="307">
        <f t="shared" si="1"/>
        <v>433533</v>
      </c>
      <c r="V18" s="308">
        <f>U18/H18</f>
        <v>1</v>
      </c>
    </row>
    <row r="19" spans="1:22" ht="43.2" x14ac:dyDescent="0.3">
      <c r="A19" s="1289" t="s">
        <v>283</v>
      </c>
      <c r="B19" s="1290" t="s">
        <v>284</v>
      </c>
      <c r="C19" s="353" t="s">
        <v>148</v>
      </c>
      <c r="D19" s="353" t="s">
        <v>181</v>
      </c>
      <c r="E19" s="353">
        <v>1</v>
      </c>
      <c r="F19" s="32">
        <v>6233127</v>
      </c>
      <c r="G19" s="32">
        <f>+ROUND(F19*1.051,0)</f>
        <v>6551016</v>
      </c>
      <c r="H19" s="32">
        <f>ROUND((E19*F19),0)</f>
        <v>6233127</v>
      </c>
      <c r="I19" s="32">
        <f>+ROUND(G19*E19,0)</f>
        <v>6551016</v>
      </c>
      <c r="J19" s="1289"/>
      <c r="K19" s="163">
        <v>0</v>
      </c>
      <c r="L19" s="164">
        <f>ROUND(K19*F19,0)</f>
        <v>0</v>
      </c>
      <c r="M19" s="165">
        <f>L19/H19</f>
        <v>0</v>
      </c>
      <c r="N19" s="309">
        <v>1</v>
      </c>
      <c r="O19" s="310">
        <f>ROUND(N19*$F$19,0)</f>
        <v>6233127</v>
      </c>
      <c r="P19" s="311">
        <f>O19/$H$19</f>
        <v>1</v>
      </c>
      <c r="Q19" s="408">
        <v>0</v>
      </c>
      <c r="R19" s="143">
        <f>ROUND(Q19*G19,0)</f>
        <v>0</v>
      </c>
      <c r="S19" s="144">
        <f t="shared" si="0"/>
        <v>0</v>
      </c>
      <c r="T19" s="163">
        <f>K19+N19+Q19</f>
        <v>1</v>
      </c>
      <c r="U19" s="164">
        <f t="shared" si="1"/>
        <v>6233127</v>
      </c>
      <c r="V19" s="165">
        <f>U19/H19</f>
        <v>1</v>
      </c>
    </row>
    <row r="20" spans="1:22" x14ac:dyDescent="0.3">
      <c r="A20" s="1289"/>
      <c r="B20" s="1289"/>
      <c r="C20" s="39"/>
      <c r="D20" s="39" t="s">
        <v>183</v>
      </c>
      <c r="E20" s="41"/>
      <c r="F20" s="41"/>
      <c r="G20" s="41"/>
      <c r="H20" s="42">
        <f>H19</f>
        <v>6233127</v>
      </c>
      <c r="I20" s="42">
        <f>SUM(I19)</f>
        <v>6551016</v>
      </c>
      <c r="J20" s="1289"/>
      <c r="K20" s="306"/>
      <c r="L20" s="307">
        <f>L19</f>
        <v>0</v>
      </c>
      <c r="M20" s="308">
        <f>L20/H20</f>
        <v>0</v>
      </c>
      <c r="N20" s="306"/>
      <c r="O20" s="307">
        <f>O19</f>
        <v>6233127</v>
      </c>
      <c r="P20" s="308">
        <f>O20/$H$20</f>
        <v>1</v>
      </c>
      <c r="Q20" s="306"/>
      <c r="R20" s="307">
        <f>R19</f>
        <v>0</v>
      </c>
      <c r="S20" s="1086">
        <f t="shared" si="0"/>
        <v>0</v>
      </c>
      <c r="T20" s="306"/>
      <c r="U20" s="307">
        <f t="shared" si="1"/>
        <v>6233127</v>
      </c>
      <c r="V20" s="308">
        <f>U20/H20</f>
        <v>1</v>
      </c>
    </row>
    <row r="21" spans="1:22" ht="28.8" x14ac:dyDescent="0.3">
      <c r="A21" s="1289" t="s">
        <v>285</v>
      </c>
      <c r="B21" s="1290" t="s">
        <v>211</v>
      </c>
      <c r="C21" s="353" t="s">
        <v>81</v>
      </c>
      <c r="D21" s="353" t="s">
        <v>212</v>
      </c>
      <c r="E21" s="353">
        <v>0</v>
      </c>
      <c r="F21" s="32">
        <v>800905</v>
      </c>
      <c r="G21" s="32">
        <f t="shared" ref="G21:G23" si="4">+ROUND(F21*1.051,0)</f>
        <v>841751</v>
      </c>
      <c r="H21" s="32">
        <f>ROUND((E21*F21),0)</f>
        <v>0</v>
      </c>
      <c r="I21" s="32">
        <f>+ROUND(G21*E21,0)</f>
        <v>0</v>
      </c>
      <c r="J21" s="1290" t="s">
        <v>425</v>
      </c>
      <c r="K21" s="163">
        <v>0</v>
      </c>
      <c r="L21" s="164">
        <f>ROUND(K21*F21,0)</f>
        <v>0</v>
      </c>
      <c r="M21" s="165">
        <v>0</v>
      </c>
      <c r="N21" s="145">
        <v>0</v>
      </c>
      <c r="O21" s="143">
        <f>ROUND(N21*$F$21,0)</f>
        <v>0</v>
      </c>
      <c r="P21" s="144">
        <v>0</v>
      </c>
      <c r="Q21" s="408">
        <v>0</v>
      </c>
      <c r="R21" s="143">
        <f t="shared" ref="R21:R23" si="5">ROUND(Q21*G21,0)</f>
        <v>0</v>
      </c>
      <c r="S21" s="144">
        <v>0</v>
      </c>
      <c r="T21" s="163">
        <f>K21+N21+Q21</f>
        <v>0</v>
      </c>
      <c r="U21" s="164">
        <f t="shared" si="1"/>
        <v>0</v>
      </c>
      <c r="V21" s="165">
        <v>0</v>
      </c>
    </row>
    <row r="22" spans="1:22" ht="28.8" x14ac:dyDescent="0.3">
      <c r="A22" s="1289"/>
      <c r="B22" s="1289"/>
      <c r="C22" s="353" t="s">
        <v>83</v>
      </c>
      <c r="D22" s="353" t="s">
        <v>213</v>
      </c>
      <c r="E22" s="353">
        <v>0</v>
      </c>
      <c r="F22" s="32">
        <v>2646468</v>
      </c>
      <c r="G22" s="32">
        <f t="shared" si="4"/>
        <v>2781438</v>
      </c>
      <c r="H22" s="32">
        <f>ROUND((E22*F22),0)</f>
        <v>0</v>
      </c>
      <c r="I22" s="32">
        <f>+ROUND(G22*E22,0)</f>
        <v>0</v>
      </c>
      <c r="J22" s="1289"/>
      <c r="K22" s="163">
        <v>0</v>
      </c>
      <c r="L22" s="164">
        <f>ROUND(K22*F22,0)</f>
        <v>0</v>
      </c>
      <c r="M22" s="165">
        <v>0</v>
      </c>
      <c r="N22" s="145">
        <v>0</v>
      </c>
      <c r="O22" s="143">
        <f>ROUND(N22*$F$22,0)</f>
        <v>0</v>
      </c>
      <c r="P22" s="144">
        <v>0</v>
      </c>
      <c r="Q22" s="408">
        <v>0</v>
      </c>
      <c r="R22" s="143">
        <f t="shared" si="5"/>
        <v>0</v>
      </c>
      <c r="S22" s="144">
        <v>0</v>
      </c>
      <c r="T22" s="163">
        <f>K22+N22+Q22</f>
        <v>0</v>
      </c>
      <c r="U22" s="164">
        <f t="shared" si="1"/>
        <v>0</v>
      </c>
      <c r="V22" s="165">
        <v>0</v>
      </c>
    </row>
    <row r="23" spans="1:22" ht="28.8" x14ac:dyDescent="0.3">
      <c r="A23" s="1289"/>
      <c r="B23" s="1289"/>
      <c r="C23" s="353" t="s">
        <v>61</v>
      </c>
      <c r="D23" s="353" t="s">
        <v>214</v>
      </c>
      <c r="E23" s="353">
        <v>0.3</v>
      </c>
      <c r="F23" s="32">
        <v>2228604</v>
      </c>
      <c r="G23" s="32">
        <f t="shared" si="4"/>
        <v>2342263</v>
      </c>
      <c r="H23" s="32">
        <f>ROUND((E23*F23),0)</f>
        <v>668581</v>
      </c>
      <c r="I23" s="32">
        <f>+ROUND(G23*E23,0)</f>
        <v>702679</v>
      </c>
      <c r="J23" s="1289"/>
      <c r="K23" s="163">
        <v>0</v>
      </c>
      <c r="L23" s="164">
        <f>ROUND(K23*F23,0)</f>
        <v>0</v>
      </c>
      <c r="M23" s="165">
        <f>L23/H23</f>
        <v>0</v>
      </c>
      <c r="N23" s="145">
        <v>0</v>
      </c>
      <c r="O23" s="143">
        <f>ROUND(N23*$F$23,0)</f>
        <v>0</v>
      </c>
      <c r="P23" s="144">
        <f>O23/$H$23</f>
        <v>0</v>
      </c>
      <c r="Q23" s="408">
        <v>0</v>
      </c>
      <c r="R23" s="143">
        <f t="shared" si="5"/>
        <v>0</v>
      </c>
      <c r="S23" s="144">
        <f t="shared" si="0"/>
        <v>0</v>
      </c>
      <c r="T23" s="163">
        <f>K23+N23+Q23</f>
        <v>0</v>
      </c>
      <c r="U23" s="164">
        <f t="shared" si="1"/>
        <v>0</v>
      </c>
      <c r="V23" s="165">
        <f>U23/I23</f>
        <v>0</v>
      </c>
    </row>
    <row r="24" spans="1:22" x14ac:dyDescent="0.3">
      <c r="A24" s="1289"/>
      <c r="B24" s="1289"/>
      <c r="C24" s="39"/>
      <c r="D24" s="39" t="s">
        <v>215</v>
      </c>
      <c r="E24" s="41"/>
      <c r="F24" s="41"/>
      <c r="G24" s="41"/>
      <c r="H24" s="42">
        <f>SUM(H21:H23)</f>
        <v>668581</v>
      </c>
      <c r="I24" s="42">
        <f>SUM(I21:I23)</f>
        <v>702679</v>
      </c>
      <c r="J24" s="1289"/>
      <c r="K24" s="306"/>
      <c r="L24" s="307">
        <f>SUM(L21:L23)</f>
        <v>0</v>
      </c>
      <c r="M24" s="308">
        <f>L24/H24</f>
        <v>0</v>
      </c>
      <c r="N24" s="306"/>
      <c r="O24" s="307">
        <f>SUM(O21:O23)</f>
        <v>0</v>
      </c>
      <c r="P24" s="308">
        <f>O24/$H$24</f>
        <v>0</v>
      </c>
      <c r="Q24" s="306"/>
      <c r="R24" s="307">
        <f>SUM(R21:R23)</f>
        <v>0</v>
      </c>
      <c r="S24" s="1086">
        <f t="shared" si="0"/>
        <v>0</v>
      </c>
      <c r="T24" s="306"/>
      <c r="U24" s="307">
        <f t="shared" si="1"/>
        <v>0</v>
      </c>
      <c r="V24" s="308">
        <f>U24/I24</f>
        <v>0</v>
      </c>
    </row>
    <row r="25" spans="1:22" x14ac:dyDescent="0.3">
      <c r="F25" s="151" t="s">
        <v>64</v>
      </c>
      <c r="G25" s="151"/>
      <c r="H25" s="181">
        <f>SUM(H10:H24)/2</f>
        <v>7700871</v>
      </c>
      <c r="I25" s="181">
        <f>SUM(I10:I24)/2</f>
        <v>8093615</v>
      </c>
      <c r="K25" s="152" t="s">
        <v>64</v>
      </c>
      <c r="L25" s="181">
        <f>SUM(L10:L24)/2</f>
        <v>799163</v>
      </c>
      <c r="N25" s="152" t="s">
        <v>64</v>
      </c>
      <c r="O25" s="181">
        <f>SUM(O10:O24)/2</f>
        <v>6233127</v>
      </c>
      <c r="Q25" s="152" t="s">
        <v>64</v>
      </c>
      <c r="R25" s="181">
        <f>SUM(R10:R24)/2</f>
        <v>0</v>
      </c>
      <c r="T25" s="152" t="s">
        <v>64</v>
      </c>
      <c r="U25" s="181">
        <f>SUM(U10:U24)/2</f>
        <v>7032290</v>
      </c>
    </row>
    <row r="26" spans="1:22" x14ac:dyDescent="0.3">
      <c r="F26" s="153" t="s">
        <v>65</v>
      </c>
      <c r="G26" s="816"/>
      <c r="H26" s="182">
        <f>H25*0.03</f>
        <v>231026.13</v>
      </c>
      <c r="I26" s="182">
        <f>I25*0.03</f>
        <v>242808.44999999998</v>
      </c>
      <c r="K26" s="153" t="s">
        <v>65</v>
      </c>
      <c r="L26" s="182">
        <f>L25*0.03</f>
        <v>23974.89</v>
      </c>
      <c r="N26" s="153" t="s">
        <v>65</v>
      </c>
      <c r="O26" s="182">
        <f>O25*0.03</f>
        <v>186993.81</v>
      </c>
      <c r="Q26" s="153" t="s">
        <v>65</v>
      </c>
      <c r="R26" s="182">
        <f>R25*0.03</f>
        <v>0</v>
      </c>
      <c r="T26" s="153" t="s">
        <v>65</v>
      </c>
      <c r="U26" s="182">
        <f>U25*0.03</f>
        <v>210968.69999999998</v>
      </c>
    </row>
    <row r="27" spans="1:22" x14ac:dyDescent="0.3">
      <c r="F27" s="152" t="s">
        <v>64</v>
      </c>
      <c r="G27" s="817"/>
      <c r="H27" s="182">
        <f>+H25+H26</f>
        <v>7931897.1299999999</v>
      </c>
      <c r="I27" s="182">
        <f>+I25+I26</f>
        <v>8336423.4500000002</v>
      </c>
      <c r="K27" s="152" t="s">
        <v>64</v>
      </c>
      <c r="L27" s="182">
        <f>+L25+L26</f>
        <v>823137.89</v>
      </c>
      <c r="M27" s="201">
        <f>L27/H27</f>
        <v>0.10377566381776815</v>
      </c>
      <c r="N27" s="152" t="s">
        <v>64</v>
      </c>
      <c r="O27" s="182">
        <f>+O25+O26</f>
        <v>6420120.8099999996</v>
      </c>
      <c r="P27" s="201">
        <f>O27/$H$27</f>
        <v>0.80940545556470167</v>
      </c>
      <c r="Q27" s="152" t="s">
        <v>64</v>
      </c>
      <c r="R27" s="182">
        <f>+R25+R26</f>
        <v>0</v>
      </c>
      <c r="S27" s="201">
        <f>R27/$H$27</f>
        <v>0</v>
      </c>
      <c r="T27" s="152" t="s">
        <v>64</v>
      </c>
      <c r="U27" s="182">
        <f>+U25+U26</f>
        <v>7243258.7000000002</v>
      </c>
      <c r="V27" s="201">
        <f>U27/H27</f>
        <v>0.91318111938246993</v>
      </c>
    </row>
    <row r="28" spans="1:22" ht="26.4" x14ac:dyDescent="0.3">
      <c r="F28" s="152"/>
      <c r="G28" s="817"/>
      <c r="H28" s="182"/>
      <c r="I28" s="182"/>
      <c r="K28" s="152"/>
      <c r="L28" s="182"/>
      <c r="M28" s="201"/>
      <c r="N28" s="152"/>
      <c r="O28" s="182"/>
      <c r="P28" s="201"/>
      <c r="Q28" s="484" t="s">
        <v>1439</v>
      </c>
      <c r="R28" s="182">
        <f>ROUND(R27*0.015,0)</f>
        <v>0</v>
      </c>
      <c r="S28" s="201"/>
      <c r="T28" s="484" t="s">
        <v>1439</v>
      </c>
      <c r="U28" s="182">
        <f>L28+O28+R28</f>
        <v>0</v>
      </c>
      <c r="V28" s="201"/>
    </row>
    <row r="29" spans="1:22" ht="26.4" x14ac:dyDescent="0.3">
      <c r="F29" s="152"/>
      <c r="G29" s="817"/>
      <c r="H29" s="182"/>
      <c r="I29" s="182"/>
      <c r="K29" s="152"/>
      <c r="L29" s="182"/>
      <c r="M29" s="201"/>
      <c r="N29" s="152"/>
      <c r="O29" s="182"/>
      <c r="P29" s="201"/>
      <c r="Q29" s="152" t="s">
        <v>1440</v>
      </c>
      <c r="R29" s="182">
        <f>R27+R28</f>
        <v>0</v>
      </c>
      <c r="S29" s="201"/>
      <c r="T29" s="152" t="s">
        <v>1440</v>
      </c>
      <c r="U29" s="182">
        <f>U27+U28</f>
        <v>7243258.7000000002</v>
      </c>
      <c r="V29" s="201"/>
    </row>
    <row r="30" spans="1:22" x14ac:dyDescent="0.3">
      <c r="F30" s="154" t="s">
        <v>66</v>
      </c>
      <c r="G30" s="818"/>
      <c r="H30" s="182">
        <f>+H27*19%</f>
        <v>1507060.4546999999</v>
      </c>
      <c r="I30" s="182">
        <f>+I27*19%</f>
        <v>1583920.4555000002</v>
      </c>
      <c r="K30" s="154" t="s">
        <v>66</v>
      </c>
      <c r="L30" s="182">
        <f>+L27*19%</f>
        <v>156396.1991</v>
      </c>
      <c r="N30" s="154" t="s">
        <v>66</v>
      </c>
      <c r="O30" s="182">
        <f>+O27*19%</f>
        <v>1219822.9538999998</v>
      </c>
      <c r="Q30" s="154" t="s">
        <v>66</v>
      </c>
      <c r="R30" s="182">
        <f>ROUND(R29*0.19,0)</f>
        <v>0</v>
      </c>
      <c r="T30" s="154" t="s">
        <v>66</v>
      </c>
      <c r="U30" s="182">
        <f>ROUND(U29*0.19,0)</f>
        <v>1376219</v>
      </c>
    </row>
    <row r="31" spans="1:22" x14ac:dyDescent="0.3">
      <c r="F31" s="155" t="s">
        <v>69</v>
      </c>
      <c r="G31" s="155"/>
      <c r="H31" s="181">
        <f>+H27+H30</f>
        <v>9438957.5846999995</v>
      </c>
      <c r="I31" s="181">
        <f>+I27+I30</f>
        <v>9920343.9055000003</v>
      </c>
      <c r="K31" s="155" t="s">
        <v>69</v>
      </c>
      <c r="L31" s="181">
        <f>+L27+L30</f>
        <v>979534.08909999998</v>
      </c>
      <c r="N31" s="155" t="s">
        <v>69</v>
      </c>
      <c r="O31" s="181">
        <f>+O27+O30</f>
        <v>7639943.7638999997</v>
      </c>
      <c r="Q31" s="155" t="s">
        <v>69</v>
      </c>
      <c r="R31" s="181">
        <f>R29+R30</f>
        <v>0</v>
      </c>
      <c r="T31" s="155" t="s">
        <v>69</v>
      </c>
      <c r="U31" s="181">
        <f>U29+U30</f>
        <v>8619477.6999999993</v>
      </c>
    </row>
    <row r="33" spans="1:25" x14ac:dyDescent="0.3">
      <c r="A33" s="183" t="s">
        <v>67</v>
      </c>
      <c r="B33" s="184"/>
      <c r="C33" s="184"/>
      <c r="D33" s="185" t="s">
        <v>68</v>
      </c>
      <c r="K33" s="186" t="s">
        <v>70</v>
      </c>
      <c r="L33" s="187" t="s">
        <v>71</v>
      </c>
      <c r="M33" s="186" t="s">
        <v>58</v>
      </c>
      <c r="N33" s="186" t="s">
        <v>70</v>
      </c>
      <c r="O33" s="187" t="s">
        <v>71</v>
      </c>
      <c r="P33" s="186" t="s">
        <v>58</v>
      </c>
      <c r="Q33" s="186" t="s">
        <v>70</v>
      </c>
      <c r="R33" s="187" t="s">
        <v>71</v>
      </c>
      <c r="S33" s="186" t="s">
        <v>58</v>
      </c>
      <c r="W33" s="189"/>
      <c r="X33" s="189"/>
      <c r="Y33" s="189"/>
    </row>
    <row r="34" spans="1:25" x14ac:dyDescent="0.3">
      <c r="A34" s="183"/>
      <c r="B34" s="184"/>
      <c r="C34" s="184"/>
      <c r="D34" s="185"/>
      <c r="K34" s="203" t="s">
        <v>72</v>
      </c>
      <c r="L34" s="204">
        <f>L27</f>
        <v>823137.89</v>
      </c>
      <c r="M34" s="205">
        <f>M27</f>
        <v>0.10377566381776815</v>
      </c>
      <c r="N34" s="203" t="s">
        <v>72</v>
      </c>
      <c r="O34" s="204">
        <f>$L$27</f>
        <v>823137.89</v>
      </c>
      <c r="P34" s="205">
        <f>$M$27</f>
        <v>0.10377566381776815</v>
      </c>
      <c r="Q34" s="203" t="s">
        <v>72</v>
      </c>
      <c r="R34" s="204">
        <f>$L$27</f>
        <v>823137.89</v>
      </c>
      <c r="S34" s="205">
        <f>$M$27</f>
        <v>0.10377566381776815</v>
      </c>
      <c r="W34" s="189"/>
      <c r="X34" s="189"/>
      <c r="Y34" s="189"/>
    </row>
    <row r="35" spans="1:25" x14ac:dyDescent="0.3">
      <c r="A35" s="183"/>
      <c r="B35" s="184"/>
      <c r="C35" s="184"/>
      <c r="D35" s="185"/>
      <c r="K35" s="203"/>
      <c r="L35" s="204"/>
      <c r="M35" s="205"/>
      <c r="N35" s="203" t="s">
        <v>73</v>
      </c>
      <c r="O35" s="204">
        <f>$O$27</f>
        <v>6420120.8099999996</v>
      </c>
      <c r="P35" s="205">
        <f>$P$27</f>
        <v>0.80940545556470167</v>
      </c>
      <c r="Q35" s="203" t="s">
        <v>73</v>
      </c>
      <c r="R35" s="204">
        <f>$O$27</f>
        <v>6420120.8099999996</v>
      </c>
      <c r="S35" s="205">
        <f>$P$27</f>
        <v>0.80940545556470167</v>
      </c>
      <c r="W35" s="189"/>
      <c r="X35" s="189"/>
      <c r="Y35" s="189"/>
    </row>
    <row r="36" spans="1:25" x14ac:dyDescent="0.3">
      <c r="A36" s="183"/>
      <c r="B36" s="184"/>
      <c r="C36" s="184"/>
      <c r="D36" s="185"/>
      <c r="K36" s="203"/>
      <c r="L36" s="204"/>
      <c r="M36" s="205"/>
      <c r="N36" s="203"/>
      <c r="O36" s="204"/>
      <c r="P36" s="205"/>
      <c r="Q36" s="203" t="s">
        <v>74</v>
      </c>
      <c r="R36" s="204">
        <f>$R$29</f>
        <v>0</v>
      </c>
      <c r="S36" s="205">
        <f>$S$27</f>
        <v>0</v>
      </c>
      <c r="W36" s="189"/>
      <c r="X36" s="189"/>
      <c r="Y36" s="189"/>
    </row>
    <row r="37" spans="1:25" x14ac:dyDescent="0.3">
      <c r="A37" s="183"/>
      <c r="B37" s="184"/>
      <c r="C37" s="184"/>
      <c r="D37" s="185"/>
      <c r="K37" s="206" t="s">
        <v>1</v>
      </c>
      <c r="L37" s="207">
        <f>SUM(L34:L34)</f>
        <v>823137.89</v>
      </c>
      <c r="M37" s="208">
        <f>SUM(M34:M34)</f>
        <v>0.10377566381776815</v>
      </c>
      <c r="N37" s="206" t="s">
        <v>1</v>
      </c>
      <c r="O37" s="207">
        <f>SUM(O34:O35)</f>
        <v>7243258.6999999993</v>
      </c>
      <c r="P37" s="208">
        <f>SUM(P34:P35)</f>
        <v>0.91318111938246982</v>
      </c>
      <c r="Q37" s="206" t="s">
        <v>1</v>
      </c>
      <c r="R37" s="207">
        <f>SUM(R34:R36)</f>
        <v>7243258.6999999993</v>
      </c>
      <c r="S37" s="208">
        <f>SUM(S34:S36)</f>
        <v>0.91318111938246982</v>
      </c>
      <c r="W37" s="189"/>
      <c r="X37" s="189"/>
      <c r="Y37" s="189"/>
    </row>
    <row r="38" spans="1:25" x14ac:dyDescent="0.3">
      <c r="A38" s="183"/>
      <c r="B38" s="184"/>
      <c r="C38" s="184"/>
      <c r="D38" s="185"/>
      <c r="K38" s="206" t="s">
        <v>9</v>
      </c>
      <c r="L38" s="1285"/>
      <c r="M38" s="1286"/>
      <c r="N38" s="206" t="s">
        <v>9</v>
      </c>
      <c r="O38" s="1285"/>
      <c r="P38" s="1286"/>
      <c r="Q38" s="206" t="s">
        <v>9</v>
      </c>
      <c r="R38" s="1285"/>
      <c r="S38" s="1286"/>
      <c r="W38" s="189"/>
      <c r="X38" s="189"/>
      <c r="Y38" s="189"/>
    </row>
    <row r="39" spans="1:25" x14ac:dyDescent="0.3">
      <c r="A39" s="183"/>
      <c r="B39" s="184"/>
      <c r="C39" s="184"/>
      <c r="D39" s="185"/>
      <c r="K39" s="156" t="s">
        <v>78</v>
      </c>
      <c r="L39" s="1285" t="s">
        <v>396</v>
      </c>
      <c r="M39" s="1286"/>
      <c r="N39" s="156" t="s">
        <v>78</v>
      </c>
      <c r="O39" s="1285" t="s">
        <v>396</v>
      </c>
      <c r="P39" s="1286"/>
      <c r="Q39" s="156" t="s">
        <v>78</v>
      </c>
      <c r="R39" s="1285" t="s">
        <v>396</v>
      </c>
      <c r="S39" s="1286"/>
      <c r="W39" s="189"/>
      <c r="X39" s="189"/>
      <c r="Y39" s="189"/>
    </row>
    <row r="40" spans="1:25" x14ac:dyDescent="0.3">
      <c r="A40" s="183"/>
      <c r="B40" s="184"/>
      <c r="C40" s="184"/>
      <c r="D40" s="185"/>
      <c r="K40" s="157" t="s">
        <v>8</v>
      </c>
      <c r="L40" s="1287" t="s">
        <v>397</v>
      </c>
      <c r="M40" s="1288"/>
      <c r="N40" s="157" t="s">
        <v>8</v>
      </c>
      <c r="O40" s="1287" t="s">
        <v>397</v>
      </c>
      <c r="P40" s="1288"/>
      <c r="Q40" s="157" t="s">
        <v>8</v>
      </c>
      <c r="R40" s="1287" t="s">
        <v>397</v>
      </c>
      <c r="S40" s="1288"/>
      <c r="W40" s="189"/>
      <c r="X40" s="189"/>
      <c r="Y40" s="189"/>
    </row>
    <row r="41" spans="1:25" x14ac:dyDescent="0.3">
      <c r="A41" s="183"/>
      <c r="B41" s="184"/>
      <c r="C41" s="184"/>
      <c r="D41" s="185" t="s">
        <v>75</v>
      </c>
    </row>
    <row r="42" spans="1:25" x14ac:dyDescent="0.3">
      <c r="A42" s="183" t="s">
        <v>76</v>
      </c>
      <c r="B42" s="180"/>
      <c r="C42" s="180"/>
      <c r="D42" s="185" t="s">
        <v>77</v>
      </c>
    </row>
    <row r="43" spans="1:25" x14ac:dyDescent="0.3">
      <c r="A43" s="183" t="s">
        <v>79</v>
      </c>
      <c r="B43" s="180"/>
      <c r="C43" s="180"/>
      <c r="D43" s="185" t="s">
        <v>80</v>
      </c>
    </row>
    <row r="44" spans="1:25" s="189" customFormat="1" x14ac:dyDescent="0.3">
      <c r="G44" s="796"/>
      <c r="I44" s="796"/>
    </row>
  </sheetData>
  <sheetProtection formatCells="0" formatColumns="0" formatRows="0" insertColumns="0" insertRows="0" insertHyperlinks="0" deleteColumns="0" deleteRows="0" sort="0" autoFilter="0" pivotTables="0"/>
  <mergeCells count="38">
    <mergeCell ref="A5:V5"/>
    <mergeCell ref="T1:V1"/>
    <mergeCell ref="T2:V2"/>
    <mergeCell ref="A3:V3"/>
    <mergeCell ref="A4:V4"/>
    <mergeCell ref="C1:S2"/>
    <mergeCell ref="B11:J11"/>
    <mergeCell ref="K11:M12"/>
    <mergeCell ref="N11:P12"/>
    <mergeCell ref="T11:V12"/>
    <mergeCell ref="B12:J12"/>
    <mergeCell ref="Q11:S12"/>
    <mergeCell ref="A6:V6"/>
    <mergeCell ref="A7:V7"/>
    <mergeCell ref="A8:V8"/>
    <mergeCell ref="A9:V9"/>
    <mergeCell ref="A10:V10"/>
    <mergeCell ref="A14:A15"/>
    <mergeCell ref="B14:B15"/>
    <mergeCell ref="J14:J15"/>
    <mergeCell ref="A16:A18"/>
    <mergeCell ref="B16:B18"/>
    <mergeCell ref="J16:J18"/>
    <mergeCell ref="A19:A20"/>
    <mergeCell ref="B19:B20"/>
    <mergeCell ref="J19:J20"/>
    <mergeCell ref="A21:A24"/>
    <mergeCell ref="B21:B24"/>
    <mergeCell ref="J21:J24"/>
    <mergeCell ref="R38:S38"/>
    <mergeCell ref="R39:S39"/>
    <mergeCell ref="R40:S40"/>
    <mergeCell ref="L38:M38"/>
    <mergeCell ref="O38:P38"/>
    <mergeCell ref="L39:M39"/>
    <mergeCell ref="O39:P39"/>
    <mergeCell ref="L40:M40"/>
    <mergeCell ref="O40:P40"/>
  </mergeCells>
  <pageMargins left="0.7" right="0.7" top="0.75" bottom="0.75" header="0.3" footer="0.3"/>
  <pageSetup scale="41" orientation="landscape" r:id="rId1"/>
  <drawing r:id="rId2"/>
  <legacyDrawingHF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tabColor theme="1"/>
  </sheetPr>
  <dimension ref="A1:G49"/>
  <sheetViews>
    <sheetView topLeftCell="A7" zoomScaleNormal="10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RESUMEN!G30</f>
        <v>Proyecto: Diseño ingeniería básica LT INDUMIL - NUEVA ESPERANZA A 115kV CDIM_CBSGAM_R0131</v>
      </c>
      <c r="C5" s="1281"/>
      <c r="D5" s="1281"/>
      <c r="E5" s="1281"/>
      <c r="F5" s="1281"/>
      <c r="G5" s="1282"/>
    </row>
    <row r="6" spans="1:7" x14ac:dyDescent="0.25">
      <c r="A6" s="1177"/>
      <c r="B6" s="1177"/>
      <c r="C6" s="1177"/>
      <c r="D6" s="1177"/>
      <c r="E6" s="1177"/>
      <c r="F6" s="1177"/>
      <c r="G6" s="1177"/>
    </row>
    <row r="7" spans="1:7" x14ac:dyDescent="0.25">
      <c r="A7" s="271" t="s">
        <v>0</v>
      </c>
      <c r="B7" s="1264" t="str">
        <f>RESUMEN!B30</f>
        <v>D00235082</v>
      </c>
      <c r="C7" s="1265"/>
      <c r="D7" s="1177"/>
      <c r="E7" s="1266" t="s">
        <v>627</v>
      </c>
      <c r="F7" s="1267"/>
      <c r="G7" s="280" t="str">
        <f>RESUMEN!E30</f>
        <v>17-170</v>
      </c>
    </row>
    <row r="8" spans="1:7" x14ac:dyDescent="0.25">
      <c r="A8" s="271" t="s">
        <v>628</v>
      </c>
      <c r="B8" s="1264">
        <f>RESUMEN!C30</f>
        <v>500000755943</v>
      </c>
      <c r="C8" s="1265"/>
      <c r="D8" s="1177"/>
      <c r="E8" s="1266" t="s">
        <v>629</v>
      </c>
      <c r="F8" s="1267"/>
      <c r="G8" s="280" t="str">
        <f>RESUMEN!U30</f>
        <v>Acta N° 3: Marzo</v>
      </c>
    </row>
    <row r="9" spans="1:7" x14ac:dyDescent="0.25">
      <c r="A9" s="271" t="s">
        <v>630</v>
      </c>
      <c r="B9" s="1283" t="s">
        <v>631</v>
      </c>
      <c r="C9" s="1265"/>
      <c r="D9" s="1177"/>
      <c r="E9" s="1266" t="s">
        <v>632</v>
      </c>
      <c r="F9" s="1267"/>
      <c r="G9" s="1178">
        <f>RESUMEN!H30</f>
        <v>53883472</v>
      </c>
    </row>
    <row r="10" spans="1:7" x14ac:dyDescent="0.25">
      <c r="A10" s="271" t="s">
        <v>633</v>
      </c>
      <c r="B10" s="1283" t="str">
        <f>RESUMEN!D30</f>
        <v xml:space="preserve"> INDUMIL- NVA ESPERANZA</v>
      </c>
      <c r="C10" s="1265"/>
      <c r="D10" s="1177"/>
      <c r="E10" s="1266" t="s">
        <v>634</v>
      </c>
      <c r="F10" s="1267"/>
      <c r="G10" s="1178">
        <f>RESUMEN!R30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Diseño ingeniería básica LT INDUMIL - NUEVA ESPERANZA A 115kV CDIM_CBSGAM_R0131</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RESUMEN!N30</f>
        <v>0</v>
      </c>
      <c r="F19" s="1248"/>
      <c r="G19" s="1177"/>
    </row>
    <row r="20" spans="1:7" ht="27" customHeight="1" x14ac:dyDescent="0.25">
      <c r="A20" s="1177"/>
      <c r="B20" s="1244" t="s">
        <v>1498</v>
      </c>
      <c r="C20" s="1245"/>
      <c r="D20" s="1246"/>
      <c r="E20" s="1247">
        <f>RESUMEN!P30</f>
        <v>0</v>
      </c>
      <c r="F20" s="1248"/>
      <c r="G20" s="1177"/>
    </row>
    <row r="21" spans="1:7" ht="27" customHeight="1" x14ac:dyDescent="0.25">
      <c r="A21" s="1177"/>
      <c r="B21" s="1244" t="s">
        <v>1499</v>
      </c>
      <c r="C21" s="1245"/>
      <c r="D21" s="1246"/>
      <c r="E21" s="1247">
        <f>RESUMEN!Q30</f>
        <v>0</v>
      </c>
      <c r="F21" s="1248"/>
      <c r="G21" s="1177"/>
    </row>
    <row r="22" spans="1:7" x14ac:dyDescent="0.25">
      <c r="A22" s="1177"/>
      <c r="B22" s="1254" t="s">
        <v>64</v>
      </c>
      <c r="C22" s="1254"/>
      <c r="D22" s="1254"/>
      <c r="E22" s="1255">
        <f>RESUMEN!R30</f>
        <v>0</v>
      </c>
      <c r="F22" s="1255"/>
      <c r="G22" s="1177"/>
    </row>
    <row r="23" spans="1:7" x14ac:dyDescent="0.25">
      <c r="A23" s="1177"/>
      <c r="B23" s="1256" t="s">
        <v>66</v>
      </c>
      <c r="C23" s="1256"/>
      <c r="D23" s="1256"/>
      <c r="E23" s="1257">
        <f>RESUMEN!S30</f>
        <v>0</v>
      </c>
      <c r="F23" s="1257"/>
      <c r="G23" s="1177"/>
    </row>
    <row r="24" spans="1:7" x14ac:dyDescent="0.25">
      <c r="A24" s="1177"/>
      <c r="B24" s="1258" t="s">
        <v>1</v>
      </c>
      <c r="C24" s="1258"/>
      <c r="D24" s="1258"/>
      <c r="E24" s="1259">
        <f>RESUMEN!T30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+'OT17-170 INDUMIL- NVA ESPERANZA'!Q28</f>
        <v>ACTA 1</v>
      </c>
      <c r="C28" s="1253">
        <f>+'OT17-170 INDUMIL- NVA ESPERANZA'!R28</f>
        <v>14087219</v>
      </c>
      <c r="D28" s="1253"/>
      <c r="E28" s="267">
        <f>+'OT17-170 INDUMIL- NVA ESPERANZA'!S28</f>
        <v>0.26143859103956774</v>
      </c>
      <c r="F28" s="1177"/>
      <c r="G28" s="1177"/>
    </row>
    <row r="29" spans="1:7" x14ac:dyDescent="0.25">
      <c r="A29" s="1177"/>
      <c r="B29" s="280" t="str">
        <f>+'OT17-170 INDUMIL- NVA ESPERANZA'!Q29</f>
        <v>ACTA 2</v>
      </c>
      <c r="C29" s="1253">
        <f>+'OT17-170 INDUMIL- NVA ESPERANZA'!R29</f>
        <v>33041589</v>
      </c>
      <c r="D29" s="1253"/>
      <c r="E29" s="267">
        <f>+'OT17-170 INDUMIL- NVA ESPERANZA'!S29</f>
        <v>0.61320452772605294</v>
      </c>
      <c r="F29" s="1177"/>
      <c r="G29" s="1177"/>
    </row>
    <row r="30" spans="1:7" x14ac:dyDescent="0.25">
      <c r="A30" s="1177"/>
      <c r="B30" s="280" t="str">
        <f>+'OT17-170 INDUMIL- NVA ESPERANZA'!Q30</f>
        <v>ACTA 3</v>
      </c>
      <c r="C30" s="1253">
        <f>+'OT17-170 INDUMIL- NVA ESPERANZA'!R30</f>
        <v>0</v>
      </c>
      <c r="D30" s="1253"/>
      <c r="E30" s="267">
        <f>+'OT17-170 INDUMIL- NVA ESPERANZA'!S30</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47128808</v>
      </c>
      <c r="D34" s="1251"/>
      <c r="E34" s="264">
        <f>SUM(E28:E33)</f>
        <v>0.87464311876562073</v>
      </c>
      <c r="F34" s="1177"/>
      <c r="G34" s="1177"/>
    </row>
    <row r="35" spans="1:7" x14ac:dyDescent="0.25">
      <c r="A35" s="1177"/>
      <c r="B35" s="1177"/>
      <c r="C35" s="1177"/>
      <c r="D35" s="1177"/>
      <c r="E35" s="1177"/>
      <c r="F35" s="1177"/>
      <c r="G35" s="260"/>
    </row>
    <row r="36" spans="1:7" x14ac:dyDescent="0.25">
      <c r="A36" s="1252" t="s">
        <v>1500</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1">
    <tabColor rgb="FF7B2307"/>
  </sheetPr>
  <dimension ref="A1:AE36"/>
  <sheetViews>
    <sheetView topLeftCell="F1" zoomScale="60" zoomScaleNormal="60" workbookViewId="0">
      <selection activeCell="V17" sqref="V17"/>
    </sheetView>
  </sheetViews>
  <sheetFormatPr baseColWidth="10" defaultColWidth="11.44140625" defaultRowHeight="14.4" x14ac:dyDescent="0.3"/>
  <cols>
    <col min="1" max="1" width="17.6640625" style="189" customWidth="1"/>
    <col min="2" max="2" width="23.33203125" style="189" customWidth="1"/>
    <col min="3" max="3" width="19.33203125" style="189" customWidth="1"/>
    <col min="4" max="4" width="16.6640625" style="189" customWidth="1"/>
    <col min="5" max="5" width="13.44140625" style="189" customWidth="1"/>
    <col min="6" max="6" width="17.88671875" style="189" bestFit="1" customWidth="1"/>
    <col min="7" max="7" width="17.88671875" style="796" customWidth="1"/>
    <col min="8" max="8" width="18" style="189" bestFit="1" customWidth="1"/>
    <col min="9" max="9" width="18" style="796" customWidth="1"/>
    <col min="10" max="10" width="71.33203125" style="189" customWidth="1"/>
    <col min="11" max="11" width="17.88671875" style="189" customWidth="1"/>
    <col min="12" max="12" width="18" style="189" customWidth="1"/>
    <col min="13" max="13" width="11.44140625" style="189" customWidth="1"/>
    <col min="14" max="14" width="17.88671875" style="189" bestFit="1" customWidth="1"/>
    <col min="15" max="15" width="18" style="189" bestFit="1" customWidth="1"/>
    <col min="16" max="16" width="11.44140625" style="189"/>
    <col min="17" max="17" width="17.88671875" style="738" bestFit="1" customWidth="1"/>
    <col min="18" max="18" width="22.44140625" style="738" bestFit="1" customWidth="1"/>
    <col min="19" max="19" width="11.44140625" style="738"/>
    <col min="20" max="21" width="17.88671875" style="189" bestFit="1" customWidth="1"/>
    <col min="22" max="16384" width="11.44140625" style="189"/>
  </cols>
  <sheetData>
    <row r="1" spans="1:22" s="302" customFormat="1" ht="15" thickBot="1" x14ac:dyDescent="0.35">
      <c r="A1" s="169"/>
      <c r="B1" s="188"/>
      <c r="C1" s="1307" t="s">
        <v>40</v>
      </c>
      <c r="D1" s="1308"/>
      <c r="E1" s="1308"/>
      <c r="F1" s="1308"/>
      <c r="G1" s="1308"/>
      <c r="H1" s="1308"/>
      <c r="I1" s="1308"/>
      <c r="J1" s="1308"/>
      <c r="K1" s="1308"/>
      <c r="L1" s="1308"/>
      <c r="M1" s="1308"/>
      <c r="N1" s="1308"/>
      <c r="O1" s="1308"/>
      <c r="P1" s="1309"/>
      <c r="Q1" s="733"/>
      <c r="R1" s="733"/>
      <c r="S1" s="733"/>
      <c r="T1" s="1328" t="s">
        <v>1046</v>
      </c>
      <c r="U1" s="1303"/>
      <c r="V1" s="1304"/>
    </row>
    <row r="2" spans="1:22" s="302" customFormat="1" ht="13.5" customHeight="1" thickBot="1" x14ac:dyDescent="0.35">
      <c r="A2" s="170"/>
      <c r="B2" s="190"/>
      <c r="C2" s="1310"/>
      <c r="D2" s="1311"/>
      <c r="E2" s="1311"/>
      <c r="F2" s="1311"/>
      <c r="G2" s="1311"/>
      <c r="H2" s="1311"/>
      <c r="I2" s="1311"/>
      <c r="J2" s="1311"/>
      <c r="K2" s="1311"/>
      <c r="L2" s="1311"/>
      <c r="M2" s="1311"/>
      <c r="N2" s="1311"/>
      <c r="O2" s="1311"/>
      <c r="P2" s="1312"/>
      <c r="Q2" s="734"/>
      <c r="R2" s="734"/>
      <c r="S2" s="734"/>
      <c r="T2" s="1329" t="s">
        <v>41</v>
      </c>
      <c r="U2" s="1305"/>
      <c r="V2" s="1306"/>
    </row>
    <row r="3" spans="1:2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302" customFormat="1" x14ac:dyDescent="0.3">
      <c r="A7" s="1291" t="s">
        <v>1047</v>
      </c>
      <c r="B7" s="1292"/>
      <c r="C7" s="1292"/>
      <c r="D7" s="1292"/>
      <c r="E7" s="1292"/>
      <c r="F7" s="1292"/>
      <c r="G7" s="1292"/>
      <c r="H7" s="1292"/>
      <c r="I7" s="1292"/>
      <c r="J7" s="1292"/>
      <c r="K7" s="1292"/>
      <c r="L7" s="1292"/>
      <c r="M7" s="1292"/>
      <c r="N7" s="1292"/>
      <c r="O7" s="1292"/>
      <c r="P7" s="1292"/>
      <c r="Q7" s="1292"/>
      <c r="R7" s="1292"/>
      <c r="S7" s="1292"/>
      <c r="T7" s="1292"/>
      <c r="U7" s="1292"/>
      <c r="V7" s="1292"/>
    </row>
    <row r="8" spans="1:22" s="302"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s="302" customFormat="1" ht="13.5" customHeight="1" x14ac:dyDescent="0.3">
      <c r="A9" s="1292" t="s">
        <v>2327</v>
      </c>
      <c r="B9" s="1292"/>
      <c r="C9" s="1292"/>
      <c r="D9" s="1292"/>
      <c r="E9" s="1292"/>
      <c r="F9" s="1292"/>
      <c r="G9" s="1292"/>
      <c r="H9" s="1292"/>
      <c r="I9" s="1292"/>
      <c r="J9" s="1292"/>
      <c r="K9" s="1292"/>
      <c r="L9" s="1292"/>
      <c r="M9" s="1292"/>
      <c r="N9" s="1292"/>
      <c r="O9" s="1292"/>
      <c r="P9" s="1292"/>
      <c r="Q9" s="1292"/>
      <c r="R9" s="1292"/>
      <c r="S9" s="1292"/>
      <c r="T9" s="1292"/>
      <c r="U9" s="1292"/>
      <c r="V9" s="1292"/>
    </row>
    <row r="10" spans="1:22" s="302" customFormat="1" ht="13.5" customHeight="1" x14ac:dyDescent="0.3">
      <c r="A10" s="1292" t="s">
        <v>1048</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302" customFormat="1" ht="13.5" customHeight="1" x14ac:dyDescent="0.3">
      <c r="A11" s="373"/>
      <c r="B11" s="1318"/>
      <c r="C11" s="1320"/>
      <c r="D11" s="1320"/>
      <c r="E11" s="1320"/>
      <c r="F11" s="1320"/>
      <c r="G11" s="1320"/>
      <c r="H11" s="1320"/>
      <c r="I11" s="1320"/>
      <c r="J11" s="1320"/>
      <c r="K11" s="1293" t="s">
        <v>46</v>
      </c>
      <c r="L11" s="1294"/>
      <c r="M11" s="1295"/>
      <c r="N11" s="1293" t="s">
        <v>1724</v>
      </c>
      <c r="O11" s="1294"/>
      <c r="P11" s="1295"/>
      <c r="Q11" s="1293" t="s">
        <v>2318</v>
      </c>
      <c r="R11" s="1294"/>
      <c r="S11" s="1295"/>
      <c r="T11" s="1299" t="s">
        <v>49</v>
      </c>
      <c r="U11" s="1299"/>
      <c r="V11" s="1299"/>
    </row>
    <row r="12" spans="1:22" s="302" customFormat="1" ht="13.5" customHeight="1" x14ac:dyDescent="0.3">
      <c r="A12" s="171"/>
      <c r="B12" s="1318"/>
      <c r="C12" s="1319"/>
      <c r="D12" s="1319"/>
      <c r="E12" s="1319"/>
      <c r="F12" s="1319"/>
      <c r="G12" s="1319"/>
      <c r="H12" s="1319"/>
      <c r="I12" s="1319"/>
      <c r="J12" s="1319"/>
      <c r="K12" s="1325"/>
      <c r="L12" s="1326"/>
      <c r="M12" s="1327"/>
      <c r="N12" s="1325"/>
      <c r="O12" s="1326"/>
      <c r="P12" s="1327"/>
      <c r="Q12" s="1325"/>
      <c r="R12" s="1326"/>
      <c r="S12" s="1327"/>
      <c r="T12" s="1300"/>
      <c r="U12" s="1300"/>
      <c r="V12" s="1300"/>
    </row>
    <row r="13" spans="1:22" ht="28.8" x14ac:dyDescent="0.3">
      <c r="A13" s="209" t="s">
        <v>50</v>
      </c>
      <c r="B13" s="209" t="s">
        <v>51</v>
      </c>
      <c r="C13" s="209" t="s">
        <v>52</v>
      </c>
      <c r="D13" s="209" t="s">
        <v>164</v>
      </c>
      <c r="E13" s="209" t="s">
        <v>54</v>
      </c>
      <c r="F13" s="210" t="s">
        <v>55</v>
      </c>
      <c r="G13" s="821" t="s">
        <v>2007</v>
      </c>
      <c r="H13" s="209" t="s">
        <v>56</v>
      </c>
      <c r="I13" s="822" t="s">
        <v>56</v>
      </c>
      <c r="J13" s="209" t="s">
        <v>57</v>
      </c>
      <c r="K13" s="209" t="s">
        <v>54</v>
      </c>
      <c r="L13" s="209" t="s">
        <v>56</v>
      </c>
      <c r="M13" s="209" t="s">
        <v>58</v>
      </c>
      <c r="N13" s="209" t="s">
        <v>54</v>
      </c>
      <c r="O13" s="209" t="s">
        <v>56</v>
      </c>
      <c r="P13" s="209" t="s">
        <v>58</v>
      </c>
      <c r="Q13" s="209" t="s">
        <v>54</v>
      </c>
      <c r="R13" s="209" t="s">
        <v>56</v>
      </c>
      <c r="S13" s="209" t="s">
        <v>58</v>
      </c>
      <c r="T13" s="209" t="s">
        <v>54</v>
      </c>
      <c r="U13" s="209" t="s">
        <v>56</v>
      </c>
      <c r="V13" s="209" t="s">
        <v>58</v>
      </c>
    </row>
    <row r="14" spans="1:22" ht="30" customHeight="1" x14ac:dyDescent="0.3">
      <c r="A14" s="1314" t="s">
        <v>1042</v>
      </c>
      <c r="B14" s="1314" t="s">
        <v>258</v>
      </c>
      <c r="C14" s="374" t="s">
        <v>259</v>
      </c>
      <c r="D14" s="374" t="s">
        <v>260</v>
      </c>
      <c r="E14" s="374">
        <v>9.3000000000000007</v>
      </c>
      <c r="F14" s="192">
        <v>2019673</v>
      </c>
      <c r="G14" s="32">
        <f>+ROUND(F14*1.051,0)</f>
        <v>2122676</v>
      </c>
      <c r="H14" s="192">
        <f>ROUND((E14*F14),0)</f>
        <v>18782959</v>
      </c>
      <c r="I14" s="32">
        <f>+ROUND(G14*E14,0)</f>
        <v>19740887</v>
      </c>
      <c r="J14" s="1315" t="s">
        <v>1043</v>
      </c>
      <c r="K14" s="433">
        <f>9.3*75%</f>
        <v>6.9750000000000005</v>
      </c>
      <c r="L14" s="429">
        <f>ROUND(K14*$F$14,0)</f>
        <v>14087219</v>
      </c>
      <c r="M14" s="430">
        <f>L14/$H$14</f>
        <v>0.74999998669006307</v>
      </c>
      <c r="N14" s="433">
        <f>+E14-K14</f>
        <v>2.3250000000000002</v>
      </c>
      <c r="O14" s="429">
        <f>ROUND(N14*$F$14,0)</f>
        <v>4695740</v>
      </c>
      <c r="P14" s="430">
        <f>O14/$H$14</f>
        <v>0.25000001330993693</v>
      </c>
      <c r="Q14" s="827">
        <v>0</v>
      </c>
      <c r="R14" s="425">
        <f>ROUND(Q14*$G$14,0)</f>
        <v>0</v>
      </c>
      <c r="S14" s="426">
        <f>R14/I14</f>
        <v>0</v>
      </c>
      <c r="T14" s="751">
        <f>K14+N14+Q14</f>
        <v>9.3000000000000007</v>
      </c>
      <c r="U14" s="175">
        <f>L14+O14+R14</f>
        <v>18782959</v>
      </c>
      <c r="V14" s="176">
        <f>U14/H14</f>
        <v>1</v>
      </c>
    </row>
    <row r="15" spans="1:22" ht="15" customHeight="1" x14ac:dyDescent="0.3">
      <c r="A15" s="1314"/>
      <c r="B15" s="1314"/>
      <c r="C15" s="196"/>
      <c r="D15" s="196" t="s">
        <v>261</v>
      </c>
      <c r="E15" s="198"/>
      <c r="F15" s="198"/>
      <c r="G15" s="198"/>
      <c r="H15" s="199">
        <f>H14</f>
        <v>18782959</v>
      </c>
      <c r="I15" s="199">
        <f>SUM(I14)</f>
        <v>19740887</v>
      </c>
      <c r="J15" s="1314"/>
      <c r="K15" s="306"/>
      <c r="L15" s="307">
        <f>L14</f>
        <v>14087219</v>
      </c>
      <c r="M15" s="308">
        <f>L15/$H$15</f>
        <v>0.74999998669006307</v>
      </c>
      <c r="N15" s="428"/>
      <c r="O15" s="307">
        <f>SUM(O14)</f>
        <v>4695740</v>
      </c>
      <c r="P15" s="431">
        <f>O15/$H$15</f>
        <v>0.25000001330993693</v>
      </c>
      <c r="Q15" s="428"/>
      <c r="R15" s="307">
        <f>SUM(R14)</f>
        <v>0</v>
      </c>
      <c r="S15" s="431">
        <f>R15/$H$15</f>
        <v>0</v>
      </c>
      <c r="T15" s="306"/>
      <c r="U15" s="307">
        <f>L15+O15+R15</f>
        <v>18782959</v>
      </c>
      <c r="V15" s="308">
        <f>U15/H15</f>
        <v>1</v>
      </c>
    </row>
    <row r="16" spans="1:22" ht="30" customHeight="1" x14ac:dyDescent="0.3">
      <c r="A16" s="1314" t="s">
        <v>1042</v>
      </c>
      <c r="B16" s="1314" t="s">
        <v>269</v>
      </c>
      <c r="C16" s="374" t="s">
        <v>270</v>
      </c>
      <c r="D16" s="374" t="s">
        <v>271</v>
      </c>
      <c r="E16" s="374">
        <v>6.3</v>
      </c>
      <c r="F16" s="192">
        <v>5571510</v>
      </c>
      <c r="G16" s="32">
        <f>+ROUND(F16*1.051,0)</f>
        <v>5855657</v>
      </c>
      <c r="H16" s="192">
        <f>ROUND((E16*F16),0)</f>
        <v>35100513</v>
      </c>
      <c r="I16" s="32">
        <f>+ROUND(G16*E16,0)</f>
        <v>36890639</v>
      </c>
      <c r="J16" s="1315" t="s">
        <v>1044</v>
      </c>
      <c r="K16" s="158">
        <v>0</v>
      </c>
      <c r="L16" s="194">
        <f>ROUND(K16*$F$16,0)</f>
        <v>0</v>
      </c>
      <c r="M16" s="195">
        <f>L16/$H$16</f>
        <v>0</v>
      </c>
      <c r="N16" s="433">
        <v>5</v>
      </c>
      <c r="O16" s="429">
        <f>ROUND(N16*$F$16,0)</f>
        <v>27857550</v>
      </c>
      <c r="P16" s="430">
        <f>O16/$H$16</f>
        <v>0.79365079365079361</v>
      </c>
      <c r="Q16" s="827">
        <v>0</v>
      </c>
      <c r="R16" s="425">
        <f>ROUND(Q16*$F$16,0)</f>
        <v>0</v>
      </c>
      <c r="S16" s="426">
        <f>R16/I16</f>
        <v>0</v>
      </c>
      <c r="T16" s="751">
        <f>K16+N16+Q16</f>
        <v>5</v>
      </c>
      <c r="U16" s="175">
        <f>L16+O16+R16</f>
        <v>27857550</v>
      </c>
      <c r="V16" s="176">
        <f>U16/I16</f>
        <v>0.75513872231923118</v>
      </c>
    </row>
    <row r="17" spans="1:31" ht="15" customHeight="1" x14ac:dyDescent="0.3">
      <c r="A17" s="1314"/>
      <c r="B17" s="1314"/>
      <c r="C17" s="196"/>
      <c r="D17" s="196" t="s">
        <v>215</v>
      </c>
      <c r="E17" s="198"/>
      <c r="F17" s="198"/>
      <c r="G17" s="198"/>
      <c r="H17" s="199">
        <f>H16</f>
        <v>35100513</v>
      </c>
      <c r="I17" s="199">
        <f>SUM(I16)</f>
        <v>36890639</v>
      </c>
      <c r="J17" s="1314"/>
      <c r="K17" s="306"/>
      <c r="L17" s="307">
        <f>L16</f>
        <v>0</v>
      </c>
      <c r="M17" s="308">
        <f>L17/$H$17</f>
        <v>0</v>
      </c>
      <c r="N17" s="428"/>
      <c r="O17" s="307">
        <f>SUM(O16)</f>
        <v>27857550</v>
      </c>
      <c r="P17" s="431">
        <f>O17/$H$17</f>
        <v>0.79365079365079361</v>
      </c>
      <c r="Q17" s="428"/>
      <c r="R17" s="307">
        <f>SUM(R16)</f>
        <v>0</v>
      </c>
      <c r="S17" s="431">
        <f>R17/$H$17</f>
        <v>0</v>
      </c>
      <c r="T17" s="306"/>
      <c r="U17" s="307">
        <f>L17+O17+R17</f>
        <v>27857550</v>
      </c>
      <c r="V17" s="308">
        <f>U17/I17</f>
        <v>0.75513872231923118</v>
      </c>
    </row>
    <row r="18" spans="1:31" x14ac:dyDescent="0.3">
      <c r="F18" s="151" t="s">
        <v>64</v>
      </c>
      <c r="G18" s="151"/>
      <c r="H18" s="181">
        <f>SUM(H3:H17)/2</f>
        <v>53883472</v>
      </c>
      <c r="I18" s="181">
        <f>SUM(I3:I17)/2</f>
        <v>56631526</v>
      </c>
      <c r="K18" s="480" t="s">
        <v>64</v>
      </c>
      <c r="L18" s="481">
        <f>SUM(L3:L17)/2</f>
        <v>14087219</v>
      </c>
      <c r="N18" s="480" t="s">
        <v>64</v>
      </c>
      <c r="O18" s="481">
        <f>SUM(O14:O17)/2</f>
        <v>32553290</v>
      </c>
      <c r="Q18" s="480" t="s">
        <v>64</v>
      </c>
      <c r="R18" s="481">
        <f>SUM(R14:R17)/2</f>
        <v>0</v>
      </c>
      <c r="T18" s="480" t="s">
        <v>64</v>
      </c>
      <c r="U18" s="481">
        <f>SUM(U3:U17)/2</f>
        <v>46640509</v>
      </c>
    </row>
    <row r="19" spans="1:31" x14ac:dyDescent="0.3">
      <c r="F19" s="153" t="s">
        <v>65</v>
      </c>
      <c r="G19" s="816"/>
      <c r="H19" s="182">
        <v>0</v>
      </c>
      <c r="I19" s="182">
        <v>0</v>
      </c>
      <c r="K19" s="482" t="s">
        <v>65</v>
      </c>
      <c r="L19" s="483">
        <v>0</v>
      </c>
      <c r="N19" s="482" t="s">
        <v>65</v>
      </c>
      <c r="O19" s="483">
        <v>0</v>
      </c>
      <c r="Q19" s="482" t="s">
        <v>65</v>
      </c>
      <c r="R19" s="483">
        <v>0</v>
      </c>
      <c r="T19" s="482" t="s">
        <v>65</v>
      </c>
      <c r="U19" s="483">
        <v>0</v>
      </c>
    </row>
    <row r="20" spans="1:31" x14ac:dyDescent="0.3">
      <c r="F20" s="152" t="s">
        <v>64</v>
      </c>
      <c r="G20" s="817"/>
      <c r="H20" s="182">
        <f>+H18+H19</f>
        <v>53883472</v>
      </c>
      <c r="I20" s="182">
        <f>+I18+I19</f>
        <v>56631526</v>
      </c>
      <c r="K20" s="484" t="s">
        <v>64</v>
      </c>
      <c r="L20" s="483">
        <f>+L18+L19</f>
        <v>14087219</v>
      </c>
      <c r="M20" s="131">
        <f>L20/$H$20</f>
        <v>0.26143859103956774</v>
      </c>
      <c r="N20" s="484" t="s">
        <v>64</v>
      </c>
      <c r="O20" s="483">
        <f>+O18+O19</f>
        <v>32553290</v>
      </c>
      <c r="Q20" s="484" t="s">
        <v>64</v>
      </c>
      <c r="R20" s="483">
        <f>+R18+R19</f>
        <v>0</v>
      </c>
      <c r="T20" s="484" t="s">
        <v>64</v>
      </c>
      <c r="U20" s="483">
        <f>+U18+U19</f>
        <v>46640509</v>
      </c>
    </row>
    <row r="21" spans="1:31" ht="26.4" x14ac:dyDescent="0.3">
      <c r="F21" s="152"/>
      <c r="G21" s="817"/>
      <c r="H21" s="182"/>
      <c r="I21" s="182"/>
      <c r="K21" s="484"/>
      <c r="L21" s="483"/>
      <c r="M21" s="131"/>
      <c r="N21" s="484" t="s">
        <v>1439</v>
      </c>
      <c r="O21" s="483">
        <f>ROUND(O20*0.015,0)</f>
        <v>488299</v>
      </c>
      <c r="P21" s="131"/>
      <c r="Q21" s="484" t="s">
        <v>1439</v>
      </c>
      <c r="R21" s="483">
        <f>ROUND(R20*0.015,0)</f>
        <v>0</v>
      </c>
      <c r="S21" s="131"/>
      <c r="T21" s="484" t="s">
        <v>1439</v>
      </c>
      <c r="U21" s="483">
        <f>O21+R21</f>
        <v>488299</v>
      </c>
      <c r="V21" s="131"/>
    </row>
    <row r="22" spans="1:31" ht="26.4" x14ac:dyDescent="0.3">
      <c r="F22" s="152"/>
      <c r="G22" s="817"/>
      <c r="H22" s="182"/>
      <c r="I22" s="182"/>
      <c r="K22" s="484"/>
      <c r="L22" s="483"/>
      <c r="M22" s="131"/>
      <c r="N22" s="152" t="s">
        <v>1440</v>
      </c>
      <c r="O22" s="182">
        <f>O20+O21</f>
        <v>33041589</v>
      </c>
      <c r="P22" s="573">
        <f>O22/$H$20</f>
        <v>0.61320452772605294</v>
      </c>
      <c r="Q22" s="152" t="s">
        <v>1440</v>
      </c>
      <c r="R22" s="182">
        <f>R20+R21</f>
        <v>0</v>
      </c>
      <c r="S22" s="573">
        <f>R22/$H$20</f>
        <v>0</v>
      </c>
      <c r="T22" s="152" t="s">
        <v>1440</v>
      </c>
      <c r="U22" s="182">
        <f>U20+U21</f>
        <v>47128808</v>
      </c>
      <c r="V22" s="628">
        <f>U22/H20</f>
        <v>0.87464311876562073</v>
      </c>
    </row>
    <row r="23" spans="1:31" x14ac:dyDescent="0.3">
      <c r="F23" s="154" t="s">
        <v>66</v>
      </c>
      <c r="G23" s="818"/>
      <c r="H23" s="182">
        <f>+H20*19%</f>
        <v>10237859.68</v>
      </c>
      <c r="I23" s="182">
        <f>+I20*19%</f>
        <v>10759989.939999999</v>
      </c>
      <c r="K23" s="485" t="s">
        <v>66</v>
      </c>
      <c r="L23" s="483">
        <f>+L20*19%</f>
        <v>2676571.61</v>
      </c>
      <c r="N23" s="485" t="s">
        <v>66</v>
      </c>
      <c r="O23" s="483">
        <f>ROUND(O22*0.19,0)</f>
        <v>6277902</v>
      </c>
      <c r="Q23" s="485" t="s">
        <v>66</v>
      </c>
      <c r="R23" s="483">
        <f>ROUND(R22*0.19,0)</f>
        <v>0</v>
      </c>
      <c r="T23" s="485" t="s">
        <v>66</v>
      </c>
      <c r="U23" s="483">
        <f>ROUND(U22*0.19,0)</f>
        <v>8954474</v>
      </c>
    </row>
    <row r="24" spans="1:31" x14ac:dyDescent="0.3">
      <c r="F24" s="155" t="s">
        <v>69</v>
      </c>
      <c r="G24" s="155"/>
      <c r="H24" s="181">
        <f>+H20+H23</f>
        <v>64121331.68</v>
      </c>
      <c r="I24" s="181">
        <f>+I20+I23</f>
        <v>67391515.939999998</v>
      </c>
      <c r="K24" s="545" t="s">
        <v>69</v>
      </c>
      <c r="L24" s="481">
        <f>+L20+L23</f>
        <v>16763790.609999999</v>
      </c>
      <c r="N24" s="545" t="s">
        <v>69</v>
      </c>
      <c r="O24" s="481">
        <f>O22+O23</f>
        <v>39319491</v>
      </c>
      <c r="Q24" s="545" t="s">
        <v>69</v>
      </c>
      <c r="R24" s="481">
        <f>R22+R23</f>
        <v>0</v>
      </c>
      <c r="T24" s="545" t="s">
        <v>69</v>
      </c>
      <c r="U24" s="481">
        <f>U22+U23</f>
        <v>56083282</v>
      </c>
    </row>
    <row r="27" spans="1:31" s="302" customFormat="1" x14ac:dyDescent="0.3">
      <c r="A27" s="183" t="s">
        <v>67</v>
      </c>
      <c r="B27" s="184"/>
      <c r="C27" s="184"/>
      <c r="D27" s="185" t="s">
        <v>68</v>
      </c>
      <c r="G27" s="795"/>
      <c r="I27" s="795"/>
      <c r="K27" s="186" t="s">
        <v>70</v>
      </c>
      <c r="L27" s="187" t="s">
        <v>71</v>
      </c>
      <c r="M27" s="186" t="s">
        <v>58</v>
      </c>
      <c r="N27" s="186" t="s">
        <v>70</v>
      </c>
      <c r="O27" s="187" t="s">
        <v>71</v>
      </c>
      <c r="P27" s="186" t="s">
        <v>58</v>
      </c>
      <c r="Q27" s="186" t="s">
        <v>70</v>
      </c>
      <c r="R27" s="187" t="s">
        <v>71</v>
      </c>
      <c r="S27" s="186" t="s">
        <v>58</v>
      </c>
      <c r="T27"/>
      <c r="U27"/>
      <c r="V27"/>
      <c r="W27"/>
      <c r="X27"/>
      <c r="Y27"/>
      <c r="AC27" s="189"/>
      <c r="AD27" s="189"/>
      <c r="AE27" s="189"/>
    </row>
    <row r="28" spans="1:31" s="302" customFormat="1" x14ac:dyDescent="0.3">
      <c r="A28" s="183"/>
      <c r="B28" s="184"/>
      <c r="C28" s="184"/>
      <c r="D28" s="185"/>
      <c r="G28" s="795"/>
      <c r="I28" s="795"/>
      <c r="K28" s="203" t="s">
        <v>72</v>
      </c>
      <c r="L28" s="204">
        <f>$L$20</f>
        <v>14087219</v>
      </c>
      <c r="M28" s="205">
        <f>$M$20</f>
        <v>0.26143859103956774</v>
      </c>
      <c r="N28" s="203" t="s">
        <v>72</v>
      </c>
      <c r="O28" s="204">
        <f>$L$20</f>
        <v>14087219</v>
      </c>
      <c r="P28" s="205">
        <f>$M$20</f>
        <v>0.26143859103956774</v>
      </c>
      <c r="Q28" s="203" t="s">
        <v>72</v>
      </c>
      <c r="R28" s="204">
        <f>$L$20</f>
        <v>14087219</v>
      </c>
      <c r="S28" s="205">
        <f>$M$20</f>
        <v>0.26143859103956774</v>
      </c>
      <c r="T28"/>
      <c r="U28"/>
      <c r="V28"/>
      <c r="W28"/>
      <c r="X28"/>
      <c r="Y28"/>
      <c r="AC28" s="189"/>
      <c r="AD28" s="189"/>
      <c r="AE28" s="189"/>
    </row>
    <row r="29" spans="1:31" s="602" customFormat="1" x14ac:dyDescent="0.3">
      <c r="A29" s="183"/>
      <c r="B29" s="184"/>
      <c r="C29" s="184"/>
      <c r="D29" s="185"/>
      <c r="G29" s="795"/>
      <c r="I29" s="795"/>
      <c r="K29" s="203"/>
      <c r="L29" s="204"/>
      <c r="M29" s="205"/>
      <c r="N29" s="203" t="s">
        <v>73</v>
      </c>
      <c r="O29" s="204">
        <f>+O22</f>
        <v>33041589</v>
      </c>
      <c r="P29" s="205">
        <f>+P22</f>
        <v>0.61320452772605294</v>
      </c>
      <c r="Q29" s="203" t="s">
        <v>73</v>
      </c>
      <c r="R29" s="204">
        <f>+O22</f>
        <v>33041589</v>
      </c>
      <c r="S29" s="205">
        <f>P22</f>
        <v>0.61320452772605294</v>
      </c>
      <c r="AC29" s="603"/>
      <c r="AD29" s="603"/>
      <c r="AE29" s="603"/>
    </row>
    <row r="30" spans="1:31" s="302" customFormat="1" x14ac:dyDescent="0.3">
      <c r="A30" s="183"/>
      <c r="B30" s="184"/>
      <c r="C30" s="184"/>
      <c r="D30" s="185"/>
      <c r="G30" s="795"/>
      <c r="I30" s="795"/>
      <c r="K30" s="206" t="s">
        <v>1</v>
      </c>
      <c r="L30" s="207">
        <f>SUM(L28:L28)</f>
        <v>14087219</v>
      </c>
      <c r="M30" s="208">
        <f>SUM(M28:M28)</f>
        <v>0.26143859103956774</v>
      </c>
      <c r="N30" s="206" t="s">
        <v>1</v>
      </c>
      <c r="O30" s="207">
        <f>SUM(O28:O29)</f>
        <v>47128808</v>
      </c>
      <c r="P30" s="253">
        <f>SUM(P28:P29)</f>
        <v>0.87464311876562073</v>
      </c>
      <c r="Q30" s="203" t="s">
        <v>74</v>
      </c>
      <c r="R30" s="204">
        <f>+R22</f>
        <v>0</v>
      </c>
      <c r="S30" s="205">
        <f>S22</f>
        <v>0</v>
      </c>
      <c r="T30"/>
      <c r="U30"/>
      <c r="V30"/>
      <c r="W30"/>
      <c r="X30"/>
      <c r="Y30"/>
      <c r="AC30" s="189"/>
      <c r="AD30" s="189"/>
      <c r="AE30" s="189"/>
    </row>
    <row r="31" spans="1:31" s="302" customFormat="1" x14ac:dyDescent="0.3">
      <c r="A31" s="183"/>
      <c r="B31" s="184"/>
      <c r="C31" s="184"/>
      <c r="D31" s="185"/>
      <c r="G31" s="795"/>
      <c r="I31" s="795"/>
      <c r="K31" s="206" t="s">
        <v>9</v>
      </c>
      <c r="L31" s="1285"/>
      <c r="M31" s="1286"/>
      <c r="N31" s="206" t="s">
        <v>9</v>
      </c>
      <c r="O31" s="1285"/>
      <c r="P31" s="1286"/>
      <c r="Q31" s="206" t="s">
        <v>1</v>
      </c>
      <c r="R31" s="207">
        <f>SUM(R28:R30)</f>
        <v>47128808</v>
      </c>
      <c r="S31" s="253">
        <f>SUM(S28:S30)</f>
        <v>0.87464311876562073</v>
      </c>
      <c r="T31"/>
      <c r="U31"/>
      <c r="V31"/>
      <c r="W31"/>
      <c r="X31"/>
      <c r="Y31"/>
      <c r="AC31" s="189"/>
      <c r="AD31" s="189"/>
      <c r="AE31" s="189"/>
    </row>
    <row r="32" spans="1:31" s="302" customFormat="1" x14ac:dyDescent="0.3">
      <c r="A32" s="183"/>
      <c r="B32" s="184"/>
      <c r="C32" s="184"/>
      <c r="D32" s="185"/>
      <c r="G32" s="795"/>
      <c r="I32" s="795"/>
      <c r="K32" s="156" t="s">
        <v>78</v>
      </c>
      <c r="L32" s="1285" t="s">
        <v>1045</v>
      </c>
      <c r="M32" s="1286"/>
      <c r="N32" s="156" t="s">
        <v>78</v>
      </c>
      <c r="O32" s="1285" t="s">
        <v>1045</v>
      </c>
      <c r="P32" s="1286"/>
      <c r="Q32" s="206" t="s">
        <v>9</v>
      </c>
      <c r="R32" s="731"/>
      <c r="S32" s="732"/>
      <c r="T32"/>
      <c r="U32"/>
      <c r="V32"/>
      <c r="W32"/>
      <c r="X32"/>
      <c r="Y32"/>
      <c r="AC32" s="189"/>
      <c r="AD32" s="189"/>
      <c r="AE32" s="189"/>
    </row>
    <row r="33" spans="1:31" s="302" customFormat="1" x14ac:dyDescent="0.3">
      <c r="A33" s="183"/>
      <c r="B33" s="184"/>
      <c r="C33" s="184"/>
      <c r="D33" s="185"/>
      <c r="G33" s="795"/>
      <c r="I33" s="795"/>
      <c r="K33" s="157" t="s">
        <v>8</v>
      </c>
      <c r="L33" s="1287">
        <v>500000755943</v>
      </c>
      <c r="M33" s="1288"/>
      <c r="N33" s="157" t="s">
        <v>8</v>
      </c>
      <c r="O33" s="1287">
        <v>500000755943</v>
      </c>
      <c r="P33" s="1288"/>
      <c r="Q33" s="156" t="s">
        <v>78</v>
      </c>
      <c r="R33" s="1285" t="s">
        <v>1045</v>
      </c>
      <c r="S33" s="1286"/>
      <c r="T33"/>
      <c r="U33"/>
      <c r="V33"/>
      <c r="W33"/>
      <c r="X33"/>
      <c r="Y33"/>
      <c r="AC33" s="189"/>
      <c r="AD33" s="189"/>
      <c r="AE33" s="189"/>
    </row>
    <row r="34" spans="1:31" s="302" customFormat="1" ht="26.4" x14ac:dyDescent="0.3">
      <c r="A34" s="183"/>
      <c r="B34" s="184"/>
      <c r="C34" s="184"/>
      <c r="D34" s="185" t="s">
        <v>75</v>
      </c>
      <c r="G34" s="795"/>
      <c r="I34" s="795"/>
      <c r="Q34" s="157" t="s">
        <v>8</v>
      </c>
      <c r="R34" s="1287">
        <v>500000755943</v>
      </c>
      <c r="S34" s="1288"/>
    </row>
    <row r="35" spans="1:31" s="302" customFormat="1" x14ac:dyDescent="0.3">
      <c r="A35" s="183" t="s">
        <v>76</v>
      </c>
      <c r="B35" s="180"/>
      <c r="C35" s="180"/>
      <c r="D35" s="185" t="s">
        <v>77</v>
      </c>
      <c r="G35" s="795"/>
      <c r="I35" s="795"/>
      <c r="Q35" s="735"/>
      <c r="R35" s="735"/>
      <c r="S35" s="735"/>
    </row>
    <row r="36" spans="1:31" s="302" customFormat="1" x14ac:dyDescent="0.3">
      <c r="A36" s="183" t="s">
        <v>79</v>
      </c>
      <c r="B36" s="180"/>
      <c r="C36" s="180"/>
      <c r="D36" s="185" t="s">
        <v>80</v>
      </c>
      <c r="G36" s="795"/>
      <c r="I36" s="795"/>
      <c r="Q36" s="735"/>
      <c r="R36" s="735"/>
      <c r="S36" s="735"/>
    </row>
  </sheetData>
  <sheetProtection formatCells="0" formatColumns="0" formatRows="0" insertColumns="0" insertRows="0" insertHyperlinks="0" deleteColumns="0" deleteRows="0" sort="0" autoFilter="0" pivotTables="0"/>
  <mergeCells count="31">
    <mergeCell ref="A5:V5"/>
    <mergeCell ref="A6:V6"/>
    <mergeCell ref="A14:A15"/>
    <mergeCell ref="B14:B15"/>
    <mergeCell ref="J14:J15"/>
    <mergeCell ref="A7:V7"/>
    <mergeCell ref="A8:V8"/>
    <mergeCell ref="A9:V9"/>
    <mergeCell ref="A10:V10"/>
    <mergeCell ref="T11:V12"/>
    <mergeCell ref="Q11:S12"/>
    <mergeCell ref="T1:V1"/>
    <mergeCell ref="T2:V2"/>
    <mergeCell ref="A3:V3"/>
    <mergeCell ref="A4:V4"/>
    <mergeCell ref="C1:P2"/>
    <mergeCell ref="A16:A17"/>
    <mergeCell ref="B16:B17"/>
    <mergeCell ref="J16:J17"/>
    <mergeCell ref="N11:P12"/>
    <mergeCell ref="O31:P31"/>
    <mergeCell ref="B11:J11"/>
    <mergeCell ref="K11:M12"/>
    <mergeCell ref="B12:J12"/>
    <mergeCell ref="R33:S33"/>
    <mergeCell ref="R34:S34"/>
    <mergeCell ref="L33:M33"/>
    <mergeCell ref="L31:M31"/>
    <mergeCell ref="L32:M32"/>
    <mergeCell ref="O32:P32"/>
    <mergeCell ref="O33:P33"/>
  </mergeCells>
  <pageMargins left="0.7" right="0.7" top="0.75" bottom="0.75" header="0.3" footer="0.3"/>
  <pageSetup scale="47" orientation="landscape" r:id="rId1"/>
  <drawing r:id="rId2"/>
  <legacyDrawingHF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tabColor theme="1"/>
  </sheetPr>
  <dimension ref="A1:G49"/>
  <sheetViews>
    <sheetView zoomScaleNormal="100" workbookViewId="0">
      <selection activeCell="F32" sqref="F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RESUMEN!G31</f>
        <v>Proyecto: CDIE_CADCSR_R0026 Ingeniería Subestación Norte</v>
      </c>
      <c r="C5" s="1281"/>
      <c r="D5" s="1281"/>
      <c r="E5" s="1281"/>
      <c r="F5" s="1281"/>
      <c r="G5" s="1282"/>
    </row>
    <row r="6" spans="1:7" x14ac:dyDescent="0.25">
      <c r="A6" s="1177"/>
      <c r="B6" s="1177"/>
      <c r="C6" s="1177"/>
      <c r="D6" s="1177"/>
      <c r="E6" s="1177"/>
      <c r="F6" s="1177"/>
      <c r="G6" s="1177"/>
    </row>
    <row r="7" spans="1:7" x14ac:dyDescent="0.25">
      <c r="A7" s="271" t="s">
        <v>0</v>
      </c>
      <c r="B7" s="1264" t="str">
        <f>RESUMEN!B31</f>
        <v>D00244362</v>
      </c>
      <c r="C7" s="1265"/>
      <c r="D7" s="1177"/>
      <c r="E7" s="1266" t="s">
        <v>627</v>
      </c>
      <c r="F7" s="1267"/>
      <c r="G7" s="280" t="str">
        <f>RESUMEN!E31</f>
        <v>17-172</v>
      </c>
    </row>
    <row r="8" spans="1:7" x14ac:dyDescent="0.25">
      <c r="A8" s="271" t="s">
        <v>628</v>
      </c>
      <c r="B8" s="1264" t="str">
        <f>RESUMEN!C31</f>
        <v>D00244362000</v>
      </c>
      <c r="C8" s="1265"/>
      <c r="D8" s="1177"/>
      <c r="E8" s="1266" t="s">
        <v>629</v>
      </c>
      <c r="F8" s="1267"/>
      <c r="G8" s="280" t="str">
        <f>RESUMEN!U31</f>
        <v>Acta N° 5: Marzo</v>
      </c>
    </row>
    <row r="9" spans="1:7" x14ac:dyDescent="0.25">
      <c r="A9" s="271" t="s">
        <v>630</v>
      </c>
      <c r="B9" s="1283" t="s">
        <v>631</v>
      </c>
      <c r="C9" s="1265"/>
      <c r="D9" s="1177"/>
      <c r="E9" s="1266" t="s">
        <v>632</v>
      </c>
      <c r="F9" s="1267"/>
      <c r="G9" s="1178">
        <f>RESUMEN!H31</f>
        <v>250139426</v>
      </c>
    </row>
    <row r="10" spans="1:7" x14ac:dyDescent="0.25">
      <c r="A10" s="271" t="s">
        <v>633</v>
      </c>
      <c r="B10" s="1283" t="str">
        <f>RESUMEN!D31</f>
        <v>NORTE</v>
      </c>
      <c r="C10" s="1265"/>
      <c r="D10" s="1177"/>
      <c r="E10" s="1266" t="s">
        <v>634</v>
      </c>
      <c r="F10" s="1267"/>
      <c r="G10" s="1178">
        <f>RESUMEN!R31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",RESUMEN!G31)</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CDIE_CADCSR_R0026 Ingeniería Subestación Norte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RESUMEN!N31</f>
        <v>0</v>
      </c>
      <c r="F19" s="1248"/>
      <c r="G19" s="1177"/>
    </row>
    <row r="20" spans="1:7" ht="27" customHeight="1" x14ac:dyDescent="0.25">
      <c r="A20" s="1177"/>
      <c r="B20" s="1244" t="s">
        <v>1498</v>
      </c>
      <c r="C20" s="1245"/>
      <c r="D20" s="1246"/>
      <c r="E20" s="1247">
        <f>RESUMEN!P31</f>
        <v>0</v>
      </c>
      <c r="F20" s="1248"/>
      <c r="G20" s="1177"/>
    </row>
    <row r="21" spans="1:7" ht="27" customHeight="1" x14ac:dyDescent="0.25">
      <c r="A21" s="1177"/>
      <c r="B21" s="1244" t="s">
        <v>1499</v>
      </c>
      <c r="C21" s="1245"/>
      <c r="D21" s="1246"/>
      <c r="E21" s="1247">
        <f>RESUMEN!Q31</f>
        <v>0</v>
      </c>
      <c r="F21" s="1248"/>
      <c r="G21" s="1177"/>
    </row>
    <row r="22" spans="1:7" x14ac:dyDescent="0.25">
      <c r="A22" s="1177"/>
      <c r="B22" s="1254" t="s">
        <v>64</v>
      </c>
      <c r="C22" s="1254"/>
      <c r="D22" s="1254"/>
      <c r="E22" s="1255">
        <f>RESUMEN!R31</f>
        <v>0</v>
      </c>
      <c r="F22" s="1255"/>
      <c r="G22" s="1177"/>
    </row>
    <row r="23" spans="1:7" x14ac:dyDescent="0.25">
      <c r="A23" s="1177"/>
      <c r="B23" s="1256" t="s">
        <v>66</v>
      </c>
      <c r="C23" s="1256"/>
      <c r="D23" s="1256"/>
      <c r="E23" s="1257">
        <f>RESUMEN!S31</f>
        <v>0</v>
      </c>
      <c r="F23" s="1257"/>
      <c r="G23" s="1177"/>
    </row>
    <row r="24" spans="1:7" x14ac:dyDescent="0.25">
      <c r="A24" s="1177"/>
      <c r="B24" s="1258" t="s">
        <v>1</v>
      </c>
      <c r="C24" s="1258"/>
      <c r="D24" s="1258"/>
      <c r="E24" s="1259">
        <f>RESUMEN!T31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+'OT17-172 - NORTE'!W83</f>
        <v>ACTA 1</v>
      </c>
      <c r="C28" s="1253">
        <f>+'OT17-172 - NORTE'!X83</f>
        <v>7448623</v>
      </c>
      <c r="D28" s="1253"/>
      <c r="E28" s="267">
        <f>+'OT17-172 - NORTE'!Y83</f>
        <v>2.9777884754560842E-2</v>
      </c>
      <c r="F28" s="1177"/>
      <c r="G28" s="1177"/>
    </row>
    <row r="29" spans="1:7" x14ac:dyDescent="0.25">
      <c r="A29" s="1177"/>
      <c r="B29" s="280" t="str">
        <f>+'OT17-172 - NORTE'!W84</f>
        <v>ACTA 2</v>
      </c>
      <c r="C29" s="1253">
        <f>+'OT17-172 - NORTE'!X84</f>
        <v>30215393</v>
      </c>
      <c r="D29" s="1253"/>
      <c r="E29" s="267">
        <f>+'OT17-172 - NORTE'!Y84</f>
        <v>0.12079420458892394</v>
      </c>
      <c r="F29" s="1177"/>
      <c r="G29" s="1177"/>
    </row>
    <row r="30" spans="1:7" x14ac:dyDescent="0.25">
      <c r="A30" s="1177"/>
      <c r="B30" s="280" t="str">
        <f>+'OT17-172 - NORTE'!W85</f>
        <v>ACTA 3</v>
      </c>
      <c r="C30" s="1253">
        <f>+'OT17-172 - NORTE'!X85</f>
        <v>3384447</v>
      </c>
      <c r="D30" s="1253"/>
      <c r="E30" s="267">
        <f>+'OT17-172 - NORTE'!Y85</f>
        <v>8.4566177104763968E-2</v>
      </c>
      <c r="F30" s="1177"/>
      <c r="G30" s="1177"/>
    </row>
    <row r="31" spans="1:7" x14ac:dyDescent="0.25">
      <c r="A31" s="1177"/>
      <c r="B31" s="280" t="str">
        <f>+'OT17-172 - NORTE'!W86</f>
        <v>ACTA 4</v>
      </c>
      <c r="C31" s="1253">
        <f>+'OT17-172 - NORTE'!X86</f>
        <v>3384447</v>
      </c>
      <c r="D31" s="1253"/>
      <c r="E31" s="267">
        <f>+'OT17-172 - NORTE'!Y86</f>
        <v>1.3530242129843217E-2</v>
      </c>
      <c r="F31" s="1177"/>
      <c r="G31" s="1177"/>
    </row>
    <row r="32" spans="1:7" x14ac:dyDescent="0.25">
      <c r="A32" s="1177"/>
      <c r="B32" s="280" t="str">
        <f>+'OT17-172 - NORTE'!W87</f>
        <v>ACTA 5</v>
      </c>
      <c r="C32" s="1253">
        <f>+'OT17-172 - NORTE'!X87</f>
        <v>0</v>
      </c>
      <c r="D32" s="1253"/>
      <c r="E32" s="267">
        <f>+'OT17-172 - NORTE'!Y87</f>
        <v>0</v>
      </c>
      <c r="F32" s="1177"/>
      <c r="G32" s="1177"/>
    </row>
    <row r="33" spans="1:7" x14ac:dyDescent="0.25">
      <c r="A33" s="1177"/>
      <c r="B33" s="280"/>
      <c r="C33" s="1253"/>
      <c r="D33" s="1253"/>
      <c r="E33" s="267"/>
      <c r="F33" s="1177"/>
      <c r="G33" s="1177"/>
    </row>
    <row r="34" spans="1:7" x14ac:dyDescent="0.25">
      <c r="A34" s="1177"/>
      <c r="B34" s="263" t="s">
        <v>1</v>
      </c>
      <c r="C34" s="1251">
        <f>SUM(C28:D33)</f>
        <v>44432910</v>
      </c>
      <c r="D34" s="1251"/>
      <c r="E34" s="264">
        <f>SUM(E28:E33)</f>
        <v>0.24866850857809197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RESUMEN!V31</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C33:D33"/>
    <mergeCell ref="C34:D34"/>
    <mergeCell ref="A49:C49"/>
    <mergeCell ref="E49:G49"/>
    <mergeCell ref="A41:C41"/>
    <mergeCell ref="E41:G41"/>
    <mergeCell ref="A36:G36"/>
    <mergeCell ref="A40:C40"/>
    <mergeCell ref="E40:G40"/>
    <mergeCell ref="A42:C42"/>
    <mergeCell ref="E42:G42"/>
    <mergeCell ref="A48:C48"/>
    <mergeCell ref="E48:G48"/>
    <mergeCell ref="A47:C47"/>
    <mergeCell ref="E47:G47"/>
    <mergeCell ref="B24:D24"/>
    <mergeCell ref="E24:F24"/>
    <mergeCell ref="C27:D27"/>
    <mergeCell ref="C28:D28"/>
    <mergeCell ref="C29:D29"/>
    <mergeCell ref="B21:D21"/>
    <mergeCell ref="E21:F21"/>
    <mergeCell ref="B22:D22"/>
    <mergeCell ref="E22:F22"/>
    <mergeCell ref="B23:D23"/>
    <mergeCell ref="E23:F23"/>
    <mergeCell ref="C31:D31"/>
    <mergeCell ref="C32:D32"/>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2"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tabColor rgb="FF72104A"/>
  </sheetPr>
  <dimension ref="A1:AB94"/>
  <sheetViews>
    <sheetView topLeftCell="I59" zoomScale="70" zoomScaleNormal="70" workbookViewId="0">
      <selection activeCell="X84" sqref="X84"/>
    </sheetView>
  </sheetViews>
  <sheetFormatPr baseColWidth="10" defaultColWidth="11.44140625" defaultRowHeight="14.4" x14ac:dyDescent="0.3"/>
  <cols>
    <col min="1" max="1" width="16.44140625" style="438" customWidth="1"/>
    <col min="2" max="2" width="29" style="437" customWidth="1"/>
    <col min="3" max="3" width="39.88671875" style="437" customWidth="1"/>
    <col min="4" max="4" width="27.5546875" style="437" customWidth="1"/>
    <col min="5" max="5" width="9.88671875" style="437" customWidth="1"/>
    <col min="6" max="7" width="18.6640625" style="437" customWidth="1"/>
    <col min="8" max="8" width="19.109375" style="437" bestFit="1" customWidth="1"/>
    <col min="9" max="9" width="19.109375" style="437" customWidth="1"/>
    <col min="10" max="10" width="31.5546875" style="437" customWidth="1"/>
    <col min="11" max="11" width="17.88671875" style="437" hidden="1" customWidth="1"/>
    <col min="12" max="12" width="18" style="437" hidden="1" customWidth="1"/>
    <col min="13" max="13" width="11.44140625" style="437" hidden="1" customWidth="1"/>
    <col min="14" max="14" width="17.88671875" style="437" hidden="1" customWidth="1"/>
    <col min="15" max="15" width="18" style="437" hidden="1" customWidth="1"/>
    <col min="16" max="16" width="11.44140625" style="437" hidden="1" customWidth="1"/>
    <col min="17" max="17" width="17.88671875" style="437" hidden="1" customWidth="1"/>
    <col min="18" max="18" width="18" style="437" hidden="1" customWidth="1"/>
    <col min="19" max="19" width="0" style="437" hidden="1" customWidth="1"/>
    <col min="20" max="20" width="17.88671875" style="437" bestFit="1" customWidth="1"/>
    <col min="21" max="21" width="18" style="437" bestFit="1" customWidth="1"/>
    <col min="22" max="22" width="11.44140625" style="437"/>
    <col min="23" max="23" width="16.6640625" style="437" customWidth="1"/>
    <col min="24" max="24" width="16.21875" style="437" customWidth="1"/>
    <col min="25" max="25" width="18.44140625" style="437" customWidth="1"/>
    <col min="26" max="26" width="17.88671875" style="437" customWidth="1"/>
    <col min="27" max="27" width="17.44140625" style="437" bestFit="1" customWidth="1"/>
    <col min="28" max="16384" width="11.44140625" style="437"/>
  </cols>
  <sheetData>
    <row r="1" spans="1:28" ht="22.5" customHeight="1" thickBot="1" x14ac:dyDescent="0.35">
      <c r="A1" s="169"/>
      <c r="B1" s="188"/>
      <c r="C1" s="1307" t="s">
        <v>40</v>
      </c>
      <c r="D1" s="1308"/>
      <c r="E1" s="1308"/>
      <c r="F1" s="1308"/>
      <c r="G1" s="1308"/>
      <c r="H1" s="1308"/>
      <c r="I1" s="1308"/>
      <c r="J1" s="1308"/>
      <c r="K1" s="1308"/>
      <c r="L1" s="1308"/>
      <c r="M1" s="1308"/>
      <c r="N1" s="1308"/>
      <c r="O1" s="1308"/>
      <c r="P1" s="1309"/>
      <c r="Q1" s="600"/>
      <c r="R1" s="600"/>
      <c r="S1" s="600"/>
      <c r="T1" s="792"/>
      <c r="U1" s="792"/>
      <c r="V1" s="792"/>
      <c r="W1" s="1052"/>
      <c r="X1" s="1052"/>
      <c r="Y1" s="1052"/>
      <c r="Z1" s="1328" t="s">
        <v>1325</v>
      </c>
      <c r="AA1" s="1303"/>
      <c r="AB1" s="1304"/>
    </row>
    <row r="2" spans="1:28" ht="13.5" customHeight="1" thickBot="1" x14ac:dyDescent="0.35">
      <c r="A2" s="170"/>
      <c r="B2" s="190"/>
      <c r="C2" s="1310"/>
      <c r="D2" s="1311"/>
      <c r="E2" s="1311"/>
      <c r="F2" s="1311"/>
      <c r="G2" s="1311"/>
      <c r="H2" s="1311"/>
      <c r="I2" s="1311"/>
      <c r="J2" s="1311"/>
      <c r="K2" s="1311"/>
      <c r="L2" s="1311"/>
      <c r="M2" s="1311"/>
      <c r="N2" s="1311"/>
      <c r="O2" s="1311"/>
      <c r="P2" s="1312"/>
      <c r="Q2" s="601"/>
      <c r="R2" s="601"/>
      <c r="S2" s="601"/>
      <c r="T2" s="793"/>
      <c r="U2" s="793"/>
      <c r="V2" s="793"/>
      <c r="W2" s="1053"/>
      <c r="X2" s="1053"/>
      <c r="Y2" s="1053"/>
      <c r="Z2" s="1329" t="s">
        <v>41</v>
      </c>
      <c r="AA2" s="1305"/>
      <c r="AB2" s="1306"/>
    </row>
    <row r="3" spans="1:28"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x14ac:dyDescent="0.3">
      <c r="A7" s="1291" t="s">
        <v>1324</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ht="13.5" customHeight="1" x14ac:dyDescent="0.3">
      <c r="A10" s="1292" t="s">
        <v>1323</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ht="13.5" customHeight="1" x14ac:dyDescent="0.3">
      <c r="A11" s="434"/>
      <c r="B11" s="1301"/>
      <c r="C11" s="1313"/>
      <c r="D11" s="1313"/>
      <c r="E11" s="1313"/>
      <c r="F11" s="1313"/>
      <c r="G11" s="1313"/>
      <c r="H11" s="1313"/>
      <c r="I11" s="1313"/>
      <c r="J11" s="1313"/>
      <c r="K11" s="1293" t="s">
        <v>1409</v>
      </c>
      <c r="L11" s="1294"/>
      <c r="M11" s="1295"/>
      <c r="N11" s="1293" t="s">
        <v>1430</v>
      </c>
      <c r="O11" s="1294"/>
      <c r="P11" s="1295"/>
      <c r="Q11" s="1433" t="s">
        <v>1978</v>
      </c>
      <c r="R11" s="1434"/>
      <c r="S11" s="1435"/>
      <c r="T11" s="1427" t="s">
        <v>2098</v>
      </c>
      <c r="U11" s="1428"/>
      <c r="V11" s="1429"/>
      <c r="W11" s="1427" t="s">
        <v>2330</v>
      </c>
      <c r="X11" s="1428"/>
      <c r="Y11" s="1429"/>
      <c r="Z11" s="1299" t="s">
        <v>49</v>
      </c>
      <c r="AA11" s="1299"/>
      <c r="AB11" s="1299"/>
    </row>
    <row r="12" spans="1:28" ht="13.5" customHeight="1" x14ac:dyDescent="0.3">
      <c r="A12" s="171"/>
      <c r="B12" s="1301"/>
      <c r="C12" s="1302"/>
      <c r="D12" s="1302"/>
      <c r="E12" s="1302"/>
      <c r="F12" s="1302"/>
      <c r="G12" s="1302"/>
      <c r="H12" s="1302"/>
      <c r="I12" s="1302"/>
      <c r="J12" s="1302"/>
      <c r="K12" s="1325"/>
      <c r="L12" s="1326"/>
      <c r="M12" s="1327"/>
      <c r="N12" s="1325"/>
      <c r="O12" s="1326"/>
      <c r="P12" s="1327"/>
      <c r="Q12" s="1436"/>
      <c r="R12" s="1437"/>
      <c r="S12" s="1438"/>
      <c r="T12" s="1430"/>
      <c r="U12" s="1431"/>
      <c r="V12" s="1432"/>
      <c r="W12" s="1430"/>
      <c r="X12" s="1431"/>
      <c r="Y12" s="1432"/>
      <c r="Z12" s="1300"/>
      <c r="AA12" s="1300"/>
      <c r="AB12" s="1300"/>
    </row>
    <row r="13" spans="1:28" ht="28.8" x14ac:dyDescent="0.3">
      <c r="A13" s="461" t="s">
        <v>50</v>
      </c>
      <c r="B13" s="461" t="s">
        <v>51</v>
      </c>
      <c r="C13" s="461" t="s">
        <v>52</v>
      </c>
      <c r="D13" s="461" t="s">
        <v>164</v>
      </c>
      <c r="E13" s="461" t="s">
        <v>54</v>
      </c>
      <c r="F13" s="462" t="s">
        <v>55</v>
      </c>
      <c r="G13" s="829" t="s">
        <v>2007</v>
      </c>
      <c r="H13" s="461" t="s">
        <v>56</v>
      </c>
      <c r="I13" s="828" t="s">
        <v>56</v>
      </c>
      <c r="J13" s="461" t="s">
        <v>57</v>
      </c>
      <c r="K13" s="460" t="s">
        <v>54</v>
      </c>
      <c r="L13" s="460" t="s">
        <v>56</v>
      </c>
      <c r="M13" s="460" t="s">
        <v>58</v>
      </c>
      <c r="N13" s="460" t="s">
        <v>54</v>
      </c>
      <c r="O13" s="460" t="s">
        <v>56</v>
      </c>
      <c r="P13" s="460" t="s">
        <v>58</v>
      </c>
      <c r="Q13" s="460" t="s">
        <v>54</v>
      </c>
      <c r="R13" s="460" t="s">
        <v>56</v>
      </c>
      <c r="S13" s="460" t="s">
        <v>58</v>
      </c>
      <c r="T13" s="460" t="s">
        <v>54</v>
      </c>
      <c r="U13" s="460" t="s">
        <v>56</v>
      </c>
      <c r="V13" s="460" t="s">
        <v>58</v>
      </c>
      <c r="W13" s="460" t="s">
        <v>54</v>
      </c>
      <c r="X13" s="460" t="s">
        <v>56</v>
      </c>
      <c r="Y13" s="460" t="s">
        <v>58</v>
      </c>
      <c r="Z13" s="174" t="s">
        <v>54</v>
      </c>
      <c r="AA13" s="172" t="s">
        <v>56</v>
      </c>
      <c r="AB13" s="460" t="s">
        <v>58</v>
      </c>
    </row>
    <row r="14" spans="1:28" s="438" customFormat="1" ht="30" customHeight="1" x14ac:dyDescent="0.3">
      <c r="A14" s="1440" t="s">
        <v>1322</v>
      </c>
      <c r="B14" s="1440" t="s">
        <v>1299</v>
      </c>
      <c r="C14" s="456" t="s">
        <v>81</v>
      </c>
      <c r="D14" s="456" t="s">
        <v>1112</v>
      </c>
      <c r="E14" s="456">
        <v>1.9</v>
      </c>
      <c r="F14" s="455">
        <v>9192992</v>
      </c>
      <c r="G14" s="32">
        <f>+ROUND(F14*1.051,0)</f>
        <v>9661835</v>
      </c>
      <c r="H14" s="455">
        <f>ROUND((E14*F14),0)</f>
        <v>17466685</v>
      </c>
      <c r="I14" s="32">
        <f>+ROUND(G14*E14,0)</f>
        <v>18357487</v>
      </c>
      <c r="J14" s="1439" t="s">
        <v>1321</v>
      </c>
      <c r="K14" s="536">
        <v>0</v>
      </c>
      <c r="L14" s="425">
        <f>ROUND(K14*$F$14,0)</f>
        <v>0</v>
      </c>
      <c r="M14" s="426">
        <f>L14/$H$14</f>
        <v>0</v>
      </c>
      <c r="N14" s="764">
        <v>0</v>
      </c>
      <c r="O14" s="425">
        <f>ROUND(N14*$F$14,0)</f>
        <v>0</v>
      </c>
      <c r="P14" s="426">
        <f>O14/$H$14</f>
        <v>0</v>
      </c>
      <c r="Q14" s="452">
        <v>0</v>
      </c>
      <c r="R14" s="425">
        <f>ROUND(Q14*F14,0)</f>
        <v>0</v>
      </c>
      <c r="S14" s="426">
        <f>R14/$H$14</f>
        <v>0</v>
      </c>
      <c r="T14" s="452">
        <v>0</v>
      </c>
      <c r="U14" s="425">
        <f>ROUND(T14*G14,0)</f>
        <v>0</v>
      </c>
      <c r="V14" s="426">
        <f>U14/H14</f>
        <v>0</v>
      </c>
      <c r="W14" s="452">
        <v>0</v>
      </c>
      <c r="X14" s="425">
        <f>ROUND(W14*G14,0)</f>
        <v>0</v>
      </c>
      <c r="Y14" s="1087">
        <f>X14/I14</f>
        <v>0</v>
      </c>
      <c r="Z14" s="450">
        <f>K14+N14+Q14+T14+W14</f>
        <v>0</v>
      </c>
      <c r="AA14" s="175">
        <f>L14+O14+R14+U14+X14</f>
        <v>0</v>
      </c>
      <c r="AB14" s="176">
        <f>AA14/I14</f>
        <v>0</v>
      </c>
    </row>
    <row r="15" spans="1:28" s="438" customFormat="1" ht="30" customHeight="1" x14ac:dyDescent="0.3">
      <c r="A15" s="1440"/>
      <c r="B15" s="1440"/>
      <c r="C15" s="456" t="s">
        <v>83</v>
      </c>
      <c r="D15" s="456" t="s">
        <v>1113</v>
      </c>
      <c r="E15" s="456">
        <v>1.75</v>
      </c>
      <c r="F15" s="455">
        <v>8775129</v>
      </c>
      <c r="G15" s="32">
        <f>+ROUND(F15*1.051,0)</f>
        <v>9222661</v>
      </c>
      <c r="H15" s="455">
        <f>ROUND((E15*F15),0)</f>
        <v>15356476</v>
      </c>
      <c r="I15" s="32">
        <f>+ROUND(G15*E15,0)</f>
        <v>16139657</v>
      </c>
      <c r="J15" s="1440"/>
      <c r="K15" s="537">
        <f>1.75*40%</f>
        <v>0.70000000000000007</v>
      </c>
      <c r="L15" s="429">
        <f>ROUND(K15*$F$15,0)</f>
        <v>6142590</v>
      </c>
      <c r="M15" s="430">
        <f>L15/$H$15</f>
        <v>0.39999997395235731</v>
      </c>
      <c r="N15" s="589">
        <f>1.75*20%</f>
        <v>0.35000000000000003</v>
      </c>
      <c r="O15" s="582">
        <f>ROUND(N15*$F$15,0)</f>
        <v>3071295</v>
      </c>
      <c r="P15" s="583">
        <f>O15/$H$15</f>
        <v>0.19999998697617866</v>
      </c>
      <c r="Q15" s="474">
        <v>0.4</v>
      </c>
      <c r="R15" s="429">
        <f>ROUND(Q15*F15,0)</f>
        <v>3510052</v>
      </c>
      <c r="S15" s="430">
        <f>R15/$H$14</f>
        <v>0.20095696464440735</v>
      </c>
      <c r="T15" s="474">
        <f>+E15-K15-N15-Q15</f>
        <v>0.29999999999999971</v>
      </c>
      <c r="U15" s="429">
        <f>ROUND(T15*G15,0)</f>
        <v>2766798</v>
      </c>
      <c r="V15" s="426">
        <f>U15/H15</f>
        <v>0.18017141432708911</v>
      </c>
      <c r="W15" s="452">
        <v>0</v>
      </c>
      <c r="X15" s="425">
        <f>ROUND(W15*G15,0)</f>
        <v>0</v>
      </c>
      <c r="Y15" s="1087">
        <f t="shared" ref="Y15:Y70" si="0">X15/I15</f>
        <v>0</v>
      </c>
      <c r="Z15" s="450">
        <f t="shared" ref="Z15:Z70" si="1">K15+N15+Q15+T15+W15</f>
        <v>1.75</v>
      </c>
      <c r="AA15" s="175">
        <f t="shared" ref="AA15:AA71" si="2">L15+O15+R15+U15+X15</f>
        <v>15490735</v>
      </c>
      <c r="AB15" s="176">
        <f>AA15/H15</f>
        <v>1.0087428261536044</v>
      </c>
    </row>
    <row r="16" spans="1:28" x14ac:dyDescent="0.3">
      <c r="A16" s="1440"/>
      <c r="B16" s="1440"/>
      <c r="C16" s="449"/>
      <c r="D16" s="449" t="s">
        <v>169</v>
      </c>
      <c r="E16" s="448"/>
      <c r="F16" s="448"/>
      <c r="G16" s="448"/>
      <c r="H16" s="447">
        <f>SUM(H14:H15)</f>
        <v>32823161</v>
      </c>
      <c r="I16" s="447">
        <f>SUM(I14:I15)</f>
        <v>34497144</v>
      </c>
      <c r="J16" s="1440"/>
      <c r="K16" s="431"/>
      <c r="L16" s="179">
        <f>SUM(L14:L15)</f>
        <v>6142590</v>
      </c>
      <c r="M16" s="431">
        <f>L16/$H$16</f>
        <v>0.18714193919348596</v>
      </c>
      <c r="N16" s="431"/>
      <c r="O16" s="179">
        <f>SUM(O14:O15)</f>
        <v>3071295</v>
      </c>
      <c r="P16" s="431">
        <f>O16/$H$16</f>
        <v>9.3570969596742978E-2</v>
      </c>
      <c r="Q16" s="431"/>
      <c r="R16" s="179">
        <f>SUM(R14:R15)</f>
        <v>3510052</v>
      </c>
      <c r="S16" s="431">
        <f>R16/$H$16</f>
        <v>0.10693826837701585</v>
      </c>
      <c r="T16" s="431"/>
      <c r="U16" s="179">
        <f>SUM(U14:U15)</f>
        <v>2766798</v>
      </c>
      <c r="V16" s="431">
        <f>U16/$H$16</f>
        <v>8.429407515016607E-2</v>
      </c>
      <c r="W16" s="431"/>
      <c r="X16" s="179">
        <f>SUM(X14:X15)</f>
        <v>0</v>
      </c>
      <c r="Y16" s="1088">
        <f t="shared" si="0"/>
        <v>0</v>
      </c>
      <c r="Z16" s="1089">
        <f t="shared" si="1"/>
        <v>0</v>
      </c>
      <c r="AA16" s="1078">
        <f t="shared" si="2"/>
        <v>15490735</v>
      </c>
      <c r="AB16" s="431">
        <f>AA16/I16</f>
        <v>0.44904398462666939</v>
      </c>
    </row>
    <row r="17" spans="1:28" s="438" customFormat="1" ht="30" customHeight="1" x14ac:dyDescent="0.3">
      <c r="A17" s="1439" t="s">
        <v>1320</v>
      </c>
      <c r="B17" s="1441" t="s">
        <v>1313</v>
      </c>
      <c r="C17" s="456" t="s">
        <v>81</v>
      </c>
      <c r="D17" s="456" t="s">
        <v>1312</v>
      </c>
      <c r="E17" s="456">
        <v>0</v>
      </c>
      <c r="F17" s="455">
        <v>17898476</v>
      </c>
      <c r="G17" s="32">
        <f t="shared" ref="G17:G19" si="3">+ROUND(F17*1.051,0)</f>
        <v>18811298</v>
      </c>
      <c r="H17" s="455">
        <f>ROUND((E17*F17),0)</f>
        <v>0</v>
      </c>
      <c r="I17" s="32">
        <f>+ROUND(G17*E17,0)</f>
        <v>0</v>
      </c>
      <c r="J17" s="1442" t="s">
        <v>1319</v>
      </c>
      <c r="K17" s="536">
        <v>0</v>
      </c>
      <c r="L17" s="425">
        <f>ROUND(K17*$F$17,0)</f>
        <v>0</v>
      </c>
      <c r="M17" s="426">
        <v>0</v>
      </c>
      <c r="N17" s="764">
        <v>0</v>
      </c>
      <c r="O17" s="425">
        <f>ROUND(N17*$F$17,0)</f>
        <v>0</v>
      </c>
      <c r="P17" s="426">
        <v>0</v>
      </c>
      <c r="Q17" s="452">
        <v>0</v>
      </c>
      <c r="R17" s="425">
        <f t="shared" ref="R17:R19" si="4">ROUND(Q17*F17,0)</f>
        <v>0</v>
      </c>
      <c r="S17" s="426">
        <f t="shared" ref="S17:S19" si="5">R17/$H$14</f>
        <v>0</v>
      </c>
      <c r="T17" s="452">
        <v>0</v>
      </c>
      <c r="U17" s="425">
        <f t="shared" ref="U17:U19" si="6">ROUND(T17*G17,0)</f>
        <v>0</v>
      </c>
      <c r="V17" s="426">
        <v>0</v>
      </c>
      <c r="W17" s="452">
        <v>0</v>
      </c>
      <c r="X17" s="425">
        <f>ROUND(W17*G17,0)</f>
        <v>0</v>
      </c>
      <c r="Y17" s="1087">
        <v>0</v>
      </c>
      <c r="Z17" s="450">
        <f t="shared" si="1"/>
        <v>0</v>
      </c>
      <c r="AA17" s="175">
        <f t="shared" si="2"/>
        <v>0</v>
      </c>
      <c r="AB17" s="176">
        <v>0</v>
      </c>
    </row>
    <row r="18" spans="1:28" s="438" customFormat="1" ht="30" customHeight="1" x14ac:dyDescent="0.3">
      <c r="A18" s="1440"/>
      <c r="B18" s="1441"/>
      <c r="C18" s="456" t="s">
        <v>83</v>
      </c>
      <c r="D18" s="456" t="s">
        <v>1310</v>
      </c>
      <c r="E18" s="456">
        <f>0.7*0.25</f>
        <v>0.17499999999999999</v>
      </c>
      <c r="F18" s="455">
        <v>9819787</v>
      </c>
      <c r="G18" s="32">
        <f t="shared" si="3"/>
        <v>10320596</v>
      </c>
      <c r="H18" s="455">
        <f>ROUND((E18*F18),0)</f>
        <v>1718463</v>
      </c>
      <c r="I18" s="32">
        <f>+ROUND(G18*E18,0)</f>
        <v>1806104</v>
      </c>
      <c r="J18" s="1441"/>
      <c r="K18" s="537">
        <f>0.175*40%</f>
        <v>6.9999999999999993E-2</v>
      </c>
      <c r="L18" s="429">
        <f>ROUND(K18*$F$18,0)</f>
        <v>687385</v>
      </c>
      <c r="M18" s="430">
        <f>L18/$H$18</f>
        <v>0.39999988361692979</v>
      </c>
      <c r="N18" s="589">
        <f>0.175*20%</f>
        <v>3.4999999999999996E-2</v>
      </c>
      <c r="O18" s="582">
        <f>ROUND(N18*$F$18,0)</f>
        <v>343693</v>
      </c>
      <c r="P18" s="583">
        <f>O18/$H$18</f>
        <v>0.20000023276614043</v>
      </c>
      <c r="Q18" s="474">
        <v>3.5000000000000003E-2</v>
      </c>
      <c r="R18" s="429">
        <f t="shared" si="4"/>
        <v>343693</v>
      </c>
      <c r="S18" s="430">
        <f t="shared" si="5"/>
        <v>1.9677059499269609E-2</v>
      </c>
      <c r="T18" s="474">
        <f>+E18-K18-N18-Q18</f>
        <v>3.5000000000000003E-2</v>
      </c>
      <c r="U18" s="429">
        <f t="shared" si="6"/>
        <v>361221</v>
      </c>
      <c r="V18" s="426">
        <f>U18/H18</f>
        <v>0.21020004504024817</v>
      </c>
      <c r="W18" s="452">
        <v>0</v>
      </c>
      <c r="X18" s="425">
        <f t="shared" ref="X18:X19" si="7">ROUND(W18*G18,0)</f>
        <v>0</v>
      </c>
      <c r="Y18" s="1087">
        <f t="shared" si="0"/>
        <v>0</v>
      </c>
      <c r="Z18" s="450">
        <f t="shared" si="1"/>
        <v>0.17499999999999999</v>
      </c>
      <c r="AA18" s="175">
        <f t="shared" si="2"/>
        <v>1735992</v>
      </c>
      <c r="AB18" s="176">
        <f>AA18/H18</f>
        <v>1.0102003941894588</v>
      </c>
    </row>
    <row r="19" spans="1:28" s="438" customFormat="1" ht="30" customHeight="1" x14ac:dyDescent="0.3">
      <c r="A19" s="1440"/>
      <c r="B19" s="1441"/>
      <c r="C19" s="456" t="s">
        <v>61</v>
      </c>
      <c r="D19" s="456" t="s">
        <v>1309</v>
      </c>
      <c r="E19" s="456">
        <v>0</v>
      </c>
      <c r="F19" s="455">
        <v>11595706</v>
      </c>
      <c r="G19" s="32">
        <f t="shared" si="3"/>
        <v>12187087</v>
      </c>
      <c r="H19" s="455">
        <f>ROUND((E19*F19),0)</f>
        <v>0</v>
      </c>
      <c r="I19" s="32">
        <f>+ROUND(G19*E19,0)</f>
        <v>0</v>
      </c>
      <c r="J19" s="1441"/>
      <c r="K19" s="536">
        <v>0</v>
      </c>
      <c r="L19" s="425">
        <f>ROUND(K19*$F$19,0)</f>
        <v>0</v>
      </c>
      <c r="M19" s="426">
        <v>0</v>
      </c>
      <c r="N19" s="764">
        <v>0</v>
      </c>
      <c r="O19" s="425">
        <f>ROUND(N19*$F$19,0)</f>
        <v>0</v>
      </c>
      <c r="P19" s="426">
        <v>0</v>
      </c>
      <c r="Q19" s="452">
        <v>0</v>
      </c>
      <c r="R19" s="425">
        <f t="shared" si="4"/>
        <v>0</v>
      </c>
      <c r="S19" s="426">
        <f t="shared" si="5"/>
        <v>0</v>
      </c>
      <c r="T19" s="452">
        <v>0</v>
      </c>
      <c r="U19" s="425">
        <f t="shared" si="6"/>
        <v>0</v>
      </c>
      <c r="V19" s="426">
        <v>0</v>
      </c>
      <c r="W19" s="452">
        <v>0</v>
      </c>
      <c r="X19" s="425">
        <f t="shared" si="7"/>
        <v>0</v>
      </c>
      <c r="Y19" s="1087">
        <v>0</v>
      </c>
      <c r="Z19" s="450">
        <f t="shared" si="1"/>
        <v>0</v>
      </c>
      <c r="AA19" s="175">
        <f t="shared" si="2"/>
        <v>0</v>
      </c>
      <c r="AB19" s="176">
        <v>0</v>
      </c>
    </row>
    <row r="20" spans="1:28" x14ac:dyDescent="0.3">
      <c r="A20" s="1440"/>
      <c r="B20" s="1441"/>
      <c r="C20" s="459"/>
      <c r="D20" s="459" t="s">
        <v>236</v>
      </c>
      <c r="E20" s="458"/>
      <c r="F20" s="458"/>
      <c r="G20" s="458"/>
      <c r="H20" s="457">
        <f>SUM(H17:H19)</f>
        <v>1718463</v>
      </c>
      <c r="I20" s="457">
        <f>SUM(I17:I19)</f>
        <v>1806104</v>
      </c>
      <c r="J20" s="1441"/>
      <c r="K20" s="431"/>
      <c r="L20" s="179">
        <f>SUM(L17:L19)</f>
        <v>687385</v>
      </c>
      <c r="M20" s="431">
        <f>L20/$H$20</f>
        <v>0.39999988361692979</v>
      </c>
      <c r="N20" s="431"/>
      <c r="O20" s="179">
        <f>SUM(O17:O19)</f>
        <v>343693</v>
      </c>
      <c r="P20" s="431">
        <f>O20/$H$20</f>
        <v>0.20000023276614043</v>
      </c>
      <c r="Q20" s="431"/>
      <c r="R20" s="179">
        <f>SUM(R17:R19)</f>
        <v>343693</v>
      </c>
      <c r="S20" s="431">
        <f>R20/$H$20</f>
        <v>0.20000023276614043</v>
      </c>
      <c r="T20" s="431"/>
      <c r="U20" s="179">
        <f>SUM(U17:U19)</f>
        <v>361221</v>
      </c>
      <c r="V20" s="431">
        <f>U20/$H$20</f>
        <v>0.21020004504024817</v>
      </c>
      <c r="W20" s="431"/>
      <c r="X20" s="179">
        <f>SUM(X17:X19)</f>
        <v>0</v>
      </c>
      <c r="Y20" s="1088">
        <f t="shared" si="0"/>
        <v>0</v>
      </c>
      <c r="Z20" s="1089">
        <f t="shared" si="1"/>
        <v>0</v>
      </c>
      <c r="AA20" s="1078">
        <f t="shared" si="2"/>
        <v>1735992</v>
      </c>
      <c r="AB20" s="431">
        <f>AA20/H20</f>
        <v>1.0102003941894588</v>
      </c>
    </row>
    <row r="21" spans="1:28" s="438" customFormat="1" ht="30" customHeight="1" x14ac:dyDescent="0.3">
      <c r="A21" s="1439" t="s">
        <v>1318</v>
      </c>
      <c r="B21" s="1441" t="s">
        <v>1313</v>
      </c>
      <c r="C21" s="456" t="s">
        <v>81</v>
      </c>
      <c r="D21" s="456" t="s">
        <v>1312</v>
      </c>
      <c r="E21" s="456">
        <v>0</v>
      </c>
      <c r="F21" s="455">
        <v>17898476</v>
      </c>
      <c r="G21" s="32">
        <f t="shared" ref="G21:G23" si="8">+ROUND(F21*1.051,0)</f>
        <v>18811298</v>
      </c>
      <c r="H21" s="455">
        <f>ROUND((E21*F21),0)</f>
        <v>0</v>
      </c>
      <c r="I21" s="32">
        <f>+ROUND(G21*E21,0)</f>
        <v>0</v>
      </c>
      <c r="J21" s="1442" t="s">
        <v>1317</v>
      </c>
      <c r="K21" s="536">
        <v>0</v>
      </c>
      <c r="L21" s="425">
        <f>ROUND(K21*$F$21,0)</f>
        <v>0</v>
      </c>
      <c r="M21" s="426">
        <v>0</v>
      </c>
      <c r="N21" s="764">
        <v>0</v>
      </c>
      <c r="O21" s="425">
        <f>ROUND(N21*$F$21,0)</f>
        <v>0</v>
      </c>
      <c r="P21" s="426">
        <v>0</v>
      </c>
      <c r="Q21" s="452">
        <v>0</v>
      </c>
      <c r="R21" s="425">
        <f t="shared" ref="R21:R23" si="9">ROUND(Q21*F21,0)</f>
        <v>0</v>
      </c>
      <c r="S21" s="426">
        <f t="shared" ref="S21:S23" si="10">R21/$H$14</f>
        <v>0</v>
      </c>
      <c r="T21" s="452">
        <v>0</v>
      </c>
      <c r="U21" s="425">
        <f t="shared" ref="U21:U23" si="11">ROUND(T21*G21,0)</f>
        <v>0</v>
      </c>
      <c r="V21" s="426">
        <v>0</v>
      </c>
      <c r="W21" s="452">
        <v>0</v>
      </c>
      <c r="X21" s="425">
        <f>ROUND(W21*G21,0)</f>
        <v>0</v>
      </c>
      <c r="Y21" s="1087">
        <v>0</v>
      </c>
      <c r="Z21" s="450">
        <f t="shared" si="1"/>
        <v>0</v>
      </c>
      <c r="AA21" s="175">
        <f t="shared" si="2"/>
        <v>0</v>
      </c>
      <c r="AB21" s="176">
        <v>0</v>
      </c>
    </row>
    <row r="22" spans="1:28" s="438" customFormat="1" ht="30" customHeight="1" x14ac:dyDescent="0.3">
      <c r="A22" s="1440"/>
      <c r="B22" s="1441"/>
      <c r="C22" s="456" t="s">
        <v>83</v>
      </c>
      <c r="D22" s="456" t="s">
        <v>1310</v>
      </c>
      <c r="E22" s="456">
        <f>0.3*$E$18</f>
        <v>5.2499999999999998E-2</v>
      </c>
      <c r="F22" s="455">
        <v>9819787</v>
      </c>
      <c r="G22" s="32">
        <f t="shared" si="8"/>
        <v>10320596</v>
      </c>
      <c r="H22" s="455">
        <f>ROUND((E22*F22),0)</f>
        <v>515539</v>
      </c>
      <c r="I22" s="32">
        <f>+ROUND(G22*E22,0)</f>
        <v>541831</v>
      </c>
      <c r="J22" s="1441"/>
      <c r="K22" s="537">
        <f>0.0525*40%</f>
        <v>2.1000000000000001E-2</v>
      </c>
      <c r="L22" s="429">
        <f>ROUND(K22*$F$22,0)</f>
        <v>206216</v>
      </c>
      <c r="M22" s="430">
        <f>L22/$H$22</f>
        <v>0.40000077588698429</v>
      </c>
      <c r="N22" s="589">
        <f>0.0525*20%</f>
        <v>1.0500000000000001E-2</v>
      </c>
      <c r="O22" s="582">
        <f>ROUND(N22*$F$22,0)</f>
        <v>103108</v>
      </c>
      <c r="P22" s="583">
        <f>O22/$H$22</f>
        <v>0.20000038794349215</v>
      </c>
      <c r="Q22" s="474">
        <v>1.0999999999999999E-2</v>
      </c>
      <c r="R22" s="429">
        <f t="shared" si="9"/>
        <v>108018</v>
      </c>
      <c r="S22" s="430">
        <f t="shared" si="10"/>
        <v>6.1842301501401093E-3</v>
      </c>
      <c r="T22" s="474">
        <f>+E22-K22-N22-Q22</f>
        <v>9.9999999999999985E-3</v>
      </c>
      <c r="U22" s="429">
        <f t="shared" si="11"/>
        <v>103206</v>
      </c>
      <c r="V22" s="426">
        <f>U22/H22</f>
        <v>0.20019048025464611</v>
      </c>
      <c r="W22" s="452">
        <v>0</v>
      </c>
      <c r="X22" s="425">
        <f t="shared" ref="X22:X23" si="12">ROUND(W22*G22,0)</f>
        <v>0</v>
      </c>
      <c r="Y22" s="1087">
        <f t="shared" si="0"/>
        <v>0</v>
      </c>
      <c r="Z22" s="450">
        <f t="shared" si="1"/>
        <v>5.2499999999999991E-2</v>
      </c>
      <c r="AA22" s="175">
        <f t="shared" si="2"/>
        <v>520548</v>
      </c>
      <c r="AB22" s="176">
        <f>AA22/H22</f>
        <v>1.0097160447609201</v>
      </c>
    </row>
    <row r="23" spans="1:28" ht="30" customHeight="1" x14ac:dyDescent="0.3">
      <c r="A23" s="1440"/>
      <c r="B23" s="1441"/>
      <c r="C23" s="454" t="s">
        <v>61</v>
      </c>
      <c r="D23" s="454" t="s">
        <v>1309</v>
      </c>
      <c r="E23" s="454">
        <v>0</v>
      </c>
      <c r="F23" s="453">
        <v>11595706</v>
      </c>
      <c r="G23" s="32">
        <f t="shared" si="8"/>
        <v>12187087</v>
      </c>
      <c r="H23" s="453">
        <f>ROUND((E23*F23),0)</f>
        <v>0</v>
      </c>
      <c r="I23" s="32">
        <f>+ROUND(G23*E23,0)</f>
        <v>0</v>
      </c>
      <c r="J23" s="1441"/>
      <c r="K23" s="536">
        <v>0</v>
      </c>
      <c r="L23" s="425">
        <f>ROUND(K23*$F$23,0)</f>
        <v>0</v>
      </c>
      <c r="M23" s="426">
        <v>0</v>
      </c>
      <c r="N23" s="764">
        <v>0</v>
      </c>
      <c r="O23" s="425">
        <f>ROUND(N23*$F$23,0)</f>
        <v>0</v>
      </c>
      <c r="P23" s="426">
        <v>0</v>
      </c>
      <c r="Q23" s="452">
        <v>0</v>
      </c>
      <c r="R23" s="425">
        <f t="shared" si="9"/>
        <v>0</v>
      </c>
      <c r="S23" s="426">
        <f t="shared" si="10"/>
        <v>0</v>
      </c>
      <c r="T23" s="452">
        <v>0</v>
      </c>
      <c r="U23" s="425">
        <f t="shared" si="11"/>
        <v>0</v>
      </c>
      <c r="V23" s="426">
        <v>0</v>
      </c>
      <c r="W23" s="452">
        <v>0</v>
      </c>
      <c r="X23" s="425">
        <f t="shared" si="12"/>
        <v>0</v>
      </c>
      <c r="Y23" s="1087">
        <v>0</v>
      </c>
      <c r="Z23" s="450">
        <f t="shared" si="1"/>
        <v>0</v>
      </c>
      <c r="AA23" s="175">
        <f t="shared" si="2"/>
        <v>0</v>
      </c>
      <c r="AB23" s="176">
        <v>0</v>
      </c>
    </row>
    <row r="24" spans="1:28" x14ac:dyDescent="0.3">
      <c r="A24" s="1440"/>
      <c r="B24" s="1441"/>
      <c r="C24" s="459"/>
      <c r="D24" s="459" t="s">
        <v>236</v>
      </c>
      <c r="E24" s="458"/>
      <c r="F24" s="458"/>
      <c r="G24" s="458"/>
      <c r="H24" s="457">
        <f>SUM(H21:H23)</f>
        <v>515539</v>
      </c>
      <c r="I24" s="457">
        <f>SUM(I21:I23)</f>
        <v>541831</v>
      </c>
      <c r="J24" s="1441"/>
      <c r="K24" s="431"/>
      <c r="L24" s="179">
        <f>SUM(L21:L23)</f>
        <v>206216</v>
      </c>
      <c r="M24" s="431">
        <f>L24/$H$24</f>
        <v>0.40000077588698429</v>
      </c>
      <c r="N24" s="431"/>
      <c r="O24" s="179">
        <f>SUM(O21:O23)</f>
        <v>103108</v>
      </c>
      <c r="P24" s="431">
        <f>O24/$H$24</f>
        <v>0.20000038794349215</v>
      </c>
      <c r="Q24" s="431"/>
      <c r="R24" s="179">
        <f>SUM(R21:R23)</f>
        <v>108018</v>
      </c>
      <c r="S24" s="431">
        <f>R24/$H$24</f>
        <v>0.20952440067579756</v>
      </c>
      <c r="T24" s="431"/>
      <c r="U24" s="179">
        <f>SUM(U21:U23)</f>
        <v>103206</v>
      </c>
      <c r="V24" s="431">
        <f>U24/$H$24</f>
        <v>0.20019048025464611</v>
      </c>
      <c r="W24" s="431"/>
      <c r="X24" s="179">
        <f>SUM(X21:X23)</f>
        <v>0</v>
      </c>
      <c r="Y24" s="1088">
        <f t="shared" si="0"/>
        <v>0</v>
      </c>
      <c r="Z24" s="1089">
        <f t="shared" si="1"/>
        <v>0</v>
      </c>
      <c r="AA24" s="1078">
        <f t="shared" si="2"/>
        <v>520548</v>
      </c>
      <c r="AB24" s="431">
        <f>AA24/H24</f>
        <v>1.0097160447609201</v>
      </c>
    </row>
    <row r="25" spans="1:28" s="438" customFormat="1" ht="30" customHeight="1" x14ac:dyDescent="0.3">
      <c r="A25" s="1440" t="s">
        <v>1316</v>
      </c>
      <c r="B25" s="1441" t="s">
        <v>1313</v>
      </c>
      <c r="C25" s="456" t="s">
        <v>81</v>
      </c>
      <c r="D25" s="456" t="s">
        <v>1312</v>
      </c>
      <c r="E25" s="456">
        <v>0</v>
      </c>
      <c r="F25" s="455">
        <v>17898476</v>
      </c>
      <c r="G25" s="32">
        <f t="shared" ref="G25:G27" si="13">+ROUND(F25*1.051,0)</f>
        <v>18811298</v>
      </c>
      <c r="H25" s="455">
        <f>ROUND((E25*F25),0)</f>
        <v>0</v>
      </c>
      <c r="I25" s="32">
        <f>+ROUND(G25*E25,0)</f>
        <v>0</v>
      </c>
      <c r="J25" s="1442" t="s">
        <v>1315</v>
      </c>
      <c r="K25" s="536">
        <v>0</v>
      </c>
      <c r="L25" s="425">
        <f>ROUND(K25*$F$25,0)</f>
        <v>0</v>
      </c>
      <c r="M25" s="426">
        <v>0</v>
      </c>
      <c r="N25" s="764">
        <v>0</v>
      </c>
      <c r="O25" s="425">
        <f>ROUND(N25*$F$25,0)</f>
        <v>0</v>
      </c>
      <c r="P25" s="426">
        <v>0</v>
      </c>
      <c r="Q25" s="452">
        <v>0</v>
      </c>
      <c r="R25" s="425">
        <f t="shared" ref="R25:R27" si="14">ROUND(Q25*F25,0)</f>
        <v>0</v>
      </c>
      <c r="S25" s="426">
        <f t="shared" ref="S25:S27" si="15">R25/$H$14</f>
        <v>0</v>
      </c>
      <c r="T25" s="452">
        <v>0</v>
      </c>
      <c r="U25" s="425">
        <f t="shared" ref="U25:U27" si="16">ROUND(T25*G25,0)</f>
        <v>0</v>
      </c>
      <c r="V25" s="426">
        <v>0</v>
      </c>
      <c r="W25" s="452">
        <v>0</v>
      </c>
      <c r="X25" s="425">
        <f>ROUND(W25*G25,0)</f>
        <v>0</v>
      </c>
      <c r="Y25" s="1087">
        <v>0</v>
      </c>
      <c r="Z25" s="450">
        <f t="shared" si="1"/>
        <v>0</v>
      </c>
      <c r="AA25" s="175">
        <f t="shared" si="2"/>
        <v>0</v>
      </c>
      <c r="AB25" s="176">
        <v>0</v>
      </c>
    </row>
    <row r="26" spans="1:28" s="438" customFormat="1" ht="30" customHeight="1" x14ac:dyDescent="0.3">
      <c r="A26" s="1440"/>
      <c r="B26" s="1441"/>
      <c r="C26" s="456" t="s">
        <v>83</v>
      </c>
      <c r="D26" s="456" t="s">
        <v>1310</v>
      </c>
      <c r="E26" s="456">
        <f>0.3*$E$18</f>
        <v>5.2499999999999998E-2</v>
      </c>
      <c r="F26" s="455">
        <v>9819787</v>
      </c>
      <c r="G26" s="32">
        <f t="shared" si="13"/>
        <v>10320596</v>
      </c>
      <c r="H26" s="455">
        <f>ROUND((E26*F26),0)</f>
        <v>515539</v>
      </c>
      <c r="I26" s="32">
        <f>+ROUND(G26*E26,0)</f>
        <v>541831</v>
      </c>
      <c r="J26" s="1441"/>
      <c r="K26" s="537">
        <f>0.0525*40%</f>
        <v>2.1000000000000001E-2</v>
      </c>
      <c r="L26" s="429">
        <f>ROUND(K26*$F$26,0)</f>
        <v>206216</v>
      </c>
      <c r="M26" s="430">
        <f>L26/$H$26</f>
        <v>0.40000077588698429</v>
      </c>
      <c r="N26" s="589">
        <f>0.0525*20%</f>
        <v>1.0500000000000001E-2</v>
      </c>
      <c r="O26" s="582">
        <f>ROUND(N26*$F$26,0)</f>
        <v>103108</v>
      </c>
      <c r="P26" s="583">
        <f>O26/$H$26</f>
        <v>0.20000038794349215</v>
      </c>
      <c r="Q26" s="474">
        <v>3.5000000000000003E-2</v>
      </c>
      <c r="R26" s="429">
        <f t="shared" si="14"/>
        <v>343693</v>
      </c>
      <c r="S26" s="430">
        <f t="shared" si="15"/>
        <v>1.9677059499269609E-2</v>
      </c>
      <c r="T26" s="452">
        <v>0</v>
      </c>
      <c r="U26" s="425">
        <f t="shared" si="16"/>
        <v>0</v>
      </c>
      <c r="V26" s="426">
        <f t="shared" ref="V26" si="17">U26/H26</f>
        <v>0</v>
      </c>
      <c r="W26" s="452">
        <v>0</v>
      </c>
      <c r="X26" s="425">
        <f t="shared" ref="X26:X27" si="18">ROUND(W26*G26,0)</f>
        <v>0</v>
      </c>
      <c r="Y26" s="1087">
        <f t="shared" si="0"/>
        <v>0</v>
      </c>
      <c r="Z26" s="450">
        <f t="shared" si="1"/>
        <v>6.6500000000000004E-2</v>
      </c>
      <c r="AA26" s="175">
        <f t="shared" si="2"/>
        <v>653017</v>
      </c>
      <c r="AB26" s="176">
        <f>AA26/H26</f>
        <v>1.2666684770696299</v>
      </c>
    </row>
    <row r="27" spans="1:28" s="438" customFormat="1" ht="30" customHeight="1" x14ac:dyDescent="0.3">
      <c r="A27" s="1440"/>
      <c r="B27" s="1441"/>
      <c r="C27" s="456" t="s">
        <v>61</v>
      </c>
      <c r="D27" s="456" t="s">
        <v>1309</v>
      </c>
      <c r="E27" s="456">
        <v>0</v>
      </c>
      <c r="F27" s="455">
        <v>11595706</v>
      </c>
      <c r="G27" s="32">
        <f t="shared" si="13"/>
        <v>12187087</v>
      </c>
      <c r="H27" s="455">
        <f>ROUND((E27*F27),0)</f>
        <v>0</v>
      </c>
      <c r="I27" s="32">
        <f>+ROUND(G27*E27,0)</f>
        <v>0</v>
      </c>
      <c r="J27" s="1441"/>
      <c r="K27" s="536">
        <v>0</v>
      </c>
      <c r="L27" s="425">
        <f>ROUND(K27*$F$27,0)</f>
        <v>0</v>
      </c>
      <c r="M27" s="426">
        <v>0</v>
      </c>
      <c r="N27" s="764">
        <v>0</v>
      </c>
      <c r="O27" s="425">
        <f>ROUND(N27*$F$27,0)</f>
        <v>0</v>
      </c>
      <c r="P27" s="426">
        <v>0</v>
      </c>
      <c r="Q27" s="452">
        <v>0</v>
      </c>
      <c r="R27" s="425">
        <f t="shared" si="14"/>
        <v>0</v>
      </c>
      <c r="S27" s="426">
        <f t="shared" si="15"/>
        <v>0</v>
      </c>
      <c r="T27" s="452">
        <v>0</v>
      </c>
      <c r="U27" s="425">
        <f t="shared" si="16"/>
        <v>0</v>
      </c>
      <c r="V27" s="426">
        <v>0</v>
      </c>
      <c r="W27" s="452">
        <v>0</v>
      </c>
      <c r="X27" s="425">
        <f t="shared" si="18"/>
        <v>0</v>
      </c>
      <c r="Y27" s="1087">
        <v>0</v>
      </c>
      <c r="Z27" s="450">
        <f t="shared" si="1"/>
        <v>0</v>
      </c>
      <c r="AA27" s="175">
        <f t="shared" si="2"/>
        <v>0</v>
      </c>
      <c r="AB27" s="176">
        <v>0</v>
      </c>
    </row>
    <row r="28" spans="1:28" x14ac:dyDescent="0.3">
      <c r="A28" s="1440"/>
      <c r="B28" s="1441"/>
      <c r="C28" s="459"/>
      <c r="D28" s="459" t="s">
        <v>236</v>
      </c>
      <c r="E28" s="458"/>
      <c r="F28" s="458"/>
      <c r="G28" s="458"/>
      <c r="H28" s="457">
        <f>SUM(H25:H27)</f>
        <v>515539</v>
      </c>
      <c r="I28" s="457">
        <f>SUM(I25:I27)</f>
        <v>541831</v>
      </c>
      <c r="J28" s="1441"/>
      <c r="K28" s="431"/>
      <c r="L28" s="179">
        <f>SUM(L25:L27)</f>
        <v>206216</v>
      </c>
      <c r="M28" s="431">
        <f>L28/$H$28</f>
        <v>0.40000077588698429</v>
      </c>
      <c r="N28" s="431"/>
      <c r="O28" s="179">
        <f>SUM(O25:O27)</f>
        <v>103108</v>
      </c>
      <c r="P28" s="431">
        <f>O28/$H$28</f>
        <v>0.20000038794349215</v>
      </c>
      <c r="Q28" s="431"/>
      <c r="R28" s="179">
        <f>SUM(R25:R27)</f>
        <v>343693</v>
      </c>
      <c r="S28" s="431">
        <f>R28/$H$28</f>
        <v>0.66666731323915362</v>
      </c>
      <c r="T28" s="431"/>
      <c r="U28" s="179">
        <f>SUM(U25:U27)</f>
        <v>0</v>
      </c>
      <c r="V28" s="431">
        <f>U28/$H$28</f>
        <v>0</v>
      </c>
      <c r="W28" s="431"/>
      <c r="X28" s="179">
        <f>SUM(X25:X27)</f>
        <v>0</v>
      </c>
      <c r="Y28" s="1088">
        <f t="shared" si="0"/>
        <v>0</v>
      </c>
      <c r="Z28" s="1089">
        <f t="shared" si="1"/>
        <v>0</v>
      </c>
      <c r="AA28" s="1078">
        <f t="shared" si="2"/>
        <v>653017</v>
      </c>
      <c r="AB28" s="431">
        <f>AA28/H28</f>
        <v>1.2666684770696299</v>
      </c>
    </row>
    <row r="29" spans="1:28" s="438" customFormat="1" ht="30" customHeight="1" x14ac:dyDescent="0.3">
      <c r="A29" s="1440" t="s">
        <v>1314</v>
      </c>
      <c r="B29" s="1441" t="s">
        <v>1313</v>
      </c>
      <c r="C29" s="456" t="s">
        <v>81</v>
      </c>
      <c r="D29" s="456" t="s">
        <v>1312</v>
      </c>
      <c r="E29" s="456"/>
      <c r="F29" s="455">
        <v>17898476</v>
      </c>
      <c r="G29" s="32">
        <f t="shared" ref="G29:G31" si="19">+ROUND(F29*1.051,0)</f>
        <v>18811298</v>
      </c>
      <c r="H29" s="455">
        <f>ROUND((E29*F29),0)</f>
        <v>0</v>
      </c>
      <c r="I29" s="32">
        <f>+ROUND(G29*E29,0)</f>
        <v>0</v>
      </c>
      <c r="J29" s="1442" t="s">
        <v>1311</v>
      </c>
      <c r="K29" s="536">
        <v>0</v>
      </c>
      <c r="L29" s="425">
        <f>ROUND(K29*$F$29,0)</f>
        <v>0</v>
      </c>
      <c r="M29" s="426">
        <v>0</v>
      </c>
      <c r="N29" s="764">
        <v>0</v>
      </c>
      <c r="O29" s="425">
        <f>ROUND(N29*$F$29,0)</f>
        <v>0</v>
      </c>
      <c r="P29" s="426">
        <v>0</v>
      </c>
      <c r="Q29" s="452">
        <v>0</v>
      </c>
      <c r="R29" s="425">
        <f t="shared" ref="R29:R31" si="20">ROUND(Q29*F29,0)</f>
        <v>0</v>
      </c>
      <c r="S29" s="426">
        <f t="shared" ref="S29:S31" si="21">R29/$H$14</f>
        <v>0</v>
      </c>
      <c r="T29" s="452">
        <v>0</v>
      </c>
      <c r="U29" s="425">
        <f t="shared" ref="U29:U31" si="22">ROUND(T29*G29,0)</f>
        <v>0</v>
      </c>
      <c r="V29" s="426">
        <v>0</v>
      </c>
      <c r="W29" s="452">
        <v>0</v>
      </c>
      <c r="X29" s="425">
        <f>ROUND(W29*G29,0)</f>
        <v>0</v>
      </c>
      <c r="Y29" s="1087">
        <v>0</v>
      </c>
      <c r="Z29" s="450">
        <f t="shared" si="1"/>
        <v>0</v>
      </c>
      <c r="AA29" s="175">
        <f t="shared" si="2"/>
        <v>0</v>
      </c>
      <c r="AB29" s="176">
        <v>0</v>
      </c>
    </row>
    <row r="30" spans="1:28" s="438" customFormat="1" ht="30" customHeight="1" x14ac:dyDescent="0.3">
      <c r="A30" s="1440"/>
      <c r="B30" s="1441"/>
      <c r="C30" s="456" t="s">
        <v>83</v>
      </c>
      <c r="D30" s="456" t="s">
        <v>1310</v>
      </c>
      <c r="E30" s="456">
        <f>0.3*$E$18</f>
        <v>5.2499999999999998E-2</v>
      </c>
      <c r="F30" s="455">
        <v>9819787</v>
      </c>
      <c r="G30" s="32">
        <f t="shared" si="19"/>
        <v>10320596</v>
      </c>
      <c r="H30" s="455">
        <f>ROUND((E30*F30),0)</f>
        <v>515539</v>
      </c>
      <c r="I30" s="32">
        <f>+ROUND(G30*E30,0)</f>
        <v>541831</v>
      </c>
      <c r="J30" s="1441"/>
      <c r="K30" s="537">
        <f>0.0525*40%</f>
        <v>2.1000000000000001E-2</v>
      </c>
      <c r="L30" s="429">
        <f>ROUND(K30*$F$30,0)</f>
        <v>206216</v>
      </c>
      <c r="M30" s="430">
        <f>L30/$H$30</f>
        <v>0.40000077588698429</v>
      </c>
      <c r="N30" s="589">
        <f>0.0525*20%</f>
        <v>1.0500000000000001E-2</v>
      </c>
      <c r="O30" s="582">
        <f>ROUND(N30*$F$30,0)</f>
        <v>103108</v>
      </c>
      <c r="P30" s="583">
        <f>O30/$H$30</f>
        <v>0.20000038794349215</v>
      </c>
      <c r="Q30" s="474">
        <v>1.0999999999999999E-2</v>
      </c>
      <c r="R30" s="429">
        <f t="shared" si="20"/>
        <v>108018</v>
      </c>
      <c r="S30" s="430">
        <f t="shared" si="21"/>
        <v>6.1842301501401093E-3</v>
      </c>
      <c r="T30" s="474">
        <f>+E30-K30-N30-Q30</f>
        <v>9.9999999999999985E-3</v>
      </c>
      <c r="U30" s="429">
        <f t="shared" si="22"/>
        <v>103206</v>
      </c>
      <c r="V30" s="426">
        <f>U30/H30</f>
        <v>0.20019048025464611</v>
      </c>
      <c r="W30" s="452">
        <v>0</v>
      </c>
      <c r="X30" s="425">
        <f t="shared" ref="X30:X31" si="23">ROUND(W30*G30,0)</f>
        <v>0</v>
      </c>
      <c r="Y30" s="1087">
        <f t="shared" si="0"/>
        <v>0</v>
      </c>
      <c r="Z30" s="450">
        <f t="shared" si="1"/>
        <v>5.2499999999999991E-2</v>
      </c>
      <c r="AA30" s="175">
        <f t="shared" si="2"/>
        <v>520548</v>
      </c>
      <c r="AB30" s="176">
        <f>AA30/H30</f>
        <v>1.0097160447609201</v>
      </c>
    </row>
    <row r="31" spans="1:28" ht="30" customHeight="1" x14ac:dyDescent="0.3">
      <c r="A31" s="1440"/>
      <c r="B31" s="1441"/>
      <c r="C31" s="454" t="s">
        <v>61</v>
      </c>
      <c r="D31" s="454" t="s">
        <v>1309</v>
      </c>
      <c r="E31" s="454">
        <v>0</v>
      </c>
      <c r="F31" s="453">
        <v>11595706</v>
      </c>
      <c r="G31" s="32">
        <f t="shared" si="19"/>
        <v>12187087</v>
      </c>
      <c r="H31" s="453">
        <f>ROUND((E31*F31),0)</f>
        <v>0</v>
      </c>
      <c r="I31" s="32">
        <f>+ROUND(G31*E31,0)</f>
        <v>0</v>
      </c>
      <c r="J31" s="1441"/>
      <c r="K31" s="536">
        <v>0</v>
      </c>
      <c r="L31" s="425">
        <f>ROUND(K31*$F$31,0)</f>
        <v>0</v>
      </c>
      <c r="M31" s="426">
        <v>0</v>
      </c>
      <c r="N31" s="764">
        <v>0</v>
      </c>
      <c r="O31" s="425">
        <f>ROUND(N31*$F$31,0)</f>
        <v>0</v>
      </c>
      <c r="P31" s="426">
        <v>0</v>
      </c>
      <c r="Q31" s="452">
        <v>0</v>
      </c>
      <c r="R31" s="425">
        <f t="shared" si="20"/>
        <v>0</v>
      </c>
      <c r="S31" s="426">
        <f t="shared" si="21"/>
        <v>0</v>
      </c>
      <c r="T31" s="452">
        <v>0</v>
      </c>
      <c r="U31" s="425">
        <f t="shared" si="22"/>
        <v>0</v>
      </c>
      <c r="V31" s="426">
        <v>0</v>
      </c>
      <c r="W31" s="452">
        <v>0</v>
      </c>
      <c r="X31" s="425">
        <f t="shared" si="23"/>
        <v>0</v>
      </c>
      <c r="Y31" s="1087">
        <v>0</v>
      </c>
      <c r="Z31" s="450">
        <f t="shared" si="1"/>
        <v>0</v>
      </c>
      <c r="AA31" s="175">
        <f t="shared" si="2"/>
        <v>0</v>
      </c>
      <c r="AB31" s="176">
        <v>0</v>
      </c>
    </row>
    <row r="32" spans="1:28" x14ac:dyDescent="0.3">
      <c r="A32" s="1440"/>
      <c r="B32" s="1441"/>
      <c r="C32" s="459"/>
      <c r="D32" s="459" t="s">
        <v>236</v>
      </c>
      <c r="E32" s="458"/>
      <c r="F32" s="458"/>
      <c r="G32" s="458"/>
      <c r="H32" s="457">
        <f>SUM(H29:H31)</f>
        <v>515539</v>
      </c>
      <c r="I32" s="457">
        <f>SUM(I29:I31)</f>
        <v>541831</v>
      </c>
      <c r="J32" s="1441"/>
      <c r="K32" s="431"/>
      <c r="L32" s="179">
        <f>SUM(L29:L31)</f>
        <v>206216</v>
      </c>
      <c r="M32" s="431">
        <f>L32/$H$32</f>
        <v>0.40000077588698429</v>
      </c>
      <c r="N32" s="431"/>
      <c r="O32" s="179">
        <f>SUM(O29:O31)</f>
        <v>103108</v>
      </c>
      <c r="P32" s="431">
        <f>O32/$H$32</f>
        <v>0.20000038794349215</v>
      </c>
      <c r="Q32" s="431"/>
      <c r="R32" s="179">
        <f>SUM(R29:R31)</f>
        <v>108018</v>
      </c>
      <c r="S32" s="431">
        <f>R32/$H$32</f>
        <v>0.20952440067579756</v>
      </c>
      <c r="T32" s="431"/>
      <c r="U32" s="179">
        <f>SUM(U29:U31)</f>
        <v>103206</v>
      </c>
      <c r="V32" s="431">
        <f>U32/$H$32</f>
        <v>0.20019048025464611</v>
      </c>
      <c r="W32" s="431"/>
      <c r="X32" s="179">
        <f>SUM(X29:X31)</f>
        <v>0</v>
      </c>
      <c r="Y32" s="1088">
        <f t="shared" si="0"/>
        <v>0</v>
      </c>
      <c r="Z32" s="1089">
        <f t="shared" si="1"/>
        <v>0</v>
      </c>
      <c r="AA32" s="1078">
        <f t="shared" si="2"/>
        <v>520548</v>
      </c>
      <c r="AB32" s="431">
        <f>AA32/H32</f>
        <v>1.0097160447609201</v>
      </c>
    </row>
    <row r="33" spans="1:28" s="438" customFormat="1" ht="30" customHeight="1" x14ac:dyDescent="0.3">
      <c r="A33" s="1439" t="s">
        <v>1308</v>
      </c>
      <c r="B33" s="1440" t="s">
        <v>1049</v>
      </c>
      <c r="C33" s="456" t="s">
        <v>81</v>
      </c>
      <c r="D33" s="456" t="s">
        <v>166</v>
      </c>
      <c r="E33" s="456">
        <f>0.7*(1+0.3+0.3)</f>
        <v>1.1199999999999999</v>
      </c>
      <c r="F33" s="455">
        <v>1149124</v>
      </c>
      <c r="G33" s="32">
        <f t="shared" ref="G33:G35" si="24">+ROUND(F33*1.051,0)</f>
        <v>1207729</v>
      </c>
      <c r="H33" s="455">
        <f>ROUND((E33*F33),0)</f>
        <v>1287019</v>
      </c>
      <c r="I33" s="32">
        <f>+ROUND(G33*E33,0)</f>
        <v>1352656</v>
      </c>
      <c r="J33" s="1442" t="s">
        <v>1307</v>
      </c>
      <c r="K33" s="536">
        <v>0</v>
      </c>
      <c r="L33" s="425">
        <f>ROUND(K33*$F$33,0)</f>
        <v>0</v>
      </c>
      <c r="M33" s="426">
        <f>L33/$H$33</f>
        <v>0</v>
      </c>
      <c r="N33" s="764">
        <v>0</v>
      </c>
      <c r="O33" s="425">
        <f>ROUND(N33*$F$33,0)</f>
        <v>0</v>
      </c>
      <c r="P33" s="426">
        <f>O33/$H$33</f>
        <v>0</v>
      </c>
      <c r="Q33" s="452">
        <v>0</v>
      </c>
      <c r="R33" s="425">
        <f t="shared" ref="R33:R35" si="25">ROUND(Q33*F33,0)</f>
        <v>0</v>
      </c>
      <c r="S33" s="426">
        <f t="shared" ref="S33:S35" si="26">R33/$H$14</f>
        <v>0</v>
      </c>
      <c r="T33" s="452">
        <v>0</v>
      </c>
      <c r="U33" s="425">
        <f t="shared" ref="U33:U35" si="27">ROUND(T33*G33,0)</f>
        <v>0</v>
      </c>
      <c r="V33" s="426">
        <f t="shared" ref="V33:V34" si="28">U33/H33</f>
        <v>0</v>
      </c>
      <c r="W33" s="452">
        <v>0</v>
      </c>
      <c r="X33" s="425">
        <f>ROUND(W33*G33,0)</f>
        <v>0</v>
      </c>
      <c r="Y33" s="1087">
        <f t="shared" si="0"/>
        <v>0</v>
      </c>
      <c r="Z33" s="450">
        <f t="shared" si="1"/>
        <v>0</v>
      </c>
      <c r="AA33" s="175">
        <f t="shared" si="2"/>
        <v>0</v>
      </c>
      <c r="AB33" s="176">
        <f>AA33/I33</f>
        <v>0</v>
      </c>
    </row>
    <row r="34" spans="1:28" s="438" customFormat="1" ht="30" customHeight="1" x14ac:dyDescent="0.3">
      <c r="A34" s="1440"/>
      <c r="B34" s="1440"/>
      <c r="C34" s="456" t="s">
        <v>83</v>
      </c>
      <c r="D34" s="456" t="s">
        <v>167</v>
      </c>
      <c r="E34" s="456">
        <f>0.7*(1+0.3+0.3)</f>
        <v>1.1199999999999999</v>
      </c>
      <c r="F34" s="455">
        <v>2646468</v>
      </c>
      <c r="G34" s="32">
        <f t="shared" si="24"/>
        <v>2781438</v>
      </c>
      <c r="H34" s="455">
        <f>ROUND((E34*F34),0)</f>
        <v>2964044</v>
      </c>
      <c r="I34" s="32">
        <f>+ROUND(G34*E34,0)</f>
        <v>3115211</v>
      </c>
      <c r="J34" s="1441"/>
      <c r="K34" s="536">
        <v>0</v>
      </c>
      <c r="L34" s="425">
        <f>ROUND(K34*$F$34,0)</f>
        <v>0</v>
      </c>
      <c r="M34" s="426">
        <f>L34/$H$34</f>
        <v>0</v>
      </c>
      <c r="N34" s="764">
        <v>0</v>
      </c>
      <c r="O34" s="425">
        <f>ROUND(N34*$F$34,0)</f>
        <v>0</v>
      </c>
      <c r="P34" s="426">
        <f>O34/$H$34</f>
        <v>0</v>
      </c>
      <c r="Q34" s="452">
        <v>0</v>
      </c>
      <c r="R34" s="425">
        <f t="shared" si="25"/>
        <v>0</v>
      </c>
      <c r="S34" s="426">
        <f t="shared" si="26"/>
        <v>0</v>
      </c>
      <c r="T34" s="452">
        <v>0</v>
      </c>
      <c r="U34" s="425">
        <f t="shared" si="27"/>
        <v>0</v>
      </c>
      <c r="V34" s="426">
        <f t="shared" si="28"/>
        <v>0</v>
      </c>
      <c r="W34" s="452">
        <v>0</v>
      </c>
      <c r="X34" s="425">
        <f t="shared" ref="X34:X35" si="29">ROUND(W34*G34,0)</f>
        <v>0</v>
      </c>
      <c r="Y34" s="1087">
        <f t="shared" si="0"/>
        <v>0</v>
      </c>
      <c r="Z34" s="450">
        <f t="shared" si="1"/>
        <v>0</v>
      </c>
      <c r="AA34" s="175">
        <f t="shared" si="2"/>
        <v>0</v>
      </c>
      <c r="AB34" s="176">
        <f>AA34/I34</f>
        <v>0</v>
      </c>
    </row>
    <row r="35" spans="1:28" ht="30" customHeight="1" x14ac:dyDescent="0.3">
      <c r="A35" s="1440"/>
      <c r="B35" s="1440"/>
      <c r="C35" s="454" t="s">
        <v>61</v>
      </c>
      <c r="D35" s="454" t="s">
        <v>168</v>
      </c>
      <c r="E35" s="454">
        <v>0</v>
      </c>
      <c r="F35" s="453">
        <v>2542001</v>
      </c>
      <c r="G35" s="32">
        <f t="shared" si="24"/>
        <v>2671643</v>
      </c>
      <c r="H35" s="453">
        <f>ROUND((E35*F35),0)</f>
        <v>0</v>
      </c>
      <c r="I35" s="32">
        <f>+ROUND(G35*E35,0)</f>
        <v>0</v>
      </c>
      <c r="J35" s="1441"/>
      <c r="K35" s="536">
        <v>0</v>
      </c>
      <c r="L35" s="425">
        <f>ROUND(K35*$F$35,0)</f>
        <v>0</v>
      </c>
      <c r="M35" s="426">
        <v>0</v>
      </c>
      <c r="N35" s="764">
        <v>0</v>
      </c>
      <c r="O35" s="425">
        <f>ROUND(N35*$F$35,0)</f>
        <v>0</v>
      </c>
      <c r="P35" s="426">
        <v>0</v>
      </c>
      <c r="Q35" s="452">
        <v>0</v>
      </c>
      <c r="R35" s="425">
        <f t="shared" si="25"/>
        <v>0</v>
      </c>
      <c r="S35" s="426">
        <f t="shared" si="26"/>
        <v>0</v>
      </c>
      <c r="T35" s="452">
        <v>0</v>
      </c>
      <c r="U35" s="425">
        <f t="shared" si="27"/>
        <v>0</v>
      </c>
      <c r="V35" s="426">
        <v>0</v>
      </c>
      <c r="W35" s="452">
        <v>0</v>
      </c>
      <c r="X35" s="425">
        <f t="shared" si="29"/>
        <v>0</v>
      </c>
      <c r="Y35" s="1087">
        <v>0</v>
      </c>
      <c r="Z35" s="450">
        <f t="shared" si="1"/>
        <v>0</v>
      </c>
      <c r="AA35" s="175">
        <f t="shared" si="2"/>
        <v>0</v>
      </c>
      <c r="AB35" s="176">
        <v>0</v>
      </c>
    </row>
    <row r="36" spans="1:28" x14ac:dyDescent="0.3">
      <c r="A36" s="1440"/>
      <c r="B36" s="1440"/>
      <c r="C36" s="449"/>
      <c r="D36" s="449" t="s">
        <v>169</v>
      </c>
      <c r="E36" s="448"/>
      <c r="F36" s="448"/>
      <c r="G36" s="448"/>
      <c r="H36" s="447">
        <f>SUM(H33:H35)</f>
        <v>4251063</v>
      </c>
      <c r="I36" s="457">
        <f>SUM(I33:I35)</f>
        <v>4467867</v>
      </c>
      <c r="J36" s="1441"/>
      <c r="K36" s="431"/>
      <c r="L36" s="179">
        <f>SUM(L33:L35)</f>
        <v>0</v>
      </c>
      <c r="M36" s="431">
        <f>L36/$H$36</f>
        <v>0</v>
      </c>
      <c r="N36" s="431"/>
      <c r="O36" s="179">
        <f>SUM(O33:O35)</f>
        <v>0</v>
      </c>
      <c r="P36" s="431">
        <f>O36/$H$36</f>
        <v>0</v>
      </c>
      <c r="Q36" s="431"/>
      <c r="R36" s="179">
        <f>SUM(R33:R35)</f>
        <v>0</v>
      </c>
      <c r="S36" s="431">
        <f>R36/$H$36</f>
        <v>0</v>
      </c>
      <c r="T36" s="431"/>
      <c r="U36" s="179">
        <f>SUM(U33:U35)</f>
        <v>0</v>
      </c>
      <c r="V36" s="431">
        <f>U36/$H$36</f>
        <v>0</v>
      </c>
      <c r="W36" s="431"/>
      <c r="X36" s="179">
        <f>SUM(X33:X35)</f>
        <v>0</v>
      </c>
      <c r="Y36" s="1088">
        <f t="shared" si="0"/>
        <v>0</v>
      </c>
      <c r="Z36" s="1089">
        <f t="shared" si="1"/>
        <v>0</v>
      </c>
      <c r="AA36" s="1078">
        <f t="shared" si="2"/>
        <v>0</v>
      </c>
      <c r="AB36" s="431">
        <f>AA36/I36</f>
        <v>0</v>
      </c>
    </row>
    <row r="37" spans="1:28" s="438" customFormat="1" ht="30" customHeight="1" x14ac:dyDescent="0.3">
      <c r="A37" s="1439" t="s">
        <v>1306</v>
      </c>
      <c r="B37" s="1440" t="s">
        <v>1299</v>
      </c>
      <c r="C37" s="456" t="s">
        <v>81</v>
      </c>
      <c r="D37" s="456" t="s">
        <v>1112</v>
      </c>
      <c r="E37" s="456">
        <v>1.75</v>
      </c>
      <c r="F37" s="455">
        <v>9192992</v>
      </c>
      <c r="G37" s="32">
        <f t="shared" ref="G37:G38" si="30">+ROUND(F37*1.051,0)</f>
        <v>9661835</v>
      </c>
      <c r="H37" s="455">
        <f>ROUND((E37*F37),0)</f>
        <v>16087736</v>
      </c>
      <c r="I37" s="32">
        <f>+ROUND(G37*E37,0)</f>
        <v>16908211</v>
      </c>
      <c r="J37" s="1439" t="s">
        <v>1305</v>
      </c>
      <c r="K37" s="536">
        <v>0</v>
      </c>
      <c r="L37" s="425">
        <f>ROUND(K37*$F$37,0)</f>
        <v>0</v>
      </c>
      <c r="M37" s="426">
        <f>L37/$H$37</f>
        <v>0</v>
      </c>
      <c r="N37" s="764">
        <v>0</v>
      </c>
      <c r="O37" s="425">
        <f>ROUND(N37*$F$37,0)</f>
        <v>0</v>
      </c>
      <c r="P37" s="426">
        <f>O37/$H$37</f>
        <v>0</v>
      </c>
      <c r="Q37" s="452">
        <v>0</v>
      </c>
      <c r="R37" s="425">
        <f t="shared" ref="R37:R38" si="31">ROUND(Q37*F37,0)</f>
        <v>0</v>
      </c>
      <c r="S37" s="426">
        <f t="shared" ref="S37:S38" si="32">R37/$H$14</f>
        <v>0</v>
      </c>
      <c r="T37" s="452">
        <v>0</v>
      </c>
      <c r="U37" s="425">
        <f t="shared" ref="U37:U38" si="33">ROUND(T37*G37,0)</f>
        <v>0</v>
      </c>
      <c r="V37" s="426">
        <f t="shared" ref="V37:V38" si="34">U37/H37</f>
        <v>0</v>
      </c>
      <c r="W37" s="452">
        <v>0</v>
      </c>
      <c r="X37" s="425">
        <f>ROUND(W37*G37,0)</f>
        <v>0</v>
      </c>
      <c r="Y37" s="1087">
        <f t="shared" si="0"/>
        <v>0</v>
      </c>
      <c r="Z37" s="450">
        <f t="shared" si="1"/>
        <v>0</v>
      </c>
      <c r="AA37" s="175">
        <f t="shared" si="2"/>
        <v>0</v>
      </c>
      <c r="AB37" s="176">
        <f>AA37/I37</f>
        <v>0</v>
      </c>
    </row>
    <row r="38" spans="1:28" s="438" customFormat="1" ht="30" customHeight="1" x14ac:dyDescent="0.3">
      <c r="A38" s="1440"/>
      <c r="B38" s="1440"/>
      <c r="C38" s="456" t="s">
        <v>83</v>
      </c>
      <c r="D38" s="456" t="s">
        <v>1113</v>
      </c>
      <c r="E38" s="456">
        <v>1.75</v>
      </c>
      <c r="F38" s="455">
        <v>8775129</v>
      </c>
      <c r="G38" s="32">
        <f t="shared" si="30"/>
        <v>9222661</v>
      </c>
      <c r="H38" s="455">
        <f>ROUND((E38*F38),0)</f>
        <v>15356476</v>
      </c>
      <c r="I38" s="32">
        <f>+ROUND(G38*E38,0)</f>
        <v>16139657</v>
      </c>
      <c r="J38" s="1440"/>
      <c r="K38" s="536">
        <v>0</v>
      </c>
      <c r="L38" s="425">
        <f>ROUND(K38*$F$38,0)</f>
        <v>0</v>
      </c>
      <c r="M38" s="426">
        <f>L38/$H$38</f>
        <v>0</v>
      </c>
      <c r="N38" s="764">
        <v>0</v>
      </c>
      <c r="O38" s="425">
        <f>ROUND(N38*$F$38,0)</f>
        <v>0</v>
      </c>
      <c r="P38" s="426">
        <f>O38/$H$38</f>
        <v>0</v>
      </c>
      <c r="Q38" s="452">
        <v>0</v>
      </c>
      <c r="R38" s="425">
        <f t="shared" si="31"/>
        <v>0</v>
      </c>
      <c r="S38" s="426">
        <f t="shared" si="32"/>
        <v>0</v>
      </c>
      <c r="T38" s="452">
        <v>0</v>
      </c>
      <c r="U38" s="425">
        <f t="shared" si="33"/>
        <v>0</v>
      </c>
      <c r="V38" s="426">
        <f t="shared" si="34"/>
        <v>0</v>
      </c>
      <c r="W38" s="452">
        <v>0</v>
      </c>
      <c r="X38" s="425">
        <f>ROUND(W38*G38,0)</f>
        <v>0</v>
      </c>
      <c r="Y38" s="1087">
        <f t="shared" si="0"/>
        <v>0</v>
      </c>
      <c r="Z38" s="450">
        <f t="shared" si="1"/>
        <v>0</v>
      </c>
      <c r="AA38" s="175">
        <f t="shared" si="2"/>
        <v>0</v>
      </c>
      <c r="AB38" s="176">
        <f>AA38/I38</f>
        <v>0</v>
      </c>
    </row>
    <row r="39" spans="1:28" ht="15" customHeight="1" x14ac:dyDescent="0.3">
      <c r="A39" s="1440"/>
      <c r="B39" s="1440"/>
      <c r="C39" s="449"/>
      <c r="D39" s="449" t="s">
        <v>169</v>
      </c>
      <c r="E39" s="448"/>
      <c r="F39" s="448"/>
      <c r="G39" s="448"/>
      <c r="H39" s="447">
        <f>SUM(H37:H38)</f>
        <v>31444212</v>
      </c>
      <c r="I39" s="447">
        <f>SUM(I37:I38)</f>
        <v>33047868</v>
      </c>
      <c r="J39" s="1441"/>
      <c r="K39" s="431"/>
      <c r="L39" s="179">
        <f>SUM(L37:L38)</f>
        <v>0</v>
      </c>
      <c r="M39" s="431">
        <f>L39/$H$39</f>
        <v>0</v>
      </c>
      <c r="N39" s="431"/>
      <c r="O39" s="179">
        <f>SUM(O37:O38)</f>
        <v>0</v>
      </c>
      <c r="P39" s="431">
        <f>O39/$H$39</f>
        <v>0</v>
      </c>
      <c r="Q39" s="431"/>
      <c r="R39" s="179">
        <f>SUM(R37:R38)</f>
        <v>0</v>
      </c>
      <c r="S39" s="431">
        <f>R39/$H$39</f>
        <v>0</v>
      </c>
      <c r="T39" s="431"/>
      <c r="U39" s="179">
        <f>SUM(U37:U38)</f>
        <v>0</v>
      </c>
      <c r="V39" s="431">
        <f>U39/$H$39</f>
        <v>0</v>
      </c>
      <c r="W39" s="431"/>
      <c r="X39" s="179">
        <f>SUM(X37:X38)</f>
        <v>0</v>
      </c>
      <c r="Y39" s="1088">
        <f t="shared" si="0"/>
        <v>0</v>
      </c>
      <c r="Z39" s="1089">
        <f t="shared" si="1"/>
        <v>0</v>
      </c>
      <c r="AA39" s="1078">
        <f t="shared" si="2"/>
        <v>0</v>
      </c>
      <c r="AB39" s="1091">
        <f t="shared" ref="AB39:AB71" si="35">AA39/I39</f>
        <v>0</v>
      </c>
    </row>
    <row r="40" spans="1:28" s="438" customFormat="1" ht="30" customHeight="1" x14ac:dyDescent="0.3">
      <c r="A40" s="1439" t="s">
        <v>1304</v>
      </c>
      <c r="B40" s="1440" t="s">
        <v>1299</v>
      </c>
      <c r="C40" s="456" t="s">
        <v>81</v>
      </c>
      <c r="D40" s="456" t="s">
        <v>1112</v>
      </c>
      <c r="E40" s="456">
        <v>1.75</v>
      </c>
      <c r="F40" s="455">
        <v>9192992</v>
      </c>
      <c r="G40" s="32">
        <f t="shared" ref="G40:G41" si="36">+ROUND(F40*1.051,0)</f>
        <v>9661835</v>
      </c>
      <c r="H40" s="455">
        <f>ROUND((E40*F40),0)</f>
        <v>16087736</v>
      </c>
      <c r="I40" s="32">
        <f>+ROUND(G40*E40,0)</f>
        <v>16908211</v>
      </c>
      <c r="J40" s="1439" t="s">
        <v>1303</v>
      </c>
      <c r="K40" s="536">
        <v>0</v>
      </c>
      <c r="L40" s="425">
        <f>ROUND(K40*$F$40,0)</f>
        <v>0</v>
      </c>
      <c r="M40" s="426">
        <f>L40/$H$40</f>
        <v>0</v>
      </c>
      <c r="N40" s="764">
        <v>0</v>
      </c>
      <c r="O40" s="425">
        <f>ROUND(N40*$F$40,0)</f>
        <v>0</v>
      </c>
      <c r="P40" s="426">
        <f>O40/$H$40</f>
        <v>0</v>
      </c>
      <c r="Q40" s="452">
        <v>0</v>
      </c>
      <c r="R40" s="425">
        <f t="shared" ref="R40:R41" si="37">ROUND(Q40*F40,0)</f>
        <v>0</v>
      </c>
      <c r="S40" s="426">
        <f t="shared" ref="S40:S41" si="38">R40/$H$14</f>
        <v>0</v>
      </c>
      <c r="T40" s="452">
        <v>0</v>
      </c>
      <c r="U40" s="425">
        <f t="shared" ref="U40:U41" si="39">ROUND(T40*G40,0)</f>
        <v>0</v>
      </c>
      <c r="V40" s="426">
        <f t="shared" ref="V40:V41" si="40">U40/H40</f>
        <v>0</v>
      </c>
      <c r="W40" s="452">
        <v>0</v>
      </c>
      <c r="X40" s="425">
        <f>ROUND(W40*G40,0)</f>
        <v>0</v>
      </c>
      <c r="Y40" s="1087">
        <f t="shared" si="0"/>
        <v>0</v>
      </c>
      <c r="Z40" s="450">
        <f t="shared" si="1"/>
        <v>0</v>
      </c>
      <c r="AA40" s="175">
        <f t="shared" si="2"/>
        <v>0</v>
      </c>
      <c r="AB40" s="176">
        <f t="shared" si="35"/>
        <v>0</v>
      </c>
    </row>
    <row r="41" spans="1:28" s="438" customFormat="1" ht="30" customHeight="1" x14ac:dyDescent="0.3">
      <c r="A41" s="1440"/>
      <c r="B41" s="1440"/>
      <c r="C41" s="456" t="s">
        <v>83</v>
      </c>
      <c r="D41" s="456" t="s">
        <v>1113</v>
      </c>
      <c r="E41" s="456">
        <v>1.75</v>
      </c>
      <c r="F41" s="455">
        <v>8775129</v>
      </c>
      <c r="G41" s="32">
        <f t="shared" si="36"/>
        <v>9222661</v>
      </c>
      <c r="H41" s="455">
        <f>ROUND((E41*F41),0)</f>
        <v>15356476</v>
      </c>
      <c r="I41" s="32">
        <f>+ROUND(G41*E41,0)</f>
        <v>16139657</v>
      </c>
      <c r="J41" s="1440"/>
      <c r="K41" s="536">
        <v>0</v>
      </c>
      <c r="L41" s="425">
        <f>ROUND(K41*$F$41,0)</f>
        <v>0</v>
      </c>
      <c r="M41" s="426">
        <f>L41/$H$41</f>
        <v>0</v>
      </c>
      <c r="N41" s="764">
        <v>0</v>
      </c>
      <c r="O41" s="425">
        <f>ROUND(N41*$F$41,0)</f>
        <v>0</v>
      </c>
      <c r="P41" s="426">
        <f>O41/$H$41</f>
        <v>0</v>
      </c>
      <c r="Q41" s="452">
        <v>0</v>
      </c>
      <c r="R41" s="425">
        <f t="shared" si="37"/>
        <v>0</v>
      </c>
      <c r="S41" s="426">
        <f t="shared" si="38"/>
        <v>0</v>
      </c>
      <c r="T41" s="452">
        <v>0</v>
      </c>
      <c r="U41" s="425">
        <f t="shared" si="39"/>
        <v>0</v>
      </c>
      <c r="V41" s="426">
        <f t="shared" si="40"/>
        <v>0</v>
      </c>
      <c r="W41" s="452">
        <v>0</v>
      </c>
      <c r="X41" s="425">
        <f>ROUND(W41*G41,0)</f>
        <v>0</v>
      </c>
      <c r="Y41" s="1087">
        <f t="shared" si="0"/>
        <v>0</v>
      </c>
      <c r="Z41" s="450">
        <f t="shared" si="1"/>
        <v>0</v>
      </c>
      <c r="AA41" s="175">
        <f t="shared" si="2"/>
        <v>0</v>
      </c>
      <c r="AB41" s="176">
        <f t="shared" si="35"/>
        <v>0</v>
      </c>
    </row>
    <row r="42" spans="1:28" ht="15" customHeight="1" x14ac:dyDescent="0.3">
      <c r="A42" s="1440"/>
      <c r="B42" s="1440"/>
      <c r="C42" s="449"/>
      <c r="D42" s="449" t="s">
        <v>169</v>
      </c>
      <c r="E42" s="448"/>
      <c r="F42" s="448"/>
      <c r="G42" s="448"/>
      <c r="H42" s="447">
        <f>SUM(H40:H41)</f>
        <v>31444212</v>
      </c>
      <c r="I42" s="447">
        <f>SUM(I40:I41)</f>
        <v>33047868</v>
      </c>
      <c r="J42" s="1441"/>
      <c r="K42" s="431"/>
      <c r="L42" s="179">
        <f>SUM(L40:L41)</f>
        <v>0</v>
      </c>
      <c r="M42" s="431">
        <f>L42/$H$42</f>
        <v>0</v>
      </c>
      <c r="N42" s="431"/>
      <c r="O42" s="179">
        <f>SUM(O40:O41)</f>
        <v>0</v>
      </c>
      <c r="P42" s="431">
        <f>O42/$H$42</f>
        <v>0</v>
      </c>
      <c r="Q42" s="431"/>
      <c r="R42" s="179">
        <f>SUM(R40:R41)</f>
        <v>0</v>
      </c>
      <c r="S42" s="431">
        <f>R42/$H$42</f>
        <v>0</v>
      </c>
      <c r="T42" s="431"/>
      <c r="U42" s="179">
        <f>SUM(U40:U41)</f>
        <v>0</v>
      </c>
      <c r="V42" s="431">
        <f>U42/$H$42</f>
        <v>0</v>
      </c>
      <c r="W42" s="431"/>
      <c r="X42" s="179">
        <f>SUM(X40:X41)</f>
        <v>0</v>
      </c>
      <c r="Y42" s="1088">
        <f t="shared" si="0"/>
        <v>0</v>
      </c>
      <c r="Z42" s="1089">
        <f t="shared" si="1"/>
        <v>0</v>
      </c>
      <c r="AA42" s="1078">
        <f t="shared" si="2"/>
        <v>0</v>
      </c>
      <c r="AB42" s="1091">
        <f t="shared" si="35"/>
        <v>0</v>
      </c>
    </row>
    <row r="43" spans="1:28" s="438" customFormat="1" ht="30" customHeight="1" x14ac:dyDescent="0.3">
      <c r="A43" s="1439" t="s">
        <v>1302</v>
      </c>
      <c r="B43" s="1440" t="s">
        <v>1299</v>
      </c>
      <c r="C43" s="456" t="s">
        <v>81</v>
      </c>
      <c r="D43" s="456" t="s">
        <v>1112</v>
      </c>
      <c r="E43" s="456">
        <v>2.38</v>
      </c>
      <c r="F43" s="455">
        <v>9192992</v>
      </c>
      <c r="G43" s="32">
        <f t="shared" ref="G43:G44" si="41">+ROUND(F43*1.051,0)</f>
        <v>9661835</v>
      </c>
      <c r="H43" s="455">
        <f>ROUND((E43*F43),0)</f>
        <v>21879321</v>
      </c>
      <c r="I43" s="32">
        <f>+ROUND(G43*E43,0)</f>
        <v>22995167</v>
      </c>
      <c r="J43" s="1439" t="s">
        <v>1301</v>
      </c>
      <c r="K43" s="536">
        <v>0</v>
      </c>
      <c r="L43" s="425">
        <f>ROUND(K43*$F$43,0)</f>
        <v>0</v>
      </c>
      <c r="M43" s="426">
        <f>L43/$H$43</f>
        <v>0</v>
      </c>
      <c r="N43" s="764">
        <v>0</v>
      </c>
      <c r="O43" s="425">
        <f>ROUND(N43*$F$43,0)</f>
        <v>0</v>
      </c>
      <c r="P43" s="426">
        <f>O43/$H$43</f>
        <v>0</v>
      </c>
      <c r="Q43" s="452">
        <v>0</v>
      </c>
      <c r="R43" s="425">
        <f t="shared" ref="R43:R44" si="42">ROUND(Q43*F43,0)</f>
        <v>0</v>
      </c>
      <c r="S43" s="426">
        <f t="shared" ref="S43:S44" si="43">R43/$H$14</f>
        <v>0</v>
      </c>
      <c r="T43" s="452">
        <v>0</v>
      </c>
      <c r="U43" s="425">
        <f t="shared" ref="U43:U44" si="44">ROUND(T43*G43,0)</f>
        <v>0</v>
      </c>
      <c r="V43" s="426">
        <f t="shared" ref="V43:V44" si="45">U43/H43</f>
        <v>0</v>
      </c>
      <c r="W43" s="452">
        <v>0</v>
      </c>
      <c r="X43" s="425">
        <f>ROUND(W43*G43,0)</f>
        <v>0</v>
      </c>
      <c r="Y43" s="1087">
        <f t="shared" si="0"/>
        <v>0</v>
      </c>
      <c r="Z43" s="450">
        <f t="shared" si="1"/>
        <v>0</v>
      </c>
      <c r="AA43" s="175">
        <f t="shared" si="2"/>
        <v>0</v>
      </c>
      <c r="AB43" s="176">
        <f t="shared" si="35"/>
        <v>0</v>
      </c>
    </row>
    <row r="44" spans="1:28" s="438" customFormat="1" ht="30" customHeight="1" x14ac:dyDescent="0.3">
      <c r="A44" s="1440"/>
      <c r="B44" s="1440"/>
      <c r="C44" s="456" t="s">
        <v>83</v>
      </c>
      <c r="D44" s="456" t="s">
        <v>1113</v>
      </c>
      <c r="E44" s="456">
        <v>2.38</v>
      </c>
      <c r="F44" s="455">
        <v>8775129</v>
      </c>
      <c r="G44" s="32">
        <f t="shared" si="41"/>
        <v>9222661</v>
      </c>
      <c r="H44" s="455">
        <f>ROUND((E44*F44),0)</f>
        <v>20884807</v>
      </c>
      <c r="I44" s="32">
        <f>+ROUND(G44*E44,0)</f>
        <v>21949933</v>
      </c>
      <c r="J44" s="1440"/>
      <c r="K44" s="536">
        <v>0</v>
      </c>
      <c r="L44" s="425">
        <f>ROUND(K44*$F$44,0)</f>
        <v>0</v>
      </c>
      <c r="M44" s="426">
        <f>L44/$H$44</f>
        <v>0</v>
      </c>
      <c r="N44" s="764">
        <v>0</v>
      </c>
      <c r="O44" s="425">
        <f>ROUND(N44*$F$44,0)</f>
        <v>0</v>
      </c>
      <c r="P44" s="426">
        <f>O44/$H$44</f>
        <v>0</v>
      </c>
      <c r="Q44" s="452">
        <v>0</v>
      </c>
      <c r="R44" s="425">
        <f t="shared" si="42"/>
        <v>0</v>
      </c>
      <c r="S44" s="426">
        <f t="shared" si="43"/>
        <v>0</v>
      </c>
      <c r="T44" s="452">
        <v>0</v>
      </c>
      <c r="U44" s="425">
        <f t="shared" si="44"/>
        <v>0</v>
      </c>
      <c r="V44" s="426">
        <f t="shared" si="45"/>
        <v>0</v>
      </c>
      <c r="W44" s="452">
        <v>0</v>
      </c>
      <c r="X44" s="425">
        <f>ROUND(W44*G44,0)</f>
        <v>0</v>
      </c>
      <c r="Y44" s="1087">
        <f t="shared" si="0"/>
        <v>0</v>
      </c>
      <c r="Z44" s="450">
        <f t="shared" si="1"/>
        <v>0</v>
      </c>
      <c r="AA44" s="175">
        <f t="shared" si="2"/>
        <v>0</v>
      </c>
      <c r="AB44" s="176">
        <f t="shared" si="35"/>
        <v>0</v>
      </c>
    </row>
    <row r="45" spans="1:28" ht="15" customHeight="1" x14ac:dyDescent="0.3">
      <c r="A45" s="1440"/>
      <c r="B45" s="1440"/>
      <c r="C45" s="449"/>
      <c r="D45" s="449" t="s">
        <v>169</v>
      </c>
      <c r="E45" s="448"/>
      <c r="F45" s="448"/>
      <c r="G45" s="448"/>
      <c r="H45" s="447">
        <f>SUM(H43:H44)</f>
        <v>42764128</v>
      </c>
      <c r="I45" s="447">
        <f>SUM(I43:I44)</f>
        <v>44945100</v>
      </c>
      <c r="J45" s="1440"/>
      <c r="K45" s="431"/>
      <c r="L45" s="179">
        <f>SUM(L43:L44)</f>
        <v>0</v>
      </c>
      <c r="M45" s="431">
        <f>L45/$H$45</f>
        <v>0</v>
      </c>
      <c r="N45" s="431"/>
      <c r="O45" s="179">
        <f>SUM(O43:O44)</f>
        <v>0</v>
      </c>
      <c r="P45" s="431">
        <f>O45/$H$45</f>
        <v>0</v>
      </c>
      <c r="Q45" s="431"/>
      <c r="R45" s="179">
        <f>SUM(R43:R44)</f>
        <v>0</v>
      </c>
      <c r="S45" s="431">
        <f>R45/$H$45</f>
        <v>0</v>
      </c>
      <c r="T45" s="431"/>
      <c r="U45" s="179">
        <f>SUM(U43:U44)</f>
        <v>0</v>
      </c>
      <c r="V45" s="431">
        <f>U45/$H$45</f>
        <v>0</v>
      </c>
      <c r="W45" s="431"/>
      <c r="X45" s="179">
        <f>SUM(X43:X44)</f>
        <v>0</v>
      </c>
      <c r="Y45" s="1088">
        <f t="shared" si="0"/>
        <v>0</v>
      </c>
      <c r="Z45" s="1089">
        <f t="shared" si="1"/>
        <v>0</v>
      </c>
      <c r="AA45" s="1078">
        <f t="shared" si="2"/>
        <v>0</v>
      </c>
      <c r="AB45" s="1091">
        <f t="shared" si="35"/>
        <v>0</v>
      </c>
    </row>
    <row r="46" spans="1:28" s="438" customFormat="1" ht="30" customHeight="1" x14ac:dyDescent="0.3">
      <c r="A46" s="1439" t="s">
        <v>1300</v>
      </c>
      <c r="B46" s="1440" t="s">
        <v>1299</v>
      </c>
      <c r="C46" s="456" t="s">
        <v>81</v>
      </c>
      <c r="D46" s="456" t="s">
        <v>1112</v>
      </c>
      <c r="E46" s="456">
        <f>0.7*(1+1.5*0.3)</f>
        <v>1.0149999999999999</v>
      </c>
      <c r="F46" s="455">
        <v>9192992</v>
      </c>
      <c r="G46" s="32">
        <f t="shared" ref="G46:G47" si="46">+ROUND(F46*1.051,0)</f>
        <v>9661835</v>
      </c>
      <c r="H46" s="455">
        <f>ROUND((E46*F46),0)</f>
        <v>9330887</v>
      </c>
      <c r="I46" s="32">
        <f>+ROUND(G46*E46,0)</f>
        <v>9806763</v>
      </c>
      <c r="J46" s="1439" t="s">
        <v>1298</v>
      </c>
      <c r="K46" s="536">
        <v>0</v>
      </c>
      <c r="L46" s="425">
        <f>ROUND(K46*$F$46,0)</f>
        <v>0</v>
      </c>
      <c r="M46" s="426">
        <f>L46/$H$46</f>
        <v>0</v>
      </c>
      <c r="N46" s="764">
        <v>0</v>
      </c>
      <c r="O46" s="425">
        <f>ROUND(N46*$F$46,0)</f>
        <v>0</v>
      </c>
      <c r="P46" s="426">
        <f>O46/$H$46</f>
        <v>0</v>
      </c>
      <c r="Q46" s="452">
        <v>0</v>
      </c>
      <c r="R46" s="425">
        <f t="shared" ref="R46:R47" si="47">ROUND(Q46*F46,0)</f>
        <v>0</v>
      </c>
      <c r="S46" s="426">
        <f t="shared" ref="S46:S47" si="48">R46/$H$14</f>
        <v>0</v>
      </c>
      <c r="T46" s="452">
        <v>0</v>
      </c>
      <c r="U46" s="425">
        <f t="shared" ref="U46:U47" si="49">ROUND(T46*G46,0)</f>
        <v>0</v>
      </c>
      <c r="V46" s="426">
        <f t="shared" ref="V46:V47" si="50">U46/H46</f>
        <v>0</v>
      </c>
      <c r="W46" s="452">
        <v>0</v>
      </c>
      <c r="X46" s="425">
        <f>ROUND(W46*G46,0)</f>
        <v>0</v>
      </c>
      <c r="Y46" s="1087">
        <f t="shared" si="0"/>
        <v>0</v>
      </c>
      <c r="Z46" s="450">
        <f t="shared" si="1"/>
        <v>0</v>
      </c>
      <c r="AA46" s="175">
        <f t="shared" si="2"/>
        <v>0</v>
      </c>
      <c r="AB46" s="176">
        <f t="shared" si="35"/>
        <v>0</v>
      </c>
    </row>
    <row r="47" spans="1:28" s="438" customFormat="1" ht="30" customHeight="1" x14ac:dyDescent="0.3">
      <c r="A47" s="1440"/>
      <c r="B47" s="1440"/>
      <c r="C47" s="456" t="s">
        <v>83</v>
      </c>
      <c r="D47" s="456" t="s">
        <v>1113</v>
      </c>
      <c r="E47" s="456">
        <f>0.7*(1+1.5*0.3)</f>
        <v>1.0149999999999999</v>
      </c>
      <c r="F47" s="455">
        <v>8775129</v>
      </c>
      <c r="G47" s="32">
        <f t="shared" si="46"/>
        <v>9222661</v>
      </c>
      <c r="H47" s="455">
        <f>ROUND((E47*F47),0)</f>
        <v>8906756</v>
      </c>
      <c r="I47" s="32">
        <f>+ROUND(G47*E47,0)</f>
        <v>9361001</v>
      </c>
      <c r="J47" s="1440"/>
      <c r="K47" s="536">
        <v>0</v>
      </c>
      <c r="L47" s="425">
        <f>ROUND(K47*$F$47,0)</f>
        <v>0</v>
      </c>
      <c r="M47" s="426">
        <f>L47/$H$47</f>
        <v>0</v>
      </c>
      <c r="N47" s="764">
        <v>0</v>
      </c>
      <c r="O47" s="425">
        <f>ROUND(N47*$F$47,0)</f>
        <v>0</v>
      </c>
      <c r="P47" s="426">
        <f>O47/$H$47</f>
        <v>0</v>
      </c>
      <c r="Q47" s="452">
        <v>0</v>
      </c>
      <c r="R47" s="425">
        <f t="shared" si="47"/>
        <v>0</v>
      </c>
      <c r="S47" s="426">
        <f t="shared" si="48"/>
        <v>0</v>
      </c>
      <c r="T47" s="452">
        <v>0</v>
      </c>
      <c r="U47" s="425">
        <f t="shared" si="49"/>
        <v>0</v>
      </c>
      <c r="V47" s="426">
        <f t="shared" si="50"/>
        <v>0</v>
      </c>
      <c r="W47" s="452">
        <v>0</v>
      </c>
      <c r="X47" s="425">
        <f>ROUND(W47*G47,0)</f>
        <v>0</v>
      </c>
      <c r="Y47" s="1087">
        <f t="shared" si="0"/>
        <v>0</v>
      </c>
      <c r="Z47" s="450">
        <f t="shared" si="1"/>
        <v>0</v>
      </c>
      <c r="AA47" s="175">
        <f t="shared" si="2"/>
        <v>0</v>
      </c>
      <c r="AB47" s="176">
        <f t="shared" si="35"/>
        <v>0</v>
      </c>
    </row>
    <row r="48" spans="1:28" ht="15" customHeight="1" x14ac:dyDescent="0.3">
      <c r="A48" s="1440"/>
      <c r="B48" s="1440"/>
      <c r="C48" s="449"/>
      <c r="D48" s="449" t="s">
        <v>169</v>
      </c>
      <c r="E48" s="448"/>
      <c r="F48" s="448"/>
      <c r="G48" s="448"/>
      <c r="H48" s="447">
        <f>SUM(H46:H47)</f>
        <v>18237643</v>
      </c>
      <c r="I48" s="447">
        <f>SUM(I46:I47)</f>
        <v>19167764</v>
      </c>
      <c r="J48" s="1441"/>
      <c r="K48" s="431"/>
      <c r="L48" s="179">
        <f>SUM(L46:L47)</f>
        <v>0</v>
      </c>
      <c r="M48" s="431">
        <f>L48/$H$48</f>
        <v>0</v>
      </c>
      <c r="N48" s="431"/>
      <c r="O48" s="179">
        <f>SUM(O46:O47)</f>
        <v>0</v>
      </c>
      <c r="P48" s="431">
        <f>O48/$H$48</f>
        <v>0</v>
      </c>
      <c r="Q48" s="431"/>
      <c r="R48" s="179">
        <f>SUM(R46:R47)</f>
        <v>0</v>
      </c>
      <c r="S48" s="431">
        <f>R48/$H$48</f>
        <v>0</v>
      </c>
      <c r="T48" s="431"/>
      <c r="U48" s="179">
        <f>SUM(U46:U47)</f>
        <v>0</v>
      </c>
      <c r="V48" s="431">
        <f>U48/$H$48</f>
        <v>0</v>
      </c>
      <c r="W48" s="431"/>
      <c r="X48" s="179">
        <f>SUM(X46:X47)</f>
        <v>0</v>
      </c>
      <c r="Y48" s="1088">
        <f t="shared" si="0"/>
        <v>0</v>
      </c>
      <c r="Z48" s="1089">
        <f t="shared" si="1"/>
        <v>0</v>
      </c>
      <c r="AA48" s="1078">
        <f t="shared" si="2"/>
        <v>0</v>
      </c>
      <c r="AB48" s="1091">
        <f t="shared" si="35"/>
        <v>0</v>
      </c>
    </row>
    <row r="49" spans="1:28" s="438" customFormat="1" ht="30" customHeight="1" x14ac:dyDescent="0.3">
      <c r="A49" s="1440" t="s">
        <v>280</v>
      </c>
      <c r="B49" s="1440" t="s">
        <v>1297</v>
      </c>
      <c r="C49" s="456" t="s">
        <v>59</v>
      </c>
      <c r="D49" s="456" t="s">
        <v>141</v>
      </c>
      <c r="E49" s="456">
        <v>1.75</v>
      </c>
      <c r="F49" s="455">
        <v>940192</v>
      </c>
      <c r="G49" s="32">
        <f t="shared" ref="G49:G50" si="51">+ROUND(F49*1.051,0)</f>
        <v>988142</v>
      </c>
      <c r="H49" s="455">
        <f>ROUND((E49*F49),0)</f>
        <v>1645336</v>
      </c>
      <c r="I49" s="32">
        <f>+ROUND(G49*E49,0)</f>
        <v>1729249</v>
      </c>
      <c r="J49" s="1439" t="s">
        <v>1296</v>
      </c>
      <c r="K49" s="536">
        <v>0</v>
      </c>
      <c r="L49" s="425">
        <f>ROUND(K49*$F$49,0)</f>
        <v>0</v>
      </c>
      <c r="M49" s="426">
        <f>L49/$H$49</f>
        <v>0</v>
      </c>
      <c r="N49" s="764">
        <v>0</v>
      </c>
      <c r="O49" s="425">
        <f>ROUND(N49*$F$49,0)</f>
        <v>0</v>
      </c>
      <c r="P49" s="426">
        <f>O49/$H$49</f>
        <v>0</v>
      </c>
      <c r="Q49" s="452">
        <v>0</v>
      </c>
      <c r="R49" s="425">
        <f t="shared" ref="R49:R50" si="52">ROUND(Q49*F49,0)</f>
        <v>0</v>
      </c>
      <c r="S49" s="426">
        <f t="shared" ref="S49:S50" si="53">R49/$H$14</f>
        <v>0</v>
      </c>
      <c r="T49" s="452">
        <v>0</v>
      </c>
      <c r="U49" s="425">
        <f t="shared" ref="U49:U50" si="54">ROUND(T49*G49,0)</f>
        <v>0</v>
      </c>
      <c r="V49" s="426">
        <f t="shared" ref="V49:V50" si="55">U49/H49</f>
        <v>0</v>
      </c>
      <c r="W49" s="452">
        <v>0</v>
      </c>
      <c r="X49" s="425">
        <f>ROUND(W49*G49,0)</f>
        <v>0</v>
      </c>
      <c r="Y49" s="1087">
        <f t="shared" si="0"/>
        <v>0</v>
      </c>
      <c r="Z49" s="450">
        <f t="shared" si="1"/>
        <v>0</v>
      </c>
      <c r="AA49" s="175">
        <f t="shared" si="2"/>
        <v>0</v>
      </c>
      <c r="AB49" s="176">
        <f t="shared" si="35"/>
        <v>0</v>
      </c>
    </row>
    <row r="50" spans="1:28" ht="30" customHeight="1" x14ac:dyDescent="0.3">
      <c r="A50" s="1440"/>
      <c r="B50" s="1440"/>
      <c r="C50" s="454" t="s">
        <v>61</v>
      </c>
      <c r="D50" s="454" t="s">
        <v>142</v>
      </c>
      <c r="E50" s="454">
        <v>3.5</v>
      </c>
      <c r="F50" s="453">
        <v>2890220</v>
      </c>
      <c r="G50" s="32">
        <f t="shared" si="51"/>
        <v>3037621</v>
      </c>
      <c r="H50" s="453">
        <f>ROUND((E50*F50),0)</f>
        <v>10115770</v>
      </c>
      <c r="I50" s="32">
        <f>+ROUND(G50*E50,0)</f>
        <v>10631674</v>
      </c>
      <c r="J50" s="1441"/>
      <c r="K50" s="536">
        <v>0</v>
      </c>
      <c r="L50" s="425">
        <f>ROUND(K50*$F$50,0)</f>
        <v>0</v>
      </c>
      <c r="M50" s="426">
        <f>L50/$H$50</f>
        <v>0</v>
      </c>
      <c r="N50" s="765">
        <f>3.5*50%</f>
        <v>1.75</v>
      </c>
      <c r="O50" s="429">
        <f>ROUND(N50*$F$50,0)</f>
        <v>5057885</v>
      </c>
      <c r="P50" s="430">
        <f>O50/$H$50</f>
        <v>0.5</v>
      </c>
      <c r="Q50" s="474">
        <v>1.1000000000000001</v>
      </c>
      <c r="R50" s="429">
        <f t="shared" si="52"/>
        <v>3179242</v>
      </c>
      <c r="S50" s="430">
        <f t="shared" si="53"/>
        <v>0.18201748070684276</v>
      </c>
      <c r="T50" s="452">
        <v>0</v>
      </c>
      <c r="U50" s="425">
        <f t="shared" si="54"/>
        <v>0</v>
      </c>
      <c r="V50" s="426">
        <f t="shared" si="55"/>
        <v>0</v>
      </c>
      <c r="W50" s="452">
        <v>0</v>
      </c>
      <c r="X50" s="425">
        <f>ROUND(W50*G50,0)</f>
        <v>0</v>
      </c>
      <c r="Y50" s="1087">
        <f t="shared" si="0"/>
        <v>0</v>
      </c>
      <c r="Z50" s="450">
        <f t="shared" si="1"/>
        <v>2.85</v>
      </c>
      <c r="AA50" s="175">
        <f t="shared" si="2"/>
        <v>8237127</v>
      </c>
      <c r="AB50" s="176">
        <f>AA50/I50</f>
        <v>0.77477234535219952</v>
      </c>
    </row>
    <row r="51" spans="1:28" x14ac:dyDescent="0.3">
      <c r="A51" s="1440"/>
      <c r="B51" s="1440"/>
      <c r="C51" s="449"/>
      <c r="D51" s="449" t="s">
        <v>143</v>
      </c>
      <c r="E51" s="448"/>
      <c r="F51" s="448"/>
      <c r="G51" s="448"/>
      <c r="H51" s="447">
        <f>SUM(H49:H50)</f>
        <v>11761106</v>
      </c>
      <c r="I51" s="447">
        <f>SUM(I49:I50)</f>
        <v>12360923</v>
      </c>
      <c r="J51" s="1441"/>
      <c r="K51" s="431"/>
      <c r="L51" s="179">
        <f>SUM(L49:L50)</f>
        <v>0</v>
      </c>
      <c r="M51" s="431">
        <f>L51/$H$51</f>
        <v>0</v>
      </c>
      <c r="N51" s="431"/>
      <c r="O51" s="179">
        <f>SUM(O49:O50)</f>
        <v>5057885</v>
      </c>
      <c r="P51" s="431">
        <f>O51/$H$51</f>
        <v>0.43005181655534774</v>
      </c>
      <c r="Q51" s="431"/>
      <c r="R51" s="179">
        <f>SUM(R49:R50)</f>
        <v>3179242</v>
      </c>
      <c r="S51" s="431">
        <f>R51/$H$51</f>
        <v>0.27031828469193286</v>
      </c>
      <c r="T51" s="431"/>
      <c r="U51" s="179">
        <f>SUM(U49:U50)</f>
        <v>0</v>
      </c>
      <c r="V51" s="431">
        <f>U51/$H$51</f>
        <v>0</v>
      </c>
      <c r="W51" s="431"/>
      <c r="X51" s="179">
        <f>SUM(X49:X50)</f>
        <v>0</v>
      </c>
      <c r="Y51" s="1088">
        <f t="shared" si="0"/>
        <v>0</v>
      </c>
      <c r="Z51" s="1089">
        <f t="shared" si="1"/>
        <v>0</v>
      </c>
      <c r="AA51" s="1078">
        <f>L51+O51+R51+U51+X51</f>
        <v>8237127</v>
      </c>
      <c r="AB51" s="1091">
        <f>AA51/I51</f>
        <v>0.66638446012486285</v>
      </c>
    </row>
    <row r="52" spans="1:28" s="438" customFormat="1" ht="30" customHeight="1" x14ac:dyDescent="0.3">
      <c r="A52" s="1440" t="s">
        <v>280</v>
      </c>
      <c r="B52" s="1440" t="s">
        <v>1295</v>
      </c>
      <c r="C52" s="456" t="s">
        <v>245</v>
      </c>
      <c r="D52" s="456" t="s">
        <v>246</v>
      </c>
      <c r="E52" s="456">
        <f>0.7*0.7</f>
        <v>0.48999999999999994</v>
      </c>
      <c r="F52" s="455">
        <v>1845563</v>
      </c>
      <c r="G52" s="32">
        <f>+ROUND(F52*1.051,0)</f>
        <v>1939687</v>
      </c>
      <c r="H52" s="455">
        <f>ROUND((E52*F52),0)</f>
        <v>904326</v>
      </c>
      <c r="I52" s="32">
        <f>+ROUND(G52*E52,0)</f>
        <v>950447</v>
      </c>
      <c r="J52" s="1439" t="s">
        <v>1294</v>
      </c>
      <c r="K52" s="536">
        <v>0</v>
      </c>
      <c r="L52" s="425">
        <f>ROUND(K52*$F$52,0)</f>
        <v>0</v>
      </c>
      <c r="M52" s="426">
        <f>L52/$H$52</f>
        <v>0</v>
      </c>
      <c r="N52" s="766">
        <f>0.49*50%</f>
        <v>0.245</v>
      </c>
      <c r="O52" s="429">
        <f>ROUND(N52*$F$52,0)</f>
        <v>452163</v>
      </c>
      <c r="P52" s="430">
        <f>O52/$H$52</f>
        <v>0.5</v>
      </c>
      <c r="Q52" s="474">
        <v>0.15</v>
      </c>
      <c r="R52" s="429">
        <f>ROUND(Q52*F52,0)</f>
        <v>276834</v>
      </c>
      <c r="S52" s="430">
        <f>R52/$H$14</f>
        <v>1.5849258173488558E-2</v>
      </c>
      <c r="T52" s="452">
        <v>0</v>
      </c>
      <c r="U52" s="425">
        <f>ROUND(T52*G52,0)</f>
        <v>0</v>
      </c>
      <c r="V52" s="426">
        <f>U52/H52</f>
        <v>0</v>
      </c>
      <c r="W52" s="452">
        <v>0</v>
      </c>
      <c r="X52" s="425">
        <f>ROUND(W52*G52,0)</f>
        <v>0</v>
      </c>
      <c r="Y52" s="1087">
        <f t="shared" si="0"/>
        <v>0</v>
      </c>
      <c r="Z52" s="450">
        <f t="shared" si="1"/>
        <v>0.39500000000000002</v>
      </c>
      <c r="AA52" s="175">
        <f t="shared" si="2"/>
        <v>728997</v>
      </c>
      <c r="AB52" s="176">
        <f t="shared" si="35"/>
        <v>0.76700436741869882</v>
      </c>
    </row>
    <row r="53" spans="1:28" x14ac:dyDescent="0.3">
      <c r="A53" s="1440"/>
      <c r="B53" s="1441"/>
      <c r="C53" s="459"/>
      <c r="D53" s="459" t="s">
        <v>247</v>
      </c>
      <c r="E53" s="458"/>
      <c r="F53" s="458"/>
      <c r="G53" s="458"/>
      <c r="H53" s="457">
        <f>H52</f>
        <v>904326</v>
      </c>
      <c r="I53" s="447">
        <f>SUM(I52)</f>
        <v>950447</v>
      </c>
      <c r="J53" s="1441"/>
      <c r="K53" s="431"/>
      <c r="L53" s="179">
        <f>SUM(L52)</f>
        <v>0</v>
      </c>
      <c r="M53" s="431">
        <f>L53/$H$53</f>
        <v>0</v>
      </c>
      <c r="N53" s="431"/>
      <c r="O53" s="179">
        <f>SUM(O52)</f>
        <v>452163</v>
      </c>
      <c r="P53" s="431">
        <f>O53/$H$53</f>
        <v>0.5</v>
      </c>
      <c r="Q53" s="431"/>
      <c r="R53" s="179">
        <f>SUM(R52)</f>
        <v>276834</v>
      </c>
      <c r="S53" s="431">
        <f>R53/$H$53</f>
        <v>0.30612190736526429</v>
      </c>
      <c r="T53" s="431"/>
      <c r="U53" s="179">
        <f>SUM(U52)</f>
        <v>0</v>
      </c>
      <c r="V53" s="431">
        <f>U53/$H$53</f>
        <v>0</v>
      </c>
      <c r="W53" s="431"/>
      <c r="X53" s="179">
        <f>SUM(X52)</f>
        <v>0</v>
      </c>
      <c r="Y53" s="1088">
        <f t="shared" si="0"/>
        <v>0</v>
      </c>
      <c r="Z53" s="1089">
        <f t="shared" si="1"/>
        <v>0</v>
      </c>
      <c r="AA53" s="1078">
        <f t="shared" si="2"/>
        <v>728997</v>
      </c>
      <c r="AB53" s="1091">
        <f t="shared" si="35"/>
        <v>0.76700436741869882</v>
      </c>
    </row>
    <row r="54" spans="1:28" s="438" customFormat="1" ht="30" customHeight="1" x14ac:dyDescent="0.3">
      <c r="A54" s="1440" t="s">
        <v>281</v>
      </c>
      <c r="B54" s="1440" t="s">
        <v>1293</v>
      </c>
      <c r="C54" s="456" t="s">
        <v>59</v>
      </c>
      <c r="D54" s="456" t="s">
        <v>145</v>
      </c>
      <c r="E54" s="456">
        <v>3.5</v>
      </c>
      <c r="F54" s="455">
        <v>940192</v>
      </c>
      <c r="G54" s="32">
        <f t="shared" ref="G54:G55" si="56">+ROUND(F54*1.051,0)</f>
        <v>988142</v>
      </c>
      <c r="H54" s="455">
        <f>ROUND((E54*F54),0)</f>
        <v>3290672</v>
      </c>
      <c r="I54" s="32">
        <f>+ROUND(G54*E54,0)</f>
        <v>3458497</v>
      </c>
      <c r="J54" s="1439" t="s">
        <v>1292</v>
      </c>
      <c r="K54" s="536">
        <v>0</v>
      </c>
      <c r="L54" s="425">
        <f>ROUND(K54*$F$54,0)</f>
        <v>0</v>
      </c>
      <c r="M54" s="426">
        <f>L54/$H$54</f>
        <v>0</v>
      </c>
      <c r="N54" s="764">
        <v>0</v>
      </c>
      <c r="O54" s="425">
        <f>ROUND(N54*$F$54,0)</f>
        <v>0</v>
      </c>
      <c r="P54" s="426">
        <f>O54/$H$54</f>
        <v>0</v>
      </c>
      <c r="Q54" s="452">
        <v>0</v>
      </c>
      <c r="R54" s="425">
        <f t="shared" ref="R54:R55" si="57">ROUND(Q54*F54,0)</f>
        <v>0</v>
      </c>
      <c r="S54" s="426">
        <f t="shared" ref="S54:S55" si="58">R54/$H$14</f>
        <v>0</v>
      </c>
      <c r="T54" s="452">
        <v>0</v>
      </c>
      <c r="U54" s="425">
        <f t="shared" ref="U54:U55" si="59">ROUND(T54*G54,0)</f>
        <v>0</v>
      </c>
      <c r="V54" s="426">
        <f t="shared" ref="V54:V55" si="60">U54/H54</f>
        <v>0</v>
      </c>
      <c r="W54" s="452">
        <v>0</v>
      </c>
      <c r="X54" s="425">
        <f>ROUND(W54*G54,0)</f>
        <v>0</v>
      </c>
      <c r="Y54" s="1087">
        <f t="shared" si="0"/>
        <v>0</v>
      </c>
      <c r="Z54" s="450">
        <f t="shared" si="1"/>
        <v>0</v>
      </c>
      <c r="AA54" s="175">
        <f t="shared" si="2"/>
        <v>0</v>
      </c>
      <c r="AB54" s="176">
        <f t="shared" si="35"/>
        <v>0</v>
      </c>
    </row>
    <row r="55" spans="1:28" ht="30" customHeight="1" x14ac:dyDescent="0.3">
      <c r="A55" s="1440"/>
      <c r="B55" s="1440"/>
      <c r="C55" s="454" t="s">
        <v>61</v>
      </c>
      <c r="D55" s="454" t="s">
        <v>146</v>
      </c>
      <c r="E55" s="454">
        <v>7</v>
      </c>
      <c r="F55" s="453">
        <v>5188469</v>
      </c>
      <c r="G55" s="32">
        <f t="shared" si="56"/>
        <v>5453081</v>
      </c>
      <c r="H55" s="453">
        <f>ROUND((E55*F55),0)</f>
        <v>36319283</v>
      </c>
      <c r="I55" s="32">
        <f>+ROUND(G55*E55,0)</f>
        <v>38171567</v>
      </c>
      <c r="J55" s="1441"/>
      <c r="K55" s="536">
        <v>0</v>
      </c>
      <c r="L55" s="425">
        <f>ROUND(K55*$F$55,0)</f>
        <v>0</v>
      </c>
      <c r="M55" s="426">
        <f>L55/$H$55</f>
        <v>0</v>
      </c>
      <c r="N55" s="765">
        <f>7*50%</f>
        <v>3.5</v>
      </c>
      <c r="O55" s="429">
        <f>ROUND(N55*$F$55,0)</f>
        <v>18159642</v>
      </c>
      <c r="P55" s="430">
        <f>O55/$H$55</f>
        <v>0.5000000137667916</v>
      </c>
      <c r="Q55" s="474">
        <v>2.2000000000000002</v>
      </c>
      <c r="R55" s="429">
        <f t="shared" si="57"/>
        <v>11414632</v>
      </c>
      <c r="S55" s="430">
        <f t="shared" si="58"/>
        <v>0.65350877971406707</v>
      </c>
      <c r="T55" s="452">
        <v>0</v>
      </c>
      <c r="U55" s="425">
        <f t="shared" si="59"/>
        <v>0</v>
      </c>
      <c r="V55" s="426">
        <f t="shared" si="60"/>
        <v>0</v>
      </c>
      <c r="W55" s="452">
        <v>0</v>
      </c>
      <c r="X55" s="425">
        <f>ROUND(W55*G55,0)</f>
        <v>0</v>
      </c>
      <c r="Y55" s="1087">
        <f t="shared" si="0"/>
        <v>0</v>
      </c>
      <c r="Z55" s="450">
        <f t="shared" si="1"/>
        <v>5.7</v>
      </c>
      <c r="AA55" s="175">
        <f t="shared" si="2"/>
        <v>29574274</v>
      </c>
      <c r="AB55" s="176">
        <f t="shared" si="35"/>
        <v>0.77477233250602473</v>
      </c>
    </row>
    <row r="56" spans="1:28" x14ac:dyDescent="0.3">
      <c r="A56" s="1440"/>
      <c r="B56" s="1440"/>
      <c r="C56" s="449"/>
      <c r="D56" s="449" t="s">
        <v>147</v>
      </c>
      <c r="E56" s="448"/>
      <c r="F56" s="448"/>
      <c r="G56" s="448"/>
      <c r="H56" s="447">
        <f>SUM(H54:H55)</f>
        <v>39609955</v>
      </c>
      <c r="I56" s="447">
        <f>SUM(I54:I55)</f>
        <v>41630064</v>
      </c>
      <c r="J56" s="1441"/>
      <c r="K56" s="431"/>
      <c r="L56" s="179">
        <f>SUM(L54:L55)</f>
        <v>0</v>
      </c>
      <c r="M56" s="431">
        <f>L56/$H$56</f>
        <v>0</v>
      </c>
      <c r="N56" s="431"/>
      <c r="O56" s="179">
        <f>SUM(O54:O55)</f>
        <v>18159642</v>
      </c>
      <c r="P56" s="431">
        <f>O56/$H$56</f>
        <v>0.45846156603813359</v>
      </c>
      <c r="Q56" s="431"/>
      <c r="R56" s="179">
        <f>SUM(R54:R55)</f>
        <v>11414632</v>
      </c>
      <c r="S56" s="431">
        <f>R56/$H$56</f>
        <v>0.28817583862440643</v>
      </c>
      <c r="T56" s="431"/>
      <c r="U56" s="179">
        <f>SUM(U54:U55)</f>
        <v>0</v>
      </c>
      <c r="V56" s="431">
        <f>U56/$H$56</f>
        <v>0</v>
      </c>
      <c r="W56" s="431"/>
      <c r="X56" s="179">
        <f>SUM(X54:X55)</f>
        <v>0</v>
      </c>
      <c r="Y56" s="1088">
        <f t="shared" si="0"/>
        <v>0</v>
      </c>
      <c r="Z56" s="1089">
        <f t="shared" si="1"/>
        <v>0</v>
      </c>
      <c r="AA56" s="1078">
        <f t="shared" si="2"/>
        <v>29574274</v>
      </c>
      <c r="AB56" s="1091">
        <f t="shared" si="35"/>
        <v>0.71040664266093845</v>
      </c>
    </row>
    <row r="57" spans="1:28" s="438" customFormat="1" ht="30" customHeight="1" x14ac:dyDescent="0.3">
      <c r="A57" s="1440" t="s">
        <v>281</v>
      </c>
      <c r="B57" s="1440" t="s">
        <v>1291</v>
      </c>
      <c r="C57" s="456" t="s">
        <v>152</v>
      </c>
      <c r="D57" s="456" t="s">
        <v>249</v>
      </c>
      <c r="E57" s="456">
        <v>0.7</v>
      </c>
      <c r="F57" s="455">
        <v>313397</v>
      </c>
      <c r="G57" s="32">
        <f t="shared" ref="G57:G58" si="61">+ROUND(F57*1.051,0)</f>
        <v>329380</v>
      </c>
      <c r="H57" s="455">
        <f>ROUND((E57*F57),0)</f>
        <v>219378</v>
      </c>
      <c r="I57" s="32">
        <f>+ROUND(G57*E57,0)</f>
        <v>230566</v>
      </c>
      <c r="J57" s="1439" t="s">
        <v>1290</v>
      </c>
      <c r="K57" s="536">
        <v>0</v>
      </c>
      <c r="L57" s="425">
        <f>ROUND(K57*$F$57,0)</f>
        <v>0</v>
      </c>
      <c r="M57" s="426">
        <f>L57/$H$57</f>
        <v>0</v>
      </c>
      <c r="N57" s="764">
        <v>0</v>
      </c>
      <c r="O57" s="425">
        <f>ROUND(N57*$F$57,0)</f>
        <v>0</v>
      </c>
      <c r="P57" s="426">
        <f>O57/$H$57</f>
        <v>0</v>
      </c>
      <c r="Q57" s="452">
        <v>0</v>
      </c>
      <c r="R57" s="425">
        <f t="shared" ref="R57:R58" si="62">ROUND(Q57*F57,0)</f>
        <v>0</v>
      </c>
      <c r="S57" s="426">
        <f t="shared" ref="S57:S58" si="63">R57/$H$14</f>
        <v>0</v>
      </c>
      <c r="T57" s="452">
        <v>0</v>
      </c>
      <c r="U57" s="425">
        <f t="shared" ref="U57:U58" si="64">ROUND(T57*G57,0)</f>
        <v>0</v>
      </c>
      <c r="V57" s="426">
        <f t="shared" ref="V57:V58" si="65">U57/H57</f>
        <v>0</v>
      </c>
      <c r="W57" s="452">
        <v>0</v>
      </c>
      <c r="X57" s="425">
        <f>ROUND(W57*G57,0)</f>
        <v>0</v>
      </c>
      <c r="Y57" s="1087">
        <f t="shared" si="0"/>
        <v>0</v>
      </c>
      <c r="Z57" s="450">
        <f t="shared" si="1"/>
        <v>0</v>
      </c>
      <c r="AA57" s="175">
        <f t="shared" si="2"/>
        <v>0</v>
      </c>
      <c r="AB57" s="176">
        <f t="shared" si="35"/>
        <v>0</v>
      </c>
    </row>
    <row r="58" spans="1:28" ht="30" customHeight="1" x14ac:dyDescent="0.3">
      <c r="A58" s="1440"/>
      <c r="B58" s="1440"/>
      <c r="C58" s="454" t="s">
        <v>61</v>
      </c>
      <c r="D58" s="454" t="s">
        <v>250</v>
      </c>
      <c r="E58" s="454">
        <v>1.4</v>
      </c>
      <c r="F58" s="453">
        <v>1601809</v>
      </c>
      <c r="G58" s="32">
        <f t="shared" si="61"/>
        <v>1683501</v>
      </c>
      <c r="H58" s="453">
        <f>ROUND((E58*F58),0)</f>
        <v>2242533</v>
      </c>
      <c r="I58" s="32">
        <f>+ROUND(G58*E58,0)</f>
        <v>2356901</v>
      </c>
      <c r="J58" s="1441"/>
      <c r="K58" s="536">
        <v>0</v>
      </c>
      <c r="L58" s="425">
        <f>ROUND(K58*$F$58,0)</f>
        <v>0</v>
      </c>
      <c r="M58" s="426">
        <f>L58/$H$58</f>
        <v>0</v>
      </c>
      <c r="N58" s="765">
        <f>1.4*50%</f>
        <v>0.7</v>
      </c>
      <c r="O58" s="429">
        <f>ROUND(N58*$F$58,0)</f>
        <v>1121266</v>
      </c>
      <c r="P58" s="430">
        <f>O58/$H$58</f>
        <v>0.49999977703784071</v>
      </c>
      <c r="Q58" s="474">
        <v>0.45</v>
      </c>
      <c r="R58" s="429">
        <f t="shared" si="62"/>
        <v>720814</v>
      </c>
      <c r="S58" s="430">
        <f t="shared" si="63"/>
        <v>4.1267933783657292E-2</v>
      </c>
      <c r="T58" s="452">
        <v>0</v>
      </c>
      <c r="U58" s="425">
        <f t="shared" si="64"/>
        <v>0</v>
      </c>
      <c r="V58" s="426">
        <f t="shared" si="65"/>
        <v>0</v>
      </c>
      <c r="W58" s="452">
        <v>0</v>
      </c>
      <c r="X58" s="425">
        <f>ROUND(W58*G58,0)</f>
        <v>0</v>
      </c>
      <c r="Y58" s="1087">
        <f t="shared" si="0"/>
        <v>0</v>
      </c>
      <c r="Z58" s="450">
        <f t="shared" si="1"/>
        <v>1.1499999999999999</v>
      </c>
      <c r="AA58" s="175">
        <f t="shared" si="2"/>
        <v>1842080</v>
      </c>
      <c r="AB58" s="176">
        <f t="shared" si="35"/>
        <v>0.7815686785316821</v>
      </c>
    </row>
    <row r="59" spans="1:28" x14ac:dyDescent="0.3">
      <c r="A59" s="1440"/>
      <c r="B59" s="1440"/>
      <c r="C59" s="449"/>
      <c r="D59" s="449" t="s">
        <v>102</v>
      </c>
      <c r="E59" s="448"/>
      <c r="F59" s="448"/>
      <c r="G59" s="448"/>
      <c r="H59" s="447">
        <f>SUM(H57:H58)</f>
        <v>2461911</v>
      </c>
      <c r="I59" s="447">
        <f>SUM(I57:I58)</f>
        <v>2587467</v>
      </c>
      <c r="J59" s="1441"/>
      <c r="K59" s="431"/>
      <c r="L59" s="179">
        <f>SUM(L57:L58)</f>
        <v>0</v>
      </c>
      <c r="M59" s="431">
        <f>L59/$H$59</f>
        <v>0</v>
      </c>
      <c r="N59" s="431"/>
      <c r="O59" s="179">
        <f>SUM(O57:O58)</f>
        <v>1121266</v>
      </c>
      <c r="P59" s="431">
        <f>O59/$H$59</f>
        <v>0.45544538368771254</v>
      </c>
      <c r="Q59" s="431"/>
      <c r="R59" s="179">
        <f>SUM(R57:R58)</f>
        <v>720814</v>
      </c>
      <c r="S59" s="431">
        <f>R59/$H$59</f>
        <v>0.29278637611189029</v>
      </c>
      <c r="T59" s="431"/>
      <c r="U59" s="179">
        <f>SUM(U57:U58)</f>
        <v>0</v>
      </c>
      <c r="V59" s="431">
        <f>U59/$H$59</f>
        <v>0</v>
      </c>
      <c r="W59" s="431"/>
      <c r="X59" s="179">
        <f>SUM(X57:X58)</f>
        <v>0</v>
      </c>
      <c r="Y59" s="1088">
        <f t="shared" si="0"/>
        <v>0</v>
      </c>
      <c r="Z59" s="1089">
        <f t="shared" si="1"/>
        <v>0</v>
      </c>
      <c r="AA59" s="1078">
        <f t="shared" si="2"/>
        <v>1842080</v>
      </c>
      <c r="AB59" s="1091">
        <f t="shared" si="35"/>
        <v>0.71192405545655268</v>
      </c>
    </row>
    <row r="60" spans="1:28" s="438" customFormat="1" ht="30" customHeight="1" x14ac:dyDescent="0.3">
      <c r="A60" s="1440" t="s">
        <v>281</v>
      </c>
      <c r="B60" s="1440" t="s">
        <v>996</v>
      </c>
      <c r="C60" s="456" t="s">
        <v>160</v>
      </c>
      <c r="D60" s="456" t="s">
        <v>161</v>
      </c>
      <c r="E60" s="456">
        <v>36</v>
      </c>
      <c r="F60" s="455">
        <v>69644</v>
      </c>
      <c r="G60" s="32">
        <f>+ROUND(F60*1.051,0)</f>
        <v>73196</v>
      </c>
      <c r="H60" s="455">
        <f>ROUND((E60*F60),0)</f>
        <v>2507184</v>
      </c>
      <c r="I60" s="32">
        <f>+ROUND(G60*E60,0)</f>
        <v>2635056</v>
      </c>
      <c r="J60" s="1440" t="s">
        <v>1289</v>
      </c>
      <c r="K60" s="536">
        <v>0</v>
      </c>
      <c r="L60" s="425">
        <f>ROUND(K60*$F$60,0)</f>
        <v>0</v>
      </c>
      <c r="M60" s="426">
        <f>L60/$H$60</f>
        <v>0</v>
      </c>
      <c r="N60" s="765">
        <f>36*50%</f>
        <v>18</v>
      </c>
      <c r="O60" s="429">
        <f>ROUND(N60*$F$60,0)</f>
        <v>1253592</v>
      </c>
      <c r="P60" s="430">
        <f>O60/$H$60</f>
        <v>0.5</v>
      </c>
      <c r="Q60" s="474">
        <v>12</v>
      </c>
      <c r="R60" s="429">
        <f>ROUND(Q60*F60,0)</f>
        <v>835728</v>
      </c>
      <c r="S60" s="430">
        <f>R60/$H$14</f>
        <v>4.7846972679704246E-2</v>
      </c>
      <c r="T60" s="452">
        <v>0</v>
      </c>
      <c r="U60" s="425">
        <f>ROUND(T60*G60,0)</f>
        <v>0</v>
      </c>
      <c r="V60" s="426">
        <f>U60/H60</f>
        <v>0</v>
      </c>
      <c r="W60" s="452">
        <v>0</v>
      </c>
      <c r="X60" s="425">
        <f>ROUND(W60*G60,0)</f>
        <v>0</v>
      </c>
      <c r="Y60" s="1087">
        <f t="shared" si="0"/>
        <v>0</v>
      </c>
      <c r="Z60" s="450">
        <f t="shared" si="1"/>
        <v>30</v>
      </c>
      <c r="AA60" s="175">
        <f t="shared" si="2"/>
        <v>2089320</v>
      </c>
      <c r="AB60" s="176">
        <f t="shared" si="35"/>
        <v>0.79289396506184306</v>
      </c>
    </row>
    <row r="61" spans="1:28" ht="15" customHeight="1" x14ac:dyDescent="0.3">
      <c r="A61" s="1440"/>
      <c r="B61" s="1440"/>
      <c r="C61" s="449"/>
      <c r="D61" s="449" t="s">
        <v>162</v>
      </c>
      <c r="E61" s="448"/>
      <c r="F61" s="448"/>
      <c r="G61" s="448"/>
      <c r="H61" s="447">
        <f>H60</f>
        <v>2507184</v>
      </c>
      <c r="I61" s="447">
        <f>SUM(I60)</f>
        <v>2635056</v>
      </c>
      <c r="J61" s="1441"/>
      <c r="K61" s="431"/>
      <c r="L61" s="179">
        <f>SUM(L60)</f>
        <v>0</v>
      </c>
      <c r="M61" s="431">
        <f>L61/$H$61</f>
        <v>0</v>
      </c>
      <c r="N61" s="431"/>
      <c r="O61" s="179">
        <f>SUM(O60)</f>
        <v>1253592</v>
      </c>
      <c r="P61" s="431">
        <f>O61/$H$61</f>
        <v>0.5</v>
      </c>
      <c r="Q61" s="431"/>
      <c r="R61" s="179">
        <f>SUM(R60)</f>
        <v>835728</v>
      </c>
      <c r="S61" s="431">
        <f>R61/$H$61</f>
        <v>0.33333333333333331</v>
      </c>
      <c r="T61" s="431"/>
      <c r="U61" s="179">
        <f>SUM(U60)</f>
        <v>0</v>
      </c>
      <c r="V61" s="431">
        <f>U61/$H$61</f>
        <v>0</v>
      </c>
      <c r="W61" s="431"/>
      <c r="X61" s="179">
        <f>SUM(X60)</f>
        <v>0</v>
      </c>
      <c r="Y61" s="1088">
        <f t="shared" si="0"/>
        <v>0</v>
      </c>
      <c r="Z61" s="1089">
        <f t="shared" si="1"/>
        <v>0</v>
      </c>
      <c r="AA61" s="1078">
        <f t="shared" si="2"/>
        <v>2089320</v>
      </c>
      <c r="AB61" s="1091">
        <f t="shared" si="35"/>
        <v>0.79289396506184306</v>
      </c>
    </row>
    <row r="62" spans="1:28" ht="30" customHeight="1" x14ac:dyDescent="0.3">
      <c r="A62" s="1440" t="s">
        <v>306</v>
      </c>
      <c r="B62" s="1441" t="s">
        <v>996</v>
      </c>
      <c r="C62" s="454" t="s">
        <v>160</v>
      </c>
      <c r="D62" s="454" t="s">
        <v>161</v>
      </c>
      <c r="E62" s="454">
        <v>80</v>
      </c>
      <c r="F62" s="453">
        <v>69644</v>
      </c>
      <c r="G62" s="32">
        <f>+ROUND(F62*1.051,0)</f>
        <v>73196</v>
      </c>
      <c r="H62" s="453">
        <f>ROUND((E62*F62),0)</f>
        <v>5571520</v>
      </c>
      <c r="I62" s="32">
        <f>+ROUND(G62*E62,0)</f>
        <v>5855680</v>
      </c>
      <c r="J62" s="1441" t="s">
        <v>1288</v>
      </c>
      <c r="K62" s="536">
        <v>0</v>
      </c>
      <c r="L62" s="425">
        <f>ROUND(K62*$F$62,0)</f>
        <v>0</v>
      </c>
      <c r="M62" s="426">
        <f>L62/$H$62</f>
        <v>0</v>
      </c>
      <c r="N62" s="764">
        <v>0</v>
      </c>
      <c r="O62" s="425">
        <f>ROUND(N62*$F$62,0)</f>
        <v>0</v>
      </c>
      <c r="P62" s="426">
        <f>O62/$H$62</f>
        <v>0</v>
      </c>
      <c r="Q62" s="452">
        <v>0</v>
      </c>
      <c r="R62" s="425">
        <f>ROUND(Q62*F62,0)</f>
        <v>0</v>
      </c>
      <c r="S62" s="426">
        <f>R62/$H$14</f>
        <v>0</v>
      </c>
      <c r="T62" s="452">
        <v>0</v>
      </c>
      <c r="U62" s="425">
        <f>ROUND(T62*G62,0)</f>
        <v>0</v>
      </c>
      <c r="V62" s="426">
        <f>U62/H62</f>
        <v>0</v>
      </c>
      <c r="W62" s="452">
        <v>0</v>
      </c>
      <c r="X62" s="425">
        <f>ROUND(W62*G62,0)</f>
        <v>0</v>
      </c>
      <c r="Y62" s="1087">
        <f t="shared" si="0"/>
        <v>0</v>
      </c>
      <c r="Z62" s="450">
        <f t="shared" si="1"/>
        <v>0</v>
      </c>
      <c r="AA62" s="175">
        <f t="shared" si="2"/>
        <v>0</v>
      </c>
      <c r="AB62" s="176">
        <f t="shared" si="35"/>
        <v>0</v>
      </c>
    </row>
    <row r="63" spans="1:28" ht="15" customHeight="1" x14ac:dyDescent="0.3">
      <c r="A63" s="1440"/>
      <c r="B63" s="1441"/>
      <c r="C63" s="449"/>
      <c r="D63" s="449" t="s">
        <v>162</v>
      </c>
      <c r="E63" s="448"/>
      <c r="F63" s="448"/>
      <c r="G63" s="448"/>
      <c r="H63" s="447">
        <f>H62</f>
        <v>5571520</v>
      </c>
      <c r="I63" s="447">
        <f>SUM(I62)</f>
        <v>5855680</v>
      </c>
      <c r="J63" s="1441"/>
      <c r="K63" s="431"/>
      <c r="L63" s="179">
        <f>SUM(L62)</f>
        <v>0</v>
      </c>
      <c r="M63" s="431">
        <f>L63/$H$63</f>
        <v>0</v>
      </c>
      <c r="N63" s="431"/>
      <c r="O63" s="179">
        <f>SUM(O62)</f>
        <v>0</v>
      </c>
      <c r="P63" s="431">
        <f>O63/$H$63</f>
        <v>0</v>
      </c>
      <c r="Q63" s="431"/>
      <c r="R63" s="179">
        <f>SUM(R62)</f>
        <v>0</v>
      </c>
      <c r="S63" s="431">
        <f>R63/$H$63</f>
        <v>0</v>
      </c>
      <c r="T63" s="431"/>
      <c r="U63" s="179">
        <f>SUM(U62)</f>
        <v>0</v>
      </c>
      <c r="V63" s="431">
        <f>U63/$H$63</f>
        <v>0</v>
      </c>
      <c r="W63" s="431"/>
      <c r="X63" s="179">
        <f>SUM(X62)</f>
        <v>0</v>
      </c>
      <c r="Y63" s="1088">
        <f t="shared" si="0"/>
        <v>0</v>
      </c>
      <c r="Z63" s="1089">
        <f t="shared" si="1"/>
        <v>0</v>
      </c>
      <c r="AA63" s="1078">
        <f t="shared" si="2"/>
        <v>0</v>
      </c>
      <c r="AB63" s="1091">
        <f t="shared" si="35"/>
        <v>0</v>
      </c>
    </row>
    <row r="64" spans="1:28" ht="30" customHeight="1" x14ac:dyDescent="0.3">
      <c r="A64" s="1440" t="s">
        <v>306</v>
      </c>
      <c r="B64" s="1441" t="s">
        <v>996</v>
      </c>
      <c r="C64" s="454" t="s">
        <v>160</v>
      </c>
      <c r="D64" s="454" t="s">
        <v>161</v>
      </c>
      <c r="E64" s="456">
        <v>160</v>
      </c>
      <c r="F64" s="455">
        <v>69644</v>
      </c>
      <c r="G64" s="32">
        <f>+ROUND(F64*1.051,0)</f>
        <v>73196</v>
      </c>
      <c r="H64" s="455">
        <f>ROUND((E64*F64),0)</f>
        <v>11143040</v>
      </c>
      <c r="I64" s="32">
        <f>+ROUND(G64*E64,0)</f>
        <v>11711360</v>
      </c>
      <c r="J64" s="1441" t="s">
        <v>1287</v>
      </c>
      <c r="K64" s="536">
        <v>0</v>
      </c>
      <c r="L64" s="425">
        <f>ROUND(K64*$F$64,0)</f>
        <v>0</v>
      </c>
      <c r="M64" s="426">
        <f>L64/$H$64</f>
        <v>0</v>
      </c>
      <c r="N64" s="764">
        <v>0</v>
      </c>
      <c r="O64" s="425">
        <f>ROUND(N64*$F$64,0)</f>
        <v>0</v>
      </c>
      <c r="P64" s="426">
        <f>O64/$H$64</f>
        <v>0</v>
      </c>
      <c r="Q64" s="452">
        <v>0</v>
      </c>
      <c r="R64" s="425">
        <f>ROUND(Q64*F64,0)</f>
        <v>0</v>
      </c>
      <c r="S64" s="426">
        <f>R64/$H$14</f>
        <v>0</v>
      </c>
      <c r="T64" s="452">
        <v>0</v>
      </c>
      <c r="U64" s="425">
        <f>ROUND(T64*G64,0)</f>
        <v>0</v>
      </c>
      <c r="V64" s="426">
        <f>U64/H64</f>
        <v>0</v>
      </c>
      <c r="W64" s="452">
        <v>0</v>
      </c>
      <c r="X64" s="425">
        <f>ROUND(W64*G64,0)</f>
        <v>0</v>
      </c>
      <c r="Y64" s="1087">
        <f t="shared" si="0"/>
        <v>0</v>
      </c>
      <c r="Z64" s="450">
        <f t="shared" si="1"/>
        <v>0</v>
      </c>
      <c r="AA64" s="175">
        <f t="shared" si="2"/>
        <v>0</v>
      </c>
      <c r="AB64" s="176">
        <f t="shared" si="35"/>
        <v>0</v>
      </c>
    </row>
    <row r="65" spans="1:28" x14ac:dyDescent="0.3">
      <c r="A65" s="1440"/>
      <c r="B65" s="1441"/>
      <c r="C65" s="449"/>
      <c r="D65" s="449" t="s">
        <v>162</v>
      </c>
      <c r="E65" s="448"/>
      <c r="F65" s="448"/>
      <c r="G65" s="448"/>
      <c r="H65" s="447">
        <f>H64</f>
        <v>11143040</v>
      </c>
      <c r="I65" s="447">
        <f>SUM(I64)</f>
        <v>11711360</v>
      </c>
      <c r="J65" s="1441"/>
      <c r="K65" s="431"/>
      <c r="L65" s="179">
        <f>SUM(L64)</f>
        <v>0</v>
      </c>
      <c r="M65" s="431">
        <f>L65/$H$65</f>
        <v>0</v>
      </c>
      <c r="N65" s="431"/>
      <c r="O65" s="179">
        <f>SUM(O64)</f>
        <v>0</v>
      </c>
      <c r="P65" s="431">
        <f>O65/$H$65</f>
        <v>0</v>
      </c>
      <c r="Q65" s="431"/>
      <c r="R65" s="179">
        <f>SUM(R64)</f>
        <v>0</v>
      </c>
      <c r="S65" s="431">
        <f>R65/$H$65</f>
        <v>0</v>
      </c>
      <c r="T65" s="431"/>
      <c r="U65" s="179">
        <f>SUM(U64)</f>
        <v>0</v>
      </c>
      <c r="V65" s="431">
        <f>U65/$H$65</f>
        <v>0</v>
      </c>
      <c r="W65" s="431"/>
      <c r="X65" s="179">
        <f>SUM(X64)</f>
        <v>0</v>
      </c>
      <c r="Y65" s="1088">
        <f t="shared" si="0"/>
        <v>0</v>
      </c>
      <c r="Z65" s="1089">
        <f t="shared" si="1"/>
        <v>0</v>
      </c>
      <c r="AA65" s="1078">
        <f t="shared" si="2"/>
        <v>0</v>
      </c>
      <c r="AB65" s="1091">
        <f t="shared" si="35"/>
        <v>0</v>
      </c>
    </row>
    <row r="66" spans="1:28" s="438" customFormat="1" ht="30" customHeight="1" x14ac:dyDescent="0.3">
      <c r="A66" s="1440" t="s">
        <v>306</v>
      </c>
      <c r="B66" s="1440" t="s">
        <v>1285</v>
      </c>
      <c r="C66" s="456" t="s">
        <v>343</v>
      </c>
      <c r="D66" s="456" t="s">
        <v>344</v>
      </c>
      <c r="E66" s="456">
        <v>4</v>
      </c>
      <c r="F66" s="455">
        <v>940192</v>
      </c>
      <c r="G66" s="32">
        <f>+ROUND(F66*1.051,0)</f>
        <v>988142</v>
      </c>
      <c r="H66" s="455">
        <f>ROUND((E66*F66),0)</f>
        <v>3760768</v>
      </c>
      <c r="I66" s="32">
        <f>+ROUND(G66*E66,0)</f>
        <v>3952568</v>
      </c>
      <c r="J66" s="1439" t="s">
        <v>1286</v>
      </c>
      <c r="K66" s="536">
        <v>0</v>
      </c>
      <c r="L66" s="425">
        <f>ROUND(K66*$F$66,0)</f>
        <v>0</v>
      </c>
      <c r="M66" s="426">
        <f>L66/$H$66</f>
        <v>0</v>
      </c>
      <c r="N66" s="764">
        <v>0</v>
      </c>
      <c r="O66" s="425">
        <f>ROUND(N66*$F$66,0)</f>
        <v>0</v>
      </c>
      <c r="P66" s="426">
        <f>O66/$H$66</f>
        <v>0</v>
      </c>
      <c r="Q66" s="452">
        <v>0</v>
      </c>
      <c r="R66" s="425">
        <f>ROUND(Q66*F66,0)</f>
        <v>0</v>
      </c>
      <c r="S66" s="426">
        <f>R66/$H$14</f>
        <v>0</v>
      </c>
      <c r="T66" s="452">
        <v>0</v>
      </c>
      <c r="U66" s="425">
        <f>ROUND(T66*G66,0)</f>
        <v>0</v>
      </c>
      <c r="V66" s="426">
        <f>U66/H66</f>
        <v>0</v>
      </c>
      <c r="W66" s="452">
        <v>0</v>
      </c>
      <c r="X66" s="425">
        <f>ROUND(W66*G66,0)</f>
        <v>0</v>
      </c>
      <c r="Y66" s="1087">
        <f t="shared" si="0"/>
        <v>0</v>
      </c>
      <c r="Z66" s="450">
        <f t="shared" si="1"/>
        <v>0</v>
      </c>
      <c r="AA66" s="175">
        <f t="shared" si="2"/>
        <v>0</v>
      </c>
      <c r="AB66" s="176">
        <f t="shared" si="35"/>
        <v>0</v>
      </c>
    </row>
    <row r="67" spans="1:28" ht="15" customHeight="1" x14ac:dyDescent="0.3">
      <c r="A67" s="1440"/>
      <c r="B67" s="1441"/>
      <c r="C67" s="449"/>
      <c r="D67" s="449" t="s">
        <v>346</v>
      </c>
      <c r="E67" s="448"/>
      <c r="F67" s="448"/>
      <c r="G67" s="448"/>
      <c r="H67" s="447">
        <f>H66</f>
        <v>3760768</v>
      </c>
      <c r="I67" s="447">
        <f>SUM(I66)</f>
        <v>3952568</v>
      </c>
      <c r="J67" s="1441"/>
      <c r="K67" s="431"/>
      <c r="L67" s="179">
        <f>SUM(L66)</f>
        <v>0</v>
      </c>
      <c r="M67" s="431">
        <f>L67/$H$67</f>
        <v>0</v>
      </c>
      <c r="N67" s="431"/>
      <c r="O67" s="179">
        <f>SUM(O66)</f>
        <v>0</v>
      </c>
      <c r="P67" s="431">
        <f>O67/$H$67</f>
        <v>0</v>
      </c>
      <c r="Q67" s="431"/>
      <c r="R67" s="179">
        <f>SUM(R66)</f>
        <v>0</v>
      </c>
      <c r="S67" s="431">
        <f>R67/$H$67</f>
        <v>0</v>
      </c>
      <c r="T67" s="431"/>
      <c r="U67" s="179">
        <f>SUM(U66)</f>
        <v>0</v>
      </c>
      <c r="V67" s="431">
        <f>U67/$H$67</f>
        <v>0</v>
      </c>
      <c r="W67" s="431"/>
      <c r="X67" s="179">
        <f>SUM(X66)</f>
        <v>0</v>
      </c>
      <c r="Y67" s="1088">
        <f t="shared" si="0"/>
        <v>0</v>
      </c>
      <c r="Z67" s="1089">
        <f t="shared" si="1"/>
        <v>0</v>
      </c>
      <c r="AA67" s="1078">
        <f t="shared" si="2"/>
        <v>0</v>
      </c>
      <c r="AB67" s="1091">
        <f t="shared" si="35"/>
        <v>0</v>
      </c>
    </row>
    <row r="68" spans="1:28" s="438" customFormat="1" ht="30" customHeight="1" x14ac:dyDescent="0.3">
      <c r="A68" s="1440" t="s">
        <v>306</v>
      </c>
      <c r="B68" s="1440" t="s">
        <v>1285</v>
      </c>
      <c r="C68" s="456" t="s">
        <v>343</v>
      </c>
      <c r="D68" s="456" t="s">
        <v>344</v>
      </c>
      <c r="E68" s="456">
        <v>7</v>
      </c>
      <c r="F68" s="455">
        <v>940192</v>
      </c>
      <c r="G68" s="32">
        <f>+ROUND(F68*1.051,0)</f>
        <v>988142</v>
      </c>
      <c r="H68" s="455">
        <f>ROUND((E68*F68),0)</f>
        <v>6581344</v>
      </c>
      <c r="I68" s="32">
        <f>+ROUND(G68*E68,0)</f>
        <v>6916994</v>
      </c>
      <c r="J68" s="1439" t="s">
        <v>1284</v>
      </c>
      <c r="K68" s="536">
        <v>0</v>
      </c>
      <c r="L68" s="425">
        <f>ROUND(K68*$F$68,0)</f>
        <v>0</v>
      </c>
      <c r="M68" s="426">
        <f>L68/$H$68</f>
        <v>0</v>
      </c>
      <c r="N68" s="764">
        <v>0</v>
      </c>
      <c r="O68" s="425">
        <f>ROUND(N68*$F$68,0)</f>
        <v>0</v>
      </c>
      <c r="P68" s="426">
        <f>O68/$H$68</f>
        <v>0</v>
      </c>
      <c r="Q68" s="452">
        <v>0</v>
      </c>
      <c r="R68" s="425">
        <f>ROUND(Q68*F68,0)</f>
        <v>0</v>
      </c>
      <c r="S68" s="426">
        <f>R68/$H$14</f>
        <v>0</v>
      </c>
      <c r="T68" s="452">
        <v>0</v>
      </c>
      <c r="U68" s="425">
        <f>ROUND(T68*G68,0)</f>
        <v>0</v>
      </c>
      <c r="V68" s="426">
        <f>U68/H68</f>
        <v>0</v>
      </c>
      <c r="W68" s="452">
        <v>0</v>
      </c>
      <c r="X68" s="425">
        <f>ROUND(W68*G68,0)</f>
        <v>0</v>
      </c>
      <c r="Y68" s="1087">
        <f t="shared" si="0"/>
        <v>0</v>
      </c>
      <c r="Z68" s="450">
        <f t="shared" si="1"/>
        <v>0</v>
      </c>
      <c r="AA68" s="175">
        <f t="shared" si="2"/>
        <v>0</v>
      </c>
      <c r="AB68" s="176">
        <f t="shared" si="35"/>
        <v>0</v>
      </c>
    </row>
    <row r="69" spans="1:28" ht="15" customHeight="1" x14ac:dyDescent="0.3">
      <c r="A69" s="1440"/>
      <c r="B69" s="1441"/>
      <c r="C69" s="449"/>
      <c r="D69" s="449" t="s">
        <v>346</v>
      </c>
      <c r="E69" s="448"/>
      <c r="F69" s="448"/>
      <c r="G69" s="448"/>
      <c r="H69" s="447">
        <f>H68</f>
        <v>6581344</v>
      </c>
      <c r="I69" s="447">
        <f>SUM(I68)</f>
        <v>6916994</v>
      </c>
      <c r="J69" s="1441"/>
      <c r="K69" s="431"/>
      <c r="L69" s="179">
        <f>SUM(L68)</f>
        <v>0</v>
      </c>
      <c r="M69" s="431">
        <f>L69/$H$69</f>
        <v>0</v>
      </c>
      <c r="N69" s="431"/>
      <c r="O69" s="179">
        <f>SUM(O68)</f>
        <v>0</v>
      </c>
      <c r="P69" s="431">
        <f>O69/$H$69</f>
        <v>0</v>
      </c>
      <c r="Q69" s="431"/>
      <c r="R69" s="179">
        <f>SUM(R68)</f>
        <v>0</v>
      </c>
      <c r="S69" s="431">
        <f>R69/$H$69</f>
        <v>0</v>
      </c>
      <c r="T69" s="431"/>
      <c r="U69" s="179">
        <f>SUM(U68)</f>
        <v>0</v>
      </c>
      <c r="V69" s="431">
        <f>U69/$H$69</f>
        <v>0</v>
      </c>
      <c r="W69" s="431"/>
      <c r="X69" s="179">
        <f>SUM(X68)</f>
        <v>0</v>
      </c>
      <c r="Y69" s="1088">
        <f t="shared" si="0"/>
        <v>0</v>
      </c>
      <c r="Z69" s="1089">
        <f t="shared" si="1"/>
        <v>0</v>
      </c>
      <c r="AA69" s="1078">
        <f t="shared" si="2"/>
        <v>0</v>
      </c>
      <c r="AB69" s="1091">
        <f t="shared" si="35"/>
        <v>0</v>
      </c>
    </row>
    <row r="70" spans="1:28" ht="30" customHeight="1" x14ac:dyDescent="0.3">
      <c r="A70" s="1440" t="s">
        <v>1283</v>
      </c>
      <c r="B70" s="1441" t="s">
        <v>1282</v>
      </c>
      <c r="C70" s="454" t="s">
        <v>59</v>
      </c>
      <c r="D70" s="454" t="s">
        <v>235</v>
      </c>
      <c r="E70" s="454">
        <v>0.7</v>
      </c>
      <c r="F70" s="453">
        <v>2298247</v>
      </c>
      <c r="G70" s="32">
        <f>+ROUND(F70*1.051,0)</f>
        <v>2415458</v>
      </c>
      <c r="H70" s="453">
        <f>ROUND((E70*F70),0)</f>
        <v>1608773</v>
      </c>
      <c r="I70" s="32">
        <f>+ROUND(G70*E70,0)</f>
        <v>1690821</v>
      </c>
      <c r="J70" s="1441" t="s">
        <v>1281</v>
      </c>
      <c r="K70" s="536">
        <v>0</v>
      </c>
      <c r="L70" s="425">
        <f>ROUND(K70*$F$70,0)</f>
        <v>0</v>
      </c>
      <c r="M70" s="451">
        <f>L70/$H$70</f>
        <v>0</v>
      </c>
      <c r="N70" s="764">
        <v>0</v>
      </c>
      <c r="O70" s="425">
        <f>ROUND(N70*$F$70,0)</f>
        <v>0</v>
      </c>
      <c r="P70" s="451">
        <f>O70/$H$70</f>
        <v>0</v>
      </c>
      <c r="Q70" s="452">
        <v>0</v>
      </c>
      <c r="R70" s="425">
        <f>ROUND(Q70*F70,0)</f>
        <v>0</v>
      </c>
      <c r="S70" s="426">
        <f>R70/$H$14</f>
        <v>0</v>
      </c>
      <c r="T70" s="452">
        <v>0</v>
      </c>
      <c r="U70" s="425">
        <f>ROUND(T70*G70,0)</f>
        <v>0</v>
      </c>
      <c r="V70" s="426">
        <f>U70/H70</f>
        <v>0</v>
      </c>
      <c r="W70" s="452">
        <v>0</v>
      </c>
      <c r="X70" s="425">
        <f>ROUND(W70*G70,0)</f>
        <v>0</v>
      </c>
      <c r="Y70" s="1087">
        <f t="shared" si="0"/>
        <v>0</v>
      </c>
      <c r="Z70" s="450">
        <f t="shared" si="1"/>
        <v>0</v>
      </c>
      <c r="AA70" s="175">
        <f t="shared" si="2"/>
        <v>0</v>
      </c>
      <c r="AB70" s="176">
        <f t="shared" si="35"/>
        <v>0</v>
      </c>
    </row>
    <row r="71" spans="1:28" x14ac:dyDescent="0.3">
      <c r="A71" s="1440"/>
      <c r="B71" s="1441"/>
      <c r="C71" s="449"/>
      <c r="D71" s="449" t="s">
        <v>236</v>
      </c>
      <c r="E71" s="448"/>
      <c r="F71" s="448"/>
      <c r="G71" s="448"/>
      <c r="H71" s="447">
        <f>H70</f>
        <v>1608773</v>
      </c>
      <c r="I71" s="447">
        <f>SUM(I70)</f>
        <v>1690821</v>
      </c>
      <c r="J71" s="1441"/>
      <c r="K71" s="431"/>
      <c r="L71" s="179">
        <f>SUM(L70)</f>
        <v>0</v>
      </c>
      <c r="M71" s="431">
        <f>L71/H71</f>
        <v>0</v>
      </c>
      <c r="N71" s="431"/>
      <c r="O71" s="179">
        <f>SUM(O70)</f>
        <v>0</v>
      </c>
      <c r="P71" s="431">
        <f>O71/$H$71</f>
        <v>0</v>
      </c>
      <c r="Q71" s="431"/>
      <c r="R71" s="179">
        <f>SUM(R70)</f>
        <v>0</v>
      </c>
      <c r="S71" s="431">
        <f>R71/$H$71</f>
        <v>0</v>
      </c>
      <c r="T71" s="431"/>
      <c r="U71" s="179">
        <f>SUM(U70)</f>
        <v>0</v>
      </c>
      <c r="V71" s="431">
        <f>U71/$H$71</f>
        <v>0</v>
      </c>
      <c r="W71" s="431"/>
      <c r="X71" s="179">
        <f>SUM(X70)</f>
        <v>0</v>
      </c>
      <c r="Y71" s="431">
        <f>X71/$H$71</f>
        <v>0</v>
      </c>
      <c r="Z71" s="446"/>
      <c r="AA71" s="1078">
        <f t="shared" si="2"/>
        <v>0</v>
      </c>
      <c r="AB71" s="1091">
        <f t="shared" si="35"/>
        <v>0</v>
      </c>
    </row>
    <row r="72" spans="1:28" x14ac:dyDescent="0.3">
      <c r="A72" s="437"/>
      <c r="F72" s="445" t="s">
        <v>64</v>
      </c>
      <c r="G72" s="445"/>
      <c r="H72" s="181">
        <f>SUM(H14:H71)/2</f>
        <v>250139426</v>
      </c>
      <c r="I72" s="181">
        <f>SUM(I14:I71)/2</f>
        <v>262896588</v>
      </c>
      <c r="K72" s="445" t="s">
        <v>64</v>
      </c>
      <c r="L72" s="181">
        <f>SUM(L14:L71)/2</f>
        <v>7448623</v>
      </c>
      <c r="M72" s="535">
        <f>L72/H72</f>
        <v>2.9777884754560842E-2</v>
      </c>
      <c r="N72" s="547" t="s">
        <v>64</v>
      </c>
      <c r="O72" s="481">
        <f>SUM(O14:O71)/2</f>
        <v>29768860</v>
      </c>
      <c r="Q72" s="547" t="s">
        <v>64</v>
      </c>
      <c r="R72" s="481">
        <f>SUM(R14:R71)/2</f>
        <v>20840724</v>
      </c>
      <c r="T72" s="547" t="s">
        <v>64</v>
      </c>
      <c r="U72" s="481">
        <f>SUM(U14:U71)/2</f>
        <v>3334431</v>
      </c>
      <c r="W72" s="547" t="s">
        <v>64</v>
      </c>
      <c r="X72" s="481">
        <f>SUM(X14:X71)/2</f>
        <v>0</v>
      </c>
      <c r="Z72" s="547" t="s">
        <v>64</v>
      </c>
      <c r="AA72" s="481">
        <f>SUM(AA14:AA71)/2</f>
        <v>61392638</v>
      </c>
    </row>
    <row r="73" spans="1:28" x14ac:dyDescent="0.3">
      <c r="A73" s="437"/>
      <c r="F73" s="444" t="s">
        <v>65</v>
      </c>
      <c r="G73" s="444"/>
      <c r="H73" s="181">
        <v>0</v>
      </c>
      <c r="I73" s="181">
        <v>0</v>
      </c>
      <c r="K73" s="444" t="s">
        <v>65</v>
      </c>
      <c r="L73" s="181">
        <v>0</v>
      </c>
      <c r="N73" s="548" t="s">
        <v>65</v>
      </c>
      <c r="O73" s="481">
        <v>0</v>
      </c>
      <c r="Q73" s="548" t="s">
        <v>65</v>
      </c>
      <c r="R73" s="481">
        <v>0</v>
      </c>
      <c r="T73" s="548" t="s">
        <v>65</v>
      </c>
      <c r="U73" s="481">
        <v>0</v>
      </c>
      <c r="W73" s="548" t="s">
        <v>65</v>
      </c>
      <c r="X73" s="481">
        <v>0</v>
      </c>
      <c r="Z73" s="548" t="s">
        <v>65</v>
      </c>
      <c r="AA73" s="481">
        <v>0</v>
      </c>
    </row>
    <row r="74" spans="1:28" x14ac:dyDescent="0.3">
      <c r="A74" s="437"/>
      <c r="F74" s="443" t="s">
        <v>64</v>
      </c>
      <c r="G74" s="443"/>
      <c r="H74" s="340">
        <f>SUM(H72:H73)</f>
        <v>250139426</v>
      </c>
      <c r="I74" s="340">
        <f>SUM(I72:I73)</f>
        <v>262896588</v>
      </c>
      <c r="K74" s="443" t="s">
        <v>64</v>
      </c>
      <c r="L74" s="340">
        <f>SUM(L72:L73)</f>
        <v>7448623</v>
      </c>
      <c r="N74" s="549" t="s">
        <v>64</v>
      </c>
      <c r="O74" s="550">
        <f>SUM(O72:O73)</f>
        <v>29768860</v>
      </c>
      <c r="Q74" s="549" t="s">
        <v>64</v>
      </c>
      <c r="R74" s="550">
        <f>SUM(R72:R73)</f>
        <v>20840724</v>
      </c>
      <c r="T74" s="549" t="s">
        <v>64</v>
      </c>
      <c r="U74" s="550">
        <f>SUM(U72:U73)</f>
        <v>3334431</v>
      </c>
      <c r="W74" s="549" t="s">
        <v>64</v>
      </c>
      <c r="X74" s="550">
        <f>SUM(X72:X73)</f>
        <v>0</v>
      </c>
      <c r="Z74" s="549" t="s">
        <v>64</v>
      </c>
      <c r="AA74" s="550">
        <f>SUM(AA72:AA73)</f>
        <v>61392638</v>
      </c>
    </row>
    <row r="75" spans="1:28" ht="26.4" x14ac:dyDescent="0.3">
      <c r="A75" s="437"/>
      <c r="F75" s="443"/>
      <c r="G75" s="443"/>
      <c r="H75" s="340"/>
      <c r="I75" s="340"/>
      <c r="K75" s="443"/>
      <c r="L75" s="340"/>
      <c r="N75" s="484" t="s">
        <v>1439</v>
      </c>
      <c r="O75" s="550">
        <f>ROUND(O74*0.015,0)</f>
        <v>446533</v>
      </c>
      <c r="Q75" s="484" t="s">
        <v>1439</v>
      </c>
      <c r="R75" s="550">
        <f>ROUND(R74*0.015,0)</f>
        <v>312611</v>
      </c>
      <c r="T75" s="484" t="s">
        <v>1439</v>
      </c>
      <c r="U75" s="550">
        <f>ROUND(U74*0.015,0)</f>
        <v>50016</v>
      </c>
      <c r="W75" s="484" t="s">
        <v>1439</v>
      </c>
      <c r="X75" s="550">
        <f>ROUND(X74*0.015,0)</f>
        <v>0</v>
      </c>
      <c r="Z75" s="484" t="s">
        <v>1439</v>
      </c>
      <c r="AA75" s="550">
        <f>L75+O75+R75+U75+X75</f>
        <v>809160</v>
      </c>
    </row>
    <row r="76" spans="1:28" s="587" customFormat="1" ht="26.4" x14ac:dyDescent="0.3">
      <c r="F76" s="443"/>
      <c r="G76" s="443"/>
      <c r="H76" s="588"/>
      <c r="I76" s="588"/>
      <c r="K76" s="443"/>
      <c r="L76" s="588"/>
      <c r="N76" s="152" t="s">
        <v>1440</v>
      </c>
      <c r="O76" s="588">
        <f>O74+O75</f>
        <v>30215393</v>
      </c>
      <c r="P76" s="573">
        <f>O76/$H$74</f>
        <v>0.12079420458892394</v>
      </c>
      <c r="Q76" s="152" t="s">
        <v>1440</v>
      </c>
      <c r="R76" s="588">
        <f>R74+R75</f>
        <v>21153335</v>
      </c>
      <c r="S76" s="573">
        <f>R76/$H$74</f>
        <v>8.4566177104763968E-2</v>
      </c>
      <c r="T76" s="152" t="s">
        <v>1440</v>
      </c>
      <c r="U76" s="588">
        <f>U74+U75</f>
        <v>3384447</v>
      </c>
      <c r="V76" s="573">
        <f>U76/$H$74</f>
        <v>1.3530242129843217E-2</v>
      </c>
      <c r="W76" s="152" t="s">
        <v>1440</v>
      </c>
      <c r="X76" s="588">
        <f>X74+X75</f>
        <v>0</v>
      </c>
      <c r="Y76" s="573">
        <f>X76/$H$74</f>
        <v>0</v>
      </c>
      <c r="Z76" s="152" t="s">
        <v>1440</v>
      </c>
      <c r="AA76" s="588">
        <f>AA74+AA75</f>
        <v>62201798</v>
      </c>
      <c r="AB76" s="573">
        <f>AA76/H74</f>
        <v>0.24866850857809197</v>
      </c>
    </row>
    <row r="77" spans="1:28" x14ac:dyDescent="0.3">
      <c r="A77" s="437"/>
      <c r="F77" s="442" t="s">
        <v>66</v>
      </c>
      <c r="G77" s="442"/>
      <c r="H77" s="181">
        <f>+H74*19%</f>
        <v>47526490.939999998</v>
      </c>
      <c r="I77" s="181">
        <f>+I74*19%</f>
        <v>49950351.719999999</v>
      </c>
      <c r="K77" s="442" t="s">
        <v>66</v>
      </c>
      <c r="L77" s="181">
        <f>+L74*19%</f>
        <v>1415238.37</v>
      </c>
      <c r="N77" s="551" t="s">
        <v>66</v>
      </c>
      <c r="O77" s="481">
        <f>ROUND(O76*0.19,0)</f>
        <v>5740925</v>
      </c>
      <c r="Q77" s="551" t="s">
        <v>66</v>
      </c>
      <c r="R77" s="481">
        <f>ROUND(R76*0.19,0)</f>
        <v>4019134</v>
      </c>
      <c r="T77" s="551" t="s">
        <v>66</v>
      </c>
      <c r="U77" s="481">
        <f>ROUND(U76*0.19,0)</f>
        <v>643045</v>
      </c>
      <c r="W77" s="551" t="s">
        <v>66</v>
      </c>
      <c r="X77" s="481">
        <f>ROUND(X76*0.19,0)</f>
        <v>0</v>
      </c>
      <c r="Z77" s="551" t="s">
        <v>66</v>
      </c>
      <c r="AA77" s="481">
        <f>ROUND(AA76*0.19,0)</f>
        <v>11818342</v>
      </c>
    </row>
    <row r="78" spans="1:28" x14ac:dyDescent="0.3">
      <c r="A78" s="437"/>
      <c r="F78" s="441" t="s">
        <v>69</v>
      </c>
      <c r="G78" s="441"/>
      <c r="H78" s="181">
        <f>+H74+H77</f>
        <v>297665916.94</v>
      </c>
      <c r="I78" s="181">
        <f>+I74+I77</f>
        <v>312846939.72000003</v>
      </c>
      <c r="K78" s="441" t="s">
        <v>69</v>
      </c>
      <c r="L78" s="181">
        <f>+L74+L77</f>
        <v>8863861.370000001</v>
      </c>
      <c r="N78" s="552" t="s">
        <v>69</v>
      </c>
      <c r="O78" s="481">
        <f>O76+O77</f>
        <v>35956318</v>
      </c>
      <c r="Q78" s="552" t="s">
        <v>69</v>
      </c>
      <c r="R78" s="481">
        <f>R76+R77</f>
        <v>25172469</v>
      </c>
      <c r="T78" s="552" t="s">
        <v>69</v>
      </c>
      <c r="U78" s="481">
        <f>U76+U77</f>
        <v>4027492</v>
      </c>
      <c r="W78" s="552" t="s">
        <v>69</v>
      </c>
      <c r="X78" s="481">
        <f>X76+X77</f>
        <v>0</v>
      </c>
      <c r="Z78" s="552" t="s">
        <v>69</v>
      </c>
      <c r="AA78" s="481">
        <f>AA76+AA77</f>
        <v>74020140</v>
      </c>
    </row>
    <row r="79" spans="1:28" x14ac:dyDescent="0.3">
      <c r="A79" s="437"/>
    </row>
    <row r="80" spans="1:28" x14ac:dyDescent="0.3">
      <c r="A80" s="437"/>
    </row>
    <row r="81" spans="1:28" x14ac:dyDescent="0.3">
      <c r="A81" s="437"/>
    </row>
    <row r="82" spans="1:28" s="189" customFormat="1" x14ac:dyDescent="0.3">
      <c r="A82" s="183" t="s">
        <v>67</v>
      </c>
      <c r="B82" s="184"/>
      <c r="C82" s="184"/>
      <c r="D82" s="185" t="s">
        <v>68</v>
      </c>
      <c r="G82" s="796"/>
      <c r="I82" s="796"/>
      <c r="K82" s="186" t="s">
        <v>70</v>
      </c>
      <c r="L82" s="187" t="s">
        <v>71</v>
      </c>
      <c r="M82" s="186" t="s">
        <v>58</v>
      </c>
      <c r="N82" s="186" t="s">
        <v>70</v>
      </c>
      <c r="O82" s="187" t="s">
        <v>71</v>
      </c>
      <c r="P82" s="186" t="s">
        <v>58</v>
      </c>
      <c r="Q82" s="186" t="s">
        <v>70</v>
      </c>
      <c r="R82" s="187" t="s">
        <v>71</v>
      </c>
      <c r="S82" s="186" t="s">
        <v>58</v>
      </c>
      <c r="T82" s="186" t="s">
        <v>70</v>
      </c>
      <c r="U82" s="187" t="s">
        <v>71</v>
      </c>
      <c r="V82" s="186" t="s">
        <v>58</v>
      </c>
      <c r="W82" s="186" t="s">
        <v>70</v>
      </c>
      <c r="X82" s="187" t="s">
        <v>71</v>
      </c>
      <c r="Y82" s="186" t="s">
        <v>58</v>
      </c>
      <c r="Z82" s="437"/>
      <c r="AA82" s="437"/>
      <c r="AB82" s="437"/>
    </row>
    <row r="83" spans="1:28" s="189" customFormat="1" x14ac:dyDescent="0.3">
      <c r="A83" s="183"/>
      <c r="B83" s="184"/>
      <c r="C83" s="184"/>
      <c r="D83" s="185"/>
      <c r="G83" s="796"/>
      <c r="I83" s="796"/>
      <c r="K83" s="69" t="s">
        <v>72</v>
      </c>
      <c r="L83" s="70">
        <f>$L$72</f>
        <v>7448623</v>
      </c>
      <c r="M83" s="71">
        <f>$M$72</f>
        <v>2.9777884754560842E-2</v>
      </c>
      <c r="N83" s="69" t="s">
        <v>72</v>
      </c>
      <c r="O83" s="70">
        <f>$L$72</f>
        <v>7448623</v>
      </c>
      <c r="P83" s="71">
        <f>$M$72</f>
        <v>2.9777884754560842E-2</v>
      </c>
      <c r="Q83" s="69" t="s">
        <v>72</v>
      </c>
      <c r="R83" s="70">
        <f>$L$72</f>
        <v>7448623</v>
      </c>
      <c r="S83" s="71">
        <f>$M$72</f>
        <v>2.9777884754560842E-2</v>
      </c>
      <c r="T83" s="69" t="s">
        <v>72</v>
      </c>
      <c r="U83" s="70">
        <f>$L$72</f>
        <v>7448623</v>
      </c>
      <c r="V83" s="71">
        <f>$M$72</f>
        <v>2.9777884754560842E-2</v>
      </c>
      <c r="W83" s="69" t="s">
        <v>72</v>
      </c>
      <c r="X83" s="70">
        <f>$L$72</f>
        <v>7448623</v>
      </c>
      <c r="Y83" s="71">
        <f>$M$72</f>
        <v>2.9777884754560842E-2</v>
      </c>
      <c r="Z83" s="437"/>
      <c r="AA83" s="437"/>
      <c r="AB83" s="437"/>
    </row>
    <row r="84" spans="1:28" s="189" customFormat="1" x14ac:dyDescent="0.3">
      <c r="A84" s="183"/>
      <c r="B84" s="184"/>
      <c r="C84" s="184"/>
      <c r="D84" s="185"/>
      <c r="G84" s="796"/>
      <c r="I84" s="796"/>
      <c r="K84" s="69"/>
      <c r="L84" s="70"/>
      <c r="M84" s="71"/>
      <c r="N84" s="69" t="s">
        <v>73</v>
      </c>
      <c r="O84" s="70">
        <f>$O$76</f>
        <v>30215393</v>
      </c>
      <c r="P84" s="71">
        <f>$P$76</f>
        <v>0.12079420458892394</v>
      </c>
      <c r="Q84" s="69" t="s">
        <v>73</v>
      </c>
      <c r="R84" s="70">
        <f>$O$76</f>
        <v>30215393</v>
      </c>
      <c r="S84" s="71">
        <f>$P$76</f>
        <v>0.12079420458892394</v>
      </c>
      <c r="T84" s="69" t="s">
        <v>73</v>
      </c>
      <c r="U84" s="70">
        <f>$O$76</f>
        <v>30215393</v>
      </c>
      <c r="V84" s="71">
        <f>$P$76</f>
        <v>0.12079420458892394</v>
      </c>
      <c r="W84" s="69" t="s">
        <v>73</v>
      </c>
      <c r="X84" s="70">
        <f>$O$76</f>
        <v>30215393</v>
      </c>
      <c r="Y84" s="71">
        <f>$P$76</f>
        <v>0.12079420458892394</v>
      </c>
      <c r="Z84" s="437"/>
      <c r="AA84" s="437"/>
      <c r="AB84" s="437"/>
    </row>
    <row r="85" spans="1:28" s="603" customFormat="1" x14ac:dyDescent="0.3">
      <c r="A85" s="183"/>
      <c r="B85" s="184"/>
      <c r="C85" s="184"/>
      <c r="D85" s="185"/>
      <c r="G85" s="796"/>
      <c r="I85" s="796"/>
      <c r="K85" s="69"/>
      <c r="L85" s="70"/>
      <c r="M85" s="71"/>
      <c r="N85" s="69"/>
      <c r="O85" s="70"/>
      <c r="P85" s="71"/>
      <c r="Q85" s="69" t="s">
        <v>74</v>
      </c>
      <c r="R85" s="70">
        <f>+R76</f>
        <v>21153335</v>
      </c>
      <c r="S85" s="71">
        <f>+S76</f>
        <v>8.4566177104763968E-2</v>
      </c>
      <c r="T85" s="69" t="s">
        <v>74</v>
      </c>
      <c r="U85" s="70">
        <f>+R76</f>
        <v>21153335</v>
      </c>
      <c r="V85" s="71">
        <f>+S76</f>
        <v>8.4566177104763968E-2</v>
      </c>
      <c r="W85" s="69" t="s">
        <v>74</v>
      </c>
      <c r="X85" s="70">
        <f>+U76</f>
        <v>3384447</v>
      </c>
      <c r="Y85" s="71">
        <f>+S76</f>
        <v>8.4566177104763968E-2</v>
      </c>
      <c r="Z85" s="437"/>
      <c r="AA85" s="437"/>
      <c r="AB85" s="437"/>
    </row>
    <row r="86" spans="1:28" s="796" customFormat="1" x14ac:dyDescent="0.3">
      <c r="A86" s="183"/>
      <c r="B86" s="184"/>
      <c r="C86" s="184"/>
      <c r="D86" s="185"/>
      <c r="K86" s="69"/>
      <c r="L86" s="70"/>
      <c r="M86" s="71"/>
      <c r="N86" s="69"/>
      <c r="O86" s="70"/>
      <c r="P86" s="71"/>
      <c r="Q86" s="69"/>
      <c r="R86" s="70"/>
      <c r="S86" s="71"/>
      <c r="T86" s="69" t="s">
        <v>155</v>
      </c>
      <c r="U86" s="70">
        <f>+U76</f>
        <v>3384447</v>
      </c>
      <c r="V86" s="71">
        <f>+V76</f>
        <v>1.3530242129843217E-2</v>
      </c>
      <c r="W86" s="69" t="s">
        <v>155</v>
      </c>
      <c r="X86" s="70">
        <f>+U76</f>
        <v>3384447</v>
      </c>
      <c r="Y86" s="71">
        <f>+V76</f>
        <v>1.3530242129843217E-2</v>
      </c>
      <c r="Z86" s="437"/>
      <c r="AA86" s="437"/>
      <c r="AB86" s="437"/>
    </row>
    <row r="87" spans="1:28" s="189" customFormat="1" x14ac:dyDescent="0.3">
      <c r="A87" s="183"/>
      <c r="B87" s="184"/>
      <c r="C87" s="184"/>
      <c r="D87" s="185"/>
      <c r="G87" s="796"/>
      <c r="I87" s="796"/>
      <c r="K87" s="72" t="s">
        <v>1</v>
      </c>
      <c r="L87" s="105">
        <f>SUM(L83:L83)</f>
        <v>7448623</v>
      </c>
      <c r="M87" s="73">
        <f>SUM(M83:M83)</f>
        <v>2.9777884754560842E-2</v>
      </c>
      <c r="N87" s="72" t="s">
        <v>1</v>
      </c>
      <c r="O87" s="105">
        <f>SUM(O83:O84)</f>
        <v>37664016</v>
      </c>
      <c r="P87" s="73">
        <f>SUM(P83:P84)</f>
        <v>0.15057208934348479</v>
      </c>
      <c r="Q87" s="72" t="s">
        <v>1</v>
      </c>
      <c r="R87" s="105">
        <f>SUM(R83:R85)</f>
        <v>58817351</v>
      </c>
      <c r="S87" s="73">
        <f>SUM(S83:S85)</f>
        <v>0.23513826644824876</v>
      </c>
      <c r="T87" s="69"/>
      <c r="U87" s="70"/>
      <c r="V87" s="71"/>
      <c r="W87" s="69" t="s">
        <v>352</v>
      </c>
      <c r="X87" s="70">
        <f>+X76</f>
        <v>0</v>
      </c>
      <c r="Y87" s="71">
        <f>+Y76</f>
        <v>0</v>
      </c>
      <c r="Z87" s="437"/>
      <c r="AA87" s="437"/>
      <c r="AB87" s="437"/>
    </row>
    <row r="88" spans="1:28" s="189" customFormat="1" x14ac:dyDescent="0.3">
      <c r="A88" s="183"/>
      <c r="B88" s="184"/>
      <c r="C88" s="184"/>
      <c r="D88" s="185"/>
      <c r="G88" s="796"/>
      <c r="I88" s="796"/>
      <c r="K88" s="72" t="s">
        <v>9</v>
      </c>
      <c r="L88" s="1423"/>
      <c r="M88" s="1424"/>
      <c r="N88" s="72" t="s">
        <v>9</v>
      </c>
      <c r="O88" s="1423"/>
      <c r="P88" s="1424"/>
      <c r="Q88" s="72" t="s">
        <v>9</v>
      </c>
      <c r="R88" s="1423"/>
      <c r="S88" s="1424"/>
      <c r="T88" s="72" t="s">
        <v>1</v>
      </c>
      <c r="U88" s="105">
        <f>SUM(U83:U87)</f>
        <v>62201798</v>
      </c>
      <c r="V88" s="73">
        <f>SUM(V83:V87)</f>
        <v>0.24866850857809197</v>
      </c>
      <c r="W88" s="72" t="s">
        <v>1</v>
      </c>
      <c r="X88" s="105">
        <f>SUM(X83:X87)</f>
        <v>44432910</v>
      </c>
      <c r="Y88" s="73">
        <f>SUM(Y83:Y87)</f>
        <v>0.24866850857809197</v>
      </c>
      <c r="Z88" s="437"/>
      <c r="AA88" s="437"/>
      <c r="AB88" s="437"/>
    </row>
    <row r="89" spans="1:28" s="189" customFormat="1" x14ac:dyDescent="0.3">
      <c r="A89" s="183"/>
      <c r="B89" s="184"/>
      <c r="C89" s="184"/>
      <c r="D89" s="185"/>
      <c r="G89" s="796"/>
      <c r="I89" s="796"/>
      <c r="K89" s="440" t="s">
        <v>78</v>
      </c>
      <c r="L89" s="1423" t="s">
        <v>1114</v>
      </c>
      <c r="M89" s="1424"/>
      <c r="N89" s="440" t="s">
        <v>78</v>
      </c>
      <c r="O89" s="1423" t="s">
        <v>1114</v>
      </c>
      <c r="P89" s="1424"/>
      <c r="Q89" s="440" t="s">
        <v>78</v>
      </c>
      <c r="R89" s="1423" t="s">
        <v>1993</v>
      </c>
      <c r="S89" s="1424"/>
      <c r="T89" s="72" t="s">
        <v>9</v>
      </c>
      <c r="U89" s="1423"/>
      <c r="V89" s="1424"/>
      <c r="W89" s="72" t="s">
        <v>9</v>
      </c>
      <c r="X89" s="1423"/>
      <c r="Y89" s="1424"/>
      <c r="Z89" s="437"/>
      <c r="AA89" s="437"/>
      <c r="AB89" s="437"/>
    </row>
    <row r="90" spans="1:28" s="189" customFormat="1" x14ac:dyDescent="0.3">
      <c r="A90" s="183"/>
      <c r="B90" s="184"/>
      <c r="C90" s="184"/>
      <c r="D90" s="185"/>
      <c r="G90" s="796"/>
      <c r="I90" s="796"/>
      <c r="K90" s="439" t="s">
        <v>8</v>
      </c>
      <c r="L90" s="1425" t="s">
        <v>1280</v>
      </c>
      <c r="M90" s="1426"/>
      <c r="N90" s="439" t="s">
        <v>8</v>
      </c>
      <c r="O90" s="1425" t="s">
        <v>1280</v>
      </c>
      <c r="P90" s="1426"/>
      <c r="Q90" s="439" t="s">
        <v>8</v>
      </c>
      <c r="R90" s="1423" t="s">
        <v>1994</v>
      </c>
      <c r="S90" s="1424"/>
      <c r="T90" s="440" t="s">
        <v>78</v>
      </c>
      <c r="U90" s="1423" t="s">
        <v>1993</v>
      </c>
      <c r="V90" s="1424"/>
      <c r="W90" s="440" t="s">
        <v>78</v>
      </c>
      <c r="X90" s="1423" t="s">
        <v>1993</v>
      </c>
      <c r="Y90" s="1424"/>
      <c r="Z90" s="437"/>
      <c r="AA90" s="437"/>
      <c r="AB90" s="437"/>
    </row>
    <row r="91" spans="1:28" s="189" customFormat="1" x14ac:dyDescent="0.3">
      <c r="A91" s="183"/>
      <c r="B91" s="184"/>
      <c r="C91" s="184"/>
      <c r="D91" s="185" t="s">
        <v>75</v>
      </c>
      <c r="G91" s="796"/>
      <c r="I91" s="796"/>
      <c r="Q91" s="603"/>
      <c r="R91" s="603"/>
      <c r="S91" s="603"/>
      <c r="T91" s="439" t="s">
        <v>8</v>
      </c>
      <c r="U91" s="1423" t="s">
        <v>1994</v>
      </c>
      <c r="V91" s="1424"/>
      <c r="W91" s="439" t="s">
        <v>8</v>
      </c>
      <c r="X91" s="1423" t="s">
        <v>1994</v>
      </c>
      <c r="Y91" s="1424"/>
    </row>
    <row r="92" spans="1:28" s="189" customFormat="1" x14ac:dyDescent="0.3">
      <c r="A92" s="183" t="s">
        <v>76</v>
      </c>
      <c r="B92" s="180"/>
      <c r="C92" s="180"/>
      <c r="D92" s="185" t="s">
        <v>77</v>
      </c>
      <c r="G92" s="796"/>
      <c r="I92" s="796"/>
      <c r="Q92" s="603"/>
      <c r="R92" s="603"/>
      <c r="S92" s="603"/>
      <c r="T92" s="796"/>
      <c r="U92" s="796"/>
      <c r="V92" s="796"/>
      <c r="W92" s="1055"/>
      <c r="X92" s="1055"/>
      <c r="Y92" s="1055"/>
    </row>
    <row r="93" spans="1:28" s="189" customFormat="1" ht="26.4" x14ac:dyDescent="0.3">
      <c r="A93" s="183" t="s">
        <v>79</v>
      </c>
      <c r="B93" s="180"/>
      <c r="C93" s="180"/>
      <c r="D93" s="185" t="s">
        <v>80</v>
      </c>
      <c r="G93" s="796"/>
      <c r="I93" s="796"/>
      <c r="Q93" s="603"/>
      <c r="R93" s="603"/>
      <c r="S93" s="603"/>
      <c r="T93" s="796"/>
      <c r="U93" s="796"/>
      <c r="V93" s="796"/>
      <c r="W93" s="1055"/>
      <c r="X93" s="1055"/>
      <c r="Y93" s="1055"/>
    </row>
    <row r="94" spans="1:28" x14ac:dyDescent="0.3">
      <c r="T94" s="796"/>
      <c r="U94" s="796"/>
      <c r="V94" s="796"/>
    </row>
  </sheetData>
  <mergeCells count="94">
    <mergeCell ref="A62:A63"/>
    <mergeCell ref="B62:B63"/>
    <mergeCell ref="J62:J63"/>
    <mergeCell ref="J68:J69"/>
    <mergeCell ref="A70:A71"/>
    <mergeCell ref="A64:A65"/>
    <mergeCell ref="B64:B65"/>
    <mergeCell ref="J64:J65"/>
    <mergeCell ref="A66:A67"/>
    <mergeCell ref="B66:B67"/>
    <mergeCell ref="J66:J67"/>
    <mergeCell ref="A68:A69"/>
    <mergeCell ref="B68:B69"/>
    <mergeCell ref="B70:B71"/>
    <mergeCell ref="J70:J71"/>
    <mergeCell ref="A57:A59"/>
    <mergeCell ref="B57:B59"/>
    <mergeCell ref="J57:J59"/>
    <mergeCell ref="A60:A61"/>
    <mergeCell ref="B60:B61"/>
    <mergeCell ref="J60:J61"/>
    <mergeCell ref="A52:A53"/>
    <mergeCell ref="B52:B53"/>
    <mergeCell ref="J52:J53"/>
    <mergeCell ref="A54:A56"/>
    <mergeCell ref="B54:B56"/>
    <mergeCell ref="J54:J56"/>
    <mergeCell ref="A46:A48"/>
    <mergeCell ref="B46:B48"/>
    <mergeCell ref="J46:J48"/>
    <mergeCell ref="A49:A51"/>
    <mergeCell ref="B49:B51"/>
    <mergeCell ref="J49:J51"/>
    <mergeCell ref="A40:A42"/>
    <mergeCell ref="B40:B42"/>
    <mergeCell ref="J40:J42"/>
    <mergeCell ref="A43:A45"/>
    <mergeCell ref="B43:B45"/>
    <mergeCell ref="J43:J45"/>
    <mergeCell ref="A33:A36"/>
    <mergeCell ref="B33:B36"/>
    <mergeCell ref="J33:J36"/>
    <mergeCell ref="A37:A39"/>
    <mergeCell ref="B37:B39"/>
    <mergeCell ref="J37:J39"/>
    <mergeCell ref="A25:A28"/>
    <mergeCell ref="B25:B28"/>
    <mergeCell ref="J25:J28"/>
    <mergeCell ref="A29:A32"/>
    <mergeCell ref="B29:B32"/>
    <mergeCell ref="J29:J32"/>
    <mergeCell ref="A21:A24"/>
    <mergeCell ref="B21:B24"/>
    <mergeCell ref="J21:J24"/>
    <mergeCell ref="A14:A16"/>
    <mergeCell ref="B14:B16"/>
    <mergeCell ref="J14:J16"/>
    <mergeCell ref="A17:A20"/>
    <mergeCell ref="B17:B20"/>
    <mergeCell ref="J17:J20"/>
    <mergeCell ref="B12:J12"/>
    <mergeCell ref="Z1:AB1"/>
    <mergeCell ref="Z2:AB2"/>
    <mergeCell ref="A3:AB3"/>
    <mergeCell ref="A4:AB4"/>
    <mergeCell ref="A5:AB5"/>
    <mergeCell ref="A6:AB6"/>
    <mergeCell ref="A7:AB7"/>
    <mergeCell ref="A8:AB8"/>
    <mergeCell ref="A9:AB9"/>
    <mergeCell ref="A10:AB10"/>
    <mergeCell ref="N11:P12"/>
    <mergeCell ref="Q11:S12"/>
    <mergeCell ref="C1:P2"/>
    <mergeCell ref="B11:J11"/>
    <mergeCell ref="K11:M12"/>
    <mergeCell ref="Z11:AB12"/>
    <mergeCell ref="R88:S88"/>
    <mergeCell ref="R89:S89"/>
    <mergeCell ref="R90:S90"/>
    <mergeCell ref="O88:P88"/>
    <mergeCell ref="O89:P89"/>
    <mergeCell ref="O90:P90"/>
    <mergeCell ref="T11:V12"/>
    <mergeCell ref="U89:V89"/>
    <mergeCell ref="U90:V90"/>
    <mergeCell ref="W11:Y12"/>
    <mergeCell ref="X89:Y89"/>
    <mergeCell ref="X90:Y90"/>
    <mergeCell ref="X91:Y91"/>
    <mergeCell ref="L88:M88"/>
    <mergeCell ref="L89:M89"/>
    <mergeCell ref="L90:M90"/>
    <mergeCell ref="U91:V91"/>
  </mergeCells>
  <pageMargins left="0.70866141732283472" right="0.70866141732283472" top="0.74803149606299213" bottom="0.74803149606299213" header="0.31496062992125984" footer="0.31496062992125984"/>
  <pageSetup scale="37" fitToHeight="3" orientation="landscape" r:id="rId1"/>
  <rowBreaks count="2" manualBreakCount="2">
    <brk id="39" max="24" man="1"/>
    <brk id="61" max="24" man="1"/>
  </row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tabColor theme="1"/>
  </sheetPr>
  <dimension ref="A1:G49"/>
  <sheetViews>
    <sheetView zoomScaleNormal="100" workbookViewId="0">
      <selection activeCell="E32" sqref="E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RESUMEN!G32</f>
        <v>Proyecto: CDIM_CBSGSM_R0147 Ingeniería Básica y levantamiento topográfico Subestación Morato</v>
      </c>
      <c r="C5" s="1281"/>
      <c r="D5" s="1281"/>
      <c r="E5" s="1281"/>
      <c r="F5" s="1281"/>
      <c r="G5" s="1282"/>
    </row>
    <row r="6" spans="1:7" x14ac:dyDescent="0.25">
      <c r="A6" s="1177"/>
      <c r="B6" s="1177"/>
      <c r="C6" s="1177"/>
      <c r="D6" s="1177"/>
      <c r="E6" s="1177"/>
      <c r="F6" s="1177"/>
      <c r="G6" s="1177"/>
    </row>
    <row r="7" spans="1:7" x14ac:dyDescent="0.25">
      <c r="A7" s="271" t="s">
        <v>0</v>
      </c>
      <c r="B7" s="1264" t="str">
        <f>RESUMEN!B32</f>
        <v>D00235093</v>
      </c>
      <c r="C7" s="1265"/>
      <c r="D7" s="1177"/>
      <c r="E7" s="1266" t="s">
        <v>627</v>
      </c>
      <c r="F7" s="1267"/>
      <c r="G7" s="280" t="str">
        <f>RESUMEN!E32</f>
        <v xml:space="preserve">17-173 </v>
      </c>
    </row>
    <row r="8" spans="1:7" x14ac:dyDescent="0.25">
      <c r="A8" s="271" t="s">
        <v>628</v>
      </c>
      <c r="B8" s="1264" t="str">
        <f>RESUMEN!C32</f>
        <v>D00235093000</v>
      </c>
      <c r="C8" s="1265"/>
      <c r="D8" s="1177"/>
      <c r="E8" s="1266" t="s">
        <v>629</v>
      </c>
      <c r="F8" s="1267"/>
      <c r="G8" s="280" t="str">
        <f>RESUMEN!U32</f>
        <v xml:space="preserve">Acta N° 2: Marzo </v>
      </c>
    </row>
    <row r="9" spans="1:7" x14ac:dyDescent="0.25">
      <c r="A9" s="271" t="s">
        <v>630</v>
      </c>
      <c r="B9" s="1283" t="s">
        <v>631</v>
      </c>
      <c r="C9" s="1265"/>
      <c r="D9" s="1177"/>
      <c r="E9" s="1266" t="s">
        <v>632</v>
      </c>
      <c r="F9" s="1267"/>
      <c r="G9" s="1178">
        <f>RESUMEN!H32</f>
        <v>36458569</v>
      </c>
    </row>
    <row r="10" spans="1:7" x14ac:dyDescent="0.25">
      <c r="A10" s="271" t="s">
        <v>633</v>
      </c>
      <c r="B10" s="1283" t="str">
        <f>RESUMEN!D32</f>
        <v>MORATO ING BÁSICA</v>
      </c>
      <c r="C10" s="1265"/>
      <c r="D10" s="1177"/>
      <c r="E10" s="1266" t="s">
        <v>634</v>
      </c>
      <c r="F10" s="1267"/>
      <c r="G10" s="1178">
        <f>RESUMEN!R32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CDIM_CBSGSM_R0147 Ingeniería Básica y levantamiento topográfico Subestación Morato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RESUMEN!N32</f>
        <v>0</v>
      </c>
      <c r="F19" s="1248"/>
      <c r="G19" s="1177"/>
    </row>
    <row r="20" spans="1:7" ht="27" customHeight="1" x14ac:dyDescent="0.25">
      <c r="A20" s="1177"/>
      <c r="B20" s="1244" t="s">
        <v>1498</v>
      </c>
      <c r="C20" s="1245"/>
      <c r="D20" s="1246"/>
      <c r="E20" s="1247">
        <f>RESUMEN!P32</f>
        <v>0</v>
      </c>
      <c r="F20" s="1248"/>
      <c r="G20" s="1177"/>
    </row>
    <row r="21" spans="1:7" ht="27" customHeight="1" x14ac:dyDescent="0.25">
      <c r="A21" s="1177"/>
      <c r="B21" s="1244" t="s">
        <v>1499</v>
      </c>
      <c r="C21" s="1245"/>
      <c r="D21" s="1246"/>
      <c r="E21" s="1247">
        <f>RESUMEN!Q32</f>
        <v>0</v>
      </c>
      <c r="F21" s="1248"/>
      <c r="G21" s="1177"/>
    </row>
    <row r="22" spans="1:7" x14ac:dyDescent="0.25">
      <c r="A22" s="1177"/>
      <c r="B22" s="1254" t="s">
        <v>64</v>
      </c>
      <c r="C22" s="1254"/>
      <c r="D22" s="1254"/>
      <c r="E22" s="1255">
        <f>RESUMEN!R32</f>
        <v>0</v>
      </c>
      <c r="F22" s="1255"/>
      <c r="G22" s="1177"/>
    </row>
    <row r="23" spans="1:7" x14ac:dyDescent="0.25">
      <c r="A23" s="1177"/>
      <c r="B23" s="1256" t="s">
        <v>66</v>
      </c>
      <c r="C23" s="1256"/>
      <c r="D23" s="1256"/>
      <c r="E23" s="1257">
        <f>RESUMEN!S32</f>
        <v>0</v>
      </c>
      <c r="F23" s="1257"/>
      <c r="G23" s="1177"/>
    </row>
    <row r="24" spans="1:7" x14ac:dyDescent="0.25">
      <c r="A24" s="1177"/>
      <c r="B24" s="1258" t="s">
        <v>1</v>
      </c>
      <c r="C24" s="1258"/>
      <c r="D24" s="1258"/>
      <c r="E24" s="1259">
        <f>RESUMEN!T32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+'OT17-173 MORATO ING BÁSICA'!N28</f>
        <v>ACTA 1</v>
      </c>
      <c r="C28" s="1253">
        <f>+'OT17-173 MORATO ING BÁSICA'!O28</f>
        <v>24368392</v>
      </c>
      <c r="D28" s="1253"/>
      <c r="E28" s="267">
        <f>+'OT17-173 MORATO ING BÁSICA'!P28</f>
        <v>0.66838586012522871</v>
      </c>
      <c r="F28" s="1177"/>
      <c r="G28" s="1177"/>
    </row>
    <row r="29" spans="1:7" x14ac:dyDescent="0.25">
      <c r="A29" s="1177"/>
      <c r="B29" s="280" t="str">
        <f>+'OT17-173 MORATO ING BÁSICA'!N29</f>
        <v>ACTA 2</v>
      </c>
      <c r="C29" s="1253">
        <f>+'OT17-173 MORATO ING BÁSICA'!O29</f>
        <v>0</v>
      </c>
      <c r="D29" s="1253"/>
      <c r="E29" s="267">
        <f>+'OT17-173 MORATO ING BÁSICA'!P29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24368392</v>
      </c>
      <c r="D34" s="1251"/>
      <c r="E34" s="264">
        <f>SUM(E28:E33)</f>
        <v>0.66838586012522871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2">
    <tabColor theme="7"/>
  </sheetPr>
  <dimension ref="A1:S37"/>
  <sheetViews>
    <sheetView zoomScale="70" zoomScaleNormal="70" workbookViewId="0">
      <selection activeCell="D20" sqref="D20"/>
    </sheetView>
  </sheetViews>
  <sheetFormatPr baseColWidth="10" defaultColWidth="11.44140625" defaultRowHeight="14.4" x14ac:dyDescent="0.3"/>
  <cols>
    <col min="1" max="1" width="15" style="302" customWidth="1"/>
    <col min="2" max="2" width="26.33203125" style="302" customWidth="1"/>
    <col min="3" max="3" width="28.109375" style="302" customWidth="1"/>
    <col min="4" max="4" width="23.44140625" style="302" customWidth="1"/>
    <col min="5" max="5" width="11.5546875" style="302" bestFit="1" customWidth="1"/>
    <col min="6" max="6" width="17.88671875" style="302" bestFit="1" customWidth="1"/>
    <col min="7" max="7" width="17.88671875" style="795" customWidth="1"/>
    <col min="8" max="8" width="18" style="302" bestFit="1" customWidth="1"/>
    <col min="9" max="9" width="18" style="795" customWidth="1"/>
    <col min="10" max="10" width="25.44140625" style="302" customWidth="1"/>
    <col min="11" max="11" width="17.88671875" style="302" hidden="1" customWidth="1"/>
    <col min="12" max="12" width="18.88671875" style="302" hidden="1" customWidth="1"/>
    <col min="13" max="13" width="11.44140625" style="302" hidden="1" customWidth="1"/>
    <col min="14" max="14" width="17.88671875" style="302" bestFit="1" customWidth="1"/>
    <col min="15" max="15" width="18" style="302" bestFit="1" customWidth="1"/>
    <col min="16" max="16" width="11.44140625" style="302"/>
    <col min="17" max="17" width="17.88671875" style="302" bestFit="1" customWidth="1"/>
    <col min="18" max="18" width="18.88671875" style="302" bestFit="1" customWidth="1"/>
    <col min="19" max="16384" width="11.44140625" style="302"/>
  </cols>
  <sheetData>
    <row r="1" spans="1:19" ht="42" customHeight="1" thickBot="1" x14ac:dyDescent="0.35">
      <c r="A1" s="169"/>
      <c r="B1" s="188"/>
      <c r="C1" s="1307" t="s">
        <v>40</v>
      </c>
      <c r="D1" s="1308"/>
      <c r="E1" s="1308"/>
      <c r="F1" s="1308"/>
      <c r="G1" s="1308"/>
      <c r="H1" s="1308"/>
      <c r="I1" s="1308"/>
      <c r="J1" s="1308"/>
      <c r="K1" s="1308"/>
      <c r="L1" s="1308"/>
      <c r="M1" s="1308"/>
      <c r="N1" s="1308"/>
      <c r="O1" s="1308"/>
      <c r="P1" s="1309"/>
      <c r="Q1" s="1328" t="s">
        <v>968</v>
      </c>
      <c r="R1" s="1303"/>
      <c r="S1" s="1304"/>
    </row>
    <row r="2" spans="1:19"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ht="12.75" customHeight="1" x14ac:dyDescent="0.3">
      <c r="A7" s="1291" t="s">
        <v>969</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2331</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970</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354"/>
      <c r="B11" s="1318"/>
      <c r="C11" s="1320"/>
      <c r="D11" s="1320"/>
      <c r="E11" s="1320"/>
      <c r="F11" s="1320"/>
      <c r="G11" s="1320"/>
      <c r="H11" s="1320"/>
      <c r="I11" s="1320"/>
      <c r="J11" s="1320"/>
      <c r="K11" s="1293" t="s">
        <v>46</v>
      </c>
      <c r="L11" s="1294"/>
      <c r="M11" s="1295"/>
      <c r="N11" s="1293" t="s">
        <v>2324</v>
      </c>
      <c r="O11" s="1294"/>
      <c r="P11" s="1295"/>
      <c r="Q11" s="1299" t="s">
        <v>49</v>
      </c>
      <c r="R11" s="1299"/>
      <c r="S11" s="1299"/>
    </row>
    <row r="12" spans="1:19" ht="13.5" customHeight="1" x14ac:dyDescent="0.3">
      <c r="A12" s="171"/>
      <c r="B12" s="1318"/>
      <c r="C12" s="1319"/>
      <c r="D12" s="1319"/>
      <c r="E12" s="1319"/>
      <c r="F12" s="1319"/>
      <c r="G12" s="1319"/>
      <c r="H12" s="1319"/>
      <c r="I12" s="1319"/>
      <c r="J12" s="1319"/>
      <c r="K12" s="1325"/>
      <c r="L12" s="1326"/>
      <c r="M12" s="1327"/>
      <c r="N12" s="1296"/>
      <c r="O12" s="1297"/>
      <c r="P12" s="1298"/>
      <c r="Q12" s="1300"/>
      <c r="R12" s="1300"/>
      <c r="S12" s="1300"/>
    </row>
    <row r="13" spans="1:19" ht="28.8" x14ac:dyDescent="0.3">
      <c r="A13" s="159" t="s">
        <v>50</v>
      </c>
      <c r="B13" s="159" t="s">
        <v>51</v>
      </c>
      <c r="C13" s="159" t="s">
        <v>52</v>
      </c>
      <c r="D13" s="159" t="s">
        <v>164</v>
      </c>
      <c r="E13" s="159" t="s">
        <v>54</v>
      </c>
      <c r="F13" s="141" t="s">
        <v>55</v>
      </c>
      <c r="G13" s="823" t="s">
        <v>2007</v>
      </c>
      <c r="H13" s="159" t="s">
        <v>56</v>
      </c>
      <c r="I13" s="824" t="s">
        <v>56</v>
      </c>
      <c r="J13" s="159" t="s">
        <v>57</v>
      </c>
      <c r="K13" s="172" t="s">
        <v>54</v>
      </c>
      <c r="L13" s="173" t="s">
        <v>56</v>
      </c>
      <c r="M13" s="371" t="s">
        <v>58</v>
      </c>
      <c r="N13" s="371" t="s">
        <v>54</v>
      </c>
      <c r="O13" s="371" t="s">
        <v>56</v>
      </c>
      <c r="P13" s="371" t="s">
        <v>58</v>
      </c>
      <c r="Q13" s="174" t="s">
        <v>54</v>
      </c>
      <c r="R13" s="172" t="s">
        <v>56</v>
      </c>
      <c r="S13" s="371" t="s">
        <v>58</v>
      </c>
    </row>
    <row r="14" spans="1:19" ht="30" customHeight="1" x14ac:dyDescent="0.3">
      <c r="A14" s="1289" t="s">
        <v>286</v>
      </c>
      <c r="B14" s="1290" t="s">
        <v>653</v>
      </c>
      <c r="C14" s="353" t="s">
        <v>649</v>
      </c>
      <c r="D14" s="353" t="s">
        <v>650</v>
      </c>
      <c r="E14" s="353">
        <v>1</v>
      </c>
      <c r="F14" s="32">
        <v>30225442</v>
      </c>
      <c r="G14" s="32">
        <f>+ROUND(F14*1.051,0)</f>
        <v>31766940</v>
      </c>
      <c r="H14" s="32">
        <f>ROUND((E14*F14),0)</f>
        <v>30225442</v>
      </c>
      <c r="I14" s="32">
        <f>+ROUND(G14*E14,0)</f>
        <v>31766940</v>
      </c>
      <c r="J14" s="1289"/>
      <c r="K14" s="303">
        <v>0.6</v>
      </c>
      <c r="L14" s="304">
        <f>ROUND(K14*$F$14,0)</f>
        <v>18135265</v>
      </c>
      <c r="M14" s="305">
        <f>L14/$H$14</f>
        <v>0.59999999338305787</v>
      </c>
      <c r="N14" s="158">
        <v>0</v>
      </c>
      <c r="O14" s="194">
        <f>ROUND(N14*G14,0)</f>
        <v>0</v>
      </c>
      <c r="P14" s="195">
        <f>O14/G14</f>
        <v>0</v>
      </c>
      <c r="Q14" s="149">
        <f>K14+N14</f>
        <v>0.6</v>
      </c>
      <c r="R14" s="175">
        <f>L14+O14</f>
        <v>18135265</v>
      </c>
      <c r="S14" s="176">
        <f>R14/I14</f>
        <v>0.57088485702431524</v>
      </c>
    </row>
    <row r="15" spans="1:19" x14ac:dyDescent="0.3">
      <c r="A15" s="1289"/>
      <c r="B15" s="1289"/>
      <c r="C15" s="39"/>
      <c r="D15" s="39" t="s">
        <v>651</v>
      </c>
      <c r="E15" s="41"/>
      <c r="F15" s="41"/>
      <c r="G15" s="41"/>
      <c r="H15" s="42">
        <f>H14</f>
        <v>30225442</v>
      </c>
      <c r="I15" s="42">
        <f>SUM(I14)</f>
        <v>31766940</v>
      </c>
      <c r="J15" s="1289"/>
      <c r="K15" s="308"/>
      <c r="L15" s="179">
        <f>L14</f>
        <v>18135265</v>
      </c>
      <c r="M15" s="308">
        <f>L15/$H$15</f>
        <v>0.59999999338305787</v>
      </c>
      <c r="N15" s="306"/>
      <c r="O15" s="307">
        <f>O14</f>
        <v>0</v>
      </c>
      <c r="P15" s="1092">
        <f>O15/$I$15</f>
        <v>0</v>
      </c>
      <c r="Q15" s="306"/>
      <c r="R15" s="307">
        <f>L15+O15</f>
        <v>18135265</v>
      </c>
      <c r="S15" s="308">
        <f>R15/I15</f>
        <v>0.57088485702431524</v>
      </c>
    </row>
    <row r="16" spans="1:19" ht="30" customHeight="1" x14ac:dyDescent="0.3">
      <c r="A16" s="1289" t="s">
        <v>286</v>
      </c>
      <c r="B16" s="1290" t="s">
        <v>284</v>
      </c>
      <c r="C16" s="353" t="s">
        <v>148</v>
      </c>
      <c r="D16" s="353" t="s">
        <v>181</v>
      </c>
      <c r="E16" s="353">
        <v>1</v>
      </c>
      <c r="F16" s="32">
        <v>6233127</v>
      </c>
      <c r="G16" s="32">
        <f>+ROUND(F16*1.051,0)</f>
        <v>6551016</v>
      </c>
      <c r="H16" s="32">
        <f>ROUND((E16*F16),0)</f>
        <v>6233127</v>
      </c>
      <c r="I16" s="32">
        <f>+ROUND(G16*E16,0)</f>
        <v>6551016</v>
      </c>
      <c r="J16" s="1289"/>
      <c r="K16" s="303">
        <v>1</v>
      </c>
      <c r="L16" s="304">
        <f>ROUND(K16*$F$16,0)</f>
        <v>6233127</v>
      </c>
      <c r="M16" s="305">
        <f>L16/$H$16</f>
        <v>1</v>
      </c>
      <c r="N16" s="158">
        <v>0</v>
      </c>
      <c r="O16" s="425">
        <f>ROUND(N16*G16,0)</f>
        <v>0</v>
      </c>
      <c r="P16" s="426">
        <f>O16/I16</f>
        <v>0</v>
      </c>
      <c r="Q16" s="149">
        <f>K16+N16</f>
        <v>1</v>
      </c>
      <c r="R16" s="175">
        <f>L16+O16</f>
        <v>6233127</v>
      </c>
      <c r="S16" s="176">
        <f>R16/H16</f>
        <v>1</v>
      </c>
    </row>
    <row r="17" spans="1:19" x14ac:dyDescent="0.3">
      <c r="A17" s="1289"/>
      <c r="B17" s="1289"/>
      <c r="C17" s="39"/>
      <c r="D17" s="39" t="s">
        <v>183</v>
      </c>
      <c r="E17" s="41"/>
      <c r="F17" s="41"/>
      <c r="G17" s="41"/>
      <c r="H17" s="42">
        <f>H16</f>
        <v>6233127</v>
      </c>
      <c r="I17" s="42">
        <f>SUM(I16)</f>
        <v>6551016</v>
      </c>
      <c r="J17" s="1289"/>
      <c r="K17" s="308"/>
      <c r="L17" s="179">
        <f>L16</f>
        <v>6233127</v>
      </c>
      <c r="M17" s="308">
        <f>L17/$H$17</f>
        <v>1</v>
      </c>
      <c r="N17" s="306"/>
      <c r="O17" s="307">
        <f>O16</f>
        <v>0</v>
      </c>
      <c r="P17" s="1092">
        <f>O17/$I$17</f>
        <v>0</v>
      </c>
      <c r="Q17" s="306"/>
      <c r="R17" s="307">
        <f>L17+O17</f>
        <v>6233127</v>
      </c>
      <c r="S17" s="308">
        <f>R17/H17</f>
        <v>1</v>
      </c>
    </row>
    <row r="18" spans="1:19" x14ac:dyDescent="0.3">
      <c r="F18" s="151" t="s">
        <v>64</v>
      </c>
      <c r="G18" s="151"/>
      <c r="H18" s="181">
        <f>SUM(H14:H17)/2</f>
        <v>36458569</v>
      </c>
      <c r="I18" s="181">
        <f>SUM(I14:I17)/2</f>
        <v>38317956</v>
      </c>
      <c r="K18" s="151" t="s">
        <v>64</v>
      </c>
      <c r="L18" s="181">
        <f>SUM(L14:L17)/2</f>
        <v>24368392</v>
      </c>
      <c r="M18" s="50">
        <f>L18/$H$18</f>
        <v>0.66838586012522871</v>
      </c>
      <c r="N18" s="151" t="s">
        <v>64</v>
      </c>
      <c r="O18" s="181">
        <f>SUM(O14:O17)/2</f>
        <v>0</v>
      </c>
      <c r="Q18" s="151" t="s">
        <v>64</v>
      </c>
      <c r="R18" s="181">
        <f>SUM(R14:R17)/2</f>
        <v>24368392</v>
      </c>
      <c r="S18" s="50">
        <f>R22/H18</f>
        <v>0.66838586012522871</v>
      </c>
    </row>
    <row r="19" spans="1:19" x14ac:dyDescent="0.3">
      <c r="F19" s="153" t="s">
        <v>65</v>
      </c>
      <c r="G19" s="816"/>
      <c r="H19" s="182">
        <v>0</v>
      </c>
      <c r="I19" s="182">
        <v>0</v>
      </c>
      <c r="K19" s="153" t="s">
        <v>65</v>
      </c>
      <c r="L19" s="182">
        <v>0</v>
      </c>
      <c r="N19" s="153" t="s">
        <v>65</v>
      </c>
      <c r="O19" s="182">
        <v>0</v>
      </c>
      <c r="Q19" s="153" t="s">
        <v>65</v>
      </c>
      <c r="R19" s="182">
        <v>0</v>
      </c>
    </row>
    <row r="20" spans="1:19" x14ac:dyDescent="0.3">
      <c r="F20" s="152" t="s">
        <v>64</v>
      </c>
      <c r="G20" s="817"/>
      <c r="H20" s="182">
        <f>+H18+H19</f>
        <v>36458569</v>
      </c>
      <c r="I20" s="182">
        <f>+I18+I19</f>
        <v>38317956</v>
      </c>
      <c r="K20" s="152" t="s">
        <v>64</v>
      </c>
      <c r="L20" s="182">
        <f>+L18+L19</f>
        <v>24368392</v>
      </c>
      <c r="N20" s="152" t="s">
        <v>64</v>
      </c>
      <c r="O20" s="182">
        <f>+O18+O19</f>
        <v>0</v>
      </c>
      <c r="Q20" s="152" t="s">
        <v>64</v>
      </c>
      <c r="R20" s="182">
        <f>+R18+R19</f>
        <v>24368392</v>
      </c>
    </row>
    <row r="21" spans="1:19" ht="26.4" x14ac:dyDescent="0.3">
      <c r="F21" s="152"/>
      <c r="G21" s="817"/>
      <c r="H21" s="182"/>
      <c r="I21" s="182"/>
      <c r="K21" s="152"/>
      <c r="L21" s="182"/>
      <c r="N21" s="484" t="s">
        <v>1439</v>
      </c>
      <c r="O21" s="182">
        <f>ROUND(O20*0.015,0)</f>
        <v>0</v>
      </c>
      <c r="Q21" s="484" t="s">
        <v>1439</v>
      </c>
      <c r="R21" s="182">
        <f>L21+O21</f>
        <v>0</v>
      </c>
    </row>
    <row r="22" spans="1:19" ht="26.4" x14ac:dyDescent="0.3">
      <c r="F22" s="152"/>
      <c r="G22" s="817"/>
      <c r="H22" s="182"/>
      <c r="I22" s="182"/>
      <c r="K22" s="152"/>
      <c r="L22" s="182"/>
      <c r="N22" s="152" t="s">
        <v>1440</v>
      </c>
      <c r="O22" s="182">
        <f>O20+O21</f>
        <v>0</v>
      </c>
      <c r="P22" s="50">
        <f>O22/$H$18</f>
        <v>0</v>
      </c>
      <c r="Q22" s="152" t="s">
        <v>1440</v>
      </c>
      <c r="R22" s="182">
        <f>R20+R21</f>
        <v>24368392</v>
      </c>
    </row>
    <row r="23" spans="1:19" x14ac:dyDescent="0.3">
      <c r="F23" s="154" t="s">
        <v>66</v>
      </c>
      <c r="G23" s="818"/>
      <c r="H23" s="182">
        <f>+H20*19%</f>
        <v>6927128.1100000003</v>
      </c>
      <c r="I23" s="182">
        <f>+I20*19%</f>
        <v>7280411.6399999997</v>
      </c>
      <c r="K23" s="154" t="s">
        <v>66</v>
      </c>
      <c r="L23" s="182">
        <f>+L20*19%</f>
        <v>4629994.4800000004</v>
      </c>
      <c r="N23" s="154" t="s">
        <v>66</v>
      </c>
      <c r="O23" s="182">
        <f>ROUND(O22*0.19,0)</f>
        <v>0</v>
      </c>
      <c r="Q23" s="154" t="s">
        <v>66</v>
      </c>
      <c r="R23" s="182">
        <f>ROUND(R22*0.19,0)</f>
        <v>4629994</v>
      </c>
    </row>
    <row r="24" spans="1:19" x14ac:dyDescent="0.3">
      <c r="F24" s="155" t="s">
        <v>69</v>
      </c>
      <c r="G24" s="155"/>
      <c r="H24" s="181">
        <f>+H20+H23</f>
        <v>43385697.109999999</v>
      </c>
      <c r="I24" s="181">
        <f>+I20+I23</f>
        <v>45598367.640000001</v>
      </c>
      <c r="K24" s="155" t="s">
        <v>69</v>
      </c>
      <c r="L24" s="181">
        <f>+L20+L23</f>
        <v>28998386.48</v>
      </c>
      <c r="N24" s="155" t="s">
        <v>69</v>
      </c>
      <c r="O24" s="181">
        <f>O22+O23</f>
        <v>0</v>
      </c>
      <c r="Q24" s="155" t="s">
        <v>69</v>
      </c>
      <c r="R24" s="181">
        <f>R22+R23</f>
        <v>28998386</v>
      </c>
    </row>
    <row r="27" spans="1:19" s="189" customFormat="1" x14ac:dyDescent="0.3">
      <c r="A27" s="183" t="s">
        <v>67</v>
      </c>
      <c r="B27" s="184"/>
      <c r="C27" s="184"/>
      <c r="D27" s="185" t="s">
        <v>68</v>
      </c>
      <c r="G27" s="796"/>
      <c r="I27" s="796"/>
      <c r="K27" s="186" t="s">
        <v>70</v>
      </c>
      <c r="L27" s="187" t="s">
        <v>71</v>
      </c>
      <c r="M27" s="186" t="s">
        <v>58</v>
      </c>
      <c r="N27" s="186" t="s">
        <v>70</v>
      </c>
      <c r="O27" s="187" t="s">
        <v>71</v>
      </c>
      <c r="P27" s="186" t="s">
        <v>58</v>
      </c>
    </row>
    <row r="28" spans="1:19" s="189" customFormat="1" x14ac:dyDescent="0.3">
      <c r="A28" s="183"/>
      <c r="B28" s="184"/>
      <c r="C28" s="184"/>
      <c r="D28" s="185"/>
      <c r="G28" s="796"/>
      <c r="I28" s="796"/>
      <c r="K28" s="69" t="s">
        <v>72</v>
      </c>
      <c r="L28" s="70">
        <f>$L$18</f>
        <v>24368392</v>
      </c>
      <c r="M28" s="71">
        <f>$M$18</f>
        <v>0.66838586012522871</v>
      </c>
      <c r="N28" s="69" t="s">
        <v>72</v>
      </c>
      <c r="O28" s="70">
        <f>$L$18</f>
        <v>24368392</v>
      </c>
      <c r="P28" s="71">
        <f>$M$18</f>
        <v>0.66838586012522871</v>
      </c>
    </row>
    <row r="29" spans="1:19" s="189" customFormat="1" x14ac:dyDescent="0.3">
      <c r="A29" s="183"/>
      <c r="B29" s="184"/>
      <c r="C29" s="184"/>
      <c r="D29" s="185"/>
      <c r="G29" s="796"/>
      <c r="I29" s="796"/>
      <c r="K29" s="69"/>
      <c r="L29" s="70"/>
      <c r="M29" s="71"/>
      <c r="N29" s="69" t="s">
        <v>73</v>
      </c>
      <c r="O29" s="70">
        <f>O22</f>
        <v>0</v>
      </c>
      <c r="P29" s="71">
        <f>P22</f>
        <v>0</v>
      </c>
    </row>
    <row r="30" spans="1:19" s="189" customFormat="1" x14ac:dyDescent="0.3">
      <c r="A30" s="183"/>
      <c r="B30" s="184"/>
      <c r="C30" s="184"/>
      <c r="D30" s="185"/>
      <c r="G30" s="796"/>
      <c r="I30" s="796"/>
      <c r="K30" s="72" t="s">
        <v>1</v>
      </c>
      <c r="L30" s="105">
        <f>SUM(L28:L28)</f>
        <v>24368392</v>
      </c>
      <c r="M30" s="73">
        <f>SUM(M28:M28)</f>
        <v>0.66838586012522871</v>
      </c>
      <c r="N30" s="72" t="s">
        <v>1</v>
      </c>
      <c r="O30" s="105">
        <f>SUM(O28:O29)</f>
        <v>24368392</v>
      </c>
      <c r="P30" s="73">
        <f>SUM(P28:P29)</f>
        <v>0.66838586012522871</v>
      </c>
    </row>
    <row r="31" spans="1:19" s="189" customFormat="1" x14ac:dyDescent="0.3">
      <c r="A31" s="183"/>
      <c r="B31" s="184"/>
      <c r="C31" s="184"/>
      <c r="D31" s="185"/>
      <c r="G31" s="796"/>
      <c r="I31" s="796"/>
      <c r="K31" s="72" t="s">
        <v>9</v>
      </c>
      <c r="L31" s="1285"/>
      <c r="M31" s="1286"/>
      <c r="N31" s="72" t="s">
        <v>9</v>
      </c>
      <c r="O31" s="1285"/>
      <c r="P31" s="1286"/>
    </row>
    <row r="32" spans="1:19" s="189" customFormat="1" x14ac:dyDescent="0.3">
      <c r="A32" s="183"/>
      <c r="B32" s="184"/>
      <c r="C32" s="184"/>
      <c r="D32" s="185"/>
      <c r="G32" s="796"/>
      <c r="I32" s="796"/>
      <c r="K32" s="156" t="s">
        <v>78</v>
      </c>
      <c r="L32" s="1285" t="s">
        <v>971</v>
      </c>
      <c r="M32" s="1286"/>
      <c r="N32" s="156" t="s">
        <v>78</v>
      </c>
      <c r="O32" s="1285" t="s">
        <v>971</v>
      </c>
      <c r="P32" s="1286"/>
    </row>
    <row r="33" spans="1:16" s="189" customFormat="1" x14ac:dyDescent="0.3">
      <c r="A33" s="183"/>
      <c r="B33" s="184"/>
      <c r="C33" s="184"/>
      <c r="D33" s="185"/>
      <c r="G33" s="796"/>
      <c r="I33" s="796"/>
      <c r="K33" s="157" t="s">
        <v>8</v>
      </c>
      <c r="L33" s="1287" t="s">
        <v>972</v>
      </c>
      <c r="M33" s="1288"/>
      <c r="N33" s="157" t="s">
        <v>8</v>
      </c>
      <c r="O33" s="1287" t="s">
        <v>972</v>
      </c>
      <c r="P33" s="1288"/>
    </row>
    <row r="34" spans="1:16" s="189" customFormat="1" x14ac:dyDescent="0.3">
      <c r="A34" s="183"/>
      <c r="B34" s="184"/>
      <c r="C34" s="184"/>
      <c r="D34" s="185" t="s">
        <v>75</v>
      </c>
      <c r="G34" s="796"/>
      <c r="I34" s="796"/>
    </row>
    <row r="35" spans="1:16" s="189" customFormat="1" x14ac:dyDescent="0.3">
      <c r="A35" s="183" t="s">
        <v>76</v>
      </c>
      <c r="B35" s="180"/>
      <c r="C35" s="180"/>
      <c r="D35" s="185" t="s">
        <v>77</v>
      </c>
      <c r="G35" s="796"/>
      <c r="I35" s="796"/>
    </row>
    <row r="36" spans="1:16" s="189" customFormat="1" ht="26.4" x14ac:dyDescent="0.3">
      <c r="A36" s="183" t="s">
        <v>79</v>
      </c>
      <c r="B36" s="180"/>
      <c r="C36" s="180"/>
      <c r="D36" s="185" t="s">
        <v>80</v>
      </c>
      <c r="G36" s="796"/>
      <c r="I36" s="796"/>
    </row>
    <row r="37" spans="1:16" s="189" customFormat="1" x14ac:dyDescent="0.3">
      <c r="G37" s="796"/>
      <c r="I37" s="796"/>
    </row>
  </sheetData>
  <sheetProtection formatCells="0" formatColumns="0" formatRows="0" insertColumns="0" insertRows="0" insertHyperlinks="0" deleteColumns="0" deleteRows="0" sort="0" autoFilter="0" pivotTables="0"/>
  <mergeCells count="28">
    <mergeCell ref="B11:J11"/>
    <mergeCell ref="K11:M12"/>
    <mergeCell ref="Q11:S12"/>
    <mergeCell ref="B12:J12"/>
    <mergeCell ref="Q1:S1"/>
    <mergeCell ref="Q2:S2"/>
    <mergeCell ref="A3:S3"/>
    <mergeCell ref="A4:S4"/>
    <mergeCell ref="A5:S5"/>
    <mergeCell ref="A6:S6"/>
    <mergeCell ref="A7:S7"/>
    <mergeCell ref="A8:S8"/>
    <mergeCell ref="A9:S9"/>
    <mergeCell ref="A10:S10"/>
    <mergeCell ref="C1:P2"/>
    <mergeCell ref="N11:P12"/>
    <mergeCell ref="A14:A15"/>
    <mergeCell ref="B14:B15"/>
    <mergeCell ref="J14:J15"/>
    <mergeCell ref="A16:A17"/>
    <mergeCell ref="B16:B17"/>
    <mergeCell ref="J16:J17"/>
    <mergeCell ref="O31:P31"/>
    <mergeCell ref="O32:P32"/>
    <mergeCell ref="O33:P33"/>
    <mergeCell ref="L31:M31"/>
    <mergeCell ref="L32:M32"/>
    <mergeCell ref="L33:M33"/>
  </mergeCells>
  <pageMargins left="0.7" right="0.7" top="0.75" bottom="0.75" header="0.3" footer="0.3"/>
  <pageSetup scale="44" orientation="landscape" r:id="rId1"/>
  <drawing r:id="rId2"/>
  <legacyDrawingHF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tabColor theme="1"/>
  </sheetPr>
  <dimension ref="A1:G49"/>
  <sheetViews>
    <sheetView topLeftCell="A12"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RESUMEN!G33</f>
        <v>Proyecto: CDIM_CBSGSM_R0147 Ingeniería Básica y levantamiento topográfico Subestación Usaquén</v>
      </c>
      <c r="C5" s="1281"/>
      <c r="D5" s="1281"/>
      <c r="E5" s="1281"/>
      <c r="F5" s="1281"/>
      <c r="G5" s="1282"/>
    </row>
    <row r="6" spans="1:7" x14ac:dyDescent="0.25">
      <c r="A6" s="1177"/>
      <c r="B6" s="1177"/>
      <c r="C6" s="1177"/>
      <c r="D6" s="1177"/>
      <c r="E6" s="1177"/>
      <c r="F6" s="1177"/>
      <c r="G6" s="1177"/>
    </row>
    <row r="7" spans="1:7" x14ac:dyDescent="0.25">
      <c r="A7" s="271" t="s">
        <v>0</v>
      </c>
      <c r="B7" s="1264" t="str">
        <f>RESUMEN!B33</f>
        <v>D00235094</v>
      </c>
      <c r="C7" s="1265"/>
      <c r="D7" s="1177"/>
      <c r="E7" s="1266" t="s">
        <v>627</v>
      </c>
      <c r="F7" s="1267"/>
      <c r="G7" s="280" t="str">
        <f>RESUMEN!E33</f>
        <v xml:space="preserve">17-174 </v>
      </c>
    </row>
    <row r="8" spans="1:7" x14ac:dyDescent="0.25">
      <c r="A8" s="271" t="s">
        <v>628</v>
      </c>
      <c r="B8" s="1264" t="str">
        <f>RESUMEN!C33</f>
        <v>D00235094000</v>
      </c>
      <c r="C8" s="1265"/>
      <c r="D8" s="1177"/>
      <c r="E8" s="1266" t="s">
        <v>629</v>
      </c>
      <c r="F8" s="1267"/>
      <c r="G8" s="280" t="str">
        <f>RESUMEN!U33</f>
        <v>Acta N° 3: Marzo</v>
      </c>
    </row>
    <row r="9" spans="1:7" x14ac:dyDescent="0.25">
      <c r="A9" s="271" t="s">
        <v>630</v>
      </c>
      <c r="B9" s="1283" t="s">
        <v>631</v>
      </c>
      <c r="C9" s="1265"/>
      <c r="D9" s="1177"/>
      <c r="E9" s="1266" t="s">
        <v>632</v>
      </c>
      <c r="F9" s="1267"/>
      <c r="G9" s="1178">
        <f>RESUMEN!H33</f>
        <v>36458569</v>
      </c>
    </row>
    <row r="10" spans="1:7" x14ac:dyDescent="0.25">
      <c r="A10" s="271" t="s">
        <v>633</v>
      </c>
      <c r="B10" s="1283" t="str">
        <f>RESUMEN!D33</f>
        <v>USAQUEN ING BÁSICA</v>
      </c>
      <c r="C10" s="1265"/>
      <c r="D10" s="1177"/>
      <c r="E10" s="1266" t="s">
        <v>634</v>
      </c>
      <c r="F10" s="1267"/>
      <c r="G10" s="1178">
        <f>RESUMEN!R33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CDIM_CBSGSM_R0147 Ingeniería Básica y levantamiento topográfico Subestación Usaquén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RESUMEN!N33</f>
        <v>0</v>
      </c>
      <c r="F19" s="1248"/>
      <c r="G19" s="1177"/>
    </row>
    <row r="20" spans="1:7" ht="27" customHeight="1" x14ac:dyDescent="0.25">
      <c r="A20" s="1177"/>
      <c r="B20" s="1244" t="s">
        <v>1498</v>
      </c>
      <c r="C20" s="1245"/>
      <c r="D20" s="1246"/>
      <c r="E20" s="1247">
        <f>RESUMEN!P33</f>
        <v>0</v>
      </c>
      <c r="F20" s="1248"/>
      <c r="G20" s="1177"/>
    </row>
    <row r="21" spans="1:7" ht="27" customHeight="1" x14ac:dyDescent="0.25">
      <c r="A21" s="1177"/>
      <c r="B21" s="1244" t="s">
        <v>1499</v>
      </c>
      <c r="C21" s="1245"/>
      <c r="D21" s="1246"/>
      <c r="E21" s="1247">
        <f>RESUMEN!Q33</f>
        <v>0</v>
      </c>
      <c r="F21" s="1248"/>
      <c r="G21" s="1177"/>
    </row>
    <row r="22" spans="1:7" x14ac:dyDescent="0.25">
      <c r="A22" s="1177"/>
      <c r="B22" s="1254" t="s">
        <v>64</v>
      </c>
      <c r="C22" s="1254"/>
      <c r="D22" s="1254"/>
      <c r="E22" s="1255">
        <f>RESUMEN!R33</f>
        <v>0</v>
      </c>
      <c r="F22" s="1255"/>
      <c r="G22" s="1177"/>
    </row>
    <row r="23" spans="1:7" x14ac:dyDescent="0.25">
      <c r="A23" s="1177"/>
      <c r="B23" s="1256" t="s">
        <v>66</v>
      </c>
      <c r="C23" s="1256"/>
      <c r="D23" s="1256"/>
      <c r="E23" s="1257">
        <f>RESUMEN!S33</f>
        <v>0</v>
      </c>
      <c r="F23" s="1257"/>
      <c r="G23" s="1177"/>
    </row>
    <row r="24" spans="1:7" x14ac:dyDescent="0.25">
      <c r="A24" s="1177"/>
      <c r="B24" s="1258" t="s">
        <v>1</v>
      </c>
      <c r="C24" s="1258"/>
      <c r="D24" s="1258"/>
      <c r="E24" s="1259">
        <f>RESUMEN!T33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+'OT17-174 USAQUEN ING BÁSICA'!Q28</f>
        <v>ACTA 1</v>
      </c>
      <c r="C28" s="1253">
        <f>+'OT17-174 USAQUEN ING BÁSICA'!R28</f>
        <v>6233127</v>
      </c>
      <c r="D28" s="1253"/>
      <c r="E28" s="267">
        <f>+'OT17-174 USAQUEN ING BÁSICA'!S28</f>
        <v>0.17096466402726887</v>
      </c>
      <c r="F28" s="1177"/>
      <c r="G28" s="1177"/>
    </row>
    <row r="29" spans="1:7" x14ac:dyDescent="0.25">
      <c r="A29" s="1177"/>
      <c r="B29" s="280" t="str">
        <f>+'OT17-174 USAQUEN ING BÁSICA'!Q29</f>
        <v>ACTA 2</v>
      </c>
      <c r="C29" s="1253">
        <f>+'OT17-174 USAQUEN ING BÁSICA'!R29</f>
        <v>21157809</v>
      </c>
      <c r="D29" s="1253"/>
      <c r="E29" s="267">
        <f>+'OT17-174 USAQUEN ING BÁSICA'!S29</f>
        <v>0.58032472420955417</v>
      </c>
      <c r="F29" s="1177"/>
      <c r="G29" s="1177"/>
    </row>
    <row r="30" spans="1:7" x14ac:dyDescent="0.25">
      <c r="A30" s="1177"/>
      <c r="B30" s="280" t="str">
        <f>+'OT17-174 USAQUEN ING BÁSICA'!Q30</f>
        <v>ACTA 3</v>
      </c>
      <c r="C30" s="1253">
        <f>+'OT17-174 USAQUEN ING BÁSICA'!R30</f>
        <v>0</v>
      </c>
      <c r="D30" s="1253"/>
      <c r="E30" s="267">
        <f>+'OT17-174 USAQUEN ING BÁSICA'!S30</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27390936</v>
      </c>
      <c r="D34" s="1251"/>
      <c r="E34" s="264">
        <f>SUM(E28:E33)</f>
        <v>0.75128938823682301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1">
    <tabColor theme="7"/>
    <pageSetUpPr fitToPage="1"/>
  </sheetPr>
  <dimension ref="A1:V38"/>
  <sheetViews>
    <sheetView zoomScale="55" zoomScaleNormal="55" workbookViewId="0">
      <selection activeCell="H34" sqref="H34"/>
    </sheetView>
  </sheetViews>
  <sheetFormatPr baseColWidth="10" defaultColWidth="11.44140625" defaultRowHeight="14.4" x14ac:dyDescent="0.3"/>
  <cols>
    <col min="1" max="1" width="15" style="189" customWidth="1"/>
    <col min="2" max="2" width="22.6640625" style="189" customWidth="1"/>
    <col min="3" max="3" width="25.44140625" style="189" customWidth="1"/>
    <col min="4" max="4" width="23.44140625" style="189" customWidth="1"/>
    <col min="5" max="5" width="11.6640625" style="189" bestFit="1" customWidth="1"/>
    <col min="6" max="6" width="18" style="189" bestFit="1" customWidth="1"/>
    <col min="7" max="7" width="18" style="796" customWidth="1"/>
    <col min="8" max="8" width="18.33203125" style="189" bestFit="1" customWidth="1"/>
    <col min="9" max="9" width="18.33203125" style="796" customWidth="1"/>
    <col min="10" max="10" width="29.109375" style="189" customWidth="1"/>
    <col min="11" max="11" width="18" style="189" hidden="1" customWidth="1"/>
    <col min="12" max="12" width="18.109375" style="189" hidden="1" customWidth="1"/>
    <col min="13" max="13" width="11.5546875" style="189" hidden="1" customWidth="1"/>
    <col min="14" max="14" width="17.88671875" style="189" hidden="1" customWidth="1"/>
    <col min="15" max="15" width="18.88671875" style="189" hidden="1" customWidth="1"/>
    <col min="16" max="16" width="14" style="189" hidden="1" customWidth="1"/>
    <col min="17" max="17" width="17.88671875" style="189" customWidth="1"/>
    <col min="18" max="18" width="18" style="189" bestFit="1" customWidth="1"/>
    <col min="19" max="19" width="14" style="189" customWidth="1"/>
    <col min="20" max="20" width="18" style="189" bestFit="1" customWidth="1"/>
    <col min="21" max="21" width="18.88671875" style="189" bestFit="1" customWidth="1"/>
    <col min="22" max="22" width="11.5546875" style="189" bestFit="1" customWidth="1"/>
    <col min="23" max="16384" width="11.44140625" style="189"/>
  </cols>
  <sheetData>
    <row r="1" spans="1:22" s="148" customFormat="1" ht="51.7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28" t="s">
        <v>656</v>
      </c>
      <c r="U1" s="1303"/>
      <c r="V1" s="1304"/>
    </row>
    <row r="2" spans="1:22"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29" t="s">
        <v>41</v>
      </c>
      <c r="U2" s="1305"/>
      <c r="V2" s="1306"/>
    </row>
    <row r="3" spans="1:22"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148" customFormat="1" ht="12.75" customHeight="1" x14ac:dyDescent="0.3">
      <c r="A7" s="1291" t="s">
        <v>657</v>
      </c>
      <c r="B7" s="1292"/>
      <c r="C7" s="1292"/>
      <c r="D7" s="1292"/>
      <c r="E7" s="1292"/>
      <c r="F7" s="1292"/>
      <c r="G7" s="1292"/>
      <c r="H7" s="1292"/>
      <c r="I7" s="1292"/>
      <c r="J7" s="1292"/>
      <c r="K7" s="1292"/>
      <c r="L7" s="1292"/>
      <c r="M7" s="1292"/>
      <c r="N7" s="1292"/>
      <c r="O7" s="1292"/>
      <c r="P7" s="1292"/>
      <c r="Q7" s="1292"/>
      <c r="R7" s="1292"/>
      <c r="S7" s="1292"/>
      <c r="T7" s="1292"/>
      <c r="U7" s="1292"/>
      <c r="V7" s="1292"/>
    </row>
    <row r="8" spans="1:22" s="148"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s="148" customFormat="1" ht="13.5" customHeight="1" x14ac:dyDescent="0.3">
      <c r="A10" s="1292" t="s">
        <v>658</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148" customFormat="1" ht="13.5" customHeight="1" x14ac:dyDescent="0.3">
      <c r="A11" s="294"/>
      <c r="B11" s="1318"/>
      <c r="C11" s="1320"/>
      <c r="D11" s="1320"/>
      <c r="E11" s="1320"/>
      <c r="F11" s="1320"/>
      <c r="G11" s="1320"/>
      <c r="H11" s="1320"/>
      <c r="I11" s="1320"/>
      <c r="J11" s="1320"/>
      <c r="K11" s="1293" t="s">
        <v>46</v>
      </c>
      <c r="L11" s="1294"/>
      <c r="M11" s="1295"/>
      <c r="N11" s="1293" t="s">
        <v>677</v>
      </c>
      <c r="O11" s="1294"/>
      <c r="P11" s="1295"/>
      <c r="Q11" s="1293" t="s">
        <v>2318</v>
      </c>
      <c r="R11" s="1294"/>
      <c r="S11" s="1295"/>
      <c r="T11" s="1299" t="s">
        <v>49</v>
      </c>
      <c r="U11" s="1299"/>
      <c r="V11" s="1299"/>
    </row>
    <row r="12" spans="1:22" s="148" customFormat="1"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300"/>
      <c r="U12" s="1300"/>
      <c r="V12" s="1300"/>
    </row>
    <row r="13" spans="1:22" ht="28.8" x14ac:dyDescent="0.3">
      <c r="A13" s="209" t="s">
        <v>50</v>
      </c>
      <c r="B13" s="209" t="s">
        <v>51</v>
      </c>
      <c r="C13" s="209" t="s">
        <v>52</v>
      </c>
      <c r="D13" s="209" t="s">
        <v>164</v>
      </c>
      <c r="E13" s="209" t="s">
        <v>54</v>
      </c>
      <c r="F13" s="210" t="s">
        <v>55</v>
      </c>
      <c r="G13" s="821" t="s">
        <v>2007</v>
      </c>
      <c r="H13" s="209" t="s">
        <v>56</v>
      </c>
      <c r="I13" s="822" t="s">
        <v>56</v>
      </c>
      <c r="J13" s="209" t="s">
        <v>57</v>
      </c>
      <c r="K13" s="172" t="s">
        <v>54</v>
      </c>
      <c r="L13" s="173" t="s">
        <v>56</v>
      </c>
      <c r="M13" s="28" t="s">
        <v>58</v>
      </c>
      <c r="N13" s="28" t="s">
        <v>54</v>
      </c>
      <c r="O13" s="28" t="s">
        <v>56</v>
      </c>
      <c r="P13" s="28" t="s">
        <v>58</v>
      </c>
      <c r="Q13" s="28" t="s">
        <v>54</v>
      </c>
      <c r="R13" s="28" t="s">
        <v>56</v>
      </c>
      <c r="S13" s="28" t="s">
        <v>58</v>
      </c>
      <c r="T13" s="174" t="s">
        <v>54</v>
      </c>
      <c r="U13" s="172" t="s">
        <v>56</v>
      </c>
      <c r="V13" s="28" t="s">
        <v>58</v>
      </c>
    </row>
    <row r="14" spans="1:22" ht="30" customHeight="1" x14ac:dyDescent="0.3">
      <c r="A14" s="1314" t="s">
        <v>286</v>
      </c>
      <c r="B14" s="1315" t="s">
        <v>653</v>
      </c>
      <c r="C14" s="295" t="s">
        <v>649</v>
      </c>
      <c r="D14" s="295" t="s">
        <v>650</v>
      </c>
      <c r="E14" s="295">
        <v>1</v>
      </c>
      <c r="F14" s="192">
        <v>30225442</v>
      </c>
      <c r="G14" s="32">
        <f>+ROUND(F14*1.051,0)</f>
        <v>31766940</v>
      </c>
      <c r="H14" s="192">
        <f>ROUND((E14*F14),0)</f>
        <v>30225442</v>
      </c>
      <c r="I14" s="32">
        <f>+ROUND(G14*E14,0)</f>
        <v>31766940</v>
      </c>
      <c r="J14" s="1314"/>
      <c r="K14" s="158">
        <v>0</v>
      </c>
      <c r="L14" s="194">
        <f>ROUND(K14*$F$14,0)</f>
        <v>0</v>
      </c>
      <c r="M14" s="195">
        <f>L14/$H$14</f>
        <v>0</v>
      </c>
      <c r="N14" s="303">
        <f>1*0.7</f>
        <v>0.7</v>
      </c>
      <c r="O14" s="304">
        <f>ROUND(N14*$F$14,0)</f>
        <v>21157809</v>
      </c>
      <c r="P14" s="305">
        <f>O14/$H$14</f>
        <v>0.69999998676611574</v>
      </c>
      <c r="Q14" s="158">
        <v>0</v>
      </c>
      <c r="R14" s="194">
        <f>ROUND(Q14*G14,0)</f>
        <v>0</v>
      </c>
      <c r="S14" s="195">
        <f>R14/H14</f>
        <v>0</v>
      </c>
      <c r="T14" s="149">
        <f>K14+N14+Q14</f>
        <v>0.7</v>
      </c>
      <c r="U14" s="175">
        <f>L14+O14+R14</f>
        <v>21157809</v>
      </c>
      <c r="V14" s="176">
        <f>U14/H14</f>
        <v>0.69999998676611574</v>
      </c>
    </row>
    <row r="15" spans="1:22" x14ac:dyDescent="0.3">
      <c r="A15" s="1314"/>
      <c r="B15" s="1314"/>
      <c r="C15" s="196"/>
      <c r="D15" s="196" t="s">
        <v>651</v>
      </c>
      <c r="E15" s="198"/>
      <c r="F15" s="198"/>
      <c r="G15" s="198"/>
      <c r="H15" s="199">
        <f>H14</f>
        <v>30225442</v>
      </c>
      <c r="I15" s="199">
        <f>SUM(I14)</f>
        <v>31766940</v>
      </c>
      <c r="J15" s="1314"/>
      <c r="K15" s="178"/>
      <c r="L15" s="179">
        <f>L14</f>
        <v>0</v>
      </c>
      <c r="M15" s="178">
        <f>L15/$H$15</f>
        <v>0</v>
      </c>
      <c r="N15" s="306"/>
      <c r="O15" s="307">
        <f>O14</f>
        <v>21157809</v>
      </c>
      <c r="P15" s="308">
        <f>O15/$H$15</f>
        <v>0.69999998676611574</v>
      </c>
      <c r="Q15" s="306"/>
      <c r="R15" s="307">
        <f>R14</f>
        <v>0</v>
      </c>
      <c r="S15" s="308">
        <f>R15/$H$15</f>
        <v>0</v>
      </c>
      <c r="T15" s="150"/>
      <c r="U15" s="289">
        <f>L15+O15+R15</f>
        <v>21157809</v>
      </c>
      <c r="V15" s="178">
        <f>U15/H15</f>
        <v>0.69999998676611574</v>
      </c>
    </row>
    <row r="16" spans="1:22" ht="30" customHeight="1" x14ac:dyDescent="0.3">
      <c r="A16" s="1314" t="s">
        <v>286</v>
      </c>
      <c r="B16" s="1315" t="s">
        <v>284</v>
      </c>
      <c r="C16" s="295" t="s">
        <v>148</v>
      </c>
      <c r="D16" s="295" t="s">
        <v>181</v>
      </c>
      <c r="E16" s="295">
        <v>1</v>
      </c>
      <c r="F16" s="192">
        <v>6233127</v>
      </c>
      <c r="G16" s="32">
        <f>+ROUND(F16*1.051,0)</f>
        <v>6551016</v>
      </c>
      <c r="H16" s="192">
        <f>ROUND((E16*F16),0)</f>
        <v>6233127</v>
      </c>
      <c r="I16" s="32">
        <f>+ROUND(G16*E16,0)</f>
        <v>6551016</v>
      </c>
      <c r="J16" s="1314"/>
      <c r="K16" s="288">
        <v>1</v>
      </c>
      <c r="L16" s="290">
        <f>ROUND(K16*$F$16,0)</f>
        <v>6233127</v>
      </c>
      <c r="M16" s="291">
        <f>L16/$H$16</f>
        <v>1</v>
      </c>
      <c r="N16" s="158">
        <v>0</v>
      </c>
      <c r="O16" s="194">
        <f>ROUND(N16*$F$16,0)</f>
        <v>0</v>
      </c>
      <c r="P16" s="195">
        <f>O16/$H$16</f>
        <v>0</v>
      </c>
      <c r="Q16" s="158">
        <v>0</v>
      </c>
      <c r="R16" s="425">
        <f>ROUND(Q16*G16,0)</f>
        <v>0</v>
      </c>
      <c r="S16" s="426">
        <f>R16/H16</f>
        <v>0</v>
      </c>
      <c r="T16" s="149">
        <f>K16+N16+Q16</f>
        <v>1</v>
      </c>
      <c r="U16" s="175">
        <f>L16+O16+R16</f>
        <v>6233127</v>
      </c>
      <c r="V16" s="176">
        <f>U16/H16</f>
        <v>1</v>
      </c>
    </row>
    <row r="17" spans="1:22" x14ac:dyDescent="0.3">
      <c r="A17" s="1314"/>
      <c r="B17" s="1314"/>
      <c r="C17" s="196"/>
      <c r="D17" s="196" t="s">
        <v>183</v>
      </c>
      <c r="E17" s="198"/>
      <c r="F17" s="198"/>
      <c r="G17" s="198"/>
      <c r="H17" s="199">
        <f>H16</f>
        <v>6233127</v>
      </c>
      <c r="I17" s="199">
        <f>SUM(I16)</f>
        <v>6551016</v>
      </c>
      <c r="J17" s="1314"/>
      <c r="K17" s="178"/>
      <c r="L17" s="179">
        <f>L16</f>
        <v>6233127</v>
      </c>
      <c r="M17" s="178">
        <f>L17/$H$17</f>
        <v>1</v>
      </c>
      <c r="N17" s="306"/>
      <c r="O17" s="307">
        <f>O16</f>
        <v>0</v>
      </c>
      <c r="P17" s="308">
        <f>O17/$H$17</f>
        <v>0</v>
      </c>
      <c r="Q17" s="306"/>
      <c r="R17" s="307">
        <f>R16</f>
        <v>0</v>
      </c>
      <c r="S17" s="308">
        <f>R17/$H$17</f>
        <v>0</v>
      </c>
      <c r="T17" s="150"/>
      <c r="U17" s="307">
        <f>L17+O17+R17</f>
        <v>6233127</v>
      </c>
      <c r="V17" s="178">
        <f>U17/H17</f>
        <v>1</v>
      </c>
    </row>
    <row r="18" spans="1:22" x14ac:dyDescent="0.3">
      <c r="F18" s="151" t="s">
        <v>64</v>
      </c>
      <c r="G18" s="151"/>
      <c r="H18" s="181">
        <f>SUM(H14:H17)/2</f>
        <v>36458569</v>
      </c>
      <c r="I18" s="181">
        <f>SUM(I14:I17)/2</f>
        <v>38317956</v>
      </c>
      <c r="K18" s="151" t="s">
        <v>64</v>
      </c>
      <c r="L18" s="181">
        <f>SUM(L14:L17)/2</f>
        <v>6233127</v>
      </c>
      <c r="M18" s="50">
        <f>L18/$H$18</f>
        <v>0.17096466402726887</v>
      </c>
      <c r="N18" s="151" t="s">
        <v>64</v>
      </c>
      <c r="O18" s="181">
        <f>SUM(O14:O17)/2</f>
        <v>21157809</v>
      </c>
      <c r="P18" s="50">
        <f>O18/$H$18</f>
        <v>0.58032472420955417</v>
      </c>
      <c r="Q18" s="480" t="s">
        <v>64</v>
      </c>
      <c r="R18" s="481">
        <f>SUM(R14:R17)/2</f>
        <v>0</v>
      </c>
      <c r="T18" s="151" t="s">
        <v>64</v>
      </c>
      <c r="U18" s="181">
        <f>SUM(U14:U17)/2</f>
        <v>27390936</v>
      </c>
      <c r="V18" s="50">
        <f>U22/H18</f>
        <v>0.75128938823682301</v>
      </c>
    </row>
    <row r="19" spans="1:22" x14ac:dyDescent="0.3">
      <c r="F19" s="153" t="s">
        <v>65</v>
      </c>
      <c r="G19" s="816"/>
      <c r="H19" s="182">
        <v>0</v>
      </c>
      <c r="I19" s="182">
        <v>0</v>
      </c>
      <c r="K19" s="153" t="s">
        <v>65</v>
      </c>
      <c r="L19" s="182">
        <v>0</v>
      </c>
      <c r="N19" s="153" t="s">
        <v>65</v>
      </c>
      <c r="O19" s="182">
        <v>0</v>
      </c>
      <c r="Q19" s="482" t="s">
        <v>65</v>
      </c>
      <c r="R19" s="483">
        <v>0</v>
      </c>
      <c r="T19" s="153" t="s">
        <v>65</v>
      </c>
      <c r="U19" s="182">
        <v>0</v>
      </c>
    </row>
    <row r="20" spans="1:22" x14ac:dyDescent="0.3">
      <c r="F20" s="152" t="s">
        <v>64</v>
      </c>
      <c r="G20" s="817"/>
      <c r="H20" s="182">
        <f>+H18+H19</f>
        <v>36458569</v>
      </c>
      <c r="I20" s="182">
        <f>+I18+I19</f>
        <v>38317956</v>
      </c>
      <c r="K20" s="152" t="s">
        <v>64</v>
      </c>
      <c r="L20" s="182">
        <f>+L18+L19</f>
        <v>6233127</v>
      </c>
      <c r="N20" s="152" t="s">
        <v>64</v>
      </c>
      <c r="O20" s="182">
        <f>+O18+O19</f>
        <v>21157809</v>
      </c>
      <c r="Q20" s="484" t="s">
        <v>64</v>
      </c>
      <c r="R20" s="483">
        <f>+R18+R19</f>
        <v>0</v>
      </c>
      <c r="T20" s="152" t="s">
        <v>64</v>
      </c>
      <c r="U20" s="182">
        <f>+U18+U19</f>
        <v>27390936</v>
      </c>
    </row>
    <row r="21" spans="1:22" ht="26.4" x14ac:dyDescent="0.3">
      <c r="F21" s="152"/>
      <c r="G21" s="817"/>
      <c r="H21" s="182"/>
      <c r="I21" s="182"/>
      <c r="K21" s="152"/>
      <c r="L21" s="182"/>
      <c r="N21" s="152"/>
      <c r="O21" s="182"/>
      <c r="Q21" s="484" t="s">
        <v>1439</v>
      </c>
      <c r="R21" s="483">
        <f>ROUND(R20*0.015,0)</f>
        <v>0</v>
      </c>
      <c r="T21" s="484" t="s">
        <v>1439</v>
      </c>
      <c r="U21" s="182">
        <f>L21+O21+R21</f>
        <v>0</v>
      </c>
    </row>
    <row r="22" spans="1:22" ht="26.4" x14ac:dyDescent="0.3">
      <c r="F22" s="152"/>
      <c r="G22" s="817"/>
      <c r="H22" s="182"/>
      <c r="I22" s="182"/>
      <c r="K22" s="152"/>
      <c r="L22" s="182"/>
      <c r="N22" s="152"/>
      <c r="O22" s="182"/>
      <c r="Q22" s="152" t="s">
        <v>1440</v>
      </c>
      <c r="R22" s="182">
        <f>R20+R21</f>
        <v>0</v>
      </c>
      <c r="S22" s="50">
        <f>R22/$H$18</f>
        <v>0</v>
      </c>
      <c r="T22" s="152" t="s">
        <v>1440</v>
      </c>
      <c r="U22" s="182">
        <f>U20+U21</f>
        <v>27390936</v>
      </c>
    </row>
    <row r="23" spans="1:22" x14ac:dyDescent="0.3">
      <c r="F23" s="154" t="s">
        <v>66</v>
      </c>
      <c r="G23" s="818"/>
      <c r="H23" s="182">
        <f>+H20*19%</f>
        <v>6927128.1100000003</v>
      </c>
      <c r="I23" s="182">
        <f>+I20*19%</f>
        <v>7280411.6399999997</v>
      </c>
      <c r="K23" s="154" t="s">
        <v>66</v>
      </c>
      <c r="L23" s="182">
        <f>+L20*19%</f>
        <v>1184294.1300000001</v>
      </c>
      <c r="N23" s="154" t="s">
        <v>66</v>
      </c>
      <c r="O23" s="182">
        <f>+O20*19%</f>
        <v>4019983.71</v>
      </c>
      <c r="Q23" s="485" t="s">
        <v>66</v>
      </c>
      <c r="R23" s="483">
        <f>ROUND(R22*0.19,0)</f>
        <v>0</v>
      </c>
      <c r="T23" s="154" t="s">
        <v>66</v>
      </c>
      <c r="U23" s="182">
        <f>ROUND(U22*0.19,0)</f>
        <v>5204278</v>
      </c>
    </row>
    <row r="24" spans="1:22" x14ac:dyDescent="0.3">
      <c r="F24" s="155" t="s">
        <v>69</v>
      </c>
      <c r="G24" s="155"/>
      <c r="H24" s="181">
        <f>+H20+H23</f>
        <v>43385697.109999999</v>
      </c>
      <c r="I24" s="181">
        <f>+I20+I23</f>
        <v>45598367.640000001</v>
      </c>
      <c r="K24" s="155" t="s">
        <v>69</v>
      </c>
      <c r="L24" s="181">
        <f>+L20+L23</f>
        <v>7417421.1299999999</v>
      </c>
      <c r="N24" s="155" t="s">
        <v>69</v>
      </c>
      <c r="O24" s="181">
        <f>+O20+O23</f>
        <v>25177792.710000001</v>
      </c>
      <c r="Q24" s="545" t="s">
        <v>69</v>
      </c>
      <c r="R24" s="481">
        <f>R22+R23</f>
        <v>0</v>
      </c>
      <c r="T24" s="155" t="s">
        <v>69</v>
      </c>
      <c r="U24" s="181">
        <f>U22+U23</f>
        <v>32595214</v>
      </c>
    </row>
    <row r="27" spans="1:22" x14ac:dyDescent="0.3">
      <c r="A27" s="183" t="s">
        <v>67</v>
      </c>
      <c r="B27" s="184"/>
      <c r="C27" s="184"/>
      <c r="D27" s="185" t="s">
        <v>68</v>
      </c>
      <c r="K27" s="186" t="s">
        <v>70</v>
      </c>
      <c r="L27" s="187" t="s">
        <v>71</v>
      </c>
      <c r="M27" s="186" t="s">
        <v>58</v>
      </c>
      <c r="N27" s="186" t="s">
        <v>70</v>
      </c>
      <c r="O27" s="187" t="s">
        <v>71</v>
      </c>
      <c r="P27" s="186" t="s">
        <v>58</v>
      </c>
      <c r="Q27" s="186" t="s">
        <v>70</v>
      </c>
      <c r="R27" s="187" t="s">
        <v>71</v>
      </c>
      <c r="S27" s="186" t="s">
        <v>58</v>
      </c>
    </row>
    <row r="28" spans="1:22" x14ac:dyDescent="0.3">
      <c r="A28" s="183"/>
      <c r="B28" s="184"/>
      <c r="C28" s="184"/>
      <c r="D28" s="185"/>
      <c r="K28" s="69" t="s">
        <v>72</v>
      </c>
      <c r="L28" s="70">
        <f>$L$18</f>
        <v>6233127</v>
      </c>
      <c r="M28" s="71">
        <f>$M$18</f>
        <v>0.17096466402726887</v>
      </c>
      <c r="N28" s="69" t="s">
        <v>72</v>
      </c>
      <c r="O28" s="70">
        <f>$L$18</f>
        <v>6233127</v>
      </c>
      <c r="P28" s="71">
        <f>$M$18</f>
        <v>0.17096466402726887</v>
      </c>
      <c r="Q28" s="69" t="s">
        <v>72</v>
      </c>
      <c r="R28" s="70">
        <f>$L$18</f>
        <v>6233127</v>
      </c>
      <c r="S28" s="71">
        <f>$M$18</f>
        <v>0.17096466402726887</v>
      </c>
    </row>
    <row r="29" spans="1:22" x14ac:dyDescent="0.3">
      <c r="A29" s="183"/>
      <c r="B29" s="184"/>
      <c r="C29" s="184"/>
      <c r="D29" s="185"/>
      <c r="K29" s="69"/>
      <c r="L29" s="70"/>
      <c r="M29" s="71"/>
      <c r="N29" s="69" t="s">
        <v>73</v>
      </c>
      <c r="O29" s="70">
        <f>$O$18</f>
        <v>21157809</v>
      </c>
      <c r="P29" s="71">
        <f>$P$18</f>
        <v>0.58032472420955417</v>
      </c>
      <c r="Q29" s="69" t="s">
        <v>73</v>
      </c>
      <c r="R29" s="70">
        <f>$O$18</f>
        <v>21157809</v>
      </c>
      <c r="S29" s="71">
        <f>$P$18</f>
        <v>0.58032472420955417</v>
      </c>
    </row>
    <row r="30" spans="1:22" x14ac:dyDescent="0.3">
      <c r="A30" s="183"/>
      <c r="B30" s="184"/>
      <c r="C30" s="184"/>
      <c r="D30" s="185"/>
      <c r="K30" s="69"/>
      <c r="L30" s="70"/>
      <c r="M30" s="71"/>
      <c r="N30" s="69"/>
      <c r="O30" s="70"/>
      <c r="P30" s="71"/>
      <c r="Q30" s="69" t="s">
        <v>74</v>
      </c>
      <c r="R30" s="70">
        <f>$R$18</f>
        <v>0</v>
      </c>
      <c r="S30" s="71">
        <f>$S$22</f>
        <v>0</v>
      </c>
    </row>
    <row r="31" spans="1:22" x14ac:dyDescent="0.3">
      <c r="A31" s="183"/>
      <c r="B31" s="184"/>
      <c r="C31" s="184"/>
      <c r="D31" s="185"/>
      <c r="K31" s="72" t="s">
        <v>1</v>
      </c>
      <c r="L31" s="105">
        <f>SUM(L28:L28)</f>
        <v>6233127</v>
      </c>
      <c r="M31" s="73">
        <f>SUM(M28:M28)</f>
        <v>0.17096466402726887</v>
      </c>
      <c r="N31" s="72" t="s">
        <v>1</v>
      </c>
      <c r="O31" s="105">
        <f>SUM(O28:O29)</f>
        <v>27390936</v>
      </c>
      <c r="P31" s="73">
        <f>SUM(P28:P29)</f>
        <v>0.75128938823682301</v>
      </c>
      <c r="Q31" s="72" t="s">
        <v>1</v>
      </c>
      <c r="R31" s="105">
        <f>SUM(R28:R30)</f>
        <v>27390936</v>
      </c>
      <c r="S31" s="73">
        <f>SUM(S28:S30)</f>
        <v>0.75128938823682301</v>
      </c>
    </row>
    <row r="32" spans="1:22" x14ac:dyDescent="0.3">
      <c r="A32" s="183"/>
      <c r="B32" s="184"/>
      <c r="C32" s="184"/>
      <c r="D32" s="185"/>
      <c r="K32" s="72" t="s">
        <v>9</v>
      </c>
      <c r="L32" s="1285"/>
      <c r="M32" s="1286"/>
      <c r="N32" s="72" t="s">
        <v>9</v>
      </c>
      <c r="O32" s="1285"/>
      <c r="P32" s="1286"/>
      <c r="Q32" s="72" t="s">
        <v>9</v>
      </c>
      <c r="R32" s="1285"/>
      <c r="S32" s="1286"/>
    </row>
    <row r="33" spans="1:19" x14ac:dyDescent="0.3">
      <c r="A33" s="183"/>
      <c r="B33" s="184"/>
      <c r="C33" s="184"/>
      <c r="D33" s="185"/>
      <c r="K33" s="156" t="s">
        <v>78</v>
      </c>
      <c r="L33" s="1285" t="s">
        <v>654</v>
      </c>
      <c r="M33" s="1286"/>
      <c r="N33" s="156" t="s">
        <v>78</v>
      </c>
      <c r="O33" s="1285" t="s">
        <v>654</v>
      </c>
      <c r="P33" s="1286"/>
      <c r="Q33" s="156" t="s">
        <v>78</v>
      </c>
      <c r="R33" s="1285" t="s">
        <v>654</v>
      </c>
      <c r="S33" s="1286"/>
    </row>
    <row r="34" spans="1:19" x14ac:dyDescent="0.3">
      <c r="A34" s="183"/>
      <c r="B34" s="184"/>
      <c r="C34" s="184"/>
      <c r="D34" s="185"/>
      <c r="K34" s="157" t="s">
        <v>8</v>
      </c>
      <c r="L34" s="1287" t="s">
        <v>655</v>
      </c>
      <c r="M34" s="1288"/>
      <c r="N34" s="157" t="s">
        <v>8</v>
      </c>
      <c r="O34" s="1287" t="s">
        <v>655</v>
      </c>
      <c r="P34" s="1288"/>
      <c r="Q34" s="157" t="s">
        <v>8</v>
      </c>
      <c r="R34" s="1287" t="s">
        <v>655</v>
      </c>
      <c r="S34" s="1288"/>
    </row>
    <row r="35" spans="1:19" x14ac:dyDescent="0.3">
      <c r="A35" s="183"/>
      <c r="B35" s="184"/>
      <c r="C35" s="184"/>
      <c r="D35" s="185" t="s">
        <v>75</v>
      </c>
    </row>
    <row r="36" spans="1:19" x14ac:dyDescent="0.3">
      <c r="A36" s="183" t="s">
        <v>76</v>
      </c>
      <c r="B36" s="180"/>
      <c r="C36" s="180"/>
      <c r="D36" s="185" t="s">
        <v>77</v>
      </c>
    </row>
    <row r="37" spans="1:19" ht="26.4" x14ac:dyDescent="0.3">
      <c r="A37" s="183" t="s">
        <v>79</v>
      </c>
      <c r="B37" s="180"/>
      <c r="C37" s="180"/>
      <c r="D37" s="185" t="s">
        <v>80</v>
      </c>
    </row>
    <row r="38" spans="1:19" x14ac:dyDescent="0.3">
      <c r="A38" s="52"/>
      <c r="B38" s="52"/>
      <c r="C38" s="52"/>
      <c r="D38" s="52"/>
    </row>
  </sheetData>
  <sheetProtection formatCells="0" formatColumns="0" formatRows="0" insertColumns="0" insertRows="0" insertHyperlinks="0" deleteColumns="0" deleteRows="0" sort="0" autoFilter="0" pivotTables="0"/>
  <mergeCells count="32">
    <mergeCell ref="A5:V5"/>
    <mergeCell ref="A6:V6"/>
    <mergeCell ref="A14:A15"/>
    <mergeCell ref="B14:B15"/>
    <mergeCell ref="J14:J15"/>
    <mergeCell ref="A7:V7"/>
    <mergeCell ref="A8:V8"/>
    <mergeCell ref="A9:V9"/>
    <mergeCell ref="A10:V10"/>
    <mergeCell ref="T11:V12"/>
    <mergeCell ref="Q11:S12"/>
    <mergeCell ref="T1:V1"/>
    <mergeCell ref="T2:V2"/>
    <mergeCell ref="A3:V3"/>
    <mergeCell ref="A4:V4"/>
    <mergeCell ref="C1:S2"/>
    <mergeCell ref="A16:A17"/>
    <mergeCell ref="B16:B17"/>
    <mergeCell ref="J16:J17"/>
    <mergeCell ref="N11:P12"/>
    <mergeCell ref="O32:P32"/>
    <mergeCell ref="B11:J11"/>
    <mergeCell ref="K11:M12"/>
    <mergeCell ref="B12:J12"/>
    <mergeCell ref="R32:S32"/>
    <mergeCell ref="R33:S33"/>
    <mergeCell ref="R34:S34"/>
    <mergeCell ref="L32:M32"/>
    <mergeCell ref="L33:M33"/>
    <mergeCell ref="L34:M34"/>
    <mergeCell ref="O33:P33"/>
    <mergeCell ref="O34:P34"/>
  </mergeCells>
  <pageMargins left="0.7" right="0.7" top="0.75" bottom="0.75" header="0.3" footer="0.3"/>
  <pageSetup scale="46" fitToHeight="0" orientation="landscape" r:id="rId1"/>
  <drawing r:id="rId2"/>
  <legacyDrawingHF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tabColor theme="1"/>
  </sheetPr>
  <dimension ref="A1:G49"/>
  <sheetViews>
    <sheetView topLeftCell="A12" zoomScaleNormal="100" zoomScaleSheetLayoutView="80" workbookViewId="0">
      <selection activeCell="A12" sqref="A12:J12"/>
    </sheetView>
  </sheetViews>
  <sheetFormatPr baseColWidth="10" defaultRowHeight="14.4" x14ac:dyDescent="0.3"/>
  <cols>
    <col min="1" max="1" width="24" style="189" customWidth="1"/>
    <col min="2" max="3" width="11.44140625" style="189"/>
    <col min="4" max="4" width="5.6640625" style="189" customWidth="1"/>
    <col min="5" max="6" width="11.44140625" style="189"/>
    <col min="7" max="7" width="23.6640625" style="189" customWidth="1"/>
    <col min="8" max="256" width="11.44140625" style="189"/>
    <col min="257" max="257" width="24" style="189" customWidth="1"/>
    <col min="258" max="259" width="11.44140625" style="189"/>
    <col min="260" max="260" width="5.6640625" style="189" customWidth="1"/>
    <col min="261" max="262" width="11.44140625" style="189"/>
    <col min="263" max="263" width="23.6640625" style="189" customWidth="1"/>
    <col min="264" max="512" width="11.44140625" style="189"/>
    <col min="513" max="513" width="24" style="189" customWidth="1"/>
    <col min="514" max="515" width="11.44140625" style="189"/>
    <col min="516" max="516" width="5.6640625" style="189" customWidth="1"/>
    <col min="517" max="518" width="11.44140625" style="189"/>
    <col min="519" max="519" width="23.6640625" style="189" customWidth="1"/>
    <col min="520" max="768" width="11.44140625" style="189"/>
    <col min="769" max="769" width="24" style="189" customWidth="1"/>
    <col min="770" max="771" width="11.44140625" style="189"/>
    <col min="772" max="772" width="5.6640625" style="189" customWidth="1"/>
    <col min="773" max="774" width="11.44140625" style="189"/>
    <col min="775" max="775" width="23.6640625" style="189" customWidth="1"/>
    <col min="776" max="1024" width="11.44140625" style="189"/>
    <col min="1025" max="1025" width="24" style="189" customWidth="1"/>
    <col min="1026" max="1027" width="11.44140625" style="189"/>
    <col min="1028" max="1028" width="5.6640625" style="189" customWidth="1"/>
    <col min="1029" max="1030" width="11.44140625" style="189"/>
    <col min="1031" max="1031" width="23.6640625" style="189" customWidth="1"/>
    <col min="1032" max="1280" width="11.44140625" style="189"/>
    <col min="1281" max="1281" width="24" style="189" customWidth="1"/>
    <col min="1282" max="1283" width="11.44140625" style="189"/>
    <col min="1284" max="1284" width="5.6640625" style="189" customWidth="1"/>
    <col min="1285" max="1286" width="11.44140625" style="189"/>
    <col min="1287" max="1287" width="23.6640625" style="189" customWidth="1"/>
    <col min="1288" max="1536" width="11.44140625" style="189"/>
    <col min="1537" max="1537" width="24" style="189" customWidth="1"/>
    <col min="1538" max="1539" width="11.44140625" style="189"/>
    <col min="1540" max="1540" width="5.6640625" style="189" customWidth="1"/>
    <col min="1541" max="1542" width="11.44140625" style="189"/>
    <col min="1543" max="1543" width="23.6640625" style="189" customWidth="1"/>
    <col min="1544" max="1792" width="11.44140625" style="189"/>
    <col min="1793" max="1793" width="24" style="189" customWidth="1"/>
    <col min="1794" max="1795" width="11.44140625" style="189"/>
    <col min="1796" max="1796" width="5.6640625" style="189" customWidth="1"/>
    <col min="1797" max="1798" width="11.44140625" style="189"/>
    <col min="1799" max="1799" width="23.6640625" style="189" customWidth="1"/>
    <col min="1800" max="2048" width="11.44140625" style="189"/>
    <col min="2049" max="2049" width="24" style="189" customWidth="1"/>
    <col min="2050" max="2051" width="11.44140625" style="189"/>
    <col min="2052" max="2052" width="5.6640625" style="189" customWidth="1"/>
    <col min="2053" max="2054" width="11.44140625" style="189"/>
    <col min="2055" max="2055" width="23.6640625" style="189" customWidth="1"/>
    <col min="2056" max="2304" width="11.44140625" style="189"/>
    <col min="2305" max="2305" width="24" style="189" customWidth="1"/>
    <col min="2306" max="2307" width="11.44140625" style="189"/>
    <col min="2308" max="2308" width="5.6640625" style="189" customWidth="1"/>
    <col min="2309" max="2310" width="11.44140625" style="189"/>
    <col min="2311" max="2311" width="23.6640625" style="189" customWidth="1"/>
    <col min="2312" max="2560" width="11.44140625" style="189"/>
    <col min="2561" max="2561" width="24" style="189" customWidth="1"/>
    <col min="2562" max="2563" width="11.44140625" style="189"/>
    <col min="2564" max="2564" width="5.6640625" style="189" customWidth="1"/>
    <col min="2565" max="2566" width="11.44140625" style="189"/>
    <col min="2567" max="2567" width="23.6640625" style="189" customWidth="1"/>
    <col min="2568" max="2816" width="11.44140625" style="189"/>
    <col min="2817" max="2817" width="24" style="189" customWidth="1"/>
    <col min="2818" max="2819" width="11.44140625" style="189"/>
    <col min="2820" max="2820" width="5.6640625" style="189" customWidth="1"/>
    <col min="2821" max="2822" width="11.44140625" style="189"/>
    <col min="2823" max="2823" width="23.6640625" style="189" customWidth="1"/>
    <col min="2824" max="3072" width="11.44140625" style="189"/>
    <col min="3073" max="3073" width="24" style="189" customWidth="1"/>
    <col min="3074" max="3075" width="11.44140625" style="189"/>
    <col min="3076" max="3076" width="5.6640625" style="189" customWidth="1"/>
    <col min="3077" max="3078" width="11.44140625" style="189"/>
    <col min="3079" max="3079" width="23.6640625" style="189" customWidth="1"/>
    <col min="3080" max="3328" width="11.44140625" style="189"/>
    <col min="3329" max="3329" width="24" style="189" customWidth="1"/>
    <col min="3330" max="3331" width="11.44140625" style="189"/>
    <col min="3332" max="3332" width="5.6640625" style="189" customWidth="1"/>
    <col min="3333" max="3334" width="11.44140625" style="189"/>
    <col min="3335" max="3335" width="23.6640625" style="189" customWidth="1"/>
    <col min="3336" max="3584" width="11.44140625" style="189"/>
    <col min="3585" max="3585" width="24" style="189" customWidth="1"/>
    <col min="3586" max="3587" width="11.44140625" style="189"/>
    <col min="3588" max="3588" width="5.6640625" style="189" customWidth="1"/>
    <col min="3589" max="3590" width="11.44140625" style="189"/>
    <col min="3591" max="3591" width="23.6640625" style="189" customWidth="1"/>
    <col min="3592" max="3840" width="11.44140625" style="189"/>
    <col min="3841" max="3841" width="24" style="189" customWidth="1"/>
    <col min="3842" max="3843" width="11.44140625" style="189"/>
    <col min="3844" max="3844" width="5.6640625" style="189" customWidth="1"/>
    <col min="3845" max="3846" width="11.44140625" style="189"/>
    <col min="3847" max="3847" width="23.6640625" style="189" customWidth="1"/>
    <col min="3848" max="4096" width="11.44140625" style="189"/>
    <col min="4097" max="4097" width="24" style="189" customWidth="1"/>
    <col min="4098" max="4099" width="11.44140625" style="189"/>
    <col min="4100" max="4100" width="5.6640625" style="189" customWidth="1"/>
    <col min="4101" max="4102" width="11.44140625" style="189"/>
    <col min="4103" max="4103" width="23.6640625" style="189" customWidth="1"/>
    <col min="4104" max="4352" width="11.44140625" style="189"/>
    <col min="4353" max="4353" width="24" style="189" customWidth="1"/>
    <col min="4354" max="4355" width="11.44140625" style="189"/>
    <col min="4356" max="4356" width="5.6640625" style="189" customWidth="1"/>
    <col min="4357" max="4358" width="11.44140625" style="189"/>
    <col min="4359" max="4359" width="23.6640625" style="189" customWidth="1"/>
    <col min="4360" max="4608" width="11.44140625" style="189"/>
    <col min="4609" max="4609" width="24" style="189" customWidth="1"/>
    <col min="4610" max="4611" width="11.44140625" style="189"/>
    <col min="4612" max="4612" width="5.6640625" style="189" customWidth="1"/>
    <col min="4613" max="4614" width="11.44140625" style="189"/>
    <col min="4615" max="4615" width="23.6640625" style="189" customWidth="1"/>
    <col min="4616" max="4864" width="11.44140625" style="189"/>
    <col min="4865" max="4865" width="24" style="189" customWidth="1"/>
    <col min="4866" max="4867" width="11.44140625" style="189"/>
    <col min="4868" max="4868" width="5.6640625" style="189" customWidth="1"/>
    <col min="4869" max="4870" width="11.44140625" style="189"/>
    <col min="4871" max="4871" width="23.6640625" style="189" customWidth="1"/>
    <col min="4872" max="5120" width="11.44140625" style="189"/>
    <col min="5121" max="5121" width="24" style="189" customWidth="1"/>
    <col min="5122" max="5123" width="11.44140625" style="189"/>
    <col min="5124" max="5124" width="5.6640625" style="189" customWidth="1"/>
    <col min="5125" max="5126" width="11.44140625" style="189"/>
    <col min="5127" max="5127" width="23.6640625" style="189" customWidth="1"/>
    <col min="5128" max="5376" width="11.44140625" style="189"/>
    <col min="5377" max="5377" width="24" style="189" customWidth="1"/>
    <col min="5378" max="5379" width="11.44140625" style="189"/>
    <col min="5380" max="5380" width="5.6640625" style="189" customWidth="1"/>
    <col min="5381" max="5382" width="11.44140625" style="189"/>
    <col min="5383" max="5383" width="23.6640625" style="189" customWidth="1"/>
    <col min="5384" max="5632" width="11.44140625" style="189"/>
    <col min="5633" max="5633" width="24" style="189" customWidth="1"/>
    <col min="5634" max="5635" width="11.44140625" style="189"/>
    <col min="5636" max="5636" width="5.6640625" style="189" customWidth="1"/>
    <col min="5637" max="5638" width="11.44140625" style="189"/>
    <col min="5639" max="5639" width="23.6640625" style="189" customWidth="1"/>
    <col min="5640" max="5888" width="11.44140625" style="189"/>
    <col min="5889" max="5889" width="24" style="189" customWidth="1"/>
    <col min="5890" max="5891" width="11.44140625" style="189"/>
    <col min="5892" max="5892" width="5.6640625" style="189" customWidth="1"/>
    <col min="5893" max="5894" width="11.44140625" style="189"/>
    <col min="5895" max="5895" width="23.6640625" style="189" customWidth="1"/>
    <col min="5896" max="6144" width="11.44140625" style="189"/>
    <col min="6145" max="6145" width="24" style="189" customWidth="1"/>
    <col min="6146" max="6147" width="11.44140625" style="189"/>
    <col min="6148" max="6148" width="5.6640625" style="189" customWidth="1"/>
    <col min="6149" max="6150" width="11.44140625" style="189"/>
    <col min="6151" max="6151" width="23.6640625" style="189" customWidth="1"/>
    <col min="6152" max="6400" width="11.44140625" style="189"/>
    <col min="6401" max="6401" width="24" style="189" customWidth="1"/>
    <col min="6402" max="6403" width="11.44140625" style="189"/>
    <col min="6404" max="6404" width="5.6640625" style="189" customWidth="1"/>
    <col min="6405" max="6406" width="11.44140625" style="189"/>
    <col min="6407" max="6407" width="23.6640625" style="189" customWidth="1"/>
    <col min="6408" max="6656" width="11.44140625" style="189"/>
    <col min="6657" max="6657" width="24" style="189" customWidth="1"/>
    <col min="6658" max="6659" width="11.44140625" style="189"/>
    <col min="6660" max="6660" width="5.6640625" style="189" customWidth="1"/>
    <col min="6661" max="6662" width="11.44140625" style="189"/>
    <col min="6663" max="6663" width="23.6640625" style="189" customWidth="1"/>
    <col min="6664" max="6912" width="11.44140625" style="189"/>
    <col min="6913" max="6913" width="24" style="189" customWidth="1"/>
    <col min="6914" max="6915" width="11.44140625" style="189"/>
    <col min="6916" max="6916" width="5.6640625" style="189" customWidth="1"/>
    <col min="6917" max="6918" width="11.44140625" style="189"/>
    <col min="6919" max="6919" width="23.6640625" style="189" customWidth="1"/>
    <col min="6920" max="7168" width="11.44140625" style="189"/>
    <col min="7169" max="7169" width="24" style="189" customWidth="1"/>
    <col min="7170" max="7171" width="11.44140625" style="189"/>
    <col min="7172" max="7172" width="5.6640625" style="189" customWidth="1"/>
    <col min="7173" max="7174" width="11.44140625" style="189"/>
    <col min="7175" max="7175" width="23.6640625" style="189" customWidth="1"/>
    <col min="7176" max="7424" width="11.44140625" style="189"/>
    <col min="7425" max="7425" width="24" style="189" customWidth="1"/>
    <col min="7426" max="7427" width="11.44140625" style="189"/>
    <col min="7428" max="7428" width="5.6640625" style="189" customWidth="1"/>
    <col min="7429" max="7430" width="11.44140625" style="189"/>
    <col min="7431" max="7431" width="23.6640625" style="189" customWidth="1"/>
    <col min="7432" max="7680" width="11.44140625" style="189"/>
    <col min="7681" max="7681" width="24" style="189" customWidth="1"/>
    <col min="7682" max="7683" width="11.44140625" style="189"/>
    <col min="7684" max="7684" width="5.6640625" style="189" customWidth="1"/>
    <col min="7685" max="7686" width="11.44140625" style="189"/>
    <col min="7687" max="7687" width="23.6640625" style="189" customWidth="1"/>
    <col min="7688" max="7936" width="11.44140625" style="189"/>
    <col min="7937" max="7937" width="24" style="189" customWidth="1"/>
    <col min="7938" max="7939" width="11.44140625" style="189"/>
    <col min="7940" max="7940" width="5.6640625" style="189" customWidth="1"/>
    <col min="7941" max="7942" width="11.44140625" style="189"/>
    <col min="7943" max="7943" width="23.6640625" style="189" customWidth="1"/>
    <col min="7944" max="8192" width="11.44140625" style="189"/>
    <col min="8193" max="8193" width="24" style="189" customWidth="1"/>
    <col min="8194" max="8195" width="11.44140625" style="189"/>
    <col min="8196" max="8196" width="5.6640625" style="189" customWidth="1"/>
    <col min="8197" max="8198" width="11.44140625" style="189"/>
    <col min="8199" max="8199" width="23.6640625" style="189" customWidth="1"/>
    <col min="8200" max="8448" width="11.44140625" style="189"/>
    <col min="8449" max="8449" width="24" style="189" customWidth="1"/>
    <col min="8450" max="8451" width="11.44140625" style="189"/>
    <col min="8452" max="8452" width="5.6640625" style="189" customWidth="1"/>
    <col min="8453" max="8454" width="11.44140625" style="189"/>
    <col min="8455" max="8455" width="23.6640625" style="189" customWidth="1"/>
    <col min="8456" max="8704" width="11.44140625" style="189"/>
    <col min="8705" max="8705" width="24" style="189" customWidth="1"/>
    <col min="8706" max="8707" width="11.44140625" style="189"/>
    <col min="8708" max="8708" width="5.6640625" style="189" customWidth="1"/>
    <col min="8709" max="8710" width="11.44140625" style="189"/>
    <col min="8711" max="8711" width="23.6640625" style="189" customWidth="1"/>
    <col min="8712" max="8960" width="11.44140625" style="189"/>
    <col min="8961" max="8961" width="24" style="189" customWidth="1"/>
    <col min="8962" max="8963" width="11.44140625" style="189"/>
    <col min="8964" max="8964" width="5.6640625" style="189" customWidth="1"/>
    <col min="8965" max="8966" width="11.44140625" style="189"/>
    <col min="8967" max="8967" width="23.6640625" style="189" customWidth="1"/>
    <col min="8968" max="9216" width="11.44140625" style="189"/>
    <col min="9217" max="9217" width="24" style="189" customWidth="1"/>
    <col min="9218" max="9219" width="11.44140625" style="189"/>
    <col min="9220" max="9220" width="5.6640625" style="189" customWidth="1"/>
    <col min="9221" max="9222" width="11.44140625" style="189"/>
    <col min="9223" max="9223" width="23.6640625" style="189" customWidth="1"/>
    <col min="9224" max="9472" width="11.44140625" style="189"/>
    <col min="9473" max="9473" width="24" style="189" customWidth="1"/>
    <col min="9474" max="9475" width="11.44140625" style="189"/>
    <col min="9476" max="9476" width="5.6640625" style="189" customWidth="1"/>
    <col min="9477" max="9478" width="11.44140625" style="189"/>
    <col min="9479" max="9479" width="23.6640625" style="189" customWidth="1"/>
    <col min="9480" max="9728" width="11.44140625" style="189"/>
    <col min="9729" max="9729" width="24" style="189" customWidth="1"/>
    <col min="9730" max="9731" width="11.44140625" style="189"/>
    <col min="9732" max="9732" width="5.6640625" style="189" customWidth="1"/>
    <col min="9733" max="9734" width="11.44140625" style="189"/>
    <col min="9735" max="9735" width="23.6640625" style="189" customWidth="1"/>
    <col min="9736" max="9984" width="11.44140625" style="189"/>
    <col min="9985" max="9985" width="24" style="189" customWidth="1"/>
    <col min="9986" max="9987" width="11.44140625" style="189"/>
    <col min="9988" max="9988" width="5.6640625" style="189" customWidth="1"/>
    <col min="9989" max="9990" width="11.44140625" style="189"/>
    <col min="9991" max="9991" width="23.6640625" style="189" customWidth="1"/>
    <col min="9992" max="10240" width="11.44140625" style="189"/>
    <col min="10241" max="10241" width="24" style="189" customWidth="1"/>
    <col min="10242" max="10243" width="11.44140625" style="189"/>
    <col min="10244" max="10244" width="5.6640625" style="189" customWidth="1"/>
    <col min="10245" max="10246" width="11.44140625" style="189"/>
    <col min="10247" max="10247" width="23.6640625" style="189" customWidth="1"/>
    <col min="10248" max="10496" width="11.44140625" style="189"/>
    <col min="10497" max="10497" width="24" style="189" customWidth="1"/>
    <col min="10498" max="10499" width="11.44140625" style="189"/>
    <col min="10500" max="10500" width="5.6640625" style="189" customWidth="1"/>
    <col min="10501" max="10502" width="11.44140625" style="189"/>
    <col min="10503" max="10503" width="23.6640625" style="189" customWidth="1"/>
    <col min="10504" max="10752" width="11.44140625" style="189"/>
    <col min="10753" max="10753" width="24" style="189" customWidth="1"/>
    <col min="10754" max="10755" width="11.44140625" style="189"/>
    <col min="10756" max="10756" width="5.6640625" style="189" customWidth="1"/>
    <col min="10757" max="10758" width="11.44140625" style="189"/>
    <col min="10759" max="10759" width="23.6640625" style="189" customWidth="1"/>
    <col min="10760" max="11008" width="11.44140625" style="189"/>
    <col min="11009" max="11009" width="24" style="189" customWidth="1"/>
    <col min="11010" max="11011" width="11.44140625" style="189"/>
    <col min="11012" max="11012" width="5.6640625" style="189" customWidth="1"/>
    <col min="11013" max="11014" width="11.44140625" style="189"/>
    <col min="11015" max="11015" width="23.6640625" style="189" customWidth="1"/>
    <col min="11016" max="11264" width="11.44140625" style="189"/>
    <col min="11265" max="11265" width="24" style="189" customWidth="1"/>
    <col min="11266" max="11267" width="11.44140625" style="189"/>
    <col min="11268" max="11268" width="5.6640625" style="189" customWidth="1"/>
    <col min="11269" max="11270" width="11.44140625" style="189"/>
    <col min="11271" max="11271" width="23.6640625" style="189" customWidth="1"/>
    <col min="11272" max="11520" width="11.44140625" style="189"/>
    <col min="11521" max="11521" width="24" style="189" customWidth="1"/>
    <col min="11522" max="11523" width="11.44140625" style="189"/>
    <col min="11524" max="11524" width="5.6640625" style="189" customWidth="1"/>
    <col min="11525" max="11526" width="11.44140625" style="189"/>
    <col min="11527" max="11527" width="23.6640625" style="189" customWidth="1"/>
    <col min="11528" max="11776" width="11.44140625" style="189"/>
    <col min="11777" max="11777" width="24" style="189" customWidth="1"/>
    <col min="11778" max="11779" width="11.44140625" style="189"/>
    <col min="11780" max="11780" width="5.6640625" style="189" customWidth="1"/>
    <col min="11781" max="11782" width="11.44140625" style="189"/>
    <col min="11783" max="11783" width="23.6640625" style="189" customWidth="1"/>
    <col min="11784" max="12032" width="11.44140625" style="189"/>
    <col min="12033" max="12033" width="24" style="189" customWidth="1"/>
    <col min="12034" max="12035" width="11.44140625" style="189"/>
    <col min="12036" max="12036" width="5.6640625" style="189" customWidth="1"/>
    <col min="12037" max="12038" width="11.44140625" style="189"/>
    <col min="12039" max="12039" width="23.6640625" style="189" customWidth="1"/>
    <col min="12040" max="12288" width="11.44140625" style="189"/>
    <col min="12289" max="12289" width="24" style="189" customWidth="1"/>
    <col min="12290" max="12291" width="11.44140625" style="189"/>
    <col min="12292" max="12292" width="5.6640625" style="189" customWidth="1"/>
    <col min="12293" max="12294" width="11.44140625" style="189"/>
    <col min="12295" max="12295" width="23.6640625" style="189" customWidth="1"/>
    <col min="12296" max="12544" width="11.44140625" style="189"/>
    <col min="12545" max="12545" width="24" style="189" customWidth="1"/>
    <col min="12546" max="12547" width="11.44140625" style="189"/>
    <col min="12548" max="12548" width="5.6640625" style="189" customWidth="1"/>
    <col min="12549" max="12550" width="11.44140625" style="189"/>
    <col min="12551" max="12551" width="23.6640625" style="189" customWidth="1"/>
    <col min="12552" max="12800" width="11.44140625" style="189"/>
    <col min="12801" max="12801" width="24" style="189" customWidth="1"/>
    <col min="12802" max="12803" width="11.44140625" style="189"/>
    <col min="12804" max="12804" width="5.6640625" style="189" customWidth="1"/>
    <col min="12805" max="12806" width="11.44140625" style="189"/>
    <col min="12807" max="12807" width="23.6640625" style="189" customWidth="1"/>
    <col min="12808" max="13056" width="11.44140625" style="189"/>
    <col min="13057" max="13057" width="24" style="189" customWidth="1"/>
    <col min="13058" max="13059" width="11.44140625" style="189"/>
    <col min="13060" max="13060" width="5.6640625" style="189" customWidth="1"/>
    <col min="13061" max="13062" width="11.44140625" style="189"/>
    <col min="13063" max="13063" width="23.6640625" style="189" customWidth="1"/>
    <col min="13064" max="13312" width="11.44140625" style="189"/>
    <col min="13313" max="13313" width="24" style="189" customWidth="1"/>
    <col min="13314" max="13315" width="11.44140625" style="189"/>
    <col min="13316" max="13316" width="5.6640625" style="189" customWidth="1"/>
    <col min="13317" max="13318" width="11.44140625" style="189"/>
    <col min="13319" max="13319" width="23.6640625" style="189" customWidth="1"/>
    <col min="13320" max="13568" width="11.44140625" style="189"/>
    <col min="13569" max="13569" width="24" style="189" customWidth="1"/>
    <col min="13570" max="13571" width="11.44140625" style="189"/>
    <col min="13572" max="13572" width="5.6640625" style="189" customWidth="1"/>
    <col min="13573" max="13574" width="11.44140625" style="189"/>
    <col min="13575" max="13575" width="23.6640625" style="189" customWidth="1"/>
    <col min="13576" max="13824" width="11.44140625" style="189"/>
    <col min="13825" max="13825" width="24" style="189" customWidth="1"/>
    <col min="13826" max="13827" width="11.44140625" style="189"/>
    <col min="13828" max="13828" width="5.6640625" style="189" customWidth="1"/>
    <col min="13829" max="13830" width="11.44140625" style="189"/>
    <col min="13831" max="13831" width="23.6640625" style="189" customWidth="1"/>
    <col min="13832" max="14080" width="11.44140625" style="189"/>
    <col min="14081" max="14081" width="24" style="189" customWidth="1"/>
    <col min="14082" max="14083" width="11.44140625" style="189"/>
    <col min="14084" max="14084" width="5.6640625" style="189" customWidth="1"/>
    <col min="14085" max="14086" width="11.44140625" style="189"/>
    <col min="14087" max="14087" width="23.6640625" style="189" customWidth="1"/>
    <col min="14088" max="14336" width="11.44140625" style="189"/>
    <col min="14337" max="14337" width="24" style="189" customWidth="1"/>
    <col min="14338" max="14339" width="11.44140625" style="189"/>
    <col min="14340" max="14340" width="5.6640625" style="189" customWidth="1"/>
    <col min="14341" max="14342" width="11.44140625" style="189"/>
    <col min="14343" max="14343" width="23.6640625" style="189" customWidth="1"/>
    <col min="14344" max="14592" width="11.44140625" style="189"/>
    <col min="14593" max="14593" width="24" style="189" customWidth="1"/>
    <col min="14594" max="14595" width="11.44140625" style="189"/>
    <col min="14596" max="14596" width="5.6640625" style="189" customWidth="1"/>
    <col min="14597" max="14598" width="11.44140625" style="189"/>
    <col min="14599" max="14599" width="23.6640625" style="189" customWidth="1"/>
    <col min="14600" max="14848" width="11.44140625" style="189"/>
    <col min="14849" max="14849" width="24" style="189" customWidth="1"/>
    <col min="14850" max="14851" width="11.44140625" style="189"/>
    <col min="14852" max="14852" width="5.6640625" style="189" customWidth="1"/>
    <col min="14853" max="14854" width="11.44140625" style="189"/>
    <col min="14855" max="14855" width="23.6640625" style="189" customWidth="1"/>
    <col min="14856" max="15104" width="11.44140625" style="189"/>
    <col min="15105" max="15105" width="24" style="189" customWidth="1"/>
    <col min="15106" max="15107" width="11.44140625" style="189"/>
    <col min="15108" max="15108" width="5.6640625" style="189" customWidth="1"/>
    <col min="15109" max="15110" width="11.44140625" style="189"/>
    <col min="15111" max="15111" width="23.6640625" style="189" customWidth="1"/>
    <col min="15112" max="15360" width="11.44140625" style="189"/>
    <col min="15361" max="15361" width="24" style="189" customWidth="1"/>
    <col min="15362" max="15363" width="11.44140625" style="189"/>
    <col min="15364" max="15364" width="5.6640625" style="189" customWidth="1"/>
    <col min="15365" max="15366" width="11.44140625" style="189"/>
    <col min="15367" max="15367" width="23.6640625" style="189" customWidth="1"/>
    <col min="15368" max="15616" width="11.44140625" style="189"/>
    <col min="15617" max="15617" width="24" style="189" customWidth="1"/>
    <col min="15618" max="15619" width="11.44140625" style="189"/>
    <col min="15620" max="15620" width="5.6640625" style="189" customWidth="1"/>
    <col min="15621" max="15622" width="11.44140625" style="189"/>
    <col min="15623" max="15623" width="23.6640625" style="189" customWidth="1"/>
    <col min="15624" max="15872" width="11.44140625" style="189"/>
    <col min="15873" max="15873" width="24" style="189" customWidth="1"/>
    <col min="15874" max="15875" width="11.44140625" style="189"/>
    <col min="15876" max="15876" width="5.6640625" style="189" customWidth="1"/>
    <col min="15877" max="15878" width="11.44140625" style="189"/>
    <col min="15879" max="15879" width="23.6640625" style="189" customWidth="1"/>
    <col min="15880" max="16128" width="11.44140625" style="189"/>
    <col min="16129" max="16129" width="24" style="189" customWidth="1"/>
    <col min="16130" max="16131" width="11.44140625" style="189"/>
    <col min="16132" max="16132" width="5.6640625" style="189" customWidth="1"/>
    <col min="16133" max="16134" width="11.44140625" style="189"/>
    <col min="16135" max="16135" width="23.6640625" style="189" customWidth="1"/>
    <col min="16136" max="16384" width="11.44140625" style="189"/>
  </cols>
  <sheetData>
    <row r="1" spans="1:7" x14ac:dyDescent="0.3">
      <c r="A1" s="1268"/>
      <c r="B1" s="1271" t="s">
        <v>623</v>
      </c>
      <c r="C1" s="1272"/>
      <c r="D1" s="1272"/>
      <c r="E1" s="1272"/>
      <c r="F1" s="1273"/>
      <c r="G1" s="262" t="s">
        <v>624</v>
      </c>
    </row>
    <row r="2" spans="1:7" x14ac:dyDescent="0.3">
      <c r="A2" s="1269"/>
      <c r="B2" s="1274"/>
      <c r="C2" s="1275"/>
      <c r="D2" s="1275"/>
      <c r="E2" s="1275"/>
      <c r="F2" s="1276"/>
      <c r="G2" s="285" t="s">
        <v>625</v>
      </c>
    </row>
    <row r="3" spans="1:7" ht="15" customHeight="1" x14ac:dyDescent="0.3">
      <c r="A3" s="1270"/>
      <c r="B3" s="1277"/>
      <c r="C3" s="1278"/>
      <c r="D3" s="1278"/>
      <c r="E3" s="1278"/>
      <c r="F3" s="1279"/>
      <c r="G3" s="261">
        <v>42934</v>
      </c>
    </row>
    <row r="4" spans="1:7" x14ac:dyDescent="0.3">
      <c r="A4" s="496"/>
      <c r="B4" s="496"/>
      <c r="C4" s="496"/>
      <c r="D4" s="496"/>
      <c r="E4" s="496"/>
      <c r="F4" s="496"/>
      <c r="G4" s="496"/>
    </row>
    <row r="5" spans="1:7" ht="55.5" customHeight="1" x14ac:dyDescent="0.3">
      <c r="A5" s="280" t="s">
        <v>626</v>
      </c>
      <c r="B5" s="1356" t="str">
        <f>+RESUMEN!G85</f>
        <v>Proyecto: CDIM_CBSGSM_R0161, Normalización y Reposición SE VICTORIA</v>
      </c>
      <c r="C5" s="1281"/>
      <c r="D5" s="1281"/>
      <c r="E5" s="1281"/>
      <c r="F5" s="1281"/>
      <c r="G5" s="1282"/>
    </row>
    <row r="6" spans="1:7" x14ac:dyDescent="0.3">
      <c r="A6" s="496"/>
      <c r="B6" s="496"/>
      <c r="C6" s="496"/>
      <c r="D6" s="496"/>
      <c r="E6" s="496"/>
      <c r="F6" s="496"/>
      <c r="G6" s="496"/>
    </row>
    <row r="7" spans="1:7" x14ac:dyDescent="0.3">
      <c r="A7" s="271" t="s">
        <v>0</v>
      </c>
      <c r="B7" s="1264" t="str">
        <f>+RESUMEN!B85</f>
        <v>D00234959</v>
      </c>
      <c r="C7" s="1265"/>
      <c r="D7" s="496"/>
      <c r="E7" s="1266" t="s">
        <v>627</v>
      </c>
      <c r="F7" s="1267"/>
      <c r="G7" s="490" t="str">
        <f>+RESUMEN!E85</f>
        <v>17-335</v>
      </c>
    </row>
    <row r="8" spans="1:7" ht="15" customHeight="1" x14ac:dyDescent="0.3">
      <c r="A8" s="271" t="s">
        <v>628</v>
      </c>
      <c r="B8" s="1264" t="str">
        <f>+RESUMEN!B85</f>
        <v>D00234959</v>
      </c>
      <c r="C8" s="1265"/>
      <c r="D8" s="496"/>
      <c r="E8" s="1266" t="s">
        <v>629</v>
      </c>
      <c r="F8" s="1267"/>
      <c r="G8" s="490" t="str">
        <f>+RESUMEN!U85</f>
        <v>Acta N° 3: Marzo</v>
      </c>
    </row>
    <row r="9" spans="1:7" x14ac:dyDescent="0.3">
      <c r="A9" s="271" t="s">
        <v>630</v>
      </c>
      <c r="B9" s="1283" t="s">
        <v>631</v>
      </c>
      <c r="C9" s="1265"/>
      <c r="D9" s="496"/>
      <c r="E9" s="1266" t="s">
        <v>632</v>
      </c>
      <c r="F9" s="1267"/>
      <c r="G9" s="497">
        <f>+RESUMEN!H85</f>
        <v>6234172</v>
      </c>
    </row>
    <row r="10" spans="1:7" x14ac:dyDescent="0.3">
      <c r="A10" s="271" t="s">
        <v>633</v>
      </c>
      <c r="B10" s="1264" t="str">
        <f>+RESUMEN!D85</f>
        <v>VICTORIA</v>
      </c>
      <c r="C10" s="1265"/>
      <c r="D10" s="496"/>
      <c r="E10" s="1266" t="s">
        <v>634</v>
      </c>
      <c r="F10" s="1267"/>
      <c r="G10" s="497">
        <f>+RESUMEN!R85</f>
        <v>0</v>
      </c>
    </row>
    <row r="11" spans="1:7" x14ac:dyDescent="0.3">
      <c r="A11" s="496"/>
      <c r="B11" s="496"/>
      <c r="C11" s="496"/>
      <c r="D11" s="496"/>
      <c r="E11" s="496"/>
      <c r="F11" s="496"/>
      <c r="G11" s="496"/>
    </row>
    <row r="12" spans="1:7" ht="88.5" customHeight="1" x14ac:dyDescent="0.3">
      <c r="A12" s="1284" t="str">
        <f>CONCATENATE("A los 5 días del mes de Diciembre se reunieron en las instalaciones"," de CODENSA S.A. E.S.P., los ingenieros ", RESUMEN!V85,"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Noviembre de 2017 y el 1 de Diciembre de 2017 para el ",RESUMEN!G85)</f>
        <v>A los 5 días del mes de Diciembre se reunieron en las instalaciones de CODENSA S.A. E.S.P., los ingenieros Ing. Paola Baratto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Noviembre de 2017 y el 1 de Diciembre de 2017 para el Proyecto: CDIM_CBSGSM_R0161, Normalización y Reposición SE VICTORIA</v>
      </c>
      <c r="B12" s="1284"/>
      <c r="C12" s="1284"/>
      <c r="D12" s="1284"/>
      <c r="E12" s="1284"/>
      <c r="F12" s="1284"/>
      <c r="G12" s="1284"/>
    </row>
    <row r="13" spans="1:7" x14ac:dyDescent="0.3">
      <c r="A13" s="496"/>
      <c r="B13" s="496"/>
      <c r="C13" s="496"/>
      <c r="D13" s="496"/>
      <c r="E13" s="496"/>
      <c r="F13" s="496"/>
      <c r="G13" s="496"/>
    </row>
    <row r="14" spans="1:7" ht="30" customHeight="1" x14ac:dyDescent="0.3">
      <c r="A14" s="1370" t="s">
        <v>1694</v>
      </c>
      <c r="B14" s="1261"/>
      <c r="C14" s="1261"/>
      <c r="D14" s="1261"/>
      <c r="E14" s="1261"/>
      <c r="F14" s="1261"/>
      <c r="G14" s="1261"/>
    </row>
    <row r="15" spans="1:7" x14ac:dyDescent="0.3">
      <c r="A15" s="496"/>
      <c r="B15" s="496"/>
      <c r="C15" s="496"/>
      <c r="D15" s="496"/>
      <c r="E15" s="496"/>
      <c r="F15" s="496"/>
      <c r="G15" s="496"/>
    </row>
    <row r="16" spans="1:7" x14ac:dyDescent="0.3">
      <c r="A16" s="1261" t="s">
        <v>1679</v>
      </c>
      <c r="B16" s="1261"/>
      <c r="C16" s="1261"/>
      <c r="D16" s="1261"/>
      <c r="E16" s="1261"/>
      <c r="F16" s="1261"/>
      <c r="G16" s="1261"/>
    </row>
    <row r="17" spans="1:7" x14ac:dyDescent="0.3">
      <c r="A17" s="496"/>
      <c r="B17" s="496"/>
      <c r="C17" s="496"/>
      <c r="D17" s="496"/>
      <c r="E17" s="496"/>
      <c r="F17" s="496"/>
      <c r="G17" s="496"/>
    </row>
    <row r="18" spans="1:7" x14ac:dyDescent="0.3">
      <c r="A18" s="496"/>
      <c r="B18" s="1262" t="s">
        <v>636</v>
      </c>
      <c r="C18" s="1262"/>
      <c r="D18" s="1262"/>
      <c r="E18" s="1262" t="s">
        <v>31</v>
      </c>
      <c r="F18" s="1262"/>
      <c r="G18" s="496"/>
    </row>
    <row r="19" spans="1:7" ht="24.75" customHeight="1" x14ac:dyDescent="0.3">
      <c r="A19" s="496"/>
      <c r="B19" s="1263" t="s">
        <v>637</v>
      </c>
      <c r="C19" s="1263"/>
      <c r="D19" s="1263"/>
      <c r="E19" s="1247">
        <f>+RESUMEN!N85</f>
        <v>0</v>
      </c>
      <c r="F19" s="1248"/>
      <c r="G19" s="496"/>
    </row>
    <row r="20" spans="1:7" ht="22.5" customHeight="1" x14ac:dyDescent="0.3">
      <c r="A20" s="496"/>
      <c r="B20" s="1244" t="s">
        <v>1498</v>
      </c>
      <c r="C20" s="1245"/>
      <c r="D20" s="1246"/>
      <c r="E20" s="1247">
        <f>+RESUMEN!Q85</f>
        <v>0</v>
      </c>
      <c r="F20" s="1248"/>
      <c r="G20" s="496"/>
    </row>
    <row r="21" spans="1:7" ht="19.5" customHeight="1" x14ac:dyDescent="0.3">
      <c r="A21" s="496"/>
      <c r="B21" s="1244" t="s">
        <v>1499</v>
      </c>
      <c r="C21" s="1245"/>
      <c r="D21" s="1246"/>
      <c r="E21" s="1247">
        <f>+RESUMEN!Q85</f>
        <v>0</v>
      </c>
      <c r="F21" s="1248"/>
      <c r="G21" s="496"/>
    </row>
    <row r="22" spans="1:7" x14ac:dyDescent="0.3">
      <c r="A22" s="496"/>
      <c r="B22" s="1254" t="s">
        <v>64</v>
      </c>
      <c r="C22" s="1254"/>
      <c r="D22" s="1254"/>
      <c r="E22" s="1255">
        <f>+RESUMEN!R85</f>
        <v>0</v>
      </c>
      <c r="F22" s="1255"/>
      <c r="G22" s="496"/>
    </row>
    <row r="23" spans="1:7" x14ac:dyDescent="0.3">
      <c r="A23" s="496"/>
      <c r="B23" s="1256" t="s">
        <v>66</v>
      </c>
      <c r="C23" s="1256"/>
      <c r="D23" s="1256"/>
      <c r="E23" s="1257">
        <f>+RESUMEN!S85</f>
        <v>0</v>
      </c>
      <c r="F23" s="1257"/>
      <c r="G23" s="496"/>
    </row>
    <row r="24" spans="1:7" x14ac:dyDescent="0.3">
      <c r="A24" s="496"/>
      <c r="B24" s="1258" t="s">
        <v>1</v>
      </c>
      <c r="C24" s="1258"/>
      <c r="D24" s="1258"/>
      <c r="E24" s="1259">
        <f>+RESUMEN!T85</f>
        <v>0</v>
      </c>
      <c r="F24" s="1259"/>
      <c r="G24" s="496"/>
    </row>
    <row r="25" spans="1:7" x14ac:dyDescent="0.3">
      <c r="A25" s="496"/>
      <c r="B25" s="496"/>
      <c r="C25" s="496"/>
      <c r="D25" s="496"/>
      <c r="E25" s="496"/>
      <c r="F25" s="496"/>
      <c r="G25" s="496"/>
    </row>
    <row r="26" spans="1:7" x14ac:dyDescent="0.3">
      <c r="A26" s="260" t="s">
        <v>638</v>
      </c>
      <c r="B26" s="260"/>
      <c r="C26" s="496"/>
      <c r="D26" s="496"/>
      <c r="E26" s="496"/>
      <c r="F26" s="496"/>
      <c r="G26" s="496"/>
    </row>
    <row r="27" spans="1:7" x14ac:dyDescent="0.3">
      <c r="A27" s="496"/>
      <c r="B27" s="498" t="s">
        <v>639</v>
      </c>
      <c r="C27" s="1260" t="s">
        <v>640</v>
      </c>
      <c r="D27" s="1260"/>
      <c r="E27" s="498" t="s">
        <v>641</v>
      </c>
      <c r="F27" s="496"/>
      <c r="G27" s="496"/>
    </row>
    <row r="28" spans="1:7" x14ac:dyDescent="0.3">
      <c r="A28" s="496"/>
      <c r="B28" s="280" t="str">
        <f>'OT17-174 USAQUEN ING BÁSICA'!Q28</f>
        <v>ACTA 1</v>
      </c>
      <c r="C28" s="1253">
        <f>+'OT17-178 BALSILLAS COD MEDIDA'!S54</f>
        <v>11139538</v>
      </c>
      <c r="D28" s="1253"/>
      <c r="E28" s="267">
        <f>+'OT17-178 BALSILLAS COD MEDIDA'!T54</f>
        <v>0.39396544397803618</v>
      </c>
      <c r="F28" s="496"/>
      <c r="G28" s="496"/>
    </row>
    <row r="29" spans="1:7" x14ac:dyDescent="0.3">
      <c r="A29" s="496"/>
      <c r="B29" s="280" t="str">
        <f>'OT17-174 USAQUEN ING BÁSICA'!Q29</f>
        <v>ACTA 2</v>
      </c>
      <c r="C29" s="1253">
        <f>+'OT17-178 BALSILLAS COD MEDIDA'!S55</f>
        <v>6922604</v>
      </c>
      <c r="D29" s="1253"/>
      <c r="E29" s="267">
        <f>+'OT17-178 BALSILLAS COD MEDIDA'!T55</f>
        <v>0.24482763632963317</v>
      </c>
      <c r="F29" s="496"/>
      <c r="G29" s="496"/>
    </row>
    <row r="30" spans="1:7" x14ac:dyDescent="0.3">
      <c r="A30" s="496"/>
      <c r="B30" s="280" t="str">
        <f>'OT17-174 USAQUEN ING BÁSICA'!Q30</f>
        <v>ACTA 3</v>
      </c>
      <c r="C30" s="1253">
        <f>+'OT17-178 BALSILLAS COD MEDIDA'!S56</f>
        <v>9971961</v>
      </c>
      <c r="D30" s="1253"/>
      <c r="E30" s="267">
        <f>+'OT17-178 BALSILLAS COD MEDIDA'!T56</f>
        <v>0.35267243961972766</v>
      </c>
      <c r="F30" s="496"/>
      <c r="G30" s="496"/>
    </row>
    <row r="31" spans="1:7" x14ac:dyDescent="0.3">
      <c r="A31" s="496"/>
      <c r="B31" s="280" t="str">
        <f>+'OT17-178 BALSILLAS COD MEDIDA'!R57</f>
        <v>ACTA 4</v>
      </c>
      <c r="C31" s="1253">
        <f>+'OT17-178 BALSILLAS COD MEDIDA'!S57</f>
        <v>244935.74</v>
      </c>
      <c r="D31" s="1253"/>
      <c r="E31" s="267">
        <f>+'OT17-178 BALSILLAS COD MEDIDA'!T57</f>
        <v>8.662497273692036E-3</v>
      </c>
      <c r="F31" s="496"/>
      <c r="G31" s="496"/>
    </row>
    <row r="32" spans="1:7" x14ac:dyDescent="0.3">
      <c r="A32" s="496"/>
      <c r="B32" s="280"/>
      <c r="C32" s="1253"/>
      <c r="D32" s="1253"/>
      <c r="E32" s="267"/>
      <c r="F32" s="496"/>
      <c r="G32" s="496"/>
    </row>
    <row r="33" spans="1:7" x14ac:dyDescent="0.3">
      <c r="A33" s="496"/>
      <c r="B33" s="263" t="s">
        <v>1</v>
      </c>
      <c r="C33" s="1251">
        <f>SUM(C28:D32)</f>
        <v>28279038.739999998</v>
      </c>
      <c r="D33" s="1251"/>
      <c r="E33" s="264">
        <f>SUM(E28:E32)</f>
        <v>1.0001280172010889</v>
      </c>
      <c r="F33" s="496"/>
      <c r="G33" s="496"/>
    </row>
    <row r="34" spans="1:7" x14ac:dyDescent="0.3">
      <c r="A34" s="496"/>
      <c r="B34" s="496"/>
      <c r="C34" s="496"/>
      <c r="D34" s="496"/>
      <c r="E34" s="496"/>
      <c r="F34" s="496"/>
      <c r="G34" s="260"/>
    </row>
    <row r="35" spans="1:7" x14ac:dyDescent="0.3">
      <c r="A35" s="1252" t="s">
        <v>1500</v>
      </c>
      <c r="B35" s="1252"/>
      <c r="C35" s="1252"/>
      <c r="D35" s="1252"/>
      <c r="E35" s="1252"/>
      <c r="F35" s="1252"/>
      <c r="G35" s="1252"/>
    </row>
    <row r="36" spans="1:7" x14ac:dyDescent="0.3">
      <c r="A36" s="496"/>
      <c r="B36" s="496"/>
      <c r="C36" s="496"/>
      <c r="D36" s="496"/>
      <c r="E36" s="496"/>
      <c r="F36" s="496"/>
      <c r="G36" s="496"/>
    </row>
    <row r="37" spans="1:7" x14ac:dyDescent="0.3">
      <c r="A37" s="496"/>
      <c r="B37" s="496"/>
      <c r="C37" s="496"/>
      <c r="D37" s="496"/>
      <c r="E37" s="496"/>
      <c r="F37" s="496"/>
      <c r="G37" s="496"/>
    </row>
    <row r="38" spans="1:7" x14ac:dyDescent="0.3">
      <c r="A38" s="266"/>
      <c r="B38" s="266"/>
      <c r="C38" s="266"/>
      <c r="D38" s="496"/>
      <c r="E38" s="266"/>
      <c r="F38" s="266"/>
      <c r="G38" s="266"/>
    </row>
    <row r="39" spans="1:7" x14ac:dyDescent="0.3">
      <c r="A39" s="1250" t="str">
        <f>RESUMEN!V85</f>
        <v>Ing. Paola Baratto</v>
      </c>
      <c r="B39" s="1250"/>
      <c r="C39" s="1250"/>
      <c r="D39" s="496"/>
      <c r="E39" s="1250" t="s">
        <v>642</v>
      </c>
      <c r="F39" s="1250"/>
      <c r="G39" s="1250"/>
    </row>
    <row r="40" spans="1:7" x14ac:dyDescent="0.3">
      <c r="A40" s="1249" t="s">
        <v>643</v>
      </c>
      <c r="B40" s="1249"/>
      <c r="C40" s="1249"/>
      <c r="D40" s="496"/>
      <c r="E40" s="1249" t="s">
        <v>644</v>
      </c>
      <c r="F40" s="1249"/>
      <c r="G40" s="1249"/>
    </row>
    <row r="41" spans="1:7" x14ac:dyDescent="0.3">
      <c r="A41" s="1249" t="s">
        <v>645</v>
      </c>
      <c r="B41" s="1249"/>
      <c r="C41" s="1249"/>
      <c r="D41" s="496"/>
      <c r="E41" s="1249" t="s">
        <v>645</v>
      </c>
      <c r="F41" s="1249"/>
      <c r="G41" s="1249"/>
    </row>
    <row r="42" spans="1:7" x14ac:dyDescent="0.3">
      <c r="A42" s="496"/>
      <c r="B42" s="496"/>
      <c r="C42" s="496"/>
      <c r="D42" s="496"/>
      <c r="E42" s="496"/>
      <c r="F42" s="496"/>
      <c r="G42" s="496"/>
    </row>
    <row r="43" spans="1:7" x14ac:dyDescent="0.3">
      <c r="A43" s="496"/>
      <c r="B43" s="496"/>
      <c r="C43" s="496"/>
      <c r="D43" s="496"/>
      <c r="E43" s="496"/>
      <c r="F43" s="496"/>
      <c r="G43" s="496"/>
    </row>
    <row r="44" spans="1:7" x14ac:dyDescent="0.3">
      <c r="A44" s="496"/>
      <c r="B44" s="496"/>
      <c r="C44" s="496"/>
      <c r="D44" s="496"/>
      <c r="E44" s="496"/>
      <c r="F44" s="496"/>
      <c r="G44" s="496"/>
    </row>
    <row r="45" spans="1:7" x14ac:dyDescent="0.3">
      <c r="A45" s="266"/>
      <c r="B45" s="266"/>
      <c r="C45" s="266"/>
      <c r="D45" s="496"/>
      <c r="E45" s="266"/>
      <c r="F45" s="266"/>
      <c r="G45" s="266"/>
    </row>
    <row r="46" spans="1:7" x14ac:dyDescent="0.3">
      <c r="A46" s="1250" t="s">
        <v>646</v>
      </c>
      <c r="B46" s="1250"/>
      <c r="C46" s="1250"/>
      <c r="D46" s="496"/>
      <c r="E46" s="1250" t="s">
        <v>647</v>
      </c>
      <c r="F46" s="1250"/>
      <c r="G46" s="1250"/>
    </row>
    <row r="47" spans="1:7" x14ac:dyDescent="0.3">
      <c r="A47" s="1249" t="s">
        <v>648</v>
      </c>
      <c r="B47" s="1249"/>
      <c r="C47" s="1249"/>
      <c r="D47" s="496"/>
      <c r="E47" s="1249" t="s">
        <v>763</v>
      </c>
      <c r="F47" s="1249"/>
      <c r="G47" s="1249"/>
    </row>
    <row r="48" spans="1:7" x14ac:dyDescent="0.3">
      <c r="A48" s="1249" t="s">
        <v>645</v>
      </c>
      <c r="B48" s="1249"/>
      <c r="C48" s="1249"/>
      <c r="D48" s="496"/>
      <c r="E48" s="1249" t="s">
        <v>764</v>
      </c>
      <c r="F48" s="1249"/>
      <c r="G48" s="1249"/>
    </row>
    <row r="49" spans="2:6" x14ac:dyDescent="0.3">
      <c r="B49" s="495"/>
      <c r="C49" s="495"/>
      <c r="D49" s="496"/>
      <c r="E49" s="495"/>
      <c r="F49" s="495"/>
    </row>
  </sheetData>
  <mergeCells count="48">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2:D22"/>
    <mergeCell ref="E22:F22"/>
    <mergeCell ref="B23:D23"/>
    <mergeCell ref="E23:F23"/>
    <mergeCell ref="B24:D24"/>
    <mergeCell ref="E24:F24"/>
    <mergeCell ref="C33:D33"/>
    <mergeCell ref="C28:D28"/>
    <mergeCell ref="C29:D29"/>
    <mergeCell ref="C30:D30"/>
    <mergeCell ref="C31:D31"/>
    <mergeCell ref="C32:D32"/>
    <mergeCell ref="B21:D21"/>
    <mergeCell ref="E21:F21"/>
    <mergeCell ref="C27:D27"/>
    <mergeCell ref="A48:C48"/>
    <mergeCell ref="E48:G48"/>
    <mergeCell ref="E39:G39"/>
    <mergeCell ref="A39:C39"/>
    <mergeCell ref="A47:C47"/>
    <mergeCell ref="E47:G47"/>
    <mergeCell ref="A35:G35"/>
    <mergeCell ref="A41:C41"/>
    <mergeCell ref="E41:G41"/>
    <mergeCell ref="A40:C40"/>
    <mergeCell ref="E40:G40"/>
    <mergeCell ref="A46:C46"/>
    <mergeCell ref="E46:G46"/>
  </mergeCells>
  <pageMargins left="0.70866141732283472" right="0.70866141732283472" top="0.74803149606299213" bottom="0.74803149606299213" header="0.31496062992125984" footer="0.31496062992125984"/>
  <pageSetup scale="79" orientation="portrait" r:id="rId1"/>
  <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0">
    <tabColor rgb="FFFF0000"/>
  </sheetPr>
  <dimension ref="A1:X64"/>
  <sheetViews>
    <sheetView topLeftCell="D34" zoomScale="70" zoomScaleNormal="70" workbookViewId="0">
      <selection activeCell="A12" sqref="A11:K12"/>
    </sheetView>
  </sheetViews>
  <sheetFormatPr baseColWidth="10" defaultRowHeight="14.4" x14ac:dyDescent="0.3"/>
  <cols>
    <col min="1" max="1" width="20.6640625" style="189" customWidth="1"/>
    <col min="2" max="2" width="27.6640625" style="189" customWidth="1"/>
    <col min="3" max="3" width="41.5546875" style="189" customWidth="1"/>
    <col min="4" max="4" width="22.88671875" style="189" customWidth="1"/>
    <col min="5" max="5" width="11.5546875" style="212" bestFit="1" customWidth="1"/>
    <col min="6" max="7" width="17.88671875" style="189" bestFit="1" customWidth="1"/>
    <col min="8" max="8" width="30.88671875" style="189" customWidth="1"/>
    <col min="9" max="9" width="17.88671875" style="212" hidden="1" customWidth="1"/>
    <col min="10" max="10" width="18" style="516" hidden="1" customWidth="1"/>
    <col min="11" max="11" width="11.44140625" style="338" hidden="1" customWidth="1"/>
    <col min="12" max="12" width="17.88671875" style="212" hidden="1" customWidth="1"/>
    <col min="13" max="13" width="18" style="516" hidden="1" customWidth="1"/>
    <col min="14" max="14" width="11.44140625" style="338" hidden="1" customWidth="1"/>
    <col min="15" max="15" width="17.88671875" style="212" hidden="1" customWidth="1"/>
    <col min="16" max="16" width="18" style="516" hidden="1" customWidth="1"/>
    <col min="17" max="17" width="11.44140625" style="338" hidden="1" customWidth="1"/>
    <col min="18" max="18" width="17.88671875" style="212" bestFit="1" customWidth="1"/>
    <col min="19" max="19" width="18" style="516" bestFit="1" customWidth="1"/>
    <col min="20" max="20" width="11.44140625" style="338"/>
    <col min="21" max="21" width="17.88671875" style="212" bestFit="1" customWidth="1"/>
    <col min="22" max="22" width="18.6640625" style="516" bestFit="1" customWidth="1"/>
    <col min="23" max="23" width="11.44140625" style="338"/>
    <col min="24" max="259" width="11.44140625" style="189"/>
    <col min="260" max="260" width="20.6640625" style="189" customWidth="1"/>
    <col min="261" max="261" width="27.6640625" style="189" customWidth="1"/>
    <col min="262" max="262" width="36" style="189" customWidth="1"/>
    <col min="263" max="263" width="22.88671875" style="189" customWidth="1"/>
    <col min="264" max="264" width="11.5546875" style="189" bestFit="1" customWidth="1"/>
    <col min="265" max="266" width="17.88671875" style="189" bestFit="1" customWidth="1"/>
    <col min="267" max="267" width="30.88671875" style="189" customWidth="1"/>
    <col min="268" max="273" width="0" style="189" hidden="1" customWidth="1"/>
    <col min="274" max="274" width="17.88671875" style="189" bestFit="1" customWidth="1"/>
    <col min="275" max="275" width="18" style="189" bestFit="1" customWidth="1"/>
    <col min="276" max="276" width="11.44140625" style="189"/>
    <col min="277" max="277" width="17.88671875" style="189" bestFit="1" customWidth="1"/>
    <col min="278" max="278" width="17.33203125" style="189" bestFit="1" customWidth="1"/>
    <col min="279" max="515" width="11.44140625" style="189"/>
    <col min="516" max="516" width="20.6640625" style="189" customWidth="1"/>
    <col min="517" max="517" width="27.6640625" style="189" customWidth="1"/>
    <col min="518" max="518" width="36" style="189" customWidth="1"/>
    <col min="519" max="519" width="22.88671875" style="189" customWidth="1"/>
    <col min="520" max="520" width="11.5546875" style="189" bestFit="1" customWidth="1"/>
    <col min="521" max="522" width="17.88671875" style="189" bestFit="1" customWidth="1"/>
    <col min="523" max="523" width="30.88671875" style="189" customWidth="1"/>
    <col min="524" max="529" width="0" style="189" hidden="1" customWidth="1"/>
    <col min="530" max="530" width="17.88671875" style="189" bestFit="1" customWidth="1"/>
    <col min="531" max="531" width="18" style="189" bestFit="1" customWidth="1"/>
    <col min="532" max="532" width="11.44140625" style="189"/>
    <col min="533" max="533" width="17.88671875" style="189" bestFit="1" customWidth="1"/>
    <col min="534" max="534" width="17.33203125" style="189" bestFit="1" customWidth="1"/>
    <col min="535" max="771" width="11.44140625" style="189"/>
    <col min="772" max="772" width="20.6640625" style="189" customWidth="1"/>
    <col min="773" max="773" width="27.6640625" style="189" customWidth="1"/>
    <col min="774" max="774" width="36" style="189" customWidth="1"/>
    <col min="775" max="775" width="22.88671875" style="189" customWidth="1"/>
    <col min="776" max="776" width="11.5546875" style="189" bestFit="1" customWidth="1"/>
    <col min="777" max="778" width="17.88671875" style="189" bestFit="1" customWidth="1"/>
    <col min="779" max="779" width="30.88671875" style="189" customWidth="1"/>
    <col min="780" max="785" width="0" style="189" hidden="1" customWidth="1"/>
    <col min="786" max="786" width="17.88671875" style="189" bestFit="1" customWidth="1"/>
    <col min="787" max="787" width="18" style="189" bestFit="1" customWidth="1"/>
    <col min="788" max="788" width="11.44140625" style="189"/>
    <col min="789" max="789" width="17.88671875" style="189" bestFit="1" customWidth="1"/>
    <col min="790" max="790" width="17.33203125" style="189" bestFit="1" customWidth="1"/>
    <col min="791" max="1027" width="11.44140625" style="189"/>
    <col min="1028" max="1028" width="20.6640625" style="189" customWidth="1"/>
    <col min="1029" max="1029" width="27.6640625" style="189" customWidth="1"/>
    <col min="1030" max="1030" width="36" style="189" customWidth="1"/>
    <col min="1031" max="1031" width="22.88671875" style="189" customWidth="1"/>
    <col min="1032" max="1032" width="11.5546875" style="189" bestFit="1" customWidth="1"/>
    <col min="1033" max="1034" width="17.88671875" style="189" bestFit="1" customWidth="1"/>
    <col min="1035" max="1035" width="30.88671875" style="189" customWidth="1"/>
    <col min="1036" max="1041" width="0" style="189" hidden="1" customWidth="1"/>
    <col min="1042" max="1042" width="17.88671875" style="189" bestFit="1" customWidth="1"/>
    <col min="1043" max="1043" width="18" style="189" bestFit="1" customWidth="1"/>
    <col min="1044" max="1044" width="11.44140625" style="189"/>
    <col min="1045" max="1045" width="17.88671875" style="189" bestFit="1" customWidth="1"/>
    <col min="1046" max="1046" width="17.33203125" style="189" bestFit="1" customWidth="1"/>
    <col min="1047" max="1283" width="11.44140625" style="189"/>
    <col min="1284" max="1284" width="20.6640625" style="189" customWidth="1"/>
    <col min="1285" max="1285" width="27.6640625" style="189" customWidth="1"/>
    <col min="1286" max="1286" width="36" style="189" customWidth="1"/>
    <col min="1287" max="1287" width="22.88671875" style="189" customWidth="1"/>
    <col min="1288" max="1288" width="11.5546875" style="189" bestFit="1" customWidth="1"/>
    <col min="1289" max="1290" width="17.88671875" style="189" bestFit="1" customWidth="1"/>
    <col min="1291" max="1291" width="30.88671875" style="189" customWidth="1"/>
    <col min="1292" max="1297" width="0" style="189" hidden="1" customWidth="1"/>
    <col min="1298" max="1298" width="17.88671875" style="189" bestFit="1" customWidth="1"/>
    <col min="1299" max="1299" width="18" style="189" bestFit="1" customWidth="1"/>
    <col min="1300" max="1300" width="11.44140625" style="189"/>
    <col min="1301" max="1301" width="17.88671875" style="189" bestFit="1" customWidth="1"/>
    <col min="1302" max="1302" width="17.33203125" style="189" bestFit="1" customWidth="1"/>
    <col min="1303" max="1539" width="11.44140625" style="189"/>
    <col min="1540" max="1540" width="20.6640625" style="189" customWidth="1"/>
    <col min="1541" max="1541" width="27.6640625" style="189" customWidth="1"/>
    <col min="1542" max="1542" width="36" style="189" customWidth="1"/>
    <col min="1543" max="1543" width="22.88671875" style="189" customWidth="1"/>
    <col min="1544" max="1544" width="11.5546875" style="189" bestFit="1" customWidth="1"/>
    <col min="1545" max="1546" width="17.88671875" style="189" bestFit="1" customWidth="1"/>
    <col min="1547" max="1547" width="30.88671875" style="189" customWidth="1"/>
    <col min="1548" max="1553" width="0" style="189" hidden="1" customWidth="1"/>
    <col min="1554" max="1554" width="17.88671875" style="189" bestFit="1" customWidth="1"/>
    <col min="1555" max="1555" width="18" style="189" bestFit="1" customWidth="1"/>
    <col min="1556" max="1556" width="11.44140625" style="189"/>
    <col min="1557" max="1557" width="17.88671875" style="189" bestFit="1" customWidth="1"/>
    <col min="1558" max="1558" width="17.33203125" style="189" bestFit="1" customWidth="1"/>
    <col min="1559" max="1795" width="11.44140625" style="189"/>
    <col min="1796" max="1796" width="20.6640625" style="189" customWidth="1"/>
    <col min="1797" max="1797" width="27.6640625" style="189" customWidth="1"/>
    <col min="1798" max="1798" width="36" style="189" customWidth="1"/>
    <col min="1799" max="1799" width="22.88671875" style="189" customWidth="1"/>
    <col min="1800" max="1800" width="11.5546875" style="189" bestFit="1" customWidth="1"/>
    <col min="1801" max="1802" width="17.88671875" style="189" bestFit="1" customWidth="1"/>
    <col min="1803" max="1803" width="30.88671875" style="189" customWidth="1"/>
    <col min="1804" max="1809" width="0" style="189" hidden="1" customWidth="1"/>
    <col min="1810" max="1810" width="17.88671875" style="189" bestFit="1" customWidth="1"/>
    <col min="1811" max="1811" width="18" style="189" bestFit="1" customWidth="1"/>
    <col min="1812" max="1812" width="11.44140625" style="189"/>
    <col min="1813" max="1813" width="17.88671875" style="189" bestFit="1" customWidth="1"/>
    <col min="1814" max="1814" width="17.33203125" style="189" bestFit="1" customWidth="1"/>
    <col min="1815" max="2051" width="11.44140625" style="189"/>
    <col min="2052" max="2052" width="20.6640625" style="189" customWidth="1"/>
    <col min="2053" max="2053" width="27.6640625" style="189" customWidth="1"/>
    <col min="2054" max="2054" width="36" style="189" customWidth="1"/>
    <col min="2055" max="2055" width="22.88671875" style="189" customWidth="1"/>
    <col min="2056" max="2056" width="11.5546875" style="189" bestFit="1" customWidth="1"/>
    <col min="2057" max="2058" width="17.88671875" style="189" bestFit="1" customWidth="1"/>
    <col min="2059" max="2059" width="30.88671875" style="189" customWidth="1"/>
    <col min="2060" max="2065" width="0" style="189" hidden="1" customWidth="1"/>
    <col min="2066" max="2066" width="17.88671875" style="189" bestFit="1" customWidth="1"/>
    <col min="2067" max="2067" width="18" style="189" bestFit="1" customWidth="1"/>
    <col min="2068" max="2068" width="11.44140625" style="189"/>
    <col min="2069" max="2069" width="17.88671875" style="189" bestFit="1" customWidth="1"/>
    <col min="2070" max="2070" width="17.33203125" style="189" bestFit="1" customWidth="1"/>
    <col min="2071" max="2307" width="11.44140625" style="189"/>
    <col min="2308" max="2308" width="20.6640625" style="189" customWidth="1"/>
    <col min="2309" max="2309" width="27.6640625" style="189" customWidth="1"/>
    <col min="2310" max="2310" width="36" style="189" customWidth="1"/>
    <col min="2311" max="2311" width="22.88671875" style="189" customWidth="1"/>
    <col min="2312" max="2312" width="11.5546875" style="189" bestFit="1" customWidth="1"/>
    <col min="2313" max="2314" width="17.88671875" style="189" bestFit="1" customWidth="1"/>
    <col min="2315" max="2315" width="30.88671875" style="189" customWidth="1"/>
    <col min="2316" max="2321" width="0" style="189" hidden="1" customWidth="1"/>
    <col min="2322" max="2322" width="17.88671875" style="189" bestFit="1" customWidth="1"/>
    <col min="2323" max="2323" width="18" style="189" bestFit="1" customWidth="1"/>
    <col min="2324" max="2324" width="11.44140625" style="189"/>
    <col min="2325" max="2325" width="17.88671875" style="189" bestFit="1" customWidth="1"/>
    <col min="2326" max="2326" width="17.33203125" style="189" bestFit="1" customWidth="1"/>
    <col min="2327" max="2563" width="11.44140625" style="189"/>
    <col min="2564" max="2564" width="20.6640625" style="189" customWidth="1"/>
    <col min="2565" max="2565" width="27.6640625" style="189" customWidth="1"/>
    <col min="2566" max="2566" width="36" style="189" customWidth="1"/>
    <col min="2567" max="2567" width="22.88671875" style="189" customWidth="1"/>
    <col min="2568" max="2568" width="11.5546875" style="189" bestFit="1" customWidth="1"/>
    <col min="2569" max="2570" width="17.88671875" style="189" bestFit="1" customWidth="1"/>
    <col min="2571" max="2571" width="30.88671875" style="189" customWidth="1"/>
    <col min="2572" max="2577" width="0" style="189" hidden="1" customWidth="1"/>
    <col min="2578" max="2578" width="17.88671875" style="189" bestFit="1" customWidth="1"/>
    <col min="2579" max="2579" width="18" style="189" bestFit="1" customWidth="1"/>
    <col min="2580" max="2580" width="11.44140625" style="189"/>
    <col min="2581" max="2581" width="17.88671875" style="189" bestFit="1" customWidth="1"/>
    <col min="2582" max="2582" width="17.33203125" style="189" bestFit="1" customWidth="1"/>
    <col min="2583" max="2819" width="11.44140625" style="189"/>
    <col min="2820" max="2820" width="20.6640625" style="189" customWidth="1"/>
    <col min="2821" max="2821" width="27.6640625" style="189" customWidth="1"/>
    <col min="2822" max="2822" width="36" style="189" customWidth="1"/>
    <col min="2823" max="2823" width="22.88671875" style="189" customWidth="1"/>
    <col min="2824" max="2824" width="11.5546875" style="189" bestFit="1" customWidth="1"/>
    <col min="2825" max="2826" width="17.88671875" style="189" bestFit="1" customWidth="1"/>
    <col min="2827" max="2827" width="30.88671875" style="189" customWidth="1"/>
    <col min="2828" max="2833" width="0" style="189" hidden="1" customWidth="1"/>
    <col min="2834" max="2834" width="17.88671875" style="189" bestFit="1" customWidth="1"/>
    <col min="2835" max="2835" width="18" style="189" bestFit="1" customWidth="1"/>
    <col min="2836" max="2836" width="11.44140625" style="189"/>
    <col min="2837" max="2837" width="17.88671875" style="189" bestFit="1" customWidth="1"/>
    <col min="2838" max="2838" width="17.33203125" style="189" bestFit="1" customWidth="1"/>
    <col min="2839" max="3075" width="11.44140625" style="189"/>
    <col min="3076" max="3076" width="20.6640625" style="189" customWidth="1"/>
    <col min="3077" max="3077" width="27.6640625" style="189" customWidth="1"/>
    <col min="3078" max="3078" width="36" style="189" customWidth="1"/>
    <col min="3079" max="3079" width="22.88671875" style="189" customWidth="1"/>
    <col min="3080" max="3080" width="11.5546875" style="189" bestFit="1" customWidth="1"/>
    <col min="3081" max="3082" width="17.88671875" style="189" bestFit="1" customWidth="1"/>
    <col min="3083" max="3083" width="30.88671875" style="189" customWidth="1"/>
    <col min="3084" max="3089" width="0" style="189" hidden="1" customWidth="1"/>
    <col min="3090" max="3090" width="17.88671875" style="189" bestFit="1" customWidth="1"/>
    <col min="3091" max="3091" width="18" style="189" bestFit="1" customWidth="1"/>
    <col min="3092" max="3092" width="11.44140625" style="189"/>
    <col min="3093" max="3093" width="17.88671875" style="189" bestFit="1" customWidth="1"/>
    <col min="3094" max="3094" width="17.33203125" style="189" bestFit="1" customWidth="1"/>
    <col min="3095" max="3331" width="11.44140625" style="189"/>
    <col min="3332" max="3332" width="20.6640625" style="189" customWidth="1"/>
    <col min="3333" max="3333" width="27.6640625" style="189" customWidth="1"/>
    <col min="3334" max="3334" width="36" style="189" customWidth="1"/>
    <col min="3335" max="3335" width="22.88671875" style="189" customWidth="1"/>
    <col min="3336" max="3336" width="11.5546875" style="189" bestFit="1" customWidth="1"/>
    <col min="3337" max="3338" width="17.88671875" style="189" bestFit="1" customWidth="1"/>
    <col min="3339" max="3339" width="30.88671875" style="189" customWidth="1"/>
    <col min="3340" max="3345" width="0" style="189" hidden="1" customWidth="1"/>
    <col min="3346" max="3346" width="17.88671875" style="189" bestFit="1" customWidth="1"/>
    <col min="3347" max="3347" width="18" style="189" bestFit="1" customWidth="1"/>
    <col min="3348" max="3348" width="11.44140625" style="189"/>
    <col min="3349" max="3349" width="17.88671875" style="189" bestFit="1" customWidth="1"/>
    <col min="3350" max="3350" width="17.33203125" style="189" bestFit="1" customWidth="1"/>
    <col min="3351" max="3587" width="11.44140625" style="189"/>
    <col min="3588" max="3588" width="20.6640625" style="189" customWidth="1"/>
    <col min="3589" max="3589" width="27.6640625" style="189" customWidth="1"/>
    <col min="3590" max="3590" width="36" style="189" customWidth="1"/>
    <col min="3591" max="3591" width="22.88671875" style="189" customWidth="1"/>
    <col min="3592" max="3592" width="11.5546875" style="189" bestFit="1" customWidth="1"/>
    <col min="3593" max="3594" width="17.88671875" style="189" bestFit="1" customWidth="1"/>
    <col min="3595" max="3595" width="30.88671875" style="189" customWidth="1"/>
    <col min="3596" max="3601" width="0" style="189" hidden="1" customWidth="1"/>
    <col min="3602" max="3602" width="17.88671875" style="189" bestFit="1" customWidth="1"/>
    <col min="3603" max="3603" width="18" style="189" bestFit="1" customWidth="1"/>
    <col min="3604" max="3604" width="11.44140625" style="189"/>
    <col min="3605" max="3605" width="17.88671875" style="189" bestFit="1" customWidth="1"/>
    <col min="3606" max="3606" width="17.33203125" style="189" bestFit="1" customWidth="1"/>
    <col min="3607" max="3843" width="11.44140625" style="189"/>
    <col min="3844" max="3844" width="20.6640625" style="189" customWidth="1"/>
    <col min="3845" max="3845" width="27.6640625" style="189" customWidth="1"/>
    <col min="3846" max="3846" width="36" style="189" customWidth="1"/>
    <col min="3847" max="3847" width="22.88671875" style="189" customWidth="1"/>
    <col min="3848" max="3848" width="11.5546875" style="189" bestFit="1" customWidth="1"/>
    <col min="3849" max="3850" width="17.88671875" style="189" bestFit="1" customWidth="1"/>
    <col min="3851" max="3851" width="30.88671875" style="189" customWidth="1"/>
    <col min="3852" max="3857" width="0" style="189" hidden="1" customWidth="1"/>
    <col min="3858" max="3858" width="17.88671875" style="189" bestFit="1" customWidth="1"/>
    <col min="3859" max="3859" width="18" style="189" bestFit="1" customWidth="1"/>
    <col min="3860" max="3860" width="11.44140625" style="189"/>
    <col min="3861" max="3861" width="17.88671875" style="189" bestFit="1" customWidth="1"/>
    <col min="3862" max="3862" width="17.33203125" style="189" bestFit="1" customWidth="1"/>
    <col min="3863" max="4099" width="11.44140625" style="189"/>
    <col min="4100" max="4100" width="20.6640625" style="189" customWidth="1"/>
    <col min="4101" max="4101" width="27.6640625" style="189" customWidth="1"/>
    <col min="4102" max="4102" width="36" style="189" customWidth="1"/>
    <col min="4103" max="4103" width="22.88671875" style="189" customWidth="1"/>
    <col min="4104" max="4104" width="11.5546875" style="189" bestFit="1" customWidth="1"/>
    <col min="4105" max="4106" width="17.88671875" style="189" bestFit="1" customWidth="1"/>
    <col min="4107" max="4107" width="30.88671875" style="189" customWidth="1"/>
    <col min="4108" max="4113" width="0" style="189" hidden="1" customWidth="1"/>
    <col min="4114" max="4114" width="17.88671875" style="189" bestFit="1" customWidth="1"/>
    <col min="4115" max="4115" width="18" style="189" bestFit="1" customWidth="1"/>
    <col min="4116" max="4116" width="11.44140625" style="189"/>
    <col min="4117" max="4117" width="17.88671875" style="189" bestFit="1" customWidth="1"/>
    <col min="4118" max="4118" width="17.33203125" style="189" bestFit="1" customWidth="1"/>
    <col min="4119" max="4355" width="11.44140625" style="189"/>
    <col min="4356" max="4356" width="20.6640625" style="189" customWidth="1"/>
    <col min="4357" max="4357" width="27.6640625" style="189" customWidth="1"/>
    <col min="4358" max="4358" width="36" style="189" customWidth="1"/>
    <col min="4359" max="4359" width="22.88671875" style="189" customWidth="1"/>
    <col min="4360" max="4360" width="11.5546875" style="189" bestFit="1" customWidth="1"/>
    <col min="4361" max="4362" width="17.88671875" style="189" bestFit="1" customWidth="1"/>
    <col min="4363" max="4363" width="30.88671875" style="189" customWidth="1"/>
    <col min="4364" max="4369" width="0" style="189" hidden="1" customWidth="1"/>
    <col min="4370" max="4370" width="17.88671875" style="189" bestFit="1" customWidth="1"/>
    <col min="4371" max="4371" width="18" style="189" bestFit="1" customWidth="1"/>
    <col min="4372" max="4372" width="11.44140625" style="189"/>
    <col min="4373" max="4373" width="17.88671875" style="189" bestFit="1" customWidth="1"/>
    <col min="4374" max="4374" width="17.33203125" style="189" bestFit="1" customWidth="1"/>
    <col min="4375" max="4611" width="11.44140625" style="189"/>
    <col min="4612" max="4612" width="20.6640625" style="189" customWidth="1"/>
    <col min="4613" max="4613" width="27.6640625" style="189" customWidth="1"/>
    <col min="4614" max="4614" width="36" style="189" customWidth="1"/>
    <col min="4615" max="4615" width="22.88671875" style="189" customWidth="1"/>
    <col min="4616" max="4616" width="11.5546875" style="189" bestFit="1" customWidth="1"/>
    <col min="4617" max="4618" width="17.88671875" style="189" bestFit="1" customWidth="1"/>
    <col min="4619" max="4619" width="30.88671875" style="189" customWidth="1"/>
    <col min="4620" max="4625" width="0" style="189" hidden="1" customWidth="1"/>
    <col min="4626" max="4626" width="17.88671875" style="189" bestFit="1" customWidth="1"/>
    <col min="4627" max="4627" width="18" style="189" bestFit="1" customWidth="1"/>
    <col min="4628" max="4628" width="11.44140625" style="189"/>
    <col min="4629" max="4629" width="17.88671875" style="189" bestFit="1" customWidth="1"/>
    <col min="4630" max="4630" width="17.33203125" style="189" bestFit="1" customWidth="1"/>
    <col min="4631" max="4867" width="11.44140625" style="189"/>
    <col min="4868" max="4868" width="20.6640625" style="189" customWidth="1"/>
    <col min="4869" max="4869" width="27.6640625" style="189" customWidth="1"/>
    <col min="4870" max="4870" width="36" style="189" customWidth="1"/>
    <col min="4871" max="4871" width="22.88671875" style="189" customWidth="1"/>
    <col min="4872" max="4872" width="11.5546875" style="189" bestFit="1" customWidth="1"/>
    <col min="4873" max="4874" width="17.88671875" style="189" bestFit="1" customWidth="1"/>
    <col min="4875" max="4875" width="30.88671875" style="189" customWidth="1"/>
    <col min="4876" max="4881" width="0" style="189" hidden="1" customWidth="1"/>
    <col min="4882" max="4882" width="17.88671875" style="189" bestFit="1" customWidth="1"/>
    <col min="4883" max="4883" width="18" style="189" bestFit="1" customWidth="1"/>
    <col min="4884" max="4884" width="11.44140625" style="189"/>
    <col min="4885" max="4885" width="17.88671875" style="189" bestFit="1" customWidth="1"/>
    <col min="4886" max="4886" width="17.33203125" style="189" bestFit="1" customWidth="1"/>
    <col min="4887" max="5123" width="11.44140625" style="189"/>
    <col min="5124" max="5124" width="20.6640625" style="189" customWidth="1"/>
    <col min="5125" max="5125" width="27.6640625" style="189" customWidth="1"/>
    <col min="5126" max="5126" width="36" style="189" customWidth="1"/>
    <col min="5127" max="5127" width="22.88671875" style="189" customWidth="1"/>
    <col min="5128" max="5128" width="11.5546875" style="189" bestFit="1" customWidth="1"/>
    <col min="5129" max="5130" width="17.88671875" style="189" bestFit="1" customWidth="1"/>
    <col min="5131" max="5131" width="30.88671875" style="189" customWidth="1"/>
    <col min="5132" max="5137" width="0" style="189" hidden="1" customWidth="1"/>
    <col min="5138" max="5138" width="17.88671875" style="189" bestFit="1" customWidth="1"/>
    <col min="5139" max="5139" width="18" style="189" bestFit="1" customWidth="1"/>
    <col min="5140" max="5140" width="11.44140625" style="189"/>
    <col min="5141" max="5141" width="17.88671875" style="189" bestFit="1" customWidth="1"/>
    <col min="5142" max="5142" width="17.33203125" style="189" bestFit="1" customWidth="1"/>
    <col min="5143" max="5379" width="11.44140625" style="189"/>
    <col min="5380" max="5380" width="20.6640625" style="189" customWidth="1"/>
    <col min="5381" max="5381" width="27.6640625" style="189" customWidth="1"/>
    <col min="5382" max="5382" width="36" style="189" customWidth="1"/>
    <col min="5383" max="5383" width="22.88671875" style="189" customWidth="1"/>
    <col min="5384" max="5384" width="11.5546875" style="189" bestFit="1" customWidth="1"/>
    <col min="5385" max="5386" width="17.88671875" style="189" bestFit="1" customWidth="1"/>
    <col min="5387" max="5387" width="30.88671875" style="189" customWidth="1"/>
    <col min="5388" max="5393" width="0" style="189" hidden="1" customWidth="1"/>
    <col min="5394" max="5394" width="17.88671875" style="189" bestFit="1" customWidth="1"/>
    <col min="5395" max="5395" width="18" style="189" bestFit="1" customWidth="1"/>
    <col min="5396" max="5396" width="11.44140625" style="189"/>
    <col min="5397" max="5397" width="17.88671875" style="189" bestFit="1" customWidth="1"/>
    <col min="5398" max="5398" width="17.33203125" style="189" bestFit="1" customWidth="1"/>
    <col min="5399" max="5635" width="11.44140625" style="189"/>
    <col min="5636" max="5636" width="20.6640625" style="189" customWidth="1"/>
    <col min="5637" max="5637" width="27.6640625" style="189" customWidth="1"/>
    <col min="5638" max="5638" width="36" style="189" customWidth="1"/>
    <col min="5639" max="5639" width="22.88671875" style="189" customWidth="1"/>
    <col min="5640" max="5640" width="11.5546875" style="189" bestFit="1" customWidth="1"/>
    <col min="5641" max="5642" width="17.88671875" style="189" bestFit="1" customWidth="1"/>
    <col min="5643" max="5643" width="30.88671875" style="189" customWidth="1"/>
    <col min="5644" max="5649" width="0" style="189" hidden="1" customWidth="1"/>
    <col min="5650" max="5650" width="17.88671875" style="189" bestFit="1" customWidth="1"/>
    <col min="5651" max="5651" width="18" style="189" bestFit="1" customWidth="1"/>
    <col min="5652" max="5652" width="11.44140625" style="189"/>
    <col min="5653" max="5653" width="17.88671875" style="189" bestFit="1" customWidth="1"/>
    <col min="5654" max="5654" width="17.33203125" style="189" bestFit="1" customWidth="1"/>
    <col min="5655" max="5891" width="11.44140625" style="189"/>
    <col min="5892" max="5892" width="20.6640625" style="189" customWidth="1"/>
    <col min="5893" max="5893" width="27.6640625" style="189" customWidth="1"/>
    <col min="5894" max="5894" width="36" style="189" customWidth="1"/>
    <col min="5895" max="5895" width="22.88671875" style="189" customWidth="1"/>
    <col min="5896" max="5896" width="11.5546875" style="189" bestFit="1" customWidth="1"/>
    <col min="5897" max="5898" width="17.88671875" style="189" bestFit="1" customWidth="1"/>
    <col min="5899" max="5899" width="30.88671875" style="189" customWidth="1"/>
    <col min="5900" max="5905" width="0" style="189" hidden="1" customWidth="1"/>
    <col min="5906" max="5906" width="17.88671875" style="189" bestFit="1" customWidth="1"/>
    <col min="5907" max="5907" width="18" style="189" bestFit="1" customWidth="1"/>
    <col min="5908" max="5908" width="11.44140625" style="189"/>
    <col min="5909" max="5909" width="17.88671875" style="189" bestFit="1" customWidth="1"/>
    <col min="5910" max="5910" width="17.33203125" style="189" bestFit="1" customWidth="1"/>
    <col min="5911" max="6147" width="11.44140625" style="189"/>
    <col min="6148" max="6148" width="20.6640625" style="189" customWidth="1"/>
    <col min="6149" max="6149" width="27.6640625" style="189" customWidth="1"/>
    <col min="6150" max="6150" width="36" style="189" customWidth="1"/>
    <col min="6151" max="6151" width="22.88671875" style="189" customWidth="1"/>
    <col min="6152" max="6152" width="11.5546875" style="189" bestFit="1" customWidth="1"/>
    <col min="6153" max="6154" width="17.88671875" style="189" bestFit="1" customWidth="1"/>
    <col min="6155" max="6155" width="30.88671875" style="189" customWidth="1"/>
    <col min="6156" max="6161" width="0" style="189" hidden="1" customWidth="1"/>
    <col min="6162" max="6162" width="17.88671875" style="189" bestFit="1" customWidth="1"/>
    <col min="6163" max="6163" width="18" style="189" bestFit="1" customWidth="1"/>
    <col min="6164" max="6164" width="11.44140625" style="189"/>
    <col min="6165" max="6165" width="17.88671875" style="189" bestFit="1" customWidth="1"/>
    <col min="6166" max="6166" width="17.33203125" style="189" bestFit="1" customWidth="1"/>
    <col min="6167" max="6403" width="11.44140625" style="189"/>
    <col min="6404" max="6404" width="20.6640625" style="189" customWidth="1"/>
    <col min="6405" max="6405" width="27.6640625" style="189" customWidth="1"/>
    <col min="6406" max="6406" width="36" style="189" customWidth="1"/>
    <col min="6407" max="6407" width="22.88671875" style="189" customWidth="1"/>
    <col min="6408" max="6408" width="11.5546875" style="189" bestFit="1" customWidth="1"/>
    <col min="6409" max="6410" width="17.88671875" style="189" bestFit="1" customWidth="1"/>
    <col min="6411" max="6411" width="30.88671875" style="189" customWidth="1"/>
    <col min="6412" max="6417" width="0" style="189" hidden="1" customWidth="1"/>
    <col min="6418" max="6418" width="17.88671875" style="189" bestFit="1" customWidth="1"/>
    <col min="6419" max="6419" width="18" style="189" bestFit="1" customWidth="1"/>
    <col min="6420" max="6420" width="11.44140625" style="189"/>
    <col min="6421" max="6421" width="17.88671875" style="189" bestFit="1" customWidth="1"/>
    <col min="6422" max="6422" width="17.33203125" style="189" bestFit="1" customWidth="1"/>
    <col min="6423" max="6659" width="11.44140625" style="189"/>
    <col min="6660" max="6660" width="20.6640625" style="189" customWidth="1"/>
    <col min="6661" max="6661" width="27.6640625" style="189" customWidth="1"/>
    <col min="6662" max="6662" width="36" style="189" customWidth="1"/>
    <col min="6663" max="6663" width="22.88671875" style="189" customWidth="1"/>
    <col min="6664" max="6664" width="11.5546875" style="189" bestFit="1" customWidth="1"/>
    <col min="6665" max="6666" width="17.88671875" style="189" bestFit="1" customWidth="1"/>
    <col min="6667" max="6667" width="30.88671875" style="189" customWidth="1"/>
    <col min="6668" max="6673" width="0" style="189" hidden="1" customWidth="1"/>
    <col min="6674" max="6674" width="17.88671875" style="189" bestFit="1" customWidth="1"/>
    <col min="6675" max="6675" width="18" style="189" bestFit="1" customWidth="1"/>
    <col min="6676" max="6676" width="11.44140625" style="189"/>
    <col min="6677" max="6677" width="17.88671875" style="189" bestFit="1" customWidth="1"/>
    <col min="6678" max="6678" width="17.33203125" style="189" bestFit="1" customWidth="1"/>
    <col min="6679" max="6915" width="11.44140625" style="189"/>
    <col min="6916" max="6916" width="20.6640625" style="189" customWidth="1"/>
    <col min="6917" max="6917" width="27.6640625" style="189" customWidth="1"/>
    <col min="6918" max="6918" width="36" style="189" customWidth="1"/>
    <col min="6919" max="6919" width="22.88671875" style="189" customWidth="1"/>
    <col min="6920" max="6920" width="11.5546875" style="189" bestFit="1" customWidth="1"/>
    <col min="6921" max="6922" width="17.88671875" style="189" bestFit="1" customWidth="1"/>
    <col min="6923" max="6923" width="30.88671875" style="189" customWidth="1"/>
    <col min="6924" max="6929" width="0" style="189" hidden="1" customWidth="1"/>
    <col min="6930" max="6930" width="17.88671875" style="189" bestFit="1" customWidth="1"/>
    <col min="6931" max="6931" width="18" style="189" bestFit="1" customWidth="1"/>
    <col min="6932" max="6932" width="11.44140625" style="189"/>
    <col min="6933" max="6933" width="17.88671875" style="189" bestFit="1" customWidth="1"/>
    <col min="6934" max="6934" width="17.33203125" style="189" bestFit="1" customWidth="1"/>
    <col min="6935" max="7171" width="11.44140625" style="189"/>
    <col min="7172" max="7172" width="20.6640625" style="189" customWidth="1"/>
    <col min="7173" max="7173" width="27.6640625" style="189" customWidth="1"/>
    <col min="7174" max="7174" width="36" style="189" customWidth="1"/>
    <col min="7175" max="7175" width="22.88671875" style="189" customWidth="1"/>
    <col min="7176" max="7176" width="11.5546875" style="189" bestFit="1" customWidth="1"/>
    <col min="7177" max="7178" width="17.88671875" style="189" bestFit="1" customWidth="1"/>
    <col min="7179" max="7179" width="30.88671875" style="189" customWidth="1"/>
    <col min="7180" max="7185" width="0" style="189" hidden="1" customWidth="1"/>
    <col min="7186" max="7186" width="17.88671875" style="189" bestFit="1" customWidth="1"/>
    <col min="7187" max="7187" width="18" style="189" bestFit="1" customWidth="1"/>
    <col min="7188" max="7188" width="11.44140625" style="189"/>
    <col min="7189" max="7189" width="17.88671875" style="189" bestFit="1" customWidth="1"/>
    <col min="7190" max="7190" width="17.33203125" style="189" bestFit="1" customWidth="1"/>
    <col min="7191" max="7427" width="11.44140625" style="189"/>
    <col min="7428" max="7428" width="20.6640625" style="189" customWidth="1"/>
    <col min="7429" max="7429" width="27.6640625" style="189" customWidth="1"/>
    <col min="7430" max="7430" width="36" style="189" customWidth="1"/>
    <col min="7431" max="7431" width="22.88671875" style="189" customWidth="1"/>
    <col min="7432" max="7432" width="11.5546875" style="189" bestFit="1" customWidth="1"/>
    <col min="7433" max="7434" width="17.88671875" style="189" bestFit="1" customWidth="1"/>
    <col min="7435" max="7435" width="30.88671875" style="189" customWidth="1"/>
    <col min="7436" max="7441" width="0" style="189" hidden="1" customWidth="1"/>
    <col min="7442" max="7442" width="17.88671875" style="189" bestFit="1" customWidth="1"/>
    <col min="7443" max="7443" width="18" style="189" bestFit="1" customWidth="1"/>
    <col min="7444" max="7444" width="11.44140625" style="189"/>
    <col min="7445" max="7445" width="17.88671875" style="189" bestFit="1" customWidth="1"/>
    <col min="7446" max="7446" width="17.33203125" style="189" bestFit="1" customWidth="1"/>
    <col min="7447" max="7683" width="11.44140625" style="189"/>
    <col min="7684" max="7684" width="20.6640625" style="189" customWidth="1"/>
    <col min="7685" max="7685" width="27.6640625" style="189" customWidth="1"/>
    <col min="7686" max="7686" width="36" style="189" customWidth="1"/>
    <col min="7687" max="7687" width="22.88671875" style="189" customWidth="1"/>
    <col min="7688" max="7688" width="11.5546875" style="189" bestFit="1" customWidth="1"/>
    <col min="7689" max="7690" width="17.88671875" style="189" bestFit="1" customWidth="1"/>
    <col min="7691" max="7691" width="30.88671875" style="189" customWidth="1"/>
    <col min="7692" max="7697" width="0" style="189" hidden="1" customWidth="1"/>
    <col min="7698" max="7698" width="17.88671875" style="189" bestFit="1" customWidth="1"/>
    <col min="7699" max="7699" width="18" style="189" bestFit="1" customWidth="1"/>
    <col min="7700" max="7700" width="11.44140625" style="189"/>
    <col min="7701" max="7701" width="17.88671875" style="189" bestFit="1" customWidth="1"/>
    <col min="7702" max="7702" width="17.33203125" style="189" bestFit="1" customWidth="1"/>
    <col min="7703" max="7939" width="11.44140625" style="189"/>
    <col min="7940" max="7940" width="20.6640625" style="189" customWidth="1"/>
    <col min="7941" max="7941" width="27.6640625" style="189" customWidth="1"/>
    <col min="7942" max="7942" width="36" style="189" customWidth="1"/>
    <col min="7943" max="7943" width="22.88671875" style="189" customWidth="1"/>
    <col min="7944" max="7944" width="11.5546875" style="189" bestFit="1" customWidth="1"/>
    <col min="7945" max="7946" width="17.88671875" style="189" bestFit="1" customWidth="1"/>
    <col min="7947" max="7947" width="30.88671875" style="189" customWidth="1"/>
    <col min="7948" max="7953" width="0" style="189" hidden="1" customWidth="1"/>
    <col min="7954" max="7954" width="17.88671875" style="189" bestFit="1" customWidth="1"/>
    <col min="7955" max="7955" width="18" style="189" bestFit="1" customWidth="1"/>
    <col min="7956" max="7956" width="11.44140625" style="189"/>
    <col min="7957" max="7957" width="17.88671875" style="189" bestFit="1" customWidth="1"/>
    <col min="7958" max="7958" width="17.33203125" style="189" bestFit="1" customWidth="1"/>
    <col min="7959" max="8195" width="11.44140625" style="189"/>
    <col min="8196" max="8196" width="20.6640625" style="189" customWidth="1"/>
    <col min="8197" max="8197" width="27.6640625" style="189" customWidth="1"/>
    <col min="8198" max="8198" width="36" style="189" customWidth="1"/>
    <col min="8199" max="8199" width="22.88671875" style="189" customWidth="1"/>
    <col min="8200" max="8200" width="11.5546875" style="189" bestFit="1" customWidth="1"/>
    <col min="8201" max="8202" width="17.88671875" style="189" bestFit="1" customWidth="1"/>
    <col min="8203" max="8203" width="30.88671875" style="189" customWidth="1"/>
    <col min="8204" max="8209" width="0" style="189" hidden="1" customWidth="1"/>
    <col min="8210" max="8210" width="17.88671875" style="189" bestFit="1" customWidth="1"/>
    <col min="8211" max="8211" width="18" style="189" bestFit="1" customWidth="1"/>
    <col min="8212" max="8212" width="11.44140625" style="189"/>
    <col min="8213" max="8213" width="17.88671875" style="189" bestFit="1" customWidth="1"/>
    <col min="8214" max="8214" width="17.33203125" style="189" bestFit="1" customWidth="1"/>
    <col min="8215" max="8451" width="11.44140625" style="189"/>
    <col min="8452" max="8452" width="20.6640625" style="189" customWidth="1"/>
    <col min="8453" max="8453" width="27.6640625" style="189" customWidth="1"/>
    <col min="8454" max="8454" width="36" style="189" customWidth="1"/>
    <col min="8455" max="8455" width="22.88671875" style="189" customWidth="1"/>
    <col min="8456" max="8456" width="11.5546875" style="189" bestFit="1" customWidth="1"/>
    <col min="8457" max="8458" width="17.88671875" style="189" bestFit="1" customWidth="1"/>
    <col min="8459" max="8459" width="30.88671875" style="189" customWidth="1"/>
    <col min="8460" max="8465" width="0" style="189" hidden="1" customWidth="1"/>
    <col min="8466" max="8466" width="17.88671875" style="189" bestFit="1" customWidth="1"/>
    <col min="8467" max="8467" width="18" style="189" bestFit="1" customWidth="1"/>
    <col min="8468" max="8468" width="11.44140625" style="189"/>
    <col min="8469" max="8469" width="17.88671875" style="189" bestFit="1" customWidth="1"/>
    <col min="8470" max="8470" width="17.33203125" style="189" bestFit="1" customWidth="1"/>
    <col min="8471" max="8707" width="11.44140625" style="189"/>
    <col min="8708" max="8708" width="20.6640625" style="189" customWidth="1"/>
    <col min="8709" max="8709" width="27.6640625" style="189" customWidth="1"/>
    <col min="8710" max="8710" width="36" style="189" customWidth="1"/>
    <col min="8711" max="8711" width="22.88671875" style="189" customWidth="1"/>
    <col min="8712" max="8712" width="11.5546875" style="189" bestFit="1" customWidth="1"/>
    <col min="8713" max="8714" width="17.88671875" style="189" bestFit="1" customWidth="1"/>
    <col min="8715" max="8715" width="30.88671875" style="189" customWidth="1"/>
    <col min="8716" max="8721" width="0" style="189" hidden="1" customWidth="1"/>
    <col min="8722" max="8722" width="17.88671875" style="189" bestFit="1" customWidth="1"/>
    <col min="8723" max="8723" width="18" style="189" bestFit="1" customWidth="1"/>
    <col min="8724" max="8724" width="11.44140625" style="189"/>
    <col min="8725" max="8725" width="17.88671875" style="189" bestFit="1" customWidth="1"/>
    <col min="8726" max="8726" width="17.33203125" style="189" bestFit="1" customWidth="1"/>
    <col min="8727" max="8963" width="11.44140625" style="189"/>
    <col min="8964" max="8964" width="20.6640625" style="189" customWidth="1"/>
    <col min="8965" max="8965" width="27.6640625" style="189" customWidth="1"/>
    <col min="8966" max="8966" width="36" style="189" customWidth="1"/>
    <col min="8967" max="8967" width="22.88671875" style="189" customWidth="1"/>
    <col min="8968" max="8968" width="11.5546875" style="189" bestFit="1" customWidth="1"/>
    <col min="8969" max="8970" width="17.88671875" style="189" bestFit="1" customWidth="1"/>
    <col min="8971" max="8971" width="30.88671875" style="189" customWidth="1"/>
    <col min="8972" max="8977" width="0" style="189" hidden="1" customWidth="1"/>
    <col min="8978" max="8978" width="17.88671875" style="189" bestFit="1" customWidth="1"/>
    <col min="8979" max="8979" width="18" style="189" bestFit="1" customWidth="1"/>
    <col min="8980" max="8980" width="11.44140625" style="189"/>
    <col min="8981" max="8981" width="17.88671875" style="189" bestFit="1" customWidth="1"/>
    <col min="8982" max="8982" width="17.33203125" style="189" bestFit="1" customWidth="1"/>
    <col min="8983" max="9219" width="11.44140625" style="189"/>
    <col min="9220" max="9220" width="20.6640625" style="189" customWidth="1"/>
    <col min="9221" max="9221" width="27.6640625" style="189" customWidth="1"/>
    <col min="9222" max="9222" width="36" style="189" customWidth="1"/>
    <col min="9223" max="9223" width="22.88671875" style="189" customWidth="1"/>
    <col min="9224" max="9224" width="11.5546875" style="189" bestFit="1" customWidth="1"/>
    <col min="9225" max="9226" width="17.88671875" style="189" bestFit="1" customWidth="1"/>
    <col min="9227" max="9227" width="30.88671875" style="189" customWidth="1"/>
    <col min="9228" max="9233" width="0" style="189" hidden="1" customWidth="1"/>
    <col min="9234" max="9234" width="17.88671875" style="189" bestFit="1" customWidth="1"/>
    <col min="9235" max="9235" width="18" style="189" bestFit="1" customWidth="1"/>
    <col min="9236" max="9236" width="11.44140625" style="189"/>
    <col min="9237" max="9237" width="17.88671875" style="189" bestFit="1" customWidth="1"/>
    <col min="9238" max="9238" width="17.33203125" style="189" bestFit="1" customWidth="1"/>
    <col min="9239" max="9475" width="11.44140625" style="189"/>
    <col min="9476" max="9476" width="20.6640625" style="189" customWidth="1"/>
    <col min="9477" max="9477" width="27.6640625" style="189" customWidth="1"/>
    <col min="9478" max="9478" width="36" style="189" customWidth="1"/>
    <col min="9479" max="9479" width="22.88671875" style="189" customWidth="1"/>
    <col min="9480" max="9480" width="11.5546875" style="189" bestFit="1" customWidth="1"/>
    <col min="9481" max="9482" width="17.88671875" style="189" bestFit="1" customWidth="1"/>
    <col min="9483" max="9483" width="30.88671875" style="189" customWidth="1"/>
    <col min="9484" max="9489" width="0" style="189" hidden="1" customWidth="1"/>
    <col min="9490" max="9490" width="17.88671875" style="189" bestFit="1" customWidth="1"/>
    <col min="9491" max="9491" width="18" style="189" bestFit="1" customWidth="1"/>
    <col min="9492" max="9492" width="11.44140625" style="189"/>
    <col min="9493" max="9493" width="17.88671875" style="189" bestFit="1" customWidth="1"/>
    <col min="9494" max="9494" width="17.33203125" style="189" bestFit="1" customWidth="1"/>
    <col min="9495" max="9731" width="11.44140625" style="189"/>
    <col min="9732" max="9732" width="20.6640625" style="189" customWidth="1"/>
    <col min="9733" max="9733" width="27.6640625" style="189" customWidth="1"/>
    <col min="9734" max="9734" width="36" style="189" customWidth="1"/>
    <col min="9735" max="9735" width="22.88671875" style="189" customWidth="1"/>
    <col min="9736" max="9736" width="11.5546875" style="189" bestFit="1" customWidth="1"/>
    <col min="9737" max="9738" width="17.88671875" style="189" bestFit="1" customWidth="1"/>
    <col min="9739" max="9739" width="30.88671875" style="189" customWidth="1"/>
    <col min="9740" max="9745" width="0" style="189" hidden="1" customWidth="1"/>
    <col min="9746" max="9746" width="17.88671875" style="189" bestFit="1" customWidth="1"/>
    <col min="9747" max="9747" width="18" style="189" bestFit="1" customWidth="1"/>
    <col min="9748" max="9748" width="11.44140625" style="189"/>
    <col min="9749" max="9749" width="17.88671875" style="189" bestFit="1" customWidth="1"/>
    <col min="9750" max="9750" width="17.33203125" style="189" bestFit="1" customWidth="1"/>
    <col min="9751" max="9987" width="11.44140625" style="189"/>
    <col min="9988" max="9988" width="20.6640625" style="189" customWidth="1"/>
    <col min="9989" max="9989" width="27.6640625" style="189" customWidth="1"/>
    <col min="9990" max="9990" width="36" style="189" customWidth="1"/>
    <col min="9991" max="9991" width="22.88671875" style="189" customWidth="1"/>
    <col min="9992" max="9992" width="11.5546875" style="189" bestFit="1" customWidth="1"/>
    <col min="9993" max="9994" width="17.88671875" style="189" bestFit="1" customWidth="1"/>
    <col min="9995" max="9995" width="30.88671875" style="189" customWidth="1"/>
    <col min="9996" max="10001" width="0" style="189" hidden="1" customWidth="1"/>
    <col min="10002" max="10002" width="17.88671875" style="189" bestFit="1" customWidth="1"/>
    <col min="10003" max="10003" width="18" style="189" bestFit="1" customWidth="1"/>
    <col min="10004" max="10004" width="11.44140625" style="189"/>
    <col min="10005" max="10005" width="17.88671875" style="189" bestFit="1" customWidth="1"/>
    <col min="10006" max="10006" width="17.33203125" style="189" bestFit="1" customWidth="1"/>
    <col min="10007" max="10243" width="11.44140625" style="189"/>
    <col min="10244" max="10244" width="20.6640625" style="189" customWidth="1"/>
    <col min="10245" max="10245" width="27.6640625" style="189" customWidth="1"/>
    <col min="10246" max="10246" width="36" style="189" customWidth="1"/>
    <col min="10247" max="10247" width="22.88671875" style="189" customWidth="1"/>
    <col min="10248" max="10248" width="11.5546875" style="189" bestFit="1" customWidth="1"/>
    <col min="10249" max="10250" width="17.88671875" style="189" bestFit="1" customWidth="1"/>
    <col min="10251" max="10251" width="30.88671875" style="189" customWidth="1"/>
    <col min="10252" max="10257" width="0" style="189" hidden="1" customWidth="1"/>
    <col min="10258" max="10258" width="17.88671875" style="189" bestFit="1" customWidth="1"/>
    <col min="10259" max="10259" width="18" style="189" bestFit="1" customWidth="1"/>
    <col min="10260" max="10260" width="11.44140625" style="189"/>
    <col min="10261" max="10261" width="17.88671875" style="189" bestFit="1" customWidth="1"/>
    <col min="10262" max="10262" width="17.33203125" style="189" bestFit="1" customWidth="1"/>
    <col min="10263" max="10499" width="11.44140625" style="189"/>
    <col min="10500" max="10500" width="20.6640625" style="189" customWidth="1"/>
    <col min="10501" max="10501" width="27.6640625" style="189" customWidth="1"/>
    <col min="10502" max="10502" width="36" style="189" customWidth="1"/>
    <col min="10503" max="10503" width="22.88671875" style="189" customWidth="1"/>
    <col min="10504" max="10504" width="11.5546875" style="189" bestFit="1" customWidth="1"/>
    <col min="10505" max="10506" width="17.88671875" style="189" bestFit="1" customWidth="1"/>
    <col min="10507" max="10507" width="30.88671875" style="189" customWidth="1"/>
    <col min="10508" max="10513" width="0" style="189" hidden="1" customWidth="1"/>
    <col min="10514" max="10514" width="17.88671875" style="189" bestFit="1" customWidth="1"/>
    <col min="10515" max="10515" width="18" style="189" bestFit="1" customWidth="1"/>
    <col min="10516" max="10516" width="11.44140625" style="189"/>
    <col min="10517" max="10517" width="17.88671875" style="189" bestFit="1" customWidth="1"/>
    <col min="10518" max="10518" width="17.33203125" style="189" bestFit="1" customWidth="1"/>
    <col min="10519" max="10755" width="11.44140625" style="189"/>
    <col min="10756" max="10756" width="20.6640625" style="189" customWidth="1"/>
    <col min="10757" max="10757" width="27.6640625" style="189" customWidth="1"/>
    <col min="10758" max="10758" width="36" style="189" customWidth="1"/>
    <col min="10759" max="10759" width="22.88671875" style="189" customWidth="1"/>
    <col min="10760" max="10760" width="11.5546875" style="189" bestFit="1" customWidth="1"/>
    <col min="10761" max="10762" width="17.88671875" style="189" bestFit="1" customWidth="1"/>
    <col min="10763" max="10763" width="30.88671875" style="189" customWidth="1"/>
    <col min="10764" max="10769" width="0" style="189" hidden="1" customWidth="1"/>
    <col min="10770" max="10770" width="17.88671875" style="189" bestFit="1" customWidth="1"/>
    <col min="10771" max="10771" width="18" style="189" bestFit="1" customWidth="1"/>
    <col min="10772" max="10772" width="11.44140625" style="189"/>
    <col min="10773" max="10773" width="17.88671875" style="189" bestFit="1" customWidth="1"/>
    <col min="10774" max="10774" width="17.33203125" style="189" bestFit="1" customWidth="1"/>
    <col min="10775" max="11011" width="11.44140625" style="189"/>
    <col min="11012" max="11012" width="20.6640625" style="189" customWidth="1"/>
    <col min="11013" max="11013" width="27.6640625" style="189" customWidth="1"/>
    <col min="11014" max="11014" width="36" style="189" customWidth="1"/>
    <col min="11015" max="11015" width="22.88671875" style="189" customWidth="1"/>
    <col min="11016" max="11016" width="11.5546875" style="189" bestFit="1" customWidth="1"/>
    <col min="11017" max="11018" width="17.88671875" style="189" bestFit="1" customWidth="1"/>
    <col min="11019" max="11019" width="30.88671875" style="189" customWidth="1"/>
    <col min="11020" max="11025" width="0" style="189" hidden="1" customWidth="1"/>
    <col min="11026" max="11026" width="17.88671875" style="189" bestFit="1" customWidth="1"/>
    <col min="11027" max="11027" width="18" style="189" bestFit="1" customWidth="1"/>
    <col min="11028" max="11028" width="11.44140625" style="189"/>
    <col min="11029" max="11029" width="17.88671875" style="189" bestFit="1" customWidth="1"/>
    <col min="11030" max="11030" width="17.33203125" style="189" bestFit="1" customWidth="1"/>
    <col min="11031" max="11267" width="11.44140625" style="189"/>
    <col min="11268" max="11268" width="20.6640625" style="189" customWidth="1"/>
    <col min="11269" max="11269" width="27.6640625" style="189" customWidth="1"/>
    <col min="11270" max="11270" width="36" style="189" customWidth="1"/>
    <col min="11271" max="11271" width="22.88671875" style="189" customWidth="1"/>
    <col min="11272" max="11272" width="11.5546875" style="189" bestFit="1" customWidth="1"/>
    <col min="11273" max="11274" width="17.88671875" style="189" bestFit="1" customWidth="1"/>
    <col min="11275" max="11275" width="30.88671875" style="189" customWidth="1"/>
    <col min="11276" max="11281" width="0" style="189" hidden="1" customWidth="1"/>
    <col min="11282" max="11282" width="17.88671875" style="189" bestFit="1" customWidth="1"/>
    <col min="11283" max="11283" width="18" style="189" bestFit="1" customWidth="1"/>
    <col min="11284" max="11284" width="11.44140625" style="189"/>
    <col min="11285" max="11285" width="17.88671875" style="189" bestFit="1" customWidth="1"/>
    <col min="11286" max="11286" width="17.33203125" style="189" bestFit="1" customWidth="1"/>
    <col min="11287" max="11523" width="11.44140625" style="189"/>
    <col min="11524" max="11524" width="20.6640625" style="189" customWidth="1"/>
    <col min="11525" max="11525" width="27.6640625" style="189" customWidth="1"/>
    <col min="11526" max="11526" width="36" style="189" customWidth="1"/>
    <col min="11527" max="11527" width="22.88671875" style="189" customWidth="1"/>
    <col min="11528" max="11528" width="11.5546875" style="189" bestFit="1" customWidth="1"/>
    <col min="11529" max="11530" width="17.88671875" style="189" bestFit="1" customWidth="1"/>
    <col min="11531" max="11531" width="30.88671875" style="189" customWidth="1"/>
    <col min="11532" max="11537" width="0" style="189" hidden="1" customWidth="1"/>
    <col min="11538" max="11538" width="17.88671875" style="189" bestFit="1" customWidth="1"/>
    <col min="11539" max="11539" width="18" style="189" bestFit="1" customWidth="1"/>
    <col min="11540" max="11540" width="11.44140625" style="189"/>
    <col min="11541" max="11541" width="17.88671875" style="189" bestFit="1" customWidth="1"/>
    <col min="11542" max="11542" width="17.33203125" style="189" bestFit="1" customWidth="1"/>
    <col min="11543" max="11779" width="11.44140625" style="189"/>
    <col min="11780" max="11780" width="20.6640625" style="189" customWidth="1"/>
    <col min="11781" max="11781" width="27.6640625" style="189" customWidth="1"/>
    <col min="11782" max="11782" width="36" style="189" customWidth="1"/>
    <col min="11783" max="11783" width="22.88671875" style="189" customWidth="1"/>
    <col min="11784" max="11784" width="11.5546875" style="189" bestFit="1" customWidth="1"/>
    <col min="11785" max="11786" width="17.88671875" style="189" bestFit="1" customWidth="1"/>
    <col min="11787" max="11787" width="30.88671875" style="189" customWidth="1"/>
    <col min="11788" max="11793" width="0" style="189" hidden="1" customWidth="1"/>
    <col min="11794" max="11794" width="17.88671875" style="189" bestFit="1" customWidth="1"/>
    <col min="11795" max="11795" width="18" style="189" bestFit="1" customWidth="1"/>
    <col min="11796" max="11796" width="11.44140625" style="189"/>
    <col min="11797" max="11797" width="17.88671875" style="189" bestFit="1" customWidth="1"/>
    <col min="11798" max="11798" width="17.33203125" style="189" bestFit="1" customWidth="1"/>
    <col min="11799" max="12035" width="11.44140625" style="189"/>
    <col min="12036" max="12036" width="20.6640625" style="189" customWidth="1"/>
    <col min="12037" max="12037" width="27.6640625" style="189" customWidth="1"/>
    <col min="12038" max="12038" width="36" style="189" customWidth="1"/>
    <col min="12039" max="12039" width="22.88671875" style="189" customWidth="1"/>
    <col min="12040" max="12040" width="11.5546875" style="189" bestFit="1" customWidth="1"/>
    <col min="12041" max="12042" width="17.88671875" style="189" bestFit="1" customWidth="1"/>
    <col min="12043" max="12043" width="30.88671875" style="189" customWidth="1"/>
    <col min="12044" max="12049" width="0" style="189" hidden="1" customWidth="1"/>
    <col min="12050" max="12050" width="17.88671875" style="189" bestFit="1" customWidth="1"/>
    <col min="12051" max="12051" width="18" style="189" bestFit="1" customWidth="1"/>
    <col min="12052" max="12052" width="11.44140625" style="189"/>
    <col min="12053" max="12053" width="17.88671875" style="189" bestFit="1" customWidth="1"/>
    <col min="12054" max="12054" width="17.33203125" style="189" bestFit="1" customWidth="1"/>
    <col min="12055" max="12291" width="11.44140625" style="189"/>
    <col min="12292" max="12292" width="20.6640625" style="189" customWidth="1"/>
    <col min="12293" max="12293" width="27.6640625" style="189" customWidth="1"/>
    <col min="12294" max="12294" width="36" style="189" customWidth="1"/>
    <col min="12295" max="12295" width="22.88671875" style="189" customWidth="1"/>
    <col min="12296" max="12296" width="11.5546875" style="189" bestFit="1" customWidth="1"/>
    <col min="12297" max="12298" width="17.88671875" style="189" bestFit="1" customWidth="1"/>
    <col min="12299" max="12299" width="30.88671875" style="189" customWidth="1"/>
    <col min="12300" max="12305" width="0" style="189" hidden="1" customWidth="1"/>
    <col min="12306" max="12306" width="17.88671875" style="189" bestFit="1" customWidth="1"/>
    <col min="12307" max="12307" width="18" style="189" bestFit="1" customWidth="1"/>
    <col min="12308" max="12308" width="11.44140625" style="189"/>
    <col min="12309" max="12309" width="17.88671875" style="189" bestFit="1" customWidth="1"/>
    <col min="12310" max="12310" width="17.33203125" style="189" bestFit="1" customWidth="1"/>
    <col min="12311" max="12547" width="11.44140625" style="189"/>
    <col min="12548" max="12548" width="20.6640625" style="189" customWidth="1"/>
    <col min="12549" max="12549" width="27.6640625" style="189" customWidth="1"/>
    <col min="12550" max="12550" width="36" style="189" customWidth="1"/>
    <col min="12551" max="12551" width="22.88671875" style="189" customWidth="1"/>
    <col min="12552" max="12552" width="11.5546875" style="189" bestFit="1" customWidth="1"/>
    <col min="12553" max="12554" width="17.88671875" style="189" bestFit="1" customWidth="1"/>
    <col min="12555" max="12555" width="30.88671875" style="189" customWidth="1"/>
    <col min="12556" max="12561" width="0" style="189" hidden="1" customWidth="1"/>
    <col min="12562" max="12562" width="17.88671875" style="189" bestFit="1" customWidth="1"/>
    <col min="12563" max="12563" width="18" style="189" bestFit="1" customWidth="1"/>
    <col min="12564" max="12564" width="11.44140625" style="189"/>
    <col min="12565" max="12565" width="17.88671875" style="189" bestFit="1" customWidth="1"/>
    <col min="12566" max="12566" width="17.33203125" style="189" bestFit="1" customWidth="1"/>
    <col min="12567" max="12803" width="11.44140625" style="189"/>
    <col min="12804" max="12804" width="20.6640625" style="189" customWidth="1"/>
    <col min="12805" max="12805" width="27.6640625" style="189" customWidth="1"/>
    <col min="12806" max="12806" width="36" style="189" customWidth="1"/>
    <col min="12807" max="12807" width="22.88671875" style="189" customWidth="1"/>
    <col min="12808" max="12808" width="11.5546875" style="189" bestFit="1" customWidth="1"/>
    <col min="12809" max="12810" width="17.88671875" style="189" bestFit="1" customWidth="1"/>
    <col min="12811" max="12811" width="30.88671875" style="189" customWidth="1"/>
    <col min="12812" max="12817" width="0" style="189" hidden="1" customWidth="1"/>
    <col min="12818" max="12818" width="17.88671875" style="189" bestFit="1" customWidth="1"/>
    <col min="12819" max="12819" width="18" style="189" bestFit="1" customWidth="1"/>
    <col min="12820" max="12820" width="11.44140625" style="189"/>
    <col min="12821" max="12821" width="17.88671875" style="189" bestFit="1" customWidth="1"/>
    <col min="12822" max="12822" width="17.33203125" style="189" bestFit="1" customWidth="1"/>
    <col min="12823" max="13059" width="11.44140625" style="189"/>
    <col min="13060" max="13060" width="20.6640625" style="189" customWidth="1"/>
    <col min="13061" max="13061" width="27.6640625" style="189" customWidth="1"/>
    <col min="13062" max="13062" width="36" style="189" customWidth="1"/>
    <col min="13063" max="13063" width="22.88671875" style="189" customWidth="1"/>
    <col min="13064" max="13064" width="11.5546875" style="189" bestFit="1" customWidth="1"/>
    <col min="13065" max="13066" width="17.88671875" style="189" bestFit="1" customWidth="1"/>
    <col min="13067" max="13067" width="30.88671875" style="189" customWidth="1"/>
    <col min="13068" max="13073" width="0" style="189" hidden="1" customWidth="1"/>
    <col min="13074" max="13074" width="17.88671875" style="189" bestFit="1" customWidth="1"/>
    <col min="13075" max="13075" width="18" style="189" bestFit="1" customWidth="1"/>
    <col min="13076" max="13076" width="11.44140625" style="189"/>
    <col min="13077" max="13077" width="17.88671875" style="189" bestFit="1" customWidth="1"/>
    <col min="13078" max="13078" width="17.33203125" style="189" bestFit="1" customWidth="1"/>
    <col min="13079" max="13315" width="11.44140625" style="189"/>
    <col min="13316" max="13316" width="20.6640625" style="189" customWidth="1"/>
    <col min="13317" max="13317" width="27.6640625" style="189" customWidth="1"/>
    <col min="13318" max="13318" width="36" style="189" customWidth="1"/>
    <col min="13319" max="13319" width="22.88671875" style="189" customWidth="1"/>
    <col min="13320" max="13320" width="11.5546875" style="189" bestFit="1" customWidth="1"/>
    <col min="13321" max="13322" width="17.88671875" style="189" bestFit="1" customWidth="1"/>
    <col min="13323" max="13323" width="30.88671875" style="189" customWidth="1"/>
    <col min="13324" max="13329" width="0" style="189" hidden="1" customWidth="1"/>
    <col min="13330" max="13330" width="17.88671875" style="189" bestFit="1" customWidth="1"/>
    <col min="13331" max="13331" width="18" style="189" bestFit="1" customWidth="1"/>
    <col min="13332" max="13332" width="11.44140625" style="189"/>
    <col min="13333" max="13333" width="17.88671875" style="189" bestFit="1" customWidth="1"/>
    <col min="13334" max="13334" width="17.33203125" style="189" bestFit="1" customWidth="1"/>
    <col min="13335" max="13571" width="11.44140625" style="189"/>
    <col min="13572" max="13572" width="20.6640625" style="189" customWidth="1"/>
    <col min="13573" max="13573" width="27.6640625" style="189" customWidth="1"/>
    <col min="13574" max="13574" width="36" style="189" customWidth="1"/>
    <col min="13575" max="13575" width="22.88671875" style="189" customWidth="1"/>
    <col min="13576" max="13576" width="11.5546875" style="189" bestFit="1" customWidth="1"/>
    <col min="13577" max="13578" width="17.88671875" style="189" bestFit="1" customWidth="1"/>
    <col min="13579" max="13579" width="30.88671875" style="189" customWidth="1"/>
    <col min="13580" max="13585" width="0" style="189" hidden="1" customWidth="1"/>
    <col min="13586" max="13586" width="17.88671875" style="189" bestFit="1" customWidth="1"/>
    <col min="13587" max="13587" width="18" style="189" bestFit="1" customWidth="1"/>
    <col min="13588" max="13588" width="11.44140625" style="189"/>
    <col min="13589" max="13589" width="17.88671875" style="189" bestFit="1" customWidth="1"/>
    <col min="13590" max="13590" width="17.33203125" style="189" bestFit="1" customWidth="1"/>
    <col min="13591" max="13827" width="11.44140625" style="189"/>
    <col min="13828" max="13828" width="20.6640625" style="189" customWidth="1"/>
    <col min="13829" max="13829" width="27.6640625" style="189" customWidth="1"/>
    <col min="13830" max="13830" width="36" style="189" customWidth="1"/>
    <col min="13831" max="13831" width="22.88671875" style="189" customWidth="1"/>
    <col min="13832" max="13832" width="11.5546875" style="189" bestFit="1" customWidth="1"/>
    <col min="13833" max="13834" width="17.88671875" style="189" bestFit="1" customWidth="1"/>
    <col min="13835" max="13835" width="30.88671875" style="189" customWidth="1"/>
    <col min="13836" max="13841" width="0" style="189" hidden="1" customWidth="1"/>
    <col min="13842" max="13842" width="17.88671875" style="189" bestFit="1" customWidth="1"/>
    <col min="13843" max="13843" width="18" style="189" bestFit="1" customWidth="1"/>
    <col min="13844" max="13844" width="11.44140625" style="189"/>
    <col min="13845" max="13845" width="17.88671875" style="189" bestFit="1" customWidth="1"/>
    <col min="13846" max="13846" width="17.33203125" style="189" bestFit="1" customWidth="1"/>
    <col min="13847" max="14083" width="11.44140625" style="189"/>
    <col min="14084" max="14084" width="20.6640625" style="189" customWidth="1"/>
    <col min="14085" max="14085" width="27.6640625" style="189" customWidth="1"/>
    <col min="14086" max="14086" width="36" style="189" customWidth="1"/>
    <col min="14087" max="14087" width="22.88671875" style="189" customWidth="1"/>
    <col min="14088" max="14088" width="11.5546875" style="189" bestFit="1" customWidth="1"/>
    <col min="14089" max="14090" width="17.88671875" style="189" bestFit="1" customWidth="1"/>
    <col min="14091" max="14091" width="30.88671875" style="189" customWidth="1"/>
    <col min="14092" max="14097" width="0" style="189" hidden="1" customWidth="1"/>
    <col min="14098" max="14098" width="17.88671875" style="189" bestFit="1" customWidth="1"/>
    <col min="14099" max="14099" width="18" style="189" bestFit="1" customWidth="1"/>
    <col min="14100" max="14100" width="11.44140625" style="189"/>
    <col min="14101" max="14101" width="17.88671875" style="189" bestFit="1" customWidth="1"/>
    <col min="14102" max="14102" width="17.33203125" style="189" bestFit="1" customWidth="1"/>
    <col min="14103" max="14339" width="11.44140625" style="189"/>
    <col min="14340" max="14340" width="20.6640625" style="189" customWidth="1"/>
    <col min="14341" max="14341" width="27.6640625" style="189" customWidth="1"/>
    <col min="14342" max="14342" width="36" style="189" customWidth="1"/>
    <col min="14343" max="14343" width="22.88671875" style="189" customWidth="1"/>
    <col min="14344" max="14344" width="11.5546875" style="189" bestFit="1" customWidth="1"/>
    <col min="14345" max="14346" width="17.88671875" style="189" bestFit="1" customWidth="1"/>
    <col min="14347" max="14347" width="30.88671875" style="189" customWidth="1"/>
    <col min="14348" max="14353" width="0" style="189" hidden="1" customWidth="1"/>
    <col min="14354" max="14354" width="17.88671875" style="189" bestFit="1" customWidth="1"/>
    <col min="14355" max="14355" width="18" style="189" bestFit="1" customWidth="1"/>
    <col min="14356" max="14356" width="11.44140625" style="189"/>
    <col min="14357" max="14357" width="17.88671875" style="189" bestFit="1" customWidth="1"/>
    <col min="14358" max="14358" width="17.33203125" style="189" bestFit="1" customWidth="1"/>
    <col min="14359" max="14595" width="11.44140625" style="189"/>
    <col min="14596" max="14596" width="20.6640625" style="189" customWidth="1"/>
    <col min="14597" max="14597" width="27.6640625" style="189" customWidth="1"/>
    <col min="14598" max="14598" width="36" style="189" customWidth="1"/>
    <col min="14599" max="14599" width="22.88671875" style="189" customWidth="1"/>
    <col min="14600" max="14600" width="11.5546875" style="189" bestFit="1" customWidth="1"/>
    <col min="14601" max="14602" width="17.88671875" style="189" bestFit="1" customWidth="1"/>
    <col min="14603" max="14603" width="30.88671875" style="189" customWidth="1"/>
    <col min="14604" max="14609" width="0" style="189" hidden="1" customWidth="1"/>
    <col min="14610" max="14610" width="17.88671875" style="189" bestFit="1" customWidth="1"/>
    <col min="14611" max="14611" width="18" style="189" bestFit="1" customWidth="1"/>
    <col min="14612" max="14612" width="11.44140625" style="189"/>
    <col min="14613" max="14613" width="17.88671875" style="189" bestFit="1" customWidth="1"/>
    <col min="14614" max="14614" width="17.33203125" style="189" bestFit="1" customWidth="1"/>
    <col min="14615" max="14851" width="11.44140625" style="189"/>
    <col min="14852" max="14852" width="20.6640625" style="189" customWidth="1"/>
    <col min="14853" max="14853" width="27.6640625" style="189" customWidth="1"/>
    <col min="14854" max="14854" width="36" style="189" customWidth="1"/>
    <col min="14855" max="14855" width="22.88671875" style="189" customWidth="1"/>
    <col min="14856" max="14856" width="11.5546875" style="189" bestFit="1" customWidth="1"/>
    <col min="14857" max="14858" width="17.88671875" style="189" bestFit="1" customWidth="1"/>
    <col min="14859" max="14859" width="30.88671875" style="189" customWidth="1"/>
    <col min="14860" max="14865" width="0" style="189" hidden="1" customWidth="1"/>
    <col min="14866" max="14866" width="17.88671875" style="189" bestFit="1" customWidth="1"/>
    <col min="14867" max="14867" width="18" style="189" bestFit="1" customWidth="1"/>
    <col min="14868" max="14868" width="11.44140625" style="189"/>
    <col min="14869" max="14869" width="17.88671875" style="189" bestFit="1" customWidth="1"/>
    <col min="14870" max="14870" width="17.33203125" style="189" bestFit="1" customWidth="1"/>
    <col min="14871" max="15107" width="11.44140625" style="189"/>
    <col min="15108" max="15108" width="20.6640625" style="189" customWidth="1"/>
    <col min="15109" max="15109" width="27.6640625" style="189" customWidth="1"/>
    <col min="15110" max="15110" width="36" style="189" customWidth="1"/>
    <col min="15111" max="15111" width="22.88671875" style="189" customWidth="1"/>
    <col min="15112" max="15112" width="11.5546875" style="189" bestFit="1" customWidth="1"/>
    <col min="15113" max="15114" width="17.88671875" style="189" bestFit="1" customWidth="1"/>
    <col min="15115" max="15115" width="30.88671875" style="189" customWidth="1"/>
    <col min="15116" max="15121" width="0" style="189" hidden="1" customWidth="1"/>
    <col min="15122" max="15122" width="17.88671875" style="189" bestFit="1" customWidth="1"/>
    <col min="15123" max="15123" width="18" style="189" bestFit="1" customWidth="1"/>
    <col min="15124" max="15124" width="11.44140625" style="189"/>
    <col min="15125" max="15125" width="17.88671875" style="189" bestFit="1" customWidth="1"/>
    <col min="15126" max="15126" width="17.33203125" style="189" bestFit="1" customWidth="1"/>
    <col min="15127" max="15363" width="11.44140625" style="189"/>
    <col min="15364" max="15364" width="20.6640625" style="189" customWidth="1"/>
    <col min="15365" max="15365" width="27.6640625" style="189" customWidth="1"/>
    <col min="15366" max="15366" width="36" style="189" customWidth="1"/>
    <col min="15367" max="15367" width="22.88671875" style="189" customWidth="1"/>
    <col min="15368" max="15368" width="11.5546875" style="189" bestFit="1" customWidth="1"/>
    <col min="15369" max="15370" width="17.88671875" style="189" bestFit="1" customWidth="1"/>
    <col min="15371" max="15371" width="30.88671875" style="189" customWidth="1"/>
    <col min="15372" max="15377" width="0" style="189" hidden="1" customWidth="1"/>
    <col min="15378" max="15378" width="17.88671875" style="189" bestFit="1" customWidth="1"/>
    <col min="15379" max="15379" width="18" style="189" bestFit="1" customWidth="1"/>
    <col min="15380" max="15380" width="11.44140625" style="189"/>
    <col min="15381" max="15381" width="17.88671875" style="189" bestFit="1" customWidth="1"/>
    <col min="15382" max="15382" width="17.33203125" style="189" bestFit="1" customWidth="1"/>
    <col min="15383" max="15619" width="11.44140625" style="189"/>
    <col min="15620" max="15620" width="20.6640625" style="189" customWidth="1"/>
    <col min="15621" max="15621" width="27.6640625" style="189" customWidth="1"/>
    <col min="15622" max="15622" width="36" style="189" customWidth="1"/>
    <col min="15623" max="15623" width="22.88671875" style="189" customWidth="1"/>
    <col min="15624" max="15624" width="11.5546875" style="189" bestFit="1" customWidth="1"/>
    <col min="15625" max="15626" width="17.88671875" style="189" bestFit="1" customWidth="1"/>
    <col min="15627" max="15627" width="30.88671875" style="189" customWidth="1"/>
    <col min="15628" max="15633" width="0" style="189" hidden="1" customWidth="1"/>
    <col min="15634" max="15634" width="17.88671875" style="189" bestFit="1" customWidth="1"/>
    <col min="15635" max="15635" width="18" style="189" bestFit="1" customWidth="1"/>
    <col min="15636" max="15636" width="11.44140625" style="189"/>
    <col min="15637" max="15637" width="17.88671875" style="189" bestFit="1" customWidth="1"/>
    <col min="15638" max="15638" width="17.33203125" style="189" bestFit="1" customWidth="1"/>
    <col min="15639" max="15875" width="11.44140625" style="189"/>
    <col min="15876" max="15876" width="20.6640625" style="189" customWidth="1"/>
    <col min="15877" max="15877" width="27.6640625" style="189" customWidth="1"/>
    <col min="15878" max="15878" width="36" style="189" customWidth="1"/>
    <col min="15879" max="15879" width="22.88671875" style="189" customWidth="1"/>
    <col min="15880" max="15880" width="11.5546875" style="189" bestFit="1" customWidth="1"/>
    <col min="15881" max="15882" width="17.88671875" style="189" bestFit="1" customWidth="1"/>
    <col min="15883" max="15883" width="30.88671875" style="189" customWidth="1"/>
    <col min="15884" max="15889" width="0" style="189" hidden="1" customWidth="1"/>
    <col min="15890" max="15890" width="17.88671875" style="189" bestFit="1" customWidth="1"/>
    <col min="15891" max="15891" width="18" style="189" bestFit="1" customWidth="1"/>
    <col min="15892" max="15892" width="11.44140625" style="189"/>
    <col min="15893" max="15893" width="17.88671875" style="189" bestFit="1" customWidth="1"/>
    <col min="15894" max="15894" width="17.33203125" style="189" bestFit="1" customWidth="1"/>
    <col min="15895" max="16131" width="11.44140625" style="189"/>
    <col min="16132" max="16132" width="20.6640625" style="189" customWidth="1"/>
    <col min="16133" max="16133" width="27.6640625" style="189" customWidth="1"/>
    <col min="16134" max="16134" width="36" style="189" customWidth="1"/>
    <col min="16135" max="16135" width="22.88671875" style="189" customWidth="1"/>
    <col min="16136" max="16136" width="11.5546875" style="189" bestFit="1" customWidth="1"/>
    <col min="16137" max="16138" width="17.88671875" style="189" bestFit="1" customWidth="1"/>
    <col min="16139" max="16139" width="30.88671875" style="189" customWidth="1"/>
    <col min="16140" max="16145" width="0" style="189" hidden="1" customWidth="1"/>
    <col min="16146" max="16146" width="17.88671875" style="189" bestFit="1" customWidth="1"/>
    <col min="16147" max="16147" width="18" style="189" bestFit="1" customWidth="1"/>
    <col min="16148" max="16148" width="11.44140625" style="189"/>
    <col min="16149" max="16149" width="17.88671875" style="189" bestFit="1" customWidth="1"/>
    <col min="16150" max="16150" width="17.33203125" style="189" bestFit="1" customWidth="1"/>
    <col min="16151" max="16384" width="11.44140625" style="189"/>
  </cols>
  <sheetData>
    <row r="1" spans="1:24" ht="83.2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9"/>
      <c r="U1" s="1328" t="s">
        <v>1680</v>
      </c>
      <c r="V1" s="1303"/>
      <c r="W1" s="1304"/>
    </row>
    <row r="2" spans="1:24"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2"/>
      <c r="U2" s="1329" t="s">
        <v>41</v>
      </c>
      <c r="V2" s="1305"/>
      <c r="W2" s="1306"/>
    </row>
    <row r="3" spans="1:24"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row>
    <row r="4" spans="1:24"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row>
    <row r="5" spans="1:24"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row>
    <row r="6" spans="1:24"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row>
    <row r="7" spans="1:24" x14ac:dyDescent="0.3">
      <c r="A7" s="1291" t="s">
        <v>1681</v>
      </c>
      <c r="B7" s="1292"/>
      <c r="C7" s="1292"/>
      <c r="D7" s="1292"/>
      <c r="E7" s="1292"/>
      <c r="F7" s="1292"/>
      <c r="G7" s="1292"/>
      <c r="H7" s="1292"/>
      <c r="I7" s="1292"/>
      <c r="J7" s="1292"/>
      <c r="K7" s="1292"/>
      <c r="L7" s="1292"/>
      <c r="M7" s="1292"/>
      <c r="N7" s="1292"/>
      <c r="O7" s="1292"/>
      <c r="P7" s="1292"/>
      <c r="Q7" s="1292"/>
      <c r="R7" s="1292"/>
      <c r="S7" s="1292"/>
      <c r="T7" s="1292"/>
      <c r="U7" s="1292"/>
      <c r="V7" s="1292"/>
      <c r="W7" s="1292"/>
    </row>
    <row r="8" spans="1:24" ht="13.5" customHeight="1" x14ac:dyDescent="0.3">
      <c r="A8" s="1292" t="s">
        <v>1693</v>
      </c>
      <c r="B8" s="1292"/>
      <c r="C8" s="1292"/>
      <c r="D8" s="1292"/>
      <c r="E8" s="1292"/>
      <c r="F8" s="1292"/>
      <c r="G8" s="1292"/>
      <c r="H8" s="1292"/>
      <c r="I8" s="1292"/>
      <c r="J8" s="1292"/>
      <c r="K8" s="1292"/>
      <c r="L8" s="1292"/>
      <c r="M8" s="1292"/>
      <c r="N8" s="1292"/>
      <c r="O8" s="1292"/>
      <c r="P8" s="1292"/>
      <c r="Q8" s="1292"/>
      <c r="R8" s="1292"/>
      <c r="S8" s="1292"/>
      <c r="T8" s="1292"/>
      <c r="U8" s="1292"/>
      <c r="V8" s="1292"/>
      <c r="W8" s="1292"/>
    </row>
    <row r="9" spans="1:24" ht="13.5" customHeight="1" x14ac:dyDescent="0.3">
      <c r="A9" s="1292" t="s">
        <v>1429</v>
      </c>
      <c r="B9" s="1292"/>
      <c r="C9" s="1292"/>
      <c r="D9" s="1292"/>
      <c r="E9" s="1292"/>
      <c r="F9" s="1292"/>
      <c r="G9" s="1292"/>
      <c r="H9" s="1292"/>
      <c r="I9" s="1292"/>
      <c r="J9" s="1292"/>
      <c r="K9" s="1292"/>
      <c r="L9" s="1292"/>
      <c r="M9" s="1292"/>
      <c r="N9" s="1292"/>
      <c r="O9" s="1292"/>
      <c r="P9" s="1292"/>
      <c r="Q9" s="1292"/>
      <c r="R9" s="1292"/>
      <c r="S9" s="1292"/>
      <c r="T9" s="1292"/>
      <c r="U9" s="1292"/>
      <c r="V9" s="1292"/>
      <c r="W9" s="1292"/>
    </row>
    <row r="10" spans="1:24" ht="13.5" customHeight="1" x14ac:dyDescent="0.3">
      <c r="A10" s="1292" t="s">
        <v>1682</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row>
    <row r="11" spans="1:24" ht="13.5" customHeight="1" x14ac:dyDescent="0.3">
      <c r="A11" s="499"/>
      <c r="B11" s="1318"/>
      <c r="C11" s="1320"/>
      <c r="D11" s="1320"/>
      <c r="E11" s="1320"/>
      <c r="F11" s="1320"/>
      <c r="G11" s="1320"/>
      <c r="H11" s="1320"/>
      <c r="I11" s="1293" t="s">
        <v>46</v>
      </c>
      <c r="J11" s="1294"/>
      <c r="K11" s="1295"/>
      <c r="L11" s="1293" t="s">
        <v>981</v>
      </c>
      <c r="M11" s="1294"/>
      <c r="N11" s="1295"/>
      <c r="O11" s="1293" t="s">
        <v>1406</v>
      </c>
      <c r="P11" s="1294"/>
      <c r="Q11" s="1295"/>
      <c r="R11" s="1433" t="s">
        <v>1692</v>
      </c>
      <c r="S11" s="1434"/>
      <c r="T11" s="1435"/>
      <c r="U11" s="1299" t="s">
        <v>49</v>
      </c>
      <c r="V11" s="1299"/>
      <c r="W11" s="1299"/>
    </row>
    <row r="12" spans="1:24" ht="13.5" customHeight="1" x14ac:dyDescent="0.3">
      <c r="A12" s="171"/>
      <c r="B12" s="1318"/>
      <c r="C12" s="1319"/>
      <c r="D12" s="1319"/>
      <c r="E12" s="1319"/>
      <c r="F12" s="1319"/>
      <c r="G12" s="1319"/>
      <c r="H12" s="1319"/>
      <c r="I12" s="1325"/>
      <c r="J12" s="1326"/>
      <c r="K12" s="1327"/>
      <c r="L12" s="1296"/>
      <c r="M12" s="1297"/>
      <c r="N12" s="1298"/>
      <c r="O12" s="1296"/>
      <c r="P12" s="1297"/>
      <c r="Q12" s="1298"/>
      <c r="R12" s="1449"/>
      <c r="S12" s="1450"/>
      <c r="T12" s="1451"/>
      <c r="U12" s="1300"/>
      <c r="V12" s="1300"/>
      <c r="W12" s="1300"/>
      <c r="X12" s="830" t="s">
        <v>2100</v>
      </c>
    </row>
    <row r="13" spans="1:24" ht="28.8" x14ac:dyDescent="0.3">
      <c r="A13" s="209" t="s">
        <v>50</v>
      </c>
      <c r="B13" s="209" t="s">
        <v>51</v>
      </c>
      <c r="C13" s="209" t="s">
        <v>52</v>
      </c>
      <c r="D13" s="209" t="s">
        <v>164</v>
      </c>
      <c r="E13" s="209" t="s">
        <v>54</v>
      </c>
      <c r="F13" s="210" t="s">
        <v>55</v>
      </c>
      <c r="G13" s="209" t="s">
        <v>56</v>
      </c>
      <c r="H13" s="209" t="s">
        <v>57</v>
      </c>
      <c r="I13" s="172" t="s">
        <v>54</v>
      </c>
      <c r="J13" s="523" t="s">
        <v>56</v>
      </c>
      <c r="K13" s="518" t="s">
        <v>58</v>
      </c>
      <c r="L13" s="28" t="s">
        <v>54</v>
      </c>
      <c r="M13" s="523" t="s">
        <v>56</v>
      </c>
      <c r="N13" s="518" t="s">
        <v>58</v>
      </c>
      <c r="O13" s="28" t="s">
        <v>54</v>
      </c>
      <c r="P13" s="523" t="s">
        <v>56</v>
      </c>
      <c r="Q13" s="518" t="s">
        <v>58</v>
      </c>
      <c r="R13" s="28" t="s">
        <v>54</v>
      </c>
      <c r="S13" s="523" t="s">
        <v>56</v>
      </c>
      <c r="T13" s="518" t="s">
        <v>58</v>
      </c>
      <c r="U13" s="174" t="s">
        <v>54</v>
      </c>
      <c r="V13" s="523" t="s">
        <v>56</v>
      </c>
      <c r="W13" s="518" t="s">
        <v>58</v>
      </c>
    </row>
    <row r="14" spans="1:24" ht="29.25" customHeight="1" x14ac:dyDescent="0.3">
      <c r="A14" s="1443" t="s">
        <v>227</v>
      </c>
      <c r="B14" s="1446" t="s">
        <v>1683</v>
      </c>
      <c r="C14" s="531" t="s">
        <v>81</v>
      </c>
      <c r="D14" s="513" t="s">
        <v>218</v>
      </c>
      <c r="E14" s="500">
        <v>0</v>
      </c>
      <c r="F14" s="514">
        <v>1149124</v>
      </c>
      <c r="G14" s="514">
        <f>ROUND((E14*F14),0)</f>
        <v>0</v>
      </c>
      <c r="H14" s="1443" t="s">
        <v>1684</v>
      </c>
      <c r="I14" s="500">
        <v>0</v>
      </c>
      <c r="J14" s="514">
        <f>ROUND(I14*$F$14,0)</f>
        <v>0</v>
      </c>
      <c r="K14" s="520">
        <v>0</v>
      </c>
      <c r="L14" s="500">
        <v>0</v>
      </c>
      <c r="M14" s="514">
        <f>ROUND(L14*$F$14,0)</f>
        <v>0</v>
      </c>
      <c r="N14" s="520">
        <v>0</v>
      </c>
      <c r="O14" s="500">
        <v>0</v>
      </c>
      <c r="P14" s="514">
        <f>ROUND(O14*$F$14,0)</f>
        <v>0</v>
      </c>
      <c r="Q14" s="520">
        <v>0</v>
      </c>
      <c r="R14" s="500">
        <v>0</v>
      </c>
      <c r="S14" s="514">
        <f>ROUND(R14*$F$14,0)</f>
        <v>0</v>
      </c>
      <c r="T14" s="520">
        <v>0</v>
      </c>
      <c r="U14" s="579">
        <f>I14+L14+O14+R14</f>
        <v>0</v>
      </c>
      <c r="V14" s="514">
        <f>J14+M14+P14+S14</f>
        <v>0</v>
      </c>
      <c r="W14" s="520">
        <v>0</v>
      </c>
    </row>
    <row r="15" spans="1:24" ht="28.8" x14ac:dyDescent="0.3">
      <c r="A15" s="1444"/>
      <c r="B15" s="1447"/>
      <c r="C15" s="531" t="s">
        <v>83</v>
      </c>
      <c r="D15" s="513" t="s">
        <v>219</v>
      </c>
      <c r="E15" s="500">
        <v>0</v>
      </c>
      <c r="F15" s="514">
        <v>2646468</v>
      </c>
      <c r="G15" s="514">
        <f>ROUND((E15*F15),0)</f>
        <v>0</v>
      </c>
      <c r="H15" s="1444"/>
      <c r="I15" s="500">
        <v>0</v>
      </c>
      <c r="J15" s="514">
        <f>ROUND(I15*$F$15,0)</f>
        <v>0</v>
      </c>
      <c r="K15" s="520">
        <v>0</v>
      </c>
      <c r="L15" s="500">
        <v>0</v>
      </c>
      <c r="M15" s="514">
        <f>ROUND(L15*$F$15,0)</f>
        <v>0</v>
      </c>
      <c r="N15" s="520">
        <v>0</v>
      </c>
      <c r="O15" s="500">
        <v>0</v>
      </c>
      <c r="P15" s="514">
        <f>ROUND(O15*$F$15,0)</f>
        <v>0</v>
      </c>
      <c r="Q15" s="520">
        <v>0</v>
      </c>
      <c r="R15" s="500">
        <v>0</v>
      </c>
      <c r="S15" s="514">
        <f>ROUND(R15*$F$15,0)</f>
        <v>0</v>
      </c>
      <c r="T15" s="520">
        <v>0</v>
      </c>
      <c r="U15" s="579">
        <f t="shared" ref="U15:U16" si="0">I15+L15+O15+R15</f>
        <v>0</v>
      </c>
      <c r="V15" s="514">
        <f t="shared" ref="V15:V16" si="1">J15+M15+P15+S15</f>
        <v>0</v>
      </c>
      <c r="W15" s="520">
        <v>0</v>
      </c>
    </row>
    <row r="16" spans="1:24" ht="28.8" x14ac:dyDescent="0.3">
      <c r="A16" s="1444"/>
      <c r="B16" s="1447"/>
      <c r="C16" s="531" t="s">
        <v>61</v>
      </c>
      <c r="D16" s="513" t="s">
        <v>220</v>
      </c>
      <c r="E16" s="500">
        <v>0.7</v>
      </c>
      <c r="F16" s="514">
        <v>3203618</v>
      </c>
      <c r="G16" s="514">
        <f>ROUND((E16*F16),0)</f>
        <v>2242533</v>
      </c>
      <c r="H16" s="1444"/>
      <c r="I16" s="500">
        <v>0.7</v>
      </c>
      <c r="J16" s="514">
        <f>ROUND(I16*$F$16,0)</f>
        <v>2242533</v>
      </c>
      <c r="K16" s="520">
        <f>J16/$G$16</f>
        <v>1</v>
      </c>
      <c r="L16" s="500">
        <v>0</v>
      </c>
      <c r="M16" s="514">
        <f>ROUND(L16*$F$16,0)</f>
        <v>0</v>
      </c>
      <c r="N16" s="520">
        <f>M16/$G$16</f>
        <v>0</v>
      </c>
      <c r="O16" s="500">
        <v>0</v>
      </c>
      <c r="P16" s="514">
        <f>ROUND(O16*$F$16,0)</f>
        <v>0</v>
      </c>
      <c r="Q16" s="520">
        <f>P16/$G$16</f>
        <v>0</v>
      </c>
      <c r="R16" s="500">
        <v>0</v>
      </c>
      <c r="S16" s="514">
        <f>ROUND(R16*$F$16,0)</f>
        <v>0</v>
      </c>
      <c r="T16" s="520">
        <f>S16/$G$16</f>
        <v>0</v>
      </c>
      <c r="U16" s="579">
        <f t="shared" si="0"/>
        <v>0.7</v>
      </c>
      <c r="V16" s="514">
        <f t="shared" si="1"/>
        <v>2242533</v>
      </c>
      <c r="W16" s="520">
        <f t="shared" ref="W16:W21" si="2">V16/G16</f>
        <v>1</v>
      </c>
    </row>
    <row r="17" spans="1:23" x14ac:dyDescent="0.3">
      <c r="A17" s="1445"/>
      <c r="B17" s="1448"/>
      <c r="C17" s="39"/>
      <c r="D17" s="39" t="s">
        <v>221</v>
      </c>
      <c r="E17" s="40"/>
      <c r="F17" s="515"/>
      <c r="G17" s="515">
        <f>SUM(G14:G16)</f>
        <v>2242533</v>
      </c>
      <c r="H17" s="1445"/>
      <c r="I17" s="428"/>
      <c r="J17" s="524">
        <f>SUM(J14:J16)</f>
        <v>2242533</v>
      </c>
      <c r="K17" s="519">
        <f>J17/$G$17</f>
        <v>1</v>
      </c>
      <c r="L17" s="428"/>
      <c r="M17" s="524">
        <f>SUM(M14:M16)</f>
        <v>0</v>
      </c>
      <c r="N17" s="519">
        <f>M17/$G$17</f>
        <v>0</v>
      </c>
      <c r="O17" s="428"/>
      <c r="P17" s="524">
        <f>SUM(P14:P16)</f>
        <v>0</v>
      </c>
      <c r="Q17" s="519">
        <f>P17/$G$17</f>
        <v>0</v>
      </c>
      <c r="R17" s="428"/>
      <c r="S17" s="524">
        <f>SUM(S14:S16)</f>
        <v>0</v>
      </c>
      <c r="T17" s="519">
        <f>S17/$G$17</f>
        <v>0</v>
      </c>
      <c r="U17" s="428"/>
      <c r="V17" s="524">
        <f t="shared" ref="V17:V29" si="3">J17+M17+P17</f>
        <v>2242533</v>
      </c>
      <c r="W17" s="519">
        <f t="shared" si="2"/>
        <v>1</v>
      </c>
    </row>
    <row r="18" spans="1:23" ht="28.8" x14ac:dyDescent="0.3">
      <c r="A18" s="1443" t="s">
        <v>227</v>
      </c>
      <c r="B18" s="1446" t="s">
        <v>1685</v>
      </c>
      <c r="C18" s="531" t="s">
        <v>81</v>
      </c>
      <c r="D18" s="513" t="s">
        <v>166</v>
      </c>
      <c r="E18" s="500">
        <v>0.7</v>
      </c>
      <c r="F18" s="514">
        <v>1149124</v>
      </c>
      <c r="G18" s="514">
        <f>ROUND((E18*F18),0)</f>
        <v>804387</v>
      </c>
      <c r="H18" s="1443" t="s">
        <v>1686</v>
      </c>
      <c r="I18" s="500">
        <v>0</v>
      </c>
      <c r="J18" s="514">
        <f>ROUND(I18*$F$18,0)</f>
        <v>0</v>
      </c>
      <c r="K18" s="520">
        <f>J18/$G$18</f>
        <v>0</v>
      </c>
      <c r="L18" s="500">
        <v>0.7</v>
      </c>
      <c r="M18" s="514">
        <f>ROUND(L18*$F$18,0)</f>
        <v>804387</v>
      </c>
      <c r="N18" s="520">
        <f>M18/$G$18</f>
        <v>1</v>
      </c>
      <c r="O18" s="500">
        <v>0</v>
      </c>
      <c r="P18" s="514">
        <f>ROUND(O18*$F$18,0)</f>
        <v>0</v>
      </c>
      <c r="Q18" s="520">
        <f>P18/$G$18</f>
        <v>0</v>
      </c>
      <c r="R18" s="500">
        <v>0</v>
      </c>
      <c r="S18" s="514">
        <f>ROUND(R18*$F$18,0)</f>
        <v>0</v>
      </c>
      <c r="T18" s="520">
        <f>S18/$G$18</f>
        <v>0</v>
      </c>
      <c r="U18" s="579">
        <f t="shared" ref="U18:U20" si="4">I18+L18+O18+R18</f>
        <v>0.7</v>
      </c>
      <c r="V18" s="514">
        <f t="shared" ref="V18:V20" si="5">J18+M18+P18+S18</f>
        <v>804387</v>
      </c>
      <c r="W18" s="520">
        <f t="shared" si="2"/>
        <v>1</v>
      </c>
    </row>
    <row r="19" spans="1:23" ht="28.8" x14ac:dyDescent="0.3">
      <c r="A19" s="1444"/>
      <c r="B19" s="1447"/>
      <c r="C19" s="531" t="s">
        <v>83</v>
      </c>
      <c r="D19" s="513" t="s">
        <v>167</v>
      </c>
      <c r="E19" s="500">
        <v>0.7</v>
      </c>
      <c r="F19" s="514">
        <v>2646468</v>
      </c>
      <c r="G19" s="514">
        <f>ROUND((E19*F19),0)</f>
        <v>1852528</v>
      </c>
      <c r="H19" s="1444"/>
      <c r="I19" s="500">
        <v>0</v>
      </c>
      <c r="J19" s="514">
        <f>ROUND(I19*$F$19,0)</f>
        <v>0</v>
      </c>
      <c r="K19" s="520">
        <f>J19/$G$19</f>
        <v>0</v>
      </c>
      <c r="L19" s="500">
        <v>0.7</v>
      </c>
      <c r="M19" s="514">
        <f>ROUND(L19*$F$19,0)</f>
        <v>1852528</v>
      </c>
      <c r="N19" s="520">
        <f>M19/$G$19</f>
        <v>1</v>
      </c>
      <c r="O19" s="500">
        <v>0</v>
      </c>
      <c r="P19" s="514">
        <f>ROUND(O19*$F$19,0)</f>
        <v>0</v>
      </c>
      <c r="Q19" s="520">
        <f>P19/$G$19</f>
        <v>0</v>
      </c>
      <c r="R19" s="500">
        <v>0</v>
      </c>
      <c r="S19" s="514">
        <f>ROUND(R19*$F$19,0)</f>
        <v>0</v>
      </c>
      <c r="T19" s="520">
        <f>S19/$G$19</f>
        <v>0</v>
      </c>
      <c r="U19" s="579">
        <f t="shared" si="4"/>
        <v>0.7</v>
      </c>
      <c r="V19" s="514">
        <f t="shared" si="5"/>
        <v>1852528</v>
      </c>
      <c r="W19" s="520">
        <f t="shared" si="2"/>
        <v>1</v>
      </c>
    </row>
    <row r="20" spans="1:23" ht="28.8" x14ac:dyDescent="0.3">
      <c r="A20" s="1444"/>
      <c r="B20" s="1447"/>
      <c r="C20" s="531" t="s">
        <v>61</v>
      </c>
      <c r="D20" s="513" t="s">
        <v>168</v>
      </c>
      <c r="E20" s="500">
        <v>0.7</v>
      </c>
      <c r="F20" s="514">
        <v>2542001</v>
      </c>
      <c r="G20" s="514">
        <f>ROUND((E20*F20),0)</f>
        <v>1779401</v>
      </c>
      <c r="H20" s="1444"/>
      <c r="I20" s="500">
        <v>0.7</v>
      </c>
      <c r="J20" s="514">
        <f>ROUND(I20*$F$20,0)</f>
        <v>1779401</v>
      </c>
      <c r="K20" s="520">
        <f>J20/$G$20</f>
        <v>1</v>
      </c>
      <c r="L20" s="500">
        <v>0</v>
      </c>
      <c r="M20" s="514">
        <f>ROUND(L20*$F$20,0)</f>
        <v>0</v>
      </c>
      <c r="N20" s="520">
        <f>M20/$G$20</f>
        <v>0</v>
      </c>
      <c r="O20" s="500">
        <v>0</v>
      </c>
      <c r="P20" s="514">
        <f>ROUND(O20*$F$20,0)</f>
        <v>0</v>
      </c>
      <c r="Q20" s="520">
        <f>P20/$G$20</f>
        <v>0</v>
      </c>
      <c r="R20" s="500">
        <v>0</v>
      </c>
      <c r="S20" s="514">
        <f>ROUND(R20*$F$20,0)</f>
        <v>0</v>
      </c>
      <c r="T20" s="520">
        <f>S20/$G$20</f>
        <v>0</v>
      </c>
      <c r="U20" s="579">
        <f t="shared" si="4"/>
        <v>0.7</v>
      </c>
      <c r="V20" s="514">
        <f t="shared" si="5"/>
        <v>1779401</v>
      </c>
      <c r="W20" s="520">
        <f t="shared" si="2"/>
        <v>1</v>
      </c>
    </row>
    <row r="21" spans="1:23" x14ac:dyDescent="0.3">
      <c r="A21" s="1445"/>
      <c r="B21" s="1448"/>
      <c r="C21" s="39"/>
      <c r="D21" s="39" t="s">
        <v>169</v>
      </c>
      <c r="E21" s="40"/>
      <c r="F21" s="515"/>
      <c r="G21" s="515">
        <f>SUM(G18:G20)</f>
        <v>4436316</v>
      </c>
      <c r="H21" s="1445"/>
      <c r="I21" s="428"/>
      <c r="J21" s="524">
        <f>SUM(J18:J20)</f>
        <v>1779401</v>
      </c>
      <c r="K21" s="519">
        <f>J21/$G$21</f>
        <v>0.40109879458541725</v>
      </c>
      <c r="L21" s="428"/>
      <c r="M21" s="524">
        <f>SUM(M18:M20)</f>
        <v>2656915</v>
      </c>
      <c r="N21" s="519">
        <f>M21/$G$21</f>
        <v>0.59890120541458269</v>
      </c>
      <c r="O21" s="428"/>
      <c r="P21" s="524">
        <f>SUM(P18:P20)</f>
        <v>0</v>
      </c>
      <c r="Q21" s="519">
        <f>P21/$G$21</f>
        <v>0</v>
      </c>
      <c r="R21" s="428"/>
      <c r="S21" s="524">
        <f>SUM(S18:S20)</f>
        <v>0</v>
      </c>
      <c r="T21" s="519">
        <f>S21/$G$21</f>
        <v>0</v>
      </c>
      <c r="U21" s="428"/>
      <c r="V21" s="524">
        <f t="shared" si="3"/>
        <v>4436316</v>
      </c>
      <c r="W21" s="519">
        <f t="shared" si="2"/>
        <v>1</v>
      </c>
    </row>
    <row r="22" spans="1:23" x14ac:dyDescent="0.3">
      <c r="A22" s="1443" t="s">
        <v>330</v>
      </c>
      <c r="B22" s="1446" t="s">
        <v>1683</v>
      </c>
      <c r="C22" s="513" t="s">
        <v>81</v>
      </c>
      <c r="D22" s="513" t="s">
        <v>218</v>
      </c>
      <c r="E22" s="500">
        <v>0</v>
      </c>
      <c r="F22" s="514">
        <v>1149124</v>
      </c>
      <c r="G22" s="514">
        <f>ROUND((E22*F22),0)</f>
        <v>0</v>
      </c>
      <c r="H22" s="1443" t="s">
        <v>1687</v>
      </c>
      <c r="I22" s="500">
        <v>0</v>
      </c>
      <c r="J22" s="514">
        <f>ROUND(I22*$F$22,0)</f>
        <v>0</v>
      </c>
      <c r="K22" s="520">
        <v>0</v>
      </c>
      <c r="L22" s="500">
        <v>0</v>
      </c>
      <c r="M22" s="514">
        <f>ROUND(L22*$F$22,0)</f>
        <v>0</v>
      </c>
      <c r="N22" s="520">
        <v>0</v>
      </c>
      <c r="O22" s="500">
        <v>0</v>
      </c>
      <c r="P22" s="514">
        <f>ROUND(O22*$F$22,0)</f>
        <v>0</v>
      </c>
      <c r="Q22" s="520">
        <v>0</v>
      </c>
      <c r="R22" s="500">
        <v>0</v>
      </c>
      <c r="S22" s="514">
        <f>ROUND(R22*$F$22,0)</f>
        <v>0</v>
      </c>
      <c r="T22" s="520">
        <v>0</v>
      </c>
      <c r="U22" s="579">
        <f t="shared" ref="U22:U24" si="6">I22+L22+O22+R22</f>
        <v>0</v>
      </c>
      <c r="V22" s="514">
        <f t="shared" ref="V22:V24" si="7">J22+M22+P22+S22</f>
        <v>0</v>
      </c>
      <c r="W22" s="520">
        <v>0</v>
      </c>
    </row>
    <row r="23" spans="1:23" x14ac:dyDescent="0.3">
      <c r="A23" s="1444"/>
      <c r="B23" s="1447"/>
      <c r="C23" s="513" t="s">
        <v>83</v>
      </c>
      <c r="D23" s="513" t="s">
        <v>219</v>
      </c>
      <c r="E23" s="500">
        <v>0</v>
      </c>
      <c r="F23" s="514">
        <v>2646468</v>
      </c>
      <c r="G23" s="514">
        <f>ROUND((E23*F23),0)</f>
        <v>0</v>
      </c>
      <c r="H23" s="1444"/>
      <c r="I23" s="500">
        <v>0</v>
      </c>
      <c r="J23" s="514">
        <f>ROUND(I23*$F$23,0)</f>
        <v>0</v>
      </c>
      <c r="K23" s="520">
        <v>0</v>
      </c>
      <c r="L23" s="500">
        <v>0</v>
      </c>
      <c r="M23" s="514">
        <f>ROUND(L23*$F$23,0)</f>
        <v>0</v>
      </c>
      <c r="N23" s="520">
        <v>0</v>
      </c>
      <c r="O23" s="500">
        <v>0</v>
      </c>
      <c r="P23" s="514">
        <f>ROUND(O23*$F$23,0)</f>
        <v>0</v>
      </c>
      <c r="Q23" s="520">
        <v>0</v>
      </c>
      <c r="R23" s="500">
        <v>0</v>
      </c>
      <c r="S23" s="514">
        <f>ROUND(R23*$F$23,0)</f>
        <v>0</v>
      </c>
      <c r="T23" s="520">
        <v>0</v>
      </c>
      <c r="U23" s="579">
        <f t="shared" si="6"/>
        <v>0</v>
      </c>
      <c r="V23" s="514">
        <f t="shared" si="7"/>
        <v>0</v>
      </c>
      <c r="W23" s="520">
        <v>0</v>
      </c>
    </row>
    <row r="24" spans="1:23" x14ac:dyDescent="0.3">
      <c r="A24" s="1444"/>
      <c r="B24" s="1447"/>
      <c r="C24" s="513" t="s">
        <v>61</v>
      </c>
      <c r="D24" s="513" t="s">
        <v>220</v>
      </c>
      <c r="E24" s="500">
        <v>0.7</v>
      </c>
      <c r="F24" s="514">
        <v>3203618</v>
      </c>
      <c r="G24" s="514">
        <f>ROUND((E24*F24),0)</f>
        <v>2242533</v>
      </c>
      <c r="H24" s="1444"/>
      <c r="I24" s="500">
        <v>0</v>
      </c>
      <c r="J24" s="514">
        <f>ROUND(I24*$F$24,0)</f>
        <v>0</v>
      </c>
      <c r="K24" s="520">
        <f>J24/$G$24</f>
        <v>0</v>
      </c>
      <c r="L24" s="500">
        <v>0</v>
      </c>
      <c r="M24" s="514">
        <f>ROUND(L24*$F$24,0)</f>
        <v>0</v>
      </c>
      <c r="N24" s="520">
        <f>M24/$G$24</f>
        <v>0</v>
      </c>
      <c r="O24" s="500">
        <v>0.7</v>
      </c>
      <c r="P24" s="514">
        <f>ROUND(O24*$F$24,0)</f>
        <v>2242533</v>
      </c>
      <c r="Q24" s="520">
        <f>P24/$G$24</f>
        <v>1</v>
      </c>
      <c r="R24" s="500">
        <v>0</v>
      </c>
      <c r="S24" s="514">
        <f>ROUND(R24*$F$24,0)</f>
        <v>0</v>
      </c>
      <c r="T24" s="520">
        <f>S24/$G$24</f>
        <v>0</v>
      </c>
      <c r="U24" s="579">
        <f t="shared" si="6"/>
        <v>0.7</v>
      </c>
      <c r="V24" s="514">
        <f t="shared" si="7"/>
        <v>2242533</v>
      </c>
      <c r="W24" s="520">
        <f t="shared" ref="W24:W43" si="8">V24/G24</f>
        <v>1</v>
      </c>
    </row>
    <row r="25" spans="1:23" x14ac:dyDescent="0.3">
      <c r="A25" s="1445"/>
      <c r="B25" s="1448"/>
      <c r="C25" s="39"/>
      <c r="D25" s="39" t="s">
        <v>221</v>
      </c>
      <c r="E25" s="40"/>
      <c r="F25" s="515"/>
      <c r="G25" s="515">
        <f>SUM(G22:G24)</f>
        <v>2242533</v>
      </c>
      <c r="H25" s="1445"/>
      <c r="I25" s="428"/>
      <c r="J25" s="524">
        <f>SUM(J22:J24)</f>
        <v>0</v>
      </c>
      <c r="K25" s="519">
        <f>J25/$G$25</f>
        <v>0</v>
      </c>
      <c r="L25" s="428"/>
      <c r="M25" s="524">
        <f>SUM(M22:M24)</f>
        <v>0</v>
      </c>
      <c r="N25" s="519">
        <f>M25/$G$25</f>
        <v>0</v>
      </c>
      <c r="O25" s="428"/>
      <c r="P25" s="524">
        <f>SUM(P22:P24)</f>
        <v>2242533</v>
      </c>
      <c r="Q25" s="519">
        <f>P25/$G$25</f>
        <v>1</v>
      </c>
      <c r="R25" s="428"/>
      <c r="S25" s="524">
        <f>SUM(S22:S24)</f>
        <v>0</v>
      </c>
      <c r="T25" s="519">
        <f>S25/$G$25</f>
        <v>0</v>
      </c>
      <c r="U25" s="428"/>
      <c r="V25" s="524">
        <f t="shared" si="3"/>
        <v>2242533</v>
      </c>
      <c r="W25" s="519">
        <f t="shared" si="8"/>
        <v>1</v>
      </c>
    </row>
    <row r="26" spans="1:23" ht="28.8" x14ac:dyDescent="0.3">
      <c r="A26" s="1443" t="s">
        <v>330</v>
      </c>
      <c r="B26" s="1446" t="s">
        <v>1685</v>
      </c>
      <c r="C26" s="531" t="s">
        <v>81</v>
      </c>
      <c r="D26" s="513" t="s">
        <v>166</v>
      </c>
      <c r="E26" s="500">
        <v>0.7</v>
      </c>
      <c r="F26" s="514">
        <v>1149124</v>
      </c>
      <c r="G26" s="514">
        <f>ROUND((E26*F26),0)</f>
        <v>804387</v>
      </c>
      <c r="H26" s="1443" t="s">
        <v>1686</v>
      </c>
      <c r="I26" s="500">
        <v>0</v>
      </c>
      <c r="J26" s="514">
        <f>ROUND(I26*$F$26,0)</f>
        <v>0</v>
      </c>
      <c r="K26" s="520">
        <f>J26/$G$26</f>
        <v>0</v>
      </c>
      <c r="L26" s="500">
        <v>0.7</v>
      </c>
      <c r="M26" s="514">
        <f>ROUND(L26*$F$26,0)</f>
        <v>804387</v>
      </c>
      <c r="N26" s="520">
        <f>M26/$G$26</f>
        <v>1</v>
      </c>
      <c r="O26" s="500">
        <v>0</v>
      </c>
      <c r="P26" s="514">
        <f>ROUND(O26*$F$26,0)</f>
        <v>0</v>
      </c>
      <c r="Q26" s="520">
        <f>P26/$G$26</f>
        <v>0</v>
      </c>
      <c r="R26" s="500">
        <v>0</v>
      </c>
      <c r="S26" s="514">
        <f>ROUND(R26*$F$26,0)</f>
        <v>0</v>
      </c>
      <c r="T26" s="520">
        <f>S26/$G$26</f>
        <v>0</v>
      </c>
      <c r="U26" s="579">
        <f t="shared" ref="U26:U28" si="9">I26+L26+O26+R26</f>
        <v>0.7</v>
      </c>
      <c r="V26" s="514">
        <f t="shared" ref="V26:V28" si="10">J26+M26+P26+S26</f>
        <v>804387</v>
      </c>
      <c r="W26" s="520">
        <f t="shared" si="8"/>
        <v>1</v>
      </c>
    </row>
    <row r="27" spans="1:23" ht="28.8" x14ac:dyDescent="0.3">
      <c r="A27" s="1444"/>
      <c r="B27" s="1447"/>
      <c r="C27" s="531" t="s">
        <v>83</v>
      </c>
      <c r="D27" s="513" t="s">
        <v>167</v>
      </c>
      <c r="E27" s="500">
        <v>0.7</v>
      </c>
      <c r="F27" s="514">
        <v>2646468</v>
      </c>
      <c r="G27" s="514">
        <f>ROUND((E27*F27),0)</f>
        <v>1852528</v>
      </c>
      <c r="H27" s="1444"/>
      <c r="I27" s="500">
        <v>0</v>
      </c>
      <c r="J27" s="514">
        <f>ROUND(I27*$F$27,0)</f>
        <v>0</v>
      </c>
      <c r="K27" s="520">
        <f>J27/$G$27</f>
        <v>0</v>
      </c>
      <c r="L27" s="500">
        <v>0.7</v>
      </c>
      <c r="M27" s="514">
        <f>ROUND(L27*$F$27,0)</f>
        <v>1852528</v>
      </c>
      <c r="N27" s="520">
        <f>M27/$G$27</f>
        <v>1</v>
      </c>
      <c r="O27" s="500">
        <v>0</v>
      </c>
      <c r="P27" s="514">
        <f>ROUND(O27*$F$27,0)</f>
        <v>0</v>
      </c>
      <c r="Q27" s="520">
        <f>P27/$G$27</f>
        <v>0</v>
      </c>
      <c r="R27" s="500">
        <v>0</v>
      </c>
      <c r="S27" s="514">
        <f>ROUND(R27*$F$27,0)</f>
        <v>0</v>
      </c>
      <c r="T27" s="520">
        <f>S27/$G$27</f>
        <v>0</v>
      </c>
      <c r="U27" s="579">
        <f t="shared" si="9"/>
        <v>0.7</v>
      </c>
      <c r="V27" s="514">
        <f t="shared" si="10"/>
        <v>1852528</v>
      </c>
      <c r="W27" s="520">
        <f t="shared" si="8"/>
        <v>1</v>
      </c>
    </row>
    <row r="28" spans="1:23" ht="28.8" x14ac:dyDescent="0.3">
      <c r="A28" s="1444"/>
      <c r="B28" s="1447"/>
      <c r="C28" s="531" t="s">
        <v>61</v>
      </c>
      <c r="D28" s="513" t="s">
        <v>168</v>
      </c>
      <c r="E28" s="500">
        <v>0.7</v>
      </c>
      <c r="F28" s="514">
        <v>2542001</v>
      </c>
      <c r="G28" s="514">
        <f>ROUND((E28*F28),0)</f>
        <v>1779401</v>
      </c>
      <c r="H28" s="1444"/>
      <c r="I28" s="500">
        <v>0.7</v>
      </c>
      <c r="J28" s="514">
        <f>ROUND(I28*$F$28,0)</f>
        <v>1779401</v>
      </c>
      <c r="K28" s="520">
        <f>J28/$G$28</f>
        <v>1</v>
      </c>
      <c r="L28" s="500">
        <v>0</v>
      </c>
      <c r="M28" s="514">
        <f>ROUND(L28*$F$28,0)</f>
        <v>0</v>
      </c>
      <c r="N28" s="520">
        <f>M28/$G$28</f>
        <v>0</v>
      </c>
      <c r="O28" s="500">
        <v>0</v>
      </c>
      <c r="P28" s="514">
        <f>ROUND(O28*$F$28,0)</f>
        <v>0</v>
      </c>
      <c r="Q28" s="520">
        <f>P28/$G$28</f>
        <v>0</v>
      </c>
      <c r="R28" s="500">
        <v>0</v>
      </c>
      <c r="S28" s="514">
        <f>ROUND(R28*$F$28,0)</f>
        <v>0</v>
      </c>
      <c r="T28" s="520">
        <f>S28/$G$28</f>
        <v>0</v>
      </c>
      <c r="U28" s="579">
        <f t="shared" si="9"/>
        <v>0.7</v>
      </c>
      <c r="V28" s="514">
        <f t="shared" si="10"/>
        <v>1779401</v>
      </c>
      <c r="W28" s="520">
        <f t="shared" si="8"/>
        <v>1</v>
      </c>
    </row>
    <row r="29" spans="1:23" x14ac:dyDescent="0.3">
      <c r="A29" s="1445"/>
      <c r="B29" s="1448"/>
      <c r="C29" s="39"/>
      <c r="D29" s="39" t="s">
        <v>169</v>
      </c>
      <c r="E29" s="40"/>
      <c r="F29" s="515"/>
      <c r="G29" s="515">
        <f>SUM(G26:G28)</f>
        <v>4436316</v>
      </c>
      <c r="H29" s="1445"/>
      <c r="I29" s="428"/>
      <c r="J29" s="524">
        <f>SUM(J26:J28)</f>
        <v>1779401</v>
      </c>
      <c r="K29" s="519">
        <f>J29/$G$29</f>
        <v>0.40109879458541725</v>
      </c>
      <c r="L29" s="428"/>
      <c r="M29" s="524">
        <f>SUM(M26:M28)</f>
        <v>2656915</v>
      </c>
      <c r="N29" s="519">
        <f>M29/$G$29</f>
        <v>0.59890120541458269</v>
      </c>
      <c r="O29" s="428"/>
      <c r="P29" s="524">
        <f>SUM(P26:P28)</f>
        <v>0</v>
      </c>
      <c r="Q29" s="519">
        <f>P29/$G$29</f>
        <v>0</v>
      </c>
      <c r="R29" s="428"/>
      <c r="S29" s="524">
        <f>SUM(S26:S28)</f>
        <v>0</v>
      </c>
      <c r="T29" s="519">
        <f>S29/$G$29</f>
        <v>0</v>
      </c>
      <c r="U29" s="428"/>
      <c r="V29" s="524">
        <f t="shared" si="3"/>
        <v>4436316</v>
      </c>
      <c r="W29" s="519">
        <f t="shared" si="8"/>
        <v>1</v>
      </c>
    </row>
    <row r="30" spans="1:23" ht="28.8" x14ac:dyDescent="0.3">
      <c r="A30" s="1443" t="s">
        <v>331</v>
      </c>
      <c r="B30" s="1446" t="s">
        <v>1685</v>
      </c>
      <c r="C30" s="531" t="s">
        <v>81</v>
      </c>
      <c r="D30" s="513" t="s">
        <v>166</v>
      </c>
      <c r="E30" s="500">
        <v>0.7</v>
      </c>
      <c r="F30" s="514">
        <v>1149124</v>
      </c>
      <c r="G30" s="514">
        <f>ROUND((E30*F30),0)</f>
        <v>804387</v>
      </c>
      <c r="H30" s="1443" t="s">
        <v>1688</v>
      </c>
      <c r="I30" s="500">
        <v>0</v>
      </c>
      <c r="J30" s="514">
        <f>ROUND(I30*$F$30,0)</f>
        <v>0</v>
      </c>
      <c r="K30" s="520">
        <f>J30/$G$30</f>
        <v>0</v>
      </c>
      <c r="L30" s="500">
        <v>0.7</v>
      </c>
      <c r="M30" s="514">
        <f>ROUND(L30*$F$30,0)</f>
        <v>804387</v>
      </c>
      <c r="N30" s="520">
        <f>M30/$G$30</f>
        <v>1</v>
      </c>
      <c r="O30" s="500">
        <v>0</v>
      </c>
      <c r="P30" s="514">
        <f>ROUND(O30*$F$30,0)</f>
        <v>0</v>
      </c>
      <c r="Q30" s="520">
        <f>P30/$G$30</f>
        <v>0</v>
      </c>
      <c r="R30" s="500">
        <v>0</v>
      </c>
      <c r="S30" s="514">
        <f>ROUND(R30*$F$30,0)</f>
        <v>0</v>
      </c>
      <c r="T30" s="520">
        <f>S30/$G$30</f>
        <v>0</v>
      </c>
      <c r="U30" s="579">
        <f t="shared" ref="U30:U32" si="11">I30+L30+O30+R30</f>
        <v>0.7</v>
      </c>
      <c r="V30" s="514">
        <f t="shared" ref="V30:V32" si="12">J30+M30+P30+S30</f>
        <v>804387</v>
      </c>
      <c r="W30" s="520">
        <f t="shared" si="8"/>
        <v>1</v>
      </c>
    </row>
    <row r="31" spans="1:23" ht="28.8" x14ac:dyDescent="0.3">
      <c r="A31" s="1444"/>
      <c r="B31" s="1447"/>
      <c r="C31" s="531" t="s">
        <v>83</v>
      </c>
      <c r="D31" s="513" t="s">
        <v>167</v>
      </c>
      <c r="E31" s="500">
        <v>0.7</v>
      </c>
      <c r="F31" s="514">
        <v>2646468</v>
      </c>
      <c r="G31" s="514">
        <f>ROUND((E31*F31),0)</f>
        <v>1852528</v>
      </c>
      <c r="H31" s="1444"/>
      <c r="I31" s="500">
        <v>0</v>
      </c>
      <c r="J31" s="514">
        <f>ROUND(I31*$F$31,0)</f>
        <v>0</v>
      </c>
      <c r="K31" s="520">
        <f>J31/$G$31</f>
        <v>0</v>
      </c>
      <c r="L31" s="500">
        <v>0</v>
      </c>
      <c r="M31" s="514">
        <f>ROUND(L31*$F$31,0)</f>
        <v>0</v>
      </c>
      <c r="N31" s="520">
        <f>M31/$G$31</f>
        <v>0</v>
      </c>
      <c r="O31" s="500">
        <v>0.7</v>
      </c>
      <c r="P31" s="514">
        <f>ROUND(O31*$F$31,0)</f>
        <v>1852528</v>
      </c>
      <c r="Q31" s="520">
        <f>P31/$G$31</f>
        <v>1</v>
      </c>
      <c r="R31" s="500">
        <v>0</v>
      </c>
      <c r="S31" s="514">
        <f>ROUND(R31*$F$31,0)</f>
        <v>0</v>
      </c>
      <c r="T31" s="520">
        <f>S31/$G$31</f>
        <v>0</v>
      </c>
      <c r="U31" s="579">
        <f t="shared" si="11"/>
        <v>0.7</v>
      </c>
      <c r="V31" s="514">
        <f t="shared" si="12"/>
        <v>1852528</v>
      </c>
      <c r="W31" s="520">
        <f t="shared" si="8"/>
        <v>1</v>
      </c>
    </row>
    <row r="32" spans="1:23" ht="28.8" x14ac:dyDescent="0.3">
      <c r="A32" s="1444"/>
      <c r="B32" s="1447"/>
      <c r="C32" s="531" t="s">
        <v>61</v>
      </c>
      <c r="D32" s="513" t="s">
        <v>168</v>
      </c>
      <c r="E32" s="500">
        <v>0.7</v>
      </c>
      <c r="F32" s="514">
        <v>2542001</v>
      </c>
      <c r="G32" s="514">
        <f>ROUND((E32*F32),0)</f>
        <v>1779401</v>
      </c>
      <c r="H32" s="1444"/>
      <c r="I32" s="500">
        <v>0.7</v>
      </c>
      <c r="J32" s="514">
        <f>ROUND(I32*$F$32,0)</f>
        <v>1779401</v>
      </c>
      <c r="K32" s="520">
        <f>J32/$G$32</f>
        <v>1</v>
      </c>
      <c r="L32" s="500">
        <v>0</v>
      </c>
      <c r="M32" s="514">
        <f>ROUND(L32*$F$32,0)</f>
        <v>0</v>
      </c>
      <c r="N32" s="520">
        <f>M32/$G$32</f>
        <v>0</v>
      </c>
      <c r="O32" s="500">
        <v>0</v>
      </c>
      <c r="P32" s="514">
        <f>ROUND(O32*$F$32,0)</f>
        <v>0</v>
      </c>
      <c r="Q32" s="520">
        <f>P32/$G$32</f>
        <v>0</v>
      </c>
      <c r="R32" s="500">
        <v>0</v>
      </c>
      <c r="S32" s="514">
        <f>ROUND(R32*$F$32,0)</f>
        <v>0</v>
      </c>
      <c r="T32" s="520">
        <f>S32/$G$32</f>
        <v>0</v>
      </c>
      <c r="U32" s="579">
        <f t="shared" si="11"/>
        <v>0.7</v>
      </c>
      <c r="V32" s="514">
        <f t="shared" si="12"/>
        <v>1779401</v>
      </c>
      <c r="W32" s="520">
        <f t="shared" si="8"/>
        <v>1</v>
      </c>
    </row>
    <row r="33" spans="1:23" x14ac:dyDescent="0.3">
      <c r="A33" s="1445"/>
      <c r="B33" s="1448"/>
      <c r="C33" s="39"/>
      <c r="D33" s="39" t="s">
        <v>169</v>
      </c>
      <c r="E33" s="40"/>
      <c r="F33" s="515"/>
      <c r="G33" s="515">
        <f>SUM(G30:G32)</f>
        <v>4436316</v>
      </c>
      <c r="H33" s="1445"/>
      <c r="I33" s="428"/>
      <c r="J33" s="524">
        <f>SUM(J30:J32)</f>
        <v>1779401</v>
      </c>
      <c r="K33" s="519">
        <f>J33/$G$33</f>
        <v>0.40109879458541725</v>
      </c>
      <c r="L33" s="428"/>
      <c r="M33" s="524">
        <f>SUM(M30:M32)</f>
        <v>804387</v>
      </c>
      <c r="N33" s="519">
        <f>M33/$G$33</f>
        <v>0.1813186887498546</v>
      </c>
      <c r="O33" s="428"/>
      <c r="P33" s="524">
        <f>SUM(P30:P32)</f>
        <v>1852528</v>
      </c>
      <c r="Q33" s="519">
        <f>P33/$G$33</f>
        <v>0.41758251666472812</v>
      </c>
      <c r="R33" s="428"/>
      <c r="S33" s="524">
        <f>SUM(S30:S32)</f>
        <v>0</v>
      </c>
      <c r="T33" s="519">
        <f>S33/$G$33</f>
        <v>0</v>
      </c>
      <c r="U33" s="428"/>
      <c r="V33" s="524">
        <f t="shared" ref="V33:V43" si="13">J33+M33+P33</f>
        <v>4436316</v>
      </c>
      <c r="W33" s="519">
        <f t="shared" si="8"/>
        <v>1</v>
      </c>
    </row>
    <row r="34" spans="1:23" x14ac:dyDescent="0.3">
      <c r="A34" s="1443" t="s">
        <v>332</v>
      </c>
      <c r="B34" s="1446" t="s">
        <v>1685</v>
      </c>
      <c r="C34" s="513" t="s">
        <v>81</v>
      </c>
      <c r="D34" s="513" t="s">
        <v>166</v>
      </c>
      <c r="E34" s="500">
        <v>0.7</v>
      </c>
      <c r="F34" s="514">
        <v>1149124</v>
      </c>
      <c r="G34" s="514">
        <f>ROUND((E34*F34),0)</f>
        <v>804387</v>
      </c>
      <c r="H34" s="1443" t="s">
        <v>1688</v>
      </c>
      <c r="I34" s="500">
        <v>0</v>
      </c>
      <c r="J34" s="514">
        <f>ROUND(I34*$F$34,0)</f>
        <v>0</v>
      </c>
      <c r="K34" s="520">
        <f>J34/$G$34</f>
        <v>0</v>
      </c>
      <c r="L34" s="500">
        <v>0.7</v>
      </c>
      <c r="M34" s="514">
        <f>ROUND(L34*$F$34,0)</f>
        <v>804387</v>
      </c>
      <c r="N34" s="520">
        <f>M34/$G$34</f>
        <v>1</v>
      </c>
      <c r="O34" s="500">
        <v>0</v>
      </c>
      <c r="P34" s="514">
        <f>ROUND(O34*$F$34,0)</f>
        <v>0</v>
      </c>
      <c r="Q34" s="520">
        <f>P34/$G$34</f>
        <v>0</v>
      </c>
      <c r="R34" s="500">
        <v>0</v>
      </c>
      <c r="S34" s="514">
        <f>ROUND(R34*$F$34,0)</f>
        <v>0</v>
      </c>
      <c r="T34" s="520">
        <f>S34/$G$34</f>
        <v>0</v>
      </c>
      <c r="U34" s="579">
        <f t="shared" ref="U34:U36" si="14">I34+L34+O34+R34</f>
        <v>0.7</v>
      </c>
      <c r="V34" s="514">
        <f t="shared" ref="V34:V36" si="15">J34+M34+P34+S34</f>
        <v>804387</v>
      </c>
      <c r="W34" s="520">
        <f t="shared" si="8"/>
        <v>1</v>
      </c>
    </row>
    <row r="35" spans="1:23" x14ac:dyDescent="0.3">
      <c r="A35" s="1444"/>
      <c r="B35" s="1447"/>
      <c r="C35" s="513" t="s">
        <v>83</v>
      </c>
      <c r="D35" s="513" t="s">
        <v>167</v>
      </c>
      <c r="E35" s="500">
        <v>0.7</v>
      </c>
      <c r="F35" s="514">
        <v>2646468</v>
      </c>
      <c r="G35" s="514">
        <f>ROUND((E35*F35),0)</f>
        <v>1852528</v>
      </c>
      <c r="H35" s="1444"/>
      <c r="I35" s="500">
        <v>0</v>
      </c>
      <c r="J35" s="514">
        <f>ROUND(I35*$F$35,0)</f>
        <v>0</v>
      </c>
      <c r="K35" s="520">
        <f>J35/$G$35</f>
        <v>0</v>
      </c>
      <c r="L35" s="500">
        <v>0</v>
      </c>
      <c r="M35" s="514">
        <f>ROUND(L35*$F$35,0)</f>
        <v>0</v>
      </c>
      <c r="N35" s="520">
        <f>M35/$G$35</f>
        <v>0</v>
      </c>
      <c r="O35" s="500">
        <v>0.7</v>
      </c>
      <c r="P35" s="514">
        <f>ROUND(O35*$F$35,0)</f>
        <v>1852528</v>
      </c>
      <c r="Q35" s="520">
        <f>P35/$G$35</f>
        <v>1</v>
      </c>
      <c r="R35" s="500">
        <v>0</v>
      </c>
      <c r="S35" s="514">
        <f>ROUND(R35*$F$35,0)</f>
        <v>0</v>
      </c>
      <c r="T35" s="520">
        <f>S35/$G$35</f>
        <v>0</v>
      </c>
      <c r="U35" s="579">
        <f t="shared" si="14"/>
        <v>0.7</v>
      </c>
      <c r="V35" s="514">
        <f t="shared" si="15"/>
        <v>1852528</v>
      </c>
      <c r="W35" s="520">
        <f t="shared" si="8"/>
        <v>1</v>
      </c>
    </row>
    <row r="36" spans="1:23" x14ac:dyDescent="0.3">
      <c r="A36" s="1444"/>
      <c r="B36" s="1447"/>
      <c r="C36" s="513" t="s">
        <v>61</v>
      </c>
      <c r="D36" s="513" t="s">
        <v>168</v>
      </c>
      <c r="E36" s="500">
        <v>0.7</v>
      </c>
      <c r="F36" s="514">
        <v>2542001</v>
      </c>
      <c r="G36" s="514">
        <f>ROUND((E36*F36),0)</f>
        <v>1779401</v>
      </c>
      <c r="H36" s="1444"/>
      <c r="I36" s="500">
        <v>0.7</v>
      </c>
      <c r="J36" s="514">
        <f>ROUND(I36*$F$36,0)</f>
        <v>1779401</v>
      </c>
      <c r="K36" s="520">
        <f>J36/$G$36</f>
        <v>1</v>
      </c>
      <c r="L36" s="500">
        <v>0</v>
      </c>
      <c r="M36" s="514">
        <f>ROUND(L36*$F$36,0)</f>
        <v>0</v>
      </c>
      <c r="N36" s="520">
        <f>M36/$G$36</f>
        <v>0</v>
      </c>
      <c r="O36" s="500">
        <v>0</v>
      </c>
      <c r="P36" s="514">
        <f>ROUND(O36*$F$36,0)</f>
        <v>0</v>
      </c>
      <c r="Q36" s="520">
        <f>P36/$G$36</f>
        <v>0</v>
      </c>
      <c r="R36" s="500">
        <v>0</v>
      </c>
      <c r="S36" s="514">
        <f>ROUND(R36*$F$36,0)</f>
        <v>0</v>
      </c>
      <c r="T36" s="520">
        <f>S36/$G$36</f>
        <v>0</v>
      </c>
      <c r="U36" s="579">
        <f t="shared" si="14"/>
        <v>0.7</v>
      </c>
      <c r="V36" s="514">
        <f t="shared" si="15"/>
        <v>1779401</v>
      </c>
      <c r="W36" s="520">
        <f t="shared" si="8"/>
        <v>1</v>
      </c>
    </row>
    <row r="37" spans="1:23" x14ac:dyDescent="0.3">
      <c r="A37" s="1445"/>
      <c r="B37" s="1448"/>
      <c r="C37" s="39"/>
      <c r="D37" s="39" t="s">
        <v>169</v>
      </c>
      <c r="E37" s="40"/>
      <c r="F37" s="515"/>
      <c r="G37" s="515">
        <f>SUM(G34:G36)</f>
        <v>4436316</v>
      </c>
      <c r="H37" s="1445"/>
      <c r="I37" s="428"/>
      <c r="J37" s="524">
        <f>SUM(J34:J36)</f>
        <v>1779401</v>
      </c>
      <c r="K37" s="519">
        <f>J37/$G$37</f>
        <v>0.40109879458541725</v>
      </c>
      <c r="L37" s="428"/>
      <c r="M37" s="524">
        <f>SUM(M34:M36)</f>
        <v>804387</v>
      </c>
      <c r="N37" s="519">
        <f>M37/$G$37</f>
        <v>0.1813186887498546</v>
      </c>
      <c r="O37" s="428"/>
      <c r="P37" s="524">
        <f>SUM(P34:P36)</f>
        <v>1852528</v>
      </c>
      <c r="Q37" s="519">
        <f>P37/$G$37</f>
        <v>0.41758251666472812</v>
      </c>
      <c r="R37" s="428"/>
      <c r="S37" s="524">
        <f>SUM(S34:S36)</f>
        <v>0</v>
      </c>
      <c r="T37" s="519">
        <f>S37/$G$37</f>
        <v>0</v>
      </c>
      <c r="U37" s="428"/>
      <c r="V37" s="524">
        <f t="shared" si="13"/>
        <v>4436316</v>
      </c>
      <c r="W37" s="519">
        <f t="shared" si="8"/>
        <v>1</v>
      </c>
    </row>
    <row r="38" spans="1:23" ht="30" customHeight="1" x14ac:dyDescent="0.3">
      <c r="A38" s="1443" t="s">
        <v>333</v>
      </c>
      <c r="B38" s="1446" t="s">
        <v>1685</v>
      </c>
      <c r="C38" s="531" t="s">
        <v>81</v>
      </c>
      <c r="D38" s="513" t="s">
        <v>166</v>
      </c>
      <c r="E38" s="500">
        <v>0.7</v>
      </c>
      <c r="F38" s="514">
        <v>1149124</v>
      </c>
      <c r="G38" s="514">
        <f>ROUND((E38*F38),0)</f>
        <v>804387</v>
      </c>
      <c r="H38" s="1443" t="s">
        <v>1689</v>
      </c>
      <c r="I38" s="500">
        <v>0</v>
      </c>
      <c r="J38" s="514">
        <f>ROUND(I38*$F$38,0)</f>
        <v>0</v>
      </c>
      <c r="K38" s="520">
        <f>J38/$G$38</f>
        <v>0</v>
      </c>
      <c r="L38" s="500">
        <v>0</v>
      </c>
      <c r="M38" s="514">
        <f>ROUND(L38*$F$38,0)</f>
        <v>0</v>
      </c>
      <c r="N38" s="520">
        <f>M38/$G$38</f>
        <v>0</v>
      </c>
      <c r="O38" s="500">
        <f>0.7*70%</f>
        <v>0.48999999999999994</v>
      </c>
      <c r="P38" s="514">
        <f>ROUND(O38*$F$38,0)</f>
        <v>563071</v>
      </c>
      <c r="Q38" s="520">
        <f>P38/$G$38</f>
        <v>0.70000012431826963</v>
      </c>
      <c r="R38" s="532">
        <f>0.7*30%</f>
        <v>0.21</v>
      </c>
      <c r="S38" s="533">
        <f>ROUND(R38*$F$38,0)</f>
        <v>241316</v>
      </c>
      <c r="T38" s="534">
        <f>S38/$G$38</f>
        <v>0.29999987568173031</v>
      </c>
      <c r="U38" s="579">
        <f t="shared" ref="U38:U40" si="16">I38+L38+O38+R38</f>
        <v>0.7</v>
      </c>
      <c r="V38" s="514">
        <f t="shared" ref="V38:V40" si="17">J38+M38+P38+S38</f>
        <v>804387</v>
      </c>
      <c r="W38" s="585">
        <f t="shared" si="8"/>
        <v>1</v>
      </c>
    </row>
    <row r="39" spans="1:23" ht="28.8" x14ac:dyDescent="0.3">
      <c r="A39" s="1444"/>
      <c r="B39" s="1447"/>
      <c r="C39" s="531" t="s">
        <v>83</v>
      </c>
      <c r="D39" s="513" t="s">
        <v>167</v>
      </c>
      <c r="E39" s="500">
        <v>0.7</v>
      </c>
      <c r="F39" s="514">
        <v>2646468</v>
      </c>
      <c r="G39" s="514">
        <f>ROUND((E39*F39),0)</f>
        <v>1852528</v>
      </c>
      <c r="H39" s="1444"/>
      <c r="I39" s="500">
        <v>0</v>
      </c>
      <c r="J39" s="514">
        <f>ROUND(I39*$F$39,0)</f>
        <v>0</v>
      </c>
      <c r="K39" s="520">
        <f>J39/$G$39</f>
        <v>0</v>
      </c>
      <c r="L39" s="500">
        <v>0</v>
      </c>
      <c r="M39" s="514">
        <f>ROUND(L39*$F$39,0)</f>
        <v>0</v>
      </c>
      <c r="N39" s="520">
        <f>M39/$G$39</f>
        <v>0</v>
      </c>
      <c r="O39" s="500">
        <v>0.7</v>
      </c>
      <c r="P39" s="514">
        <f>ROUND(O39*$F$39,0)</f>
        <v>1852528</v>
      </c>
      <c r="Q39" s="520">
        <f>P39/$G$39</f>
        <v>1</v>
      </c>
      <c r="R39" s="500">
        <v>0</v>
      </c>
      <c r="S39" s="514">
        <f>ROUND(R39*$F$39,0)</f>
        <v>0</v>
      </c>
      <c r="T39" s="520">
        <f>S39/$G$39</f>
        <v>0</v>
      </c>
      <c r="U39" s="579">
        <f t="shared" si="16"/>
        <v>0.7</v>
      </c>
      <c r="V39" s="514">
        <f t="shared" si="17"/>
        <v>1852528</v>
      </c>
      <c r="W39" s="520">
        <f t="shared" si="8"/>
        <v>1</v>
      </c>
    </row>
    <row r="40" spans="1:23" ht="28.8" x14ac:dyDescent="0.3">
      <c r="A40" s="1444"/>
      <c r="B40" s="1447"/>
      <c r="C40" s="531" t="s">
        <v>61</v>
      </c>
      <c r="D40" s="513" t="s">
        <v>168</v>
      </c>
      <c r="E40" s="500">
        <v>0.7</v>
      </c>
      <c r="F40" s="514">
        <v>2542001</v>
      </c>
      <c r="G40" s="514">
        <f>ROUND((E40*F40),0)</f>
        <v>1779401</v>
      </c>
      <c r="H40" s="1444"/>
      <c r="I40" s="500">
        <v>0.7</v>
      </c>
      <c r="J40" s="514">
        <f>ROUND(I40*$F$40,0)</f>
        <v>1779401</v>
      </c>
      <c r="K40" s="520">
        <f>J40/$G$40</f>
        <v>1</v>
      </c>
      <c r="L40" s="500">
        <v>0</v>
      </c>
      <c r="M40" s="514">
        <f>ROUND(L40*$F$40,0)</f>
        <v>0</v>
      </c>
      <c r="N40" s="520">
        <f>M40/$G$40</f>
        <v>0</v>
      </c>
      <c r="O40" s="500">
        <v>0</v>
      </c>
      <c r="P40" s="514">
        <f>ROUND(O40*$F$40,0)</f>
        <v>0</v>
      </c>
      <c r="Q40" s="520">
        <f>P40/$G$40</f>
        <v>0</v>
      </c>
      <c r="R40" s="500">
        <v>0</v>
      </c>
      <c r="S40" s="514">
        <f>ROUND(R40*$F$40,0)</f>
        <v>0</v>
      </c>
      <c r="T40" s="520">
        <f>S40/$G$40</f>
        <v>0</v>
      </c>
      <c r="U40" s="579">
        <f t="shared" si="16"/>
        <v>0.7</v>
      </c>
      <c r="V40" s="514">
        <f t="shared" si="17"/>
        <v>1779401</v>
      </c>
      <c r="W40" s="520">
        <f t="shared" si="8"/>
        <v>1</v>
      </c>
    </row>
    <row r="41" spans="1:23" x14ac:dyDescent="0.3">
      <c r="A41" s="1445"/>
      <c r="B41" s="1448"/>
      <c r="C41" s="39"/>
      <c r="D41" s="39" t="s">
        <v>169</v>
      </c>
      <c r="E41" s="40"/>
      <c r="F41" s="515"/>
      <c r="G41" s="515">
        <f>SUM(G38:G40)</f>
        <v>4436316</v>
      </c>
      <c r="H41" s="1445"/>
      <c r="I41" s="428"/>
      <c r="J41" s="524">
        <f>SUM(J38:J40)</f>
        <v>1779401</v>
      </c>
      <c r="K41" s="519">
        <f>J41/$G$41</f>
        <v>0.40109879458541725</v>
      </c>
      <c r="L41" s="428"/>
      <c r="M41" s="524">
        <f>SUM(M38:M40)</f>
        <v>0</v>
      </c>
      <c r="N41" s="519">
        <f>M41/$G$41</f>
        <v>0</v>
      </c>
      <c r="O41" s="428"/>
      <c r="P41" s="524">
        <f>SUM(P38:P40)</f>
        <v>2415599</v>
      </c>
      <c r="Q41" s="519">
        <f>P41/$G$41</f>
        <v>0.54450562133085201</v>
      </c>
      <c r="R41" s="428"/>
      <c r="S41" s="524">
        <f>SUM(S38:S40)</f>
        <v>241316</v>
      </c>
      <c r="T41" s="519">
        <f>S41/$G$41</f>
        <v>5.4395584083730734E-2</v>
      </c>
      <c r="U41" s="428"/>
      <c r="V41" s="524">
        <f t="shared" si="13"/>
        <v>4195000</v>
      </c>
      <c r="W41" s="519">
        <f t="shared" si="8"/>
        <v>0.94560441591626931</v>
      </c>
    </row>
    <row r="42" spans="1:23" ht="28.8" x14ac:dyDescent="0.3">
      <c r="A42" s="1443" t="s">
        <v>333</v>
      </c>
      <c r="B42" s="1446" t="s">
        <v>1690</v>
      </c>
      <c r="C42" s="531" t="s">
        <v>59</v>
      </c>
      <c r="D42" s="513" t="s">
        <v>235</v>
      </c>
      <c r="E42" s="500">
        <v>0.7</v>
      </c>
      <c r="F42" s="514">
        <v>2298247</v>
      </c>
      <c r="G42" s="514">
        <f>ROUND((E42*F42),0)</f>
        <v>1608773</v>
      </c>
      <c r="H42" s="1443" t="s">
        <v>1691</v>
      </c>
      <c r="I42" s="500">
        <v>0</v>
      </c>
      <c r="J42" s="514">
        <f>ROUND(I42*$F$42,0)</f>
        <v>0</v>
      </c>
      <c r="K42" s="520">
        <f>J42/$G$42</f>
        <v>0</v>
      </c>
      <c r="L42" s="500">
        <v>0</v>
      </c>
      <c r="M42" s="514">
        <f>ROUND(L42*$F$42,0)</f>
        <v>0</v>
      </c>
      <c r="N42" s="520">
        <f>M42/$G$42</f>
        <v>0</v>
      </c>
      <c r="O42" s="500">
        <v>0.7</v>
      </c>
      <c r="P42" s="514">
        <f>ROUND(O42*$F$42,0)</f>
        <v>1608773</v>
      </c>
      <c r="Q42" s="520">
        <f>P42/$G$42</f>
        <v>1</v>
      </c>
      <c r="R42" s="500">
        <v>0</v>
      </c>
      <c r="S42" s="514">
        <f>ROUND(R42*$F$42,0)</f>
        <v>0</v>
      </c>
      <c r="T42" s="520">
        <f>S42/$G$42</f>
        <v>0</v>
      </c>
      <c r="U42" s="579">
        <f>I42+L42+O42+R42</f>
        <v>0.7</v>
      </c>
      <c r="V42" s="514">
        <f>J42+M42+P42+S42</f>
        <v>1608773</v>
      </c>
      <c r="W42" s="520">
        <f t="shared" si="8"/>
        <v>1</v>
      </c>
    </row>
    <row r="43" spans="1:23" x14ac:dyDescent="0.3">
      <c r="A43" s="1444"/>
      <c r="B43" s="1447"/>
      <c r="C43" s="39"/>
      <c r="D43" s="39" t="s">
        <v>236</v>
      </c>
      <c r="E43" s="40"/>
      <c r="F43" s="515"/>
      <c r="G43" s="515">
        <f>G42</f>
        <v>1608773</v>
      </c>
      <c r="H43" s="1444"/>
      <c r="I43" s="428"/>
      <c r="J43" s="524">
        <f>J42</f>
        <v>0</v>
      </c>
      <c r="K43" s="519">
        <f>J43/$G$43</f>
        <v>0</v>
      </c>
      <c r="L43" s="428"/>
      <c r="M43" s="524">
        <f>M42</f>
        <v>0</v>
      </c>
      <c r="N43" s="519">
        <f>M43/$G$43</f>
        <v>0</v>
      </c>
      <c r="O43" s="428"/>
      <c r="P43" s="524">
        <f>P42</f>
        <v>1608773</v>
      </c>
      <c r="Q43" s="519">
        <f>P43/$G$43</f>
        <v>1</v>
      </c>
      <c r="R43" s="428"/>
      <c r="S43" s="524">
        <f>S42</f>
        <v>0</v>
      </c>
      <c r="T43" s="519">
        <f>S43/$G$43</f>
        <v>0</v>
      </c>
      <c r="U43" s="428"/>
      <c r="V43" s="524">
        <f t="shared" si="13"/>
        <v>1608773</v>
      </c>
      <c r="W43" s="519">
        <f t="shared" si="8"/>
        <v>1</v>
      </c>
    </row>
    <row r="44" spans="1:23" x14ac:dyDescent="0.3">
      <c r="F44" s="514" t="s">
        <v>64</v>
      </c>
      <c r="G44" s="514">
        <f>SUM(G7:G43)/2</f>
        <v>28275419</v>
      </c>
      <c r="I44" s="212" t="s">
        <v>64</v>
      </c>
      <c r="J44" s="516">
        <f>SUM(J7:J43)/2</f>
        <v>11139538</v>
      </c>
      <c r="K44" s="338">
        <f>J44/$G$44</f>
        <v>0.39396544397803618</v>
      </c>
      <c r="L44" s="212" t="s">
        <v>64</v>
      </c>
      <c r="M44" s="516">
        <f>SUM(M7:M43)/2</f>
        <v>6922604</v>
      </c>
      <c r="N44" s="338">
        <f>M44/$G$44</f>
        <v>0.24482763632963317</v>
      </c>
      <c r="O44" s="500" t="s">
        <v>64</v>
      </c>
      <c r="P44" s="514">
        <f>SUM(P7:P43)/2</f>
        <v>9971961</v>
      </c>
      <c r="Q44" s="338">
        <f>P44/$G$44</f>
        <v>0.35267243961972766</v>
      </c>
      <c r="R44" s="586" t="s">
        <v>64</v>
      </c>
      <c r="S44" s="514">
        <f>SUM(S7:S43)/2</f>
        <v>241316</v>
      </c>
      <c r="U44" s="586" t="s">
        <v>64</v>
      </c>
      <c r="V44" s="514">
        <f>SUM(V7:V43)/2</f>
        <v>28154761</v>
      </c>
    </row>
    <row r="45" spans="1:23" x14ac:dyDescent="0.3">
      <c r="F45" s="514" t="s">
        <v>65</v>
      </c>
      <c r="G45" s="514">
        <v>0</v>
      </c>
      <c r="I45" s="212" t="s">
        <v>65</v>
      </c>
      <c r="J45" s="516">
        <v>0</v>
      </c>
      <c r="L45" s="212" t="s">
        <v>65</v>
      </c>
      <c r="M45" s="516">
        <v>0</v>
      </c>
      <c r="O45" s="500" t="s">
        <v>65</v>
      </c>
      <c r="P45" s="514">
        <v>0</v>
      </c>
      <c r="R45" s="586" t="s">
        <v>65</v>
      </c>
      <c r="S45" s="514">
        <v>0</v>
      </c>
      <c r="U45" s="586" t="s">
        <v>65</v>
      </c>
      <c r="V45" s="514">
        <v>0</v>
      </c>
    </row>
    <row r="46" spans="1:23" x14ac:dyDescent="0.3">
      <c r="F46" s="517" t="s">
        <v>64</v>
      </c>
      <c r="G46" s="517">
        <f>+G44+G45</f>
        <v>28275419</v>
      </c>
      <c r="I46" s="212" t="s">
        <v>64</v>
      </c>
      <c r="J46" s="516">
        <f>+J44+J45</f>
        <v>11139538</v>
      </c>
      <c r="L46" s="212" t="s">
        <v>64</v>
      </c>
      <c r="M46" s="516">
        <f>+M44+M45</f>
        <v>6922604</v>
      </c>
      <c r="O46" s="528" t="s">
        <v>64</v>
      </c>
      <c r="P46" s="517">
        <f>+P44+P45</f>
        <v>9971961</v>
      </c>
      <c r="R46" s="586" t="s">
        <v>64</v>
      </c>
      <c r="S46" s="514">
        <f>+S44+S45</f>
        <v>241316</v>
      </c>
      <c r="U46" s="586" t="s">
        <v>64</v>
      </c>
      <c r="V46" s="514">
        <f>+V44+V45</f>
        <v>28154761</v>
      </c>
    </row>
    <row r="47" spans="1:23" ht="26.4" x14ac:dyDescent="0.3">
      <c r="F47" s="517"/>
      <c r="G47" s="517"/>
      <c r="O47" s="484" t="s">
        <v>1439</v>
      </c>
      <c r="P47" s="514">
        <v>0</v>
      </c>
      <c r="R47" s="484" t="s">
        <v>1439</v>
      </c>
      <c r="S47" s="514">
        <f>+S46*1.5%</f>
        <v>3619.74</v>
      </c>
      <c r="U47" s="484" t="s">
        <v>1439</v>
      </c>
      <c r="V47" s="514">
        <f>+S47</f>
        <v>3619.74</v>
      </c>
    </row>
    <row r="48" spans="1:23" ht="26.4" x14ac:dyDescent="0.3">
      <c r="F48" s="517"/>
      <c r="G48" s="517"/>
      <c r="O48" s="152" t="s">
        <v>1440</v>
      </c>
      <c r="P48" s="517">
        <f>+P47+P46</f>
        <v>9971961</v>
      </c>
      <c r="R48" s="152" t="s">
        <v>1440</v>
      </c>
      <c r="S48" s="517">
        <f>+S47+S46</f>
        <v>244935.74</v>
      </c>
      <c r="T48" s="530">
        <f>S48/$G$44</f>
        <v>8.662497273692036E-3</v>
      </c>
      <c r="U48" s="152" t="s">
        <v>1440</v>
      </c>
      <c r="V48" s="517">
        <f>+V47+V46</f>
        <v>28158380.739999998</v>
      </c>
      <c r="W48" s="338">
        <f>V48/G44</f>
        <v>0.99586077716478749</v>
      </c>
    </row>
    <row r="49" spans="1:22" x14ac:dyDescent="0.3">
      <c r="F49" s="514" t="s">
        <v>66</v>
      </c>
      <c r="G49" s="514">
        <f>+G46*19%</f>
        <v>5372329.6100000003</v>
      </c>
      <c r="I49" s="212" t="s">
        <v>66</v>
      </c>
      <c r="J49" s="516">
        <f>+J46*19%</f>
        <v>2116512.2200000002</v>
      </c>
      <c r="L49" s="212" t="s">
        <v>66</v>
      </c>
      <c r="M49" s="516">
        <f>+M46*19%</f>
        <v>1315294.76</v>
      </c>
      <c r="O49" s="500" t="s">
        <v>66</v>
      </c>
      <c r="P49" s="483">
        <f>ROUND(P48*0.19,0)</f>
        <v>1894673</v>
      </c>
      <c r="R49" s="586" t="s">
        <v>66</v>
      </c>
      <c r="S49" s="483">
        <f>ROUND(S48*0.19,0)</f>
        <v>46538</v>
      </c>
      <c r="U49" s="586" t="s">
        <v>66</v>
      </c>
      <c r="V49" s="514">
        <f>+V48*19%</f>
        <v>5350092.3405999998</v>
      </c>
    </row>
    <row r="50" spans="1:22" x14ac:dyDescent="0.3">
      <c r="F50" s="517" t="s">
        <v>69</v>
      </c>
      <c r="G50" s="517">
        <f>+G46+G49</f>
        <v>33647748.609999999</v>
      </c>
      <c r="I50" s="212" t="s">
        <v>69</v>
      </c>
      <c r="J50" s="516">
        <f>+J46+J49</f>
        <v>13256050.220000001</v>
      </c>
      <c r="L50" s="212" t="s">
        <v>69</v>
      </c>
      <c r="M50" s="516">
        <f>+M46+M49</f>
        <v>8237898.7599999998</v>
      </c>
      <c r="O50" s="528" t="s">
        <v>69</v>
      </c>
      <c r="P50" s="517">
        <f>+P48+P49</f>
        <v>11866634</v>
      </c>
      <c r="R50" s="586" t="s">
        <v>69</v>
      </c>
      <c r="S50" s="514">
        <f>+S48+S49</f>
        <v>291473.74</v>
      </c>
      <c r="U50" s="586" t="s">
        <v>69</v>
      </c>
      <c r="V50" s="514">
        <f>+V48+V49</f>
        <v>33508473.080599997</v>
      </c>
    </row>
    <row r="53" spans="1:22" x14ac:dyDescent="0.3">
      <c r="A53" s="189" t="s">
        <v>67</v>
      </c>
      <c r="D53" s="189" t="s">
        <v>68</v>
      </c>
      <c r="I53" s="212" t="s">
        <v>70</v>
      </c>
      <c r="J53" s="516" t="s">
        <v>71</v>
      </c>
      <c r="K53" s="338" t="s">
        <v>58</v>
      </c>
      <c r="L53" s="212" t="s">
        <v>70</v>
      </c>
      <c r="M53" s="516" t="s">
        <v>71</v>
      </c>
      <c r="N53" s="338" t="s">
        <v>58</v>
      </c>
      <c r="O53" s="186" t="s">
        <v>70</v>
      </c>
      <c r="P53" s="525" t="s">
        <v>71</v>
      </c>
      <c r="Q53" s="521" t="s">
        <v>58</v>
      </c>
      <c r="R53" s="186" t="s">
        <v>70</v>
      </c>
      <c r="S53" s="525" t="s">
        <v>71</v>
      </c>
      <c r="T53" s="521" t="s">
        <v>58</v>
      </c>
    </row>
    <row r="54" spans="1:22" x14ac:dyDescent="0.3">
      <c r="I54" s="212" t="s">
        <v>72</v>
      </c>
      <c r="J54" s="516">
        <f>$J$44</f>
        <v>11139538</v>
      </c>
      <c r="K54" s="338">
        <f>$K$44</f>
        <v>0.39396544397803618</v>
      </c>
      <c r="L54" s="212" t="s">
        <v>72</v>
      </c>
      <c r="M54" s="516">
        <f>$J$44</f>
        <v>11139538</v>
      </c>
      <c r="N54" s="338">
        <f>$K$44</f>
        <v>0.39396544397803618</v>
      </c>
      <c r="O54" s="69" t="s">
        <v>72</v>
      </c>
      <c r="P54" s="526">
        <f>$J$44</f>
        <v>11139538</v>
      </c>
      <c r="Q54" s="522">
        <f>$K$44</f>
        <v>0.39396544397803618</v>
      </c>
      <c r="R54" s="69" t="s">
        <v>72</v>
      </c>
      <c r="S54" s="526">
        <f>$J$44</f>
        <v>11139538</v>
      </c>
      <c r="T54" s="522">
        <f>$K$44</f>
        <v>0.39396544397803618</v>
      </c>
    </row>
    <row r="55" spans="1:22" x14ac:dyDescent="0.3">
      <c r="L55" s="212" t="s">
        <v>73</v>
      </c>
      <c r="M55" s="516">
        <f>$M$44</f>
        <v>6922604</v>
      </c>
      <c r="N55" s="338">
        <f>$N$44</f>
        <v>0.24482763632963317</v>
      </c>
      <c r="O55" s="69" t="s">
        <v>73</v>
      </c>
      <c r="P55" s="526">
        <f>$M$44</f>
        <v>6922604</v>
      </c>
      <c r="Q55" s="522">
        <f>$N$44</f>
        <v>0.24482763632963317</v>
      </c>
      <c r="R55" s="69" t="s">
        <v>73</v>
      </c>
      <c r="S55" s="526">
        <f>$M$44</f>
        <v>6922604</v>
      </c>
      <c r="T55" s="522">
        <f>$N$44</f>
        <v>0.24482763632963317</v>
      </c>
    </row>
    <row r="56" spans="1:22" x14ac:dyDescent="0.3">
      <c r="O56" s="69" t="s">
        <v>74</v>
      </c>
      <c r="P56" s="526">
        <f>$P$44</f>
        <v>9971961</v>
      </c>
      <c r="Q56" s="522">
        <f>$Q$44</f>
        <v>0.35267243961972766</v>
      </c>
      <c r="R56" s="69" t="s">
        <v>74</v>
      </c>
      <c r="S56" s="526">
        <f>$P$44</f>
        <v>9971961</v>
      </c>
      <c r="T56" s="522">
        <f>$Q$44</f>
        <v>0.35267243961972766</v>
      </c>
    </row>
    <row r="57" spans="1:22" x14ac:dyDescent="0.3">
      <c r="O57" s="69" t="s">
        <v>155</v>
      </c>
      <c r="P57" s="526"/>
      <c r="Q57" s="522"/>
      <c r="R57" s="69" t="s">
        <v>155</v>
      </c>
      <c r="S57" s="526">
        <f>+S48</f>
        <v>244935.74</v>
      </c>
      <c r="T57" s="522">
        <f>+T48</f>
        <v>8.662497273692036E-3</v>
      </c>
    </row>
    <row r="58" spans="1:22" x14ac:dyDescent="0.3">
      <c r="I58" s="212" t="s">
        <v>1</v>
      </c>
      <c r="J58" s="516">
        <f>SUM(J54:J54)</f>
        <v>11139538</v>
      </c>
      <c r="K58" s="338">
        <f>SUM(K54:K54)</f>
        <v>0.39396544397803618</v>
      </c>
      <c r="L58" s="212" t="s">
        <v>1</v>
      </c>
      <c r="M58" s="516">
        <f>SUM(M54:M55)</f>
        <v>18062142</v>
      </c>
      <c r="N58" s="338">
        <f>SUM(N54:N55)</f>
        <v>0.63879308030766935</v>
      </c>
      <c r="O58" s="72" t="s">
        <v>1</v>
      </c>
      <c r="P58" s="527">
        <f>SUM(P54:P57)</f>
        <v>28034103</v>
      </c>
      <c r="Q58" s="522">
        <f>SUM(Q54:Q57)</f>
        <v>0.99146551992739695</v>
      </c>
      <c r="R58" s="72" t="s">
        <v>1</v>
      </c>
      <c r="S58" s="527">
        <f>SUM(S54:S57)</f>
        <v>28279038.739999998</v>
      </c>
      <c r="T58" s="529">
        <f>SUM(T54:T57)</f>
        <v>1.0001280172010889</v>
      </c>
    </row>
    <row r="59" spans="1:22" x14ac:dyDescent="0.3">
      <c r="I59" s="212" t="s">
        <v>9</v>
      </c>
      <c r="J59" s="1379"/>
      <c r="K59" s="1379"/>
      <c r="L59" s="212" t="s">
        <v>9</v>
      </c>
      <c r="M59" s="1379"/>
      <c r="N59" s="1379"/>
      <c r="O59" s="156" t="s">
        <v>9</v>
      </c>
      <c r="P59" s="1285"/>
      <c r="Q59" s="1286"/>
      <c r="R59" s="156" t="s">
        <v>9</v>
      </c>
      <c r="S59" s="1285"/>
      <c r="T59" s="1286"/>
    </row>
    <row r="60" spans="1:22" x14ac:dyDescent="0.3">
      <c r="I60" s="212" t="s">
        <v>78</v>
      </c>
      <c r="J60" s="1379" t="s">
        <v>742</v>
      </c>
      <c r="K60" s="1379"/>
      <c r="L60" s="212" t="s">
        <v>78</v>
      </c>
      <c r="M60" s="1379" t="s">
        <v>742</v>
      </c>
      <c r="N60" s="1379"/>
      <c r="O60" s="157" t="s">
        <v>78</v>
      </c>
      <c r="P60" s="1287" t="s">
        <v>742</v>
      </c>
      <c r="Q60" s="1288"/>
      <c r="R60" s="157" t="s">
        <v>78</v>
      </c>
      <c r="S60" s="1287" t="s">
        <v>742</v>
      </c>
      <c r="T60" s="1288"/>
    </row>
    <row r="61" spans="1:22" x14ac:dyDescent="0.3">
      <c r="I61" s="212" t="s">
        <v>8</v>
      </c>
      <c r="J61" s="1379" t="s">
        <v>743</v>
      </c>
      <c r="K61" s="1379"/>
      <c r="L61" s="212" t="s">
        <v>8</v>
      </c>
      <c r="M61" s="1379" t="s">
        <v>743</v>
      </c>
      <c r="N61" s="1379"/>
      <c r="O61" s="157" t="s">
        <v>8</v>
      </c>
      <c r="P61" s="1287" t="s">
        <v>743</v>
      </c>
      <c r="Q61" s="1288"/>
      <c r="R61" s="157" t="s">
        <v>8</v>
      </c>
      <c r="S61" s="1287" t="s">
        <v>743</v>
      </c>
      <c r="T61" s="1288"/>
    </row>
    <row r="62" spans="1:22" x14ac:dyDescent="0.3">
      <c r="D62" s="189" t="s">
        <v>75</v>
      </c>
    </row>
    <row r="63" spans="1:22" x14ac:dyDescent="0.3">
      <c r="A63" s="189" t="s">
        <v>76</v>
      </c>
      <c r="D63" s="189" t="s">
        <v>77</v>
      </c>
    </row>
    <row r="64" spans="1:22" x14ac:dyDescent="0.3">
      <c r="A64" s="189" t="s">
        <v>79</v>
      </c>
      <c r="D64" s="189" t="s">
        <v>80</v>
      </c>
    </row>
  </sheetData>
  <sheetProtection formatCells="0" formatColumns="0" formatRows="0" insertColumns="0" insertRows="0" insertHyperlinks="0" deleteColumns="0" deleteRows="0" sort="0" autoFilter="0" pivotTables="0"/>
  <mergeCells count="54">
    <mergeCell ref="U1:W1"/>
    <mergeCell ref="U2:W2"/>
    <mergeCell ref="A3:W3"/>
    <mergeCell ref="A4:W4"/>
    <mergeCell ref="A5:W5"/>
    <mergeCell ref="A7:W7"/>
    <mergeCell ref="A8:W8"/>
    <mergeCell ref="A9:W9"/>
    <mergeCell ref="A10:W10"/>
    <mergeCell ref="B11:H11"/>
    <mergeCell ref="I11:K12"/>
    <mergeCell ref="L11:N12"/>
    <mergeCell ref="O11:Q12"/>
    <mergeCell ref="U11:W12"/>
    <mergeCell ref="R11:T12"/>
    <mergeCell ref="A14:A17"/>
    <mergeCell ref="B14:B17"/>
    <mergeCell ref="H14:H17"/>
    <mergeCell ref="A18:A21"/>
    <mergeCell ref="B18:B21"/>
    <mergeCell ref="H18:H21"/>
    <mergeCell ref="A22:A25"/>
    <mergeCell ref="B22:B25"/>
    <mergeCell ref="H22:H25"/>
    <mergeCell ref="A26:A29"/>
    <mergeCell ref="B26:B29"/>
    <mergeCell ref="H26:H29"/>
    <mergeCell ref="A30:A33"/>
    <mergeCell ref="B30:B33"/>
    <mergeCell ref="H30:H33"/>
    <mergeCell ref="A34:A37"/>
    <mergeCell ref="B34:B37"/>
    <mergeCell ref="H34:H37"/>
    <mergeCell ref="B38:B41"/>
    <mergeCell ref="H38:H41"/>
    <mergeCell ref="A42:A43"/>
    <mergeCell ref="B42:B43"/>
    <mergeCell ref="H42:H43"/>
    <mergeCell ref="S59:T59"/>
    <mergeCell ref="S60:T60"/>
    <mergeCell ref="S61:T61"/>
    <mergeCell ref="C1:T2"/>
    <mergeCell ref="J61:K61"/>
    <mergeCell ref="M61:N61"/>
    <mergeCell ref="P61:Q61"/>
    <mergeCell ref="J59:K59"/>
    <mergeCell ref="M59:N59"/>
    <mergeCell ref="P59:Q59"/>
    <mergeCell ref="J60:K60"/>
    <mergeCell ref="M60:N60"/>
    <mergeCell ref="P60:Q60"/>
    <mergeCell ref="B12:H12"/>
    <mergeCell ref="A6:W6"/>
    <mergeCell ref="A38:A41"/>
  </mergeCells>
  <pageMargins left="0.70866141732283472" right="0.70866141732283472" top="0.74803149606299213" bottom="0.74803149606299213" header="0.31496062992125984" footer="0.31496062992125984"/>
  <pageSetup scale="38" orientation="landscape" r:id="rId1"/>
  <drawing r:id="rId2"/>
  <legacyDrawing r:id="rId3"/>
  <legacyDrawingHF r:id="rId4"/>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tabColor theme="1"/>
  </sheetPr>
  <dimension ref="A1:G49"/>
  <sheetViews>
    <sheetView zoomScaleNormal="100" workbookViewId="0">
      <selection activeCell="G7" sqref="G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RESUMEN!G34</f>
        <v>Proyecto: CDIM_CBSGSM_R0146 - NORMALIZACIÓN Y REPOSICIÓN EL SOL, Revisión y actualización ingeniería PECS - Líneas Refisal / TJ / ZP / TZ2</v>
      </c>
      <c r="C5" s="1281"/>
      <c r="D5" s="1281"/>
      <c r="E5" s="1281"/>
      <c r="F5" s="1281"/>
      <c r="G5" s="1282"/>
    </row>
    <row r="6" spans="1:7" x14ac:dyDescent="0.25">
      <c r="A6" s="1177"/>
      <c r="B6" s="1177"/>
      <c r="C6" s="1177"/>
      <c r="D6" s="1177"/>
      <c r="E6" s="1177"/>
      <c r="F6" s="1177"/>
      <c r="G6" s="1177"/>
    </row>
    <row r="7" spans="1:7" x14ac:dyDescent="0.25">
      <c r="A7" s="271" t="s">
        <v>0</v>
      </c>
      <c r="B7" s="1264" t="str">
        <f>RESUMEN!B34</f>
        <v>D00235092</v>
      </c>
      <c r="C7" s="1265"/>
      <c r="D7" s="1177"/>
      <c r="E7" s="1266" t="s">
        <v>627</v>
      </c>
      <c r="F7" s="1267"/>
      <c r="G7" s="280" t="str">
        <f>RESUMEN!E34</f>
        <v>17-179</v>
      </c>
    </row>
    <row r="8" spans="1:7" x14ac:dyDescent="0.25">
      <c r="A8" s="271" t="s">
        <v>628</v>
      </c>
      <c r="B8" s="1264" t="str">
        <f>RESUMEN!C34</f>
        <v>D00235092000</v>
      </c>
      <c r="C8" s="1265"/>
      <c r="D8" s="1177"/>
      <c r="E8" s="1266" t="s">
        <v>629</v>
      </c>
      <c r="F8" s="1267"/>
      <c r="G8" s="280" t="str">
        <f>RESUMEN!U34</f>
        <v>Acta N° 3: Marzo</v>
      </c>
    </row>
    <row r="9" spans="1:7" x14ac:dyDescent="0.25">
      <c r="A9" s="271" t="s">
        <v>630</v>
      </c>
      <c r="B9" s="1283" t="s">
        <v>631</v>
      </c>
      <c r="C9" s="1265"/>
      <c r="D9" s="1177"/>
      <c r="E9" s="1266" t="s">
        <v>632</v>
      </c>
      <c r="F9" s="1267"/>
      <c r="G9" s="1178">
        <f>RESUMEN!H34</f>
        <v>17404004</v>
      </c>
    </row>
    <row r="10" spans="1:7" x14ac:dyDescent="0.25">
      <c r="A10" s="271" t="s">
        <v>633</v>
      </c>
      <c r="B10" s="1283" t="str">
        <f>RESUMEN!D34</f>
        <v>EL SOL REV DE ING</v>
      </c>
      <c r="C10" s="1265"/>
      <c r="D10" s="1177"/>
      <c r="E10" s="1266" t="s">
        <v>634</v>
      </c>
      <c r="F10" s="1267"/>
      <c r="G10" s="1178">
        <f>RESUMEN!R34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CDIM_CBSGSM_R0146 - NORMALIZACIÓN Y REPOSICIÓN EL SOL, Revisión y actualización ingeniería PECS - Líneas Refisal / TJ / ZP / TZ2</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RESUMEN!N34</f>
        <v>0</v>
      </c>
      <c r="F19" s="1248"/>
      <c r="G19" s="1177"/>
    </row>
    <row r="20" spans="1:7" ht="27" customHeight="1" x14ac:dyDescent="0.25">
      <c r="A20" s="1177"/>
      <c r="B20" s="1244" t="s">
        <v>1498</v>
      </c>
      <c r="C20" s="1245"/>
      <c r="D20" s="1246"/>
      <c r="E20" s="1247">
        <f>RESUMEN!P34</f>
        <v>0</v>
      </c>
      <c r="F20" s="1248"/>
      <c r="G20" s="1177"/>
    </row>
    <row r="21" spans="1:7" ht="27" customHeight="1" x14ac:dyDescent="0.25">
      <c r="A21" s="1177"/>
      <c r="B21" s="1244" t="s">
        <v>1499</v>
      </c>
      <c r="C21" s="1245"/>
      <c r="D21" s="1246"/>
      <c r="E21" s="1247">
        <f>RESUMEN!Q34</f>
        <v>0</v>
      </c>
      <c r="F21" s="1248"/>
      <c r="G21" s="1177"/>
    </row>
    <row r="22" spans="1:7" x14ac:dyDescent="0.25">
      <c r="A22" s="1177"/>
      <c r="B22" s="1254" t="s">
        <v>64</v>
      </c>
      <c r="C22" s="1254"/>
      <c r="D22" s="1254"/>
      <c r="E22" s="1255">
        <f>RESUMEN!R34</f>
        <v>0</v>
      </c>
      <c r="F22" s="1255"/>
      <c r="G22" s="1177"/>
    </row>
    <row r="23" spans="1:7" x14ac:dyDescent="0.25">
      <c r="A23" s="1177"/>
      <c r="B23" s="1256" t="s">
        <v>66</v>
      </c>
      <c r="C23" s="1256"/>
      <c r="D23" s="1256"/>
      <c r="E23" s="1257">
        <f>RESUMEN!S34</f>
        <v>0</v>
      </c>
      <c r="F23" s="1257"/>
      <c r="G23" s="1177"/>
    </row>
    <row r="24" spans="1:7" x14ac:dyDescent="0.25">
      <c r="A24" s="1177"/>
      <c r="B24" s="1258" t="s">
        <v>1</v>
      </c>
      <c r="C24" s="1258"/>
      <c r="D24" s="1258"/>
      <c r="E24" s="1259">
        <f>RESUMEN!T34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+'OT17-179 EL SOL REV DE ING'!Q31</f>
        <v>ACTA 1</v>
      </c>
      <c r="C28" s="1253">
        <f>+'OT17-179 EL SOL REV DE ING'!R31</f>
        <v>6526503</v>
      </c>
      <c r="D28" s="1253"/>
      <c r="E28" s="267">
        <f>+'OT17-179 EL SOL REV DE ING'!S31</f>
        <v>0.3750000861870636</v>
      </c>
      <c r="F28" s="1177"/>
      <c r="G28" s="1177"/>
    </row>
    <row r="29" spans="1:7" x14ac:dyDescent="0.25">
      <c r="A29" s="1177"/>
      <c r="B29" s="280" t="str">
        <f>+'OT17-179 EL SOL REV DE ING'!Q32</f>
        <v>ACTA 2</v>
      </c>
      <c r="C29" s="1253">
        <f>+'OT17-179 EL SOL REV DE ING'!R32</f>
        <v>4351001</v>
      </c>
      <c r="D29" s="1253"/>
      <c r="E29" s="267">
        <f>+'OT17-179 EL SOL REV DE ING'!S32</f>
        <v>0.25</v>
      </c>
      <c r="F29" s="1177"/>
      <c r="G29" s="1177"/>
    </row>
    <row r="30" spans="1:7" x14ac:dyDescent="0.25">
      <c r="A30" s="1177"/>
      <c r="B30" s="280" t="str">
        <f>+'OT17-179 EL SOL REV DE ING'!Q33</f>
        <v>ACTA 3</v>
      </c>
      <c r="C30" s="1253">
        <f>+'OT17-179 EL SOL REV DE ING'!R33</f>
        <v>0</v>
      </c>
      <c r="D30" s="1253"/>
      <c r="E30" s="267">
        <f>+'OT17-179 EL SOL REV DE ING'!S33</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10877504</v>
      </c>
      <c r="D34" s="1251"/>
      <c r="E34" s="264">
        <f>SUM(E28:E33)</f>
        <v>0.6250000861870636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tabColor theme="7"/>
    <pageSetUpPr fitToPage="1"/>
  </sheetPr>
  <dimension ref="A1:V40"/>
  <sheetViews>
    <sheetView topLeftCell="G4" zoomScale="60" zoomScaleNormal="60" workbookViewId="0">
      <selection activeCell="H14" sqref="H14"/>
    </sheetView>
  </sheetViews>
  <sheetFormatPr baseColWidth="10" defaultColWidth="11.44140625" defaultRowHeight="14.4" x14ac:dyDescent="0.3"/>
  <cols>
    <col min="1" max="1" width="18.88671875" style="302" customWidth="1"/>
    <col min="2" max="2" width="25.33203125" style="302" customWidth="1"/>
    <col min="3" max="3" width="23" style="302" customWidth="1"/>
    <col min="4" max="4" width="24.44140625" style="302" customWidth="1"/>
    <col min="5" max="5" width="11.5546875" style="302" bestFit="1" customWidth="1"/>
    <col min="6" max="6" width="17.88671875" style="302" customWidth="1"/>
    <col min="7" max="7" width="17.88671875" style="795" customWidth="1"/>
    <col min="8" max="8" width="17.88671875" style="302" customWidth="1"/>
    <col min="9" max="9" width="17.88671875" style="795" customWidth="1"/>
    <col min="10" max="10" width="34" style="302" customWidth="1"/>
    <col min="11" max="11" width="17.88671875" style="302" customWidth="1"/>
    <col min="12" max="12" width="18" style="302" customWidth="1"/>
    <col min="13" max="13" width="11.44140625" style="302" customWidth="1"/>
    <col min="14" max="14" width="17.88671875" style="302" customWidth="1"/>
    <col min="15" max="15" width="18" style="302" customWidth="1"/>
    <col min="16" max="16" width="11.44140625" style="302" customWidth="1"/>
    <col min="17" max="17" width="17.88671875" style="302" customWidth="1"/>
    <col min="18" max="18" width="18" style="302" bestFit="1" customWidth="1"/>
    <col min="19" max="19" width="11.44140625" style="302"/>
    <col min="20" max="20" width="17.88671875" style="302" customWidth="1"/>
    <col min="21" max="21" width="17.88671875" style="302" bestFit="1" customWidth="1"/>
    <col min="22" max="16384" width="11.44140625" style="302"/>
  </cols>
  <sheetData>
    <row r="1" spans="1:22" ht="60.7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03" t="s">
        <v>780</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05"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ht="13.5" customHeight="1" x14ac:dyDescent="0.3">
      <c r="A7" s="1291" t="s">
        <v>781</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782</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312"/>
      <c r="B11" s="1301"/>
      <c r="C11" s="1313"/>
      <c r="D11" s="1313"/>
      <c r="E11" s="1313"/>
      <c r="F11" s="1313"/>
      <c r="G11" s="1313"/>
      <c r="H11" s="1313"/>
      <c r="I11" s="1313"/>
      <c r="J11" s="1313"/>
      <c r="K11" s="1293" t="s">
        <v>678</v>
      </c>
      <c r="L11" s="1294"/>
      <c r="M11" s="1295"/>
      <c r="N11" s="1293" t="s">
        <v>1407</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296"/>
      <c r="O12" s="1297"/>
      <c r="P12" s="1298"/>
      <c r="Q12" s="1296"/>
      <c r="R12" s="1297"/>
      <c r="S12" s="1298"/>
      <c r="T12" s="1300"/>
      <c r="U12" s="1300"/>
      <c r="V12" s="1300"/>
    </row>
    <row r="13" spans="1:22" ht="28.8" x14ac:dyDescent="0.3">
      <c r="A13" s="159" t="s">
        <v>50</v>
      </c>
      <c r="B13" s="159" t="s">
        <v>51</v>
      </c>
      <c r="C13" s="159" t="s">
        <v>52</v>
      </c>
      <c r="D13" s="159" t="s">
        <v>164</v>
      </c>
      <c r="E13" s="159" t="s">
        <v>54</v>
      </c>
      <c r="F13" s="141" t="s">
        <v>55</v>
      </c>
      <c r="G13" s="823" t="s">
        <v>2007</v>
      </c>
      <c r="H13" s="159" t="s">
        <v>56</v>
      </c>
      <c r="I13" s="824" t="s">
        <v>56</v>
      </c>
      <c r="J13" s="159" t="s">
        <v>57</v>
      </c>
      <c r="K13" s="28" t="s">
        <v>54</v>
      </c>
      <c r="L13" s="28" t="s">
        <v>56</v>
      </c>
      <c r="M13" s="28" t="s">
        <v>58</v>
      </c>
      <c r="N13" s="28" t="s">
        <v>54</v>
      </c>
      <c r="O13" s="28" t="s">
        <v>56</v>
      </c>
      <c r="P13" s="28" t="s">
        <v>58</v>
      </c>
      <c r="Q13" s="28" t="s">
        <v>54</v>
      </c>
      <c r="R13" s="28" t="s">
        <v>56</v>
      </c>
      <c r="S13" s="28" t="s">
        <v>58</v>
      </c>
      <c r="T13" s="174" t="s">
        <v>54</v>
      </c>
      <c r="U13" s="172" t="s">
        <v>56</v>
      </c>
      <c r="V13" s="28" t="s">
        <v>58</v>
      </c>
    </row>
    <row r="14" spans="1:22" ht="43.2" x14ac:dyDescent="0.3">
      <c r="A14" s="1289" t="s">
        <v>772</v>
      </c>
      <c r="B14" s="1289" t="s">
        <v>773</v>
      </c>
      <c r="C14" s="313" t="s">
        <v>61</v>
      </c>
      <c r="D14" s="313" t="s">
        <v>774</v>
      </c>
      <c r="E14" s="313">
        <v>0.35</v>
      </c>
      <c r="F14" s="32">
        <v>12431432</v>
      </c>
      <c r="G14" s="32">
        <f>+ROUND(F14*1.051,0)</f>
        <v>13065435</v>
      </c>
      <c r="H14" s="32">
        <f>ROUND((E14*F14),0)</f>
        <v>4351001</v>
      </c>
      <c r="I14" s="32">
        <f>+ROUND(G14*E14,0)</f>
        <v>4572902</v>
      </c>
      <c r="J14" s="1289" t="s">
        <v>775</v>
      </c>
      <c r="K14" s="303">
        <f>0.35*0.5</f>
        <v>0.17499999999999999</v>
      </c>
      <c r="L14" s="304">
        <f>ROUND(K14*$F$14,0)</f>
        <v>2175501</v>
      </c>
      <c r="M14" s="305">
        <f>L14/$H$14</f>
        <v>0.50000011491608487</v>
      </c>
      <c r="N14" s="158">
        <v>0</v>
      </c>
      <c r="O14" s="194">
        <f>ROUND(N14*$F$14,0)</f>
        <v>0</v>
      </c>
      <c r="P14" s="195">
        <f>O14/$H$14</f>
        <v>0</v>
      </c>
      <c r="Q14" s="432">
        <v>0</v>
      </c>
      <c r="R14" s="425">
        <f>ROUND(Q14*G14,0)</f>
        <v>0</v>
      </c>
      <c r="S14" s="426">
        <f>R14/I14</f>
        <v>0</v>
      </c>
      <c r="T14" s="149">
        <f>K14+N14+Q14</f>
        <v>0.17499999999999999</v>
      </c>
      <c r="U14" s="175">
        <f>L14+O14+R14</f>
        <v>2175501</v>
      </c>
      <c r="V14" s="176">
        <f t="shared" ref="V14:V19" si="0">U14/I14</f>
        <v>0.47573750760458022</v>
      </c>
    </row>
    <row r="15" spans="1:22" x14ac:dyDescent="0.3">
      <c r="A15" s="1289"/>
      <c r="B15" s="1289"/>
      <c r="C15" s="257"/>
      <c r="D15" s="257" t="s">
        <v>776</v>
      </c>
      <c r="E15" s="258"/>
      <c r="F15" s="258"/>
      <c r="G15" s="258"/>
      <c r="H15" s="259">
        <f>H14</f>
        <v>4351001</v>
      </c>
      <c r="I15" s="259">
        <f>SUM(I14)</f>
        <v>4572902</v>
      </c>
      <c r="J15" s="1289"/>
      <c r="K15" s="308"/>
      <c r="L15" s="179">
        <f>L14</f>
        <v>2175501</v>
      </c>
      <c r="M15" s="308">
        <f>L15/$H$15</f>
        <v>0.50000011491608487</v>
      </c>
      <c r="N15" s="308"/>
      <c r="O15" s="308">
        <f>O14</f>
        <v>0</v>
      </c>
      <c r="P15" s="308">
        <f>O15/H15</f>
        <v>0</v>
      </c>
      <c r="Q15" s="428"/>
      <c r="R15" s="307">
        <f>R14</f>
        <v>0</v>
      </c>
      <c r="S15" s="431">
        <f>R15/L15</f>
        <v>0</v>
      </c>
      <c r="T15" s="306"/>
      <c r="U15" s="307">
        <f t="shared" ref="U15:U21" si="1">L15+O15+R15</f>
        <v>2175501</v>
      </c>
      <c r="V15" s="308">
        <f t="shared" si="0"/>
        <v>0.47573750760458022</v>
      </c>
    </row>
    <row r="16" spans="1:22" ht="43.2" x14ac:dyDescent="0.3">
      <c r="A16" s="1289" t="s">
        <v>777</v>
      </c>
      <c r="B16" s="1289" t="s">
        <v>773</v>
      </c>
      <c r="C16" s="313" t="s">
        <v>61</v>
      </c>
      <c r="D16" s="313" t="s">
        <v>774</v>
      </c>
      <c r="E16" s="313">
        <v>0.35</v>
      </c>
      <c r="F16" s="32">
        <v>12431432</v>
      </c>
      <c r="G16" s="32">
        <f>+ROUND(F16*1.051,0)</f>
        <v>13065435</v>
      </c>
      <c r="H16" s="32">
        <f>ROUND((E16*F16),0)</f>
        <v>4351001</v>
      </c>
      <c r="I16" s="32">
        <f>+ROUND(G16*E16,0)</f>
        <v>4572902</v>
      </c>
      <c r="J16" s="1289" t="s">
        <v>775</v>
      </c>
      <c r="K16" s="303">
        <f>0.35*0.5</f>
        <v>0.17499999999999999</v>
      </c>
      <c r="L16" s="304">
        <f>ROUND(K16*$F$16,0)</f>
        <v>2175501</v>
      </c>
      <c r="M16" s="305">
        <f>L16/$H$16</f>
        <v>0.50000011491608487</v>
      </c>
      <c r="N16" s="158">
        <v>0</v>
      </c>
      <c r="O16" s="194">
        <f>ROUND(N16*$F$16,0)</f>
        <v>0</v>
      </c>
      <c r="P16" s="195">
        <f>O16/$H$16</f>
        <v>0</v>
      </c>
      <c r="Q16" s="432">
        <v>0</v>
      </c>
      <c r="R16" s="425">
        <f>ROUND(Q16*G16,0)</f>
        <v>0</v>
      </c>
      <c r="S16" s="426">
        <f>R16/I16</f>
        <v>0</v>
      </c>
      <c r="T16" s="416">
        <f>K16+N16+Q16</f>
        <v>0.17499999999999999</v>
      </c>
      <c r="U16" s="175">
        <f t="shared" si="1"/>
        <v>2175501</v>
      </c>
      <c r="V16" s="176">
        <f t="shared" si="0"/>
        <v>0.47573750760458022</v>
      </c>
    </row>
    <row r="17" spans="1:22" x14ac:dyDescent="0.3">
      <c r="A17" s="1289"/>
      <c r="B17" s="1289"/>
      <c r="C17" s="257"/>
      <c r="D17" s="257" t="s">
        <v>776</v>
      </c>
      <c r="E17" s="258"/>
      <c r="F17" s="258"/>
      <c r="G17" s="258"/>
      <c r="H17" s="259">
        <f>H16</f>
        <v>4351001</v>
      </c>
      <c r="I17" s="259">
        <f>SUM(I16)</f>
        <v>4572902</v>
      </c>
      <c r="J17" s="1289"/>
      <c r="K17" s="308"/>
      <c r="L17" s="179">
        <f>L16</f>
        <v>2175501</v>
      </c>
      <c r="M17" s="308">
        <f>L17/$H$17</f>
        <v>0.50000011491608487</v>
      </c>
      <c r="N17" s="308"/>
      <c r="O17" s="308">
        <f>O16</f>
        <v>0</v>
      </c>
      <c r="P17" s="308">
        <f>O17/H17</f>
        <v>0</v>
      </c>
      <c r="Q17" s="428"/>
      <c r="R17" s="307">
        <f>R16</f>
        <v>0</v>
      </c>
      <c r="S17" s="431">
        <f>R17/L17</f>
        <v>0</v>
      </c>
      <c r="T17" s="306"/>
      <c r="U17" s="307">
        <f t="shared" si="1"/>
        <v>2175501</v>
      </c>
      <c r="V17" s="308">
        <f t="shared" si="0"/>
        <v>0.47573750760458022</v>
      </c>
    </row>
    <row r="18" spans="1:22" ht="43.2" x14ac:dyDescent="0.3">
      <c r="A18" s="1289" t="s">
        <v>778</v>
      </c>
      <c r="B18" s="1289" t="s">
        <v>773</v>
      </c>
      <c r="C18" s="313" t="s">
        <v>61</v>
      </c>
      <c r="D18" s="313" t="s">
        <v>774</v>
      </c>
      <c r="E18" s="313">
        <v>0.35</v>
      </c>
      <c r="F18" s="32">
        <v>12431432</v>
      </c>
      <c r="G18" s="32">
        <f>+ROUND(F18*1.051,0)</f>
        <v>13065435</v>
      </c>
      <c r="H18" s="32">
        <f>ROUND((E18*F18),0)</f>
        <v>4351001</v>
      </c>
      <c r="I18" s="32">
        <f>+ROUND(G18*E18,0)</f>
        <v>4572902</v>
      </c>
      <c r="J18" s="1289" t="s">
        <v>775</v>
      </c>
      <c r="K18" s="303">
        <f>0.35*0.5</f>
        <v>0.17499999999999999</v>
      </c>
      <c r="L18" s="304">
        <f>ROUND(K18*$F$18,0)</f>
        <v>2175501</v>
      </c>
      <c r="M18" s="305">
        <f>L18/$H$18</f>
        <v>0.50000011491608487</v>
      </c>
      <c r="N18" s="158">
        <v>0</v>
      </c>
      <c r="O18" s="194">
        <f>ROUND(N18*$F$18,0)</f>
        <v>0</v>
      </c>
      <c r="P18" s="195">
        <f>O18/$H$18</f>
        <v>0</v>
      </c>
      <c r="Q18" s="432">
        <v>0</v>
      </c>
      <c r="R18" s="425">
        <f>ROUND(Q18*G18,0)</f>
        <v>0</v>
      </c>
      <c r="S18" s="426">
        <f>R18/I18</f>
        <v>0</v>
      </c>
      <c r="T18" s="416">
        <f>K18+N18+Q18</f>
        <v>0.17499999999999999</v>
      </c>
      <c r="U18" s="175">
        <f t="shared" si="1"/>
        <v>2175501</v>
      </c>
      <c r="V18" s="176">
        <f t="shared" si="0"/>
        <v>0.47573750760458022</v>
      </c>
    </row>
    <row r="19" spans="1:22" x14ac:dyDescent="0.3">
      <c r="A19" s="1289"/>
      <c r="B19" s="1289"/>
      <c r="C19" s="257"/>
      <c r="D19" s="257" t="s">
        <v>776</v>
      </c>
      <c r="E19" s="258"/>
      <c r="F19" s="258"/>
      <c r="G19" s="258"/>
      <c r="H19" s="259">
        <f>H18</f>
        <v>4351001</v>
      </c>
      <c r="I19" s="259">
        <f>SUM(I18)</f>
        <v>4572902</v>
      </c>
      <c r="J19" s="1289"/>
      <c r="K19" s="308"/>
      <c r="L19" s="179">
        <f>L18</f>
        <v>2175501</v>
      </c>
      <c r="M19" s="308">
        <f>L19/$H$19</f>
        <v>0.50000011491608487</v>
      </c>
      <c r="N19" s="308"/>
      <c r="O19" s="308">
        <f>O18</f>
        <v>0</v>
      </c>
      <c r="P19" s="308">
        <f>O19/H19</f>
        <v>0</v>
      </c>
      <c r="Q19" s="428"/>
      <c r="R19" s="307">
        <f>R18</f>
        <v>0</v>
      </c>
      <c r="S19" s="431">
        <f>R19/L19</f>
        <v>0</v>
      </c>
      <c r="T19" s="306"/>
      <c r="U19" s="307">
        <f t="shared" si="1"/>
        <v>2175501</v>
      </c>
      <c r="V19" s="308">
        <f t="shared" si="0"/>
        <v>0.47573750760458022</v>
      </c>
    </row>
    <row r="20" spans="1:22" ht="43.2" x14ac:dyDescent="0.3">
      <c r="A20" s="1289" t="s">
        <v>779</v>
      </c>
      <c r="B20" s="1289" t="s">
        <v>773</v>
      </c>
      <c r="C20" s="313" t="s">
        <v>61</v>
      </c>
      <c r="D20" s="313" t="s">
        <v>774</v>
      </c>
      <c r="E20" s="313">
        <v>0.35</v>
      </c>
      <c r="F20" s="32">
        <v>12431432</v>
      </c>
      <c r="G20" s="32">
        <f>+ROUND(F20*1.051,0)</f>
        <v>13065435</v>
      </c>
      <c r="H20" s="32">
        <f>ROUND((E20*F20),0)</f>
        <v>4351001</v>
      </c>
      <c r="I20" s="32">
        <f>+ROUND(G20*E20,0)</f>
        <v>4572902</v>
      </c>
      <c r="J20" s="1289" t="s">
        <v>775</v>
      </c>
      <c r="K20" s="158">
        <v>0</v>
      </c>
      <c r="L20" s="194">
        <f>ROUND(K20*$F$20,0)</f>
        <v>0</v>
      </c>
      <c r="M20" s="195">
        <f>L20/$H$20</f>
        <v>0</v>
      </c>
      <c r="N20" s="433">
        <v>0.35</v>
      </c>
      <c r="O20" s="429">
        <f>ROUND(N20*$F$20,0)</f>
        <v>4351001</v>
      </c>
      <c r="P20" s="430">
        <f>O20/$H$20</f>
        <v>1</v>
      </c>
      <c r="Q20" s="432">
        <v>0</v>
      </c>
      <c r="R20" s="425">
        <f>ROUND(Q20*G20,0)</f>
        <v>0</v>
      </c>
      <c r="S20" s="426">
        <f>R20/I20</f>
        <v>0</v>
      </c>
      <c r="T20" s="416">
        <f>K20+N20+Q20</f>
        <v>0.35</v>
      </c>
      <c r="U20" s="175">
        <f t="shared" si="1"/>
        <v>4351001</v>
      </c>
      <c r="V20" s="176">
        <f t="shared" ref="V20:V21" si="2">U20/H20</f>
        <v>1</v>
      </c>
    </row>
    <row r="21" spans="1:22" x14ac:dyDescent="0.3">
      <c r="A21" s="1289"/>
      <c r="B21" s="1289"/>
      <c r="C21" s="257"/>
      <c r="D21" s="257" t="s">
        <v>776</v>
      </c>
      <c r="E21" s="258"/>
      <c r="F21" s="258"/>
      <c r="G21" s="258"/>
      <c r="H21" s="259">
        <f>H20</f>
        <v>4351001</v>
      </c>
      <c r="I21" s="259">
        <f>SUM(I20)</f>
        <v>4572902</v>
      </c>
      <c r="J21" s="1289"/>
      <c r="K21" s="308"/>
      <c r="L21" s="179">
        <f>L20</f>
        <v>0</v>
      </c>
      <c r="M21" s="308">
        <f>L21/$H$21</f>
        <v>0</v>
      </c>
      <c r="N21" s="308"/>
      <c r="O21" s="308">
        <f>O20</f>
        <v>4351001</v>
      </c>
      <c r="P21" s="308">
        <f>O21/$H$21</f>
        <v>1</v>
      </c>
      <c r="Q21" s="428"/>
      <c r="R21" s="307">
        <f>R20</f>
        <v>0</v>
      </c>
      <c r="S21" s="431">
        <f>R21/$H$21</f>
        <v>0</v>
      </c>
      <c r="T21" s="306"/>
      <c r="U21" s="307">
        <f t="shared" si="1"/>
        <v>4351001</v>
      </c>
      <c r="V21" s="308">
        <f t="shared" si="2"/>
        <v>1</v>
      </c>
    </row>
    <row r="22" spans="1:22" x14ac:dyDescent="0.3">
      <c r="F22" s="151" t="s">
        <v>64</v>
      </c>
      <c r="G22" s="151"/>
      <c r="H22" s="181">
        <f>SUM(H14:H21)/2</f>
        <v>17404004</v>
      </c>
      <c r="I22" s="181">
        <f>SUM(I14:I21)/2</f>
        <v>18291608</v>
      </c>
      <c r="K22" s="151" t="s">
        <v>64</v>
      </c>
      <c r="L22" s="181">
        <f>SUM(L14:L21)/2</f>
        <v>6526503</v>
      </c>
      <c r="M22" s="211">
        <f>L22/$H$22</f>
        <v>0.3750000861870636</v>
      </c>
      <c r="N22" s="151" t="s">
        <v>64</v>
      </c>
      <c r="O22" s="181">
        <f>SUM(O14:O21)/2</f>
        <v>4351001</v>
      </c>
      <c r="P22" s="211">
        <f>O22/$H$22</f>
        <v>0.25</v>
      </c>
      <c r="Q22" s="480" t="s">
        <v>64</v>
      </c>
      <c r="R22" s="481">
        <f>SUM(R14:R21)/2</f>
        <v>0</v>
      </c>
      <c r="T22" s="151" t="s">
        <v>64</v>
      </c>
      <c r="U22" s="181">
        <f>SUM(U14:U21)/2</f>
        <v>10877504</v>
      </c>
    </row>
    <row r="23" spans="1:22" x14ac:dyDescent="0.3">
      <c r="F23" s="153" t="s">
        <v>65</v>
      </c>
      <c r="G23" s="816"/>
      <c r="H23" s="182">
        <v>0</v>
      </c>
      <c r="I23" s="182">
        <v>0</v>
      </c>
      <c r="K23" s="153" t="s">
        <v>65</v>
      </c>
      <c r="L23" s="182">
        <v>0</v>
      </c>
      <c r="N23" s="153" t="s">
        <v>65</v>
      </c>
      <c r="O23" s="182">
        <v>0</v>
      </c>
      <c r="Q23" s="482" t="s">
        <v>65</v>
      </c>
      <c r="R23" s="483">
        <v>0</v>
      </c>
      <c r="T23" s="153" t="s">
        <v>65</v>
      </c>
      <c r="U23" s="182">
        <v>0</v>
      </c>
    </row>
    <row r="24" spans="1:22" x14ac:dyDescent="0.3">
      <c r="F24" s="152" t="s">
        <v>64</v>
      </c>
      <c r="G24" s="817"/>
      <c r="H24" s="182">
        <f>+H22+H23</f>
        <v>17404004</v>
      </c>
      <c r="I24" s="182">
        <f>+I22+I23</f>
        <v>18291608</v>
      </c>
      <c r="K24" s="152" t="s">
        <v>64</v>
      </c>
      <c r="L24" s="182">
        <f>+L22+L23</f>
        <v>6526503</v>
      </c>
      <c r="N24" s="152" t="s">
        <v>64</v>
      </c>
      <c r="O24" s="182">
        <f>+O22+O23</f>
        <v>4351001</v>
      </c>
      <c r="Q24" s="484" t="s">
        <v>64</v>
      </c>
      <c r="R24" s="483">
        <f>+R22+R23</f>
        <v>0</v>
      </c>
      <c r="T24" s="152" t="s">
        <v>64</v>
      </c>
      <c r="U24" s="182">
        <f>+U22+U23</f>
        <v>10877504</v>
      </c>
    </row>
    <row r="25" spans="1:22" ht="33.75" customHeight="1" x14ac:dyDescent="0.3">
      <c r="F25" s="152"/>
      <c r="G25" s="817"/>
      <c r="H25" s="182"/>
      <c r="I25" s="182"/>
      <c r="K25" s="152"/>
      <c r="L25" s="182"/>
      <c r="N25" s="152"/>
      <c r="O25" s="182"/>
      <c r="Q25" s="484" t="s">
        <v>1439</v>
      </c>
      <c r="R25" s="483">
        <f>ROUND(R24*0.015,0)</f>
        <v>0</v>
      </c>
      <c r="T25" s="484" t="s">
        <v>1439</v>
      </c>
      <c r="U25" s="182">
        <f>L25+O25+R25</f>
        <v>0</v>
      </c>
    </row>
    <row r="26" spans="1:22" ht="39" customHeight="1" x14ac:dyDescent="0.3">
      <c r="F26" s="152"/>
      <c r="G26" s="817"/>
      <c r="H26" s="182"/>
      <c r="I26" s="182"/>
      <c r="K26" s="152"/>
      <c r="L26" s="182"/>
      <c r="N26" s="152"/>
      <c r="O26" s="182"/>
      <c r="Q26" s="152" t="s">
        <v>1440</v>
      </c>
      <c r="R26" s="182">
        <f>R24+R25</f>
        <v>0</v>
      </c>
      <c r="S26" s="211">
        <f>R26/H24</f>
        <v>0</v>
      </c>
      <c r="T26" s="152" t="s">
        <v>1440</v>
      </c>
      <c r="U26" s="182">
        <f>U24+U25</f>
        <v>10877504</v>
      </c>
      <c r="V26" s="211">
        <f>U26/H24</f>
        <v>0.6250000861870636</v>
      </c>
    </row>
    <row r="27" spans="1:22" x14ac:dyDescent="0.3">
      <c r="F27" s="154" t="s">
        <v>66</v>
      </c>
      <c r="G27" s="818"/>
      <c r="H27" s="182">
        <f>+H24*19%</f>
        <v>3306760.7600000002</v>
      </c>
      <c r="I27" s="182">
        <f>+I24*19%</f>
        <v>3475405.52</v>
      </c>
      <c r="K27" s="154" t="s">
        <v>66</v>
      </c>
      <c r="L27" s="182">
        <f>+L24*19%</f>
        <v>1240035.57</v>
      </c>
      <c r="N27" s="154" t="s">
        <v>66</v>
      </c>
      <c r="O27" s="182">
        <f>+O24*19%</f>
        <v>826690.19000000006</v>
      </c>
      <c r="Q27" s="485" t="s">
        <v>66</v>
      </c>
      <c r="R27" s="483">
        <f>ROUND(+R26*19%,0)</f>
        <v>0</v>
      </c>
      <c r="T27" s="154" t="s">
        <v>66</v>
      </c>
      <c r="U27" s="182">
        <f>ROUND(U26*0.19,0)</f>
        <v>2066726</v>
      </c>
    </row>
    <row r="28" spans="1:22" x14ac:dyDescent="0.3">
      <c r="F28" s="155" t="s">
        <v>69</v>
      </c>
      <c r="G28" s="155"/>
      <c r="H28" s="181">
        <f>+H24+H27</f>
        <v>20710764.760000002</v>
      </c>
      <c r="I28" s="181">
        <f>+I24+I27</f>
        <v>21767013.52</v>
      </c>
      <c r="K28" s="155" t="s">
        <v>69</v>
      </c>
      <c r="L28" s="181">
        <f>+L24+L27</f>
        <v>7766538.5700000003</v>
      </c>
      <c r="N28" s="155" t="s">
        <v>69</v>
      </c>
      <c r="O28" s="181">
        <f>+O24+O27</f>
        <v>5177691.1900000004</v>
      </c>
      <c r="Q28" s="155" t="s">
        <v>69</v>
      </c>
      <c r="R28" s="181">
        <f>R26+R27</f>
        <v>0</v>
      </c>
      <c r="T28" s="155" t="s">
        <v>69</v>
      </c>
      <c r="U28" s="181">
        <f>U26+U27</f>
        <v>12944230</v>
      </c>
    </row>
    <row r="30" spans="1:22" x14ac:dyDescent="0.3">
      <c r="A30" s="183" t="s">
        <v>67</v>
      </c>
      <c r="B30" s="184"/>
      <c r="C30" s="184"/>
      <c r="D30" s="185" t="s">
        <v>68</v>
      </c>
      <c r="K30" s="186" t="s">
        <v>70</v>
      </c>
      <c r="L30" s="187" t="s">
        <v>71</v>
      </c>
      <c r="M30" s="186" t="s">
        <v>58</v>
      </c>
      <c r="N30" s="186" t="s">
        <v>70</v>
      </c>
      <c r="O30" s="187" t="s">
        <v>71</v>
      </c>
      <c r="P30" s="186" t="s">
        <v>58</v>
      </c>
      <c r="Q30" s="186" t="s">
        <v>70</v>
      </c>
      <c r="R30" s="187" t="s">
        <v>71</v>
      </c>
      <c r="S30" s="186" t="s">
        <v>58</v>
      </c>
    </row>
    <row r="31" spans="1:22" x14ac:dyDescent="0.3">
      <c r="A31" s="183"/>
      <c r="B31" s="184"/>
      <c r="C31" s="184"/>
      <c r="D31" s="185"/>
      <c r="K31" s="69" t="s">
        <v>72</v>
      </c>
      <c r="L31" s="70">
        <f>$L$22</f>
        <v>6526503</v>
      </c>
      <c r="M31" s="71">
        <f>$M$22</f>
        <v>0.3750000861870636</v>
      </c>
      <c r="N31" s="69" t="s">
        <v>72</v>
      </c>
      <c r="O31" s="70">
        <f>$L$22</f>
        <v>6526503</v>
      </c>
      <c r="P31" s="71">
        <f>$M$22</f>
        <v>0.3750000861870636</v>
      </c>
      <c r="Q31" s="69" t="s">
        <v>72</v>
      </c>
      <c r="R31" s="70">
        <f>$L$22</f>
        <v>6526503</v>
      </c>
      <c r="S31" s="71">
        <f>$M$22</f>
        <v>0.3750000861870636</v>
      </c>
    </row>
    <row r="32" spans="1:22" x14ac:dyDescent="0.3">
      <c r="A32" s="183"/>
      <c r="B32" s="184"/>
      <c r="C32" s="184"/>
      <c r="D32" s="185"/>
      <c r="K32" s="69"/>
      <c r="L32" s="70"/>
      <c r="M32" s="71"/>
      <c r="N32" s="69" t="s">
        <v>73</v>
      </c>
      <c r="O32" s="70">
        <f>$O$22</f>
        <v>4351001</v>
      </c>
      <c r="P32" s="71">
        <f>$P$22</f>
        <v>0.25</v>
      </c>
      <c r="Q32" s="69" t="s">
        <v>73</v>
      </c>
      <c r="R32" s="70">
        <f>$O$22</f>
        <v>4351001</v>
      </c>
      <c r="S32" s="71">
        <f>$P$22</f>
        <v>0.25</v>
      </c>
    </row>
    <row r="33" spans="1:19" x14ac:dyDescent="0.3">
      <c r="A33" s="183"/>
      <c r="B33" s="184"/>
      <c r="C33" s="184"/>
      <c r="D33" s="185"/>
      <c r="K33" s="69"/>
      <c r="L33" s="70"/>
      <c r="M33" s="71"/>
      <c r="N33" s="69"/>
      <c r="O33" s="70"/>
      <c r="P33" s="71"/>
      <c r="Q33" s="69" t="s">
        <v>74</v>
      </c>
      <c r="R33" s="70">
        <f>$R$26</f>
        <v>0</v>
      </c>
      <c r="S33" s="71">
        <f>$S$26</f>
        <v>0</v>
      </c>
    </row>
    <row r="34" spans="1:19" x14ac:dyDescent="0.3">
      <c r="A34" s="183"/>
      <c r="B34" s="184"/>
      <c r="C34" s="184"/>
      <c r="D34" s="185"/>
      <c r="K34" s="72" t="s">
        <v>1</v>
      </c>
      <c r="L34" s="105">
        <f>SUM(L31:L31)</f>
        <v>6526503</v>
      </c>
      <c r="M34" s="73">
        <f>SUM(M31:M31)</f>
        <v>0.3750000861870636</v>
      </c>
      <c r="N34" s="72" t="s">
        <v>1</v>
      </c>
      <c r="O34" s="105">
        <f>SUM(O31:O32)</f>
        <v>10877504</v>
      </c>
      <c r="P34" s="73">
        <f>SUM(P31:P32)</f>
        <v>0.6250000861870636</v>
      </c>
      <c r="Q34" s="72" t="s">
        <v>1</v>
      </c>
      <c r="R34" s="105">
        <f>SUM(R31:R33)</f>
        <v>10877504</v>
      </c>
      <c r="S34" s="73">
        <f>SUM(S31:S33)</f>
        <v>0.6250000861870636</v>
      </c>
    </row>
    <row r="35" spans="1:19" x14ac:dyDescent="0.3">
      <c r="A35" s="183"/>
      <c r="B35" s="184"/>
      <c r="C35" s="184"/>
      <c r="D35" s="185"/>
      <c r="K35" s="72" t="s">
        <v>9</v>
      </c>
      <c r="L35" s="1285"/>
      <c r="M35" s="1286"/>
      <c r="N35" s="72" t="s">
        <v>9</v>
      </c>
      <c r="O35" s="1285"/>
      <c r="P35" s="1286"/>
      <c r="Q35" s="72" t="s">
        <v>9</v>
      </c>
      <c r="R35" s="1285"/>
      <c r="S35" s="1286"/>
    </row>
    <row r="36" spans="1:19" x14ac:dyDescent="0.3">
      <c r="A36" s="183"/>
      <c r="B36" s="184"/>
      <c r="C36" s="184"/>
      <c r="D36" s="185"/>
      <c r="K36" s="156" t="s">
        <v>78</v>
      </c>
      <c r="L36" s="1285" t="s">
        <v>664</v>
      </c>
      <c r="M36" s="1286"/>
      <c r="N36" s="156" t="s">
        <v>78</v>
      </c>
      <c r="O36" s="1285" t="s">
        <v>664</v>
      </c>
      <c r="P36" s="1286"/>
      <c r="Q36" s="156" t="s">
        <v>78</v>
      </c>
      <c r="R36" s="1285" t="s">
        <v>664</v>
      </c>
      <c r="S36" s="1286"/>
    </row>
    <row r="37" spans="1:19" x14ac:dyDescent="0.3">
      <c r="A37" s="183"/>
      <c r="B37" s="184"/>
      <c r="C37" s="184"/>
      <c r="D37" s="185"/>
      <c r="K37" s="157" t="s">
        <v>8</v>
      </c>
      <c r="L37" s="1285" t="s">
        <v>665</v>
      </c>
      <c r="M37" s="1286"/>
      <c r="N37" s="157" t="s">
        <v>8</v>
      </c>
      <c r="O37" s="1285" t="s">
        <v>665</v>
      </c>
      <c r="P37" s="1286"/>
      <c r="Q37" s="157" t="s">
        <v>8</v>
      </c>
      <c r="R37" s="1285" t="s">
        <v>665</v>
      </c>
      <c r="S37" s="1286"/>
    </row>
    <row r="38" spans="1:19" x14ac:dyDescent="0.3">
      <c r="A38" s="183"/>
      <c r="B38" s="184"/>
      <c r="C38" s="184"/>
      <c r="D38" s="185" t="s">
        <v>75</v>
      </c>
    </row>
    <row r="39" spans="1:19" x14ac:dyDescent="0.3">
      <c r="A39" s="183" t="s">
        <v>76</v>
      </c>
      <c r="B39" s="180"/>
      <c r="C39" s="180"/>
      <c r="D39" s="185" t="s">
        <v>77</v>
      </c>
    </row>
    <row r="40" spans="1:19" x14ac:dyDescent="0.3">
      <c r="A40" s="183" t="s">
        <v>79</v>
      </c>
      <c r="B40" s="180"/>
      <c r="C40" s="180"/>
      <c r="D40" s="185" t="s">
        <v>80</v>
      </c>
    </row>
  </sheetData>
  <sheetProtection formatCells="0" formatColumns="0" formatRows="0" insertColumns="0" insertRows="0" insertHyperlinks="0" deleteColumns="0" deleteRows="0" sort="0" autoFilter="0" pivotTables="0"/>
  <mergeCells count="38">
    <mergeCell ref="L35:M35"/>
    <mergeCell ref="L36:M36"/>
    <mergeCell ref="L37:M37"/>
    <mergeCell ref="A10:V10"/>
    <mergeCell ref="B11:J11"/>
    <mergeCell ref="K11:M12"/>
    <mergeCell ref="T11:V12"/>
    <mergeCell ref="B12:J12"/>
    <mergeCell ref="A20:A21"/>
    <mergeCell ref="B20:B21"/>
    <mergeCell ref="J20:J21"/>
    <mergeCell ref="O35:P35"/>
    <mergeCell ref="O36:P36"/>
    <mergeCell ref="O37:P37"/>
    <mergeCell ref="R35:S35"/>
    <mergeCell ref="R36:S36"/>
    <mergeCell ref="N11:P12"/>
    <mergeCell ref="Q11:S12"/>
    <mergeCell ref="T1:V1"/>
    <mergeCell ref="T2:V2"/>
    <mergeCell ref="A3:V3"/>
    <mergeCell ref="A4:V4"/>
    <mergeCell ref="R37:S37"/>
    <mergeCell ref="C1:S2"/>
    <mergeCell ref="A5:V5"/>
    <mergeCell ref="A6:V6"/>
    <mergeCell ref="A18:A19"/>
    <mergeCell ref="B18:B19"/>
    <mergeCell ref="J18:J19"/>
    <mergeCell ref="A14:A15"/>
    <mergeCell ref="B14:B15"/>
    <mergeCell ref="J14:J15"/>
    <mergeCell ref="A16:A17"/>
    <mergeCell ref="B16:B17"/>
    <mergeCell ref="J16:J17"/>
    <mergeCell ref="A7:V7"/>
    <mergeCell ref="A8:V8"/>
    <mergeCell ref="A9:V9"/>
  </mergeCells>
  <pageMargins left="0.7" right="0.7" top="0.75" bottom="0.75" header="0.3" footer="0.3"/>
  <pageSetup scale="45" fitToHeight="0" orientation="landscape" r:id="rId1"/>
  <drawing r:id="rId2"/>
  <legacyDrawingHF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tabColor theme="1"/>
  </sheetPr>
  <dimension ref="A1:G52"/>
  <sheetViews>
    <sheetView topLeftCell="A4" zoomScaleNormal="100"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489"/>
      <c r="B4" s="489"/>
      <c r="C4" s="489"/>
      <c r="D4" s="489"/>
      <c r="E4" s="489"/>
      <c r="F4" s="489"/>
      <c r="G4" s="489"/>
    </row>
    <row r="5" spans="1:7" ht="42" customHeight="1" x14ac:dyDescent="0.25">
      <c r="A5" s="280" t="s">
        <v>626</v>
      </c>
      <c r="B5" s="1356" t="str">
        <f>RESUMEN!G35</f>
        <v>Proyecto: Levantamiento e ingeniería para construcción de trazado de las líneas de llegada a la subestación Terminal</v>
      </c>
      <c r="C5" s="1281"/>
      <c r="D5" s="1281"/>
      <c r="E5" s="1281"/>
      <c r="F5" s="1281"/>
      <c r="G5" s="1282"/>
    </row>
    <row r="6" spans="1:7" x14ac:dyDescent="0.25">
      <c r="A6" s="489"/>
      <c r="B6" s="489"/>
      <c r="C6" s="489"/>
      <c r="D6" s="489"/>
      <c r="E6" s="489"/>
      <c r="F6" s="489"/>
      <c r="G6" s="489"/>
    </row>
    <row r="7" spans="1:7" x14ac:dyDescent="0.25">
      <c r="A7" s="271" t="s">
        <v>0</v>
      </c>
      <c r="B7" s="1264" t="str">
        <f>RESUMEN!B35</f>
        <v>D00235069</v>
      </c>
      <c r="C7" s="1265"/>
      <c r="D7" s="489"/>
      <c r="E7" s="1266" t="s">
        <v>627</v>
      </c>
      <c r="F7" s="1267"/>
      <c r="G7" s="490" t="str">
        <f>RESUMEN!E35</f>
        <v>17-184</v>
      </c>
    </row>
    <row r="8" spans="1:7" x14ac:dyDescent="0.25">
      <c r="A8" s="271" t="s">
        <v>628</v>
      </c>
      <c r="B8" s="1264" t="str">
        <f>RESUMEN!C35</f>
        <v>D00235069000</v>
      </c>
      <c r="C8" s="1265"/>
      <c r="D8" s="489"/>
      <c r="E8" s="1266" t="s">
        <v>629</v>
      </c>
      <c r="F8" s="1267"/>
      <c r="G8" s="490" t="str">
        <f>RESUMEN!U35</f>
        <v xml:space="preserve">Acta N° 7: Marzo </v>
      </c>
    </row>
    <row r="9" spans="1:7" x14ac:dyDescent="0.25">
      <c r="A9" s="271" t="s">
        <v>630</v>
      </c>
      <c r="B9" s="1283" t="s">
        <v>631</v>
      </c>
      <c r="C9" s="1265"/>
      <c r="D9" s="489"/>
      <c r="E9" s="1266" t="s">
        <v>632</v>
      </c>
      <c r="F9" s="1267"/>
      <c r="G9" s="487">
        <f>RESUMEN!H35</f>
        <v>18259932</v>
      </c>
    </row>
    <row r="10" spans="1:7" x14ac:dyDescent="0.25">
      <c r="A10" s="271" t="s">
        <v>633</v>
      </c>
      <c r="B10" s="1264" t="str">
        <f>RESUMEN!D35</f>
        <v xml:space="preserve"> LLTT TERMINAL</v>
      </c>
      <c r="C10" s="1265"/>
      <c r="D10" s="489"/>
      <c r="E10" s="1266" t="s">
        <v>634</v>
      </c>
      <c r="F10" s="1267"/>
      <c r="G10" s="487">
        <f>RESUMEN!R35</f>
        <v>0</v>
      </c>
    </row>
    <row r="11" spans="1:7" x14ac:dyDescent="0.25">
      <c r="A11" s="489"/>
      <c r="B11" s="489"/>
      <c r="C11" s="489"/>
      <c r="D11" s="489"/>
      <c r="E11" s="489"/>
      <c r="F11" s="489"/>
      <c r="G11" s="489"/>
    </row>
    <row r="12" spans="1:7" ht="76.5" customHeight="1" x14ac:dyDescent="0.25">
      <c r="A12" s="1284" t="str">
        <f>CONCATENATE("A los 5 días del mes de Diciembre se reunieron en las instalaciones"," de CODENSA S.A. E.S.P., los ingenieros ", RESUMEN!V35,"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Noviembre de 2017 y el 1 de Diciembre de 2017 para el ",RESUMEN!G35)</f>
        <v>A los 5 días del mes de Diciembre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Noviembre de 2017 y el 1 de Diciembre de 2017 para el Proyecto: Levantamiento e ingeniería para construcción de trazado de las líneas de llegada a la subestación Terminal</v>
      </c>
      <c r="B12" s="1284"/>
      <c r="C12" s="1284"/>
      <c r="D12" s="1284"/>
      <c r="E12" s="1284"/>
      <c r="F12" s="1284"/>
      <c r="G12" s="1284"/>
    </row>
    <row r="13" spans="1:7" x14ac:dyDescent="0.25">
      <c r="A13" s="489"/>
      <c r="B13" s="489"/>
      <c r="C13" s="489"/>
      <c r="D13" s="489"/>
      <c r="E13" s="489"/>
      <c r="F13" s="489"/>
      <c r="G13" s="489"/>
    </row>
    <row r="14" spans="1:7" ht="30" customHeight="1" x14ac:dyDescent="0.25">
      <c r="A14" s="1261" t="s">
        <v>1497</v>
      </c>
      <c r="B14" s="1261"/>
      <c r="C14" s="1261"/>
      <c r="D14" s="1261"/>
      <c r="E14" s="1261"/>
      <c r="F14" s="1261"/>
      <c r="G14" s="1261"/>
    </row>
    <row r="15" spans="1:7" x14ac:dyDescent="0.25">
      <c r="A15" s="489"/>
      <c r="B15" s="489"/>
      <c r="C15" s="489"/>
      <c r="D15" s="489"/>
      <c r="E15" s="489"/>
      <c r="F15" s="489"/>
      <c r="G15" s="489"/>
    </row>
    <row r="16" spans="1:7" x14ac:dyDescent="0.25">
      <c r="A16" s="1261" t="s">
        <v>635</v>
      </c>
      <c r="B16" s="1261"/>
      <c r="C16" s="1261"/>
      <c r="D16" s="1261"/>
      <c r="E16" s="1261"/>
      <c r="F16" s="1261"/>
      <c r="G16" s="1261"/>
    </row>
    <row r="17" spans="1:7" x14ac:dyDescent="0.25">
      <c r="A17" s="489"/>
      <c r="B17" s="489"/>
      <c r="C17" s="489"/>
      <c r="D17" s="489"/>
      <c r="E17" s="489"/>
      <c r="F17" s="489"/>
      <c r="G17" s="489"/>
    </row>
    <row r="18" spans="1:7" x14ac:dyDescent="0.25">
      <c r="A18" s="489"/>
      <c r="B18" s="1262" t="s">
        <v>636</v>
      </c>
      <c r="C18" s="1262"/>
      <c r="D18" s="1262"/>
      <c r="E18" s="1262" t="s">
        <v>31</v>
      </c>
      <c r="F18" s="1262"/>
      <c r="G18" s="489"/>
    </row>
    <row r="19" spans="1:7" x14ac:dyDescent="0.25">
      <c r="A19" s="489"/>
      <c r="B19" s="1263" t="s">
        <v>637</v>
      </c>
      <c r="C19" s="1263"/>
      <c r="D19" s="1263"/>
      <c r="E19" s="1247">
        <f>RESUMEN!N35</f>
        <v>0</v>
      </c>
      <c r="F19" s="1248"/>
      <c r="G19" s="489"/>
    </row>
    <row r="20" spans="1:7" ht="27" customHeight="1" x14ac:dyDescent="0.25">
      <c r="A20" s="489"/>
      <c r="B20" s="1244" t="s">
        <v>1498</v>
      </c>
      <c r="C20" s="1245"/>
      <c r="D20" s="1246"/>
      <c r="E20" s="1247">
        <f>RESUMEN!P35</f>
        <v>0</v>
      </c>
      <c r="F20" s="1248"/>
      <c r="G20" s="489"/>
    </row>
    <row r="21" spans="1:7" ht="27" customHeight="1" x14ac:dyDescent="0.25">
      <c r="A21" s="489"/>
      <c r="B21" s="1244" t="s">
        <v>1499</v>
      </c>
      <c r="C21" s="1245"/>
      <c r="D21" s="1246"/>
      <c r="E21" s="1247">
        <f>RESUMEN!Q35</f>
        <v>0</v>
      </c>
      <c r="F21" s="1248"/>
      <c r="G21" s="489"/>
    </row>
    <row r="22" spans="1:7" x14ac:dyDescent="0.25">
      <c r="A22" s="489"/>
      <c r="B22" s="1254" t="s">
        <v>64</v>
      </c>
      <c r="C22" s="1254"/>
      <c r="D22" s="1254"/>
      <c r="E22" s="1255">
        <f>RESUMEN!R35</f>
        <v>0</v>
      </c>
      <c r="F22" s="1255"/>
      <c r="G22" s="489"/>
    </row>
    <row r="23" spans="1:7" x14ac:dyDescent="0.25">
      <c r="A23" s="489"/>
      <c r="B23" s="1256" t="s">
        <v>66</v>
      </c>
      <c r="C23" s="1256"/>
      <c r="D23" s="1256"/>
      <c r="E23" s="1257">
        <f>RESUMEN!S35</f>
        <v>0</v>
      </c>
      <c r="F23" s="1257"/>
      <c r="G23" s="489"/>
    </row>
    <row r="24" spans="1:7" x14ac:dyDescent="0.25">
      <c r="A24" s="489"/>
      <c r="B24" s="1258" t="s">
        <v>1</v>
      </c>
      <c r="C24" s="1258"/>
      <c r="D24" s="1258"/>
      <c r="E24" s="1259">
        <f>RESUMEN!T35</f>
        <v>0</v>
      </c>
      <c r="F24" s="1259"/>
      <c r="G24" s="489"/>
    </row>
    <row r="25" spans="1:7" x14ac:dyDescent="0.25">
      <c r="A25" s="489"/>
      <c r="B25" s="489"/>
      <c r="C25" s="489"/>
      <c r="D25" s="489"/>
      <c r="E25" s="489"/>
      <c r="F25" s="489"/>
      <c r="G25" s="489"/>
    </row>
    <row r="26" spans="1:7" x14ac:dyDescent="0.25">
      <c r="A26" s="260" t="s">
        <v>638</v>
      </c>
      <c r="B26" s="260"/>
      <c r="C26" s="489"/>
      <c r="D26" s="489"/>
      <c r="E26" s="489"/>
      <c r="F26" s="489"/>
      <c r="G26" s="489"/>
    </row>
    <row r="27" spans="1:7" x14ac:dyDescent="0.25">
      <c r="A27" s="489"/>
      <c r="B27" s="488" t="s">
        <v>639</v>
      </c>
      <c r="C27" s="1260" t="s">
        <v>640</v>
      </c>
      <c r="D27" s="1260"/>
      <c r="E27" s="488" t="s">
        <v>641</v>
      </c>
      <c r="F27" s="489"/>
      <c r="G27" s="489"/>
    </row>
    <row r="28" spans="1:7" x14ac:dyDescent="0.25">
      <c r="A28" s="489"/>
      <c r="B28" s="280" t="str">
        <f>+'OT17-184 LLTT TERMINAL'!AA37</f>
        <v>ACTA 1</v>
      </c>
      <c r="C28" s="1253">
        <f>+'OT17-184 LLTT TERMINAL'!AB37</f>
        <v>1009837</v>
      </c>
      <c r="D28" s="1253"/>
      <c r="E28" s="267">
        <f>+'OT17-184 LLTT TERMINAL'!AC37</f>
        <v>5.5303437055515867E-2</v>
      </c>
      <c r="F28" s="489"/>
      <c r="G28" s="489"/>
    </row>
    <row r="29" spans="1:7" x14ac:dyDescent="0.25">
      <c r="A29" s="1177"/>
      <c r="B29" s="280" t="str">
        <f>+'OT17-184 LLTT TERMINAL'!AA38</f>
        <v>ACTA 2</v>
      </c>
      <c r="C29" s="1253">
        <f>+'OT17-184 LLTT TERMINAL'!AB38</f>
        <v>403935</v>
      </c>
      <c r="D29" s="1253"/>
      <c r="E29" s="267">
        <f>+'OT17-184 LLTT TERMINAL'!AC38</f>
        <v>2.2121385775149657E-2</v>
      </c>
      <c r="F29" s="1177"/>
      <c r="G29" s="1177"/>
    </row>
    <row r="30" spans="1:7" x14ac:dyDescent="0.25">
      <c r="A30" s="1177"/>
      <c r="B30" s="280" t="str">
        <f>+'OT17-184 LLTT TERMINAL'!AA39</f>
        <v>ACTA 3</v>
      </c>
      <c r="C30" s="1253">
        <f>+'OT17-184 LLTT TERMINAL'!AB39</f>
        <v>2987722</v>
      </c>
      <c r="D30" s="1253"/>
      <c r="E30" s="267">
        <f>+'OT17-184 LLTT TERMINAL'!AC39</f>
        <v>0.16362174842710259</v>
      </c>
      <c r="F30" s="1177"/>
      <c r="G30" s="1177"/>
    </row>
    <row r="31" spans="1:7" x14ac:dyDescent="0.25">
      <c r="A31" s="1177"/>
      <c r="B31" s="280" t="str">
        <f>+'OT17-184 LLTT TERMINAL'!AA40</f>
        <v>ACTA 4</v>
      </c>
      <c r="C31" s="1253">
        <f>+'OT17-184 LLTT TERMINAL'!AB40</f>
        <v>3924432</v>
      </c>
      <c r="D31" s="1253"/>
      <c r="E31" s="267">
        <f>+'OT17-184 LLTT TERMINAL'!AC40</f>
        <v>0.21492040605627666</v>
      </c>
      <c r="F31" s="1177"/>
      <c r="G31" s="1177"/>
    </row>
    <row r="32" spans="1:7" x14ac:dyDescent="0.25">
      <c r="A32" s="1177"/>
      <c r="B32" s="280" t="str">
        <f>+'OT17-184 LLTT TERMINAL'!AA41</f>
        <v>ACTA 5</v>
      </c>
      <c r="C32" s="1253">
        <f>+'OT17-184 LLTT TERMINAL'!AB41</f>
        <v>2559071</v>
      </c>
      <c r="D32" s="1253"/>
      <c r="E32" s="267">
        <f>+'OT17-184 LLTT TERMINAL'!AC41</f>
        <v>0.14014679791797691</v>
      </c>
      <c r="F32" s="1177"/>
      <c r="G32" s="1177"/>
    </row>
    <row r="33" spans="1:7" x14ac:dyDescent="0.25">
      <c r="A33" s="489"/>
      <c r="B33" s="280" t="str">
        <f>+'OT17-184 LLTT TERMINAL'!AA42</f>
        <v>ACTA 6</v>
      </c>
      <c r="C33" s="1253">
        <f>+'OT17-184 LLTT TERMINAL'!AB42</f>
        <v>2995692</v>
      </c>
      <c r="D33" s="1253"/>
      <c r="E33" s="267">
        <f>+'OT17-184 LLTT TERMINAL'!AC42</f>
        <v>0.1640582232179178</v>
      </c>
      <c r="F33" s="489"/>
      <c r="G33" s="489"/>
    </row>
    <row r="34" spans="1:7" x14ac:dyDescent="0.25">
      <c r="A34" s="489"/>
      <c r="B34" s="280" t="str">
        <f>+'OT17-184 LLTT TERMINAL'!AA43</f>
        <v>ACTA 7</v>
      </c>
      <c r="C34" s="1253">
        <f>+'OT17-184 LLTT TERMINAL'!AB43</f>
        <v>0</v>
      </c>
      <c r="D34" s="1253"/>
      <c r="E34" s="267">
        <f>+'OT17-184 LLTT TERMINAL'!AC43</f>
        <v>0</v>
      </c>
      <c r="F34" s="489"/>
      <c r="G34" s="489"/>
    </row>
    <row r="35" spans="1:7" x14ac:dyDescent="0.25">
      <c r="A35" s="489"/>
      <c r="B35" s="280"/>
      <c r="C35" s="1253"/>
      <c r="D35" s="1253"/>
      <c r="E35" s="267"/>
      <c r="F35" s="489"/>
      <c r="G35" s="489"/>
    </row>
    <row r="36" spans="1:7" x14ac:dyDescent="0.25">
      <c r="A36" s="489"/>
      <c r="B36" s="280"/>
      <c r="C36" s="1253"/>
      <c r="D36" s="1253"/>
      <c r="E36" s="267"/>
      <c r="F36" s="489"/>
      <c r="G36" s="489"/>
    </row>
    <row r="37" spans="1:7" x14ac:dyDescent="0.25">
      <c r="A37" s="489"/>
      <c r="B37" s="263" t="s">
        <v>1</v>
      </c>
      <c r="C37" s="1251">
        <f>SUM(C28:D36)</f>
        <v>13880689</v>
      </c>
      <c r="D37" s="1251"/>
      <c r="E37" s="264">
        <f>SUM(E28:E36)</f>
        <v>0.76017199844993955</v>
      </c>
      <c r="F37" s="489"/>
      <c r="G37" s="489"/>
    </row>
    <row r="38" spans="1:7" x14ac:dyDescent="0.25">
      <c r="A38" s="489"/>
      <c r="B38" s="489"/>
      <c r="C38" s="489"/>
      <c r="D38" s="489"/>
      <c r="E38" s="489"/>
      <c r="F38" s="489"/>
      <c r="G38" s="260"/>
    </row>
    <row r="39" spans="1:7" x14ac:dyDescent="0.25">
      <c r="A39" s="1252" t="s">
        <v>1500</v>
      </c>
      <c r="B39" s="1252"/>
      <c r="C39" s="1252"/>
      <c r="D39" s="1252"/>
      <c r="E39" s="1252"/>
      <c r="F39" s="1252"/>
      <c r="G39" s="1252"/>
    </row>
    <row r="40" spans="1:7" x14ac:dyDescent="0.25">
      <c r="A40" s="489"/>
      <c r="B40" s="489"/>
      <c r="C40" s="489"/>
      <c r="D40" s="489"/>
      <c r="E40" s="489"/>
      <c r="F40" s="489"/>
      <c r="G40" s="489"/>
    </row>
    <row r="41" spans="1:7" x14ac:dyDescent="0.25">
      <c r="A41" s="489"/>
      <c r="B41" s="489"/>
      <c r="C41" s="489"/>
      <c r="D41" s="489"/>
      <c r="E41" s="489"/>
      <c r="F41" s="489"/>
      <c r="G41" s="489"/>
    </row>
    <row r="42" spans="1:7" x14ac:dyDescent="0.25">
      <c r="A42" s="266"/>
      <c r="B42" s="266"/>
      <c r="C42" s="266"/>
      <c r="D42" s="489"/>
      <c r="E42" s="266"/>
      <c r="F42" s="266"/>
      <c r="G42" s="266"/>
    </row>
    <row r="43" spans="1:7" x14ac:dyDescent="0.25">
      <c r="A43" s="1250">
        <f>RESUMEN!V35</f>
        <v>0</v>
      </c>
      <c r="B43" s="1250"/>
      <c r="C43" s="1250"/>
      <c r="D43" s="489"/>
      <c r="E43" s="1250" t="s">
        <v>642</v>
      </c>
      <c r="F43" s="1250"/>
      <c r="G43" s="1250"/>
    </row>
    <row r="44" spans="1:7" x14ac:dyDescent="0.25">
      <c r="A44" s="1249" t="s">
        <v>643</v>
      </c>
      <c r="B44" s="1249"/>
      <c r="C44" s="1249"/>
      <c r="D44" s="489"/>
      <c r="E44" s="1249" t="s">
        <v>644</v>
      </c>
      <c r="F44" s="1249"/>
      <c r="G44" s="1249"/>
    </row>
    <row r="45" spans="1:7" x14ac:dyDescent="0.25">
      <c r="A45" s="1249" t="s">
        <v>645</v>
      </c>
      <c r="B45" s="1249"/>
      <c r="C45" s="1249"/>
      <c r="D45" s="489"/>
      <c r="E45" s="1249" t="s">
        <v>645</v>
      </c>
      <c r="F45" s="1249"/>
      <c r="G45" s="1249"/>
    </row>
    <row r="46" spans="1:7" x14ac:dyDescent="0.25">
      <c r="A46" s="489"/>
      <c r="B46" s="489"/>
      <c r="C46" s="489"/>
      <c r="D46" s="489"/>
      <c r="E46" s="489"/>
      <c r="F46" s="489"/>
      <c r="G46" s="489"/>
    </row>
    <row r="47" spans="1:7" x14ac:dyDescent="0.25">
      <c r="A47" s="489"/>
      <c r="B47" s="489"/>
      <c r="C47" s="489"/>
      <c r="D47" s="489"/>
      <c r="E47" s="489"/>
      <c r="F47" s="489"/>
      <c r="G47" s="489"/>
    </row>
    <row r="48" spans="1:7" x14ac:dyDescent="0.25">
      <c r="A48" s="489"/>
      <c r="B48" s="489"/>
      <c r="C48" s="489"/>
      <c r="D48" s="489"/>
      <c r="E48" s="489"/>
      <c r="F48" s="489"/>
      <c r="G48" s="489"/>
    </row>
    <row r="49" spans="1:7" x14ac:dyDescent="0.25">
      <c r="A49" s="266"/>
      <c r="B49" s="266"/>
      <c r="C49" s="266"/>
      <c r="D49" s="489"/>
      <c r="E49" s="266"/>
      <c r="F49" s="266"/>
      <c r="G49" s="266"/>
    </row>
    <row r="50" spans="1:7" x14ac:dyDescent="0.25">
      <c r="A50" s="1250" t="s">
        <v>646</v>
      </c>
      <c r="B50" s="1250"/>
      <c r="C50" s="1250"/>
      <c r="D50" s="489"/>
      <c r="E50" s="1250" t="s">
        <v>647</v>
      </c>
      <c r="F50" s="1250"/>
      <c r="G50" s="1250"/>
    </row>
    <row r="51" spans="1:7" x14ac:dyDescent="0.25">
      <c r="A51" s="1249" t="s">
        <v>648</v>
      </c>
      <c r="B51" s="1249"/>
      <c r="C51" s="1249"/>
      <c r="D51" s="489"/>
      <c r="E51" s="1249" t="s">
        <v>763</v>
      </c>
      <c r="F51" s="1249"/>
      <c r="G51" s="1249"/>
    </row>
    <row r="52" spans="1:7" x14ac:dyDescent="0.25">
      <c r="A52" s="1249" t="s">
        <v>645</v>
      </c>
      <c r="B52" s="1249"/>
      <c r="C52" s="1249"/>
      <c r="D52" s="489"/>
      <c r="E52" s="1249" t="s">
        <v>764</v>
      </c>
      <c r="F52" s="1249"/>
      <c r="G52" s="1249"/>
    </row>
  </sheetData>
  <mergeCells count="52">
    <mergeCell ref="A51:C51"/>
    <mergeCell ref="E51:G51"/>
    <mergeCell ref="A52:C52"/>
    <mergeCell ref="E52:G52"/>
    <mergeCell ref="A44:C44"/>
    <mergeCell ref="E44:G44"/>
    <mergeCell ref="A45:C45"/>
    <mergeCell ref="E45:G45"/>
    <mergeCell ref="A50:C50"/>
    <mergeCell ref="E50:G50"/>
    <mergeCell ref="C35:D35"/>
    <mergeCell ref="C36:D36"/>
    <mergeCell ref="C37:D37"/>
    <mergeCell ref="A39:G39"/>
    <mergeCell ref="A43:C43"/>
    <mergeCell ref="E43:G43"/>
    <mergeCell ref="C34:D34"/>
    <mergeCell ref="B21:D21"/>
    <mergeCell ref="E21:F21"/>
    <mergeCell ref="B22:D22"/>
    <mergeCell ref="E22:F22"/>
    <mergeCell ref="B23:D23"/>
    <mergeCell ref="E23:F23"/>
    <mergeCell ref="B24:D24"/>
    <mergeCell ref="E24:F24"/>
    <mergeCell ref="C27:D27"/>
    <mergeCell ref="C28:D28"/>
    <mergeCell ref="C33:D33"/>
    <mergeCell ref="C29:D29"/>
    <mergeCell ref="C30:D30"/>
    <mergeCell ref="C31:D31"/>
    <mergeCell ref="C32:D32"/>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8">
    <tabColor rgb="FFFF0000"/>
  </sheetPr>
  <dimension ref="A1:AF50"/>
  <sheetViews>
    <sheetView topLeftCell="D19" zoomScale="70" zoomScaleNormal="70" workbookViewId="0">
      <selection activeCell="X31" sqref="X31"/>
    </sheetView>
  </sheetViews>
  <sheetFormatPr baseColWidth="10" defaultColWidth="11.44140625" defaultRowHeight="14.4" x14ac:dyDescent="0.3"/>
  <cols>
    <col min="1" max="1" width="19.33203125" style="189" customWidth="1"/>
    <col min="2" max="2" width="21.88671875" style="189" customWidth="1"/>
    <col min="3" max="3" width="48.44140625" style="189" customWidth="1"/>
    <col min="4" max="4" width="16.5546875" style="189" customWidth="1"/>
    <col min="5" max="5" width="11.5546875" style="189" bestFit="1" customWidth="1"/>
    <col min="6" max="7" width="17.88671875" style="189" customWidth="1"/>
    <col min="8" max="8" width="42.88671875" style="189" customWidth="1"/>
    <col min="9" max="9" width="17.88671875" style="189" hidden="1" customWidth="1"/>
    <col min="10" max="10" width="18" style="189" hidden="1" customWidth="1"/>
    <col min="11" max="11" width="11.44140625" style="189" hidden="1" customWidth="1"/>
    <col min="12" max="12" width="17.88671875" style="189" hidden="1" customWidth="1"/>
    <col min="13" max="13" width="18" style="189" hidden="1" customWidth="1"/>
    <col min="14" max="14" width="6.5546875" style="189" hidden="1" customWidth="1"/>
    <col min="15" max="15" width="17.88671875" style="189" hidden="1" customWidth="1"/>
    <col min="16" max="16" width="18" style="189" hidden="1" customWidth="1"/>
    <col min="17" max="17" width="6.88671875" style="189" hidden="1" customWidth="1"/>
    <col min="18" max="18" width="17.88671875" style="189" hidden="1" customWidth="1"/>
    <col min="19" max="19" width="18" style="189" hidden="1" customWidth="1"/>
    <col min="20" max="20" width="6.88671875" style="189" hidden="1" customWidth="1"/>
    <col min="21" max="21" width="17.88671875" style="189" hidden="1" customWidth="1"/>
    <col min="22" max="22" width="4.33203125" style="189" hidden="1" customWidth="1"/>
    <col min="23" max="23" width="7.33203125" style="189" hidden="1" customWidth="1"/>
    <col min="24" max="24" width="17.88671875" style="603" customWidth="1"/>
    <col min="25" max="25" width="18" style="603" customWidth="1"/>
    <col min="26" max="26" width="19.77734375" style="603" customWidth="1"/>
    <col min="27" max="27" width="15.77734375" style="1055" customWidth="1"/>
    <col min="28" max="28" width="18.33203125" style="1055" customWidth="1"/>
    <col min="29" max="29" width="17.21875" style="1055" customWidth="1"/>
    <col min="30" max="31" width="17.88671875" style="189" bestFit="1" customWidth="1"/>
    <col min="32" max="16384" width="11.44140625" style="189"/>
  </cols>
  <sheetData>
    <row r="1" spans="1:32" s="148" customFormat="1" ht="48"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8"/>
      <c r="W1" s="1308"/>
      <c r="X1" s="1308"/>
      <c r="Y1" s="1308"/>
      <c r="Z1" s="1309"/>
      <c r="AA1" s="1052"/>
      <c r="AB1" s="1052"/>
      <c r="AC1" s="1052"/>
      <c r="AD1" s="1328" t="s">
        <v>501</v>
      </c>
      <c r="AE1" s="1303"/>
      <c r="AF1" s="1304"/>
    </row>
    <row r="2" spans="1:32"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1"/>
      <c r="W2" s="1311"/>
      <c r="X2" s="1311"/>
      <c r="Y2" s="1311"/>
      <c r="Z2" s="1312"/>
      <c r="AA2" s="1053"/>
      <c r="AB2" s="1053"/>
      <c r="AC2" s="1053"/>
      <c r="AD2" s="1329" t="s">
        <v>41</v>
      </c>
      <c r="AE2" s="1305"/>
      <c r="AF2" s="1306"/>
    </row>
    <row r="3" spans="1:32"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c r="AF3" s="1292"/>
    </row>
    <row r="4" spans="1:32"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c r="AF4" s="1292"/>
    </row>
    <row r="5" spans="1:32"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c r="AF5" s="1292"/>
    </row>
    <row r="6" spans="1:32"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c r="AF6" s="1292"/>
    </row>
    <row r="7" spans="1:32" s="148" customFormat="1" ht="12.75" customHeight="1" x14ac:dyDescent="0.3">
      <c r="A7" s="1291" t="s">
        <v>502</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c r="AF7" s="1292"/>
    </row>
    <row r="8" spans="1:32" s="148" customFormat="1" ht="13.5" customHeight="1" x14ac:dyDescent="0.3">
      <c r="A8" s="1292" t="s">
        <v>2308</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c r="AF8" s="1292"/>
    </row>
    <row r="9" spans="1:32" s="148" customFormat="1" ht="13.5" customHeight="1" x14ac:dyDescent="0.3">
      <c r="A9" s="1292" t="s">
        <v>2327</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c r="AF9" s="1292"/>
    </row>
    <row r="10" spans="1:32" s="148" customFormat="1" ht="13.5" customHeight="1" x14ac:dyDescent="0.3">
      <c r="A10" s="1292" t="s">
        <v>503</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c r="AF10" s="1292"/>
    </row>
    <row r="11" spans="1:32" s="148" customFormat="1" ht="13.5" customHeight="1" x14ac:dyDescent="0.3">
      <c r="A11" s="254"/>
      <c r="B11" s="1318"/>
      <c r="C11" s="1320"/>
      <c r="D11" s="1320"/>
      <c r="E11" s="1320"/>
      <c r="F11" s="1320"/>
      <c r="G11" s="1320"/>
      <c r="H11" s="1320"/>
      <c r="I11" s="1293" t="s">
        <v>46</v>
      </c>
      <c r="J11" s="1294"/>
      <c r="K11" s="1295"/>
      <c r="L11" s="1293" t="s">
        <v>677</v>
      </c>
      <c r="M11" s="1294"/>
      <c r="N11" s="1295"/>
      <c r="O11" s="1293" t="s">
        <v>980</v>
      </c>
      <c r="P11" s="1294"/>
      <c r="Q11" s="1295"/>
      <c r="R11" s="1293" t="s">
        <v>1408</v>
      </c>
      <c r="S11" s="1294"/>
      <c r="T11" s="1295"/>
      <c r="U11" s="1293" t="s">
        <v>1428</v>
      </c>
      <c r="V11" s="1294"/>
      <c r="W11" s="1295"/>
      <c r="X11" s="1293" t="s">
        <v>1731</v>
      </c>
      <c r="Y11" s="1294"/>
      <c r="Z11" s="1295"/>
      <c r="AA11" s="1293" t="s">
        <v>2306</v>
      </c>
      <c r="AB11" s="1294"/>
      <c r="AC11" s="1295"/>
      <c r="AD11" s="1299" t="s">
        <v>49</v>
      </c>
      <c r="AE11" s="1299"/>
      <c r="AF11" s="1299"/>
    </row>
    <row r="12" spans="1:32" s="148" customFormat="1" ht="13.5" customHeight="1" x14ac:dyDescent="0.3">
      <c r="A12" s="171"/>
      <c r="B12" s="1318"/>
      <c r="C12" s="1319"/>
      <c r="D12" s="1319"/>
      <c r="E12" s="1319"/>
      <c r="F12" s="1319"/>
      <c r="G12" s="1319"/>
      <c r="H12" s="1319"/>
      <c r="I12" s="1325"/>
      <c r="J12" s="1326"/>
      <c r="K12" s="1327"/>
      <c r="L12" s="1296"/>
      <c r="M12" s="1297"/>
      <c r="N12" s="1298"/>
      <c r="O12" s="1296"/>
      <c r="P12" s="1297"/>
      <c r="Q12" s="1298"/>
      <c r="R12" s="1296"/>
      <c r="S12" s="1297"/>
      <c r="T12" s="1298"/>
      <c r="U12" s="1296"/>
      <c r="V12" s="1297"/>
      <c r="W12" s="1298"/>
      <c r="X12" s="1296"/>
      <c r="Y12" s="1297"/>
      <c r="Z12" s="1298"/>
      <c r="AA12" s="1296"/>
      <c r="AB12" s="1297"/>
      <c r="AC12" s="1298"/>
      <c r="AD12" s="1300"/>
      <c r="AE12" s="1300"/>
      <c r="AF12" s="1300"/>
    </row>
    <row r="13" spans="1:32" ht="28.8" x14ac:dyDescent="0.3">
      <c r="A13" s="209" t="s">
        <v>50</v>
      </c>
      <c r="B13" s="209" t="s">
        <v>51</v>
      </c>
      <c r="C13" s="209" t="s">
        <v>52</v>
      </c>
      <c r="D13" s="209" t="s">
        <v>164</v>
      </c>
      <c r="E13" s="209" t="s">
        <v>54</v>
      </c>
      <c r="F13" s="210" t="s">
        <v>55</v>
      </c>
      <c r="G13" s="209" t="s">
        <v>56</v>
      </c>
      <c r="H13" s="209" t="s">
        <v>57</v>
      </c>
      <c r="I13" s="172" t="s">
        <v>54</v>
      </c>
      <c r="J13" s="173" t="s">
        <v>56</v>
      </c>
      <c r="K13" s="111" t="s">
        <v>58</v>
      </c>
      <c r="L13" s="111" t="s">
        <v>54</v>
      </c>
      <c r="M13" s="111" t="s">
        <v>56</v>
      </c>
      <c r="N13" s="111" t="s">
        <v>58</v>
      </c>
      <c r="O13" s="111" t="s">
        <v>54</v>
      </c>
      <c r="P13" s="111" t="s">
        <v>56</v>
      </c>
      <c r="Q13" s="111" t="s">
        <v>58</v>
      </c>
      <c r="R13" s="111" t="s">
        <v>54</v>
      </c>
      <c r="S13" s="111" t="s">
        <v>56</v>
      </c>
      <c r="T13" s="111" t="s">
        <v>58</v>
      </c>
      <c r="U13" s="111" t="s">
        <v>54</v>
      </c>
      <c r="V13" s="111" t="s">
        <v>56</v>
      </c>
      <c r="W13" s="111" t="s">
        <v>58</v>
      </c>
      <c r="X13" s="111" t="s">
        <v>54</v>
      </c>
      <c r="Y13" s="111" t="s">
        <v>56</v>
      </c>
      <c r="Z13" s="111" t="s">
        <v>58</v>
      </c>
      <c r="AA13" s="111" t="s">
        <v>54</v>
      </c>
      <c r="AB13" s="111" t="s">
        <v>56</v>
      </c>
      <c r="AC13" s="111" t="s">
        <v>58</v>
      </c>
      <c r="AD13" s="174" t="s">
        <v>54</v>
      </c>
      <c r="AE13" s="172" t="s">
        <v>56</v>
      </c>
      <c r="AF13" s="111" t="s">
        <v>58</v>
      </c>
    </row>
    <row r="14" spans="1:32" ht="30" customHeight="1" x14ac:dyDescent="0.3">
      <c r="A14" s="1314" t="s">
        <v>487</v>
      </c>
      <c r="B14" s="1314" t="s">
        <v>488</v>
      </c>
      <c r="C14" s="255" t="s">
        <v>259</v>
      </c>
      <c r="D14" s="255" t="s">
        <v>260</v>
      </c>
      <c r="E14" s="255">
        <v>1</v>
      </c>
      <c r="F14" s="192">
        <v>2019673</v>
      </c>
      <c r="G14" s="192">
        <f>ROUND((E14*F14),0)</f>
        <v>2019673</v>
      </c>
      <c r="H14" s="1315" t="s">
        <v>489</v>
      </c>
      <c r="I14" s="288">
        <v>0.5</v>
      </c>
      <c r="J14" s="290">
        <f>ROUND(I14*$F$14,0)</f>
        <v>1009837</v>
      </c>
      <c r="K14" s="291">
        <f>J14/$G$14</f>
        <v>0.50000024756482853</v>
      </c>
      <c r="L14" s="303">
        <v>0.2</v>
      </c>
      <c r="M14" s="304">
        <f>ROUND(L14*$F$14,0)</f>
        <v>403935</v>
      </c>
      <c r="N14" s="305">
        <f>M14/$G$14</f>
        <v>0.20000019805186284</v>
      </c>
      <c r="O14" s="417">
        <v>0.1</v>
      </c>
      <c r="P14" s="418">
        <f>ROUND(O14*$F$14,0)</f>
        <v>201967</v>
      </c>
      <c r="Q14" s="419">
        <f>P14/$G$14</f>
        <v>9.9999851461102865E-2</v>
      </c>
      <c r="R14" s="433">
        <v>0.1</v>
      </c>
      <c r="S14" s="425">
        <f>ROUND(R14*$F$14,0)</f>
        <v>201967</v>
      </c>
      <c r="T14" s="426">
        <f>S14/$G$14</f>
        <v>9.9999851461102865E-2</v>
      </c>
      <c r="U14" s="432">
        <v>0</v>
      </c>
      <c r="V14" s="425">
        <f>ROUND(U14*$F$14,0)</f>
        <v>0</v>
      </c>
      <c r="W14" s="426">
        <f>V14/$G$14</f>
        <v>0</v>
      </c>
      <c r="X14" s="433">
        <v>0.1</v>
      </c>
      <c r="Y14" s="429">
        <f>ROUND(X14*F14,0)</f>
        <v>201967</v>
      </c>
      <c r="Z14" s="430">
        <f>Y14/$G$14</f>
        <v>9.9999851461102865E-2</v>
      </c>
      <c r="AA14" s="432">
        <v>0</v>
      </c>
      <c r="AB14" s="425">
        <f>ROUND(AA14*F14,0)</f>
        <v>0</v>
      </c>
      <c r="AC14" s="426">
        <f>AB14/$G$14</f>
        <v>0</v>
      </c>
      <c r="AD14" s="149">
        <f>I14+L14+O14+R14+U14+X14+AA14</f>
        <v>0.99999999999999989</v>
      </c>
      <c r="AE14" s="175">
        <f>J14+M14+P14+S14+V14+Y14+AB14</f>
        <v>2019673</v>
      </c>
      <c r="AF14" s="176">
        <f t="shared" ref="AF14:AF25" si="0">AE14/G14</f>
        <v>1</v>
      </c>
    </row>
    <row r="15" spans="1:32" ht="15" customHeight="1" x14ac:dyDescent="0.3">
      <c r="A15" s="1314"/>
      <c r="B15" s="1314"/>
      <c r="C15" s="196"/>
      <c r="D15" s="196" t="s">
        <v>261</v>
      </c>
      <c r="E15" s="198"/>
      <c r="F15" s="198"/>
      <c r="G15" s="199">
        <f>G14</f>
        <v>2019673</v>
      </c>
      <c r="H15" s="1314"/>
      <c r="I15" s="178"/>
      <c r="J15" s="179">
        <f>J14</f>
        <v>1009837</v>
      </c>
      <c r="K15" s="178">
        <f>J15/$G$15</f>
        <v>0.50000024756482853</v>
      </c>
      <c r="L15" s="150"/>
      <c r="M15" s="289">
        <f>M14</f>
        <v>403935</v>
      </c>
      <c r="N15" s="178">
        <f>M15/$G$15</f>
        <v>0.20000019805186284</v>
      </c>
      <c r="O15" s="420"/>
      <c r="P15" s="307">
        <f>P14</f>
        <v>201967</v>
      </c>
      <c r="Q15" s="308">
        <f>P15/$G$15</f>
        <v>9.9999851461102865E-2</v>
      </c>
      <c r="R15" s="428"/>
      <c r="S15" s="307">
        <f>S14</f>
        <v>201967</v>
      </c>
      <c r="T15" s="431">
        <f>S15/$G$15</f>
        <v>9.9999851461102865E-2</v>
      </c>
      <c r="U15" s="428"/>
      <c r="V15" s="307">
        <f>V14</f>
        <v>0</v>
      </c>
      <c r="W15" s="431">
        <f>V15/$G$15</f>
        <v>0</v>
      </c>
      <c r="X15" s="428"/>
      <c r="Y15" s="307">
        <f>Y14</f>
        <v>201967</v>
      </c>
      <c r="Z15" s="431">
        <f>Y15/$G$15</f>
        <v>9.9999851461102865E-2</v>
      </c>
      <c r="AA15" s="428"/>
      <c r="AB15" s="307">
        <f>AB14</f>
        <v>0</v>
      </c>
      <c r="AC15" s="431">
        <f>AB15/$G$15</f>
        <v>0</v>
      </c>
      <c r="AD15" s="1093"/>
      <c r="AE15" s="1078">
        <f t="shared" ref="AE15:AE25" si="1">J15+M15+P15+S15+V15+Y15+AB15</f>
        <v>2019673</v>
      </c>
      <c r="AF15" s="178">
        <f t="shared" si="0"/>
        <v>1</v>
      </c>
    </row>
    <row r="16" spans="1:32" ht="30" customHeight="1" x14ac:dyDescent="0.3">
      <c r="A16" s="1314" t="s">
        <v>487</v>
      </c>
      <c r="B16" s="1314" t="s">
        <v>490</v>
      </c>
      <c r="C16" s="255" t="s">
        <v>263</v>
      </c>
      <c r="D16" s="255" t="s">
        <v>264</v>
      </c>
      <c r="E16" s="255">
        <v>1</v>
      </c>
      <c r="F16" s="192">
        <v>1532165</v>
      </c>
      <c r="G16" s="192">
        <f>ROUND((E16*F16),0)</f>
        <v>1532165</v>
      </c>
      <c r="H16" s="1315" t="s">
        <v>491</v>
      </c>
      <c r="I16" s="149">
        <v>0</v>
      </c>
      <c r="J16" s="175">
        <f>ROUND(I16*$F$16,0)</f>
        <v>0</v>
      </c>
      <c r="K16" s="176">
        <f>J16/$G$16</f>
        <v>0</v>
      </c>
      <c r="L16" s="149">
        <v>0</v>
      </c>
      <c r="M16" s="175">
        <f>ROUND(L16*$F$16,0)</f>
        <v>0</v>
      </c>
      <c r="N16" s="176">
        <f>M16/$G$16</f>
        <v>0</v>
      </c>
      <c r="O16" s="416">
        <v>0</v>
      </c>
      <c r="P16" s="175">
        <f>ROUND(O16*$F$16,0)</f>
        <v>0</v>
      </c>
      <c r="Q16" s="176">
        <f>P16/$G$16</f>
        <v>0</v>
      </c>
      <c r="R16" s="433">
        <v>0.7</v>
      </c>
      <c r="S16" s="429">
        <f>ROUND(R16*$F$16,0)</f>
        <v>1072516</v>
      </c>
      <c r="T16" s="430">
        <f>S16/$G$16</f>
        <v>0.70000032633561005</v>
      </c>
      <c r="U16" s="432">
        <v>0</v>
      </c>
      <c r="V16" s="425">
        <f>ROUND(U16*$F$14,0)</f>
        <v>0</v>
      </c>
      <c r="W16" s="426">
        <f>V16/$G$14</f>
        <v>0</v>
      </c>
      <c r="X16" s="433">
        <v>0.3</v>
      </c>
      <c r="Y16" s="429">
        <f>ROUND(X16*F16,0)</f>
        <v>459650</v>
      </c>
      <c r="Z16" s="430">
        <f>Y16/$G$14</f>
        <v>0.22758634689873064</v>
      </c>
      <c r="AA16" s="432">
        <v>0</v>
      </c>
      <c r="AB16" s="425">
        <f>ROUND(AA16*F16,0)</f>
        <v>0</v>
      </c>
      <c r="AC16" s="426">
        <f>AB16/$G$16</f>
        <v>0</v>
      </c>
      <c r="AD16" s="416">
        <f t="shared" ref="AD16:AD24" si="2">I16+L16+O16+R16+U16+X16+AA16</f>
        <v>1</v>
      </c>
      <c r="AE16" s="175">
        <f t="shared" si="1"/>
        <v>1532166</v>
      </c>
      <c r="AF16" s="176">
        <f t="shared" si="0"/>
        <v>1.0000006526712202</v>
      </c>
    </row>
    <row r="17" spans="1:32" ht="15" customHeight="1" x14ac:dyDescent="0.3">
      <c r="A17" s="1314"/>
      <c r="B17" s="1314"/>
      <c r="C17" s="196"/>
      <c r="D17" s="196" t="s">
        <v>265</v>
      </c>
      <c r="E17" s="198"/>
      <c r="F17" s="198"/>
      <c r="G17" s="199">
        <f>G16</f>
        <v>1532165</v>
      </c>
      <c r="H17" s="1314"/>
      <c r="I17" s="178"/>
      <c r="J17" s="179">
        <f>J16</f>
        <v>0</v>
      </c>
      <c r="K17" s="178">
        <f>J17/$G$17</f>
        <v>0</v>
      </c>
      <c r="L17" s="150"/>
      <c r="M17" s="289">
        <f>M16</f>
        <v>0</v>
      </c>
      <c r="N17" s="178">
        <f>M17/$G$17</f>
        <v>0</v>
      </c>
      <c r="O17" s="420"/>
      <c r="P17" s="307">
        <f>P16</f>
        <v>0</v>
      </c>
      <c r="Q17" s="308">
        <f>P17/$G$17</f>
        <v>0</v>
      </c>
      <c r="R17" s="428"/>
      <c r="S17" s="307">
        <f>S16</f>
        <v>1072516</v>
      </c>
      <c r="T17" s="431">
        <f>S17/$G$17</f>
        <v>0.70000032633561005</v>
      </c>
      <c r="U17" s="428"/>
      <c r="V17" s="307">
        <f>V16</f>
        <v>0</v>
      </c>
      <c r="W17" s="431">
        <f>V17/$G$17</f>
        <v>0</v>
      </c>
      <c r="X17" s="428"/>
      <c r="Y17" s="307">
        <f>Y16</f>
        <v>459650</v>
      </c>
      <c r="Z17" s="431">
        <f>Y17/$G$17</f>
        <v>0.30000032633561008</v>
      </c>
      <c r="AA17" s="428"/>
      <c r="AB17" s="307">
        <f>AB16</f>
        <v>0</v>
      </c>
      <c r="AC17" s="431">
        <f>AB17/$G$17</f>
        <v>0</v>
      </c>
      <c r="AD17" s="1093"/>
      <c r="AE17" s="1078">
        <f t="shared" si="1"/>
        <v>1532166</v>
      </c>
      <c r="AF17" s="178">
        <f t="shared" si="0"/>
        <v>1.0000006526712202</v>
      </c>
    </row>
    <row r="18" spans="1:32" ht="30" customHeight="1" x14ac:dyDescent="0.3">
      <c r="A18" s="1314" t="s">
        <v>487</v>
      </c>
      <c r="B18" s="1314" t="s">
        <v>492</v>
      </c>
      <c r="C18" s="255" t="s">
        <v>343</v>
      </c>
      <c r="D18" s="255" t="s">
        <v>344</v>
      </c>
      <c r="E18" s="255">
        <v>3</v>
      </c>
      <c r="F18" s="192">
        <v>940192</v>
      </c>
      <c r="G18" s="192">
        <f>ROUND((E18*F18),0)</f>
        <v>2820576</v>
      </c>
      <c r="H18" s="1315" t="s">
        <v>493</v>
      </c>
      <c r="I18" s="149">
        <v>0</v>
      </c>
      <c r="J18" s="175">
        <f>ROUND(I18*$F$18,0)</f>
        <v>0</v>
      </c>
      <c r="K18" s="176">
        <f>J18/$G$18</f>
        <v>0</v>
      </c>
      <c r="L18" s="149">
        <v>0</v>
      </c>
      <c r="M18" s="175">
        <f>ROUND(L18*$F$18,0)</f>
        <v>0</v>
      </c>
      <c r="N18" s="176">
        <f>M18/$G$18</f>
        <v>0</v>
      </c>
      <c r="O18" s="416">
        <v>0</v>
      </c>
      <c r="P18" s="175">
        <f>ROUND(O18*$F$18,0)</f>
        <v>0</v>
      </c>
      <c r="Q18" s="176">
        <f>P18/$G$18</f>
        <v>0</v>
      </c>
      <c r="R18" s="433">
        <f>1*0.7</f>
        <v>0.7</v>
      </c>
      <c r="S18" s="429">
        <f>ROUND(R18*$F$18,0)</f>
        <v>658134</v>
      </c>
      <c r="T18" s="430">
        <f>S18/$G$18</f>
        <v>0.23333319151832818</v>
      </c>
      <c r="U18" s="432">
        <v>0</v>
      </c>
      <c r="V18" s="425">
        <f>ROUND(U18*$F$14,0)</f>
        <v>0</v>
      </c>
      <c r="W18" s="426">
        <f>V18/$G$14</f>
        <v>0</v>
      </c>
      <c r="X18" s="433">
        <v>0.3</v>
      </c>
      <c r="Y18" s="429">
        <f>ROUND(X18*F18,0)</f>
        <v>282058</v>
      </c>
      <c r="Z18" s="430">
        <f>Y18/$G$14</f>
        <v>0.13965528083011458</v>
      </c>
      <c r="AA18" s="432">
        <v>0</v>
      </c>
      <c r="AB18" s="425">
        <f>ROUND(AA18*F18,0)</f>
        <v>0</v>
      </c>
      <c r="AC18" s="426">
        <f>AB18/$G$18</f>
        <v>0</v>
      </c>
      <c r="AD18" s="416">
        <f t="shared" si="2"/>
        <v>1</v>
      </c>
      <c r="AE18" s="175">
        <f t="shared" si="1"/>
        <v>940192</v>
      </c>
      <c r="AF18" s="176">
        <f t="shared" si="0"/>
        <v>0.33333333333333331</v>
      </c>
    </row>
    <row r="19" spans="1:32" ht="15" customHeight="1" x14ac:dyDescent="0.3">
      <c r="A19" s="1314"/>
      <c r="B19" s="1314"/>
      <c r="C19" s="196"/>
      <c r="D19" s="196" t="s">
        <v>346</v>
      </c>
      <c r="E19" s="198"/>
      <c r="F19" s="198"/>
      <c r="G19" s="199">
        <f>G18</f>
        <v>2820576</v>
      </c>
      <c r="H19" s="1314"/>
      <c r="I19" s="178"/>
      <c r="J19" s="179">
        <f>J18</f>
        <v>0</v>
      </c>
      <c r="K19" s="178">
        <f>J19/$G$19</f>
        <v>0</v>
      </c>
      <c r="L19" s="150"/>
      <c r="M19" s="289">
        <f>M18</f>
        <v>0</v>
      </c>
      <c r="N19" s="178">
        <f>M19/$G$19</f>
        <v>0</v>
      </c>
      <c r="O19" s="420"/>
      <c r="P19" s="307">
        <f>P18</f>
        <v>0</v>
      </c>
      <c r="Q19" s="308">
        <f>P19/$G$19</f>
        <v>0</v>
      </c>
      <c r="R19" s="428"/>
      <c r="S19" s="307">
        <f>S18</f>
        <v>658134</v>
      </c>
      <c r="T19" s="431">
        <f>S19/$G$19</f>
        <v>0.23333319151832818</v>
      </c>
      <c r="U19" s="428"/>
      <c r="V19" s="307">
        <f>V18</f>
        <v>0</v>
      </c>
      <c r="W19" s="431">
        <f>V19/$G$19</f>
        <v>0</v>
      </c>
      <c r="X19" s="428"/>
      <c r="Y19" s="307">
        <f>Y18</f>
        <v>282058</v>
      </c>
      <c r="Z19" s="431">
        <f>Y19/$G$19</f>
        <v>0.10000014181500516</v>
      </c>
      <c r="AA19" s="428"/>
      <c r="AB19" s="307">
        <f>AB18</f>
        <v>0</v>
      </c>
      <c r="AC19" s="431">
        <f>AB19/$G$19</f>
        <v>0</v>
      </c>
      <c r="AD19" s="1093"/>
      <c r="AE19" s="1078">
        <f t="shared" si="1"/>
        <v>940192</v>
      </c>
      <c r="AF19" s="178">
        <f>AE19/G19</f>
        <v>0.33333333333333331</v>
      </c>
    </row>
    <row r="20" spans="1:32" ht="30" customHeight="1" x14ac:dyDescent="0.3">
      <c r="A20" s="1314" t="s">
        <v>487</v>
      </c>
      <c r="B20" s="1314" t="s">
        <v>494</v>
      </c>
      <c r="C20" s="255" t="s">
        <v>270</v>
      </c>
      <c r="D20" s="255" t="s">
        <v>271</v>
      </c>
      <c r="E20" s="255">
        <v>1</v>
      </c>
      <c r="F20" s="192">
        <v>5571510</v>
      </c>
      <c r="G20" s="192">
        <f>ROUND((E20*F20),0)</f>
        <v>5571510</v>
      </c>
      <c r="H20" s="1314"/>
      <c r="I20" s="149">
        <v>0</v>
      </c>
      <c r="J20" s="175">
        <f>ROUND(I20*$F$20,0)</f>
        <v>0</v>
      </c>
      <c r="K20" s="176">
        <f>J20/$G$20</f>
        <v>0</v>
      </c>
      <c r="L20" s="149">
        <v>0</v>
      </c>
      <c r="M20" s="175">
        <f>ROUND(L20*$F$20,0)</f>
        <v>0</v>
      </c>
      <c r="N20" s="176">
        <f>M20/$G$20</f>
        <v>0</v>
      </c>
      <c r="O20" s="417">
        <v>0.5</v>
      </c>
      <c r="P20" s="304">
        <f>ROUND(O20*$F$20,0)</f>
        <v>2785755</v>
      </c>
      <c r="Q20" s="305">
        <f>P20/$G$20</f>
        <v>0.5</v>
      </c>
      <c r="R20" s="433">
        <v>0.2</v>
      </c>
      <c r="S20" s="425">
        <f>ROUND(R20*$F$20,0)</f>
        <v>1114302</v>
      </c>
      <c r="T20" s="426">
        <f>S20/$G$20</f>
        <v>0.2</v>
      </c>
      <c r="U20" s="432">
        <v>0</v>
      </c>
      <c r="V20" s="425">
        <f>ROUND(U20*$F$14,0)</f>
        <v>0</v>
      </c>
      <c r="W20" s="426">
        <f>V20/$G$14</f>
        <v>0</v>
      </c>
      <c r="X20" s="433">
        <v>0.3</v>
      </c>
      <c r="Y20" s="429">
        <f>ROUND(X20*F20,0)</f>
        <v>1671453</v>
      </c>
      <c r="Z20" s="430">
        <f>Y20/$G$14</f>
        <v>0.82758595079500497</v>
      </c>
      <c r="AA20" s="432">
        <v>0</v>
      </c>
      <c r="AB20" s="425">
        <f>ROUND(AA20*F20,0)</f>
        <v>0</v>
      </c>
      <c r="AC20" s="426">
        <f>AB20/$G$20</f>
        <v>0</v>
      </c>
      <c r="AD20" s="416">
        <f t="shared" si="2"/>
        <v>1</v>
      </c>
      <c r="AE20" s="175">
        <f t="shared" si="1"/>
        <v>5571510</v>
      </c>
      <c r="AF20" s="176">
        <f t="shared" si="0"/>
        <v>1</v>
      </c>
    </row>
    <row r="21" spans="1:32" ht="15" customHeight="1" x14ac:dyDescent="0.3">
      <c r="A21" s="1314"/>
      <c r="B21" s="1314"/>
      <c r="C21" s="196"/>
      <c r="D21" s="196" t="s">
        <v>215</v>
      </c>
      <c r="E21" s="198"/>
      <c r="F21" s="198"/>
      <c r="G21" s="199">
        <f>G20</f>
        <v>5571510</v>
      </c>
      <c r="H21" s="1314"/>
      <c r="I21" s="178"/>
      <c r="J21" s="179">
        <f>J20</f>
        <v>0</v>
      </c>
      <c r="K21" s="178">
        <f>J21/$G$21</f>
        <v>0</v>
      </c>
      <c r="L21" s="150"/>
      <c r="M21" s="289">
        <f>M20</f>
        <v>0</v>
      </c>
      <c r="N21" s="178">
        <f>M21/$G$21</f>
        <v>0</v>
      </c>
      <c r="O21" s="420"/>
      <c r="P21" s="307">
        <f>P20</f>
        <v>2785755</v>
      </c>
      <c r="Q21" s="308">
        <f>P21/$G$21</f>
        <v>0.5</v>
      </c>
      <c r="R21" s="428"/>
      <c r="S21" s="307">
        <f>S20</f>
        <v>1114302</v>
      </c>
      <c r="T21" s="431">
        <f>S21/$G$21</f>
        <v>0.2</v>
      </c>
      <c r="U21" s="428"/>
      <c r="V21" s="307">
        <f>V20</f>
        <v>0</v>
      </c>
      <c r="W21" s="431">
        <f>V21/$G$21</f>
        <v>0</v>
      </c>
      <c r="X21" s="428"/>
      <c r="Y21" s="307">
        <f>Y20</f>
        <v>1671453</v>
      </c>
      <c r="Z21" s="431">
        <f>Y21/$G$21</f>
        <v>0.3</v>
      </c>
      <c r="AA21" s="428"/>
      <c r="AB21" s="307">
        <f>AB20</f>
        <v>0</v>
      </c>
      <c r="AC21" s="431">
        <f>AB21/$G$21</f>
        <v>0</v>
      </c>
      <c r="AD21" s="1093"/>
      <c r="AE21" s="1078">
        <f t="shared" si="1"/>
        <v>5571510</v>
      </c>
      <c r="AF21" s="178">
        <f>AE21/G21</f>
        <v>1</v>
      </c>
    </row>
    <row r="22" spans="1:32" ht="30" customHeight="1" x14ac:dyDescent="0.3">
      <c r="A22" s="1314" t="s">
        <v>487</v>
      </c>
      <c r="B22" s="1314" t="s">
        <v>495</v>
      </c>
      <c r="C22" s="255" t="s">
        <v>273</v>
      </c>
      <c r="D22" s="255" t="s">
        <v>274</v>
      </c>
      <c r="E22" s="255">
        <v>3</v>
      </c>
      <c r="F22" s="192">
        <v>1253590</v>
      </c>
      <c r="G22" s="192">
        <f>ROUND((E22*F22),0)</f>
        <v>3760770</v>
      </c>
      <c r="H22" s="1315" t="s">
        <v>496</v>
      </c>
      <c r="I22" s="149">
        <v>0</v>
      </c>
      <c r="J22" s="175">
        <f>ROUND(I22*$F$22,0)</f>
        <v>0</v>
      </c>
      <c r="K22" s="176">
        <f>J22/$G$22</f>
        <v>0</v>
      </c>
      <c r="L22" s="149">
        <v>0</v>
      </c>
      <c r="M22" s="175">
        <f>ROUND(L22*$F$22,0)</f>
        <v>0</v>
      </c>
      <c r="N22" s="176">
        <f>M22/$G$22</f>
        <v>0</v>
      </c>
      <c r="O22" s="416">
        <v>0</v>
      </c>
      <c r="P22" s="175">
        <f>ROUND(O22*$F$22,0)</f>
        <v>0</v>
      </c>
      <c r="Q22" s="176">
        <f>P22/$G$22</f>
        <v>0</v>
      </c>
      <c r="R22" s="433">
        <v>0.7</v>
      </c>
      <c r="S22" s="429">
        <f>ROUND(R22*$F$22,0)</f>
        <v>877513</v>
      </c>
      <c r="T22" s="430">
        <f>S22/$G$22</f>
        <v>0.23333333333333334</v>
      </c>
      <c r="U22" s="432">
        <v>0</v>
      </c>
      <c r="V22" s="425">
        <f>ROUND(U22*$F$14,0)</f>
        <v>0</v>
      </c>
      <c r="W22" s="426">
        <f>V22/$G$14</f>
        <v>0</v>
      </c>
      <c r="X22" s="433">
        <v>0.3</v>
      </c>
      <c r="Y22" s="429">
        <f>ROUND(X22*F22,0)</f>
        <v>376077</v>
      </c>
      <c r="Z22" s="430">
        <f>Y22/$G$14</f>
        <v>0.1862068760636004</v>
      </c>
      <c r="AA22" s="432">
        <v>0</v>
      </c>
      <c r="AB22" s="425">
        <f>ROUND(AA22*F22,0)</f>
        <v>0</v>
      </c>
      <c r="AC22" s="426">
        <f>AB22/$G$22</f>
        <v>0</v>
      </c>
      <c r="AD22" s="416">
        <f t="shared" si="2"/>
        <v>1</v>
      </c>
      <c r="AE22" s="175">
        <f t="shared" si="1"/>
        <v>1253590</v>
      </c>
      <c r="AF22" s="176">
        <f t="shared" si="0"/>
        <v>0.33333333333333331</v>
      </c>
    </row>
    <row r="23" spans="1:32" ht="15" customHeight="1" x14ac:dyDescent="0.3">
      <c r="A23" s="1314"/>
      <c r="B23" s="1314"/>
      <c r="C23" s="196"/>
      <c r="D23" s="196" t="s">
        <v>136</v>
      </c>
      <c r="E23" s="198"/>
      <c r="F23" s="198"/>
      <c r="G23" s="199">
        <f>G22</f>
        <v>3760770</v>
      </c>
      <c r="H23" s="1314"/>
      <c r="I23" s="178"/>
      <c r="J23" s="179">
        <f>J22</f>
        <v>0</v>
      </c>
      <c r="K23" s="178">
        <f>J23/$G$23</f>
        <v>0</v>
      </c>
      <c r="L23" s="150"/>
      <c r="M23" s="289">
        <f>M22</f>
        <v>0</v>
      </c>
      <c r="N23" s="178">
        <f>M23/$G$23</f>
        <v>0</v>
      </c>
      <c r="O23" s="420"/>
      <c r="P23" s="307">
        <f>P22</f>
        <v>0</v>
      </c>
      <c r="Q23" s="308">
        <f>P23/$G$23</f>
        <v>0</v>
      </c>
      <c r="R23" s="428"/>
      <c r="S23" s="307">
        <f>S22</f>
        <v>877513</v>
      </c>
      <c r="T23" s="431">
        <f>S23/$G$23</f>
        <v>0.23333333333333334</v>
      </c>
      <c r="U23" s="428"/>
      <c r="V23" s="307">
        <f>V22</f>
        <v>0</v>
      </c>
      <c r="W23" s="431">
        <f>V23/$G$23</f>
        <v>0</v>
      </c>
      <c r="X23" s="428"/>
      <c r="Y23" s="307">
        <f>Y22</f>
        <v>376077</v>
      </c>
      <c r="Z23" s="431">
        <f>Y23/$G$23</f>
        <v>0.1</v>
      </c>
      <c r="AA23" s="428"/>
      <c r="AB23" s="307">
        <f>AB22</f>
        <v>0</v>
      </c>
      <c r="AC23" s="431">
        <f>AB23/$G$23</f>
        <v>0</v>
      </c>
      <c r="AD23" s="1093"/>
      <c r="AE23" s="1078">
        <f t="shared" si="1"/>
        <v>1253590</v>
      </c>
      <c r="AF23" s="178">
        <f t="shared" si="0"/>
        <v>0.33333333333333331</v>
      </c>
    </row>
    <row r="24" spans="1:32" ht="30" customHeight="1" x14ac:dyDescent="0.3">
      <c r="A24" s="1314" t="s">
        <v>487</v>
      </c>
      <c r="B24" s="1314" t="s">
        <v>497</v>
      </c>
      <c r="C24" s="255" t="s">
        <v>276</v>
      </c>
      <c r="D24" s="255" t="s">
        <v>277</v>
      </c>
      <c r="E24" s="255">
        <v>36.69</v>
      </c>
      <c r="F24" s="192">
        <v>69644</v>
      </c>
      <c r="G24" s="192">
        <f>ROUND((E24*F24),0)</f>
        <v>2555238</v>
      </c>
      <c r="H24" s="1315" t="s">
        <v>498</v>
      </c>
      <c r="I24" s="149">
        <v>0</v>
      </c>
      <c r="J24" s="175">
        <f>ROUND(I24*$F$24,0)</f>
        <v>0</v>
      </c>
      <c r="K24" s="176">
        <f>J24/$G$24</f>
        <v>0</v>
      </c>
      <c r="L24" s="149">
        <v>0</v>
      </c>
      <c r="M24" s="175">
        <f>ROUND(L24*$F$24,0)</f>
        <v>0</v>
      </c>
      <c r="N24" s="176">
        <f>M24/$G$24</f>
        <v>0</v>
      </c>
      <c r="O24" s="416">
        <v>0</v>
      </c>
      <c r="P24" s="175">
        <f>ROUND(O24*$F$24,0)</f>
        <v>0</v>
      </c>
      <c r="Q24" s="176">
        <f>P24/$G$24</f>
        <v>0</v>
      </c>
      <c r="R24" s="416">
        <v>0</v>
      </c>
      <c r="S24" s="175">
        <f>ROUND(R24*$F$24,0)</f>
        <v>0</v>
      </c>
      <c r="T24" s="176">
        <f>S24/$G$24</f>
        <v>0</v>
      </c>
      <c r="U24" s="433">
        <v>36.69</v>
      </c>
      <c r="V24" s="429">
        <f>ROUND(U24*$F$24,0)</f>
        <v>2555238</v>
      </c>
      <c r="W24" s="430">
        <f>V24/$G$24</f>
        <v>1</v>
      </c>
      <c r="X24" s="432">
        <v>0</v>
      </c>
      <c r="Y24" s="425">
        <f>ROUND(X24*F24,0)</f>
        <v>0</v>
      </c>
      <c r="Z24" s="426">
        <f>Y24/$G$14</f>
        <v>0</v>
      </c>
      <c r="AA24" s="432">
        <v>0</v>
      </c>
      <c r="AB24" s="425">
        <f>ROUND(AA24*F24,0)</f>
        <v>0</v>
      </c>
      <c r="AC24" s="426">
        <f>AB24/$G$24</f>
        <v>0</v>
      </c>
      <c r="AD24" s="416">
        <f t="shared" si="2"/>
        <v>36.69</v>
      </c>
      <c r="AE24" s="175">
        <f t="shared" si="1"/>
        <v>2555238</v>
      </c>
      <c r="AF24" s="176">
        <f t="shared" si="0"/>
        <v>1</v>
      </c>
    </row>
    <row r="25" spans="1:32" ht="15" customHeight="1" x14ac:dyDescent="0.3">
      <c r="A25" s="1314"/>
      <c r="B25" s="1314"/>
      <c r="C25" s="196"/>
      <c r="D25" s="196" t="s">
        <v>278</v>
      </c>
      <c r="E25" s="198"/>
      <c r="F25" s="198"/>
      <c r="G25" s="199">
        <f>G24</f>
        <v>2555238</v>
      </c>
      <c r="H25" s="1314"/>
      <c r="I25" s="178"/>
      <c r="J25" s="179">
        <f>J24</f>
        <v>0</v>
      </c>
      <c r="K25" s="178">
        <f>J25/$G$25</f>
        <v>0</v>
      </c>
      <c r="L25" s="150"/>
      <c r="M25" s="289">
        <f>M24</f>
        <v>0</v>
      </c>
      <c r="N25" s="178">
        <f>M25/$G$25</f>
        <v>0</v>
      </c>
      <c r="O25" s="420"/>
      <c r="P25" s="307">
        <f>P24</f>
        <v>0</v>
      </c>
      <c r="Q25" s="308">
        <f>P25/$G$25</f>
        <v>0</v>
      </c>
      <c r="R25" s="428"/>
      <c r="S25" s="307">
        <f>S24</f>
        <v>0</v>
      </c>
      <c r="T25" s="431">
        <f>S25/$G$25</f>
        <v>0</v>
      </c>
      <c r="U25" s="428"/>
      <c r="V25" s="307">
        <f>V24</f>
        <v>2555238</v>
      </c>
      <c r="W25" s="431">
        <f>V25/$G$25</f>
        <v>1</v>
      </c>
      <c r="X25" s="428"/>
      <c r="Y25" s="307">
        <f>Y24</f>
        <v>0</v>
      </c>
      <c r="Z25" s="431">
        <f>Y25/$G$25</f>
        <v>0</v>
      </c>
      <c r="AA25" s="428"/>
      <c r="AB25" s="307">
        <f>AB24</f>
        <v>0</v>
      </c>
      <c r="AC25" s="431">
        <f>AB25/$G$25</f>
        <v>0</v>
      </c>
      <c r="AD25" s="150"/>
      <c r="AE25" s="1078">
        <f t="shared" si="1"/>
        <v>2555238</v>
      </c>
      <c r="AF25" s="178">
        <f t="shared" si="0"/>
        <v>1</v>
      </c>
    </row>
    <row r="26" spans="1:32" x14ac:dyDescent="0.3">
      <c r="F26" s="151" t="s">
        <v>64</v>
      </c>
      <c r="G26" s="181">
        <f>SUM(G3:G25)/2</f>
        <v>18259932</v>
      </c>
      <c r="I26" s="151" t="s">
        <v>64</v>
      </c>
      <c r="J26" s="181">
        <f>SUM(J3:J25)/2</f>
        <v>1009837</v>
      </c>
      <c r="K26" s="50">
        <f>J26/$G$26</f>
        <v>5.5303437055515867E-2</v>
      </c>
      <c r="L26" s="151" t="s">
        <v>64</v>
      </c>
      <c r="M26" s="181">
        <f>SUM(M3:M25)/2</f>
        <v>403935</v>
      </c>
      <c r="N26" s="50">
        <f>M26/$G$26</f>
        <v>2.2121385775149657E-2</v>
      </c>
      <c r="O26" s="151" t="s">
        <v>64</v>
      </c>
      <c r="P26" s="181">
        <f>SUM(P3:P25)/2</f>
        <v>2987722</v>
      </c>
      <c r="Q26" s="50">
        <f>P26/$G$26</f>
        <v>0.16362174842710259</v>
      </c>
      <c r="R26" s="151" t="s">
        <v>64</v>
      </c>
      <c r="S26" s="181">
        <f>SUM(S3:S25)/2</f>
        <v>3924432</v>
      </c>
      <c r="T26" s="50">
        <f>S26/$G$26</f>
        <v>0.21492040605627666</v>
      </c>
      <c r="U26" s="480" t="s">
        <v>64</v>
      </c>
      <c r="V26" s="481">
        <f>SUM(V3:V25)/2</f>
        <v>2555238</v>
      </c>
      <c r="X26" s="480" t="s">
        <v>64</v>
      </c>
      <c r="Y26" s="481">
        <f>SUM(Y3:Y25)/2</f>
        <v>2991205</v>
      </c>
      <c r="AA26" s="480" t="s">
        <v>64</v>
      </c>
      <c r="AB26" s="481">
        <f>SUM(AB3:AB25)/2</f>
        <v>0</v>
      </c>
      <c r="AD26" s="480" t="s">
        <v>64</v>
      </c>
      <c r="AE26" s="481">
        <f>SUM(AE14:AE25)/2</f>
        <v>13872369</v>
      </c>
    </row>
    <row r="27" spans="1:32" x14ac:dyDescent="0.3">
      <c r="F27" s="153" t="s">
        <v>65</v>
      </c>
      <c r="G27" s="182">
        <v>0</v>
      </c>
      <c r="I27" s="153" t="s">
        <v>65</v>
      </c>
      <c r="J27" s="182">
        <v>0</v>
      </c>
      <c r="L27" s="153" t="s">
        <v>65</v>
      </c>
      <c r="M27" s="182">
        <v>0</v>
      </c>
      <c r="O27" s="153" t="s">
        <v>65</v>
      </c>
      <c r="P27" s="182">
        <v>0</v>
      </c>
      <c r="R27" s="153" t="s">
        <v>65</v>
      </c>
      <c r="S27" s="182">
        <v>0</v>
      </c>
      <c r="U27" s="482" t="s">
        <v>65</v>
      </c>
      <c r="V27" s="483">
        <v>0</v>
      </c>
      <c r="X27" s="482" t="s">
        <v>65</v>
      </c>
      <c r="Y27" s="483">
        <v>0</v>
      </c>
      <c r="AA27" s="482" t="s">
        <v>65</v>
      </c>
      <c r="AB27" s="483">
        <v>0</v>
      </c>
      <c r="AD27" s="482" t="s">
        <v>65</v>
      </c>
      <c r="AE27" s="483">
        <v>0</v>
      </c>
    </row>
    <row r="28" spans="1:32" x14ac:dyDescent="0.3">
      <c r="F28" s="152" t="s">
        <v>64</v>
      </c>
      <c r="G28" s="182">
        <f>+G26+G27</f>
        <v>18259932</v>
      </c>
      <c r="I28" s="152" t="s">
        <v>64</v>
      </c>
      <c r="J28" s="182">
        <f>+J26+J27</f>
        <v>1009837</v>
      </c>
      <c r="L28" s="152" t="s">
        <v>64</v>
      </c>
      <c r="M28" s="182">
        <f>+M26+M27</f>
        <v>403935</v>
      </c>
      <c r="O28" s="152" t="s">
        <v>64</v>
      </c>
      <c r="P28" s="182">
        <f>+P26+P27</f>
        <v>2987722</v>
      </c>
      <c r="R28" s="152" t="s">
        <v>64</v>
      </c>
      <c r="S28" s="182">
        <f>+S26+S27</f>
        <v>3924432</v>
      </c>
      <c r="U28" s="484" t="s">
        <v>64</v>
      </c>
      <c r="V28" s="483">
        <f>+V26+V27</f>
        <v>2555238</v>
      </c>
      <c r="X28" s="484" t="s">
        <v>64</v>
      </c>
      <c r="Y28" s="483">
        <f>+Y26+Y27</f>
        <v>2991205</v>
      </c>
      <c r="AA28" s="484" t="s">
        <v>64</v>
      </c>
      <c r="AB28" s="483">
        <f>+AB26+AB27</f>
        <v>0</v>
      </c>
      <c r="AD28" s="484" t="s">
        <v>64</v>
      </c>
      <c r="AE28" s="483">
        <f>+AE26+AE27</f>
        <v>13872369</v>
      </c>
    </row>
    <row r="29" spans="1:32" ht="26.4" x14ac:dyDescent="0.3">
      <c r="F29" s="152"/>
      <c r="G29" s="182"/>
      <c r="I29" s="152"/>
      <c r="J29" s="182"/>
      <c r="L29" s="152"/>
      <c r="M29" s="182"/>
      <c r="O29" s="152"/>
      <c r="P29" s="182"/>
      <c r="R29" s="152"/>
      <c r="S29" s="182"/>
      <c r="U29" s="484" t="s">
        <v>1439</v>
      </c>
      <c r="V29" s="483">
        <f>ROUND(V28*0.0015,0)</f>
        <v>3833</v>
      </c>
      <c r="X29" s="484" t="s">
        <v>1439</v>
      </c>
      <c r="Y29" s="483">
        <f>ROUND(Y28*0.0015,0)</f>
        <v>4487</v>
      </c>
      <c r="AA29" s="484" t="s">
        <v>1439</v>
      </c>
      <c r="AB29" s="483">
        <f>ROUND(AB28*0.0015,0)</f>
        <v>0</v>
      </c>
      <c r="AD29" s="484" t="s">
        <v>1439</v>
      </c>
      <c r="AE29" s="483">
        <f>J29+M29+P29+S29+V29+Y29+AB29</f>
        <v>8320</v>
      </c>
    </row>
    <row r="30" spans="1:32" ht="26.4" x14ac:dyDescent="0.3">
      <c r="F30" s="152"/>
      <c r="G30" s="182"/>
      <c r="I30" s="152"/>
      <c r="J30" s="182"/>
      <c r="L30" s="152"/>
      <c r="M30" s="182"/>
      <c r="O30" s="152"/>
      <c r="P30" s="182"/>
      <c r="R30" s="152"/>
      <c r="S30" s="182"/>
      <c r="U30" s="152" t="s">
        <v>1440</v>
      </c>
      <c r="V30" s="182">
        <f>V28+V29</f>
        <v>2559071</v>
      </c>
      <c r="W30" s="571">
        <f>V30/$G$28</f>
        <v>0.14014679791797691</v>
      </c>
      <c r="X30" s="152" t="s">
        <v>1440</v>
      </c>
      <c r="Y30" s="182">
        <f>Y28+Y29</f>
        <v>2995692</v>
      </c>
      <c r="Z30" s="571">
        <f>Y30/$G$28</f>
        <v>0.1640582232179178</v>
      </c>
      <c r="AA30" s="152" t="s">
        <v>1440</v>
      </c>
      <c r="AB30" s="182">
        <f>AB28+AB29</f>
        <v>0</v>
      </c>
      <c r="AC30" s="571">
        <f>AB30/$G$28</f>
        <v>0</v>
      </c>
      <c r="AD30" s="152" t="s">
        <v>1440</v>
      </c>
      <c r="AE30" s="105">
        <f>AE28+AE29</f>
        <v>13880689</v>
      </c>
      <c r="AF30" s="73">
        <f>AE30/G28</f>
        <v>0.76017199844993943</v>
      </c>
    </row>
    <row r="31" spans="1:32" x14ac:dyDescent="0.3">
      <c r="F31" s="154" t="s">
        <v>66</v>
      </c>
      <c r="G31" s="182">
        <f>+G28*19%</f>
        <v>3469387.08</v>
      </c>
      <c r="I31" s="154" t="s">
        <v>66</v>
      </c>
      <c r="J31" s="182">
        <f>+J28*19%</f>
        <v>191869.03</v>
      </c>
      <c r="L31" s="154" t="s">
        <v>66</v>
      </c>
      <c r="M31" s="182">
        <f>+M28*19%</f>
        <v>76747.649999999994</v>
      </c>
      <c r="O31" s="154" t="s">
        <v>66</v>
      </c>
      <c r="P31" s="182">
        <f>+P28*19%</f>
        <v>567667.18000000005</v>
      </c>
      <c r="R31" s="154" t="s">
        <v>66</v>
      </c>
      <c r="S31" s="182">
        <f>+S28*19%</f>
        <v>745642.08</v>
      </c>
      <c r="U31" s="485" t="s">
        <v>66</v>
      </c>
      <c r="V31" s="483">
        <f>ROUND(V30*0.19,0)</f>
        <v>486223</v>
      </c>
      <c r="X31" s="485" t="s">
        <v>66</v>
      </c>
      <c r="Y31" s="483">
        <f>ROUND(Y30*0.19,0)</f>
        <v>569181</v>
      </c>
      <c r="AA31" s="485" t="s">
        <v>66</v>
      </c>
      <c r="AB31" s="483">
        <f>ROUND(AB30*0.19,0)</f>
        <v>0</v>
      </c>
      <c r="AD31" s="485" t="s">
        <v>66</v>
      </c>
      <c r="AE31" s="483">
        <f>+AE28*19%</f>
        <v>2635750.11</v>
      </c>
    </row>
    <row r="32" spans="1:32" x14ac:dyDescent="0.3">
      <c r="F32" s="155" t="s">
        <v>69</v>
      </c>
      <c r="G32" s="181">
        <f>+G28+G31</f>
        <v>21729319.079999998</v>
      </c>
      <c r="I32" s="155" t="s">
        <v>69</v>
      </c>
      <c r="J32" s="181">
        <f>+J28+J31</f>
        <v>1201706.03</v>
      </c>
      <c r="L32" s="155" t="s">
        <v>69</v>
      </c>
      <c r="M32" s="181">
        <f>+M28+M31</f>
        <v>480682.65</v>
      </c>
      <c r="O32" s="155" t="s">
        <v>69</v>
      </c>
      <c r="P32" s="181">
        <f>+P28+P31</f>
        <v>3555389.18</v>
      </c>
      <c r="R32" s="155" t="s">
        <v>69</v>
      </c>
      <c r="S32" s="181">
        <f>+S28+S31</f>
        <v>4670074.08</v>
      </c>
      <c r="U32" s="545" t="s">
        <v>69</v>
      </c>
      <c r="V32" s="481">
        <f>V30+V31</f>
        <v>3045294</v>
      </c>
      <c r="X32" s="545" t="s">
        <v>69</v>
      </c>
      <c r="Y32" s="481">
        <f>Y30+Y31</f>
        <v>3564873</v>
      </c>
      <c r="AA32" s="545" t="s">
        <v>69</v>
      </c>
      <c r="AB32" s="481">
        <f>AB30+AB31</f>
        <v>0</v>
      </c>
      <c r="AD32" s="545" t="s">
        <v>69</v>
      </c>
      <c r="AE32" s="481">
        <f>+AE28+AE31</f>
        <v>16508119.109999999</v>
      </c>
    </row>
    <row r="36" spans="1:29" ht="66" x14ac:dyDescent="0.3">
      <c r="A36" s="183" t="s">
        <v>67</v>
      </c>
      <c r="B36" s="184"/>
      <c r="C36" s="184"/>
      <c r="D36" s="185" t="s">
        <v>68</v>
      </c>
      <c r="I36" s="186" t="s">
        <v>70</v>
      </c>
      <c r="J36" s="187" t="s">
        <v>71</v>
      </c>
      <c r="K36" s="186" t="s">
        <v>58</v>
      </c>
      <c r="L36" s="186" t="s">
        <v>70</v>
      </c>
      <c r="M36" s="187" t="s">
        <v>71</v>
      </c>
      <c r="N36" s="186" t="s">
        <v>58</v>
      </c>
      <c r="O36" s="186" t="s">
        <v>70</v>
      </c>
      <c r="P36" s="187" t="s">
        <v>71</v>
      </c>
      <c r="Q36" s="186" t="s">
        <v>58</v>
      </c>
      <c r="R36" s="186" t="s">
        <v>70</v>
      </c>
      <c r="S36" s="187" t="s">
        <v>71</v>
      </c>
      <c r="T36" s="186" t="s">
        <v>58</v>
      </c>
      <c r="U36" s="186" t="s">
        <v>70</v>
      </c>
      <c r="V36" s="187" t="s">
        <v>71</v>
      </c>
      <c r="W36" s="186" t="s">
        <v>58</v>
      </c>
      <c r="X36" s="186" t="s">
        <v>70</v>
      </c>
      <c r="Y36" s="187" t="s">
        <v>71</v>
      </c>
      <c r="Z36" s="186" t="s">
        <v>58</v>
      </c>
      <c r="AA36" s="186" t="s">
        <v>70</v>
      </c>
      <c r="AB36" s="187" t="s">
        <v>71</v>
      </c>
      <c r="AC36" s="186" t="s">
        <v>58</v>
      </c>
    </row>
    <row r="37" spans="1:29" x14ac:dyDescent="0.3">
      <c r="A37" s="183"/>
      <c r="B37" s="184"/>
      <c r="C37" s="184"/>
      <c r="D37" s="185"/>
      <c r="I37" s="69" t="s">
        <v>72</v>
      </c>
      <c r="J37" s="70">
        <f>$J$26</f>
        <v>1009837</v>
      </c>
      <c r="K37" s="71">
        <f>$K$26</f>
        <v>5.5303437055515867E-2</v>
      </c>
      <c r="L37" s="69" t="s">
        <v>72</v>
      </c>
      <c r="M37" s="70">
        <f>$J$26</f>
        <v>1009837</v>
      </c>
      <c r="N37" s="71">
        <f>$K$26</f>
        <v>5.5303437055515867E-2</v>
      </c>
      <c r="O37" s="69" t="s">
        <v>72</v>
      </c>
      <c r="P37" s="70">
        <f>$J$26</f>
        <v>1009837</v>
      </c>
      <c r="Q37" s="71">
        <f>$K$26</f>
        <v>5.5303437055515867E-2</v>
      </c>
      <c r="R37" s="69" t="s">
        <v>72</v>
      </c>
      <c r="S37" s="70">
        <f>$J$26</f>
        <v>1009837</v>
      </c>
      <c r="T37" s="71">
        <f>$K$26</f>
        <v>5.5303437055515867E-2</v>
      </c>
      <c r="U37" s="69" t="s">
        <v>72</v>
      </c>
      <c r="V37" s="70">
        <f>$J$26</f>
        <v>1009837</v>
      </c>
      <c r="W37" s="71">
        <f>$K$26</f>
        <v>5.5303437055515867E-2</v>
      </c>
      <c r="X37" s="69" t="s">
        <v>72</v>
      </c>
      <c r="Y37" s="70">
        <f>$J$26</f>
        <v>1009837</v>
      </c>
      <c r="Z37" s="71">
        <f>$K$26</f>
        <v>5.5303437055515867E-2</v>
      </c>
      <c r="AA37" s="69" t="s">
        <v>72</v>
      </c>
      <c r="AB37" s="70">
        <f>$J$26</f>
        <v>1009837</v>
      </c>
      <c r="AC37" s="71">
        <f>$K$26</f>
        <v>5.5303437055515867E-2</v>
      </c>
    </row>
    <row r="38" spans="1:29" s="580" customFormat="1" x14ac:dyDescent="0.3">
      <c r="A38" s="183"/>
      <c r="B38" s="184"/>
      <c r="C38" s="184"/>
      <c r="D38" s="185"/>
      <c r="I38" s="69"/>
      <c r="J38" s="70"/>
      <c r="K38" s="71"/>
      <c r="L38" s="69"/>
      <c r="M38" s="70"/>
      <c r="N38" s="71"/>
      <c r="O38" s="69"/>
      <c r="P38" s="70"/>
      <c r="Q38" s="71"/>
      <c r="R38" s="69"/>
      <c r="S38" s="70"/>
      <c r="T38" s="71"/>
      <c r="U38" s="69" t="s">
        <v>73</v>
      </c>
      <c r="V38" s="70">
        <f>+M26</f>
        <v>403935</v>
      </c>
      <c r="W38" s="71">
        <f>+N26</f>
        <v>2.2121385775149657E-2</v>
      </c>
      <c r="X38" s="69" t="s">
        <v>73</v>
      </c>
      <c r="Y38" s="70">
        <f>+M26</f>
        <v>403935</v>
      </c>
      <c r="Z38" s="71">
        <f>+N26</f>
        <v>2.2121385775149657E-2</v>
      </c>
      <c r="AA38" s="69" t="s">
        <v>73</v>
      </c>
      <c r="AB38" s="70">
        <f>+M26</f>
        <v>403935</v>
      </c>
      <c r="AC38" s="71">
        <f>+N26</f>
        <v>2.2121385775149657E-2</v>
      </c>
    </row>
    <row r="39" spans="1:29" x14ac:dyDescent="0.3">
      <c r="A39" s="183"/>
      <c r="B39" s="184"/>
      <c r="C39" s="184"/>
      <c r="D39" s="185"/>
      <c r="I39" s="69"/>
      <c r="J39" s="70"/>
      <c r="K39" s="71"/>
      <c r="L39" s="69" t="s">
        <v>73</v>
      </c>
      <c r="M39" s="70">
        <f>M26</f>
        <v>403935</v>
      </c>
      <c r="N39" s="71">
        <f>N26</f>
        <v>2.2121385775149657E-2</v>
      </c>
      <c r="O39" s="69" t="s">
        <v>73</v>
      </c>
      <c r="P39" s="70">
        <f>$P$26</f>
        <v>2987722</v>
      </c>
      <c r="Q39" s="71">
        <f>$Q$26</f>
        <v>0.16362174842710259</v>
      </c>
      <c r="R39" s="69" t="s">
        <v>73</v>
      </c>
      <c r="S39" s="70">
        <f>$P$26</f>
        <v>2987722</v>
      </c>
      <c r="T39" s="71">
        <f>$Q$26</f>
        <v>0.16362174842710259</v>
      </c>
      <c r="U39" s="69" t="s">
        <v>74</v>
      </c>
      <c r="V39" s="70">
        <f>$P$26</f>
        <v>2987722</v>
      </c>
      <c r="W39" s="71">
        <f>$Q$26</f>
        <v>0.16362174842710259</v>
      </c>
      <c r="X39" s="69" t="s">
        <v>74</v>
      </c>
      <c r="Y39" s="70">
        <f>$P$26</f>
        <v>2987722</v>
      </c>
      <c r="Z39" s="71">
        <f>$Q$26</f>
        <v>0.16362174842710259</v>
      </c>
      <c r="AA39" s="69" t="s">
        <v>74</v>
      </c>
      <c r="AB39" s="70">
        <f>$P$26</f>
        <v>2987722</v>
      </c>
      <c r="AC39" s="71">
        <f>$Q$26</f>
        <v>0.16362174842710259</v>
      </c>
    </row>
    <row r="40" spans="1:29" x14ac:dyDescent="0.3">
      <c r="A40" s="183"/>
      <c r="B40" s="184"/>
      <c r="C40" s="184"/>
      <c r="D40" s="185"/>
      <c r="I40" s="69"/>
      <c r="J40" s="70"/>
      <c r="K40" s="71"/>
      <c r="L40" s="69"/>
      <c r="M40" s="70"/>
      <c r="N40" s="71"/>
      <c r="O40" s="69"/>
      <c r="P40" s="70"/>
      <c r="Q40" s="71"/>
      <c r="R40" s="69" t="s">
        <v>74</v>
      </c>
      <c r="S40" s="70">
        <f>$S$26</f>
        <v>3924432</v>
      </c>
      <c r="T40" s="71">
        <f>$T$26</f>
        <v>0.21492040605627666</v>
      </c>
      <c r="U40" s="69" t="s">
        <v>155</v>
      </c>
      <c r="V40" s="70">
        <f>$S$26</f>
        <v>3924432</v>
      </c>
      <c r="W40" s="71">
        <f>$T$26</f>
        <v>0.21492040605627666</v>
      </c>
      <c r="X40" s="69" t="s">
        <v>155</v>
      </c>
      <c r="Y40" s="70">
        <f>$S$26</f>
        <v>3924432</v>
      </c>
      <c r="Z40" s="71">
        <f>$T$26</f>
        <v>0.21492040605627666</v>
      </c>
      <c r="AA40" s="69" t="s">
        <v>155</v>
      </c>
      <c r="AB40" s="70">
        <f>$S$26</f>
        <v>3924432</v>
      </c>
      <c r="AC40" s="71">
        <f>$T$26</f>
        <v>0.21492040605627666</v>
      </c>
    </row>
    <row r="41" spans="1:29" x14ac:dyDescent="0.3">
      <c r="A41" s="183"/>
      <c r="B41" s="184"/>
      <c r="C41" s="184"/>
      <c r="D41" s="185"/>
      <c r="I41" s="69"/>
      <c r="J41" s="70"/>
      <c r="K41" s="71"/>
      <c r="L41" s="69"/>
      <c r="M41" s="70"/>
      <c r="N41" s="71"/>
      <c r="O41" s="69"/>
      <c r="P41" s="70"/>
      <c r="Q41" s="71"/>
      <c r="R41" s="69"/>
      <c r="S41" s="70"/>
      <c r="T41" s="71"/>
      <c r="U41" s="69" t="s">
        <v>352</v>
      </c>
      <c r="V41" s="70">
        <f>$V$30</f>
        <v>2559071</v>
      </c>
      <c r="W41" s="71">
        <f>$W$30</f>
        <v>0.14014679791797691</v>
      </c>
      <c r="X41" s="69" t="s">
        <v>352</v>
      </c>
      <c r="Y41" s="70">
        <f>$V$30</f>
        <v>2559071</v>
      </c>
      <c r="Z41" s="71">
        <f>$W$30</f>
        <v>0.14014679791797691</v>
      </c>
      <c r="AA41" s="69" t="s">
        <v>352</v>
      </c>
      <c r="AB41" s="70">
        <f>$V$30</f>
        <v>2559071</v>
      </c>
      <c r="AC41" s="71">
        <f>$W$30</f>
        <v>0.14014679791797691</v>
      </c>
    </row>
    <row r="42" spans="1:29" s="603" customFormat="1" x14ac:dyDescent="0.3">
      <c r="A42" s="183"/>
      <c r="B42" s="184"/>
      <c r="C42" s="184"/>
      <c r="D42" s="185"/>
      <c r="I42" s="69"/>
      <c r="J42" s="70"/>
      <c r="K42" s="71"/>
      <c r="L42" s="69"/>
      <c r="M42" s="70"/>
      <c r="N42" s="71"/>
      <c r="O42" s="69"/>
      <c r="P42" s="70"/>
      <c r="Q42" s="71"/>
      <c r="R42" s="69"/>
      <c r="S42" s="70"/>
      <c r="T42" s="71"/>
      <c r="U42" s="69"/>
      <c r="V42" s="70"/>
      <c r="W42" s="71"/>
      <c r="X42" s="69" t="s">
        <v>979</v>
      </c>
      <c r="Y42" s="70">
        <f>+Y30</f>
        <v>2995692</v>
      </c>
      <c r="Z42" s="71">
        <f>+Z30</f>
        <v>0.1640582232179178</v>
      </c>
      <c r="AA42" s="69" t="s">
        <v>979</v>
      </c>
      <c r="AB42" s="70">
        <f>+Y30</f>
        <v>2995692</v>
      </c>
      <c r="AC42" s="71">
        <f>+Z30</f>
        <v>0.1640582232179178</v>
      </c>
    </row>
    <row r="43" spans="1:29" x14ac:dyDescent="0.3">
      <c r="A43" s="183"/>
      <c r="B43" s="184"/>
      <c r="C43" s="184"/>
      <c r="D43" s="185"/>
      <c r="I43" s="72" t="s">
        <v>1</v>
      </c>
      <c r="J43" s="105">
        <f>SUM(J37:J37)</f>
        <v>1009837</v>
      </c>
      <c r="K43" s="73">
        <f>SUM(K37:K37)</f>
        <v>5.5303437055515867E-2</v>
      </c>
      <c r="L43" s="72" t="s">
        <v>1</v>
      </c>
      <c r="M43" s="105">
        <f>SUM(M37:M39)</f>
        <v>1413772</v>
      </c>
      <c r="N43" s="73">
        <f>SUM(N37:N39)</f>
        <v>7.7424822830665527E-2</v>
      </c>
      <c r="O43" s="72" t="s">
        <v>1</v>
      </c>
      <c r="P43" s="105">
        <f>SUM(P37:P39)</f>
        <v>3997559</v>
      </c>
      <c r="Q43" s="73">
        <f>SUM(Q37:Q39)</f>
        <v>0.21892518548261847</v>
      </c>
      <c r="R43" s="72" t="s">
        <v>1</v>
      </c>
      <c r="S43" s="105">
        <f>SUM(S37:S40)</f>
        <v>7921991</v>
      </c>
      <c r="T43" s="73">
        <f>SUM(T37:T40)</f>
        <v>0.43384559153889513</v>
      </c>
      <c r="U43" s="72" t="s">
        <v>1</v>
      </c>
      <c r="V43" s="105">
        <f>SUM(V37:V41)</f>
        <v>10884997</v>
      </c>
      <c r="W43" s="73">
        <f>SUM(W37:W41)</f>
        <v>0.59611377523202169</v>
      </c>
      <c r="X43" s="72" t="s">
        <v>1</v>
      </c>
      <c r="Y43" s="105">
        <f>SUM(Y37:Y42)</f>
        <v>13880689</v>
      </c>
      <c r="Z43" s="73">
        <f>SUM(Z37:Z42)</f>
        <v>0.76017199844993955</v>
      </c>
      <c r="AA43" s="69" t="s">
        <v>2307</v>
      </c>
      <c r="AB43" s="70">
        <f>+AB30</f>
        <v>0</v>
      </c>
      <c r="AC43" s="71">
        <f>+AC30</f>
        <v>0</v>
      </c>
    </row>
    <row r="44" spans="1:29" x14ac:dyDescent="0.3">
      <c r="A44" s="183"/>
      <c r="B44" s="184"/>
      <c r="C44" s="184"/>
      <c r="D44" s="185"/>
      <c r="I44" s="72" t="s">
        <v>9</v>
      </c>
      <c r="J44" s="1285"/>
      <c r="K44" s="1286"/>
      <c r="L44" s="72" t="s">
        <v>9</v>
      </c>
      <c r="M44" s="1285"/>
      <c r="N44" s="1286"/>
      <c r="O44" s="72" t="s">
        <v>9</v>
      </c>
      <c r="P44" s="1285"/>
      <c r="Q44" s="1286"/>
      <c r="R44" s="72" t="s">
        <v>9</v>
      </c>
      <c r="S44" s="1285"/>
      <c r="T44" s="1286"/>
      <c r="U44" s="72" t="s">
        <v>9</v>
      </c>
      <c r="V44" s="1285"/>
      <c r="W44" s="1286"/>
      <c r="X44" s="72" t="s">
        <v>9</v>
      </c>
      <c r="Y44" s="1285"/>
      <c r="Z44" s="1286"/>
      <c r="AA44" s="72" t="s">
        <v>1</v>
      </c>
      <c r="AB44" s="105">
        <f>SUM(AB37:AB43)</f>
        <v>13880689</v>
      </c>
      <c r="AC44" s="73">
        <f>SUM(AC37:AC43)</f>
        <v>0.76017199844993955</v>
      </c>
    </row>
    <row r="45" spans="1:29" x14ac:dyDescent="0.3">
      <c r="A45" s="183"/>
      <c r="B45" s="184"/>
      <c r="C45" s="184"/>
      <c r="D45" s="185"/>
      <c r="I45" s="156" t="s">
        <v>78</v>
      </c>
      <c r="J45" s="1285" t="s">
        <v>499</v>
      </c>
      <c r="K45" s="1286"/>
      <c r="L45" s="156" t="s">
        <v>78</v>
      </c>
      <c r="M45" s="1285" t="s">
        <v>499</v>
      </c>
      <c r="N45" s="1286"/>
      <c r="O45" s="156" t="s">
        <v>78</v>
      </c>
      <c r="P45" s="1285" t="s">
        <v>499</v>
      </c>
      <c r="Q45" s="1286"/>
      <c r="R45" s="156" t="s">
        <v>78</v>
      </c>
      <c r="S45" s="1285" t="s">
        <v>499</v>
      </c>
      <c r="T45" s="1286"/>
      <c r="U45" s="156" t="s">
        <v>78</v>
      </c>
      <c r="V45" s="1285" t="s">
        <v>499</v>
      </c>
      <c r="W45" s="1286"/>
      <c r="X45" s="156" t="s">
        <v>78</v>
      </c>
      <c r="Y45" s="1285" t="s">
        <v>499</v>
      </c>
      <c r="Z45" s="1286"/>
      <c r="AA45" s="72" t="s">
        <v>9</v>
      </c>
      <c r="AB45" s="1285"/>
      <c r="AC45" s="1286"/>
    </row>
    <row r="46" spans="1:29" x14ac:dyDescent="0.3">
      <c r="A46" s="183"/>
      <c r="B46" s="184"/>
      <c r="C46" s="184"/>
      <c r="D46" s="185"/>
      <c r="I46" s="157" t="s">
        <v>8</v>
      </c>
      <c r="J46" s="1287" t="s">
        <v>500</v>
      </c>
      <c r="K46" s="1288"/>
      <c r="L46" s="157" t="s">
        <v>8</v>
      </c>
      <c r="M46" s="1287" t="s">
        <v>500</v>
      </c>
      <c r="N46" s="1288"/>
      <c r="O46" s="157" t="s">
        <v>8</v>
      </c>
      <c r="P46" s="1287" t="s">
        <v>500</v>
      </c>
      <c r="Q46" s="1288"/>
      <c r="R46" s="157" t="s">
        <v>8</v>
      </c>
      <c r="S46" s="1287" t="s">
        <v>500</v>
      </c>
      <c r="T46" s="1288"/>
      <c r="U46" s="157" t="s">
        <v>8</v>
      </c>
      <c r="V46" s="1287" t="s">
        <v>500</v>
      </c>
      <c r="W46" s="1288"/>
      <c r="X46" s="157" t="s">
        <v>8</v>
      </c>
      <c r="Y46" s="1287" t="s">
        <v>500</v>
      </c>
      <c r="Z46" s="1288"/>
      <c r="AA46" s="156" t="s">
        <v>78</v>
      </c>
      <c r="AB46" s="1285" t="s">
        <v>499</v>
      </c>
      <c r="AC46" s="1286"/>
    </row>
    <row r="47" spans="1:29" ht="26.4" x14ac:dyDescent="0.3">
      <c r="A47" s="183"/>
      <c r="B47" s="184"/>
      <c r="C47" s="184"/>
      <c r="D47" s="185" t="s">
        <v>75</v>
      </c>
      <c r="AA47" s="157" t="s">
        <v>8</v>
      </c>
      <c r="AB47" s="1287" t="s">
        <v>500</v>
      </c>
      <c r="AC47" s="1288"/>
    </row>
    <row r="48" spans="1:29" ht="14.25" customHeight="1" x14ac:dyDescent="0.3">
      <c r="A48" s="183" t="s">
        <v>76</v>
      </c>
      <c r="B48" s="180"/>
      <c r="C48" s="180"/>
      <c r="D48" s="185" t="s">
        <v>77</v>
      </c>
    </row>
    <row r="49" spans="1:4" x14ac:dyDescent="0.3">
      <c r="A49" s="183" t="s">
        <v>79</v>
      </c>
      <c r="B49" s="180"/>
      <c r="C49" s="180"/>
      <c r="D49" s="185" t="s">
        <v>80</v>
      </c>
    </row>
    <row r="50" spans="1:4" x14ac:dyDescent="0.3">
      <c r="A50" s="52"/>
      <c r="B50" s="52"/>
      <c r="C50" s="52"/>
      <c r="D50" s="52"/>
    </row>
  </sheetData>
  <sheetProtection formatCells="0" formatColumns="0" formatRows="0" insertColumns="0" insertRows="0" insertHyperlinks="0" deleteColumns="0" deleteRows="0" sort="0" autoFilter="0" pivotTables="0"/>
  <mergeCells count="60">
    <mergeCell ref="A5:AF5"/>
    <mergeCell ref="A8:AF8"/>
    <mergeCell ref="A9:AF9"/>
    <mergeCell ref="H16:H17"/>
    <mergeCell ref="A14:A15"/>
    <mergeCell ref="B14:B15"/>
    <mergeCell ref="H14:H15"/>
    <mergeCell ref="A16:A17"/>
    <mergeCell ref="A10:AF10"/>
    <mergeCell ref="B11:H11"/>
    <mergeCell ref="I11:K12"/>
    <mergeCell ref="AD11:AF12"/>
    <mergeCell ref="L11:N12"/>
    <mergeCell ref="R11:T12"/>
    <mergeCell ref="U11:W12"/>
    <mergeCell ref="X11:Z12"/>
    <mergeCell ref="C1:Z2"/>
    <mergeCell ref="AD1:AF1"/>
    <mergeCell ref="AD2:AF2"/>
    <mergeCell ref="A3:AF3"/>
    <mergeCell ref="A4:AF4"/>
    <mergeCell ref="AA11:AC12"/>
    <mergeCell ref="A6:AF6"/>
    <mergeCell ref="A24:A25"/>
    <mergeCell ref="B24:B25"/>
    <mergeCell ref="H24:H25"/>
    <mergeCell ref="A22:A23"/>
    <mergeCell ref="B22:B23"/>
    <mergeCell ref="H22:H23"/>
    <mergeCell ref="A18:A19"/>
    <mergeCell ref="B18:B19"/>
    <mergeCell ref="H18:H19"/>
    <mergeCell ref="A20:A21"/>
    <mergeCell ref="B20:B21"/>
    <mergeCell ref="H20:H21"/>
    <mergeCell ref="A7:AF7"/>
    <mergeCell ref="O11:Q12"/>
    <mergeCell ref="B16:B17"/>
    <mergeCell ref="B12:H12"/>
    <mergeCell ref="P44:Q44"/>
    <mergeCell ref="P45:Q45"/>
    <mergeCell ref="P46:Q46"/>
    <mergeCell ref="M44:N44"/>
    <mergeCell ref="M45:N45"/>
    <mergeCell ref="M46:N46"/>
    <mergeCell ref="AB45:AC45"/>
    <mergeCell ref="AB46:AC46"/>
    <mergeCell ref="AB47:AC47"/>
    <mergeCell ref="J44:K44"/>
    <mergeCell ref="J45:K45"/>
    <mergeCell ref="J46:K46"/>
    <mergeCell ref="V44:W44"/>
    <mergeCell ref="V45:W45"/>
    <mergeCell ref="V46:W46"/>
    <mergeCell ref="S44:T44"/>
    <mergeCell ref="S45:T45"/>
    <mergeCell ref="S46:T46"/>
    <mergeCell ref="Y44:Z44"/>
    <mergeCell ref="Y45:Z45"/>
    <mergeCell ref="Y46:Z46"/>
  </mergeCells>
  <pageMargins left="0.7" right="0.7" top="0.75" bottom="0.75" header="0.3" footer="0.3"/>
  <pageSetup scale="39" orientation="landscape" r:id="rId1"/>
  <drawing r:id="rId2"/>
  <legacyDrawing r:id="rId3"/>
  <legacyDrawingHF r:id="rId4"/>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
    <tabColor theme="1"/>
  </sheetPr>
  <dimension ref="A1:G49"/>
  <sheetViews>
    <sheetView topLeftCell="A4" zoomScaleNormal="100" workbookViewId="0">
      <selection activeCell="I31" sqref="I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RESUMEN!G36</f>
        <v>Proyecto: CDIM_CBSGSM_R0071 Reposición de Protecciones, Levantamiento e ingeniería para reposición de protecciones y normalización de tableros de protección SSEE MUÑA 3</v>
      </c>
      <c r="C5" s="1281"/>
      <c r="D5" s="1281"/>
      <c r="E5" s="1281"/>
      <c r="F5" s="1281"/>
      <c r="G5" s="1282"/>
    </row>
    <row r="6" spans="1:7" x14ac:dyDescent="0.25">
      <c r="A6" s="1177"/>
      <c r="B6" s="1177"/>
      <c r="C6" s="1177"/>
      <c r="D6" s="1177"/>
      <c r="E6" s="1177"/>
      <c r="F6" s="1177"/>
      <c r="G6" s="1177"/>
    </row>
    <row r="7" spans="1:7" x14ac:dyDescent="0.25">
      <c r="A7" s="271" t="s">
        <v>0</v>
      </c>
      <c r="B7" s="1264" t="str">
        <f>RESUMEN!B36</f>
        <v>D002234806</v>
      </c>
      <c r="C7" s="1265"/>
      <c r="D7" s="1177"/>
      <c r="E7" s="1266" t="s">
        <v>627</v>
      </c>
      <c r="F7" s="1267"/>
      <c r="G7" s="280" t="str">
        <f>RESUMEN!E36</f>
        <v xml:space="preserve">17-186 </v>
      </c>
    </row>
    <row r="8" spans="1:7" x14ac:dyDescent="0.25">
      <c r="A8" s="271" t="s">
        <v>628</v>
      </c>
      <c r="B8" s="1264">
        <f>RESUMEN!C36</f>
        <v>0</v>
      </c>
      <c r="C8" s="1265"/>
      <c r="D8" s="1177"/>
      <c r="E8" s="1266" t="s">
        <v>629</v>
      </c>
      <c r="F8" s="1267"/>
      <c r="G8" s="280" t="str">
        <f>RESUMEN!U36</f>
        <v>Acta N° 2: Marzo</v>
      </c>
    </row>
    <row r="9" spans="1:7" x14ac:dyDescent="0.25">
      <c r="A9" s="271" t="s">
        <v>630</v>
      </c>
      <c r="B9" s="1283" t="s">
        <v>631</v>
      </c>
      <c r="C9" s="1265"/>
      <c r="D9" s="1177"/>
      <c r="E9" s="1266" t="s">
        <v>632</v>
      </c>
      <c r="F9" s="1267"/>
      <c r="G9" s="1178">
        <f>RESUMEN!H36</f>
        <v>15941483</v>
      </c>
    </row>
    <row r="10" spans="1:7" x14ac:dyDescent="0.25">
      <c r="A10" s="271" t="s">
        <v>633</v>
      </c>
      <c r="B10" s="1283" t="str">
        <f>RESUMEN!D36</f>
        <v>MUÑA III</v>
      </c>
      <c r="C10" s="1265"/>
      <c r="D10" s="1177"/>
      <c r="E10" s="1266" t="s">
        <v>634</v>
      </c>
      <c r="F10" s="1267"/>
      <c r="G10" s="1178">
        <f>RESUMEN!R36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CDIM_CBSGSM_R0071 Reposición de Protecciones, Levantamiento e ingeniería para reposición de protecciones y normalización de tableros de protección SSEE MUÑA 3</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RESUMEN!N36</f>
        <v>0</v>
      </c>
      <c r="F19" s="1248"/>
      <c r="G19" s="1177"/>
    </row>
    <row r="20" spans="1:7" ht="27" customHeight="1" x14ac:dyDescent="0.25">
      <c r="A20" s="1177"/>
      <c r="B20" s="1244" t="s">
        <v>1498</v>
      </c>
      <c r="C20" s="1245"/>
      <c r="D20" s="1246"/>
      <c r="E20" s="1247">
        <f>RESUMEN!P36</f>
        <v>0</v>
      </c>
      <c r="F20" s="1248"/>
      <c r="G20" s="1177"/>
    </row>
    <row r="21" spans="1:7" ht="27" customHeight="1" x14ac:dyDescent="0.25">
      <c r="A21" s="1177"/>
      <c r="B21" s="1244" t="s">
        <v>1499</v>
      </c>
      <c r="C21" s="1245"/>
      <c r="D21" s="1246"/>
      <c r="E21" s="1247">
        <f>RESUMEN!Q36</f>
        <v>0</v>
      </c>
      <c r="F21" s="1248"/>
      <c r="G21" s="1177"/>
    </row>
    <row r="22" spans="1:7" x14ac:dyDescent="0.25">
      <c r="A22" s="1177"/>
      <c r="B22" s="1254" t="s">
        <v>64</v>
      </c>
      <c r="C22" s="1254"/>
      <c r="D22" s="1254"/>
      <c r="E22" s="1255">
        <f>RESUMEN!R36</f>
        <v>0</v>
      </c>
      <c r="F22" s="1255"/>
      <c r="G22" s="1177"/>
    </row>
    <row r="23" spans="1:7" x14ac:dyDescent="0.25">
      <c r="A23" s="1177"/>
      <c r="B23" s="1256" t="s">
        <v>66</v>
      </c>
      <c r="C23" s="1256"/>
      <c r="D23" s="1256"/>
      <c r="E23" s="1257">
        <f>RESUMEN!S36</f>
        <v>0</v>
      </c>
      <c r="F23" s="1257"/>
      <c r="G23" s="1177"/>
    </row>
    <row r="24" spans="1:7" x14ac:dyDescent="0.25">
      <c r="A24" s="1177"/>
      <c r="B24" s="1258" t="s">
        <v>1</v>
      </c>
      <c r="C24" s="1258"/>
      <c r="D24" s="1258"/>
      <c r="E24" s="1259">
        <f>RESUMEN!T36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+'OT17-186 MUÑA III'!N30</f>
        <v>ACTA 1</v>
      </c>
      <c r="C28" s="1253">
        <f>+'OT17-186 MUÑA III'!O30</f>
        <v>5143200</v>
      </c>
      <c r="D28" s="1253"/>
      <c r="E28" s="267">
        <f>+'OT17-186 MUÑA III'!P30</f>
        <v>0.32262995858039056</v>
      </c>
      <c r="F28" s="1177"/>
      <c r="G28" s="1177"/>
    </row>
    <row r="29" spans="1:7" x14ac:dyDescent="0.25">
      <c r="A29" s="1177"/>
      <c r="B29" s="280" t="str">
        <f>+'OT17-186 MUÑA III'!N31</f>
        <v>ACTA 2</v>
      </c>
      <c r="C29" s="1253">
        <f>+'OT17-186 MUÑA III'!O31</f>
        <v>0</v>
      </c>
      <c r="D29" s="1253"/>
      <c r="E29" s="267">
        <f>+'OT17-186 MUÑA III'!P31</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5143200</v>
      </c>
      <c r="D34" s="1251"/>
      <c r="E34" s="264">
        <f>SUM(E28:E33)</f>
        <v>0.32262995858039056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9">
    <tabColor theme="7"/>
    <pageSetUpPr fitToPage="1"/>
  </sheetPr>
  <dimension ref="A1:V39"/>
  <sheetViews>
    <sheetView zoomScale="55" zoomScaleNormal="55" zoomScaleSheetLayoutView="100" workbookViewId="0">
      <selection activeCell="D18" sqref="D18"/>
    </sheetView>
  </sheetViews>
  <sheetFormatPr baseColWidth="10" defaultColWidth="11.44140625" defaultRowHeight="14.4" x14ac:dyDescent="0.3"/>
  <cols>
    <col min="1" max="1" width="16.5546875" style="189" customWidth="1"/>
    <col min="2" max="2" width="23" style="189" customWidth="1"/>
    <col min="3" max="3" width="17.6640625" style="189" customWidth="1"/>
    <col min="4" max="4" width="23" style="189" customWidth="1"/>
    <col min="5" max="5" width="11.5546875" style="189" bestFit="1" customWidth="1"/>
    <col min="6" max="6" width="17.88671875" style="189" bestFit="1" customWidth="1"/>
    <col min="7" max="7" width="17.88671875" style="796" customWidth="1"/>
    <col min="8" max="8" width="17.5546875" style="189" bestFit="1" customWidth="1"/>
    <col min="9" max="9" width="17.5546875" style="796" customWidth="1"/>
    <col min="10" max="10" width="52" style="189" customWidth="1"/>
    <col min="11" max="11" width="17.88671875" style="189" customWidth="1"/>
    <col min="12" max="12" width="18" style="189" customWidth="1"/>
    <col min="13" max="13" width="11.44140625" style="189" customWidth="1"/>
    <col min="14" max="14" width="17.88671875" style="189" bestFit="1" customWidth="1"/>
    <col min="15" max="15" width="18" style="189" bestFit="1" customWidth="1"/>
    <col min="16" max="16" width="11.44140625" style="189"/>
    <col min="17" max="17" width="17.88671875" style="189" bestFit="1" customWidth="1"/>
    <col min="18" max="18" width="18.109375" style="189" customWidth="1"/>
    <col min="19" max="16384" width="11.44140625" style="189"/>
  </cols>
  <sheetData>
    <row r="1" spans="1:19" s="302" customFormat="1" ht="81" customHeight="1" thickBot="1" x14ac:dyDescent="0.35">
      <c r="A1" s="169"/>
      <c r="B1" s="188"/>
      <c r="C1" s="1307" t="s">
        <v>40</v>
      </c>
      <c r="D1" s="1308"/>
      <c r="E1" s="1308"/>
      <c r="F1" s="1308"/>
      <c r="G1" s="1308"/>
      <c r="H1" s="1308"/>
      <c r="I1" s="1308"/>
      <c r="J1" s="1308"/>
      <c r="K1" s="1308"/>
      <c r="L1" s="1308"/>
      <c r="M1" s="1308"/>
      <c r="N1" s="1308"/>
      <c r="O1" s="1308"/>
      <c r="P1" s="1309"/>
      <c r="Q1" s="1328" t="s">
        <v>1054</v>
      </c>
      <c r="R1" s="1303"/>
      <c r="S1" s="1304"/>
    </row>
    <row r="2" spans="1:19" s="302" customFormat="1"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ht="12.75" customHeight="1" x14ac:dyDescent="0.3">
      <c r="A7" s="1291" t="s">
        <v>1055</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2327</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1056</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75"/>
      <c r="B11" s="1318"/>
      <c r="C11" s="1320"/>
      <c r="D11" s="1320"/>
      <c r="E11" s="1320"/>
      <c r="F11" s="1320"/>
      <c r="G11" s="1320"/>
      <c r="H11" s="1320"/>
      <c r="I11" s="1320"/>
      <c r="J11" s="1320"/>
      <c r="K11" s="1293" t="s">
        <v>46</v>
      </c>
      <c r="L11" s="1294"/>
      <c r="M11" s="1295"/>
      <c r="N11" s="1293" t="s">
        <v>2324</v>
      </c>
      <c r="O11" s="1294"/>
      <c r="P11" s="1295"/>
      <c r="Q11" s="1299" t="s">
        <v>49</v>
      </c>
      <c r="R11" s="1299"/>
      <c r="S11" s="1299"/>
    </row>
    <row r="12" spans="1:19" s="302" customFormat="1" ht="13.5" customHeight="1" x14ac:dyDescent="0.3">
      <c r="A12" s="171"/>
      <c r="B12" s="1318"/>
      <c r="C12" s="1319"/>
      <c r="D12" s="1319"/>
      <c r="E12" s="1319"/>
      <c r="F12" s="1319"/>
      <c r="G12" s="1319"/>
      <c r="H12" s="1319"/>
      <c r="I12" s="1319"/>
      <c r="J12" s="1319"/>
      <c r="K12" s="1325"/>
      <c r="L12" s="1326"/>
      <c r="M12" s="1327"/>
      <c r="N12" s="1325"/>
      <c r="O12" s="1326"/>
      <c r="P12" s="1327"/>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111" t="s">
        <v>54</v>
      </c>
      <c r="L13" s="111" t="s">
        <v>56</v>
      </c>
      <c r="M13" s="111" t="s">
        <v>58</v>
      </c>
      <c r="N13" s="111" t="s">
        <v>54</v>
      </c>
      <c r="O13" s="111" t="s">
        <v>56</v>
      </c>
      <c r="P13" s="111" t="s">
        <v>58</v>
      </c>
      <c r="Q13" s="174" t="s">
        <v>54</v>
      </c>
      <c r="R13" s="172" t="s">
        <v>56</v>
      </c>
      <c r="S13" s="111" t="s">
        <v>58</v>
      </c>
    </row>
    <row r="14" spans="1:19" ht="30" customHeight="1" x14ac:dyDescent="0.3">
      <c r="A14" s="1314" t="s">
        <v>1050</v>
      </c>
      <c r="B14" s="1314" t="s">
        <v>1051</v>
      </c>
      <c r="C14" s="376" t="s">
        <v>83</v>
      </c>
      <c r="D14" s="376" t="s">
        <v>687</v>
      </c>
      <c r="E14" s="376">
        <v>0.7</v>
      </c>
      <c r="F14" s="192">
        <v>2228604</v>
      </c>
      <c r="G14" s="32">
        <f>+ROUND(F14*1.051,0)</f>
        <v>2342263</v>
      </c>
      <c r="H14" s="192">
        <f>ROUND((E14*F14),0)</f>
        <v>1560023</v>
      </c>
      <c r="I14" s="32">
        <f>+ROUND(G14*E14,0)</f>
        <v>1639584</v>
      </c>
      <c r="J14" s="1314" t="s">
        <v>698</v>
      </c>
      <c r="K14" s="158">
        <v>0</v>
      </c>
      <c r="L14" s="194">
        <f>ROUND(K14*$F$14,0)</f>
        <v>0</v>
      </c>
      <c r="M14" s="195">
        <f>L14/$H$14</f>
        <v>0</v>
      </c>
      <c r="N14" s="432">
        <v>0</v>
      </c>
      <c r="O14" s="425">
        <f>ROUND(N14*G14,0)</f>
        <v>0</v>
      </c>
      <c r="P14" s="426">
        <f>O14/H14</f>
        <v>0</v>
      </c>
      <c r="Q14" s="149">
        <f>K14+N14</f>
        <v>0</v>
      </c>
      <c r="R14" s="175">
        <f>L14+O14</f>
        <v>0</v>
      </c>
      <c r="S14" s="176">
        <f>R14/I14</f>
        <v>0</v>
      </c>
    </row>
    <row r="15" spans="1:19" ht="30" customHeight="1" x14ac:dyDescent="0.3">
      <c r="A15" s="1314"/>
      <c r="B15" s="1314"/>
      <c r="C15" s="376" t="s">
        <v>61</v>
      </c>
      <c r="D15" s="376" t="s">
        <v>688</v>
      </c>
      <c r="E15" s="376">
        <v>0.7</v>
      </c>
      <c r="F15" s="192">
        <v>11874281</v>
      </c>
      <c r="G15" s="32">
        <f>+ROUND(F15*1.051,0)</f>
        <v>12479869</v>
      </c>
      <c r="H15" s="192">
        <f>ROUND((E15*F15),0)</f>
        <v>8311997</v>
      </c>
      <c r="I15" s="32">
        <f>+ROUND(G15*E15,0)</f>
        <v>8735908</v>
      </c>
      <c r="J15" s="1314"/>
      <c r="K15" s="432">
        <v>0</v>
      </c>
      <c r="L15" s="425">
        <f>ROUND(K15*$F$15,0)</f>
        <v>0</v>
      </c>
      <c r="M15" s="426">
        <f>L15/$H$15</f>
        <v>0</v>
      </c>
      <c r="N15" s="432">
        <v>0</v>
      </c>
      <c r="O15" s="425">
        <f>ROUND(N15*G15,0)</f>
        <v>0</v>
      </c>
      <c r="P15" s="426">
        <f>O15/H15</f>
        <v>0</v>
      </c>
      <c r="Q15" s="416">
        <f>K15+N15</f>
        <v>0</v>
      </c>
      <c r="R15" s="175">
        <f>L15+O15</f>
        <v>0</v>
      </c>
      <c r="S15" s="176">
        <f>R15/I15</f>
        <v>0</v>
      </c>
    </row>
    <row r="16" spans="1:19" x14ac:dyDescent="0.3">
      <c r="A16" s="1314"/>
      <c r="B16" s="1314"/>
      <c r="C16" s="196"/>
      <c r="D16" s="196" t="s">
        <v>689</v>
      </c>
      <c r="E16" s="198"/>
      <c r="F16" s="198"/>
      <c r="G16" s="198"/>
      <c r="H16" s="199">
        <f>SUM(H14:H15)</f>
        <v>9872020</v>
      </c>
      <c r="I16" s="199">
        <f>SUM(I14:I15)</f>
        <v>10375492</v>
      </c>
      <c r="J16" s="1314"/>
      <c r="K16" s="306"/>
      <c r="L16" s="307">
        <f>SUM(L14:L15)</f>
        <v>0</v>
      </c>
      <c r="M16" s="308">
        <f>L16/H16</f>
        <v>0</v>
      </c>
      <c r="N16" s="428"/>
      <c r="O16" s="307">
        <f>SUM(O14:O15)</f>
        <v>0</v>
      </c>
      <c r="P16" s="431">
        <f>O16/$H$16</f>
        <v>0</v>
      </c>
      <c r="Q16" s="306"/>
      <c r="R16" s="307">
        <f>L16+O16</f>
        <v>0</v>
      </c>
      <c r="S16" s="308">
        <f>R16/I16</f>
        <v>0</v>
      </c>
    </row>
    <row r="17" spans="1:22" ht="30" customHeight="1" x14ac:dyDescent="0.3">
      <c r="A17" s="1314" t="s">
        <v>1052</v>
      </c>
      <c r="B17" s="1314" t="s">
        <v>1053</v>
      </c>
      <c r="C17" s="376" t="s">
        <v>83</v>
      </c>
      <c r="D17" s="376" t="s">
        <v>701</v>
      </c>
      <c r="E17" s="376">
        <v>0.7</v>
      </c>
      <c r="F17" s="192">
        <v>1323233</v>
      </c>
      <c r="G17" s="32">
        <f>+ROUND(F17*1.051,0)</f>
        <v>1390718</v>
      </c>
      <c r="H17" s="192">
        <f>ROUND((E17*F17),0)</f>
        <v>926263</v>
      </c>
      <c r="I17" s="32">
        <f t="shared" ref="I17:I18" si="0">+ROUND(G17*E17,0)</f>
        <v>973503</v>
      </c>
      <c r="J17" s="1314" t="s">
        <v>702</v>
      </c>
      <c r="K17" s="158">
        <v>0</v>
      </c>
      <c r="L17" s="194">
        <f>ROUND(K17*$F$17,0)</f>
        <v>0</v>
      </c>
      <c r="M17" s="195">
        <f>L17/$H$17</f>
        <v>0</v>
      </c>
      <c r="N17" s="432">
        <v>0</v>
      </c>
      <c r="O17" s="425">
        <f>ROUND(N17*G17,0)</f>
        <v>0</v>
      </c>
      <c r="P17" s="426">
        <f>O17/H17</f>
        <v>0</v>
      </c>
      <c r="Q17" s="416">
        <f>K17+N17</f>
        <v>0</v>
      </c>
      <c r="R17" s="175">
        <f>L17+O17</f>
        <v>0</v>
      </c>
      <c r="S17" s="176">
        <f>R17/I17</f>
        <v>0</v>
      </c>
    </row>
    <row r="18" spans="1:22" ht="30" customHeight="1" x14ac:dyDescent="0.3">
      <c r="A18" s="1314"/>
      <c r="B18" s="1314"/>
      <c r="C18" s="376" t="s">
        <v>61</v>
      </c>
      <c r="D18" s="376" t="s">
        <v>703</v>
      </c>
      <c r="E18" s="376">
        <v>0.7</v>
      </c>
      <c r="F18" s="192">
        <v>7347429</v>
      </c>
      <c r="G18" s="32">
        <f>+ROUND(F18*1.051,0)</f>
        <v>7722148</v>
      </c>
      <c r="H18" s="192">
        <f>ROUND((E18*F18),0)</f>
        <v>5143200</v>
      </c>
      <c r="I18" s="32">
        <f t="shared" si="0"/>
        <v>5405504</v>
      </c>
      <c r="J18" s="1314"/>
      <c r="K18" s="433">
        <v>0.7</v>
      </c>
      <c r="L18" s="429">
        <f>ROUND(K18*$F$18,0)</f>
        <v>5143200</v>
      </c>
      <c r="M18" s="430">
        <f>L18/$H$18</f>
        <v>1</v>
      </c>
      <c r="N18" s="432">
        <v>0</v>
      </c>
      <c r="O18" s="425">
        <f>ROUND(N18*G18,0)</f>
        <v>0</v>
      </c>
      <c r="P18" s="426">
        <f>O18/H18</f>
        <v>0</v>
      </c>
      <c r="Q18" s="416">
        <f>K18+N18</f>
        <v>0.7</v>
      </c>
      <c r="R18" s="175">
        <f>L18+O18</f>
        <v>5143200</v>
      </c>
      <c r="S18" s="176">
        <f t="shared" ref="S18" si="1">R18/H18</f>
        <v>1</v>
      </c>
    </row>
    <row r="19" spans="1:22" x14ac:dyDescent="0.3">
      <c r="A19" s="1314"/>
      <c r="B19" s="1314"/>
      <c r="C19" s="196"/>
      <c r="D19" s="196" t="s">
        <v>704</v>
      </c>
      <c r="E19" s="198"/>
      <c r="F19" s="198"/>
      <c r="G19" s="198"/>
      <c r="H19" s="199">
        <f>SUM(H17:H18)</f>
        <v>6069463</v>
      </c>
      <c r="I19" s="199">
        <f>SUM(I17:I18)</f>
        <v>6379007</v>
      </c>
      <c r="J19" s="1314"/>
      <c r="K19" s="306"/>
      <c r="L19" s="307">
        <f>SUM(L17:L18)</f>
        <v>5143200</v>
      </c>
      <c r="M19" s="308">
        <f>L19/H19</f>
        <v>0.84738962903307924</v>
      </c>
      <c r="N19" s="428"/>
      <c r="O19" s="307">
        <f>SUM(O17:O18)</f>
        <v>0</v>
      </c>
      <c r="P19" s="431">
        <f>O19/$H$19</f>
        <v>0</v>
      </c>
      <c r="Q19" s="306"/>
      <c r="R19" s="307">
        <f>L19+O19</f>
        <v>5143200</v>
      </c>
      <c r="S19" s="308">
        <f>R19/I19</f>
        <v>0.80626969056469133</v>
      </c>
    </row>
    <row r="20" spans="1:22" x14ac:dyDescent="0.3">
      <c r="F20" s="151" t="s">
        <v>64</v>
      </c>
      <c r="G20" s="151"/>
      <c r="H20" s="181">
        <f>SUM(H14:H19)/2</f>
        <v>15941483</v>
      </c>
      <c r="I20" s="181">
        <f>SUM(I14:I19)/2</f>
        <v>16754499</v>
      </c>
      <c r="K20" s="151" t="s">
        <v>64</v>
      </c>
      <c r="L20" s="181">
        <f>SUM(L14:L19)/2</f>
        <v>5143200</v>
      </c>
      <c r="M20" s="131">
        <f>L20/H20</f>
        <v>0.32262995858039056</v>
      </c>
      <c r="N20" s="480" t="s">
        <v>64</v>
      </c>
      <c r="O20" s="481">
        <f>SUM(O14:O19)/2</f>
        <v>0</v>
      </c>
      <c r="P20" s="131">
        <f>O20/$H$20</f>
        <v>0</v>
      </c>
      <c r="Q20" s="151" t="s">
        <v>64</v>
      </c>
      <c r="R20" s="181">
        <f>SUM(R14:R19)/2</f>
        <v>5143200</v>
      </c>
      <c r="S20" s="131">
        <f>R20/H20</f>
        <v>0.32262995858039056</v>
      </c>
    </row>
    <row r="21" spans="1:22" x14ac:dyDescent="0.3">
      <c r="F21" s="153" t="s">
        <v>65</v>
      </c>
      <c r="G21" s="816"/>
      <c r="H21" s="182">
        <v>0</v>
      </c>
      <c r="I21" s="182">
        <v>0</v>
      </c>
      <c r="K21" s="153" t="s">
        <v>65</v>
      </c>
      <c r="L21" s="182">
        <v>0</v>
      </c>
      <c r="N21" s="482" t="s">
        <v>65</v>
      </c>
      <c r="O21" s="483">
        <v>0</v>
      </c>
      <c r="Q21" s="153" t="s">
        <v>65</v>
      </c>
      <c r="R21" s="182">
        <v>0</v>
      </c>
    </row>
    <row r="22" spans="1:22" x14ac:dyDescent="0.3">
      <c r="F22" s="152" t="s">
        <v>64</v>
      </c>
      <c r="G22" s="817"/>
      <c r="H22" s="182">
        <f>+H20+H21</f>
        <v>15941483</v>
      </c>
      <c r="I22" s="182">
        <f>+I20+I21</f>
        <v>16754499</v>
      </c>
      <c r="K22" s="152" t="s">
        <v>64</v>
      </c>
      <c r="L22" s="182">
        <f>+L20+L21</f>
        <v>5143200</v>
      </c>
      <c r="N22" s="484" t="s">
        <v>64</v>
      </c>
      <c r="O22" s="483">
        <f>+O20+O21</f>
        <v>0</v>
      </c>
      <c r="Q22" s="152" t="s">
        <v>64</v>
      </c>
      <c r="R22" s="182">
        <f>+R20+R21</f>
        <v>5143200</v>
      </c>
    </row>
    <row r="23" spans="1:22" ht="26.4" x14ac:dyDescent="0.3">
      <c r="F23" s="152"/>
      <c r="G23" s="817"/>
      <c r="H23" s="182"/>
      <c r="I23" s="182"/>
      <c r="K23" s="152"/>
      <c r="L23" s="182"/>
      <c r="N23" s="484" t="s">
        <v>1439</v>
      </c>
      <c r="O23" s="483">
        <f>ROUND(O22*0.0015,0)</f>
        <v>0</v>
      </c>
      <c r="Q23" s="484" t="s">
        <v>1439</v>
      </c>
      <c r="R23" s="182">
        <f>O23</f>
        <v>0</v>
      </c>
    </row>
    <row r="24" spans="1:22" ht="26.4" x14ac:dyDescent="0.3">
      <c r="F24" s="152"/>
      <c r="G24" s="817"/>
      <c r="H24" s="182"/>
      <c r="I24" s="182"/>
      <c r="K24" s="152"/>
      <c r="L24" s="182"/>
      <c r="N24" s="152" t="s">
        <v>1440</v>
      </c>
      <c r="O24" s="182">
        <f>O22+O23</f>
        <v>0</v>
      </c>
      <c r="Q24" s="152" t="s">
        <v>1440</v>
      </c>
      <c r="R24" s="182">
        <f>R22+R23</f>
        <v>5143200</v>
      </c>
    </row>
    <row r="25" spans="1:22" x14ac:dyDescent="0.3">
      <c r="F25" s="154" t="s">
        <v>66</v>
      </c>
      <c r="G25" s="818"/>
      <c r="H25" s="182">
        <f>+H22*19%</f>
        <v>3028881.77</v>
      </c>
      <c r="I25" s="182">
        <f>+I22*19%</f>
        <v>3183354.81</v>
      </c>
      <c r="K25" s="154" t="s">
        <v>66</v>
      </c>
      <c r="L25" s="182">
        <f>+L22*19%</f>
        <v>977208</v>
      </c>
      <c r="N25" s="485" t="s">
        <v>66</v>
      </c>
      <c r="O25" s="483">
        <f>ROUND(O24*0.19,0)</f>
        <v>0</v>
      </c>
      <c r="Q25" s="154" t="s">
        <v>66</v>
      </c>
      <c r="R25" s="182">
        <f>ROUND(R24*0.19,0)</f>
        <v>977208</v>
      </c>
    </row>
    <row r="26" spans="1:22" x14ac:dyDescent="0.3">
      <c r="F26" s="155" t="s">
        <v>69</v>
      </c>
      <c r="G26" s="155"/>
      <c r="H26" s="181">
        <f>+H22+H25</f>
        <v>18970364.77</v>
      </c>
      <c r="I26" s="181">
        <f>+I22+I25</f>
        <v>19937853.809999999</v>
      </c>
      <c r="K26" s="155" t="s">
        <v>69</v>
      </c>
      <c r="L26" s="181">
        <f>+L22+L25</f>
        <v>6120408</v>
      </c>
      <c r="N26" s="545" t="s">
        <v>69</v>
      </c>
      <c r="O26" s="481">
        <f>O24+O25</f>
        <v>0</v>
      </c>
      <c r="Q26" s="155" t="s">
        <v>69</v>
      </c>
      <c r="R26" s="181">
        <f>R24+R25</f>
        <v>6120408</v>
      </c>
    </row>
    <row r="29" spans="1:22" x14ac:dyDescent="0.3">
      <c r="A29" s="183" t="s">
        <v>67</v>
      </c>
      <c r="B29" s="184"/>
      <c r="C29" s="184"/>
      <c r="D29" s="185" t="s">
        <v>68</v>
      </c>
      <c r="K29" s="186" t="s">
        <v>70</v>
      </c>
      <c r="L29" s="187" t="s">
        <v>71</v>
      </c>
      <c r="M29" s="186" t="s">
        <v>58</v>
      </c>
      <c r="N29" s="186" t="s">
        <v>70</v>
      </c>
      <c r="O29" s="187" t="s">
        <v>71</v>
      </c>
      <c r="P29" s="186" t="s">
        <v>58</v>
      </c>
      <c r="Q29"/>
      <c r="R29"/>
      <c r="S29"/>
      <c r="T29"/>
      <c r="U29"/>
      <c r="V29"/>
    </row>
    <row r="30" spans="1:22" x14ac:dyDescent="0.3">
      <c r="A30" s="183"/>
      <c r="B30" s="184"/>
      <c r="C30" s="184"/>
      <c r="D30" s="185"/>
      <c r="K30" s="69" t="s">
        <v>72</v>
      </c>
      <c r="L30" s="70">
        <f>$L$20</f>
        <v>5143200</v>
      </c>
      <c r="M30" s="71">
        <f>$M$20</f>
        <v>0.32262995858039056</v>
      </c>
      <c r="N30" s="69" t="s">
        <v>72</v>
      </c>
      <c r="O30" s="70">
        <f>$L$20</f>
        <v>5143200</v>
      </c>
      <c r="P30" s="71">
        <f>$M$20</f>
        <v>0.32262995858039056</v>
      </c>
      <c r="Q30"/>
      <c r="R30"/>
      <c r="S30"/>
      <c r="T30"/>
      <c r="U30"/>
      <c r="V30"/>
    </row>
    <row r="31" spans="1:22" x14ac:dyDescent="0.3">
      <c r="A31" s="183"/>
      <c r="B31" s="184"/>
      <c r="C31" s="184"/>
      <c r="D31" s="185"/>
      <c r="K31" s="69"/>
      <c r="L31" s="70"/>
      <c r="M31" s="71"/>
      <c r="N31" s="69" t="s">
        <v>73</v>
      </c>
      <c r="O31" s="70">
        <f>$O$24</f>
        <v>0</v>
      </c>
      <c r="P31" s="71">
        <f>$P$20</f>
        <v>0</v>
      </c>
      <c r="Q31" s="302"/>
      <c r="R31" s="302"/>
      <c r="S31" s="302"/>
      <c r="T31" s="302"/>
      <c r="U31" s="302"/>
      <c r="V31" s="302"/>
    </row>
    <row r="32" spans="1:22" x14ac:dyDescent="0.3">
      <c r="A32" s="183"/>
      <c r="B32" s="184"/>
      <c r="C32" s="184"/>
      <c r="D32" s="185"/>
      <c r="K32" s="72" t="s">
        <v>1</v>
      </c>
      <c r="L32" s="105">
        <f>SUM(L30:L30)</f>
        <v>5143200</v>
      </c>
      <c r="M32" s="73">
        <f>SUM(M30:M30)</f>
        <v>0.32262995858039056</v>
      </c>
      <c r="N32" s="72" t="s">
        <v>1</v>
      </c>
      <c r="O32" s="105">
        <f>SUM(O30:O31)</f>
        <v>5143200</v>
      </c>
      <c r="P32" s="73">
        <f>SUM(P30:P31)</f>
        <v>0.32262995858039056</v>
      </c>
      <c r="Q32"/>
      <c r="R32"/>
      <c r="S32"/>
      <c r="T32"/>
      <c r="U32"/>
      <c r="V32"/>
    </row>
    <row r="33" spans="1:22" x14ac:dyDescent="0.3">
      <c r="A33" s="183"/>
      <c r="B33" s="184"/>
      <c r="C33" s="184"/>
      <c r="D33" s="185"/>
      <c r="K33" s="72" t="s">
        <v>9</v>
      </c>
      <c r="L33" s="1285"/>
      <c r="M33" s="1286"/>
      <c r="N33" s="72" t="s">
        <v>9</v>
      </c>
      <c r="O33" s="1285"/>
      <c r="P33" s="1286"/>
      <c r="Q33"/>
      <c r="R33"/>
      <c r="S33"/>
      <c r="T33"/>
      <c r="U33"/>
      <c r="V33"/>
    </row>
    <row r="34" spans="1:22" x14ac:dyDescent="0.3">
      <c r="A34" s="183"/>
      <c r="B34" s="184"/>
      <c r="C34" s="184"/>
      <c r="D34" s="185"/>
      <c r="K34" s="156" t="s">
        <v>78</v>
      </c>
      <c r="L34" s="1285" t="s">
        <v>709</v>
      </c>
      <c r="M34" s="1286"/>
      <c r="N34" s="156" t="s">
        <v>78</v>
      </c>
      <c r="O34" s="1285" t="s">
        <v>709</v>
      </c>
      <c r="P34" s="1286"/>
      <c r="Q34"/>
      <c r="R34"/>
      <c r="S34"/>
      <c r="T34"/>
      <c r="U34"/>
      <c r="V34"/>
    </row>
    <row r="35" spans="1:22" x14ac:dyDescent="0.3">
      <c r="A35" s="183"/>
      <c r="B35" s="184"/>
      <c r="C35" s="184"/>
      <c r="D35" s="185"/>
      <c r="K35" s="157" t="s">
        <v>8</v>
      </c>
      <c r="L35" s="1287"/>
      <c r="M35" s="1288"/>
      <c r="N35" s="157" t="s">
        <v>8</v>
      </c>
      <c r="O35" s="1287"/>
      <c r="P35" s="1288"/>
      <c r="Q35"/>
      <c r="R35"/>
      <c r="S35"/>
      <c r="T35"/>
      <c r="U35"/>
      <c r="V35"/>
    </row>
    <row r="36" spans="1:22" x14ac:dyDescent="0.3">
      <c r="A36" s="183"/>
      <c r="B36" s="184"/>
      <c r="C36" s="184"/>
      <c r="D36" s="185" t="s">
        <v>75</v>
      </c>
    </row>
    <row r="37" spans="1:22" ht="14.25" customHeight="1" x14ac:dyDescent="0.3">
      <c r="A37" s="183" t="s">
        <v>76</v>
      </c>
      <c r="B37" s="180"/>
      <c r="C37" s="180"/>
      <c r="D37" s="185" t="s">
        <v>77</v>
      </c>
    </row>
    <row r="38" spans="1:22" ht="26.4" x14ac:dyDescent="0.3">
      <c r="A38" s="183" t="s">
        <v>79</v>
      </c>
      <c r="B38" s="180"/>
      <c r="C38" s="180"/>
      <c r="D38" s="185" t="s">
        <v>80</v>
      </c>
    </row>
    <row r="39" spans="1:22" x14ac:dyDescent="0.3">
      <c r="A39" s="52"/>
      <c r="B39" s="52"/>
      <c r="C39" s="52"/>
      <c r="D39" s="52"/>
    </row>
  </sheetData>
  <sheetProtection formatCells="0" formatColumns="0" formatRows="0" insertColumns="0" insertRows="0" insertHyperlinks="0" deleteColumns="0" deleteRows="0" sort="0" autoFilter="0" pivotTables="0"/>
  <mergeCells count="28">
    <mergeCell ref="L35:M35"/>
    <mergeCell ref="L33:M33"/>
    <mergeCell ref="L34:M34"/>
    <mergeCell ref="A10:S10"/>
    <mergeCell ref="B11:J11"/>
    <mergeCell ref="K11:M12"/>
    <mergeCell ref="Q11:S12"/>
    <mergeCell ref="B12:J12"/>
    <mergeCell ref="A17:A19"/>
    <mergeCell ref="B17:B19"/>
    <mergeCell ref="J17:J19"/>
    <mergeCell ref="O33:P33"/>
    <mergeCell ref="O34:P34"/>
    <mergeCell ref="O35:P35"/>
    <mergeCell ref="Q1:S1"/>
    <mergeCell ref="Q2:S2"/>
    <mergeCell ref="A3:S3"/>
    <mergeCell ref="A4:S4"/>
    <mergeCell ref="C1:P2"/>
    <mergeCell ref="A5:S5"/>
    <mergeCell ref="A6:S6"/>
    <mergeCell ref="A14:A16"/>
    <mergeCell ref="B14:B16"/>
    <mergeCell ref="J14:J16"/>
    <mergeCell ref="A7:S7"/>
    <mergeCell ref="A8:S8"/>
    <mergeCell ref="A9:S9"/>
    <mergeCell ref="N11:P12"/>
  </mergeCells>
  <pageMargins left="0.7" right="0.7" top="0.75" bottom="0.75" header="0.3" footer="0.3"/>
  <pageSetup scale="44" fitToHeight="0" orientation="landscape" r:id="rId1"/>
  <drawing r:id="rId2"/>
  <legacyDrawingHF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tabColor theme="1"/>
  </sheetPr>
  <dimension ref="A1:G49"/>
  <sheetViews>
    <sheetView zoomScaleNormal="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RESUMEN!G37</f>
        <v>Proyecto: CDIM_CBSGSM_R0071 Reposición de Protecciones, Levantamiento e ingeniería para reposición de protecciones y normalización de tableros de control y protección SSEE LA GUACA</v>
      </c>
      <c r="C5" s="1281"/>
      <c r="D5" s="1281"/>
      <c r="E5" s="1281"/>
      <c r="F5" s="1281"/>
      <c r="G5" s="1282"/>
    </row>
    <row r="6" spans="1:7" x14ac:dyDescent="0.25">
      <c r="A6" s="1177"/>
      <c r="B6" s="1177"/>
      <c r="C6" s="1177"/>
      <c r="D6" s="1177"/>
      <c r="E6" s="1177"/>
      <c r="F6" s="1177"/>
      <c r="G6" s="1177"/>
    </row>
    <row r="7" spans="1:7" x14ac:dyDescent="0.25">
      <c r="A7" s="271" t="s">
        <v>0</v>
      </c>
      <c r="B7" s="1264" t="str">
        <f>RESUMEN!B37</f>
        <v>D002234806</v>
      </c>
      <c r="C7" s="1265"/>
      <c r="D7" s="1177"/>
      <c r="E7" s="1266" t="s">
        <v>627</v>
      </c>
      <c r="F7" s="1267"/>
      <c r="G7" s="280" t="str">
        <f>RESUMEN!E37</f>
        <v xml:space="preserve">17-187 </v>
      </c>
    </row>
    <row r="8" spans="1:7" x14ac:dyDescent="0.25">
      <c r="A8" s="271" t="s">
        <v>628</v>
      </c>
      <c r="B8" s="1264">
        <f>RESUMEN!C37</f>
        <v>0</v>
      </c>
      <c r="C8" s="1265"/>
      <c r="D8" s="1177"/>
      <c r="E8" s="1266" t="s">
        <v>629</v>
      </c>
      <c r="F8" s="1267"/>
      <c r="G8" s="280" t="str">
        <f>RESUMEN!U37</f>
        <v>Acta N° 3: Marzo</v>
      </c>
    </row>
    <row r="9" spans="1:7" x14ac:dyDescent="0.25">
      <c r="A9" s="271" t="s">
        <v>630</v>
      </c>
      <c r="B9" s="1283" t="s">
        <v>631</v>
      </c>
      <c r="C9" s="1265"/>
      <c r="D9" s="1177"/>
      <c r="E9" s="1266" t="s">
        <v>632</v>
      </c>
      <c r="F9" s="1267"/>
      <c r="G9" s="1178">
        <f>RESUMEN!H37</f>
        <v>54698296</v>
      </c>
    </row>
    <row r="10" spans="1:7" x14ac:dyDescent="0.25">
      <c r="A10" s="271" t="s">
        <v>633</v>
      </c>
      <c r="B10" s="1283" t="str">
        <f>RESUMEN!D37</f>
        <v>GUACA</v>
      </c>
      <c r="C10" s="1265"/>
      <c r="D10" s="1177"/>
      <c r="E10" s="1266" t="s">
        <v>634</v>
      </c>
      <c r="F10" s="1267"/>
      <c r="G10" s="1178">
        <f>RESUMEN!R37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CDIM_CBSGSM_R0071 Reposición de Protecciones, Levantamiento e ingeniería para reposición de protecciones y normalización de tableros de control y protección SSEE LA GUACA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RESUMEN!N37</f>
        <v>0</v>
      </c>
      <c r="F19" s="1248"/>
      <c r="G19" s="1177"/>
    </row>
    <row r="20" spans="1:7" ht="27" customHeight="1" x14ac:dyDescent="0.25">
      <c r="A20" s="1177"/>
      <c r="B20" s="1244" t="s">
        <v>1498</v>
      </c>
      <c r="C20" s="1245"/>
      <c r="D20" s="1246"/>
      <c r="E20" s="1247">
        <f>RESUMEN!P37</f>
        <v>0</v>
      </c>
      <c r="F20" s="1248"/>
      <c r="G20" s="1177"/>
    </row>
    <row r="21" spans="1:7" ht="27" customHeight="1" x14ac:dyDescent="0.25">
      <c r="A21" s="1177"/>
      <c r="B21" s="1244" t="s">
        <v>1499</v>
      </c>
      <c r="C21" s="1245"/>
      <c r="D21" s="1246"/>
      <c r="E21" s="1247">
        <f>RESUMEN!Q37</f>
        <v>0</v>
      </c>
      <c r="F21" s="1248"/>
      <c r="G21" s="1177"/>
    </row>
    <row r="22" spans="1:7" x14ac:dyDescent="0.25">
      <c r="A22" s="1177"/>
      <c r="B22" s="1254" t="s">
        <v>64</v>
      </c>
      <c r="C22" s="1254"/>
      <c r="D22" s="1254"/>
      <c r="E22" s="1255">
        <f>RESUMEN!R37</f>
        <v>0</v>
      </c>
      <c r="F22" s="1255"/>
      <c r="G22" s="1177"/>
    </row>
    <row r="23" spans="1:7" x14ac:dyDescent="0.25">
      <c r="A23" s="1177"/>
      <c r="B23" s="1256" t="s">
        <v>66</v>
      </c>
      <c r="C23" s="1256"/>
      <c r="D23" s="1256"/>
      <c r="E23" s="1257">
        <f>RESUMEN!S37</f>
        <v>0</v>
      </c>
      <c r="F23" s="1257"/>
      <c r="G23" s="1177"/>
    </row>
    <row r="24" spans="1:7" x14ac:dyDescent="0.25">
      <c r="A24" s="1177"/>
      <c r="B24" s="1258" t="s">
        <v>1</v>
      </c>
      <c r="C24" s="1258"/>
      <c r="D24" s="1258"/>
      <c r="E24" s="1259">
        <f>RESUMEN!T37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+'OT17-187 GUACA'!Q51</f>
        <v>ACTA 1</v>
      </c>
      <c r="C28" s="1253">
        <f>+'OT17-187 GUACA'!R51</f>
        <v>24594733</v>
      </c>
      <c r="D28" s="1253"/>
      <c r="E28" s="267">
        <f>+'OT17-187 GUACA'!S51</f>
        <v>0.44964349529279668</v>
      </c>
      <c r="F28" s="1177"/>
      <c r="G28" s="1177"/>
    </row>
    <row r="29" spans="1:7" x14ac:dyDescent="0.25">
      <c r="A29" s="1177"/>
      <c r="B29" s="280" t="str">
        <f>+'OT17-187 GUACA'!Q52</f>
        <v>ACTA 2</v>
      </c>
      <c r="C29" s="1253">
        <f>+'OT17-187 GUACA'!R52</f>
        <v>20231543</v>
      </c>
      <c r="D29" s="1253"/>
      <c r="E29" s="267">
        <f>+'OT17-187 GUACA'!S52</f>
        <v>0.36987519684342635</v>
      </c>
      <c r="F29" s="1177"/>
      <c r="G29" s="1177"/>
    </row>
    <row r="30" spans="1:7" x14ac:dyDescent="0.25">
      <c r="A30" s="1177"/>
      <c r="B30" s="280" t="str">
        <f>+'OT17-187 GUACA'!Q53</f>
        <v>ACTA 3</v>
      </c>
      <c r="C30" s="1253">
        <f>+'OT17-187 GUACA'!R53</f>
        <v>0</v>
      </c>
      <c r="D30" s="1253"/>
      <c r="E30" s="267">
        <f>+'OT17-187 GUACA'!S53</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44826276</v>
      </c>
      <c r="D34" s="1251"/>
      <c r="E34" s="264">
        <f>SUM(E28:E33)</f>
        <v>0.81951869213622297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9">
    <tabColor theme="7"/>
    <pageSetUpPr fitToPage="1"/>
  </sheetPr>
  <dimension ref="A1:V60"/>
  <sheetViews>
    <sheetView topLeftCell="A19" zoomScale="55" zoomScaleNormal="55" zoomScaleSheetLayoutView="50" workbookViewId="0">
      <selection activeCell="D32" sqref="D32"/>
    </sheetView>
  </sheetViews>
  <sheetFormatPr baseColWidth="10" defaultColWidth="11.44140625" defaultRowHeight="14.4" x14ac:dyDescent="0.3"/>
  <cols>
    <col min="1" max="1" width="18.5546875" style="189" customWidth="1"/>
    <col min="2" max="2" width="22.44140625" style="189" customWidth="1"/>
    <col min="3" max="3" width="37.5546875" style="189" customWidth="1"/>
    <col min="4" max="4" width="22.5546875" style="189" customWidth="1"/>
    <col min="5" max="5" width="11.5546875" style="189" bestFit="1" customWidth="1"/>
    <col min="6" max="6" width="17.88671875" style="189" bestFit="1" customWidth="1"/>
    <col min="7" max="7" width="17.88671875" style="796" customWidth="1"/>
    <col min="8" max="8" width="18" style="189" customWidth="1"/>
    <col min="9" max="9" width="18" style="796" customWidth="1"/>
    <col min="10" max="10" width="38"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bestFit="1" customWidth="1"/>
    <col min="18" max="18" width="18" style="189" bestFit="1" customWidth="1"/>
    <col min="19" max="19" width="11.44140625" style="189"/>
    <col min="20" max="21" width="17.88671875" style="189" bestFit="1" customWidth="1"/>
    <col min="22" max="16384" width="11.44140625" style="189"/>
  </cols>
  <sheetData>
    <row r="1" spans="1:22" s="148" customFormat="1" ht="69"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28" t="s">
        <v>710</v>
      </c>
      <c r="U1" s="1303"/>
      <c r="V1" s="1304"/>
    </row>
    <row r="2" spans="1:22"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29" t="s">
        <v>41</v>
      </c>
      <c r="U2" s="1305"/>
      <c r="V2" s="1306"/>
    </row>
    <row r="3" spans="1:22"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148" customFormat="1" ht="12.75" customHeight="1" x14ac:dyDescent="0.3">
      <c r="A7" s="1291" t="s">
        <v>711</v>
      </c>
      <c r="B7" s="1292"/>
      <c r="C7" s="1292"/>
      <c r="D7" s="1292"/>
      <c r="E7" s="1292"/>
      <c r="F7" s="1292"/>
      <c r="G7" s="1292"/>
      <c r="H7" s="1292"/>
      <c r="I7" s="1292"/>
      <c r="J7" s="1292"/>
      <c r="K7" s="1292"/>
      <c r="L7" s="1292"/>
      <c r="M7" s="1292"/>
      <c r="N7" s="1292"/>
      <c r="O7" s="1292"/>
      <c r="P7" s="1292"/>
      <c r="Q7" s="1292"/>
      <c r="R7" s="1292"/>
      <c r="S7" s="1292"/>
      <c r="T7" s="1292"/>
      <c r="U7" s="1292"/>
      <c r="V7" s="1292"/>
    </row>
    <row r="8" spans="1:22" s="148"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s="148" customFormat="1" ht="13.5" customHeight="1" x14ac:dyDescent="0.3">
      <c r="A10" s="1292" t="s">
        <v>712</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148" customFormat="1" ht="13.5" customHeight="1" x14ac:dyDescent="0.3">
      <c r="A11" s="299"/>
      <c r="B11" s="1318"/>
      <c r="C11" s="1320"/>
      <c r="D11" s="1320"/>
      <c r="E11" s="1320"/>
      <c r="F11" s="1320"/>
      <c r="G11" s="1320"/>
      <c r="H11" s="1320"/>
      <c r="I11" s="1320"/>
      <c r="J11" s="1320"/>
      <c r="K11" s="1293" t="s">
        <v>46</v>
      </c>
      <c r="L11" s="1294"/>
      <c r="M11" s="1295"/>
      <c r="N11" s="1293" t="s">
        <v>981</v>
      </c>
      <c r="O11" s="1294"/>
      <c r="P11" s="1295"/>
      <c r="Q11" s="1293" t="s">
        <v>2332</v>
      </c>
      <c r="R11" s="1294"/>
      <c r="S11" s="1295"/>
      <c r="T11" s="1299" t="s">
        <v>49</v>
      </c>
      <c r="U11" s="1299"/>
      <c r="V11" s="1299"/>
    </row>
    <row r="12" spans="1:22" s="148" customFormat="1"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300"/>
      <c r="U12" s="1300"/>
      <c r="V12" s="1300"/>
    </row>
    <row r="13" spans="1:22" ht="28.8" x14ac:dyDescent="0.3">
      <c r="A13" s="209" t="s">
        <v>50</v>
      </c>
      <c r="B13" s="209" t="s">
        <v>51</v>
      </c>
      <c r="C13" s="209" t="s">
        <v>52</v>
      </c>
      <c r="D13" s="209" t="s">
        <v>164</v>
      </c>
      <c r="E13" s="209" t="s">
        <v>54</v>
      </c>
      <c r="F13" s="210" t="s">
        <v>55</v>
      </c>
      <c r="G13" s="821" t="s">
        <v>2007</v>
      </c>
      <c r="H13" s="209" t="s">
        <v>56</v>
      </c>
      <c r="I13" s="822" t="s">
        <v>56</v>
      </c>
      <c r="J13" s="209" t="s">
        <v>57</v>
      </c>
      <c r="K13" s="111" t="s">
        <v>54</v>
      </c>
      <c r="L13" s="111" t="s">
        <v>56</v>
      </c>
      <c r="M13" s="111" t="s">
        <v>58</v>
      </c>
      <c r="N13" s="111" t="s">
        <v>54</v>
      </c>
      <c r="O13" s="111" t="s">
        <v>56</v>
      </c>
      <c r="P13" s="111" t="s">
        <v>58</v>
      </c>
      <c r="Q13" s="111" t="s">
        <v>54</v>
      </c>
      <c r="R13" s="111" t="s">
        <v>56</v>
      </c>
      <c r="S13" s="111" t="s">
        <v>58</v>
      </c>
      <c r="T13" s="174" t="s">
        <v>54</v>
      </c>
      <c r="U13" s="172" t="s">
        <v>56</v>
      </c>
      <c r="V13" s="111" t="s">
        <v>58</v>
      </c>
    </row>
    <row r="14" spans="1:22" ht="28.8" x14ac:dyDescent="0.3">
      <c r="A14" s="1314" t="s">
        <v>227</v>
      </c>
      <c r="B14" s="1314" t="s">
        <v>196</v>
      </c>
      <c r="C14" s="300" t="s">
        <v>83</v>
      </c>
      <c r="D14" s="300" t="s">
        <v>197</v>
      </c>
      <c r="E14" s="300">
        <v>0.7</v>
      </c>
      <c r="F14" s="192">
        <v>1114302</v>
      </c>
      <c r="G14" s="32">
        <f>+ROUND(F14*1.051,0)</f>
        <v>1171131</v>
      </c>
      <c r="H14" s="192">
        <f>ROUND((E14*F14),0)</f>
        <v>780011</v>
      </c>
      <c r="I14" s="32">
        <f>+ROUND(G14*E14,0)</f>
        <v>819792</v>
      </c>
      <c r="J14" s="1314" t="s">
        <v>690</v>
      </c>
      <c r="K14" s="149">
        <v>0</v>
      </c>
      <c r="L14" s="175">
        <f>ROUND(K14*$F$14,0)</f>
        <v>0</v>
      </c>
      <c r="M14" s="176">
        <f>L14/$H$14</f>
        <v>0</v>
      </c>
      <c r="N14" s="303">
        <v>0.7</v>
      </c>
      <c r="O14" s="304">
        <f>ROUND(N14*$F$14,0)</f>
        <v>780011</v>
      </c>
      <c r="P14" s="305">
        <f>O14/$H$14</f>
        <v>1</v>
      </c>
      <c r="Q14" s="432">
        <v>0</v>
      </c>
      <c r="R14" s="425">
        <f>ROUND(Q14*$G$14,0)</f>
        <v>0</v>
      </c>
      <c r="S14" s="426">
        <f>R14/H14</f>
        <v>0</v>
      </c>
      <c r="T14" s="149">
        <f>K14+N14+Q14</f>
        <v>0.7</v>
      </c>
      <c r="U14" s="175">
        <f>L14+O14+R14</f>
        <v>780011</v>
      </c>
      <c r="V14" s="176">
        <f t="shared" ref="V14:V41" si="0">U14/H14</f>
        <v>1</v>
      </c>
    </row>
    <row r="15" spans="1:22" ht="28.8" x14ac:dyDescent="0.3">
      <c r="A15" s="1314"/>
      <c r="B15" s="1314"/>
      <c r="C15" s="300" t="s">
        <v>61</v>
      </c>
      <c r="D15" s="300" t="s">
        <v>198</v>
      </c>
      <c r="E15" s="300">
        <v>0.7</v>
      </c>
      <c r="F15" s="192">
        <v>5501866</v>
      </c>
      <c r="G15" s="32">
        <f>+ROUND(F15*1.051,0)</f>
        <v>5782461</v>
      </c>
      <c r="H15" s="192">
        <f>ROUND((E15*F15),0)</f>
        <v>3851306</v>
      </c>
      <c r="I15" s="32">
        <f>+ROUND(G15*E15,0)</f>
        <v>4047723</v>
      </c>
      <c r="J15" s="1314"/>
      <c r="K15" s="149">
        <v>0</v>
      </c>
      <c r="L15" s="175">
        <f>ROUND(K15*$F$15,0)</f>
        <v>0</v>
      </c>
      <c r="M15" s="176">
        <f>L15/$H$15</f>
        <v>0</v>
      </c>
      <c r="N15" s="303">
        <v>0.7</v>
      </c>
      <c r="O15" s="304">
        <f>ROUND(N15*$F$15,0)</f>
        <v>3851306</v>
      </c>
      <c r="P15" s="305">
        <f>O15/$H$15</f>
        <v>1</v>
      </c>
      <c r="Q15" s="432">
        <v>0</v>
      </c>
      <c r="R15" s="425">
        <f>ROUND(Q15*$G$14,0)</f>
        <v>0</v>
      </c>
      <c r="S15" s="426">
        <f>R15/H15</f>
        <v>0</v>
      </c>
      <c r="T15" s="416">
        <f>K15+N15+Q15</f>
        <v>0.7</v>
      </c>
      <c r="U15" s="175">
        <f>L15+O15+R15</f>
        <v>3851306</v>
      </c>
      <c r="V15" s="176">
        <f t="shared" si="0"/>
        <v>1</v>
      </c>
    </row>
    <row r="16" spans="1:22" x14ac:dyDescent="0.3">
      <c r="A16" s="1314"/>
      <c r="B16" s="1314"/>
      <c r="C16" s="196"/>
      <c r="D16" s="196" t="s">
        <v>199</v>
      </c>
      <c r="E16" s="198"/>
      <c r="F16" s="198"/>
      <c r="G16" s="198"/>
      <c r="H16" s="199">
        <f>SUM(H14:H15)</f>
        <v>4631317</v>
      </c>
      <c r="I16" s="199">
        <f>SUM(I14:I15)</f>
        <v>4867515</v>
      </c>
      <c r="J16" s="1314"/>
      <c r="K16" s="150"/>
      <c r="L16" s="289">
        <f>SUM(L14:L15)</f>
        <v>0</v>
      </c>
      <c r="M16" s="178">
        <f>L16/$H$16</f>
        <v>0</v>
      </c>
      <c r="N16" s="306"/>
      <c r="O16" s="307">
        <f>SUM(O14:O15)</f>
        <v>4631317</v>
      </c>
      <c r="P16" s="308">
        <f>O16/$H$16</f>
        <v>1</v>
      </c>
      <c r="Q16" s="428"/>
      <c r="R16" s="307">
        <f>SUM(R14:R15)</f>
        <v>0</v>
      </c>
      <c r="S16" s="431">
        <f>R16/$H$16</f>
        <v>0</v>
      </c>
      <c r="T16" s="150"/>
      <c r="U16" s="289">
        <f t="shared" ref="U16:U40" si="1">L16+O16+R16</f>
        <v>4631317</v>
      </c>
      <c r="V16" s="178">
        <f t="shared" si="0"/>
        <v>1</v>
      </c>
    </row>
    <row r="17" spans="1:22" ht="28.8" x14ac:dyDescent="0.3">
      <c r="A17" s="1314" t="s">
        <v>227</v>
      </c>
      <c r="B17" s="1315" t="s">
        <v>196</v>
      </c>
      <c r="C17" s="300" t="s">
        <v>83</v>
      </c>
      <c r="D17" s="300" t="s">
        <v>197</v>
      </c>
      <c r="E17" s="300">
        <v>0.7</v>
      </c>
      <c r="F17" s="192">
        <v>1114302</v>
      </c>
      <c r="G17" s="32">
        <f t="shared" ref="G17:G18" si="2">+ROUND(F17*1.051,0)</f>
        <v>1171131</v>
      </c>
      <c r="H17" s="192">
        <f>ROUND((E17*F17),0)</f>
        <v>780011</v>
      </c>
      <c r="I17" s="32">
        <f t="shared" ref="I17:I18" si="3">+ROUND(G17*E17,0)</f>
        <v>819792</v>
      </c>
      <c r="J17" s="1314" t="s">
        <v>691</v>
      </c>
      <c r="K17" s="149">
        <v>0</v>
      </c>
      <c r="L17" s="175">
        <f>ROUND(K17*$F$17,0)</f>
        <v>0</v>
      </c>
      <c r="M17" s="176">
        <f>L17/$H$17</f>
        <v>0</v>
      </c>
      <c r="N17" s="303">
        <v>0.7</v>
      </c>
      <c r="O17" s="304">
        <f>ROUND(N17*$F$17,0)</f>
        <v>780011</v>
      </c>
      <c r="P17" s="305">
        <f>O17/$H$17</f>
        <v>1</v>
      </c>
      <c r="Q17" s="432">
        <v>0</v>
      </c>
      <c r="R17" s="425">
        <f>ROUND(Q17*$G$14,0)</f>
        <v>0</v>
      </c>
      <c r="S17" s="426">
        <f>R17/H17</f>
        <v>0</v>
      </c>
      <c r="T17" s="416">
        <f>K17+N17+Q17</f>
        <v>0.7</v>
      </c>
      <c r="U17" s="175">
        <f t="shared" si="1"/>
        <v>780011</v>
      </c>
      <c r="V17" s="176">
        <f t="shared" si="0"/>
        <v>1</v>
      </c>
    </row>
    <row r="18" spans="1:22" ht="28.8" x14ac:dyDescent="0.3">
      <c r="A18" s="1314"/>
      <c r="B18" s="1314"/>
      <c r="C18" s="300" t="s">
        <v>61</v>
      </c>
      <c r="D18" s="300" t="s">
        <v>198</v>
      </c>
      <c r="E18" s="300">
        <v>0.7</v>
      </c>
      <c r="F18" s="192">
        <v>5501866</v>
      </c>
      <c r="G18" s="32">
        <f t="shared" si="2"/>
        <v>5782461</v>
      </c>
      <c r="H18" s="192">
        <f>ROUND((E18*F18),0)</f>
        <v>3851306</v>
      </c>
      <c r="I18" s="32">
        <f t="shared" si="3"/>
        <v>4047723</v>
      </c>
      <c r="J18" s="1314"/>
      <c r="K18" s="149">
        <v>0</v>
      </c>
      <c r="L18" s="175">
        <f>ROUND(K18*$F$18,0)</f>
        <v>0</v>
      </c>
      <c r="M18" s="176">
        <f>L18/$H$18</f>
        <v>0</v>
      </c>
      <c r="N18" s="303">
        <v>0.7</v>
      </c>
      <c r="O18" s="304">
        <f>ROUND(N18*$F$18,0)</f>
        <v>3851306</v>
      </c>
      <c r="P18" s="305">
        <f>O18/$H$18</f>
        <v>1</v>
      </c>
      <c r="Q18" s="432">
        <v>0</v>
      </c>
      <c r="R18" s="425">
        <f>ROUND(Q18*$G$14,0)</f>
        <v>0</v>
      </c>
      <c r="S18" s="426">
        <f>R18/H18</f>
        <v>0</v>
      </c>
      <c r="T18" s="416">
        <f>K18+N18+Q18</f>
        <v>0.7</v>
      </c>
      <c r="U18" s="175">
        <f t="shared" si="1"/>
        <v>3851306</v>
      </c>
      <c r="V18" s="176">
        <f t="shared" si="0"/>
        <v>1</v>
      </c>
    </row>
    <row r="19" spans="1:22" x14ac:dyDescent="0.3">
      <c r="A19" s="1314"/>
      <c r="B19" s="1314"/>
      <c r="C19" s="196"/>
      <c r="D19" s="196" t="s">
        <v>199</v>
      </c>
      <c r="E19" s="198"/>
      <c r="F19" s="198"/>
      <c r="G19" s="198"/>
      <c r="H19" s="199">
        <f>SUM(H17:H18)</f>
        <v>4631317</v>
      </c>
      <c r="I19" s="199">
        <f>SUM(I17:I18)</f>
        <v>4867515</v>
      </c>
      <c r="J19" s="1314"/>
      <c r="K19" s="150"/>
      <c r="L19" s="289">
        <f>SUM(L17:L18)</f>
        <v>0</v>
      </c>
      <c r="M19" s="178">
        <f>L19/$H$19</f>
        <v>0</v>
      </c>
      <c r="N19" s="306"/>
      <c r="O19" s="307">
        <f>SUM(O17:O18)</f>
        <v>4631317</v>
      </c>
      <c r="P19" s="308">
        <f>O19/$H$19</f>
        <v>1</v>
      </c>
      <c r="Q19" s="428"/>
      <c r="R19" s="307">
        <f>SUM(R17:R18)</f>
        <v>0</v>
      </c>
      <c r="S19" s="431">
        <f>R19/$H$19</f>
        <v>0</v>
      </c>
      <c r="T19" s="150"/>
      <c r="U19" s="307">
        <f t="shared" si="1"/>
        <v>4631317</v>
      </c>
      <c r="V19" s="178">
        <f t="shared" si="0"/>
        <v>1</v>
      </c>
    </row>
    <row r="20" spans="1:22" ht="28.8" x14ac:dyDescent="0.3">
      <c r="A20" s="1314" t="s">
        <v>227</v>
      </c>
      <c r="B20" s="1315" t="s">
        <v>692</v>
      </c>
      <c r="C20" s="300" t="s">
        <v>83</v>
      </c>
      <c r="D20" s="300" t="s">
        <v>693</v>
      </c>
      <c r="E20" s="300">
        <v>0.7</v>
      </c>
      <c r="F20" s="192">
        <v>1323233</v>
      </c>
      <c r="G20" s="32">
        <f t="shared" ref="G20:G21" si="4">+ROUND(F20*1.051,0)</f>
        <v>1390718</v>
      </c>
      <c r="H20" s="192">
        <f>ROUND((E20*F20),0)</f>
        <v>926263</v>
      </c>
      <c r="I20" s="32">
        <f t="shared" ref="I20:I21" si="5">+ROUND(G20*E20,0)</f>
        <v>973503</v>
      </c>
      <c r="J20" s="1314" t="s">
        <v>694</v>
      </c>
      <c r="K20" s="149">
        <v>0</v>
      </c>
      <c r="L20" s="175">
        <f>ROUND(K20*$F$20,0)</f>
        <v>0</v>
      </c>
      <c r="M20" s="176">
        <f>L20/$H$20</f>
        <v>0</v>
      </c>
      <c r="N20" s="303">
        <v>0.7</v>
      </c>
      <c r="O20" s="304">
        <f>ROUND(N20*$F$20,0)</f>
        <v>926263</v>
      </c>
      <c r="P20" s="305">
        <f>O20/$H$20</f>
        <v>1</v>
      </c>
      <c r="Q20" s="432">
        <v>0</v>
      </c>
      <c r="R20" s="425">
        <f>ROUND(Q20*$G$14,0)</f>
        <v>0</v>
      </c>
      <c r="S20" s="426">
        <f>R20/H20</f>
        <v>0</v>
      </c>
      <c r="T20" s="416">
        <f>K20+N20+Q20</f>
        <v>0.7</v>
      </c>
      <c r="U20" s="175">
        <f t="shared" si="1"/>
        <v>926263</v>
      </c>
      <c r="V20" s="176">
        <f t="shared" si="0"/>
        <v>1</v>
      </c>
    </row>
    <row r="21" spans="1:22" ht="28.8" x14ac:dyDescent="0.3">
      <c r="A21" s="1314"/>
      <c r="B21" s="1314"/>
      <c r="C21" s="300" t="s">
        <v>61</v>
      </c>
      <c r="D21" s="300" t="s">
        <v>695</v>
      </c>
      <c r="E21" s="300">
        <v>0.7</v>
      </c>
      <c r="F21" s="192">
        <v>10516225</v>
      </c>
      <c r="G21" s="32">
        <f t="shared" si="4"/>
        <v>11052552</v>
      </c>
      <c r="H21" s="192">
        <f>ROUND((E21*F21),0)</f>
        <v>7361358</v>
      </c>
      <c r="I21" s="32">
        <f t="shared" si="5"/>
        <v>7736786</v>
      </c>
      <c r="J21" s="1314"/>
      <c r="K21" s="149">
        <v>0</v>
      </c>
      <c r="L21" s="175">
        <f>ROUND(K21*$F$21,0)</f>
        <v>0</v>
      </c>
      <c r="M21" s="176">
        <f>L21/$H$21</f>
        <v>0</v>
      </c>
      <c r="N21" s="303">
        <v>0.7</v>
      </c>
      <c r="O21" s="304">
        <f>ROUND(N21*$F$21,0)</f>
        <v>7361358</v>
      </c>
      <c r="P21" s="305">
        <f>O21/$H$21</f>
        <v>1</v>
      </c>
      <c r="Q21" s="432">
        <v>0</v>
      </c>
      <c r="R21" s="425">
        <f>ROUND(Q21*$G$14,0)</f>
        <v>0</v>
      </c>
      <c r="S21" s="426">
        <f>R21/H21</f>
        <v>0</v>
      </c>
      <c r="T21" s="416">
        <f>K21+N21+Q21</f>
        <v>0.7</v>
      </c>
      <c r="U21" s="175">
        <f t="shared" si="1"/>
        <v>7361358</v>
      </c>
      <c r="V21" s="176">
        <f t="shared" si="0"/>
        <v>1</v>
      </c>
    </row>
    <row r="22" spans="1:22" x14ac:dyDescent="0.3">
      <c r="A22" s="1314"/>
      <c r="B22" s="1314"/>
      <c r="C22" s="196"/>
      <c r="D22" s="196" t="s">
        <v>696</v>
      </c>
      <c r="E22" s="198"/>
      <c r="F22" s="198"/>
      <c r="G22" s="198"/>
      <c r="H22" s="199">
        <f>SUM(H20:H21)</f>
        <v>8287621</v>
      </c>
      <c r="I22" s="199">
        <f>SUM(I20:I21)</f>
        <v>8710289</v>
      </c>
      <c r="J22" s="1314"/>
      <c r="K22" s="150"/>
      <c r="L22" s="289">
        <f>SUM(L20:L21)</f>
        <v>0</v>
      </c>
      <c r="M22" s="178">
        <f>L22/$H$22</f>
        <v>0</v>
      </c>
      <c r="N22" s="306"/>
      <c r="O22" s="307">
        <f>SUM(O20:O21)</f>
        <v>8287621</v>
      </c>
      <c r="P22" s="308">
        <f>O22/$H$22</f>
        <v>1</v>
      </c>
      <c r="Q22" s="428"/>
      <c r="R22" s="307">
        <f>SUM(R20:R21)</f>
        <v>0</v>
      </c>
      <c r="S22" s="431">
        <f>R22/$H$22</f>
        <v>0</v>
      </c>
      <c r="T22" s="150"/>
      <c r="U22" s="307">
        <f t="shared" si="1"/>
        <v>8287621</v>
      </c>
      <c r="V22" s="178">
        <f t="shared" si="0"/>
        <v>1</v>
      </c>
    </row>
    <row r="23" spans="1:22" ht="28.8" x14ac:dyDescent="0.3">
      <c r="A23" s="1314" t="s">
        <v>697</v>
      </c>
      <c r="B23" s="1315" t="s">
        <v>686</v>
      </c>
      <c r="C23" s="300" t="s">
        <v>83</v>
      </c>
      <c r="D23" s="300" t="s">
        <v>687</v>
      </c>
      <c r="E23" s="300">
        <v>0.7</v>
      </c>
      <c r="F23" s="192">
        <v>2228604</v>
      </c>
      <c r="G23" s="32">
        <f t="shared" ref="G23:G24" si="6">+ROUND(F23*1.051,0)</f>
        <v>2342263</v>
      </c>
      <c r="H23" s="192">
        <f>ROUND((E23*F23),0)</f>
        <v>1560023</v>
      </c>
      <c r="I23" s="32">
        <f t="shared" ref="I23:I24" si="7">+ROUND(G23*E23,0)</f>
        <v>1639584</v>
      </c>
      <c r="J23" s="1314" t="s">
        <v>698</v>
      </c>
      <c r="K23" s="149">
        <v>0</v>
      </c>
      <c r="L23" s="175">
        <f>ROUND(K23*$F$23,0)</f>
        <v>0</v>
      </c>
      <c r="M23" s="176">
        <f>L23/$H$23</f>
        <v>0</v>
      </c>
      <c r="N23" s="149">
        <v>0</v>
      </c>
      <c r="O23" s="175">
        <f>ROUND(N23*$F$23,0)</f>
        <v>0</v>
      </c>
      <c r="P23" s="176">
        <f>O23/$H$23</f>
        <v>0</v>
      </c>
      <c r="Q23" s="432">
        <v>0</v>
      </c>
      <c r="R23" s="425">
        <f>ROUND(Q23*$G$14,0)</f>
        <v>0</v>
      </c>
      <c r="S23" s="426">
        <f>R23/H23</f>
        <v>0</v>
      </c>
      <c r="T23" s="416">
        <f>K23+N23+Q23</f>
        <v>0</v>
      </c>
      <c r="U23" s="175">
        <f t="shared" si="1"/>
        <v>0</v>
      </c>
      <c r="V23" s="176">
        <f t="shared" si="0"/>
        <v>0</v>
      </c>
    </row>
    <row r="24" spans="1:22" ht="28.8" x14ac:dyDescent="0.3">
      <c r="A24" s="1314"/>
      <c r="B24" s="1314"/>
      <c r="C24" s="300" t="s">
        <v>61</v>
      </c>
      <c r="D24" s="300" t="s">
        <v>688</v>
      </c>
      <c r="E24" s="300">
        <v>0.7</v>
      </c>
      <c r="F24" s="192">
        <v>11874281</v>
      </c>
      <c r="G24" s="32">
        <f t="shared" si="6"/>
        <v>12479869</v>
      </c>
      <c r="H24" s="192">
        <f>ROUND((E24*F24),0)</f>
        <v>8311997</v>
      </c>
      <c r="I24" s="32">
        <f t="shared" si="7"/>
        <v>8735908</v>
      </c>
      <c r="J24" s="1314"/>
      <c r="K24" s="149">
        <v>0</v>
      </c>
      <c r="L24" s="175">
        <f>ROUND(K24*$F$24,0)</f>
        <v>0</v>
      </c>
      <c r="M24" s="176">
        <f>L24/$H$24</f>
        <v>0</v>
      </c>
      <c r="N24" s="149">
        <v>0</v>
      </c>
      <c r="O24" s="175">
        <f>ROUND(N24*$F$24,0)</f>
        <v>0</v>
      </c>
      <c r="P24" s="176">
        <f>O24/$H$24</f>
        <v>0</v>
      </c>
      <c r="Q24" s="432">
        <v>0</v>
      </c>
      <c r="R24" s="425">
        <f>ROUND(Q24*$G$14,0)</f>
        <v>0</v>
      </c>
      <c r="S24" s="426">
        <f>R24/H24</f>
        <v>0</v>
      </c>
      <c r="T24" s="416">
        <f>K24+N24+Q24</f>
        <v>0</v>
      </c>
      <c r="U24" s="175">
        <f t="shared" si="1"/>
        <v>0</v>
      </c>
      <c r="V24" s="176">
        <f t="shared" si="0"/>
        <v>0</v>
      </c>
    </row>
    <row r="25" spans="1:22" x14ac:dyDescent="0.3">
      <c r="A25" s="1314"/>
      <c r="B25" s="1314"/>
      <c r="C25" s="196"/>
      <c r="D25" s="196" t="s">
        <v>689</v>
      </c>
      <c r="E25" s="198"/>
      <c r="F25" s="198"/>
      <c r="G25" s="198"/>
      <c r="H25" s="199">
        <f>SUM(H23:H24)</f>
        <v>9872020</v>
      </c>
      <c r="I25" s="199">
        <f>SUM(I23:I24)</f>
        <v>10375492</v>
      </c>
      <c r="J25" s="1314"/>
      <c r="K25" s="341"/>
      <c r="L25" s="342">
        <f>SUM(L23:L24)</f>
        <v>0</v>
      </c>
      <c r="M25" s="343">
        <f>L25/$H$25</f>
        <v>0</v>
      </c>
      <c r="N25" s="306"/>
      <c r="O25" s="307">
        <f>SUM(O23:O24)</f>
        <v>0</v>
      </c>
      <c r="P25" s="308">
        <f>O25/$H$25</f>
        <v>0</v>
      </c>
      <c r="Q25" s="428"/>
      <c r="R25" s="307">
        <f>SUM(R23:R24)</f>
        <v>0</v>
      </c>
      <c r="S25" s="431">
        <f>R25/$H$25</f>
        <v>0</v>
      </c>
      <c r="T25" s="150"/>
      <c r="U25" s="307">
        <f t="shared" si="1"/>
        <v>0</v>
      </c>
      <c r="V25" s="178">
        <f t="shared" si="0"/>
        <v>0</v>
      </c>
    </row>
    <row r="26" spans="1:22" ht="28.8" x14ac:dyDescent="0.3">
      <c r="A26" s="1314" t="s">
        <v>699</v>
      </c>
      <c r="B26" s="1315" t="s">
        <v>700</v>
      </c>
      <c r="C26" s="300" t="s">
        <v>83</v>
      </c>
      <c r="D26" s="300" t="s">
        <v>701</v>
      </c>
      <c r="E26" s="300">
        <v>0.7</v>
      </c>
      <c r="F26" s="192">
        <v>1323233</v>
      </c>
      <c r="G26" s="32">
        <f t="shared" ref="G26:G27" si="8">+ROUND(F26*1.051,0)</f>
        <v>1390718</v>
      </c>
      <c r="H26" s="192">
        <f>ROUND((E26*F26),0)</f>
        <v>926263</v>
      </c>
      <c r="I26" s="32">
        <f t="shared" ref="I26:I27" si="9">+ROUND(G26*E26,0)</f>
        <v>973503</v>
      </c>
      <c r="J26" s="1452" t="s">
        <v>702</v>
      </c>
      <c r="K26" s="303">
        <v>0.7</v>
      </c>
      <c r="L26" s="304">
        <f>ROUND(K26*$F$26,0)</f>
        <v>926263</v>
      </c>
      <c r="M26" s="305">
        <f>L26/$H$26</f>
        <v>1</v>
      </c>
      <c r="N26" s="149">
        <v>0</v>
      </c>
      <c r="O26" s="175">
        <f>ROUND(N26*$F$26,0)</f>
        <v>0</v>
      </c>
      <c r="P26" s="176">
        <f>O26/$H$26</f>
        <v>0</v>
      </c>
      <c r="Q26" s="432">
        <v>0</v>
      </c>
      <c r="R26" s="425">
        <f>ROUND(Q26*$G$14,0)</f>
        <v>0</v>
      </c>
      <c r="S26" s="426">
        <f>R26/H26</f>
        <v>0</v>
      </c>
      <c r="T26" s="416">
        <f>K26+N26+Q26</f>
        <v>0.7</v>
      </c>
      <c r="U26" s="175">
        <f t="shared" si="1"/>
        <v>926263</v>
      </c>
      <c r="V26" s="176">
        <f t="shared" si="0"/>
        <v>1</v>
      </c>
    </row>
    <row r="27" spans="1:22" ht="28.8" x14ac:dyDescent="0.3">
      <c r="A27" s="1314"/>
      <c r="B27" s="1314"/>
      <c r="C27" s="300" t="s">
        <v>61</v>
      </c>
      <c r="D27" s="300" t="s">
        <v>703</v>
      </c>
      <c r="E27" s="300">
        <v>0.7</v>
      </c>
      <c r="F27" s="192">
        <v>7347429</v>
      </c>
      <c r="G27" s="32">
        <f t="shared" si="8"/>
        <v>7722148</v>
      </c>
      <c r="H27" s="192">
        <f>ROUND((E27*F27),0)</f>
        <v>5143200</v>
      </c>
      <c r="I27" s="32">
        <f t="shared" si="9"/>
        <v>5405504</v>
      </c>
      <c r="J27" s="1452"/>
      <c r="K27" s="303">
        <v>0.7</v>
      </c>
      <c r="L27" s="304">
        <f>ROUND(K27*$F$27,0)</f>
        <v>5143200</v>
      </c>
      <c r="M27" s="305">
        <f>L27/$H$27</f>
        <v>1</v>
      </c>
      <c r="N27" s="149">
        <v>0</v>
      </c>
      <c r="O27" s="175">
        <f>ROUND(N27*$F$27,0)</f>
        <v>0</v>
      </c>
      <c r="P27" s="176">
        <f>O27/$H$27</f>
        <v>0</v>
      </c>
      <c r="Q27" s="432">
        <v>0</v>
      </c>
      <c r="R27" s="425">
        <f>ROUND(Q27*$G$14,0)</f>
        <v>0</v>
      </c>
      <c r="S27" s="426">
        <f>R27/H27</f>
        <v>0</v>
      </c>
      <c r="T27" s="416">
        <f>K27+N27+Q27</f>
        <v>0.7</v>
      </c>
      <c r="U27" s="175">
        <f t="shared" si="1"/>
        <v>5143200</v>
      </c>
      <c r="V27" s="176">
        <f t="shared" si="0"/>
        <v>1</v>
      </c>
    </row>
    <row r="28" spans="1:22" x14ac:dyDescent="0.3">
      <c r="A28" s="1314"/>
      <c r="B28" s="1314"/>
      <c r="C28" s="196"/>
      <c r="D28" s="196" t="s">
        <v>704</v>
      </c>
      <c r="E28" s="198"/>
      <c r="F28" s="198"/>
      <c r="G28" s="198"/>
      <c r="H28" s="199">
        <f>SUM(H26:H27)</f>
        <v>6069463</v>
      </c>
      <c r="I28" s="199">
        <f>SUM(I26:I27)</f>
        <v>6379007</v>
      </c>
      <c r="J28" s="1452"/>
      <c r="K28" s="306"/>
      <c r="L28" s="307">
        <f>SUM(L26:L27)</f>
        <v>6069463</v>
      </c>
      <c r="M28" s="308">
        <f>L28/$H$28</f>
        <v>1</v>
      </c>
      <c r="N28" s="306"/>
      <c r="O28" s="307">
        <f>SUM(O26:O27)</f>
        <v>0</v>
      </c>
      <c r="P28" s="308">
        <f>O28/$H$28</f>
        <v>0</v>
      </c>
      <c r="Q28" s="428"/>
      <c r="R28" s="307">
        <f>SUM(R26:R27)</f>
        <v>0</v>
      </c>
      <c r="S28" s="431">
        <f>R28/$H$28</f>
        <v>0</v>
      </c>
      <c r="T28" s="297"/>
      <c r="U28" s="307">
        <f t="shared" si="1"/>
        <v>6069463</v>
      </c>
      <c r="V28" s="178">
        <f t="shared" si="0"/>
        <v>1</v>
      </c>
    </row>
    <row r="29" spans="1:22" ht="28.8" x14ac:dyDescent="0.3">
      <c r="A29" s="1314" t="s">
        <v>705</v>
      </c>
      <c r="B29" s="1314" t="s">
        <v>222</v>
      </c>
      <c r="C29" s="300" t="s">
        <v>83</v>
      </c>
      <c r="D29" s="300" t="s">
        <v>223</v>
      </c>
      <c r="E29" s="300">
        <v>0.7</v>
      </c>
      <c r="F29" s="192">
        <v>1915206</v>
      </c>
      <c r="G29" s="32">
        <f t="shared" ref="G29:G30" si="10">+ROUND(F29*1.051,0)</f>
        <v>2012882</v>
      </c>
      <c r="H29" s="192">
        <f>ROUND((E29*F29),0)</f>
        <v>1340644</v>
      </c>
      <c r="I29" s="32">
        <f t="shared" ref="I29:I30" si="11">+ROUND(G29*E29,0)</f>
        <v>1409017</v>
      </c>
      <c r="J29" s="1452" t="s">
        <v>706</v>
      </c>
      <c r="K29" s="149">
        <v>0</v>
      </c>
      <c r="L29" s="175">
        <f>ROUND(K29*$F$29,0)</f>
        <v>0</v>
      </c>
      <c r="M29" s="176">
        <f>L29/$H$29</f>
        <v>0</v>
      </c>
      <c r="N29" s="303">
        <v>0.7</v>
      </c>
      <c r="O29" s="304">
        <f>ROUND(N29*$F$29,0)</f>
        <v>1340644</v>
      </c>
      <c r="P29" s="305">
        <f>O29/$H$29</f>
        <v>1</v>
      </c>
      <c r="Q29" s="432">
        <v>0</v>
      </c>
      <c r="R29" s="425">
        <f>ROUND(Q29*$G$14,0)</f>
        <v>0</v>
      </c>
      <c r="S29" s="426">
        <f>R29/H29</f>
        <v>0</v>
      </c>
      <c r="T29" s="416">
        <f>K29+N29+Q29</f>
        <v>0.7</v>
      </c>
      <c r="U29" s="175">
        <f t="shared" si="1"/>
        <v>1340644</v>
      </c>
      <c r="V29" s="176">
        <f t="shared" si="0"/>
        <v>1</v>
      </c>
    </row>
    <row r="30" spans="1:22" ht="28.8" x14ac:dyDescent="0.3">
      <c r="A30" s="1314"/>
      <c r="B30" s="1314"/>
      <c r="C30" s="300" t="s">
        <v>61</v>
      </c>
      <c r="D30" s="300" t="s">
        <v>224</v>
      </c>
      <c r="E30" s="300">
        <v>0.35</v>
      </c>
      <c r="F30" s="192">
        <v>9123348</v>
      </c>
      <c r="G30" s="32">
        <f t="shared" si="10"/>
        <v>9588639</v>
      </c>
      <c r="H30" s="192">
        <f>ROUND((E30*F30),0)</f>
        <v>3193172</v>
      </c>
      <c r="I30" s="32">
        <f t="shared" si="11"/>
        <v>3356024</v>
      </c>
      <c r="J30" s="1452"/>
      <c r="K30" s="303">
        <v>0.35</v>
      </c>
      <c r="L30" s="304">
        <f>ROUND(K30*$F$30,0)</f>
        <v>3193172</v>
      </c>
      <c r="M30" s="305">
        <f>L30/$H$30</f>
        <v>1</v>
      </c>
      <c r="N30" s="149">
        <v>0</v>
      </c>
      <c r="O30" s="175">
        <f>ROUND(N30*$F$30,0)</f>
        <v>0</v>
      </c>
      <c r="P30" s="176">
        <f>O30/$H$30</f>
        <v>0</v>
      </c>
      <c r="Q30" s="432">
        <v>0</v>
      </c>
      <c r="R30" s="425">
        <f>ROUND(Q30*$G$14,0)</f>
        <v>0</v>
      </c>
      <c r="S30" s="426">
        <f>R30/H30</f>
        <v>0</v>
      </c>
      <c r="T30" s="416">
        <f>K30+N30+Q30</f>
        <v>0.35</v>
      </c>
      <c r="U30" s="175">
        <f t="shared" si="1"/>
        <v>3193172</v>
      </c>
      <c r="V30" s="176">
        <f t="shared" si="0"/>
        <v>1</v>
      </c>
    </row>
    <row r="31" spans="1:22" x14ac:dyDescent="0.3">
      <c r="A31" s="1314"/>
      <c r="B31" s="1314"/>
      <c r="C31" s="196"/>
      <c r="D31" s="196" t="s">
        <v>225</v>
      </c>
      <c r="E31" s="198"/>
      <c r="F31" s="198"/>
      <c r="G31" s="198"/>
      <c r="H31" s="199">
        <f>SUM(H29:H30)</f>
        <v>4533816</v>
      </c>
      <c r="I31" s="199">
        <f>SUM(I29:I30)</f>
        <v>4765041</v>
      </c>
      <c r="J31" s="1452"/>
      <c r="K31" s="306"/>
      <c r="L31" s="307">
        <f>SUM(L29:L30)</f>
        <v>3193172</v>
      </c>
      <c r="M31" s="308">
        <f>L31/$H$31</f>
        <v>0.704301189108689</v>
      </c>
      <c r="N31" s="306"/>
      <c r="O31" s="307">
        <f>SUM(O29:O30)</f>
        <v>1340644</v>
      </c>
      <c r="P31" s="308">
        <f>O31/$H$31</f>
        <v>0.295698810891311</v>
      </c>
      <c r="Q31" s="428"/>
      <c r="R31" s="307">
        <f>SUM(R29:R30)</f>
        <v>0</v>
      </c>
      <c r="S31" s="431">
        <f>R31/$H$31</f>
        <v>0</v>
      </c>
      <c r="T31" s="297"/>
      <c r="U31" s="307">
        <f t="shared" si="1"/>
        <v>4533816</v>
      </c>
      <c r="V31" s="178">
        <f t="shared" si="0"/>
        <v>1</v>
      </c>
    </row>
    <row r="32" spans="1:22" ht="28.8" x14ac:dyDescent="0.3">
      <c r="A32" s="1315" t="s">
        <v>705</v>
      </c>
      <c r="B32" s="1315" t="s">
        <v>700</v>
      </c>
      <c r="C32" s="300" t="s">
        <v>83</v>
      </c>
      <c r="D32" s="300" t="s">
        <v>701</v>
      </c>
      <c r="E32" s="300">
        <v>0.7</v>
      </c>
      <c r="F32" s="192">
        <v>1323233</v>
      </c>
      <c r="G32" s="32">
        <f>+ROUND(F32*1.051,0)</f>
        <v>1390718</v>
      </c>
      <c r="H32" s="192">
        <f>ROUND((E32*F32),0)</f>
        <v>926263</v>
      </c>
      <c r="I32" s="32">
        <f t="shared" ref="I32:I33" si="12">+ROUND(G32*E32,0)</f>
        <v>973503</v>
      </c>
      <c r="J32" s="1452" t="s">
        <v>707</v>
      </c>
      <c r="K32" s="303">
        <v>0.7</v>
      </c>
      <c r="L32" s="304">
        <f>ROUND(K32*$F$32,0)</f>
        <v>926263</v>
      </c>
      <c r="M32" s="305">
        <f>L32/$H$32</f>
        <v>1</v>
      </c>
      <c r="N32" s="149">
        <v>0</v>
      </c>
      <c r="O32" s="175">
        <f>ROUND(N32*$F$32,0)</f>
        <v>0</v>
      </c>
      <c r="P32" s="176">
        <f>O32/$H$32</f>
        <v>0</v>
      </c>
      <c r="Q32" s="432">
        <v>0</v>
      </c>
      <c r="R32" s="425">
        <f>ROUND(Q32*$G$14,0)</f>
        <v>0</v>
      </c>
      <c r="S32" s="426">
        <f>R32/H32</f>
        <v>0</v>
      </c>
      <c r="T32" s="416">
        <f>K32+N32+Q32</f>
        <v>0.7</v>
      </c>
      <c r="U32" s="175">
        <f t="shared" si="1"/>
        <v>926263</v>
      </c>
      <c r="V32" s="176">
        <f t="shared" si="0"/>
        <v>1</v>
      </c>
    </row>
    <row r="33" spans="1:22" ht="28.8" x14ac:dyDescent="0.3">
      <c r="A33" s="1314"/>
      <c r="B33" s="1314"/>
      <c r="C33" s="300" t="s">
        <v>61</v>
      </c>
      <c r="D33" s="300" t="s">
        <v>703</v>
      </c>
      <c r="E33" s="300">
        <v>0.7</v>
      </c>
      <c r="F33" s="192">
        <v>7347429</v>
      </c>
      <c r="G33" s="32">
        <f>+ROUND(F33*1.051,0)</f>
        <v>7722148</v>
      </c>
      <c r="H33" s="192">
        <f>ROUND((E33*F33),0)</f>
        <v>5143200</v>
      </c>
      <c r="I33" s="32">
        <f t="shared" si="12"/>
        <v>5405504</v>
      </c>
      <c r="J33" s="1452"/>
      <c r="K33" s="303">
        <v>0.7</v>
      </c>
      <c r="L33" s="304">
        <f>ROUND(K33*$F$33,0)</f>
        <v>5143200</v>
      </c>
      <c r="M33" s="305">
        <f>L33/$H$33</f>
        <v>1</v>
      </c>
      <c r="N33" s="149">
        <v>0</v>
      </c>
      <c r="O33" s="175">
        <f>ROUND(N33*$F$33,0)</f>
        <v>0</v>
      </c>
      <c r="P33" s="176">
        <f>O33/$H$33</f>
        <v>0</v>
      </c>
      <c r="Q33" s="432">
        <v>0</v>
      </c>
      <c r="R33" s="425">
        <f>ROUND(Q33*$G$14,0)</f>
        <v>0</v>
      </c>
      <c r="S33" s="426">
        <f>R33/H33</f>
        <v>0</v>
      </c>
      <c r="T33" s="416">
        <f>K33+N33+Q33</f>
        <v>0.7</v>
      </c>
      <c r="U33" s="175">
        <f t="shared" si="1"/>
        <v>5143200</v>
      </c>
      <c r="V33" s="176">
        <f t="shared" si="0"/>
        <v>1</v>
      </c>
    </row>
    <row r="34" spans="1:22" x14ac:dyDescent="0.3">
      <c r="A34" s="1314"/>
      <c r="B34" s="1314"/>
      <c r="C34" s="196"/>
      <c r="D34" s="196" t="s">
        <v>704</v>
      </c>
      <c r="E34" s="198"/>
      <c r="F34" s="198"/>
      <c r="G34" s="198"/>
      <c r="H34" s="199">
        <f>SUM(H32:H33)</f>
        <v>6069463</v>
      </c>
      <c r="I34" s="199">
        <f>SUM(I32:I33)</f>
        <v>6379007</v>
      </c>
      <c r="J34" s="1452"/>
      <c r="K34" s="306"/>
      <c r="L34" s="307">
        <f>SUM(L32:L33)</f>
        <v>6069463</v>
      </c>
      <c r="M34" s="308">
        <f>L34/$H$34</f>
        <v>1</v>
      </c>
      <c r="N34" s="306"/>
      <c r="O34" s="307">
        <f>SUM(O32:O33)</f>
        <v>0</v>
      </c>
      <c r="P34" s="308">
        <f>O34/$H$34</f>
        <v>0</v>
      </c>
      <c r="Q34" s="428"/>
      <c r="R34" s="307">
        <f>SUM(R32:R33)</f>
        <v>0</v>
      </c>
      <c r="S34" s="431">
        <f>R34/$H$34</f>
        <v>0</v>
      </c>
      <c r="T34" s="297"/>
      <c r="U34" s="307">
        <f t="shared" si="1"/>
        <v>6069463</v>
      </c>
      <c r="V34" s="178">
        <f t="shared" si="0"/>
        <v>1</v>
      </c>
    </row>
    <row r="35" spans="1:22" ht="28.8" x14ac:dyDescent="0.3">
      <c r="A35" s="1315" t="s">
        <v>708</v>
      </c>
      <c r="B35" s="1314" t="s">
        <v>222</v>
      </c>
      <c r="C35" s="300" t="s">
        <v>83</v>
      </c>
      <c r="D35" s="300" t="s">
        <v>223</v>
      </c>
      <c r="E35" s="300">
        <v>0.7</v>
      </c>
      <c r="F35" s="192">
        <v>1915206</v>
      </c>
      <c r="G35" s="32">
        <f t="shared" ref="G35:G36" si="13">+ROUND(F35*1.051,0)</f>
        <v>2012882</v>
      </c>
      <c r="H35" s="192">
        <f>ROUND((E35*F35),0)</f>
        <v>1340644</v>
      </c>
      <c r="I35" s="32">
        <f t="shared" ref="I35:I36" si="14">+ROUND(G35*E35,0)</f>
        <v>1409017</v>
      </c>
      <c r="J35" s="1452" t="s">
        <v>706</v>
      </c>
      <c r="K35" s="149">
        <v>0</v>
      </c>
      <c r="L35" s="175">
        <f>ROUND(K35*$F$35,0)</f>
        <v>0</v>
      </c>
      <c r="M35" s="176">
        <f>L35/$H$35</f>
        <v>0</v>
      </c>
      <c r="N35" s="303">
        <v>0.7</v>
      </c>
      <c r="O35" s="304">
        <f>ROUND(N35*$F$35,0)</f>
        <v>1340644</v>
      </c>
      <c r="P35" s="305">
        <f>O35/$H$35</f>
        <v>1</v>
      </c>
      <c r="Q35" s="432">
        <v>0</v>
      </c>
      <c r="R35" s="425">
        <f>ROUND(Q35*$G$14,0)</f>
        <v>0</v>
      </c>
      <c r="S35" s="426">
        <f>R35/H35</f>
        <v>0</v>
      </c>
      <c r="T35" s="416">
        <f>K35+N35+Q35</f>
        <v>0.7</v>
      </c>
      <c r="U35" s="175">
        <f t="shared" si="1"/>
        <v>1340644</v>
      </c>
      <c r="V35" s="176">
        <f t="shared" si="0"/>
        <v>1</v>
      </c>
    </row>
    <row r="36" spans="1:22" ht="28.8" x14ac:dyDescent="0.3">
      <c r="A36" s="1314"/>
      <c r="B36" s="1314"/>
      <c r="C36" s="300" t="s">
        <v>61</v>
      </c>
      <c r="D36" s="300" t="s">
        <v>224</v>
      </c>
      <c r="E36" s="300">
        <v>0.35</v>
      </c>
      <c r="F36" s="192">
        <v>9123348</v>
      </c>
      <c r="G36" s="32">
        <f t="shared" si="13"/>
        <v>9588639</v>
      </c>
      <c r="H36" s="192">
        <f>ROUND((E36*F36),0)</f>
        <v>3193172</v>
      </c>
      <c r="I36" s="32">
        <f t="shared" si="14"/>
        <v>3356024</v>
      </c>
      <c r="J36" s="1452"/>
      <c r="K36" s="303">
        <v>0.35</v>
      </c>
      <c r="L36" s="304">
        <f>ROUND(K36*$F$36,0)</f>
        <v>3193172</v>
      </c>
      <c r="M36" s="305">
        <f>L36/$H$36</f>
        <v>1</v>
      </c>
      <c r="N36" s="149">
        <v>0</v>
      </c>
      <c r="O36" s="175">
        <f>ROUND(N36*$F$36,0)</f>
        <v>0</v>
      </c>
      <c r="P36" s="176">
        <f>O36/$H$36</f>
        <v>0</v>
      </c>
      <c r="Q36" s="432">
        <v>0</v>
      </c>
      <c r="R36" s="425">
        <f>ROUND(Q36*$G$14,0)</f>
        <v>0</v>
      </c>
      <c r="S36" s="426">
        <f>R36/H36</f>
        <v>0</v>
      </c>
      <c r="T36" s="416">
        <f>K36+N36+Q36</f>
        <v>0.35</v>
      </c>
      <c r="U36" s="175">
        <f t="shared" si="1"/>
        <v>3193172</v>
      </c>
      <c r="V36" s="176">
        <f t="shared" si="0"/>
        <v>1</v>
      </c>
    </row>
    <row r="37" spans="1:22" x14ac:dyDescent="0.3">
      <c r="A37" s="1314"/>
      <c r="B37" s="1314"/>
      <c r="C37" s="196"/>
      <c r="D37" s="196" t="s">
        <v>225</v>
      </c>
      <c r="E37" s="198"/>
      <c r="F37" s="198"/>
      <c r="G37" s="198"/>
      <c r="H37" s="199">
        <f>SUM(H35:H36)</f>
        <v>4533816</v>
      </c>
      <c r="I37" s="199">
        <f>SUM(I35:I36)</f>
        <v>4765041</v>
      </c>
      <c r="J37" s="1452"/>
      <c r="K37" s="306"/>
      <c r="L37" s="307">
        <f>SUM(L35:L36)</f>
        <v>3193172</v>
      </c>
      <c r="M37" s="308">
        <f>L37/$H$37</f>
        <v>0.704301189108689</v>
      </c>
      <c r="N37" s="306"/>
      <c r="O37" s="307">
        <f>SUM(O35:O36)</f>
        <v>1340644</v>
      </c>
      <c r="P37" s="308">
        <f>O37/$H$37</f>
        <v>0.295698810891311</v>
      </c>
      <c r="Q37" s="428"/>
      <c r="R37" s="307">
        <f>SUM(R35:R36)</f>
        <v>0</v>
      </c>
      <c r="S37" s="431">
        <f>R37/$H$37</f>
        <v>0</v>
      </c>
      <c r="T37" s="297"/>
      <c r="U37" s="307">
        <f t="shared" si="1"/>
        <v>4533816</v>
      </c>
      <c r="V37" s="178">
        <f t="shared" si="0"/>
        <v>1</v>
      </c>
    </row>
    <row r="38" spans="1:22" ht="28.8" x14ac:dyDescent="0.3">
      <c r="A38" s="1315" t="s">
        <v>708</v>
      </c>
      <c r="B38" s="1314" t="s">
        <v>700</v>
      </c>
      <c r="C38" s="300" t="s">
        <v>83</v>
      </c>
      <c r="D38" s="300" t="s">
        <v>701</v>
      </c>
      <c r="E38" s="300">
        <v>0.7</v>
      </c>
      <c r="F38" s="192">
        <v>1323233</v>
      </c>
      <c r="G38" s="32">
        <f t="shared" ref="G38:G39" si="15">+ROUND(F38*1.051,0)</f>
        <v>1390718</v>
      </c>
      <c r="H38" s="192">
        <f>ROUND((E38*F38),0)</f>
        <v>926263</v>
      </c>
      <c r="I38" s="32">
        <f t="shared" ref="I38:I39" si="16">+ROUND(G38*E38,0)</f>
        <v>973503</v>
      </c>
      <c r="J38" s="1452" t="s">
        <v>707</v>
      </c>
      <c r="K38" s="303">
        <v>0.7</v>
      </c>
      <c r="L38" s="304">
        <f>ROUND(K38*$F$38,0)</f>
        <v>926263</v>
      </c>
      <c r="M38" s="305">
        <f>L38/$H$38</f>
        <v>1</v>
      </c>
      <c r="N38" s="149">
        <v>0</v>
      </c>
      <c r="O38" s="175">
        <f>ROUND(N38*$F$38,0)</f>
        <v>0</v>
      </c>
      <c r="P38" s="176">
        <f>O38/$H$38</f>
        <v>0</v>
      </c>
      <c r="Q38" s="432">
        <v>0</v>
      </c>
      <c r="R38" s="425">
        <f>ROUND(Q38*$G$14,0)</f>
        <v>0</v>
      </c>
      <c r="S38" s="426">
        <f>R38/H38</f>
        <v>0</v>
      </c>
      <c r="T38" s="416">
        <f>K38+N38+Q38</f>
        <v>0.7</v>
      </c>
      <c r="U38" s="175">
        <f t="shared" si="1"/>
        <v>926263</v>
      </c>
      <c r="V38" s="176">
        <f t="shared" si="0"/>
        <v>1</v>
      </c>
    </row>
    <row r="39" spans="1:22" ht="28.8" x14ac:dyDescent="0.3">
      <c r="A39" s="1314"/>
      <c r="B39" s="1314"/>
      <c r="C39" s="300" t="s">
        <v>61</v>
      </c>
      <c r="D39" s="300" t="s">
        <v>703</v>
      </c>
      <c r="E39" s="300">
        <v>0.7</v>
      </c>
      <c r="F39" s="192">
        <v>7347429</v>
      </c>
      <c r="G39" s="32">
        <f t="shared" si="15"/>
        <v>7722148</v>
      </c>
      <c r="H39" s="192">
        <f>ROUND((E39*F39),0)</f>
        <v>5143200</v>
      </c>
      <c r="I39" s="32">
        <f t="shared" si="16"/>
        <v>5405504</v>
      </c>
      <c r="J39" s="1452"/>
      <c r="K39" s="303">
        <v>0.7</v>
      </c>
      <c r="L39" s="304">
        <f>ROUND(K39*$F$39,0)</f>
        <v>5143200</v>
      </c>
      <c r="M39" s="305">
        <f>L39/$H$39</f>
        <v>1</v>
      </c>
      <c r="N39" s="149">
        <v>0</v>
      </c>
      <c r="O39" s="175">
        <f>ROUND(N39*$F$39,0)</f>
        <v>0</v>
      </c>
      <c r="P39" s="176">
        <f>O39/$H$39</f>
        <v>0</v>
      </c>
      <c r="Q39" s="432">
        <v>0</v>
      </c>
      <c r="R39" s="425">
        <f>ROUND(Q39*$G$14,0)</f>
        <v>0</v>
      </c>
      <c r="S39" s="426">
        <f>R39/H39</f>
        <v>0</v>
      </c>
      <c r="T39" s="416">
        <f>K39+N39+Q39</f>
        <v>0.7</v>
      </c>
      <c r="U39" s="175">
        <f t="shared" si="1"/>
        <v>5143200</v>
      </c>
      <c r="V39" s="176">
        <f t="shared" si="0"/>
        <v>1</v>
      </c>
    </row>
    <row r="40" spans="1:22" x14ac:dyDescent="0.3">
      <c r="A40" s="1314"/>
      <c r="B40" s="1314"/>
      <c r="C40" s="196"/>
      <c r="D40" s="196" t="s">
        <v>704</v>
      </c>
      <c r="E40" s="198"/>
      <c r="F40" s="198"/>
      <c r="G40" s="198"/>
      <c r="H40" s="199">
        <f>SUM(H38:H39)</f>
        <v>6069463</v>
      </c>
      <c r="I40" s="199">
        <f>SUM(I38:I39)</f>
        <v>6379007</v>
      </c>
      <c r="J40" s="1314"/>
      <c r="K40" s="344"/>
      <c r="L40" s="345">
        <f>SUM(L38:L39)</f>
        <v>6069463</v>
      </c>
      <c r="M40" s="346">
        <f>L40/$H$40</f>
        <v>1</v>
      </c>
      <c r="N40" s="306"/>
      <c r="O40" s="307">
        <f>SUM(O38:O39)</f>
        <v>0</v>
      </c>
      <c r="P40" s="308">
        <f>O40/$H$40</f>
        <v>0</v>
      </c>
      <c r="Q40" s="428"/>
      <c r="R40" s="307">
        <f>SUM(R38:R39)</f>
        <v>0</v>
      </c>
      <c r="S40" s="431">
        <f>R40/$H$40</f>
        <v>0</v>
      </c>
      <c r="T40" s="150"/>
      <c r="U40" s="307">
        <f t="shared" si="1"/>
        <v>6069463</v>
      </c>
      <c r="V40" s="178">
        <f t="shared" si="0"/>
        <v>1</v>
      </c>
    </row>
    <row r="41" spans="1:22" x14ac:dyDescent="0.3">
      <c r="F41" s="151" t="s">
        <v>64</v>
      </c>
      <c r="G41" s="151"/>
      <c r="H41" s="181">
        <f>SUM(H14:H40)/2</f>
        <v>54698296</v>
      </c>
      <c r="I41" s="181">
        <f>SUM(I14:I40)/2</f>
        <v>57487914</v>
      </c>
      <c r="K41" s="151" t="s">
        <v>64</v>
      </c>
      <c r="L41" s="181">
        <f>SUM(L14:L40)/2</f>
        <v>24594733</v>
      </c>
      <c r="M41" s="338">
        <f>L41/$H$41</f>
        <v>0.44964349529279668</v>
      </c>
      <c r="N41" s="151" t="s">
        <v>64</v>
      </c>
      <c r="O41" s="181">
        <f>SUM(O14:O40)/2</f>
        <v>20231543</v>
      </c>
      <c r="P41" s="338">
        <f>O41/$H$41</f>
        <v>0.36987519684342635</v>
      </c>
      <c r="Q41" s="480" t="s">
        <v>64</v>
      </c>
      <c r="R41" s="481">
        <f>SUM(R14:R40)/2</f>
        <v>0</v>
      </c>
      <c r="S41" s="338">
        <f>R41/$H$41</f>
        <v>0</v>
      </c>
      <c r="T41" s="151" t="s">
        <v>64</v>
      </c>
      <c r="U41" s="181">
        <f>SUM(U14:U40)/2</f>
        <v>44826276</v>
      </c>
      <c r="V41" s="338">
        <f t="shared" si="0"/>
        <v>0.81951869213622308</v>
      </c>
    </row>
    <row r="42" spans="1:22" x14ac:dyDescent="0.3">
      <c r="F42" s="153" t="s">
        <v>65</v>
      </c>
      <c r="G42" s="816"/>
      <c r="H42" s="182">
        <v>0</v>
      </c>
      <c r="I42" s="182">
        <v>0</v>
      </c>
      <c r="K42" s="153" t="s">
        <v>65</v>
      </c>
      <c r="L42" s="182">
        <v>0</v>
      </c>
      <c r="N42" s="153" t="s">
        <v>65</v>
      </c>
      <c r="O42" s="182">
        <v>0</v>
      </c>
      <c r="Q42" s="482" t="s">
        <v>65</v>
      </c>
      <c r="R42" s="483">
        <v>0</v>
      </c>
      <c r="T42" s="153" t="s">
        <v>65</v>
      </c>
      <c r="U42" s="182">
        <v>0</v>
      </c>
    </row>
    <row r="43" spans="1:22" x14ac:dyDescent="0.3">
      <c r="F43" s="152" t="s">
        <v>64</v>
      </c>
      <c r="G43" s="817"/>
      <c r="H43" s="182">
        <f>+H41+H42</f>
        <v>54698296</v>
      </c>
      <c r="I43" s="182">
        <f>+I41+I42</f>
        <v>57487914</v>
      </c>
      <c r="K43" s="152" t="s">
        <v>64</v>
      </c>
      <c r="L43" s="182">
        <f>+L41+L42</f>
        <v>24594733</v>
      </c>
      <c r="N43" s="152" t="s">
        <v>64</v>
      </c>
      <c r="O43" s="182">
        <f>+O41+O42</f>
        <v>20231543</v>
      </c>
      <c r="Q43" s="484" t="s">
        <v>64</v>
      </c>
      <c r="R43" s="483">
        <f>+R41+R42</f>
        <v>0</v>
      </c>
      <c r="T43" s="152" t="s">
        <v>64</v>
      </c>
      <c r="U43" s="182">
        <f>+U41+U42</f>
        <v>44826276</v>
      </c>
    </row>
    <row r="44" spans="1:22" ht="26.4" x14ac:dyDescent="0.3">
      <c r="F44" s="152"/>
      <c r="G44" s="817"/>
      <c r="H44" s="182"/>
      <c r="I44" s="182"/>
      <c r="K44" s="152"/>
      <c r="L44" s="182"/>
      <c r="N44" s="152"/>
      <c r="O44" s="182"/>
      <c r="Q44" s="484" t="s">
        <v>1439</v>
      </c>
      <c r="R44" s="483">
        <f>ROUND(R43*0.015,0)</f>
        <v>0</v>
      </c>
      <c r="T44" s="484" t="s">
        <v>1439</v>
      </c>
      <c r="U44" s="182">
        <f>L44+O44+R44</f>
        <v>0</v>
      </c>
    </row>
    <row r="45" spans="1:22" ht="26.4" x14ac:dyDescent="0.3">
      <c r="F45" s="152"/>
      <c r="G45" s="817"/>
      <c r="H45" s="182"/>
      <c r="I45" s="182"/>
      <c r="K45" s="152"/>
      <c r="L45" s="182"/>
      <c r="N45" s="152"/>
      <c r="O45" s="182"/>
      <c r="Q45" s="152" t="s">
        <v>1440</v>
      </c>
      <c r="R45" s="182">
        <f>R43+R44</f>
        <v>0</v>
      </c>
      <c r="T45" s="152" t="s">
        <v>1440</v>
      </c>
      <c r="U45" s="182">
        <f>U43+U44</f>
        <v>44826276</v>
      </c>
    </row>
    <row r="46" spans="1:22" x14ac:dyDescent="0.3">
      <c r="F46" s="154" t="s">
        <v>66</v>
      </c>
      <c r="G46" s="818"/>
      <c r="H46" s="182">
        <f>+H43*19%</f>
        <v>10392676.24</v>
      </c>
      <c r="I46" s="182">
        <f>+I43*19%</f>
        <v>10922703.66</v>
      </c>
      <c r="K46" s="154" t="s">
        <v>66</v>
      </c>
      <c r="L46" s="182">
        <f>+L43*19%</f>
        <v>4672999.2700000005</v>
      </c>
      <c r="N46" s="154" t="s">
        <v>66</v>
      </c>
      <c r="O46" s="182">
        <f>+O43*19%</f>
        <v>3843993.17</v>
      </c>
      <c r="Q46" s="485" t="s">
        <v>66</v>
      </c>
      <c r="R46" s="483">
        <f>ROUND(R45*0.19,0)</f>
        <v>0</v>
      </c>
      <c r="T46" s="154" t="s">
        <v>66</v>
      </c>
      <c r="U46" s="182">
        <f>ROUND(U45*0.19,0)</f>
        <v>8516992</v>
      </c>
    </row>
    <row r="47" spans="1:22" x14ac:dyDescent="0.3">
      <c r="F47" s="155" t="s">
        <v>69</v>
      </c>
      <c r="G47" s="155"/>
      <c r="H47" s="181">
        <f>+H43+H46</f>
        <v>65090972.240000002</v>
      </c>
      <c r="I47" s="181">
        <f>+I43+I46</f>
        <v>68410617.659999996</v>
      </c>
      <c r="K47" s="155" t="s">
        <v>69</v>
      </c>
      <c r="L47" s="181">
        <f>+L43+L46</f>
        <v>29267732.27</v>
      </c>
      <c r="N47" s="155" t="s">
        <v>69</v>
      </c>
      <c r="O47" s="181">
        <f>+O43+O46</f>
        <v>24075536.170000002</v>
      </c>
      <c r="Q47" s="545" t="s">
        <v>69</v>
      </c>
      <c r="R47" s="481">
        <f>R45+R46</f>
        <v>0</v>
      </c>
      <c r="T47" s="155" t="s">
        <v>69</v>
      </c>
      <c r="U47" s="181">
        <f>U45+U46</f>
        <v>53343268</v>
      </c>
    </row>
    <row r="50" spans="1:22" x14ac:dyDescent="0.3">
      <c r="A50" s="183" t="s">
        <v>67</v>
      </c>
      <c r="B50" s="184"/>
      <c r="C50" s="184"/>
      <c r="D50" s="185" t="s">
        <v>68</v>
      </c>
      <c r="K50" s="186" t="s">
        <v>70</v>
      </c>
      <c r="L50" s="187" t="s">
        <v>71</v>
      </c>
      <c r="M50" s="186" t="s">
        <v>58</v>
      </c>
      <c r="N50" s="186" t="s">
        <v>70</v>
      </c>
      <c r="O50" s="187" t="s">
        <v>71</v>
      </c>
      <c r="P50" s="186" t="s">
        <v>58</v>
      </c>
      <c r="Q50" s="186" t="s">
        <v>70</v>
      </c>
      <c r="R50" s="187" t="s">
        <v>71</v>
      </c>
      <c r="S50" s="186" t="s">
        <v>58</v>
      </c>
      <c r="T50" s="148"/>
      <c r="U50" s="148"/>
      <c r="V50" s="148"/>
    </row>
    <row r="51" spans="1:22" x14ac:dyDescent="0.3">
      <c r="A51" s="183"/>
      <c r="B51" s="184"/>
      <c r="C51" s="184"/>
      <c r="D51" s="185"/>
      <c r="K51" s="69" t="s">
        <v>72</v>
      </c>
      <c r="L51" s="70">
        <f>$L$41</f>
        <v>24594733</v>
      </c>
      <c r="M51" s="71">
        <f>M$41</f>
        <v>0.44964349529279668</v>
      </c>
      <c r="N51" s="69" t="s">
        <v>72</v>
      </c>
      <c r="O51" s="70">
        <f>$L$41</f>
        <v>24594733</v>
      </c>
      <c r="P51" s="71">
        <f>$M$41</f>
        <v>0.44964349529279668</v>
      </c>
      <c r="Q51" s="69" t="s">
        <v>72</v>
      </c>
      <c r="R51" s="70">
        <f>$L$41</f>
        <v>24594733</v>
      </c>
      <c r="S51" s="71">
        <f>$M41</f>
        <v>0.44964349529279668</v>
      </c>
      <c r="T51" s="148"/>
      <c r="U51" s="148"/>
      <c r="V51" s="148"/>
    </row>
    <row r="52" spans="1:22" x14ac:dyDescent="0.3">
      <c r="A52" s="183"/>
      <c r="B52" s="184"/>
      <c r="C52" s="184"/>
      <c r="D52" s="185"/>
      <c r="K52" s="69"/>
      <c r="L52" s="70"/>
      <c r="M52" s="71"/>
      <c r="N52" s="69" t="s">
        <v>73</v>
      </c>
      <c r="O52" s="70">
        <f>$O$41</f>
        <v>20231543</v>
      </c>
      <c r="P52" s="71">
        <f>$P$41</f>
        <v>0.36987519684342635</v>
      </c>
      <c r="Q52" s="69" t="s">
        <v>73</v>
      </c>
      <c r="R52" s="70">
        <f>$O$41</f>
        <v>20231543</v>
      </c>
      <c r="S52" s="71">
        <f>$P$41</f>
        <v>0.36987519684342635</v>
      </c>
      <c r="T52" s="302"/>
      <c r="U52" s="302"/>
      <c r="V52" s="302"/>
    </row>
    <row r="53" spans="1:22" x14ac:dyDescent="0.3">
      <c r="A53" s="183"/>
      <c r="B53" s="184"/>
      <c r="C53" s="184"/>
      <c r="D53" s="185"/>
      <c r="K53" s="69"/>
      <c r="L53" s="70"/>
      <c r="M53" s="71"/>
      <c r="N53" s="69"/>
      <c r="O53" s="70"/>
      <c r="P53" s="71"/>
      <c r="Q53" s="69" t="s">
        <v>74</v>
      </c>
      <c r="R53" s="70">
        <f>$R$45</f>
        <v>0</v>
      </c>
      <c r="S53" s="71">
        <f>$S$41</f>
        <v>0</v>
      </c>
      <c r="T53" s="302"/>
      <c r="U53" s="302"/>
      <c r="V53" s="302"/>
    </row>
    <row r="54" spans="1:22" x14ac:dyDescent="0.3">
      <c r="A54" s="183"/>
      <c r="B54" s="184"/>
      <c r="C54" s="184"/>
      <c r="D54" s="185"/>
      <c r="K54" s="72" t="s">
        <v>1</v>
      </c>
      <c r="L54" s="105">
        <f>SUM(L51:L51)</f>
        <v>24594733</v>
      </c>
      <c r="M54" s="73">
        <f>SUM(M51:M51)</f>
        <v>0.44964349529279668</v>
      </c>
      <c r="N54" s="72" t="s">
        <v>1</v>
      </c>
      <c r="O54" s="105">
        <f>SUM(O51:O52)</f>
        <v>44826276</v>
      </c>
      <c r="P54" s="73">
        <f>SUM(P51:P52)</f>
        <v>0.81951869213622297</v>
      </c>
      <c r="Q54" s="72" t="s">
        <v>1</v>
      </c>
      <c r="R54" s="105">
        <f>SUM(R51:R53)</f>
        <v>44826276</v>
      </c>
      <c r="S54" s="608">
        <f>SUM(S51:S53)</f>
        <v>0.81951869213622297</v>
      </c>
      <c r="T54" s="148"/>
      <c r="U54" s="148"/>
      <c r="V54" s="148"/>
    </row>
    <row r="55" spans="1:22" x14ac:dyDescent="0.3">
      <c r="A55" s="183"/>
      <c r="B55" s="184"/>
      <c r="C55" s="184"/>
      <c r="D55" s="185"/>
      <c r="K55" s="72" t="s">
        <v>9</v>
      </c>
      <c r="L55" s="1285"/>
      <c r="M55" s="1286"/>
      <c r="N55" s="72" t="s">
        <v>9</v>
      </c>
      <c r="O55" s="1285"/>
      <c r="P55" s="1286"/>
      <c r="Q55" s="72" t="s">
        <v>9</v>
      </c>
      <c r="R55" s="1285"/>
      <c r="S55" s="1286"/>
      <c r="T55" s="148"/>
      <c r="U55" s="148"/>
      <c r="V55" s="148"/>
    </row>
    <row r="56" spans="1:22" x14ac:dyDescent="0.3">
      <c r="A56" s="183"/>
      <c r="B56" s="184"/>
      <c r="C56" s="184"/>
      <c r="D56" s="185"/>
      <c r="K56" s="156" t="s">
        <v>78</v>
      </c>
      <c r="L56" s="1285" t="s">
        <v>709</v>
      </c>
      <c r="M56" s="1286"/>
      <c r="N56" s="156" t="s">
        <v>78</v>
      </c>
      <c r="O56" s="1285" t="s">
        <v>709</v>
      </c>
      <c r="P56" s="1286"/>
      <c r="Q56" s="156" t="s">
        <v>78</v>
      </c>
      <c r="R56" s="1285" t="s">
        <v>709</v>
      </c>
      <c r="S56" s="1286"/>
      <c r="T56" s="148"/>
      <c r="U56" s="148"/>
      <c r="V56" s="148"/>
    </row>
    <row r="57" spans="1:22" x14ac:dyDescent="0.3">
      <c r="A57" s="183"/>
      <c r="B57" s="184"/>
      <c r="C57" s="184"/>
      <c r="D57" s="185"/>
      <c r="K57" s="157" t="s">
        <v>8</v>
      </c>
      <c r="L57" s="1287"/>
      <c r="M57" s="1288"/>
      <c r="N57" s="157" t="s">
        <v>8</v>
      </c>
      <c r="O57" s="1287"/>
      <c r="P57" s="1288"/>
      <c r="Q57" s="157" t="s">
        <v>8</v>
      </c>
      <c r="R57" s="1287"/>
      <c r="S57" s="1288"/>
      <c r="T57" s="148"/>
      <c r="U57" s="148"/>
      <c r="V57" s="148"/>
    </row>
    <row r="58" spans="1:22" x14ac:dyDescent="0.3">
      <c r="A58" s="183"/>
      <c r="B58" s="184"/>
      <c r="C58" s="184"/>
      <c r="D58" s="185" t="s">
        <v>75</v>
      </c>
    </row>
    <row r="59" spans="1:22" ht="14.25" customHeight="1" x14ac:dyDescent="0.3">
      <c r="A59" s="183" t="s">
        <v>76</v>
      </c>
      <c r="B59" s="180"/>
      <c r="C59" s="180"/>
      <c r="D59" s="185" t="s">
        <v>77</v>
      </c>
    </row>
    <row r="60" spans="1:22" x14ac:dyDescent="0.3">
      <c r="A60" s="183" t="s">
        <v>79</v>
      </c>
      <c r="B60" s="180"/>
      <c r="C60" s="180"/>
      <c r="D60" s="185" t="s">
        <v>80</v>
      </c>
    </row>
  </sheetData>
  <sheetProtection formatCells="0" formatColumns="0" formatRows="0" insertColumns="0" insertRows="0" insertHyperlinks="0" deleteColumns="0" deleteRows="0" sort="0" autoFilter="0" pivotTables="0"/>
  <mergeCells count="53">
    <mergeCell ref="O55:P55"/>
    <mergeCell ref="O56:P56"/>
    <mergeCell ref="O57:P57"/>
    <mergeCell ref="A7:V7"/>
    <mergeCell ref="A8:V8"/>
    <mergeCell ref="B14:B16"/>
    <mergeCell ref="J14:J16"/>
    <mergeCell ref="A17:A19"/>
    <mergeCell ref="B17:B19"/>
    <mergeCell ref="J17:J19"/>
    <mergeCell ref="N11:P12"/>
    <mergeCell ref="L55:M55"/>
    <mergeCell ref="L56:M56"/>
    <mergeCell ref="L57:M57"/>
    <mergeCell ref="A9:V9"/>
    <mergeCell ref="A10:V10"/>
    <mergeCell ref="J32:J34"/>
    <mergeCell ref="A35:A37"/>
    <mergeCell ref="B35:B37"/>
    <mergeCell ref="J35:J37"/>
    <mergeCell ref="A26:A28"/>
    <mergeCell ref="B26:B28"/>
    <mergeCell ref="J26:J28"/>
    <mergeCell ref="A29:A31"/>
    <mergeCell ref="B29:B31"/>
    <mergeCell ref="J29:J31"/>
    <mergeCell ref="T1:V1"/>
    <mergeCell ref="T2:V2"/>
    <mergeCell ref="A3:V3"/>
    <mergeCell ref="A4:V4"/>
    <mergeCell ref="A5:V5"/>
    <mergeCell ref="T11:V12"/>
    <mergeCell ref="B12:J12"/>
    <mergeCell ref="A20:A22"/>
    <mergeCell ref="B20:B22"/>
    <mergeCell ref="J20:J22"/>
    <mergeCell ref="Q11:S12"/>
    <mergeCell ref="R55:S55"/>
    <mergeCell ref="R56:S56"/>
    <mergeCell ref="R57:S57"/>
    <mergeCell ref="C1:S2"/>
    <mergeCell ref="A23:A25"/>
    <mergeCell ref="B23:B25"/>
    <mergeCell ref="J23:J25"/>
    <mergeCell ref="A14:A16"/>
    <mergeCell ref="B11:J11"/>
    <mergeCell ref="K11:M12"/>
    <mergeCell ref="A6:V6"/>
    <mergeCell ref="A38:A40"/>
    <mergeCell ref="B38:B40"/>
    <mergeCell ref="J38:J40"/>
    <mergeCell ref="A32:A34"/>
    <mergeCell ref="B32:B34"/>
  </mergeCells>
  <pageMargins left="0.7" right="0.7" top="0.75" bottom="0.75" header="0.3" footer="0.3"/>
  <pageSetup scale="43" fitToHeight="0" orientation="landscape" r:id="rId1"/>
  <drawing r:id="rId2"/>
  <legacyDrawingHF r:id="rId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tabColor theme="1"/>
  </sheetPr>
  <dimension ref="A1:G49"/>
  <sheetViews>
    <sheetView topLeftCell="A16" zoomScaleNormal="100" workbookViewId="0">
      <selection activeCell="F30" sqref="F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RESUMEN!G38</f>
        <v>Proyecto: CDIM_CADCRA_R0114 – Cucunubá, Ingeniería mecánica y eléctrica para reemplazo del trafo D1</v>
      </c>
      <c r="C5" s="1281"/>
      <c r="D5" s="1281"/>
      <c r="E5" s="1281"/>
      <c r="F5" s="1281"/>
      <c r="G5" s="1282"/>
    </row>
    <row r="6" spans="1:7" x14ac:dyDescent="0.25">
      <c r="A6" s="1177"/>
      <c r="B6" s="1177"/>
      <c r="C6" s="1177"/>
      <c r="D6" s="1177"/>
      <c r="E6" s="1177"/>
      <c r="F6" s="1177"/>
      <c r="G6" s="1177"/>
    </row>
    <row r="7" spans="1:7" x14ac:dyDescent="0.25">
      <c r="A7" s="271" t="s">
        <v>0</v>
      </c>
      <c r="B7" s="1264" t="str">
        <f>RESUMEN!B38</f>
        <v>D00243030</v>
      </c>
      <c r="C7" s="1265"/>
      <c r="D7" s="1177"/>
      <c r="E7" s="1266" t="s">
        <v>627</v>
      </c>
      <c r="F7" s="1267"/>
      <c r="G7" s="280" t="str">
        <f>RESUMEN!E38</f>
        <v xml:space="preserve">17-189 </v>
      </c>
    </row>
    <row r="8" spans="1:7" x14ac:dyDescent="0.25">
      <c r="A8" s="271" t="s">
        <v>628</v>
      </c>
      <c r="B8" s="1264" t="str">
        <f>RESUMEN!C38</f>
        <v>D00243030000</v>
      </c>
      <c r="C8" s="1265"/>
      <c r="D8" s="1177"/>
      <c r="E8" s="1266" t="s">
        <v>629</v>
      </c>
      <c r="F8" s="1267"/>
      <c r="G8" s="280" t="str">
        <f>RESUMEN!U38</f>
        <v>Acta N° 3: Marzo</v>
      </c>
    </row>
    <row r="9" spans="1:7" x14ac:dyDescent="0.25">
      <c r="A9" s="271" t="s">
        <v>630</v>
      </c>
      <c r="B9" s="1283" t="s">
        <v>631</v>
      </c>
      <c r="C9" s="1265"/>
      <c r="D9" s="1177"/>
      <c r="E9" s="1266" t="s">
        <v>632</v>
      </c>
      <c r="F9" s="1267"/>
      <c r="G9" s="1178">
        <f>RESUMEN!H38</f>
        <v>12086694</v>
      </c>
    </row>
    <row r="10" spans="1:7" x14ac:dyDescent="0.25">
      <c r="A10" s="271" t="s">
        <v>633</v>
      </c>
      <c r="B10" s="1283" t="str">
        <f>RESUMEN!D38</f>
        <v>CUCUNUBÁ</v>
      </c>
      <c r="C10" s="1265"/>
      <c r="D10" s="1177"/>
      <c r="E10" s="1266" t="s">
        <v>634</v>
      </c>
      <c r="F10" s="1267"/>
      <c r="G10" s="1178">
        <f>RESUMEN!R38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CDIM_CADCRA_R0114 – Cucunubá, Ingeniería mecánica y eléctrica para reemplazo del trafo D1</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RESUMEN!N38</f>
        <v>0</v>
      </c>
      <c r="F19" s="1248"/>
      <c r="G19" s="1177"/>
    </row>
    <row r="20" spans="1:7" ht="27" customHeight="1" x14ac:dyDescent="0.25">
      <c r="A20" s="1177"/>
      <c r="B20" s="1244" t="s">
        <v>1498</v>
      </c>
      <c r="C20" s="1245"/>
      <c r="D20" s="1246"/>
      <c r="E20" s="1247">
        <f>RESUMEN!P38</f>
        <v>0</v>
      </c>
      <c r="F20" s="1248"/>
      <c r="G20" s="1177"/>
    </row>
    <row r="21" spans="1:7" ht="27" customHeight="1" x14ac:dyDescent="0.25">
      <c r="A21" s="1177"/>
      <c r="B21" s="1244" t="s">
        <v>1499</v>
      </c>
      <c r="C21" s="1245"/>
      <c r="D21" s="1246"/>
      <c r="E21" s="1247">
        <f>RESUMEN!Q38</f>
        <v>0</v>
      </c>
      <c r="F21" s="1248"/>
      <c r="G21" s="1177"/>
    </row>
    <row r="22" spans="1:7" x14ac:dyDescent="0.25">
      <c r="A22" s="1177"/>
      <c r="B22" s="1254" t="s">
        <v>64</v>
      </c>
      <c r="C22" s="1254"/>
      <c r="D22" s="1254"/>
      <c r="E22" s="1255">
        <f>RESUMEN!R38</f>
        <v>0</v>
      </c>
      <c r="F22" s="1255"/>
      <c r="G22" s="1177"/>
    </row>
    <row r="23" spans="1:7" x14ac:dyDescent="0.25">
      <c r="A23" s="1177"/>
      <c r="B23" s="1256" t="s">
        <v>66</v>
      </c>
      <c r="C23" s="1256"/>
      <c r="D23" s="1256"/>
      <c r="E23" s="1257">
        <f>RESUMEN!S38</f>
        <v>0</v>
      </c>
      <c r="F23" s="1257"/>
      <c r="G23" s="1177"/>
    </row>
    <row r="24" spans="1:7" x14ac:dyDescent="0.25">
      <c r="A24" s="1177"/>
      <c r="B24" s="1258" t="s">
        <v>1</v>
      </c>
      <c r="C24" s="1258"/>
      <c r="D24" s="1258"/>
      <c r="E24" s="1259">
        <f>RESUMEN!T38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+'OT17-189 CUCUNUBÁ'!Q31</f>
        <v>ACTA 1</v>
      </c>
      <c r="C28" s="1253">
        <f>+'OT17-189 CUCUNUBÁ'!R31</f>
        <v>9297457</v>
      </c>
      <c r="D28" s="1253"/>
      <c r="E28" s="267">
        <f>+'OT17-189 CUCUNUBÁ'!S31</f>
        <v>0.76923077559504693</v>
      </c>
      <c r="F28" s="1177"/>
      <c r="G28" s="1177"/>
    </row>
    <row r="29" spans="1:7" x14ac:dyDescent="0.25">
      <c r="A29" s="1177"/>
      <c r="B29" s="280" t="str">
        <f>+'OT17-189 CUCUNUBÁ'!Q32</f>
        <v>ACTA 2</v>
      </c>
      <c r="C29" s="1253">
        <f>+'OT17-189 CUCUNUBÁ'!R32</f>
        <v>1284929</v>
      </c>
      <c r="D29" s="1253"/>
      <c r="E29" s="267">
        <f>+'OT17-189 CUCUNUBÁ'!S32</f>
        <v>0.10630938451821483</v>
      </c>
      <c r="F29" s="1177"/>
      <c r="G29" s="1177"/>
    </row>
    <row r="30" spans="1:7" x14ac:dyDescent="0.25">
      <c r="A30" s="1177"/>
      <c r="B30" s="280" t="str">
        <f>+'OT17-189 CUCUNUBÁ'!Q33</f>
        <v>ACTA 3</v>
      </c>
      <c r="C30" s="1253">
        <f>+'OT17-189 CUCUNUBÁ'!R33</f>
        <v>0</v>
      </c>
      <c r="D30" s="1253"/>
      <c r="E30" s="267">
        <f>+'OT17-189 CUCUNUBÁ'!S33</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10582386</v>
      </c>
      <c r="D34" s="1251"/>
      <c r="E34" s="264">
        <f>SUM(E28:E33)</f>
        <v>0.87554016011326175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4">
    <tabColor theme="7"/>
  </sheetPr>
  <dimension ref="A1:V41"/>
  <sheetViews>
    <sheetView topLeftCell="C1" zoomScale="55" zoomScaleNormal="55" workbookViewId="0">
      <selection activeCell="K40" sqref="K40"/>
    </sheetView>
  </sheetViews>
  <sheetFormatPr baseColWidth="10" defaultColWidth="11.44140625" defaultRowHeight="14.4" x14ac:dyDescent="0.3"/>
  <cols>
    <col min="1" max="1" width="19.109375" style="302" customWidth="1"/>
    <col min="2" max="2" width="23" style="302" customWidth="1"/>
    <col min="3" max="3" width="32.6640625" style="302" customWidth="1"/>
    <col min="4" max="4" width="23" style="302" customWidth="1"/>
    <col min="5" max="5" width="11.88671875" style="302" customWidth="1"/>
    <col min="6" max="6" width="17.88671875" style="302" customWidth="1"/>
    <col min="7" max="7" width="17.88671875" style="795" customWidth="1"/>
    <col min="8" max="8" width="17.88671875" style="302" customWidth="1"/>
    <col min="9" max="9" width="17.88671875" style="795" customWidth="1"/>
    <col min="10" max="10" width="26.6640625" style="302" customWidth="1"/>
    <col min="11" max="11" width="17.88671875" style="302" customWidth="1"/>
    <col min="12" max="12" width="18" style="302" customWidth="1"/>
    <col min="13" max="13" width="11.44140625" style="302" customWidth="1"/>
    <col min="14" max="14" width="17.88671875" style="302" customWidth="1"/>
    <col min="15" max="15" width="18" style="302" customWidth="1"/>
    <col min="16" max="16" width="11.44140625" style="302" customWidth="1"/>
    <col min="17" max="17" width="17.88671875" style="302" bestFit="1" customWidth="1"/>
    <col min="18" max="18" width="18" style="302" bestFit="1" customWidth="1"/>
    <col min="19" max="19" width="11.44140625" style="302"/>
    <col min="20" max="20" width="17.88671875" style="302" customWidth="1"/>
    <col min="21" max="21" width="17.5546875" style="302" bestFit="1" customWidth="1"/>
    <col min="22" max="22" width="11.44140625" style="302" customWidth="1"/>
    <col min="23" max="16384" width="11.44140625" style="302"/>
  </cols>
  <sheetData>
    <row r="1" spans="1:22" ht="4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28" t="s">
        <v>973</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ht="12.75" customHeight="1" x14ac:dyDescent="0.3">
      <c r="A7" s="1291" t="s">
        <v>974</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975</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354"/>
      <c r="B11" s="1318"/>
      <c r="C11" s="1320"/>
      <c r="D11" s="1320"/>
      <c r="E11" s="1320"/>
      <c r="F11" s="1320"/>
      <c r="G11" s="1320"/>
      <c r="H11" s="1320"/>
      <c r="I11" s="1320"/>
      <c r="J11" s="1320"/>
      <c r="K11" s="1293" t="s">
        <v>46</v>
      </c>
      <c r="L11" s="1294"/>
      <c r="M11" s="1295"/>
      <c r="N11" s="1293" t="s">
        <v>981</v>
      </c>
      <c r="O11" s="1294"/>
      <c r="P11" s="1295"/>
      <c r="Q11" s="1293" t="s">
        <v>2318</v>
      </c>
      <c r="R11" s="1294"/>
      <c r="S11" s="1295"/>
      <c r="T11" s="1299" t="s">
        <v>49</v>
      </c>
      <c r="U11" s="1299"/>
      <c r="V11" s="1299"/>
    </row>
    <row r="12" spans="1:22"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300"/>
      <c r="U12" s="1300"/>
      <c r="V12" s="1300"/>
    </row>
    <row r="13" spans="1:22" ht="30" customHeight="1" x14ac:dyDescent="0.3">
      <c r="A13" s="159" t="s">
        <v>50</v>
      </c>
      <c r="B13" s="159" t="s">
        <v>51</v>
      </c>
      <c r="C13" s="159" t="s">
        <v>52</v>
      </c>
      <c r="D13" s="159" t="s">
        <v>164</v>
      </c>
      <c r="E13" s="159" t="s">
        <v>54</v>
      </c>
      <c r="F13" s="141" t="s">
        <v>55</v>
      </c>
      <c r="G13" s="823" t="s">
        <v>2007</v>
      </c>
      <c r="H13" s="159" t="s">
        <v>56</v>
      </c>
      <c r="I13" s="824" t="s">
        <v>56</v>
      </c>
      <c r="J13" s="159" t="s">
        <v>57</v>
      </c>
      <c r="K13" s="172" t="s">
        <v>54</v>
      </c>
      <c r="L13" s="173" t="s">
        <v>56</v>
      </c>
      <c r="M13" s="371" t="s">
        <v>58</v>
      </c>
      <c r="N13" s="371" t="s">
        <v>54</v>
      </c>
      <c r="O13" s="371" t="s">
        <v>56</v>
      </c>
      <c r="P13" s="371" t="s">
        <v>58</v>
      </c>
      <c r="Q13" s="371" t="s">
        <v>54</v>
      </c>
      <c r="R13" s="371" t="s">
        <v>56</v>
      </c>
      <c r="S13" s="371" t="s">
        <v>58</v>
      </c>
      <c r="T13" s="174" t="s">
        <v>54</v>
      </c>
      <c r="U13" s="172" t="s">
        <v>56</v>
      </c>
      <c r="V13" s="371" t="s">
        <v>58</v>
      </c>
    </row>
    <row r="14" spans="1:22" ht="28.8" x14ac:dyDescent="0.3">
      <c r="A14" s="1289" t="s">
        <v>285</v>
      </c>
      <c r="B14" s="1289" t="s">
        <v>415</v>
      </c>
      <c r="C14" s="353" t="s">
        <v>118</v>
      </c>
      <c r="D14" s="353" t="s">
        <v>119</v>
      </c>
      <c r="E14" s="353">
        <v>0</v>
      </c>
      <c r="F14" s="32">
        <v>7904580</v>
      </c>
      <c r="G14" s="32">
        <f>+ROUND(F14*1.051,0)</f>
        <v>8307714</v>
      </c>
      <c r="H14" s="32">
        <f>ROUND((E14*F14),0)</f>
        <v>0</v>
      </c>
      <c r="I14" s="32">
        <f>+ROUND(G14*E14,0)</f>
        <v>0</v>
      </c>
      <c r="J14" s="1289" t="s">
        <v>976</v>
      </c>
      <c r="K14" s="149">
        <v>0</v>
      </c>
      <c r="L14" s="175">
        <f>ROUND(K14*$F$14,0)</f>
        <v>0</v>
      </c>
      <c r="M14" s="176">
        <v>0</v>
      </c>
      <c r="N14" s="149">
        <v>0</v>
      </c>
      <c r="O14" s="175">
        <f>ROUND(N14*$F$14,0)</f>
        <v>0</v>
      </c>
      <c r="P14" s="176">
        <v>0</v>
      </c>
      <c r="Q14" s="416">
        <v>0</v>
      </c>
      <c r="R14" s="175">
        <f>ROUND(Q14*G14,0)</f>
        <v>0</v>
      </c>
      <c r="S14" s="176">
        <f>+R14/G14</f>
        <v>0</v>
      </c>
      <c r="T14" s="149">
        <f t="shared" ref="T14:U16" si="0">K14+N14+Q14</f>
        <v>0</v>
      </c>
      <c r="U14" s="175">
        <f t="shared" si="0"/>
        <v>0</v>
      </c>
      <c r="V14" s="176">
        <v>0</v>
      </c>
    </row>
    <row r="15" spans="1:22" ht="28.8" x14ac:dyDescent="0.3">
      <c r="A15" s="1289"/>
      <c r="B15" s="1289"/>
      <c r="C15" s="353" t="s">
        <v>83</v>
      </c>
      <c r="D15" s="353" t="s">
        <v>120</v>
      </c>
      <c r="E15" s="353">
        <v>1</v>
      </c>
      <c r="F15" s="32">
        <v>5014359</v>
      </c>
      <c r="G15" s="32">
        <f t="shared" ref="G15:G16" si="1">+ROUND(F15*1.051,0)</f>
        <v>5270091</v>
      </c>
      <c r="H15" s="32">
        <f>ROUND((E15*F15),0)</f>
        <v>5014359</v>
      </c>
      <c r="I15" s="32">
        <f t="shared" ref="I15:I16" si="2">+ROUND(G15*E15,0)</f>
        <v>5270091</v>
      </c>
      <c r="J15" s="1289"/>
      <c r="K15" s="142">
        <v>1</v>
      </c>
      <c r="L15" s="87">
        <f>ROUND(K15*$F$15,0)</f>
        <v>5014359</v>
      </c>
      <c r="M15" s="88">
        <f>L15/$H$15</f>
        <v>1</v>
      </c>
      <c r="N15" s="149">
        <v>0</v>
      </c>
      <c r="O15" s="175">
        <f>ROUND(N15*$F$15,0)</f>
        <v>0</v>
      </c>
      <c r="P15" s="176">
        <f>O15/$H$15</f>
        <v>0</v>
      </c>
      <c r="Q15" s="416">
        <v>0</v>
      </c>
      <c r="R15" s="175">
        <f t="shared" ref="R15:R16" si="3">ROUND(Q15*G15,0)</f>
        <v>0</v>
      </c>
      <c r="S15" s="176">
        <f t="shared" ref="S15:S16" si="4">+R15/G15</f>
        <v>0</v>
      </c>
      <c r="T15" s="416">
        <f t="shared" si="0"/>
        <v>1</v>
      </c>
      <c r="U15" s="175">
        <f t="shared" si="0"/>
        <v>5014359</v>
      </c>
      <c r="V15" s="176">
        <f>U15/H15</f>
        <v>1</v>
      </c>
    </row>
    <row r="16" spans="1:22" ht="28.8" x14ac:dyDescent="0.3">
      <c r="A16" s="1289"/>
      <c r="B16" s="1289"/>
      <c r="C16" s="353" t="s">
        <v>61</v>
      </c>
      <c r="D16" s="353" t="s">
        <v>121</v>
      </c>
      <c r="E16" s="353">
        <v>1</v>
      </c>
      <c r="F16" s="32">
        <v>4283098</v>
      </c>
      <c r="G16" s="32">
        <f t="shared" si="1"/>
        <v>4501536</v>
      </c>
      <c r="H16" s="32">
        <f>ROUND((E16*F16),0)</f>
        <v>4283098</v>
      </c>
      <c r="I16" s="32">
        <f t="shared" si="2"/>
        <v>4501536</v>
      </c>
      <c r="J16" s="1289"/>
      <c r="K16" s="303">
        <v>1</v>
      </c>
      <c r="L16" s="304">
        <f>ROUND(K16*$F$16,0)</f>
        <v>4283098</v>
      </c>
      <c r="M16" s="305">
        <f>L16/$H$16</f>
        <v>1</v>
      </c>
      <c r="N16" s="149">
        <v>0</v>
      </c>
      <c r="O16" s="175">
        <f>ROUND(N16*$F$16,0)</f>
        <v>0</v>
      </c>
      <c r="P16" s="176">
        <f>O16/$H$16</f>
        <v>0</v>
      </c>
      <c r="Q16" s="416">
        <v>0</v>
      </c>
      <c r="R16" s="175">
        <f t="shared" si="3"/>
        <v>0</v>
      </c>
      <c r="S16" s="176">
        <f t="shared" si="4"/>
        <v>0</v>
      </c>
      <c r="T16" s="416">
        <f t="shared" si="0"/>
        <v>1</v>
      </c>
      <c r="U16" s="175">
        <f t="shared" si="0"/>
        <v>4283098</v>
      </c>
      <c r="V16" s="176">
        <f>U16/H16</f>
        <v>1</v>
      </c>
    </row>
    <row r="17" spans="1:22" x14ac:dyDescent="0.3">
      <c r="A17" s="1289"/>
      <c r="B17" s="1289"/>
      <c r="C17" s="39"/>
      <c r="D17" s="39" t="s">
        <v>116</v>
      </c>
      <c r="E17" s="41"/>
      <c r="F17" s="41"/>
      <c r="G17" s="41"/>
      <c r="H17" s="42">
        <f>SUM(H14:H16)</f>
        <v>9297457</v>
      </c>
      <c r="I17" s="42">
        <f>SUM(I14:I16)</f>
        <v>9771627</v>
      </c>
      <c r="J17" s="1289"/>
      <c r="K17" s="308"/>
      <c r="L17" s="179">
        <f>SUM(L14:L16)</f>
        <v>9297457</v>
      </c>
      <c r="M17" s="308">
        <f>L17/$H$17</f>
        <v>1</v>
      </c>
      <c r="N17" s="308"/>
      <c r="O17" s="179">
        <f>SUM(O14:O16)</f>
        <v>0</v>
      </c>
      <c r="P17" s="308">
        <f>O17/$H$17</f>
        <v>0</v>
      </c>
      <c r="Q17" s="431"/>
      <c r="R17" s="179">
        <f>SUM(R14:R16)</f>
        <v>0</v>
      </c>
      <c r="S17" s="431">
        <f>R17/$H$17</f>
        <v>0</v>
      </c>
      <c r="T17" s="306"/>
      <c r="U17" s="307">
        <f>L17+O17+R17</f>
        <v>9297457</v>
      </c>
      <c r="V17" s="308">
        <f>U17/H17</f>
        <v>1</v>
      </c>
    </row>
    <row r="18" spans="1:22" ht="28.8" x14ac:dyDescent="0.3">
      <c r="A18" s="1289" t="s">
        <v>285</v>
      </c>
      <c r="B18" s="1289" t="s">
        <v>415</v>
      </c>
      <c r="C18" s="353" t="s">
        <v>118</v>
      </c>
      <c r="D18" s="353" t="s">
        <v>119</v>
      </c>
      <c r="E18" s="353">
        <v>0</v>
      </c>
      <c r="F18" s="32">
        <v>7904580</v>
      </c>
      <c r="G18" s="32">
        <f t="shared" ref="G18:G20" si="5">+ROUND(F18*1.051,0)</f>
        <v>8307714</v>
      </c>
      <c r="H18" s="32">
        <f>ROUND((E18*F18),0)</f>
        <v>0</v>
      </c>
      <c r="I18" s="32">
        <f t="shared" ref="I18:I20" si="6">+ROUND(G18*E18,0)</f>
        <v>0</v>
      </c>
      <c r="J18" s="1289" t="s">
        <v>977</v>
      </c>
      <c r="K18" s="149">
        <v>0</v>
      </c>
      <c r="L18" s="175">
        <f>ROUND(K18*$F$18,0)</f>
        <v>0</v>
      </c>
      <c r="M18" s="176">
        <v>0</v>
      </c>
      <c r="N18" s="149">
        <v>0</v>
      </c>
      <c r="O18" s="175">
        <f>ROUND(N18*$F$18,0)</f>
        <v>0</v>
      </c>
      <c r="P18" s="176">
        <v>0</v>
      </c>
      <c r="Q18" s="416">
        <v>0</v>
      </c>
      <c r="R18" s="175">
        <f t="shared" ref="R18:R20" si="7">ROUND(Q18*G18,0)</f>
        <v>0</v>
      </c>
      <c r="S18" s="176">
        <f t="shared" ref="S18:S20" si="8">+R18/G18</f>
        <v>0</v>
      </c>
      <c r="T18" s="416">
        <f>K18+N18+Q18</f>
        <v>0</v>
      </c>
      <c r="U18" s="175">
        <f>L18+O18+R18</f>
        <v>0</v>
      </c>
      <c r="V18" s="176">
        <v>0</v>
      </c>
    </row>
    <row r="19" spans="1:22" ht="28.8" x14ac:dyDescent="0.3">
      <c r="A19" s="1289"/>
      <c r="B19" s="1289"/>
      <c r="C19" s="353" t="s">
        <v>83</v>
      </c>
      <c r="D19" s="353" t="s">
        <v>120</v>
      </c>
      <c r="E19" s="353">
        <v>0.3</v>
      </c>
      <c r="F19" s="32">
        <v>5014359</v>
      </c>
      <c r="G19" s="32">
        <f t="shared" si="5"/>
        <v>5270091</v>
      </c>
      <c r="H19" s="32">
        <f>ROUND((E19*F19),0)</f>
        <v>1504308</v>
      </c>
      <c r="I19" s="32">
        <f t="shared" si="6"/>
        <v>1581027</v>
      </c>
      <c r="J19" s="1289"/>
      <c r="K19" s="149">
        <v>0</v>
      </c>
      <c r="L19" s="175">
        <f>ROUND(K19*$F$19,0)</f>
        <v>0</v>
      </c>
      <c r="M19" s="176">
        <f>L19/$H$19</f>
        <v>0</v>
      </c>
      <c r="N19" s="149">
        <v>0</v>
      </c>
      <c r="O19" s="175">
        <f>ROUND(N19*$F$19,0)</f>
        <v>0</v>
      </c>
      <c r="P19" s="176">
        <f>O19/$H$19</f>
        <v>0</v>
      </c>
      <c r="Q19" s="416">
        <v>0</v>
      </c>
      <c r="R19" s="175">
        <f t="shared" si="7"/>
        <v>0</v>
      </c>
      <c r="S19" s="176">
        <f t="shared" si="8"/>
        <v>0</v>
      </c>
      <c r="T19" s="416">
        <f>K19+N19+Q19</f>
        <v>0</v>
      </c>
      <c r="U19" s="175">
        <f>L19+O19+R19</f>
        <v>0</v>
      </c>
      <c r="V19" s="176">
        <f>U19/I19</f>
        <v>0</v>
      </c>
    </row>
    <row r="20" spans="1:22" ht="28.8" x14ac:dyDescent="0.3">
      <c r="A20" s="1289"/>
      <c r="B20" s="1289"/>
      <c r="C20" s="353" t="s">
        <v>61</v>
      </c>
      <c r="D20" s="353" t="s">
        <v>121</v>
      </c>
      <c r="E20" s="353">
        <v>0.3</v>
      </c>
      <c r="F20" s="32">
        <v>4283098</v>
      </c>
      <c r="G20" s="32">
        <f t="shared" si="5"/>
        <v>4501536</v>
      </c>
      <c r="H20" s="32">
        <f>ROUND((E20*F20),0)</f>
        <v>1284929</v>
      </c>
      <c r="I20" s="32">
        <f t="shared" si="6"/>
        <v>1350461</v>
      </c>
      <c r="J20" s="1289"/>
      <c r="K20" s="149">
        <v>0</v>
      </c>
      <c r="L20" s="175">
        <f>ROUND(K20*$F$20,0)</f>
        <v>0</v>
      </c>
      <c r="M20" s="176">
        <f>L20/$H$20</f>
        <v>0</v>
      </c>
      <c r="N20" s="395">
        <v>0.3</v>
      </c>
      <c r="O20" s="396">
        <f>ROUND(N20*$F$20,0)</f>
        <v>1284929</v>
      </c>
      <c r="P20" s="397">
        <f>O20/$H$20</f>
        <v>1</v>
      </c>
      <c r="Q20" s="416">
        <v>0</v>
      </c>
      <c r="R20" s="175">
        <f t="shared" si="7"/>
        <v>0</v>
      </c>
      <c r="S20" s="176">
        <f t="shared" si="8"/>
        <v>0</v>
      </c>
      <c r="T20" s="416">
        <f>K20+N20+Q20</f>
        <v>0.3</v>
      </c>
      <c r="U20" s="175">
        <f>L20+O20+R20</f>
        <v>1284929</v>
      </c>
      <c r="V20" s="176">
        <f>U20/H20</f>
        <v>1</v>
      </c>
    </row>
    <row r="21" spans="1:22" x14ac:dyDescent="0.3">
      <c r="A21" s="1289"/>
      <c r="B21" s="1289"/>
      <c r="C21" s="39"/>
      <c r="D21" s="39" t="s">
        <v>116</v>
      </c>
      <c r="E21" s="41"/>
      <c r="F21" s="41"/>
      <c r="G21" s="41"/>
      <c r="H21" s="42">
        <f>SUM(H18:H20)</f>
        <v>2789237</v>
      </c>
      <c r="I21" s="42">
        <f>SUM(I18:I20)</f>
        <v>2931488</v>
      </c>
      <c r="J21" s="1289"/>
      <c r="K21" s="308"/>
      <c r="L21" s="179">
        <f>SUM(L18:L20)</f>
        <v>0</v>
      </c>
      <c r="M21" s="308">
        <f>L21/$H$21</f>
        <v>0</v>
      </c>
      <c r="N21" s="308"/>
      <c r="O21" s="179">
        <f>SUM(O18:O20)</f>
        <v>1284929</v>
      </c>
      <c r="P21" s="308">
        <f>O21/$H$21</f>
        <v>0.46067401228364602</v>
      </c>
      <c r="Q21" s="431"/>
      <c r="R21" s="179">
        <f>SUM(R18:R20)</f>
        <v>0</v>
      </c>
      <c r="S21" s="431">
        <f>R21/$H$21</f>
        <v>0</v>
      </c>
      <c r="T21" s="306"/>
      <c r="U21" s="307">
        <f>L21+O21+R21</f>
        <v>1284929</v>
      </c>
      <c r="V21" s="308">
        <f>U21/I21</f>
        <v>0.43831972022399546</v>
      </c>
    </row>
    <row r="22" spans="1:22" x14ac:dyDescent="0.3">
      <c r="F22" s="151" t="s">
        <v>64</v>
      </c>
      <c r="G22" s="151"/>
      <c r="H22" s="181">
        <f>SUM(H14:H21)/2</f>
        <v>12086694</v>
      </c>
      <c r="I22" s="181">
        <f>SUM(I14:I21)/2</f>
        <v>12703115</v>
      </c>
      <c r="K22" s="151" t="s">
        <v>64</v>
      </c>
      <c r="L22" s="181">
        <f>SUM(L14:L21)/2</f>
        <v>9297457</v>
      </c>
      <c r="M22" s="50">
        <f>L22/H22</f>
        <v>0.76923077559504693</v>
      </c>
      <c r="N22" s="151" t="s">
        <v>64</v>
      </c>
      <c r="O22" s="181">
        <f>SUM(O14:O21)/2</f>
        <v>1284929</v>
      </c>
      <c r="P22" s="50">
        <f>O22/$H$22</f>
        <v>0.10630938451821483</v>
      </c>
      <c r="Q22" s="151" t="s">
        <v>64</v>
      </c>
      <c r="R22" s="181">
        <f>SUM(R14:R21)/2</f>
        <v>0</v>
      </c>
      <c r="S22" s="50">
        <f>R22/$H$22</f>
        <v>0</v>
      </c>
      <c r="T22" s="151" t="s">
        <v>64</v>
      </c>
      <c r="U22" s="181">
        <f>SUM(U14:U21)/2</f>
        <v>10582386</v>
      </c>
      <c r="V22" s="50">
        <f>U22/$H22</f>
        <v>0.87554016011326175</v>
      </c>
    </row>
    <row r="23" spans="1:22" x14ac:dyDescent="0.3">
      <c r="F23" s="153" t="s">
        <v>65</v>
      </c>
      <c r="G23" s="816"/>
      <c r="H23" s="182">
        <f>+((H17*0.3)+H19+H20)*0.03</f>
        <v>167354.22299999997</v>
      </c>
      <c r="I23" s="182">
        <f>+((I17*0.3)+I19+I20)*0.03</f>
        <v>175889.283</v>
      </c>
      <c r="K23" s="153" t="s">
        <v>65</v>
      </c>
      <c r="L23" s="182">
        <f>+((L17*0.3)+L19+L20)*0.03</f>
        <v>83677.112999999998</v>
      </c>
      <c r="M23" s="52"/>
      <c r="N23" s="153" t="s">
        <v>65</v>
      </c>
      <c r="O23" s="182">
        <f>+((O17*0.3)+O19+O20)*0.03</f>
        <v>38547.869999999995</v>
      </c>
      <c r="P23" s="52"/>
      <c r="Q23" s="153" t="s">
        <v>65</v>
      </c>
      <c r="R23" s="182">
        <f>+((R17*0.3)+R19+R20)*0.03</f>
        <v>0</v>
      </c>
      <c r="S23" s="52"/>
      <c r="T23" s="153" t="s">
        <v>65</v>
      </c>
      <c r="U23" s="182">
        <f>+R23+O23+L23</f>
        <v>122224.98299999999</v>
      </c>
      <c r="V23" s="52"/>
    </row>
    <row r="24" spans="1:22" x14ac:dyDescent="0.3">
      <c r="F24" s="152" t="s">
        <v>64</v>
      </c>
      <c r="G24" s="817"/>
      <c r="H24" s="182">
        <f>+H22+H23</f>
        <v>12254048.222999999</v>
      </c>
      <c r="I24" s="182">
        <f>+I22+I23</f>
        <v>12879004.283</v>
      </c>
      <c r="K24" s="152" t="s">
        <v>64</v>
      </c>
      <c r="L24" s="182">
        <f>+L22+L23</f>
        <v>9381134.1129999999</v>
      </c>
      <c r="M24" s="52"/>
      <c r="N24" s="152" t="s">
        <v>64</v>
      </c>
      <c r="O24" s="182">
        <f>+O22+O23</f>
        <v>1323476.8700000001</v>
      </c>
      <c r="P24" s="52"/>
      <c r="Q24" s="152" t="s">
        <v>64</v>
      </c>
      <c r="R24" s="182">
        <f>+R22+R23</f>
        <v>0</v>
      </c>
      <c r="S24" s="52"/>
      <c r="T24" s="152" t="s">
        <v>64</v>
      </c>
      <c r="U24" s="182">
        <f>+U22+U23</f>
        <v>10704610.982999999</v>
      </c>
      <c r="V24" s="52"/>
    </row>
    <row r="25" spans="1:22" ht="26.4" x14ac:dyDescent="0.3">
      <c r="F25" s="152"/>
      <c r="G25" s="817"/>
      <c r="H25" s="182"/>
      <c r="I25" s="182"/>
      <c r="K25" s="152"/>
      <c r="L25" s="182"/>
      <c r="M25" s="52"/>
      <c r="N25" s="152"/>
      <c r="O25" s="182"/>
      <c r="P25" s="52"/>
      <c r="Q25" s="484" t="s">
        <v>1439</v>
      </c>
      <c r="R25" s="182">
        <f>ROUND(R24*0.015,0)</f>
        <v>0</v>
      </c>
      <c r="S25" s="52"/>
      <c r="T25" s="484" t="s">
        <v>1439</v>
      </c>
      <c r="U25" s="182">
        <f>L25+O25+R25</f>
        <v>0</v>
      </c>
      <c r="V25" s="52"/>
    </row>
    <row r="26" spans="1:22" ht="26.4" x14ac:dyDescent="0.3">
      <c r="F26" s="152"/>
      <c r="G26" s="817"/>
      <c r="H26" s="182"/>
      <c r="I26" s="182"/>
      <c r="K26" s="152"/>
      <c r="L26" s="182"/>
      <c r="M26" s="52"/>
      <c r="N26" s="152"/>
      <c r="O26" s="182"/>
      <c r="P26" s="52"/>
      <c r="Q26" s="152" t="s">
        <v>1440</v>
      </c>
      <c r="R26" s="182">
        <f>R24+R25</f>
        <v>0</v>
      </c>
      <c r="S26" s="52"/>
      <c r="T26" s="152" t="s">
        <v>1440</v>
      </c>
      <c r="U26" s="182">
        <f>U24+U25</f>
        <v>10704610.982999999</v>
      </c>
      <c r="V26" s="52"/>
    </row>
    <row r="27" spans="1:22" x14ac:dyDescent="0.3">
      <c r="F27" s="154" t="s">
        <v>66</v>
      </c>
      <c r="G27" s="818"/>
      <c r="H27" s="182">
        <f>+H24*19%</f>
        <v>2328269.16237</v>
      </c>
      <c r="I27" s="182">
        <f>+I24*19%</f>
        <v>2447010.8137699999</v>
      </c>
      <c r="K27" s="154" t="s">
        <v>66</v>
      </c>
      <c r="L27" s="182">
        <f>+L24*19%</f>
        <v>1782415.48147</v>
      </c>
      <c r="M27" s="52"/>
      <c r="N27" s="154" t="s">
        <v>66</v>
      </c>
      <c r="O27" s="182">
        <f>+O24*19%</f>
        <v>251460.60530000002</v>
      </c>
      <c r="P27" s="52"/>
      <c r="Q27" s="154" t="s">
        <v>66</v>
      </c>
      <c r="R27" s="182">
        <f>ROUND(R26*0.19,0)</f>
        <v>0</v>
      </c>
      <c r="S27" s="52"/>
      <c r="T27" s="154" t="s">
        <v>66</v>
      </c>
      <c r="U27" s="182">
        <f>ROUND(U26*0.19,0)</f>
        <v>2033876</v>
      </c>
      <c r="V27" s="52"/>
    </row>
    <row r="28" spans="1:22" x14ac:dyDescent="0.3">
      <c r="F28" s="155" t="s">
        <v>69</v>
      </c>
      <c r="G28" s="155"/>
      <c r="H28" s="181">
        <f>+H24+H27</f>
        <v>14582317.385369999</v>
      </c>
      <c r="I28" s="181">
        <f>+I24+I27</f>
        <v>15326015.09677</v>
      </c>
      <c r="K28" s="155" t="s">
        <v>69</v>
      </c>
      <c r="L28" s="181">
        <f>+L24+L27</f>
        <v>11163549.59447</v>
      </c>
      <c r="M28" s="52"/>
      <c r="N28" s="155" t="s">
        <v>69</v>
      </c>
      <c r="O28" s="181">
        <f>+O24+O27</f>
        <v>1574937.4753</v>
      </c>
      <c r="P28" s="52"/>
      <c r="Q28" s="155" t="s">
        <v>69</v>
      </c>
      <c r="R28" s="181">
        <f>R26+R27</f>
        <v>0</v>
      </c>
      <c r="S28" s="52"/>
      <c r="T28" s="155" t="s">
        <v>69</v>
      </c>
      <c r="U28" s="181">
        <f>U26+U27</f>
        <v>12738486.982999999</v>
      </c>
      <c r="V28" s="52"/>
    </row>
    <row r="30" spans="1:22" x14ac:dyDescent="0.3">
      <c r="A30" s="183" t="s">
        <v>67</v>
      </c>
      <c r="B30" s="184"/>
      <c r="C30" s="184"/>
      <c r="D30" s="185" t="s">
        <v>68</v>
      </c>
      <c r="K30" s="186" t="s">
        <v>70</v>
      </c>
      <c r="L30" s="187" t="s">
        <v>71</v>
      </c>
      <c r="M30" s="186" t="s">
        <v>58</v>
      </c>
      <c r="N30" s="186" t="s">
        <v>70</v>
      </c>
      <c r="O30" s="187" t="s">
        <v>71</v>
      </c>
      <c r="P30" s="186" t="s">
        <v>58</v>
      </c>
      <c r="Q30" s="186" t="s">
        <v>70</v>
      </c>
      <c r="R30" s="187" t="s">
        <v>71</v>
      </c>
      <c r="S30" s="186" t="s">
        <v>58</v>
      </c>
    </row>
    <row r="31" spans="1:22" x14ac:dyDescent="0.3">
      <c r="A31" s="183"/>
      <c r="B31" s="184"/>
      <c r="C31" s="184"/>
      <c r="D31" s="185"/>
      <c r="K31" s="69" t="s">
        <v>72</v>
      </c>
      <c r="L31" s="70">
        <f>$L$22</f>
        <v>9297457</v>
      </c>
      <c r="M31" s="71">
        <f>$M$22</f>
        <v>0.76923077559504693</v>
      </c>
      <c r="N31" s="69" t="s">
        <v>72</v>
      </c>
      <c r="O31" s="70">
        <f>$L$22</f>
        <v>9297457</v>
      </c>
      <c r="P31" s="71">
        <f>$M$22</f>
        <v>0.76923077559504693</v>
      </c>
      <c r="Q31" s="69" t="s">
        <v>72</v>
      </c>
      <c r="R31" s="70">
        <f>$L$22</f>
        <v>9297457</v>
      </c>
      <c r="S31" s="71">
        <f>$M$22</f>
        <v>0.76923077559504693</v>
      </c>
    </row>
    <row r="32" spans="1:22" x14ac:dyDescent="0.3">
      <c r="A32" s="183"/>
      <c r="B32" s="184"/>
      <c r="C32" s="184"/>
      <c r="D32" s="185"/>
      <c r="K32" s="69"/>
      <c r="L32" s="70"/>
      <c r="M32" s="71"/>
      <c r="N32" s="69" t="s">
        <v>73</v>
      </c>
      <c r="O32" s="70">
        <f>$O$22</f>
        <v>1284929</v>
      </c>
      <c r="P32" s="71">
        <f>$P$22</f>
        <v>0.10630938451821483</v>
      </c>
      <c r="Q32" s="69" t="s">
        <v>73</v>
      </c>
      <c r="R32" s="70">
        <f>$O$22</f>
        <v>1284929</v>
      </c>
      <c r="S32" s="71">
        <f>$P$22</f>
        <v>0.10630938451821483</v>
      </c>
    </row>
    <row r="33" spans="1:19" x14ac:dyDescent="0.3">
      <c r="A33" s="183"/>
      <c r="B33" s="184"/>
      <c r="C33" s="184"/>
      <c r="D33" s="185"/>
      <c r="K33" s="69"/>
      <c r="L33" s="70"/>
      <c r="M33" s="71"/>
      <c r="N33" s="69"/>
      <c r="O33" s="70"/>
      <c r="P33" s="71"/>
      <c r="Q33" s="69" t="s">
        <v>74</v>
      </c>
      <c r="R33" s="70">
        <f>$R$22</f>
        <v>0</v>
      </c>
      <c r="S33" s="71">
        <f>$S$22</f>
        <v>0</v>
      </c>
    </row>
    <row r="34" spans="1:19" x14ac:dyDescent="0.3">
      <c r="A34" s="183"/>
      <c r="B34" s="184"/>
      <c r="C34" s="184"/>
      <c r="D34" s="185"/>
      <c r="K34" s="72" t="s">
        <v>1</v>
      </c>
      <c r="L34" s="105">
        <f>SUM(L31:L31)</f>
        <v>9297457</v>
      </c>
      <c r="M34" s="73">
        <f>SUM(M31:M31)</f>
        <v>0.76923077559504693</v>
      </c>
      <c r="N34" s="72" t="s">
        <v>1</v>
      </c>
      <c r="O34" s="105">
        <f>SUM(O31:O32)</f>
        <v>10582386</v>
      </c>
      <c r="P34" s="73">
        <f>SUM(P31:P32)</f>
        <v>0.87554016011326175</v>
      </c>
      <c r="Q34" s="72" t="s">
        <v>1</v>
      </c>
      <c r="R34" s="105">
        <f>SUM(R31:R33)</f>
        <v>10582386</v>
      </c>
      <c r="S34" s="73">
        <f>SUM(S31:S33)</f>
        <v>0.87554016011326175</v>
      </c>
    </row>
    <row r="35" spans="1:19" x14ac:dyDescent="0.3">
      <c r="A35" s="183"/>
      <c r="B35" s="184"/>
      <c r="C35" s="184"/>
      <c r="D35" s="185"/>
      <c r="K35" s="72" t="s">
        <v>9</v>
      </c>
      <c r="L35" s="1285"/>
      <c r="M35" s="1286"/>
      <c r="N35" s="72" t="s">
        <v>9</v>
      </c>
      <c r="O35" s="1285"/>
      <c r="P35" s="1286"/>
      <c r="Q35" s="72" t="s">
        <v>9</v>
      </c>
      <c r="R35" s="1285"/>
      <c r="S35" s="1286"/>
    </row>
    <row r="36" spans="1:19" x14ac:dyDescent="0.3">
      <c r="A36" s="183"/>
      <c r="B36" s="184"/>
      <c r="C36" s="184"/>
      <c r="D36" s="185"/>
      <c r="K36" s="156" t="s">
        <v>78</v>
      </c>
      <c r="L36" s="1285" t="s">
        <v>504</v>
      </c>
      <c r="M36" s="1286"/>
      <c r="N36" s="156" t="s">
        <v>78</v>
      </c>
      <c r="O36" s="1285" t="s">
        <v>504</v>
      </c>
      <c r="P36" s="1286"/>
      <c r="Q36" s="156" t="s">
        <v>78</v>
      </c>
      <c r="R36" s="1285" t="s">
        <v>504</v>
      </c>
      <c r="S36" s="1286"/>
    </row>
    <row r="37" spans="1:19" x14ac:dyDescent="0.3">
      <c r="A37" s="183"/>
      <c r="B37" s="184"/>
      <c r="C37" s="184"/>
      <c r="D37" s="185"/>
      <c r="K37" s="157" t="s">
        <v>8</v>
      </c>
      <c r="L37" s="1287" t="s">
        <v>505</v>
      </c>
      <c r="M37" s="1288"/>
      <c r="N37" s="157" t="s">
        <v>8</v>
      </c>
      <c r="O37" s="1287" t="s">
        <v>505</v>
      </c>
      <c r="P37" s="1288"/>
      <c r="Q37" s="157" t="s">
        <v>8</v>
      </c>
      <c r="R37" s="1287" t="s">
        <v>505</v>
      </c>
      <c r="S37" s="1288"/>
    </row>
    <row r="38" spans="1:19" x14ac:dyDescent="0.3">
      <c r="A38" s="183"/>
      <c r="B38" s="184"/>
      <c r="C38" s="184"/>
      <c r="D38" s="185" t="s">
        <v>75</v>
      </c>
    </row>
    <row r="39" spans="1:19" x14ac:dyDescent="0.3">
      <c r="A39" s="183" t="s">
        <v>76</v>
      </c>
      <c r="B39" s="180"/>
      <c r="C39" s="180"/>
      <c r="D39" s="185" t="s">
        <v>77</v>
      </c>
    </row>
    <row r="40" spans="1:19" x14ac:dyDescent="0.3">
      <c r="A40" s="183" t="s">
        <v>79</v>
      </c>
      <c r="B40" s="180"/>
      <c r="C40" s="180"/>
      <c r="D40" s="185" t="s">
        <v>80</v>
      </c>
    </row>
    <row r="41" spans="1:19" x14ac:dyDescent="0.3">
      <c r="A41" s="52"/>
      <c r="B41" s="52"/>
      <c r="C41" s="52"/>
      <c r="D41" s="52"/>
    </row>
  </sheetData>
  <sheetProtection formatCells="0" formatColumns="0" formatRows="0" insertColumns="0" insertRows="0" insertHyperlinks="0" deleteColumns="0" deleteRows="0" sort="0" autoFilter="0" pivotTables="0"/>
  <mergeCells count="32">
    <mergeCell ref="T11:V12"/>
    <mergeCell ref="B12:J12"/>
    <mergeCell ref="T1:V1"/>
    <mergeCell ref="T2:V2"/>
    <mergeCell ref="A3:V3"/>
    <mergeCell ref="A4:V4"/>
    <mergeCell ref="A5:V5"/>
    <mergeCell ref="A6:V6"/>
    <mergeCell ref="A7:V7"/>
    <mergeCell ref="A8:V8"/>
    <mergeCell ref="A9:V9"/>
    <mergeCell ref="A10:V10"/>
    <mergeCell ref="N11:P12"/>
    <mergeCell ref="Q11:S12"/>
    <mergeCell ref="B11:J11"/>
    <mergeCell ref="K11:M12"/>
    <mergeCell ref="R35:S35"/>
    <mergeCell ref="R36:S36"/>
    <mergeCell ref="R37:S37"/>
    <mergeCell ref="C1:S2"/>
    <mergeCell ref="A14:A17"/>
    <mergeCell ref="B14:B17"/>
    <mergeCell ref="J14:J17"/>
    <mergeCell ref="A18:A21"/>
    <mergeCell ref="B18:B21"/>
    <mergeCell ref="J18:J21"/>
    <mergeCell ref="O35:P35"/>
    <mergeCell ref="O36:P36"/>
    <mergeCell ref="O37:P37"/>
    <mergeCell ref="L35:M35"/>
    <mergeCell ref="L36:M36"/>
    <mergeCell ref="L37:M37"/>
  </mergeCells>
  <pageMargins left="0.7" right="0.7" top="0.75" bottom="0.75" header="0.3" footer="0.3"/>
  <pageSetup scale="44" orientation="landscape" r:id="rId1"/>
  <drawing r:id="rId2"/>
  <legacyDrawingHF r:id="rId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tabColor theme="1"/>
  </sheetPr>
  <dimension ref="A1:G49"/>
  <sheetViews>
    <sheetView topLeftCell="A16" workbookViewId="0">
      <selection activeCell="G34" sqref="G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RESUMEN!G39</f>
        <v>Proyecto: CDIM_CBSGSM_R0146, NORMALIZ Y REPOS SE EL SOL, Elaboración de Planos de Control y Planos As Built Proyecto Ampliación Capacidad AT/MT, CS – SQ.</v>
      </c>
      <c r="C5" s="1281"/>
      <c r="D5" s="1281"/>
      <c r="E5" s="1281"/>
      <c r="F5" s="1281"/>
      <c r="G5" s="1282"/>
    </row>
    <row r="6" spans="1:7" x14ac:dyDescent="0.25">
      <c r="A6" s="1177"/>
      <c r="B6" s="1177"/>
      <c r="C6" s="1177"/>
      <c r="D6" s="1177"/>
      <c r="E6" s="1177"/>
      <c r="F6" s="1177"/>
      <c r="G6" s="1177"/>
    </row>
    <row r="7" spans="1:7" x14ac:dyDescent="0.25">
      <c r="A7" s="271" t="s">
        <v>0</v>
      </c>
      <c r="B7" s="1264" t="str">
        <f>RESUMEN!B39</f>
        <v>D00235068</v>
      </c>
      <c r="C7" s="1265"/>
      <c r="D7" s="1177"/>
      <c r="E7" s="1266" t="s">
        <v>627</v>
      </c>
      <c r="F7" s="1267"/>
      <c r="G7" s="280" t="str">
        <f>RESUMEN!E39</f>
        <v xml:space="preserve">17-198 </v>
      </c>
    </row>
    <row r="8" spans="1:7" x14ac:dyDescent="0.25">
      <c r="A8" s="271" t="s">
        <v>628</v>
      </c>
      <c r="B8" s="1264">
        <f>RESUMEN!C39</f>
        <v>0</v>
      </c>
      <c r="C8" s="1265"/>
      <c r="D8" s="1177"/>
      <c r="E8" s="1266" t="s">
        <v>629</v>
      </c>
      <c r="F8" s="1267"/>
      <c r="G8" s="280" t="str">
        <f>RESUMEN!U39</f>
        <v>Acta N° 3: Marzo</v>
      </c>
    </row>
    <row r="9" spans="1:7" x14ac:dyDescent="0.25">
      <c r="A9" s="271" t="s">
        <v>630</v>
      </c>
      <c r="B9" s="1283" t="s">
        <v>631</v>
      </c>
      <c r="C9" s="1265"/>
      <c r="D9" s="1177"/>
      <c r="E9" s="1266" t="s">
        <v>632</v>
      </c>
      <c r="F9" s="1267"/>
      <c r="G9" s="1178">
        <f>RESUMEN!H39</f>
        <v>2039799</v>
      </c>
    </row>
    <row r="10" spans="1:7" x14ac:dyDescent="0.25">
      <c r="A10" s="271" t="s">
        <v>633</v>
      </c>
      <c r="B10" s="1283" t="str">
        <f>RESUMEN!D39</f>
        <v>SESQUILE AS BUILT</v>
      </c>
      <c r="C10" s="1265"/>
      <c r="D10" s="1177"/>
      <c r="E10" s="1266" t="s">
        <v>634</v>
      </c>
      <c r="F10" s="1267"/>
      <c r="G10" s="1178">
        <f>RESUMEN!R39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RESUMEN!V39,"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",RESUMEN!G39)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CDIM_CBSGSM_R0146, NORMALIZ Y REPOS SE EL SOL, Elaboración de Planos de Control y Planos As Built Proyecto Ampliación Capacidad AT/MT, CS – SQ.</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RESUMEN!N39</f>
        <v>0</v>
      </c>
      <c r="F19" s="1248"/>
      <c r="G19" s="1177"/>
    </row>
    <row r="20" spans="1:7" ht="27" customHeight="1" x14ac:dyDescent="0.25">
      <c r="A20" s="1177"/>
      <c r="B20" s="1244" t="s">
        <v>1498</v>
      </c>
      <c r="C20" s="1245"/>
      <c r="D20" s="1246"/>
      <c r="E20" s="1247">
        <f>RESUMEN!P39</f>
        <v>0</v>
      </c>
      <c r="F20" s="1248"/>
      <c r="G20" s="1177"/>
    </row>
    <row r="21" spans="1:7" ht="27" customHeight="1" x14ac:dyDescent="0.25">
      <c r="A21" s="1177"/>
      <c r="B21" s="1244" t="s">
        <v>1499</v>
      </c>
      <c r="C21" s="1245"/>
      <c r="D21" s="1246"/>
      <c r="E21" s="1247">
        <f>RESUMEN!Q39</f>
        <v>0</v>
      </c>
      <c r="F21" s="1248"/>
      <c r="G21" s="1177"/>
    </row>
    <row r="22" spans="1:7" x14ac:dyDescent="0.25">
      <c r="A22" s="1177"/>
      <c r="B22" s="1254" t="s">
        <v>64</v>
      </c>
      <c r="C22" s="1254"/>
      <c r="D22" s="1254"/>
      <c r="E22" s="1255">
        <f>RESUMEN!R39</f>
        <v>0</v>
      </c>
      <c r="F22" s="1255"/>
      <c r="G22" s="1177"/>
    </row>
    <row r="23" spans="1:7" x14ac:dyDescent="0.25">
      <c r="A23" s="1177"/>
      <c r="B23" s="1256" t="s">
        <v>66</v>
      </c>
      <c r="C23" s="1256"/>
      <c r="D23" s="1256"/>
      <c r="E23" s="1257">
        <f>RESUMEN!S39</f>
        <v>0</v>
      </c>
      <c r="F23" s="1257"/>
      <c r="G23" s="1177"/>
    </row>
    <row r="24" spans="1:7" x14ac:dyDescent="0.25">
      <c r="A24" s="1177"/>
      <c r="B24" s="1258" t="s">
        <v>1</v>
      </c>
      <c r="C24" s="1258"/>
      <c r="D24" s="1258"/>
      <c r="E24" s="1259">
        <f>RESUMEN!T39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+'OT17-198 SESQUILE AS BUILT'!O49</f>
        <v>ACTA 1</v>
      </c>
      <c r="C28" s="1253">
        <f>+'OT17-198 SESQUILE AS BUILT'!P49</f>
        <v>373872</v>
      </c>
      <c r="D28" s="1253"/>
      <c r="E28" s="267">
        <f>+'OT17-198 SESQUILE AS BUILT'!Q49</f>
        <v>0.18328864755792115</v>
      </c>
      <c r="F28" s="1177"/>
      <c r="G28" s="1177"/>
    </row>
    <row r="29" spans="1:7" x14ac:dyDescent="0.25">
      <c r="A29" s="1177"/>
      <c r="B29" s="280" t="str">
        <f>+'OT17-198 SESQUILE AS BUILT'!O50</f>
        <v>ACTA 2</v>
      </c>
      <c r="C29" s="1253">
        <f>+'OT17-198 SESQUILE AS BUILT'!P50</f>
        <v>373872</v>
      </c>
      <c r="D29" s="1253"/>
      <c r="E29" s="267">
        <f>+'OT17-198 SESQUILE AS BUILT'!Q50</f>
        <v>0.18328864755792115</v>
      </c>
      <c r="F29" s="1177"/>
      <c r="G29" s="1177"/>
    </row>
    <row r="30" spans="1:7" x14ac:dyDescent="0.25">
      <c r="A30" s="1177"/>
      <c r="B30" s="280" t="str">
        <f>+'OT17-198 SESQUILE AS BUILT'!O51</f>
        <v>ACTA 3</v>
      </c>
      <c r="C30" s="1253">
        <f>+'OT17-198 SESQUILE AS BUILT'!P51</f>
        <v>0</v>
      </c>
      <c r="D30" s="1253"/>
      <c r="E30" s="267">
        <f>+'OT17-198 SESQUILE AS BUILT'!Q51</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747744</v>
      </c>
      <c r="D34" s="1251"/>
      <c r="E34" s="264">
        <f>SUM(E28:E33)</f>
        <v>0.36657729511584231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RESUMEN!V39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8:C48"/>
    <mergeCell ref="E48:G48"/>
    <mergeCell ref="A41:C41"/>
    <mergeCell ref="E41:G41"/>
    <mergeCell ref="A47:C47"/>
    <mergeCell ref="E47:G47"/>
    <mergeCell ref="A42:C42"/>
    <mergeCell ref="E42:G42"/>
    <mergeCell ref="C33:D33"/>
    <mergeCell ref="A40:C40"/>
    <mergeCell ref="E40:G40"/>
    <mergeCell ref="C34:D34"/>
    <mergeCell ref="A36:G36"/>
    <mergeCell ref="E18:F18"/>
    <mergeCell ref="B19:D19"/>
    <mergeCell ref="E19:F19"/>
    <mergeCell ref="C32:D32"/>
    <mergeCell ref="B22:D22"/>
    <mergeCell ref="E22:F22"/>
    <mergeCell ref="B23:D23"/>
    <mergeCell ref="E23:F23"/>
    <mergeCell ref="B24:D24"/>
    <mergeCell ref="E24:F24"/>
    <mergeCell ref="C27:D27"/>
    <mergeCell ref="C28:D28"/>
    <mergeCell ref="C29:D29"/>
    <mergeCell ref="C30:D30"/>
    <mergeCell ref="C31:D31"/>
    <mergeCell ref="A1:A3"/>
    <mergeCell ref="B1:F3"/>
    <mergeCell ref="B5:G5"/>
    <mergeCell ref="B7:C7"/>
    <mergeCell ref="E7:F7"/>
    <mergeCell ref="A49:C49"/>
    <mergeCell ref="E49:G49"/>
    <mergeCell ref="B8:C8"/>
    <mergeCell ref="E8:F8"/>
    <mergeCell ref="B21:D21"/>
    <mergeCell ref="E21:F21"/>
    <mergeCell ref="B20:D20"/>
    <mergeCell ref="E20:F20"/>
    <mergeCell ref="B9:C9"/>
    <mergeCell ref="E9:F9"/>
    <mergeCell ref="B10:C10"/>
    <mergeCell ref="E10:F10"/>
    <mergeCell ref="A12:G12"/>
    <mergeCell ref="A14:G14"/>
    <mergeCell ref="A16:G16"/>
    <mergeCell ref="B18:D18"/>
  </mergeCells>
  <pageMargins left="0.70866141732283472" right="0.70866141732283472" top="0.74803149606299213" bottom="0.74803149606299213" header="0.31496062992125984" footer="0.31496062992125984"/>
  <pageSetup scale="90"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tabColor rgb="FFFF0000"/>
  </sheetPr>
  <dimension ref="A1:AI61"/>
  <sheetViews>
    <sheetView topLeftCell="A10" zoomScale="70" zoomScaleNormal="70" workbookViewId="0">
      <selection activeCell="G17" sqref="G17"/>
    </sheetView>
  </sheetViews>
  <sheetFormatPr baseColWidth="10" defaultColWidth="11.44140625" defaultRowHeight="14.4" x14ac:dyDescent="0.3"/>
  <cols>
    <col min="1" max="1" width="15.33203125" style="302" customWidth="1"/>
    <col min="2" max="2" width="23.6640625" style="302" customWidth="1"/>
    <col min="3" max="3" width="31.109375" style="302" customWidth="1"/>
    <col min="4" max="4" width="23.33203125" style="302" customWidth="1"/>
    <col min="5" max="5" width="10.5546875" style="302" bestFit="1" customWidth="1"/>
    <col min="6" max="6" width="16.6640625" style="302" customWidth="1"/>
    <col min="7" max="7" width="15.33203125" style="302" bestFit="1" customWidth="1"/>
    <col min="8" max="8" width="37.33203125" style="302" customWidth="1"/>
    <col min="9" max="9" width="19" style="302" hidden="1" customWidth="1"/>
    <col min="10" max="10" width="17.6640625" style="302" hidden="1" customWidth="1"/>
    <col min="11" max="11" width="0" style="302" hidden="1" customWidth="1"/>
    <col min="12" max="12" width="19" style="591" customWidth="1"/>
    <col min="13" max="13" width="17.6640625" style="591" customWidth="1"/>
    <col min="14" max="14" width="15.6640625" style="591" bestFit="1" customWidth="1"/>
    <col min="15" max="17" width="15.6640625" style="1054" customWidth="1"/>
    <col min="18" max="18" width="12.33203125" style="599" customWidth="1"/>
    <col min="19" max="19" width="15.33203125" style="302" bestFit="1" customWidth="1"/>
    <col min="20" max="20" width="13.44140625" style="302" customWidth="1"/>
    <col min="21" max="16384" width="11.44140625" style="302"/>
  </cols>
  <sheetData>
    <row r="1" spans="1:20" ht="70.5" customHeight="1" x14ac:dyDescent="0.3">
      <c r="A1" s="169"/>
      <c r="B1" s="188"/>
      <c r="C1" s="1461" t="s">
        <v>40</v>
      </c>
      <c r="D1" s="1462"/>
      <c r="E1" s="1462"/>
      <c r="F1" s="1462"/>
      <c r="G1" s="1462"/>
      <c r="H1" s="1462"/>
      <c r="I1" s="1462"/>
      <c r="J1" s="1462"/>
      <c r="K1" s="1462"/>
      <c r="L1" s="1462"/>
      <c r="M1" s="1462"/>
      <c r="N1" s="1463"/>
      <c r="O1" s="1060"/>
      <c r="P1" s="1060"/>
      <c r="Q1" s="1060"/>
      <c r="R1" s="1459" t="s">
        <v>1708</v>
      </c>
      <c r="S1" s="1459"/>
      <c r="T1" s="1459"/>
    </row>
    <row r="2" spans="1:20" ht="13.5" customHeight="1" thickBot="1" x14ac:dyDescent="0.35">
      <c r="A2" s="170"/>
      <c r="B2" s="190"/>
      <c r="C2" s="1461"/>
      <c r="D2" s="1462"/>
      <c r="E2" s="1462"/>
      <c r="F2" s="1462"/>
      <c r="G2" s="1462"/>
      <c r="H2" s="1462"/>
      <c r="I2" s="1462"/>
      <c r="J2" s="1462"/>
      <c r="K2" s="1462"/>
      <c r="L2" s="1462"/>
      <c r="M2" s="1462"/>
      <c r="N2" s="1463"/>
      <c r="O2" s="1060"/>
      <c r="P2" s="1060"/>
      <c r="Q2" s="1060"/>
      <c r="R2" s="1460" t="s">
        <v>41</v>
      </c>
      <c r="S2" s="1460"/>
      <c r="T2" s="1460"/>
    </row>
    <row r="3" spans="1:20"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row>
    <row r="4" spans="1:20"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row>
    <row r="5" spans="1:20"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row>
    <row r="6" spans="1:20"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row>
    <row r="7" spans="1:20" ht="13.5" customHeight="1" x14ac:dyDescent="0.3">
      <c r="A7" s="1291" t="s">
        <v>1706</v>
      </c>
      <c r="B7" s="1292"/>
      <c r="C7" s="1292"/>
      <c r="D7" s="1292"/>
      <c r="E7" s="1292"/>
      <c r="F7" s="1292"/>
      <c r="G7" s="1292"/>
      <c r="H7" s="1292"/>
      <c r="I7" s="1292"/>
      <c r="J7" s="1292"/>
      <c r="K7" s="1292"/>
      <c r="L7" s="1292"/>
      <c r="M7" s="1292"/>
      <c r="N7" s="1292"/>
      <c r="O7" s="1292"/>
      <c r="P7" s="1292"/>
      <c r="Q7" s="1292"/>
      <c r="R7" s="1292"/>
      <c r="S7" s="1292"/>
      <c r="T7" s="1292"/>
    </row>
    <row r="8" spans="1:20"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row>
    <row r="9" spans="1:20"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row>
    <row r="10" spans="1:20" ht="13.5" customHeight="1" x14ac:dyDescent="0.3">
      <c r="A10" s="1292" t="s">
        <v>1705</v>
      </c>
      <c r="B10" s="1292"/>
      <c r="C10" s="1292"/>
      <c r="D10" s="1292"/>
      <c r="E10" s="1292"/>
      <c r="F10" s="1292"/>
      <c r="G10" s="1292"/>
      <c r="H10" s="1292"/>
      <c r="I10" s="1292"/>
      <c r="J10" s="1292"/>
      <c r="K10" s="1292"/>
      <c r="L10" s="1292"/>
      <c r="M10" s="1292"/>
      <c r="N10" s="1292"/>
      <c r="O10" s="1292"/>
      <c r="P10" s="1292"/>
      <c r="Q10" s="1292"/>
      <c r="R10" s="1292"/>
      <c r="S10" s="1292"/>
      <c r="T10" s="1292"/>
    </row>
    <row r="11" spans="1:20" ht="30.75" customHeight="1" x14ac:dyDescent="0.3">
      <c r="A11" s="509"/>
      <c r="B11" s="1301"/>
      <c r="C11" s="1313"/>
      <c r="D11" s="1313"/>
      <c r="E11" s="1313"/>
      <c r="F11" s="1313"/>
      <c r="G11" s="1313"/>
      <c r="H11" s="1313"/>
      <c r="I11" s="1453" t="s">
        <v>1707</v>
      </c>
      <c r="J11" s="1454"/>
      <c r="K11" s="1455"/>
      <c r="L11" s="1464" t="s">
        <v>1722</v>
      </c>
      <c r="M11" s="1465"/>
      <c r="N11" s="1466"/>
      <c r="O11" s="1293" t="s">
        <v>2318</v>
      </c>
      <c r="P11" s="1294"/>
      <c r="Q11" s="1295"/>
      <c r="R11" s="1299" t="s">
        <v>49</v>
      </c>
      <c r="S11" s="1299"/>
      <c r="T11" s="1299"/>
    </row>
    <row r="12" spans="1:20" ht="13.5" customHeight="1" x14ac:dyDescent="0.3">
      <c r="A12" s="171"/>
      <c r="B12" s="1301"/>
      <c r="C12" s="1302"/>
      <c r="D12" s="1302"/>
      <c r="E12" s="1302"/>
      <c r="F12" s="1302"/>
      <c r="G12" s="1302"/>
      <c r="H12" s="1302"/>
      <c r="I12" s="1456"/>
      <c r="J12" s="1457"/>
      <c r="K12" s="1458"/>
      <c r="L12" s="1467"/>
      <c r="M12" s="1468"/>
      <c r="N12" s="1469"/>
      <c r="O12" s="1296"/>
      <c r="P12" s="1297"/>
      <c r="Q12" s="1298"/>
      <c r="R12" s="1300"/>
      <c r="S12" s="1300"/>
      <c r="T12" s="1300"/>
    </row>
    <row r="13" spans="1:20" ht="28.8" x14ac:dyDescent="0.3">
      <c r="A13" s="159" t="s">
        <v>50</v>
      </c>
      <c r="B13" s="159" t="s">
        <v>51</v>
      </c>
      <c r="C13" s="159" t="s">
        <v>52</v>
      </c>
      <c r="D13" s="159" t="s">
        <v>164</v>
      </c>
      <c r="E13" s="159" t="s">
        <v>54</v>
      </c>
      <c r="F13" s="141" t="s">
        <v>55</v>
      </c>
      <c r="G13" s="159" t="s">
        <v>56</v>
      </c>
      <c r="H13" s="159" t="s">
        <v>57</v>
      </c>
      <c r="I13" s="541" t="s">
        <v>54</v>
      </c>
      <c r="J13" s="28" t="s">
        <v>56</v>
      </c>
      <c r="K13" s="28" t="s">
        <v>58</v>
      </c>
      <c r="L13" s="541" t="s">
        <v>54</v>
      </c>
      <c r="M13" s="28" t="s">
        <v>56</v>
      </c>
      <c r="N13" s="28" t="s">
        <v>58</v>
      </c>
      <c r="O13" s="541" t="s">
        <v>54</v>
      </c>
      <c r="P13" s="28" t="s">
        <v>56</v>
      </c>
      <c r="Q13" s="28" t="s">
        <v>58</v>
      </c>
      <c r="R13" s="593" t="s">
        <v>54</v>
      </c>
      <c r="S13" s="172" t="s">
        <v>56</v>
      </c>
      <c r="T13" s="28" t="s">
        <v>58</v>
      </c>
    </row>
    <row r="14" spans="1:20" ht="28.8" x14ac:dyDescent="0.3">
      <c r="A14" s="1289" t="s">
        <v>201</v>
      </c>
      <c r="B14" s="1289" t="s">
        <v>1695</v>
      </c>
      <c r="C14" s="510" t="s">
        <v>81</v>
      </c>
      <c r="D14" s="510" t="s">
        <v>1112</v>
      </c>
      <c r="E14" s="510">
        <v>0</v>
      </c>
      <c r="F14" s="32">
        <v>9192992</v>
      </c>
      <c r="G14" s="32">
        <f>ROUND((E14*F14),0)</f>
        <v>0</v>
      </c>
      <c r="H14" s="1289" t="s">
        <v>825</v>
      </c>
      <c r="I14" s="163">
        <v>0</v>
      </c>
      <c r="J14" s="164">
        <f>ROUND(I14*F14,0)</f>
        <v>0</v>
      </c>
      <c r="K14" s="165">
        <v>0</v>
      </c>
      <c r="L14" s="163">
        <v>0</v>
      </c>
      <c r="M14" s="164">
        <f>ROUND(L14*F14,0)</f>
        <v>0</v>
      </c>
      <c r="N14" s="165">
        <v>0</v>
      </c>
      <c r="O14" s="163">
        <v>0</v>
      </c>
      <c r="P14" s="164">
        <f>ROUND(O14*F14,0)</f>
        <v>0</v>
      </c>
      <c r="Q14" s="165">
        <v>0</v>
      </c>
      <c r="R14" s="163">
        <f>+I14+L14+O14</f>
        <v>0</v>
      </c>
      <c r="S14" s="164">
        <f>+J14+M14+P14</f>
        <v>0</v>
      </c>
      <c r="T14" s="165">
        <f t="shared" ref="T14:T15" si="0">+K14+N14</f>
        <v>0</v>
      </c>
    </row>
    <row r="15" spans="1:20" ht="28.8" x14ac:dyDescent="0.3">
      <c r="A15" s="1289"/>
      <c r="B15" s="1289"/>
      <c r="C15" s="510" t="s">
        <v>83</v>
      </c>
      <c r="D15" s="510" t="s">
        <v>1113</v>
      </c>
      <c r="E15" s="510">
        <v>0.05</v>
      </c>
      <c r="F15" s="32">
        <v>8775129</v>
      </c>
      <c r="G15" s="32">
        <f>ROUND((E15*F15),0)</f>
        <v>438756</v>
      </c>
      <c r="H15" s="1289"/>
      <c r="I15" s="163">
        <v>0</v>
      </c>
      <c r="J15" s="164">
        <f>ROUND(I15*F15,0)</f>
        <v>0</v>
      </c>
      <c r="K15" s="165">
        <f>J15/$G$15</f>
        <v>0</v>
      </c>
      <c r="L15" s="163">
        <v>0</v>
      </c>
      <c r="M15" s="164">
        <f>ROUND(L15*F15,0)</f>
        <v>0</v>
      </c>
      <c r="N15" s="165">
        <f>+M15/G15</f>
        <v>0</v>
      </c>
      <c r="O15" s="163">
        <v>0</v>
      </c>
      <c r="P15" s="164">
        <f>ROUND(O15*F15,0)</f>
        <v>0</v>
      </c>
      <c r="Q15" s="165">
        <f>+P15/G15</f>
        <v>0</v>
      </c>
      <c r="R15" s="163">
        <f t="shared" ref="R15:R38" si="1">+I15+L15+O15</f>
        <v>0</v>
      </c>
      <c r="S15" s="164">
        <f t="shared" ref="S15:S39" si="2">+J15+M15+P15</f>
        <v>0</v>
      </c>
      <c r="T15" s="165">
        <f t="shared" si="0"/>
        <v>0</v>
      </c>
    </row>
    <row r="16" spans="1:20" x14ac:dyDescent="0.3">
      <c r="A16" s="1289"/>
      <c r="B16" s="1289"/>
      <c r="C16" s="542"/>
      <c r="D16" s="542" t="s">
        <v>169</v>
      </c>
      <c r="E16" s="543"/>
      <c r="F16" s="543"/>
      <c r="G16" s="544">
        <f>SUM(G14:G15)</f>
        <v>438756</v>
      </c>
      <c r="H16" s="1289"/>
      <c r="I16" s="200"/>
      <c r="J16" s="307">
        <f>SUM(J14:J15)</f>
        <v>0</v>
      </c>
      <c r="K16" s="431">
        <f>+J16/G16</f>
        <v>0</v>
      </c>
      <c r="L16" s="200"/>
      <c r="M16" s="307">
        <f>SUM(M14:M15)</f>
        <v>0</v>
      </c>
      <c r="N16" s="431">
        <f>+M16/G16</f>
        <v>0</v>
      </c>
      <c r="O16" s="200"/>
      <c r="P16" s="307">
        <f>SUM(P14:P15)</f>
        <v>0</v>
      </c>
      <c r="Q16" s="1086">
        <f t="shared" ref="Q16:Q39" si="3">+P16/G16</f>
        <v>0</v>
      </c>
      <c r="R16" s="1094"/>
      <c r="S16" s="1085">
        <f t="shared" si="2"/>
        <v>0</v>
      </c>
      <c r="T16" s="431">
        <f>+S16/G16</f>
        <v>0</v>
      </c>
    </row>
    <row r="17" spans="1:20" ht="43.2" x14ac:dyDescent="0.3">
      <c r="A17" s="1289" t="s">
        <v>97</v>
      </c>
      <c r="B17" s="1289" t="s">
        <v>1696</v>
      </c>
      <c r="C17" s="510" t="s">
        <v>59</v>
      </c>
      <c r="D17" s="510" t="s">
        <v>99</v>
      </c>
      <c r="E17" s="510">
        <v>0</v>
      </c>
      <c r="F17" s="32">
        <v>10551047</v>
      </c>
      <c r="G17" s="32">
        <f>ROUND((E17*F17),0)</f>
        <v>0</v>
      </c>
      <c r="H17" s="1289" t="s">
        <v>825</v>
      </c>
      <c r="I17" s="163">
        <v>0</v>
      </c>
      <c r="J17" s="164">
        <f t="shared" ref="J17:J18" si="4">ROUND(I17*F17,0)</f>
        <v>0</v>
      </c>
      <c r="K17" s="165">
        <v>0</v>
      </c>
      <c r="L17" s="163">
        <v>0</v>
      </c>
      <c r="M17" s="164">
        <f t="shared" ref="M17" si="5">ROUND(L17*F17,0)</f>
        <v>0</v>
      </c>
      <c r="N17" s="165">
        <v>0</v>
      </c>
      <c r="O17" s="163">
        <v>0</v>
      </c>
      <c r="P17" s="164">
        <f>ROUND(O17*F17,0)</f>
        <v>0</v>
      </c>
      <c r="Q17" s="165">
        <v>0</v>
      </c>
      <c r="R17" s="163">
        <f t="shared" si="1"/>
        <v>0</v>
      </c>
      <c r="S17" s="164">
        <f t="shared" si="2"/>
        <v>0</v>
      </c>
      <c r="T17" s="165">
        <v>0</v>
      </c>
    </row>
    <row r="18" spans="1:20" ht="28.8" x14ac:dyDescent="0.3">
      <c r="A18" s="1289"/>
      <c r="B18" s="1289"/>
      <c r="C18" s="510" t="s">
        <v>61</v>
      </c>
      <c r="D18" s="510" t="s">
        <v>101</v>
      </c>
      <c r="E18" s="510">
        <v>0.05</v>
      </c>
      <c r="F18" s="32">
        <v>4213455</v>
      </c>
      <c r="G18" s="32">
        <f>ROUND((E18*F18),0)</f>
        <v>210673</v>
      </c>
      <c r="H18" s="1289"/>
      <c r="I18" s="163">
        <v>0</v>
      </c>
      <c r="J18" s="164">
        <f t="shared" si="4"/>
        <v>0</v>
      </c>
      <c r="K18" s="165">
        <f>J18/$G$15</f>
        <v>0</v>
      </c>
      <c r="L18" s="412">
        <v>0.05</v>
      </c>
      <c r="M18" s="413">
        <f>ROUND(L18*F18,0)</f>
        <v>210673</v>
      </c>
      <c r="N18" s="414">
        <f>+M18/G18</f>
        <v>1</v>
      </c>
      <c r="O18" s="408">
        <v>0</v>
      </c>
      <c r="P18" s="164">
        <f>ROUND(O18*F18,0)</f>
        <v>0</v>
      </c>
      <c r="Q18" s="165">
        <f t="shared" si="3"/>
        <v>0</v>
      </c>
      <c r="R18" s="163">
        <f t="shared" si="1"/>
        <v>0.05</v>
      </c>
      <c r="S18" s="164">
        <f t="shared" si="2"/>
        <v>210673</v>
      </c>
      <c r="T18" s="165">
        <f t="shared" ref="T18" si="6">+K18+N18</f>
        <v>1</v>
      </c>
    </row>
    <row r="19" spans="1:20" x14ac:dyDescent="0.3">
      <c r="A19" s="1289"/>
      <c r="B19" s="1289"/>
      <c r="C19" s="542"/>
      <c r="D19" s="542" t="s">
        <v>102</v>
      </c>
      <c r="E19" s="543"/>
      <c r="F19" s="543"/>
      <c r="G19" s="544">
        <f>SUM(G17:G18)</f>
        <v>210673</v>
      </c>
      <c r="H19" s="1289"/>
      <c r="I19" s="200"/>
      <c r="J19" s="307">
        <f>SUM(J17:J18)</f>
        <v>0</v>
      </c>
      <c r="K19" s="431">
        <f>+J19/G19</f>
        <v>0</v>
      </c>
      <c r="L19" s="200"/>
      <c r="M19" s="307">
        <f>SUM(M17:M18)</f>
        <v>210673</v>
      </c>
      <c r="N19" s="431">
        <f>+M19/G19</f>
        <v>1</v>
      </c>
      <c r="O19" s="200"/>
      <c r="P19" s="307">
        <f>SUM(P17:P18)</f>
        <v>0</v>
      </c>
      <c r="Q19" s="1086">
        <f t="shared" si="3"/>
        <v>0</v>
      </c>
      <c r="R19" s="1094"/>
      <c r="S19" s="1085">
        <f t="shared" si="2"/>
        <v>210673</v>
      </c>
      <c r="T19" s="431">
        <f>+S19/G19</f>
        <v>1</v>
      </c>
    </row>
    <row r="20" spans="1:20" ht="43.2" x14ac:dyDescent="0.3">
      <c r="A20" s="1289" t="s">
        <v>306</v>
      </c>
      <c r="B20" s="1289" t="s">
        <v>1697</v>
      </c>
      <c r="C20" s="510" t="s">
        <v>148</v>
      </c>
      <c r="D20" s="510" t="s">
        <v>149</v>
      </c>
      <c r="E20" s="510">
        <v>1.6E-2</v>
      </c>
      <c r="F20" s="32">
        <v>9854608</v>
      </c>
      <c r="G20" s="32">
        <f>ROUND((E20*F20),0)</f>
        <v>157674</v>
      </c>
      <c r="H20" s="1289" t="s">
        <v>825</v>
      </c>
      <c r="I20" s="163">
        <v>0</v>
      </c>
      <c r="J20" s="164">
        <f>ROUND(I20*F20,0)</f>
        <v>0</v>
      </c>
      <c r="K20" s="165">
        <f>J20/$G$15</f>
        <v>0</v>
      </c>
      <c r="L20" s="412">
        <v>1.6E-2</v>
      </c>
      <c r="M20" s="413">
        <f>ROUND(L20*F20,0)</f>
        <v>157674</v>
      </c>
      <c r="N20" s="414">
        <f>+M20/G20</f>
        <v>1</v>
      </c>
      <c r="O20" s="408">
        <v>0</v>
      </c>
      <c r="P20" s="143">
        <f>ROUND(O20*F20,0)</f>
        <v>0</v>
      </c>
      <c r="Q20" s="165">
        <f t="shared" si="3"/>
        <v>0</v>
      </c>
      <c r="R20" s="163">
        <f t="shared" si="1"/>
        <v>1.6E-2</v>
      </c>
      <c r="S20" s="164">
        <f t="shared" si="2"/>
        <v>157674</v>
      </c>
      <c r="T20" s="165">
        <f>+K20+N20</f>
        <v>1</v>
      </c>
    </row>
    <row r="21" spans="1:20" x14ac:dyDescent="0.3">
      <c r="A21" s="1289"/>
      <c r="B21" s="1289"/>
      <c r="C21" s="542"/>
      <c r="D21" s="542" t="s">
        <v>150</v>
      </c>
      <c r="E21" s="543"/>
      <c r="F21" s="543"/>
      <c r="G21" s="544">
        <f>G20</f>
        <v>157674</v>
      </c>
      <c r="H21" s="1289"/>
      <c r="I21" s="200"/>
      <c r="J21" s="307">
        <f>SUM(J19:J20)</f>
        <v>0</v>
      </c>
      <c r="K21" s="431">
        <f>+J21/G21</f>
        <v>0</v>
      </c>
      <c r="L21" s="200"/>
      <c r="M21" s="307">
        <f>SUM(M20)</f>
        <v>157674</v>
      </c>
      <c r="N21" s="431">
        <f>+M21/G21</f>
        <v>1</v>
      </c>
      <c r="O21" s="200"/>
      <c r="P21" s="307">
        <f>SUM(P20)</f>
        <v>0</v>
      </c>
      <c r="Q21" s="1086">
        <f t="shared" si="3"/>
        <v>0</v>
      </c>
      <c r="R21" s="1094"/>
      <c r="S21" s="1085">
        <f t="shared" si="2"/>
        <v>157674</v>
      </c>
      <c r="T21" s="431">
        <f>+S21/G21</f>
        <v>1</v>
      </c>
    </row>
    <row r="22" spans="1:20" ht="28.8" x14ac:dyDescent="0.3">
      <c r="A22" s="1289" t="s">
        <v>1657</v>
      </c>
      <c r="B22" s="1289" t="s">
        <v>1698</v>
      </c>
      <c r="C22" s="510" t="s">
        <v>81</v>
      </c>
      <c r="D22" s="510" t="s">
        <v>218</v>
      </c>
      <c r="E22" s="510">
        <v>0</v>
      </c>
      <c r="F22" s="32">
        <v>1149124</v>
      </c>
      <c r="G22" s="32">
        <f>ROUND((E22*F22),0)</f>
        <v>0</v>
      </c>
      <c r="H22" s="1289" t="s">
        <v>825</v>
      </c>
      <c r="I22" s="163">
        <v>0</v>
      </c>
      <c r="J22" s="164">
        <f t="shared" ref="J22:J23" si="7">ROUND(I22*F22,0)</f>
        <v>0</v>
      </c>
      <c r="K22" s="165">
        <v>0</v>
      </c>
      <c r="L22" s="163">
        <v>0</v>
      </c>
      <c r="M22" s="164">
        <f t="shared" ref="M22:M38" si="8">ROUND(L22*F22,0)</f>
        <v>0</v>
      </c>
      <c r="N22" s="165">
        <v>0</v>
      </c>
      <c r="O22" s="163">
        <v>0</v>
      </c>
      <c r="P22" s="164">
        <f>ROUND(O22*F22,0)</f>
        <v>0</v>
      </c>
      <c r="Q22" s="165">
        <v>0</v>
      </c>
      <c r="R22" s="163">
        <f t="shared" si="1"/>
        <v>0</v>
      </c>
      <c r="S22" s="164">
        <f t="shared" si="2"/>
        <v>0</v>
      </c>
      <c r="T22" s="165">
        <v>0</v>
      </c>
    </row>
    <row r="23" spans="1:20" ht="28.8" x14ac:dyDescent="0.3">
      <c r="A23" s="1289"/>
      <c r="B23" s="1289"/>
      <c r="C23" s="510" t="s">
        <v>83</v>
      </c>
      <c r="D23" s="510" t="s">
        <v>219</v>
      </c>
      <c r="E23" s="510">
        <v>0.05</v>
      </c>
      <c r="F23" s="32">
        <v>2646468</v>
      </c>
      <c r="G23" s="32">
        <f>ROUND((E23*F23),0)</f>
        <v>132323</v>
      </c>
      <c r="H23" s="1289"/>
      <c r="I23" s="163">
        <v>0</v>
      </c>
      <c r="J23" s="164">
        <f t="shared" si="7"/>
        <v>0</v>
      </c>
      <c r="K23" s="165">
        <v>0</v>
      </c>
      <c r="L23" s="163">
        <v>0</v>
      </c>
      <c r="M23" s="164">
        <f>ROUND(L23*F23,0)</f>
        <v>0</v>
      </c>
      <c r="N23" s="165">
        <f>+M23/G23</f>
        <v>0</v>
      </c>
      <c r="O23" s="163">
        <v>0</v>
      </c>
      <c r="P23" s="164">
        <f t="shared" ref="P23:P24" si="9">ROUND(O23*F23,0)</f>
        <v>0</v>
      </c>
      <c r="Q23" s="165">
        <f t="shared" si="3"/>
        <v>0</v>
      </c>
      <c r="R23" s="163">
        <f t="shared" si="1"/>
        <v>0</v>
      </c>
      <c r="S23" s="164">
        <f t="shared" si="2"/>
        <v>0</v>
      </c>
      <c r="T23" s="165">
        <f t="shared" ref="T23:T24" si="10">+K23+N23</f>
        <v>0</v>
      </c>
    </row>
    <row r="24" spans="1:20" ht="28.8" x14ac:dyDescent="0.3">
      <c r="A24" s="1289"/>
      <c r="B24" s="1289"/>
      <c r="C24" s="510" t="s">
        <v>61</v>
      </c>
      <c r="D24" s="510" t="s">
        <v>220</v>
      </c>
      <c r="E24" s="510">
        <v>0.05</v>
      </c>
      <c r="F24" s="32">
        <v>3203618</v>
      </c>
      <c r="G24" s="32">
        <f>ROUND((E24*F24),0)</f>
        <v>160181</v>
      </c>
      <c r="H24" s="1289"/>
      <c r="I24" s="408">
        <v>0.05</v>
      </c>
      <c r="J24" s="143">
        <f>ROUND(I24*F24,0)</f>
        <v>160181</v>
      </c>
      <c r="K24" s="144">
        <f>+J24/G24</f>
        <v>1</v>
      </c>
      <c r="L24" s="163">
        <v>0</v>
      </c>
      <c r="M24" s="164">
        <f t="shared" si="8"/>
        <v>0</v>
      </c>
      <c r="N24" s="165">
        <f t="shared" ref="N24" si="11">+M24/G24</f>
        <v>0</v>
      </c>
      <c r="O24" s="163">
        <v>0</v>
      </c>
      <c r="P24" s="164">
        <f t="shared" si="9"/>
        <v>0</v>
      </c>
      <c r="Q24" s="165">
        <f t="shared" si="3"/>
        <v>0</v>
      </c>
      <c r="R24" s="163">
        <f t="shared" si="1"/>
        <v>0.05</v>
      </c>
      <c r="S24" s="164">
        <f t="shared" si="2"/>
        <v>160181</v>
      </c>
      <c r="T24" s="165">
        <f t="shared" si="10"/>
        <v>1</v>
      </c>
    </row>
    <row r="25" spans="1:20" x14ac:dyDescent="0.3">
      <c r="A25" s="1289"/>
      <c r="B25" s="1289"/>
      <c r="C25" s="542"/>
      <c r="D25" s="542" t="s">
        <v>221</v>
      </c>
      <c r="E25" s="543"/>
      <c r="F25" s="543"/>
      <c r="G25" s="544">
        <f>SUM(G22:G24)</f>
        <v>292504</v>
      </c>
      <c r="H25" s="1289"/>
      <c r="I25" s="200"/>
      <c r="J25" s="307">
        <f>SUM(J23:J24)</f>
        <v>160181</v>
      </c>
      <c r="K25" s="431">
        <f>+J25/G25</f>
        <v>0.54761986160873011</v>
      </c>
      <c r="L25" s="200"/>
      <c r="M25" s="307">
        <f>SUM(M22:M24)</f>
        <v>0</v>
      </c>
      <c r="N25" s="431">
        <f>+M25/G25</f>
        <v>0</v>
      </c>
      <c r="O25" s="200"/>
      <c r="P25" s="307">
        <f>SUM(P22:P24)</f>
        <v>0</v>
      </c>
      <c r="Q25" s="1086">
        <f t="shared" si="3"/>
        <v>0</v>
      </c>
      <c r="R25" s="1094"/>
      <c r="S25" s="1085">
        <f t="shared" si="2"/>
        <v>160181</v>
      </c>
      <c r="T25" s="431">
        <f>+S25/G25</f>
        <v>0.54761986160873011</v>
      </c>
    </row>
    <row r="26" spans="1:20" ht="28.8" x14ac:dyDescent="0.3">
      <c r="A26" s="1289" t="s">
        <v>1657</v>
      </c>
      <c r="B26" s="1289" t="s">
        <v>1699</v>
      </c>
      <c r="C26" s="510" t="s">
        <v>81</v>
      </c>
      <c r="D26" s="510" t="s">
        <v>166</v>
      </c>
      <c r="E26" s="510">
        <v>0</v>
      </c>
      <c r="F26" s="32">
        <v>1149124</v>
      </c>
      <c r="G26" s="32">
        <f>ROUND((E26*F26),0)</f>
        <v>0</v>
      </c>
      <c r="H26" s="1289" t="s">
        <v>1700</v>
      </c>
      <c r="I26" s="163">
        <v>0</v>
      </c>
      <c r="J26" s="164">
        <f t="shared" ref="J26:J28" si="12">ROUND(I26*F26,0)</f>
        <v>0</v>
      </c>
      <c r="K26" s="165">
        <v>0</v>
      </c>
      <c r="L26" s="163">
        <v>0</v>
      </c>
      <c r="M26" s="164">
        <f t="shared" si="8"/>
        <v>0</v>
      </c>
      <c r="N26" s="165">
        <v>0</v>
      </c>
      <c r="O26" s="163">
        <v>0</v>
      </c>
      <c r="P26" s="164">
        <f>ROUND(O26*F26,0)</f>
        <v>0</v>
      </c>
      <c r="Q26" s="165">
        <v>0</v>
      </c>
      <c r="R26" s="163">
        <f t="shared" si="1"/>
        <v>0</v>
      </c>
      <c r="S26" s="164">
        <f t="shared" si="2"/>
        <v>0</v>
      </c>
      <c r="T26" s="165">
        <v>0</v>
      </c>
    </row>
    <row r="27" spans="1:20" ht="28.8" x14ac:dyDescent="0.3">
      <c r="A27" s="1289"/>
      <c r="B27" s="1289"/>
      <c r="C27" s="510" t="s">
        <v>83</v>
      </c>
      <c r="D27" s="510" t="s">
        <v>167</v>
      </c>
      <c r="E27" s="510">
        <v>0.05</v>
      </c>
      <c r="F27" s="32">
        <v>2646468</v>
      </c>
      <c r="G27" s="32">
        <f>ROUND((E27*F27),0)</f>
        <v>132323</v>
      </c>
      <c r="H27" s="1289"/>
      <c r="I27" s="163">
        <v>0</v>
      </c>
      <c r="J27" s="164">
        <f t="shared" si="12"/>
        <v>0</v>
      </c>
      <c r="K27" s="165">
        <v>0</v>
      </c>
      <c r="L27" s="163">
        <v>0</v>
      </c>
      <c r="M27" s="164">
        <f t="shared" si="8"/>
        <v>0</v>
      </c>
      <c r="N27" s="165">
        <f t="shared" ref="N27:N28" si="13">+M27/G27</f>
        <v>0</v>
      </c>
      <c r="O27" s="163">
        <v>0</v>
      </c>
      <c r="P27" s="164">
        <f t="shared" ref="P27:P28" si="14">ROUND(O27*F27,0)</f>
        <v>0</v>
      </c>
      <c r="Q27" s="165">
        <f t="shared" si="3"/>
        <v>0</v>
      </c>
      <c r="R27" s="163">
        <f t="shared" si="1"/>
        <v>0</v>
      </c>
      <c r="S27" s="164">
        <f t="shared" si="2"/>
        <v>0</v>
      </c>
      <c r="T27" s="165">
        <f t="shared" ref="T27" si="15">+K27+N27</f>
        <v>0</v>
      </c>
    </row>
    <row r="28" spans="1:20" ht="28.8" x14ac:dyDescent="0.3">
      <c r="A28" s="1289"/>
      <c r="B28" s="1289"/>
      <c r="C28" s="510" t="s">
        <v>61</v>
      </c>
      <c r="D28" s="510" t="s">
        <v>168</v>
      </c>
      <c r="E28" s="510">
        <v>0.05</v>
      </c>
      <c r="F28" s="32">
        <v>2542001</v>
      </c>
      <c r="G28" s="32">
        <f>ROUND((E28*F28),0)</f>
        <v>127100</v>
      </c>
      <c r="H28" s="1289"/>
      <c r="I28" s="408">
        <v>0.05</v>
      </c>
      <c r="J28" s="143">
        <f t="shared" si="12"/>
        <v>127100</v>
      </c>
      <c r="K28" s="144">
        <f>+J28/G28</f>
        <v>1</v>
      </c>
      <c r="L28" s="163">
        <v>0</v>
      </c>
      <c r="M28" s="164">
        <f t="shared" si="8"/>
        <v>0</v>
      </c>
      <c r="N28" s="165">
        <f t="shared" si="13"/>
        <v>0</v>
      </c>
      <c r="O28" s="163">
        <v>0</v>
      </c>
      <c r="P28" s="164">
        <f t="shared" si="14"/>
        <v>0</v>
      </c>
      <c r="Q28" s="165">
        <f t="shared" si="3"/>
        <v>0</v>
      </c>
      <c r="R28" s="163">
        <f t="shared" si="1"/>
        <v>0.05</v>
      </c>
      <c r="S28" s="164">
        <f t="shared" si="2"/>
        <v>127100</v>
      </c>
      <c r="T28" s="165">
        <f>+K28+N28</f>
        <v>1</v>
      </c>
    </row>
    <row r="29" spans="1:20" x14ac:dyDescent="0.3">
      <c r="A29" s="1289"/>
      <c r="B29" s="1289"/>
      <c r="C29" s="542"/>
      <c r="D29" s="542" t="s">
        <v>169</v>
      </c>
      <c r="E29" s="543"/>
      <c r="F29" s="543"/>
      <c r="G29" s="544">
        <f>SUM(G26:G28)</f>
        <v>259423</v>
      </c>
      <c r="H29" s="1289"/>
      <c r="I29" s="200"/>
      <c r="J29" s="307">
        <f>SUM(J27:J28)</f>
        <v>127100</v>
      </c>
      <c r="K29" s="431">
        <f>+J29/G29</f>
        <v>0.48993342918708055</v>
      </c>
      <c r="L29" s="200"/>
      <c r="M29" s="307">
        <f>SUM(M27:M28)</f>
        <v>0</v>
      </c>
      <c r="N29" s="431">
        <f>+M29/G29</f>
        <v>0</v>
      </c>
      <c r="O29" s="200"/>
      <c r="P29" s="307">
        <f>SUM(P27:P28)</f>
        <v>0</v>
      </c>
      <c r="Q29" s="1086">
        <f t="shared" si="3"/>
        <v>0</v>
      </c>
      <c r="R29" s="1094"/>
      <c r="S29" s="1085">
        <f t="shared" si="2"/>
        <v>127100</v>
      </c>
      <c r="T29" s="431">
        <f>+S29/G29</f>
        <v>0.48993342918708055</v>
      </c>
    </row>
    <row r="30" spans="1:20" ht="28.8" x14ac:dyDescent="0.3">
      <c r="A30" s="1289" t="s">
        <v>1657</v>
      </c>
      <c r="B30" s="1289" t="s">
        <v>1701</v>
      </c>
      <c r="C30" s="510" t="s">
        <v>81</v>
      </c>
      <c r="D30" s="510" t="s">
        <v>230</v>
      </c>
      <c r="E30" s="510">
        <v>0</v>
      </c>
      <c r="F30" s="32">
        <v>1497343</v>
      </c>
      <c r="G30" s="32">
        <f>ROUND((E30*F30),0)</f>
        <v>0</v>
      </c>
      <c r="H30" s="1289" t="s">
        <v>1702</v>
      </c>
      <c r="I30" s="163">
        <v>0</v>
      </c>
      <c r="J30" s="164">
        <f t="shared" ref="J30:J32" si="16">ROUND(I30*F30,0)</f>
        <v>0</v>
      </c>
      <c r="K30" s="165">
        <v>0</v>
      </c>
      <c r="L30" s="163">
        <v>0</v>
      </c>
      <c r="M30" s="164">
        <f t="shared" si="8"/>
        <v>0</v>
      </c>
      <c r="N30" s="165">
        <v>0</v>
      </c>
      <c r="O30" s="163">
        <v>0</v>
      </c>
      <c r="P30" s="164">
        <f>ROUND(O30*F30,0)</f>
        <v>0</v>
      </c>
      <c r="Q30" s="165">
        <v>0</v>
      </c>
      <c r="R30" s="163">
        <f t="shared" si="1"/>
        <v>0</v>
      </c>
      <c r="S30" s="164">
        <f t="shared" si="2"/>
        <v>0</v>
      </c>
      <c r="T30" s="165">
        <f t="shared" ref="T30:T31" si="17">+K30+N30</f>
        <v>0</v>
      </c>
    </row>
    <row r="31" spans="1:20" ht="28.8" x14ac:dyDescent="0.3">
      <c r="A31" s="1289"/>
      <c r="B31" s="1289"/>
      <c r="C31" s="510" t="s">
        <v>83</v>
      </c>
      <c r="D31" s="510" t="s">
        <v>231</v>
      </c>
      <c r="E31" s="510">
        <v>0.05</v>
      </c>
      <c r="F31" s="32">
        <v>3133974</v>
      </c>
      <c r="G31" s="32">
        <f>ROUND((E31*F31),0)</f>
        <v>156699</v>
      </c>
      <c r="H31" s="1289"/>
      <c r="I31" s="163">
        <v>0</v>
      </c>
      <c r="J31" s="164">
        <f t="shared" si="16"/>
        <v>0</v>
      </c>
      <c r="K31" s="165">
        <v>0</v>
      </c>
      <c r="L31" s="163">
        <v>0</v>
      </c>
      <c r="M31" s="164">
        <f t="shared" si="8"/>
        <v>0</v>
      </c>
      <c r="N31" s="165">
        <f t="shared" ref="N31:N32" si="18">+M31/G31</f>
        <v>0</v>
      </c>
      <c r="O31" s="163">
        <v>0</v>
      </c>
      <c r="P31" s="164">
        <f t="shared" ref="P31:P32" si="19">ROUND(O31*F31,0)</f>
        <v>0</v>
      </c>
      <c r="Q31" s="165">
        <f t="shared" si="3"/>
        <v>0</v>
      </c>
      <c r="R31" s="163">
        <f t="shared" si="1"/>
        <v>0</v>
      </c>
      <c r="S31" s="164">
        <f t="shared" si="2"/>
        <v>0</v>
      </c>
      <c r="T31" s="165">
        <f t="shared" si="17"/>
        <v>0</v>
      </c>
    </row>
    <row r="32" spans="1:20" ht="28.8" x14ac:dyDescent="0.3">
      <c r="A32" s="1289"/>
      <c r="B32" s="1289"/>
      <c r="C32" s="510" t="s">
        <v>61</v>
      </c>
      <c r="D32" s="510" t="s">
        <v>232</v>
      </c>
      <c r="E32" s="510">
        <v>0.05</v>
      </c>
      <c r="F32" s="32">
        <v>4004523</v>
      </c>
      <c r="G32" s="32">
        <f>ROUND((E32*F32),0)</f>
        <v>200226</v>
      </c>
      <c r="H32" s="1289"/>
      <c r="I32" s="408">
        <v>0.05</v>
      </c>
      <c r="J32" s="143">
        <f t="shared" si="16"/>
        <v>200226</v>
      </c>
      <c r="K32" s="144">
        <f>+J32/G32</f>
        <v>1</v>
      </c>
      <c r="L32" s="163">
        <v>0</v>
      </c>
      <c r="M32" s="164">
        <f t="shared" si="8"/>
        <v>0</v>
      </c>
      <c r="N32" s="165">
        <f t="shared" si="18"/>
        <v>0</v>
      </c>
      <c r="O32" s="163">
        <v>0</v>
      </c>
      <c r="P32" s="164">
        <f t="shared" si="19"/>
        <v>0</v>
      </c>
      <c r="Q32" s="165">
        <f t="shared" si="3"/>
        <v>0</v>
      </c>
      <c r="R32" s="163">
        <f t="shared" si="1"/>
        <v>0.05</v>
      </c>
      <c r="S32" s="164">
        <f t="shared" si="2"/>
        <v>200226</v>
      </c>
      <c r="T32" s="165">
        <f>+K32+N32</f>
        <v>1</v>
      </c>
    </row>
    <row r="33" spans="1:35" x14ac:dyDescent="0.3">
      <c r="A33" s="1289"/>
      <c r="B33" s="1289"/>
      <c r="C33" s="542"/>
      <c r="D33" s="542" t="s">
        <v>233</v>
      </c>
      <c r="E33" s="543"/>
      <c r="F33" s="543"/>
      <c r="G33" s="544">
        <f>SUM(G30:G32)</f>
        <v>356925</v>
      </c>
      <c r="H33" s="1289"/>
      <c r="I33" s="200"/>
      <c r="J33" s="307">
        <f>SUM(J31:J32)</f>
        <v>200226</v>
      </c>
      <c r="K33" s="431">
        <f>+J33/G33</f>
        <v>0.56097499474679557</v>
      </c>
      <c r="L33" s="200"/>
      <c r="M33" s="307">
        <f>SUM(M30:M32)</f>
        <v>0</v>
      </c>
      <c r="N33" s="431">
        <f>+M33/G33</f>
        <v>0</v>
      </c>
      <c r="O33" s="200"/>
      <c r="P33" s="307">
        <f>SUM(P30:P32)</f>
        <v>0</v>
      </c>
      <c r="Q33" s="1086">
        <f t="shared" si="3"/>
        <v>0</v>
      </c>
      <c r="R33" s="1094"/>
      <c r="S33" s="1085">
        <f t="shared" si="2"/>
        <v>200226</v>
      </c>
      <c r="T33" s="431">
        <f>+S33/G33</f>
        <v>0.56097499474679557</v>
      </c>
    </row>
    <row r="34" spans="1:35" ht="28.8" x14ac:dyDescent="0.3">
      <c r="A34" s="1289" t="s">
        <v>1657</v>
      </c>
      <c r="B34" s="1289" t="s">
        <v>1703</v>
      </c>
      <c r="C34" s="510" t="s">
        <v>83</v>
      </c>
      <c r="D34" s="510" t="s">
        <v>123</v>
      </c>
      <c r="E34" s="510">
        <v>0</v>
      </c>
      <c r="F34" s="32">
        <v>1044658</v>
      </c>
      <c r="G34" s="32">
        <f>ROUND((E34*F34),0)</f>
        <v>0</v>
      </c>
      <c r="H34" s="1289" t="s">
        <v>1702</v>
      </c>
      <c r="I34" s="163">
        <v>0</v>
      </c>
      <c r="J34" s="164">
        <f t="shared" ref="J34:J35" si="20">ROUND(I34*F34,0)</f>
        <v>0</v>
      </c>
      <c r="K34" s="165">
        <v>0</v>
      </c>
      <c r="L34" s="163">
        <v>0</v>
      </c>
      <c r="M34" s="164">
        <f t="shared" si="8"/>
        <v>0</v>
      </c>
      <c r="N34" s="165">
        <v>0</v>
      </c>
      <c r="O34" s="163">
        <v>0</v>
      </c>
      <c r="P34" s="164">
        <f>ROUND(O34*F34,0)</f>
        <v>0</v>
      </c>
      <c r="Q34" s="165">
        <v>0</v>
      </c>
      <c r="R34" s="163">
        <f t="shared" si="1"/>
        <v>0</v>
      </c>
      <c r="S34" s="164">
        <f t="shared" si="2"/>
        <v>0</v>
      </c>
      <c r="T34" s="165">
        <f>+K34+N34</f>
        <v>0</v>
      </c>
    </row>
    <row r="35" spans="1:35" ht="28.8" x14ac:dyDescent="0.3">
      <c r="A35" s="1289"/>
      <c r="B35" s="1289"/>
      <c r="C35" s="510" t="s">
        <v>61</v>
      </c>
      <c r="D35" s="510" t="s">
        <v>125</v>
      </c>
      <c r="E35" s="510">
        <v>0.05</v>
      </c>
      <c r="F35" s="32">
        <v>1009836</v>
      </c>
      <c r="G35" s="32">
        <f>ROUND((E35*F35),0)</f>
        <v>50492</v>
      </c>
      <c r="H35" s="1289"/>
      <c r="I35" s="408">
        <v>0.05</v>
      </c>
      <c r="J35" s="143">
        <f t="shared" si="20"/>
        <v>50492</v>
      </c>
      <c r="K35" s="144">
        <f>+J35/G35</f>
        <v>1</v>
      </c>
      <c r="L35" s="163">
        <v>0</v>
      </c>
      <c r="M35" s="164">
        <f t="shared" si="8"/>
        <v>0</v>
      </c>
      <c r="N35" s="165">
        <f t="shared" ref="N35" si="21">+M35/G35</f>
        <v>0</v>
      </c>
      <c r="O35" s="163">
        <v>0</v>
      </c>
      <c r="P35" s="164">
        <f>ROUND(O35*F35,0)</f>
        <v>0</v>
      </c>
      <c r="Q35" s="165">
        <f t="shared" si="3"/>
        <v>0</v>
      </c>
      <c r="R35" s="163">
        <f t="shared" si="1"/>
        <v>0.05</v>
      </c>
      <c r="S35" s="164">
        <f t="shared" si="2"/>
        <v>50492</v>
      </c>
      <c r="T35" s="165">
        <f t="shared" ref="T35" si="22">+K35+N35</f>
        <v>1</v>
      </c>
    </row>
    <row r="36" spans="1:35" x14ac:dyDescent="0.3">
      <c r="A36" s="1289"/>
      <c r="B36" s="1289"/>
      <c r="C36" s="542"/>
      <c r="D36" s="542" t="s">
        <v>126</v>
      </c>
      <c r="E36" s="543"/>
      <c r="F36" s="543"/>
      <c r="G36" s="544">
        <f>SUM(G34:G35)</f>
        <v>50492</v>
      </c>
      <c r="H36" s="1289"/>
      <c r="I36" s="200"/>
      <c r="J36" s="307">
        <f>SUM(J34:J35)</f>
        <v>50492</v>
      </c>
      <c r="K36" s="431">
        <f>+J36/G36</f>
        <v>1</v>
      </c>
      <c r="L36" s="200"/>
      <c r="M36" s="307">
        <f>SUM(M34:M35)</f>
        <v>0</v>
      </c>
      <c r="N36" s="431">
        <f>+M36/G36</f>
        <v>0</v>
      </c>
      <c r="O36" s="200"/>
      <c r="P36" s="307">
        <f>SUM(P34:P35)</f>
        <v>0</v>
      </c>
      <c r="Q36" s="1086">
        <f t="shared" si="3"/>
        <v>0</v>
      </c>
      <c r="R36" s="1094"/>
      <c r="S36" s="1085">
        <f t="shared" si="2"/>
        <v>50492</v>
      </c>
      <c r="T36" s="431">
        <f>+S36/G36</f>
        <v>1</v>
      </c>
    </row>
    <row r="37" spans="1:35" ht="43.2" x14ac:dyDescent="0.3">
      <c r="A37" s="1289" t="s">
        <v>1657</v>
      </c>
      <c r="B37" s="1289" t="s">
        <v>1704</v>
      </c>
      <c r="C37" s="510" t="s">
        <v>152</v>
      </c>
      <c r="D37" s="510" t="s">
        <v>1073</v>
      </c>
      <c r="E37" s="510">
        <v>0</v>
      </c>
      <c r="F37" s="32">
        <v>1915206</v>
      </c>
      <c r="G37" s="32">
        <f>ROUND((E37*F37),0)</f>
        <v>0</v>
      </c>
      <c r="H37" s="1289" t="s">
        <v>1702</v>
      </c>
      <c r="I37" s="163">
        <v>0</v>
      </c>
      <c r="J37" s="164">
        <f t="shared" ref="J37:J38" si="23">ROUND(I37*F37,0)</f>
        <v>0</v>
      </c>
      <c r="K37" s="165">
        <v>0</v>
      </c>
      <c r="L37" s="163">
        <v>0</v>
      </c>
      <c r="M37" s="164">
        <f t="shared" si="8"/>
        <v>0</v>
      </c>
      <c r="N37" s="165">
        <v>0</v>
      </c>
      <c r="O37" s="163">
        <v>0</v>
      </c>
      <c r="P37" s="164">
        <f>ROUND(O37*F37,0)</f>
        <v>0</v>
      </c>
      <c r="Q37" s="165">
        <v>0</v>
      </c>
      <c r="R37" s="163">
        <f t="shared" si="1"/>
        <v>0</v>
      </c>
      <c r="S37" s="164">
        <f t="shared" si="2"/>
        <v>0</v>
      </c>
      <c r="T37" s="165">
        <f>+K37+N37</f>
        <v>0</v>
      </c>
    </row>
    <row r="38" spans="1:35" ht="28.8" x14ac:dyDescent="0.3">
      <c r="A38" s="1289"/>
      <c r="B38" s="1289"/>
      <c r="C38" s="510" t="s">
        <v>61</v>
      </c>
      <c r="D38" s="510" t="s">
        <v>1075</v>
      </c>
      <c r="E38" s="510">
        <v>0.05</v>
      </c>
      <c r="F38" s="32">
        <v>5467045</v>
      </c>
      <c r="G38" s="32">
        <f>ROUND((E38*F38),0)</f>
        <v>273352</v>
      </c>
      <c r="H38" s="1289"/>
      <c r="I38" s="408">
        <v>0.05</v>
      </c>
      <c r="J38" s="143">
        <f t="shared" si="23"/>
        <v>273352</v>
      </c>
      <c r="K38" s="144">
        <f>+J38/G38</f>
        <v>1</v>
      </c>
      <c r="L38" s="163">
        <v>0</v>
      </c>
      <c r="M38" s="164">
        <f t="shared" si="8"/>
        <v>0</v>
      </c>
      <c r="N38" s="165">
        <f t="shared" ref="N38" si="24">+M38/G38</f>
        <v>0</v>
      </c>
      <c r="O38" s="163">
        <v>0</v>
      </c>
      <c r="P38" s="164">
        <f>ROUND(O38*F38,0)</f>
        <v>0</v>
      </c>
      <c r="Q38" s="165">
        <f t="shared" si="3"/>
        <v>0</v>
      </c>
      <c r="R38" s="163">
        <f t="shared" si="1"/>
        <v>0.05</v>
      </c>
      <c r="S38" s="164">
        <f t="shared" si="2"/>
        <v>273352</v>
      </c>
      <c r="T38" s="165">
        <f t="shared" ref="T38" si="25">+K38+N38</f>
        <v>1</v>
      </c>
    </row>
    <row r="39" spans="1:35" x14ac:dyDescent="0.3">
      <c r="A39" s="1289"/>
      <c r="B39" s="1289"/>
      <c r="C39" s="542"/>
      <c r="D39" s="542" t="s">
        <v>1076</v>
      </c>
      <c r="E39" s="543"/>
      <c r="F39" s="543"/>
      <c r="G39" s="544">
        <f>SUM(G37:G38)</f>
        <v>273352</v>
      </c>
      <c r="H39" s="1289"/>
      <c r="I39" s="200"/>
      <c r="J39" s="307">
        <f>SUM(J37:J38)</f>
        <v>273352</v>
      </c>
      <c r="K39" s="431">
        <f>+J39/G39</f>
        <v>1</v>
      </c>
      <c r="L39" s="200"/>
      <c r="M39" s="307">
        <f>SUM(M37:M38)</f>
        <v>0</v>
      </c>
      <c r="N39" s="431">
        <f>+M39/G39</f>
        <v>0</v>
      </c>
      <c r="O39" s="200"/>
      <c r="P39" s="307">
        <f>SUM(P37:P38)</f>
        <v>0</v>
      </c>
      <c r="Q39" s="1086">
        <f t="shared" si="3"/>
        <v>0</v>
      </c>
      <c r="R39" s="1095"/>
      <c r="S39" s="1085">
        <f t="shared" si="2"/>
        <v>273352</v>
      </c>
      <c r="T39" s="431">
        <f>+S39/G39</f>
        <v>1</v>
      </c>
    </row>
    <row r="40" spans="1:35" s="512" customFormat="1" x14ac:dyDescent="0.3">
      <c r="F40" s="151" t="s">
        <v>64</v>
      </c>
      <c r="G40" s="181">
        <f>SUM(G15:G39)/2</f>
        <v>2039799</v>
      </c>
      <c r="I40" s="480" t="s">
        <v>64</v>
      </c>
      <c r="J40" s="481">
        <f>SUM(J14:J39)/2</f>
        <v>811351</v>
      </c>
      <c r="L40" s="480" t="s">
        <v>64</v>
      </c>
      <c r="M40" s="481">
        <f>SUM(M14:M39)/2</f>
        <v>368347</v>
      </c>
      <c r="N40" s="581"/>
      <c r="O40" s="480" t="s">
        <v>64</v>
      </c>
      <c r="P40" s="481">
        <f>SUM(P14:P39)/2</f>
        <v>0</v>
      </c>
      <c r="Q40" s="1055"/>
      <c r="R40" s="594" t="s">
        <v>64</v>
      </c>
      <c r="S40" s="481">
        <f>SUM(S14:S39)/2</f>
        <v>1179698</v>
      </c>
      <c r="U40" s="302"/>
      <c r="V40" s="302"/>
      <c r="W40" s="302"/>
      <c r="X40" s="302"/>
      <c r="Y40" s="302"/>
      <c r="Z40" s="302"/>
      <c r="AA40" s="302"/>
      <c r="AB40" s="302"/>
      <c r="AC40" s="302"/>
      <c r="AD40" s="302"/>
    </row>
    <row r="41" spans="1:35" s="512" customFormat="1" ht="26.4" x14ac:dyDescent="0.3">
      <c r="F41" s="153" t="s">
        <v>65</v>
      </c>
      <c r="G41" s="182">
        <v>0</v>
      </c>
      <c r="I41" s="482" t="s">
        <v>65</v>
      </c>
      <c r="J41" s="483">
        <v>0</v>
      </c>
      <c r="L41" s="482" t="s">
        <v>65</v>
      </c>
      <c r="M41" s="483">
        <v>0</v>
      </c>
      <c r="N41" s="581"/>
      <c r="O41" s="482" t="s">
        <v>65</v>
      </c>
      <c r="P41" s="483">
        <v>0</v>
      </c>
      <c r="Q41" s="1055"/>
      <c r="R41" s="595" t="s">
        <v>65</v>
      </c>
      <c r="S41" s="483">
        <f>+J41</f>
        <v>0</v>
      </c>
      <c r="U41" s="302"/>
      <c r="V41" s="302"/>
      <c r="W41" s="302"/>
      <c r="X41" s="302"/>
      <c r="Y41" s="302"/>
      <c r="Z41" s="302"/>
      <c r="AA41" s="302"/>
      <c r="AB41" s="302"/>
      <c r="AC41" s="302"/>
      <c r="AD41" s="302"/>
    </row>
    <row r="42" spans="1:35" s="512" customFormat="1" ht="27" customHeight="1" x14ac:dyDescent="0.3">
      <c r="F42" s="152" t="s">
        <v>64</v>
      </c>
      <c r="G42" s="182">
        <f>+G40+G41</f>
        <v>2039799</v>
      </c>
      <c r="I42" s="484" t="s">
        <v>64</v>
      </c>
      <c r="J42" s="483">
        <f>+J40+J41</f>
        <v>811351</v>
      </c>
      <c r="L42" s="484" t="s">
        <v>64</v>
      </c>
      <c r="M42" s="483">
        <f>+M40+M41</f>
        <v>368347</v>
      </c>
      <c r="N42" s="581"/>
      <c r="O42" s="484" t="s">
        <v>64</v>
      </c>
      <c r="P42" s="483">
        <f>+P40+P41</f>
        <v>0</v>
      </c>
      <c r="Q42" s="1055"/>
      <c r="R42" s="595" t="s">
        <v>64</v>
      </c>
      <c r="S42" s="483">
        <f>+S40+S41</f>
        <v>1179698</v>
      </c>
      <c r="U42" s="302"/>
      <c r="V42" s="302"/>
      <c r="W42" s="302"/>
      <c r="X42" s="302"/>
      <c r="Y42" s="302"/>
      <c r="Z42" s="302"/>
      <c r="AA42" s="302"/>
      <c r="AB42" s="302"/>
      <c r="AC42" s="302"/>
      <c r="AD42" s="302"/>
    </row>
    <row r="43" spans="1:35" s="512" customFormat="1" ht="26.4" x14ac:dyDescent="0.3">
      <c r="F43" s="152"/>
      <c r="G43" s="182"/>
      <c r="I43" s="484" t="s">
        <v>1439</v>
      </c>
      <c r="J43" s="483">
        <f>ROUND(J42*0.015,0)</f>
        <v>12170</v>
      </c>
      <c r="K43" s="131"/>
      <c r="L43" s="484" t="s">
        <v>1439</v>
      </c>
      <c r="M43" s="483">
        <f>ROUND(M42*0.015,0)</f>
        <v>5525</v>
      </c>
      <c r="N43" s="131"/>
      <c r="O43" s="484" t="s">
        <v>1439</v>
      </c>
      <c r="P43" s="483">
        <f>ROUND(P42*0.015,0)</f>
        <v>0</v>
      </c>
      <c r="Q43" s="131"/>
      <c r="R43" s="595" t="s">
        <v>1439</v>
      </c>
      <c r="S43" s="483">
        <f>ROUND(S42*0.015,0)</f>
        <v>17695</v>
      </c>
      <c r="T43" s="131"/>
      <c r="U43" s="302"/>
      <c r="V43" s="302"/>
      <c r="W43" s="302"/>
      <c r="X43" s="302"/>
      <c r="Y43" s="302"/>
      <c r="Z43" s="302"/>
      <c r="AA43" s="302"/>
      <c r="AB43" s="302"/>
      <c r="AC43" s="302"/>
      <c r="AD43" s="302"/>
    </row>
    <row r="44" spans="1:35" s="512" customFormat="1" ht="39.6" x14ac:dyDescent="0.3">
      <c r="F44" s="152"/>
      <c r="G44" s="182"/>
      <c r="I44" s="152" t="s">
        <v>1440</v>
      </c>
      <c r="J44" s="182">
        <f>J42+J43</f>
        <v>823521</v>
      </c>
      <c r="K44" s="546">
        <f>J44/G42</f>
        <v>0.40372654364474148</v>
      </c>
      <c r="L44" s="152" t="s">
        <v>1440</v>
      </c>
      <c r="M44" s="182">
        <f>M42+M43</f>
        <v>373872</v>
      </c>
      <c r="N44" s="546">
        <f>M44/G40</f>
        <v>0.18328864755792115</v>
      </c>
      <c r="O44" s="152" t="s">
        <v>1440</v>
      </c>
      <c r="P44" s="182">
        <f>P42+P43</f>
        <v>0</v>
      </c>
      <c r="Q44" s="546">
        <f>P44/G40</f>
        <v>0</v>
      </c>
      <c r="R44" s="596" t="s">
        <v>1440</v>
      </c>
      <c r="S44" s="182">
        <f>S42+S43</f>
        <v>1197393</v>
      </c>
      <c r="T44" s="546">
        <f>S44/G42</f>
        <v>0.58701519120266266</v>
      </c>
      <c r="U44" s="302"/>
      <c r="V44" s="302"/>
      <c r="W44" s="302"/>
      <c r="X44" s="302"/>
      <c r="Y44" s="302"/>
      <c r="Z44" s="302"/>
      <c r="AA44" s="302"/>
      <c r="AB44" s="302"/>
      <c r="AC44" s="302"/>
      <c r="AD44" s="302"/>
    </row>
    <row r="45" spans="1:35" s="512" customFormat="1" x14ac:dyDescent="0.3">
      <c r="F45" s="154" t="s">
        <v>66</v>
      </c>
      <c r="G45" s="182">
        <f>+G42*19%</f>
        <v>387561.81</v>
      </c>
      <c r="I45" s="485" t="s">
        <v>66</v>
      </c>
      <c r="J45" s="483">
        <f>+J44*19%</f>
        <v>156468.99</v>
      </c>
      <c r="L45" s="485" t="s">
        <v>66</v>
      </c>
      <c r="M45" s="483">
        <f>+M44*19%</f>
        <v>71035.680000000008</v>
      </c>
      <c r="N45" s="581"/>
      <c r="O45" s="485" t="s">
        <v>66</v>
      </c>
      <c r="P45" s="483">
        <f>+P44*19%</f>
        <v>0</v>
      </c>
      <c r="Q45" s="1055"/>
      <c r="R45" s="597" t="s">
        <v>66</v>
      </c>
      <c r="S45" s="483">
        <f>ROUND(S44*0.19,0)</f>
        <v>227505</v>
      </c>
      <c r="U45" s="302"/>
      <c r="V45" s="302"/>
      <c r="W45" s="302"/>
      <c r="X45" s="302"/>
      <c r="Y45" s="302"/>
      <c r="Z45" s="302"/>
      <c r="AA45" s="302"/>
      <c r="AB45" s="302"/>
      <c r="AC45" s="302"/>
      <c r="AD45" s="302"/>
    </row>
    <row r="46" spans="1:35" s="512" customFormat="1" x14ac:dyDescent="0.3">
      <c r="F46" s="155" t="s">
        <v>69</v>
      </c>
      <c r="G46" s="181">
        <f>+G42+G45</f>
        <v>2427360.81</v>
      </c>
      <c r="I46" s="545" t="s">
        <v>69</v>
      </c>
      <c r="J46" s="481">
        <f>+J42+J45</f>
        <v>967819.99</v>
      </c>
      <c r="L46" s="545" t="s">
        <v>69</v>
      </c>
      <c r="M46" s="481">
        <f>+M42+M45</f>
        <v>439382.68</v>
      </c>
      <c r="N46" s="581"/>
      <c r="O46" s="545" t="s">
        <v>69</v>
      </c>
      <c r="P46" s="481">
        <f>+P42+P45</f>
        <v>0</v>
      </c>
      <c r="Q46" s="1055"/>
      <c r="R46" s="597" t="s">
        <v>69</v>
      </c>
      <c r="S46" s="481">
        <f>S44+S45</f>
        <v>1424898</v>
      </c>
      <c r="U46" s="302"/>
      <c r="V46" s="302"/>
      <c r="W46" s="302"/>
      <c r="X46" s="302"/>
      <c r="Y46" s="302"/>
      <c r="Z46" s="302"/>
      <c r="AA46" s="302"/>
      <c r="AB46" s="302"/>
      <c r="AC46" s="302"/>
      <c r="AD46" s="302"/>
    </row>
    <row r="47" spans="1:35" s="512" customFormat="1" x14ac:dyDescent="0.3">
      <c r="L47" s="581"/>
      <c r="M47" s="581"/>
      <c r="N47" s="581"/>
      <c r="O47" s="1055"/>
      <c r="P47" s="1055"/>
      <c r="Q47" s="1055"/>
      <c r="R47" s="598"/>
      <c r="U47" s="302"/>
      <c r="V47" s="302"/>
      <c r="W47" s="302"/>
      <c r="X47" s="302"/>
      <c r="Y47" s="302"/>
      <c r="Z47" s="302"/>
      <c r="AA47" s="302"/>
      <c r="AB47" s="302"/>
      <c r="AC47" s="302"/>
      <c r="AD47" s="302"/>
    </row>
    <row r="48" spans="1:35" x14ac:dyDescent="0.3">
      <c r="A48" s="183" t="s">
        <v>67</v>
      </c>
      <c r="B48" s="184"/>
      <c r="C48" s="184"/>
      <c r="D48" s="185" t="s">
        <v>68</v>
      </c>
      <c r="I48" s="186" t="s">
        <v>70</v>
      </c>
      <c r="J48" s="187" t="s">
        <v>71</v>
      </c>
      <c r="K48" s="186" t="s">
        <v>58</v>
      </c>
      <c r="L48" s="186" t="s">
        <v>70</v>
      </c>
      <c r="M48" s="187" t="s">
        <v>71</v>
      </c>
      <c r="N48" s="186" t="s">
        <v>58</v>
      </c>
      <c r="O48" s="186" t="s">
        <v>70</v>
      </c>
      <c r="P48" s="187" t="s">
        <v>71</v>
      </c>
      <c r="Q48" s="186" t="s">
        <v>58</v>
      </c>
      <c r="AG48" s="512"/>
      <c r="AH48" s="512"/>
      <c r="AI48" s="512"/>
    </row>
    <row r="49" spans="1:35" x14ac:dyDescent="0.3">
      <c r="A49" s="183"/>
      <c r="B49" s="184"/>
      <c r="C49" s="184"/>
      <c r="D49" s="185"/>
      <c r="I49" s="203" t="s">
        <v>72</v>
      </c>
      <c r="J49" s="204">
        <f>+J44</f>
        <v>823521</v>
      </c>
      <c r="K49" s="205">
        <f>+K44</f>
        <v>0.40372654364474148</v>
      </c>
      <c r="L49" s="203" t="s">
        <v>72</v>
      </c>
      <c r="M49" s="204">
        <f>+M44</f>
        <v>373872</v>
      </c>
      <c r="N49" s="205">
        <f>+N44</f>
        <v>0.18328864755792115</v>
      </c>
      <c r="O49" s="203" t="s">
        <v>72</v>
      </c>
      <c r="P49" s="204">
        <f>+M44</f>
        <v>373872</v>
      </c>
      <c r="Q49" s="205">
        <f>+N44</f>
        <v>0.18328864755792115</v>
      </c>
      <c r="AG49" s="512"/>
      <c r="AH49" s="512"/>
      <c r="AI49" s="512"/>
    </row>
    <row r="50" spans="1:35" x14ac:dyDescent="0.3">
      <c r="A50" s="183"/>
      <c r="B50" s="184"/>
      <c r="C50" s="184"/>
      <c r="D50" s="185"/>
      <c r="I50" s="203"/>
      <c r="J50" s="204"/>
      <c r="K50" s="205"/>
      <c r="L50" s="203" t="s">
        <v>73</v>
      </c>
      <c r="M50" s="204">
        <f>+M44</f>
        <v>373872</v>
      </c>
      <c r="N50" s="205">
        <f>+N44</f>
        <v>0.18328864755792115</v>
      </c>
      <c r="O50" s="203" t="s">
        <v>73</v>
      </c>
      <c r="P50" s="204">
        <f>+M44</f>
        <v>373872</v>
      </c>
      <c r="Q50" s="205">
        <f>+N44</f>
        <v>0.18328864755792115</v>
      </c>
      <c r="AG50" s="512"/>
      <c r="AH50" s="512"/>
      <c r="AI50" s="512"/>
    </row>
    <row r="51" spans="1:35" x14ac:dyDescent="0.3">
      <c r="A51" s="183"/>
      <c r="B51" s="184"/>
      <c r="C51" s="184"/>
      <c r="D51" s="185"/>
      <c r="I51" s="206" t="s">
        <v>1</v>
      </c>
      <c r="J51" s="207">
        <f>SUM(J49)</f>
        <v>823521</v>
      </c>
      <c r="K51" s="208">
        <f>SUM(K49:K49)</f>
        <v>0.40372654364474148</v>
      </c>
      <c r="L51" s="206" t="s">
        <v>1</v>
      </c>
      <c r="M51" s="207">
        <f>SUM(M49)</f>
        <v>373872</v>
      </c>
      <c r="N51" s="208">
        <f>SUM(N49:N50)</f>
        <v>0.36657729511584231</v>
      </c>
      <c r="O51" s="203" t="s">
        <v>74</v>
      </c>
      <c r="P51" s="204">
        <f>+P44</f>
        <v>0</v>
      </c>
      <c r="Q51" s="205">
        <f>+Q44</f>
        <v>0</v>
      </c>
      <c r="AG51" s="512"/>
      <c r="AH51" s="512"/>
      <c r="AI51" s="512"/>
    </row>
    <row r="52" spans="1:35" x14ac:dyDescent="0.3">
      <c r="A52" s="183"/>
      <c r="B52" s="184"/>
      <c r="C52" s="184"/>
      <c r="D52" s="185"/>
      <c r="I52" s="206" t="s">
        <v>9</v>
      </c>
      <c r="J52" s="1285"/>
      <c r="K52" s="1286"/>
      <c r="L52" s="206" t="s">
        <v>9</v>
      </c>
      <c r="M52" s="1285"/>
      <c r="N52" s="1286"/>
      <c r="O52" s="206" t="s">
        <v>1</v>
      </c>
      <c r="P52" s="207">
        <f>SUM(P49:P51)</f>
        <v>747744</v>
      </c>
      <c r="Q52" s="208">
        <f>SUM(Q49:Q51)</f>
        <v>0.36657729511584231</v>
      </c>
      <c r="AG52" s="512"/>
      <c r="AH52" s="512"/>
      <c r="AI52" s="512"/>
    </row>
    <row r="53" spans="1:35" x14ac:dyDescent="0.3">
      <c r="A53" s="183"/>
      <c r="B53" s="184"/>
      <c r="C53" s="184"/>
      <c r="D53" s="185"/>
      <c r="I53" s="156" t="s">
        <v>78</v>
      </c>
      <c r="J53" s="1285" t="s">
        <v>387</v>
      </c>
      <c r="K53" s="1286"/>
      <c r="L53" s="156" t="s">
        <v>78</v>
      </c>
      <c r="M53" s="1285" t="s">
        <v>387</v>
      </c>
      <c r="N53" s="1286"/>
      <c r="O53" s="206" t="s">
        <v>9</v>
      </c>
      <c r="P53" s="1285"/>
      <c r="Q53" s="1286"/>
      <c r="AG53" s="512"/>
      <c r="AH53" s="512"/>
      <c r="AI53" s="512"/>
    </row>
    <row r="54" spans="1:35" x14ac:dyDescent="0.3">
      <c r="A54" s="183"/>
      <c r="B54" s="184"/>
      <c r="C54" s="184"/>
      <c r="D54" s="185" t="s">
        <v>75</v>
      </c>
      <c r="I54" s="157" t="s">
        <v>8</v>
      </c>
      <c r="J54" s="1287" t="s">
        <v>1713</v>
      </c>
      <c r="K54" s="1288"/>
      <c r="L54" s="157" t="s">
        <v>8</v>
      </c>
      <c r="M54" s="1287" t="s">
        <v>1713</v>
      </c>
      <c r="N54" s="1288"/>
      <c r="O54" s="156" t="s">
        <v>78</v>
      </c>
      <c r="P54" s="1285" t="s">
        <v>387</v>
      </c>
      <c r="Q54" s="1286"/>
      <c r="AG54" s="512"/>
      <c r="AH54" s="512"/>
      <c r="AI54" s="512"/>
    </row>
    <row r="55" spans="1:35" x14ac:dyDescent="0.3">
      <c r="A55" s="183" t="s">
        <v>76</v>
      </c>
      <c r="B55" s="180"/>
      <c r="C55" s="180"/>
      <c r="D55" s="185" t="s">
        <v>77</v>
      </c>
      <c r="O55" s="157" t="s">
        <v>8</v>
      </c>
      <c r="P55" s="1287" t="s">
        <v>1713</v>
      </c>
      <c r="Q55" s="1288"/>
    </row>
    <row r="56" spans="1:35" ht="26.4" x14ac:dyDescent="0.3">
      <c r="A56" s="183" t="s">
        <v>79</v>
      </c>
      <c r="B56" s="180"/>
      <c r="C56" s="180"/>
      <c r="D56" s="185" t="s">
        <v>80</v>
      </c>
    </row>
    <row r="57" spans="1:35" x14ac:dyDescent="0.3">
      <c r="F57" s="539"/>
      <c r="G57" s="540"/>
    </row>
    <row r="61" spans="1:35" x14ac:dyDescent="0.3">
      <c r="I61" s="560"/>
      <c r="L61" s="560"/>
    </row>
  </sheetData>
  <sheetProtection formatCells="0" formatColumns="0" formatRows="0" insertColumns="0" insertRows="0" insertHyperlinks="0" deleteColumns="0" deleteRows="0" sort="0" autoFilter="0" pivotTables="0"/>
  <mergeCells count="50">
    <mergeCell ref="J54:K54"/>
    <mergeCell ref="J52:K52"/>
    <mergeCell ref="J53:K53"/>
    <mergeCell ref="L11:N12"/>
    <mergeCell ref="O11:Q12"/>
    <mergeCell ref="M52:N52"/>
    <mergeCell ref="M53:N53"/>
    <mergeCell ref="M54:N54"/>
    <mergeCell ref="P53:Q53"/>
    <mergeCell ref="P54:Q54"/>
    <mergeCell ref="A37:A39"/>
    <mergeCell ref="B37:B39"/>
    <mergeCell ref="H37:H39"/>
    <mergeCell ref="H22:H25"/>
    <mergeCell ref="A14:A16"/>
    <mergeCell ref="B14:B16"/>
    <mergeCell ref="H14:H16"/>
    <mergeCell ref="A17:A19"/>
    <mergeCell ref="B17:B19"/>
    <mergeCell ref="H17:H19"/>
    <mergeCell ref="H20:H21"/>
    <mergeCell ref="A22:A25"/>
    <mergeCell ref="B22:B25"/>
    <mergeCell ref="R1:T1"/>
    <mergeCell ref="R2:T2"/>
    <mergeCell ref="A3:T3"/>
    <mergeCell ref="A4:T4"/>
    <mergeCell ref="C1:N2"/>
    <mergeCell ref="A9:T9"/>
    <mergeCell ref="A10:T10"/>
    <mergeCell ref="B11:H11"/>
    <mergeCell ref="I11:K12"/>
    <mergeCell ref="R11:T12"/>
    <mergeCell ref="B12:H12"/>
    <mergeCell ref="P55:Q55"/>
    <mergeCell ref="A5:T5"/>
    <mergeCell ref="A6:T6"/>
    <mergeCell ref="A34:A36"/>
    <mergeCell ref="B34:B36"/>
    <mergeCell ref="H34:H36"/>
    <mergeCell ref="A26:A29"/>
    <mergeCell ref="B26:B29"/>
    <mergeCell ref="H26:H29"/>
    <mergeCell ref="A30:A33"/>
    <mergeCell ref="B30:B33"/>
    <mergeCell ref="H30:H33"/>
    <mergeCell ref="A20:A21"/>
    <mergeCell ref="B20:B21"/>
    <mergeCell ref="A7:T7"/>
    <mergeCell ref="A8:T8"/>
  </mergeCells>
  <pageMargins left="0.7" right="0.7" top="0.75" bottom="0.75" header="0.3" footer="0.3"/>
  <pageSetup scale="73" orientation="landscape" r:id="rId1"/>
  <drawing r:id="rId2"/>
  <legacyDrawingHF r:id="rId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tabColor theme="1"/>
  </sheetPr>
  <dimension ref="A1:G49"/>
  <sheetViews>
    <sheetView topLeftCell="A10"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RESUMEN!G40</f>
        <v>Proyecto: CDIM_CBSGSM_R0071 Reposición de Protecciones, Levantamiento e ingeniería para reposición de protecciones y normalización de tableros de control y protección SSEE VILLETA</v>
      </c>
      <c r="C5" s="1281"/>
      <c r="D5" s="1281"/>
      <c r="E5" s="1281"/>
      <c r="F5" s="1281"/>
      <c r="G5" s="1282"/>
    </row>
    <row r="6" spans="1:7" x14ac:dyDescent="0.25">
      <c r="A6" s="1177"/>
      <c r="B6" s="1177"/>
      <c r="C6" s="1177"/>
      <c r="D6" s="1177"/>
      <c r="E6" s="1177"/>
      <c r="F6" s="1177"/>
      <c r="G6" s="1177"/>
    </row>
    <row r="7" spans="1:7" x14ac:dyDescent="0.25">
      <c r="A7" s="271" t="s">
        <v>0</v>
      </c>
      <c r="B7" s="1264" t="str">
        <f>RESUMEN!B40</f>
        <v>D00249252</v>
      </c>
      <c r="C7" s="1265"/>
      <c r="D7" s="1177"/>
      <c r="E7" s="1266" t="s">
        <v>627</v>
      </c>
      <c r="F7" s="1267"/>
      <c r="G7" s="280" t="str">
        <f>RESUMEN!E40</f>
        <v>17-199</v>
      </c>
    </row>
    <row r="8" spans="1:7" x14ac:dyDescent="0.25">
      <c r="A8" s="271" t="s">
        <v>628</v>
      </c>
      <c r="B8" s="1264" t="str">
        <f>RESUMEN!C40</f>
        <v>D00249252000</v>
      </c>
      <c r="C8" s="1265"/>
      <c r="D8" s="1177"/>
      <c r="E8" s="1266" t="s">
        <v>629</v>
      </c>
      <c r="F8" s="1267"/>
      <c r="G8" s="280" t="str">
        <f>RESUMEN!U40</f>
        <v>Acta N° 5: Marzo</v>
      </c>
    </row>
    <row r="9" spans="1:7" x14ac:dyDescent="0.25">
      <c r="A9" s="271" t="s">
        <v>630</v>
      </c>
      <c r="B9" s="1283" t="s">
        <v>631</v>
      </c>
      <c r="C9" s="1265"/>
      <c r="D9" s="1177"/>
      <c r="E9" s="1266" t="s">
        <v>632</v>
      </c>
      <c r="F9" s="1267"/>
      <c r="G9" s="1178">
        <f>RESUMEN!H40</f>
        <v>41229168</v>
      </c>
    </row>
    <row r="10" spans="1:7" x14ac:dyDescent="0.25">
      <c r="A10" s="271" t="s">
        <v>633</v>
      </c>
      <c r="B10" s="1283" t="str">
        <f>RESUMEN!D40</f>
        <v>VILLETA</v>
      </c>
      <c r="C10" s="1265"/>
      <c r="D10" s="1177"/>
      <c r="E10" s="1266" t="s">
        <v>634</v>
      </c>
      <c r="F10" s="1267"/>
      <c r="G10" s="1178">
        <f>RESUMEN!R40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",RESUMEN!G40)</f>
        <v>A los 14 días del mes de Marzo se reunieron en las instalaciones de CODENSA S.A. E.S.P., los ingenieros Ing. David Jaramillo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CDIM_CBSGSM_R0071 Reposición de Protecciones, Levantamiento e ingeniería para reposición de protecciones y normalización de tableros de control y protección SSEE VILLETA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RESUMEN!N40</f>
        <v>0</v>
      </c>
      <c r="F19" s="1248"/>
      <c r="G19" s="1177"/>
    </row>
    <row r="20" spans="1:7" ht="27" customHeight="1" x14ac:dyDescent="0.25">
      <c r="A20" s="1177"/>
      <c r="B20" s="1244" t="s">
        <v>1498</v>
      </c>
      <c r="C20" s="1245"/>
      <c r="D20" s="1246"/>
      <c r="E20" s="1247">
        <f>RESUMEN!P40</f>
        <v>0</v>
      </c>
      <c r="F20" s="1248"/>
      <c r="G20" s="1177"/>
    </row>
    <row r="21" spans="1:7" ht="27" customHeight="1" x14ac:dyDescent="0.25">
      <c r="A21" s="1177"/>
      <c r="B21" s="1244" t="s">
        <v>1499</v>
      </c>
      <c r="C21" s="1245"/>
      <c r="D21" s="1246"/>
      <c r="E21" s="1247">
        <f>RESUMEN!Q40</f>
        <v>0</v>
      </c>
      <c r="F21" s="1248"/>
      <c r="G21" s="1177"/>
    </row>
    <row r="22" spans="1:7" x14ac:dyDescent="0.25">
      <c r="A22" s="1177"/>
      <c r="B22" s="1254" t="s">
        <v>64</v>
      </c>
      <c r="C22" s="1254"/>
      <c r="D22" s="1254"/>
      <c r="E22" s="1255">
        <f>RESUMEN!R40</f>
        <v>0</v>
      </c>
      <c r="F22" s="1255"/>
      <c r="G22" s="1177"/>
    </row>
    <row r="23" spans="1:7" x14ac:dyDescent="0.25">
      <c r="A23" s="1177"/>
      <c r="B23" s="1256" t="s">
        <v>66</v>
      </c>
      <c r="C23" s="1256"/>
      <c r="D23" s="1256"/>
      <c r="E23" s="1257">
        <f>RESUMEN!S40</f>
        <v>0</v>
      </c>
      <c r="F23" s="1257"/>
      <c r="G23" s="1177"/>
    </row>
    <row r="24" spans="1:7" x14ac:dyDescent="0.25">
      <c r="A24" s="1177"/>
      <c r="B24" s="1258" t="s">
        <v>1</v>
      </c>
      <c r="C24" s="1258"/>
      <c r="D24" s="1258"/>
      <c r="E24" s="1259">
        <f>RESUMEN!T40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+'OT17-199 VILLETA REP PROTEC'!W39</f>
        <v>ACTA 1</v>
      </c>
      <c r="C28" s="1253">
        <f>+'OT17-199 VILLETA REP PROTEC'!X39</f>
        <v>1048001.204</v>
      </c>
      <c r="D28" s="1253"/>
      <c r="E28" s="267">
        <f>+'OT17-199 VILLETA REP PROTEC'!Y39</f>
        <v>2.5418926814142841E-2</v>
      </c>
      <c r="F28" s="1177"/>
      <c r="G28" s="1177"/>
    </row>
    <row r="29" spans="1:7" x14ac:dyDescent="0.25">
      <c r="A29" s="1177"/>
      <c r="B29" s="280" t="str">
        <f>+'OT17-199 VILLETA REP PROTEC'!W40</f>
        <v>ACTA 2</v>
      </c>
      <c r="C29" s="1253">
        <f>+'OT17-199 VILLETA REP PROTEC'!X40</f>
        <v>11691814.308</v>
      </c>
      <c r="D29" s="1253"/>
      <c r="E29" s="267">
        <f>+'OT17-199 VILLETA REP PROTEC'!Y40</f>
        <v>0.28358113624800774</v>
      </c>
      <c r="F29" s="1177"/>
      <c r="G29" s="1177"/>
    </row>
    <row r="30" spans="1:7" x14ac:dyDescent="0.25">
      <c r="A30" s="1177"/>
      <c r="B30" s="280" t="str">
        <f>+'OT17-199 VILLETA REP PROTEC'!W41</f>
        <v>ACTA 3</v>
      </c>
      <c r="C30" s="1253">
        <f>+'OT17-199 VILLETA REP PROTEC'!X41</f>
        <v>25730623</v>
      </c>
      <c r="D30" s="1253"/>
      <c r="E30" s="267">
        <f>+'OT17-199 VILLETA REP PROTEC'!Y41</f>
        <v>0.61852116402522683</v>
      </c>
      <c r="F30" s="1177"/>
      <c r="G30" s="1177"/>
    </row>
    <row r="31" spans="1:7" x14ac:dyDescent="0.25">
      <c r="A31" s="1177"/>
      <c r="B31" s="280" t="str">
        <f>+'OT17-199 VILLETA REP PROTEC'!W42</f>
        <v>ACTA 4</v>
      </c>
      <c r="C31" s="1253">
        <f>+'OT17-199 VILLETA REP PROTEC'!X42</f>
        <v>1872199</v>
      </c>
      <c r="D31" s="1253"/>
      <c r="E31" s="267">
        <f>+'OT17-199 VILLETA REP PROTEC'!Y42</f>
        <v>4.5004534276797951E-2</v>
      </c>
      <c r="F31" s="1177"/>
      <c r="G31" s="1177"/>
    </row>
    <row r="32" spans="1:7" x14ac:dyDescent="0.25">
      <c r="A32" s="1177"/>
      <c r="B32" s="280" t="str">
        <f>+'OT17-199 VILLETA REP PROTEC'!W43</f>
        <v>ACTA 5</v>
      </c>
      <c r="C32" s="1253">
        <f>+'OT17-199 VILLETA REP PROTEC'!X43</f>
        <v>0</v>
      </c>
      <c r="D32" s="1253"/>
      <c r="E32" s="267">
        <f>+'OT17-199 VILLETA REP PROTEC'!Y43</f>
        <v>0</v>
      </c>
      <c r="F32" s="1177"/>
      <c r="G32" s="1177"/>
    </row>
    <row r="33" spans="1:7" x14ac:dyDescent="0.25">
      <c r="A33" s="1177"/>
      <c r="B33" s="280"/>
      <c r="C33" s="1253"/>
      <c r="D33" s="1253"/>
      <c r="E33" s="267"/>
      <c r="F33" s="1177"/>
      <c r="G33" s="1177"/>
    </row>
    <row r="34" spans="1:7" x14ac:dyDescent="0.25">
      <c r="A34" s="1177"/>
      <c r="B34" s="263" t="s">
        <v>1</v>
      </c>
      <c r="C34" s="1251">
        <f>SUM(C28:D33)</f>
        <v>40342637.512000002</v>
      </c>
      <c r="D34" s="1251"/>
      <c r="E34" s="264">
        <f>SUM(E28:E33)</f>
        <v>0.97252576136417535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RESUMEN!V40</f>
        <v>Ing. David Jaramillo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0">
    <tabColor rgb="FF72104A"/>
    <pageSetUpPr fitToPage="1"/>
  </sheetPr>
  <dimension ref="A1:AB49"/>
  <sheetViews>
    <sheetView topLeftCell="A7" zoomScale="60" zoomScaleNormal="60" zoomScaleSheetLayoutView="55" workbookViewId="0">
      <selection activeCell="D38" sqref="D38"/>
    </sheetView>
  </sheetViews>
  <sheetFormatPr baseColWidth="10" defaultColWidth="11.44140625" defaultRowHeight="14.4" x14ac:dyDescent="0.3"/>
  <cols>
    <col min="1" max="1" width="17.88671875" style="302" customWidth="1"/>
    <col min="2" max="2" width="24" style="302" customWidth="1"/>
    <col min="3" max="3" width="31.33203125" style="302" customWidth="1"/>
    <col min="4" max="4" width="24" style="302" customWidth="1"/>
    <col min="5" max="5" width="11.5546875" style="80" bestFit="1" customWidth="1"/>
    <col min="6" max="6" width="17.88671875" style="302" bestFit="1" customWidth="1"/>
    <col min="7" max="7" width="17.88671875" style="795" customWidth="1"/>
    <col min="8" max="8" width="17.5546875" style="302" customWidth="1"/>
    <col min="9" max="9" width="18.44140625" style="795" bestFit="1" customWidth="1"/>
    <col min="10" max="10" width="25.5546875" style="302" customWidth="1"/>
    <col min="11" max="11" width="19.33203125" style="302" hidden="1" customWidth="1"/>
    <col min="12" max="12" width="18" style="302" hidden="1" customWidth="1"/>
    <col min="13" max="13" width="11.44140625" style="302" hidden="1" customWidth="1"/>
    <col min="14" max="14" width="17.88671875" style="302" hidden="1" customWidth="1"/>
    <col min="15" max="15" width="18" style="302" hidden="1" customWidth="1"/>
    <col min="16" max="16" width="6.88671875" style="302" hidden="1" customWidth="1"/>
    <col min="17" max="17" width="17.88671875" style="302" hidden="1" customWidth="1"/>
    <col min="18" max="18" width="18" style="302" hidden="1" customWidth="1"/>
    <col min="19" max="19" width="6.88671875" style="302" hidden="1" customWidth="1"/>
    <col min="20" max="20" width="17.88671875" style="795" bestFit="1" customWidth="1"/>
    <col min="21" max="21" width="18" style="795" bestFit="1" customWidth="1"/>
    <col min="22" max="22" width="6.88671875" style="795" bestFit="1" customWidth="1"/>
    <col min="23" max="23" width="15.77734375" style="1054" customWidth="1"/>
    <col min="24" max="24" width="18.21875" style="1054" customWidth="1"/>
    <col min="25" max="25" width="19.33203125" style="1054" customWidth="1"/>
    <col min="26" max="26" width="17.88671875" style="302" bestFit="1" customWidth="1"/>
    <col min="27" max="27" width="18.6640625" style="302" bestFit="1" customWidth="1"/>
    <col min="28" max="16384" width="11.44140625" style="302"/>
  </cols>
  <sheetData>
    <row r="1" spans="1:28" ht="78"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792"/>
      <c r="U1" s="792"/>
      <c r="V1" s="792"/>
      <c r="W1" s="1052"/>
      <c r="X1" s="1052"/>
      <c r="Y1" s="1052"/>
      <c r="Z1" s="1303" t="s">
        <v>793</v>
      </c>
      <c r="AA1" s="1303"/>
      <c r="AB1" s="1304"/>
    </row>
    <row r="2" spans="1:28"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793"/>
      <c r="U2" s="793"/>
      <c r="V2" s="793"/>
      <c r="W2" s="1053"/>
      <c r="X2" s="1053"/>
      <c r="Y2" s="1053"/>
      <c r="Z2" s="1305" t="s">
        <v>41</v>
      </c>
      <c r="AA2" s="1305"/>
      <c r="AB2" s="1306"/>
    </row>
    <row r="3" spans="1:28"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ht="13.5" customHeight="1" x14ac:dyDescent="0.3">
      <c r="A7" s="1291" t="s">
        <v>794</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ht="13.5" customHeight="1" x14ac:dyDescent="0.3">
      <c r="A10" s="1292" t="s">
        <v>795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ht="13.5" customHeight="1" x14ac:dyDescent="0.3">
      <c r="A11" s="315"/>
      <c r="B11" s="1301"/>
      <c r="C11" s="1313"/>
      <c r="D11" s="1313"/>
      <c r="E11" s="1313"/>
      <c r="F11" s="1313"/>
      <c r="G11" s="1313"/>
      <c r="H11" s="1313"/>
      <c r="I11" s="1313"/>
      <c r="J11" s="1313"/>
      <c r="K11" s="1293" t="s">
        <v>678</v>
      </c>
      <c r="L11" s="1294"/>
      <c r="M11" s="1295"/>
      <c r="N11" s="1293" t="s">
        <v>981</v>
      </c>
      <c r="O11" s="1294"/>
      <c r="P11" s="1295"/>
      <c r="Q11" s="1470" t="s">
        <v>1431</v>
      </c>
      <c r="R11" s="1471"/>
      <c r="S11" s="1472"/>
      <c r="T11" s="1470" t="s">
        <v>2098</v>
      </c>
      <c r="U11" s="1471"/>
      <c r="V11" s="1472"/>
      <c r="W11" s="1470" t="s">
        <v>2333</v>
      </c>
      <c r="X11" s="1471"/>
      <c r="Y11" s="1472"/>
      <c r="Z11" s="1299" t="s">
        <v>49</v>
      </c>
      <c r="AA11" s="1299"/>
      <c r="AB11" s="1299"/>
    </row>
    <row r="12" spans="1:28" ht="13.5" customHeight="1" x14ac:dyDescent="0.3">
      <c r="A12" s="171"/>
      <c r="B12" s="1301"/>
      <c r="C12" s="1302"/>
      <c r="D12" s="1302"/>
      <c r="E12" s="1302"/>
      <c r="F12" s="1302"/>
      <c r="G12" s="1302"/>
      <c r="H12" s="1302"/>
      <c r="I12" s="1302"/>
      <c r="J12" s="1302"/>
      <c r="K12" s="1325"/>
      <c r="L12" s="1326"/>
      <c r="M12" s="1327"/>
      <c r="N12" s="1296"/>
      <c r="O12" s="1297"/>
      <c r="P12" s="1298"/>
      <c r="Q12" s="1473"/>
      <c r="R12" s="1474"/>
      <c r="S12" s="1475"/>
      <c r="T12" s="1473"/>
      <c r="U12" s="1474"/>
      <c r="V12" s="1475"/>
      <c r="W12" s="1473"/>
      <c r="X12" s="1474"/>
      <c r="Y12" s="1475"/>
      <c r="Z12" s="1300"/>
      <c r="AA12" s="1300"/>
      <c r="AB12" s="1300"/>
    </row>
    <row r="13" spans="1:28" ht="28.8" x14ac:dyDescent="0.3">
      <c r="A13" s="159" t="s">
        <v>50</v>
      </c>
      <c r="B13" s="159" t="s">
        <v>51</v>
      </c>
      <c r="C13" s="159" t="s">
        <v>52</v>
      </c>
      <c r="D13" s="159" t="s">
        <v>164</v>
      </c>
      <c r="E13" s="159" t="s">
        <v>54</v>
      </c>
      <c r="F13" s="141" t="s">
        <v>55</v>
      </c>
      <c r="G13" s="823" t="s">
        <v>2007</v>
      </c>
      <c r="H13" s="159" t="s">
        <v>56</v>
      </c>
      <c r="I13" s="824" t="s">
        <v>56</v>
      </c>
      <c r="J13" s="159" t="s">
        <v>57</v>
      </c>
      <c r="K13" s="28" t="s">
        <v>54</v>
      </c>
      <c r="L13" s="28" t="s">
        <v>56</v>
      </c>
      <c r="M13" s="28" t="s">
        <v>58</v>
      </c>
      <c r="N13" s="28" t="s">
        <v>54</v>
      </c>
      <c r="O13" s="28" t="s">
        <v>56</v>
      </c>
      <c r="P13" s="28" t="s">
        <v>58</v>
      </c>
      <c r="Q13" s="28" t="s">
        <v>54</v>
      </c>
      <c r="R13" s="28" t="s">
        <v>56</v>
      </c>
      <c r="S13" s="28" t="s">
        <v>58</v>
      </c>
      <c r="T13" s="28" t="s">
        <v>54</v>
      </c>
      <c r="U13" s="28" t="s">
        <v>56</v>
      </c>
      <c r="V13" s="28" t="s">
        <v>58</v>
      </c>
      <c r="W13" s="28" t="s">
        <v>54</v>
      </c>
      <c r="X13" s="28" t="s">
        <v>56</v>
      </c>
      <c r="Y13" s="28" t="s">
        <v>58</v>
      </c>
      <c r="Z13" s="174" t="s">
        <v>54</v>
      </c>
      <c r="AA13" s="172" t="s">
        <v>56</v>
      </c>
      <c r="AB13" s="28" t="s">
        <v>58</v>
      </c>
    </row>
    <row r="14" spans="1:28" ht="28.8" x14ac:dyDescent="0.3">
      <c r="A14" s="1289" t="s">
        <v>313</v>
      </c>
      <c r="B14" s="1290" t="s">
        <v>768</v>
      </c>
      <c r="C14" s="314" t="s">
        <v>83</v>
      </c>
      <c r="D14" s="314" t="s">
        <v>91</v>
      </c>
      <c r="E14" s="31">
        <v>1.5</v>
      </c>
      <c r="F14" s="32">
        <v>1671452</v>
      </c>
      <c r="G14" s="32">
        <f>+ROUND(F14*1.051,0)</f>
        <v>1756696</v>
      </c>
      <c r="H14" s="32">
        <f>ROUND((E14*F14),0)</f>
        <v>2507178</v>
      </c>
      <c r="I14" s="32">
        <f>+ROUND(G14*E14,0)</f>
        <v>2635044</v>
      </c>
      <c r="J14" s="1289" t="s">
        <v>786</v>
      </c>
      <c r="K14" s="303">
        <v>0.3</v>
      </c>
      <c r="L14" s="304">
        <f>ROUND(K14*$F$14,0)</f>
        <v>501436</v>
      </c>
      <c r="M14" s="305">
        <f>L14/$H$14</f>
        <v>0.20000015954192324</v>
      </c>
      <c r="N14" s="421">
        <v>0.15</v>
      </c>
      <c r="O14" s="422">
        <f>ROUND(N14*$F$14,0)</f>
        <v>250718</v>
      </c>
      <c r="P14" s="423">
        <f>O14/$H$14</f>
        <v>0.10000007977096162</v>
      </c>
      <c r="Q14" s="432">
        <v>0</v>
      </c>
      <c r="R14" s="425">
        <f>ROUND(Q14*$F$14,0)</f>
        <v>0</v>
      </c>
      <c r="S14" s="426">
        <f>R14/$H$14</f>
        <v>0</v>
      </c>
      <c r="T14" s="433">
        <v>1.05</v>
      </c>
      <c r="U14" s="429">
        <f>ROUND(T14*G14,0)</f>
        <v>1844531</v>
      </c>
      <c r="V14" s="430">
        <f>U14/H14</f>
        <v>0.73570005799348914</v>
      </c>
      <c r="W14" s="432">
        <v>0</v>
      </c>
      <c r="X14" s="425">
        <f>ROUND(W14*G14,0)</f>
        <v>0</v>
      </c>
      <c r="Y14" s="426">
        <f>X14/H14</f>
        <v>0</v>
      </c>
      <c r="Z14" s="149">
        <f>K14+N14+Q14+T14+W14</f>
        <v>1.5</v>
      </c>
      <c r="AA14" s="175">
        <f>L14+O14+R14+U14+X14</f>
        <v>2596685</v>
      </c>
      <c r="AB14" s="176">
        <f>AA14/H14</f>
        <v>1.035700297306374</v>
      </c>
    </row>
    <row r="15" spans="1:28" ht="28.8" x14ac:dyDescent="0.3">
      <c r="A15" s="1289"/>
      <c r="B15" s="1289"/>
      <c r="C15" s="314" t="s">
        <v>61</v>
      </c>
      <c r="D15" s="314" t="s">
        <v>92</v>
      </c>
      <c r="E15" s="31">
        <v>1.5</v>
      </c>
      <c r="F15" s="32">
        <v>6233126</v>
      </c>
      <c r="G15" s="32">
        <f>+ROUND(F15*1.051,0)</f>
        <v>6551015</v>
      </c>
      <c r="H15" s="32">
        <f>ROUND((E15*F15),0)</f>
        <v>9349689</v>
      </c>
      <c r="I15" s="32">
        <f>+ROUND(G15*E15,0)</f>
        <v>9826523</v>
      </c>
      <c r="J15" s="1289"/>
      <c r="K15" s="158">
        <v>0</v>
      </c>
      <c r="L15" s="194">
        <f>ROUND(K15*$F$15,0)</f>
        <v>0</v>
      </c>
      <c r="M15" s="195">
        <f>L15/$H$15</f>
        <v>0</v>
      </c>
      <c r="N15" s="421">
        <v>0.45</v>
      </c>
      <c r="O15" s="304">
        <f>ROUND(N15*$F$15,0)</f>
        <v>2804907</v>
      </c>
      <c r="P15" s="305">
        <f>O15/$H$15</f>
        <v>0.30000003208662879</v>
      </c>
      <c r="Q15" s="433">
        <v>1.05</v>
      </c>
      <c r="R15" s="429">
        <f>ROUND(Q15*$F$15,0)</f>
        <v>6544782</v>
      </c>
      <c r="S15" s="430">
        <f>R15/$H$15</f>
        <v>0.69999996791337127</v>
      </c>
      <c r="T15" s="432">
        <v>0</v>
      </c>
      <c r="U15" s="425">
        <f>ROUND(T15*G15,0)</f>
        <v>0</v>
      </c>
      <c r="V15" s="426">
        <f>U15/H15</f>
        <v>0</v>
      </c>
      <c r="W15" s="432">
        <v>0</v>
      </c>
      <c r="X15" s="425">
        <f>ROUND(W15*G15,0)</f>
        <v>0</v>
      </c>
      <c r="Y15" s="426">
        <f t="shared" ref="Y15:Y28" si="0">X15/H15</f>
        <v>0</v>
      </c>
      <c r="Z15" s="416">
        <f t="shared" ref="Z15:Z27" si="1">K15+N15+Q15+T15+W15</f>
        <v>1.5</v>
      </c>
      <c r="AA15" s="175">
        <f t="shared" ref="AA15:AA28" si="2">L15+O15+R15+U15+X15</f>
        <v>9349689</v>
      </c>
      <c r="AB15" s="176">
        <f>AA15/H15</f>
        <v>1</v>
      </c>
    </row>
    <row r="16" spans="1:28" x14ac:dyDescent="0.3">
      <c r="A16" s="1289"/>
      <c r="B16" s="1289"/>
      <c r="C16" s="257"/>
      <c r="D16" s="257" t="s">
        <v>63</v>
      </c>
      <c r="E16" s="565"/>
      <c r="F16" s="258"/>
      <c r="G16" s="258"/>
      <c r="H16" s="259">
        <f>SUM(H14:H15)</f>
        <v>11856867</v>
      </c>
      <c r="I16" s="259">
        <f>SUM(I14:I15)</f>
        <v>12461567</v>
      </c>
      <c r="J16" s="1289"/>
      <c r="K16" s="308"/>
      <c r="L16" s="179">
        <f>SUM(L14:L15)</f>
        <v>501436</v>
      </c>
      <c r="M16" s="308">
        <f>L16/$H$16</f>
        <v>4.2290767029772705E-2</v>
      </c>
      <c r="N16" s="424"/>
      <c r="O16" s="179">
        <f>SUM(O14:O15)</f>
        <v>3055625</v>
      </c>
      <c r="P16" s="308">
        <f>O16/$H$16</f>
        <v>0.25770930887560772</v>
      </c>
      <c r="Q16" s="431"/>
      <c r="R16" s="179">
        <f>SUM(R14:R15)</f>
        <v>6544782</v>
      </c>
      <c r="S16" s="431">
        <f>R16/$H$16</f>
        <v>0.55198240816903821</v>
      </c>
      <c r="T16" s="431"/>
      <c r="U16" s="179">
        <f>SUM(U14:U15)</f>
        <v>1844531</v>
      </c>
      <c r="V16" s="431">
        <f>U16/$H$16</f>
        <v>0.15556647468509177</v>
      </c>
      <c r="W16" s="431"/>
      <c r="X16" s="179">
        <f>SUM(X14:X15)</f>
        <v>0</v>
      </c>
      <c r="Y16" s="1091">
        <f t="shared" si="0"/>
        <v>0</v>
      </c>
      <c r="Z16" s="1093"/>
      <c r="AA16" s="1078">
        <f t="shared" si="2"/>
        <v>11946374</v>
      </c>
      <c r="AB16" s="308">
        <f>AA16/H16</f>
        <v>1.0075489587595103</v>
      </c>
    </row>
    <row r="17" spans="1:28" ht="28.8" x14ac:dyDescent="0.3">
      <c r="A17" s="1289" t="s">
        <v>313</v>
      </c>
      <c r="B17" s="1290" t="s">
        <v>769</v>
      </c>
      <c r="C17" s="314" t="s">
        <v>83</v>
      </c>
      <c r="D17" s="314" t="s">
        <v>197</v>
      </c>
      <c r="E17" s="31">
        <v>0</v>
      </c>
      <c r="F17" s="32">
        <v>1114302</v>
      </c>
      <c r="G17" s="32">
        <f t="shared" ref="G17:G18" si="3">+ROUND(F17*1.051,0)</f>
        <v>1171131</v>
      </c>
      <c r="H17" s="32">
        <f>ROUND((E17*F17),0)</f>
        <v>0</v>
      </c>
      <c r="I17" s="32">
        <f t="shared" ref="I17:I18" si="4">+ROUND(G17*E17,0)</f>
        <v>0</v>
      </c>
      <c r="J17" s="1290" t="s">
        <v>787</v>
      </c>
      <c r="K17" s="158">
        <v>0</v>
      </c>
      <c r="L17" s="194">
        <f>ROUND(K17*$F$17,0)</f>
        <v>0</v>
      </c>
      <c r="M17" s="195">
        <v>0</v>
      </c>
      <c r="N17" s="427">
        <v>0</v>
      </c>
      <c r="O17" s="194">
        <f>ROUND(N17*$F$17,0)</f>
        <v>0</v>
      </c>
      <c r="P17" s="195">
        <v>0</v>
      </c>
      <c r="Q17" s="432">
        <v>0</v>
      </c>
      <c r="R17" s="425">
        <f>ROUND(Q17*$F$17,0)</f>
        <v>0</v>
      </c>
      <c r="S17" s="426">
        <v>0</v>
      </c>
      <c r="T17" s="432">
        <v>0</v>
      </c>
      <c r="U17" s="425">
        <f>ROUND(T17*G17,0)</f>
        <v>0</v>
      </c>
      <c r="V17" s="426">
        <v>0</v>
      </c>
      <c r="W17" s="432">
        <v>0</v>
      </c>
      <c r="X17" s="425">
        <f>ROUND(W17*G17,0)</f>
        <v>0</v>
      </c>
      <c r="Y17" s="426">
        <v>0</v>
      </c>
      <c r="Z17" s="416">
        <f t="shared" si="1"/>
        <v>0</v>
      </c>
      <c r="AA17" s="175">
        <f t="shared" si="2"/>
        <v>0</v>
      </c>
      <c r="AB17" s="176">
        <v>0</v>
      </c>
    </row>
    <row r="18" spans="1:28" ht="28.8" x14ac:dyDescent="0.3">
      <c r="A18" s="1289"/>
      <c r="B18" s="1289"/>
      <c r="C18" s="314" t="s">
        <v>61</v>
      </c>
      <c r="D18" s="314" t="s">
        <v>198</v>
      </c>
      <c r="E18" s="31">
        <v>1</v>
      </c>
      <c r="F18" s="32">
        <v>5501866</v>
      </c>
      <c r="G18" s="32">
        <f t="shared" si="3"/>
        <v>5782461</v>
      </c>
      <c r="H18" s="32">
        <f>ROUND((E18*F18),0)</f>
        <v>5501866</v>
      </c>
      <c r="I18" s="32">
        <f t="shared" si="4"/>
        <v>5782461</v>
      </c>
      <c r="J18" s="1289"/>
      <c r="K18" s="158">
        <v>0</v>
      </c>
      <c r="L18" s="194">
        <f>ROUND(K18*$F$18,0)</f>
        <v>0</v>
      </c>
      <c r="M18" s="195">
        <f>L18/$H$18</f>
        <v>0</v>
      </c>
      <c r="N18" s="421">
        <v>0.3</v>
      </c>
      <c r="O18" s="304">
        <f>ROUND(N18*$F$18,0)</f>
        <v>1650560</v>
      </c>
      <c r="P18" s="305">
        <f>O18/$H$18</f>
        <v>0.30000003635130335</v>
      </c>
      <c r="Q18" s="433">
        <v>0.7</v>
      </c>
      <c r="R18" s="429">
        <f>ROUND(Q18*$F$18,0)</f>
        <v>3851306</v>
      </c>
      <c r="S18" s="430">
        <f>R18/$H$18</f>
        <v>0.69999996364869665</v>
      </c>
      <c r="T18" s="432">
        <v>0</v>
      </c>
      <c r="U18" s="425">
        <f>ROUND(T18*G18,0)</f>
        <v>0</v>
      </c>
      <c r="V18" s="426">
        <f>U18/H18</f>
        <v>0</v>
      </c>
      <c r="W18" s="432">
        <v>0</v>
      </c>
      <c r="X18" s="425">
        <f>ROUND(W18*G18,0)</f>
        <v>0</v>
      </c>
      <c r="Y18" s="426">
        <f t="shared" si="0"/>
        <v>0</v>
      </c>
      <c r="Z18" s="416">
        <f t="shared" si="1"/>
        <v>1</v>
      </c>
      <c r="AA18" s="175">
        <f t="shared" si="2"/>
        <v>5501866</v>
      </c>
      <c r="AB18" s="176">
        <f>AA18/H18</f>
        <v>1</v>
      </c>
    </row>
    <row r="19" spans="1:28" x14ac:dyDescent="0.3">
      <c r="A19" s="1289"/>
      <c r="B19" s="1289"/>
      <c r="C19" s="257"/>
      <c r="D19" s="257" t="s">
        <v>199</v>
      </c>
      <c r="E19" s="565"/>
      <c r="F19" s="258"/>
      <c r="G19" s="258"/>
      <c r="H19" s="259">
        <f>SUM(H17:H18)</f>
        <v>5501866</v>
      </c>
      <c r="I19" s="259">
        <f>SUM(I17:I18)</f>
        <v>5782461</v>
      </c>
      <c r="J19" s="1289"/>
      <c r="K19" s="308"/>
      <c r="L19" s="179">
        <f>SUM(L17:L18)</f>
        <v>0</v>
      </c>
      <c r="M19" s="308">
        <f>L19/$H$19</f>
        <v>0</v>
      </c>
      <c r="N19" s="424"/>
      <c r="O19" s="179">
        <f>SUM(O17:O18)</f>
        <v>1650560</v>
      </c>
      <c r="P19" s="308">
        <f>O19/$H$19</f>
        <v>0.30000003635130335</v>
      </c>
      <c r="Q19" s="431"/>
      <c r="R19" s="179">
        <f>SUM(R17:R18)</f>
        <v>3851306</v>
      </c>
      <c r="S19" s="431">
        <f>R19/$H$19</f>
        <v>0.69999996364869665</v>
      </c>
      <c r="T19" s="431"/>
      <c r="U19" s="179">
        <f>SUM(U17:U18)</f>
        <v>0</v>
      </c>
      <c r="V19" s="431">
        <f>U19/$H$19</f>
        <v>0</v>
      </c>
      <c r="W19" s="431"/>
      <c r="X19" s="179">
        <f>SUM(X17:X18)</f>
        <v>0</v>
      </c>
      <c r="Y19" s="1091">
        <f t="shared" si="0"/>
        <v>0</v>
      </c>
      <c r="Z19" s="1093"/>
      <c r="AA19" s="1078">
        <f t="shared" si="2"/>
        <v>5501866</v>
      </c>
      <c r="AB19" s="308">
        <f>AA19/H19</f>
        <v>1</v>
      </c>
    </row>
    <row r="20" spans="1:28" ht="28.8" x14ac:dyDescent="0.3">
      <c r="A20" s="1289" t="s">
        <v>313</v>
      </c>
      <c r="B20" s="1290" t="s">
        <v>769</v>
      </c>
      <c r="C20" s="314" t="s">
        <v>83</v>
      </c>
      <c r="D20" s="314" t="s">
        <v>197</v>
      </c>
      <c r="E20" s="31">
        <v>0</v>
      </c>
      <c r="F20" s="32">
        <v>1114302</v>
      </c>
      <c r="G20" s="32">
        <f t="shared" ref="G20:G21" si="5">+ROUND(F20*1.051,0)</f>
        <v>1171131</v>
      </c>
      <c r="H20" s="32">
        <f>ROUND((E20*F20),0)</f>
        <v>0</v>
      </c>
      <c r="I20" s="32">
        <f t="shared" ref="I20:I21" si="6">+ROUND(G20*E20,0)</f>
        <v>0</v>
      </c>
      <c r="J20" s="1289"/>
      <c r="K20" s="158">
        <v>0</v>
      </c>
      <c r="L20" s="194">
        <f>ROUND(K20*$F$20,0)</f>
        <v>0</v>
      </c>
      <c r="M20" s="195">
        <v>0</v>
      </c>
      <c r="N20" s="427">
        <v>0</v>
      </c>
      <c r="O20" s="194">
        <f>ROUND(N20*$F$20,0)</f>
        <v>0</v>
      </c>
      <c r="P20" s="195">
        <v>0</v>
      </c>
      <c r="Q20" s="432">
        <v>0</v>
      </c>
      <c r="R20" s="425">
        <f>ROUND(Q20*$F$20,0)</f>
        <v>0</v>
      </c>
      <c r="S20" s="426">
        <v>0</v>
      </c>
      <c r="T20" s="432">
        <v>0</v>
      </c>
      <c r="U20" s="425">
        <f>ROUND(T20*G20,0)</f>
        <v>0</v>
      </c>
      <c r="V20" s="426">
        <v>0</v>
      </c>
      <c r="W20" s="432">
        <v>0</v>
      </c>
      <c r="X20" s="425">
        <f>ROUND(W20*G20,0)</f>
        <v>0</v>
      </c>
      <c r="Y20" s="426">
        <v>0</v>
      </c>
      <c r="Z20" s="416">
        <f t="shared" si="1"/>
        <v>0</v>
      </c>
      <c r="AA20" s="175">
        <f t="shared" si="2"/>
        <v>0</v>
      </c>
      <c r="AB20" s="176">
        <v>0</v>
      </c>
    </row>
    <row r="21" spans="1:28" ht="28.8" x14ac:dyDescent="0.3">
      <c r="A21" s="1289"/>
      <c r="B21" s="1289"/>
      <c r="C21" s="314" t="s">
        <v>61</v>
      </c>
      <c r="D21" s="314" t="s">
        <v>198</v>
      </c>
      <c r="E21" s="31">
        <v>1</v>
      </c>
      <c r="F21" s="32">
        <v>5501866</v>
      </c>
      <c r="G21" s="32">
        <f t="shared" si="5"/>
        <v>5782461</v>
      </c>
      <c r="H21" s="32">
        <f>ROUND((E21*F21),0)</f>
        <v>5501866</v>
      </c>
      <c r="I21" s="32">
        <f t="shared" si="6"/>
        <v>5782461</v>
      </c>
      <c r="J21" s="1289"/>
      <c r="K21" s="158">
        <v>0</v>
      </c>
      <c r="L21" s="194">
        <f>ROUND(K21*$F$21,0)</f>
        <v>0</v>
      </c>
      <c r="M21" s="195">
        <f>L21/$H$21</f>
        <v>0</v>
      </c>
      <c r="N21" s="421">
        <v>0.3</v>
      </c>
      <c r="O21" s="304">
        <f>ROUND(N21*$F$21,0)</f>
        <v>1650560</v>
      </c>
      <c r="P21" s="305">
        <f>O21/$H$21</f>
        <v>0.30000003635130335</v>
      </c>
      <c r="Q21" s="433">
        <v>0.7</v>
      </c>
      <c r="R21" s="429">
        <f>ROUND(Q21*$F$21,0)</f>
        <v>3851306</v>
      </c>
      <c r="S21" s="430">
        <f>R21/$H$21</f>
        <v>0.69999996364869665</v>
      </c>
      <c r="T21" s="432">
        <v>0</v>
      </c>
      <c r="U21" s="425">
        <f>ROUND(T21*G21,0)</f>
        <v>0</v>
      </c>
      <c r="V21" s="426">
        <f>U21/H21</f>
        <v>0</v>
      </c>
      <c r="W21" s="432">
        <v>0</v>
      </c>
      <c r="X21" s="425">
        <f>ROUND(W21*G21,0)</f>
        <v>0</v>
      </c>
      <c r="Y21" s="426">
        <f t="shared" si="0"/>
        <v>0</v>
      </c>
      <c r="Z21" s="416">
        <f t="shared" si="1"/>
        <v>1</v>
      </c>
      <c r="AA21" s="175">
        <f t="shared" si="2"/>
        <v>5501866</v>
      </c>
      <c r="AB21" s="176">
        <f>AA21/H21</f>
        <v>1</v>
      </c>
    </row>
    <row r="22" spans="1:28" x14ac:dyDescent="0.3">
      <c r="A22" s="1289"/>
      <c r="B22" s="1289"/>
      <c r="C22" s="257"/>
      <c r="D22" s="257" t="s">
        <v>199</v>
      </c>
      <c r="E22" s="565"/>
      <c r="F22" s="258"/>
      <c r="G22" s="258"/>
      <c r="H22" s="259">
        <f>SUM(H20:H21)</f>
        <v>5501866</v>
      </c>
      <c r="I22" s="259">
        <f>SUM(I20:I21)</f>
        <v>5782461</v>
      </c>
      <c r="J22" s="1289"/>
      <c r="K22" s="308"/>
      <c r="L22" s="179">
        <f>SUM(L20:L21)</f>
        <v>0</v>
      </c>
      <c r="M22" s="308">
        <f>L22/$H$22</f>
        <v>0</v>
      </c>
      <c r="N22" s="424"/>
      <c r="O22" s="179">
        <f>SUM(O20:O21)</f>
        <v>1650560</v>
      </c>
      <c r="P22" s="308">
        <f>O22/$H$22</f>
        <v>0.30000003635130335</v>
      </c>
      <c r="Q22" s="431"/>
      <c r="R22" s="179">
        <f>SUM(R20:R21)</f>
        <v>3851306</v>
      </c>
      <c r="S22" s="431">
        <f>R22/$H$22</f>
        <v>0.69999996364869665</v>
      </c>
      <c r="T22" s="431"/>
      <c r="U22" s="179">
        <f>SUM(U20:U21)</f>
        <v>0</v>
      </c>
      <c r="V22" s="431">
        <f>U22/$H$22</f>
        <v>0</v>
      </c>
      <c r="W22" s="431"/>
      <c r="X22" s="179">
        <f>SUM(X20:X21)</f>
        <v>0</v>
      </c>
      <c r="Y22" s="1091">
        <f t="shared" si="0"/>
        <v>0</v>
      </c>
      <c r="Z22" s="1093"/>
      <c r="AA22" s="1078">
        <f t="shared" si="2"/>
        <v>5501866</v>
      </c>
      <c r="AB22" s="308">
        <f>AA22/H22</f>
        <v>1</v>
      </c>
    </row>
    <row r="23" spans="1:28" ht="28.8" x14ac:dyDescent="0.3">
      <c r="A23" s="1289" t="s">
        <v>307</v>
      </c>
      <c r="B23" s="1290" t="s">
        <v>768</v>
      </c>
      <c r="C23" s="314" t="s">
        <v>83</v>
      </c>
      <c r="D23" s="314" t="s">
        <v>91</v>
      </c>
      <c r="E23" s="31">
        <v>1.5</v>
      </c>
      <c r="F23" s="32">
        <v>1671452</v>
      </c>
      <c r="G23" s="32">
        <f t="shared" ref="G23:G24" si="7">+ROUND(F23*1.051,0)</f>
        <v>1756696</v>
      </c>
      <c r="H23" s="32">
        <f>ROUND((E23*F23),0)</f>
        <v>2507178</v>
      </c>
      <c r="I23" s="32">
        <f t="shared" ref="I23:I24" si="8">+ROUND(G23*E23,0)</f>
        <v>2635044</v>
      </c>
      <c r="J23" s="1289" t="s">
        <v>786</v>
      </c>
      <c r="K23" s="303">
        <v>0.3</v>
      </c>
      <c r="L23" s="304">
        <f>ROUND(K23*$F$23,0)</f>
        <v>501436</v>
      </c>
      <c r="M23" s="305">
        <f>L23/$H$23</f>
        <v>0.20000015954192324</v>
      </c>
      <c r="N23" s="421">
        <v>0.15</v>
      </c>
      <c r="O23" s="422">
        <f>ROUND(N23*$F$23,0)</f>
        <v>250718</v>
      </c>
      <c r="P23" s="423">
        <f>O23/$H$23</f>
        <v>0.10000007977096162</v>
      </c>
      <c r="Q23" s="432">
        <v>0</v>
      </c>
      <c r="R23" s="425">
        <f>ROUND(Q23*$F$23,0)</f>
        <v>0</v>
      </c>
      <c r="S23" s="426">
        <f>R23/$H$23</f>
        <v>0</v>
      </c>
      <c r="T23" s="432">
        <v>0</v>
      </c>
      <c r="U23" s="425">
        <f t="shared" ref="U23:U24" si="9">ROUND(T23*G23,0)</f>
        <v>0</v>
      </c>
      <c r="V23" s="426">
        <f>U23/H23</f>
        <v>0</v>
      </c>
      <c r="W23" s="432">
        <v>0</v>
      </c>
      <c r="X23" s="425">
        <f>ROUND(W23*G23,0)</f>
        <v>0</v>
      </c>
      <c r="Y23" s="426">
        <f t="shared" si="0"/>
        <v>0</v>
      </c>
      <c r="Z23" s="416">
        <f t="shared" si="1"/>
        <v>0.44999999999999996</v>
      </c>
      <c r="AA23" s="175">
        <f t="shared" si="2"/>
        <v>752154</v>
      </c>
      <c r="AB23" s="176">
        <f>AA23/H23</f>
        <v>0.30000023931288483</v>
      </c>
    </row>
    <row r="24" spans="1:28" ht="28.8" x14ac:dyDescent="0.3">
      <c r="A24" s="1289"/>
      <c r="B24" s="1289"/>
      <c r="C24" s="314" t="s">
        <v>61</v>
      </c>
      <c r="D24" s="314" t="s">
        <v>92</v>
      </c>
      <c r="E24" s="31">
        <v>1.5</v>
      </c>
      <c r="F24" s="32">
        <v>6233126</v>
      </c>
      <c r="G24" s="32">
        <f t="shared" si="7"/>
        <v>6551015</v>
      </c>
      <c r="H24" s="32">
        <f>ROUND((E24*F24),0)</f>
        <v>9349689</v>
      </c>
      <c r="I24" s="32">
        <f t="shared" si="8"/>
        <v>9826523</v>
      </c>
      <c r="J24" s="1289"/>
      <c r="K24" s="158">
        <v>0</v>
      </c>
      <c r="L24" s="194">
        <f>ROUND(K24*$F$24,0)</f>
        <v>0</v>
      </c>
      <c r="M24" s="195">
        <f>L24/$H$24</f>
        <v>0</v>
      </c>
      <c r="N24" s="421">
        <v>0.45</v>
      </c>
      <c r="O24" s="304">
        <f>ROUND(N24*$F$24,0)</f>
        <v>2804907</v>
      </c>
      <c r="P24" s="305">
        <f>O24/$H$24</f>
        <v>0.30000003208662879</v>
      </c>
      <c r="Q24" s="433">
        <v>1.05</v>
      </c>
      <c r="R24" s="429">
        <f>ROUND(Q24*$F$24,0)</f>
        <v>6544782</v>
      </c>
      <c r="S24" s="430">
        <f>R24/$H$24</f>
        <v>0.69999996791337127</v>
      </c>
      <c r="T24" s="432">
        <v>0</v>
      </c>
      <c r="U24" s="425">
        <f t="shared" si="9"/>
        <v>0</v>
      </c>
      <c r="V24" s="426">
        <f t="shared" ref="V24" si="10">U24/H24</f>
        <v>0</v>
      </c>
      <c r="W24" s="432">
        <v>0</v>
      </c>
      <c r="X24" s="425">
        <f>ROUND(W24*G24,0)</f>
        <v>0</v>
      </c>
      <c r="Y24" s="426">
        <f t="shared" si="0"/>
        <v>0</v>
      </c>
      <c r="Z24" s="416">
        <f t="shared" si="1"/>
        <v>1.5</v>
      </c>
      <c r="AA24" s="175">
        <f t="shared" si="2"/>
        <v>9349689</v>
      </c>
      <c r="AB24" s="176">
        <f>AA24/H24</f>
        <v>1</v>
      </c>
    </row>
    <row r="25" spans="1:28" x14ac:dyDescent="0.3">
      <c r="A25" s="1289"/>
      <c r="B25" s="1289"/>
      <c r="C25" s="257"/>
      <c r="D25" s="257" t="s">
        <v>63</v>
      </c>
      <c r="E25" s="565"/>
      <c r="F25" s="258"/>
      <c r="G25" s="258"/>
      <c r="H25" s="259">
        <f>SUM(H23:H24)</f>
        <v>11856867</v>
      </c>
      <c r="I25" s="259">
        <f>SUM(I23:I24)</f>
        <v>12461567</v>
      </c>
      <c r="J25" s="1289"/>
      <c r="K25" s="308"/>
      <c r="L25" s="179">
        <f>SUM(L23:L24)</f>
        <v>501436</v>
      </c>
      <c r="M25" s="308">
        <f>L25/$H$25</f>
        <v>4.2290767029772705E-2</v>
      </c>
      <c r="N25" s="424"/>
      <c r="O25" s="179">
        <f>SUM(O23:O24)</f>
        <v>3055625</v>
      </c>
      <c r="P25" s="308">
        <f>O25/$H$25</f>
        <v>0.25770930887560772</v>
      </c>
      <c r="Q25" s="431"/>
      <c r="R25" s="179">
        <f>SUM(R23:R24)</f>
        <v>6544782</v>
      </c>
      <c r="S25" s="431">
        <f>R25/$H$25</f>
        <v>0.55198240816903821</v>
      </c>
      <c r="T25" s="431"/>
      <c r="U25" s="179">
        <f>SUM(U23:U24)</f>
        <v>0</v>
      </c>
      <c r="V25" s="431">
        <f>U25/$H$25</f>
        <v>0</v>
      </c>
      <c r="W25" s="431"/>
      <c r="X25" s="179">
        <f>SUM(X23:X24)</f>
        <v>0</v>
      </c>
      <c r="Y25" s="1091">
        <f t="shared" si="0"/>
        <v>0</v>
      </c>
      <c r="Z25" s="1093"/>
      <c r="AA25" s="1078">
        <f t="shared" si="2"/>
        <v>10101843</v>
      </c>
      <c r="AB25" s="308">
        <f>AA25/H25</f>
        <v>0.85198248407441868</v>
      </c>
    </row>
    <row r="26" spans="1:28" ht="28.8" x14ac:dyDescent="0.3">
      <c r="A26" s="1289" t="s">
        <v>307</v>
      </c>
      <c r="B26" s="1290" t="s">
        <v>788</v>
      </c>
      <c r="C26" s="314" t="s">
        <v>83</v>
      </c>
      <c r="D26" s="314" t="s">
        <v>789</v>
      </c>
      <c r="E26" s="31">
        <v>0</v>
      </c>
      <c r="F26" s="32">
        <v>1114302</v>
      </c>
      <c r="G26" s="32">
        <f t="shared" ref="G26:G27" si="11">+ROUND(F26*1.051,0)</f>
        <v>1171131</v>
      </c>
      <c r="H26" s="32">
        <f>ROUND((E26*F26),0)</f>
        <v>0</v>
      </c>
      <c r="I26" s="32">
        <f t="shared" ref="I26:I27" si="12">+ROUND(G26*E26,0)</f>
        <v>0</v>
      </c>
      <c r="J26" s="1289"/>
      <c r="K26" s="158">
        <v>0</v>
      </c>
      <c r="L26" s="194">
        <f>ROUND(K26*$F$26,0)</f>
        <v>0</v>
      </c>
      <c r="M26" s="195">
        <v>0</v>
      </c>
      <c r="N26" s="427">
        <v>0</v>
      </c>
      <c r="O26" s="194">
        <f>ROUND(N26*$F$26,0)</f>
        <v>0</v>
      </c>
      <c r="P26" s="195">
        <v>0</v>
      </c>
      <c r="Q26" s="432">
        <v>0</v>
      </c>
      <c r="R26" s="425">
        <f>ROUND(Q26*$F$26,0)</f>
        <v>0</v>
      </c>
      <c r="S26" s="426">
        <v>0</v>
      </c>
      <c r="T26" s="432">
        <v>0</v>
      </c>
      <c r="U26" s="425">
        <f t="shared" ref="U26:U27" si="13">ROUND(T26*G26,0)</f>
        <v>0</v>
      </c>
      <c r="V26" s="426">
        <v>0</v>
      </c>
      <c r="W26" s="432">
        <v>0</v>
      </c>
      <c r="X26" s="425">
        <f>ROUND(W26*G26,0)</f>
        <v>0</v>
      </c>
      <c r="Y26" s="426">
        <v>0</v>
      </c>
      <c r="Z26" s="416">
        <f t="shared" si="1"/>
        <v>0</v>
      </c>
      <c r="AA26" s="175">
        <f t="shared" si="2"/>
        <v>0</v>
      </c>
      <c r="AB26" s="176">
        <v>0</v>
      </c>
    </row>
    <row r="27" spans="1:28" ht="28.8" x14ac:dyDescent="0.3">
      <c r="A27" s="1289"/>
      <c r="B27" s="1289"/>
      <c r="C27" s="314" t="s">
        <v>61</v>
      </c>
      <c r="D27" s="314" t="s">
        <v>790</v>
      </c>
      <c r="E27" s="31">
        <v>1</v>
      </c>
      <c r="F27" s="32">
        <v>6511702</v>
      </c>
      <c r="G27" s="32">
        <f t="shared" si="11"/>
        <v>6843799</v>
      </c>
      <c r="H27" s="32">
        <f>ROUND((E27*F27),0)</f>
        <v>6511702</v>
      </c>
      <c r="I27" s="32">
        <f t="shared" si="12"/>
        <v>6843799</v>
      </c>
      <c r="J27" s="1289"/>
      <c r="K27" s="158">
        <v>0</v>
      </c>
      <c r="L27" s="194">
        <f>ROUND(K27*$F$27,0)</f>
        <v>0</v>
      </c>
      <c r="M27" s="195">
        <f>L27/$H$27</f>
        <v>0</v>
      </c>
      <c r="N27" s="421">
        <v>0.3</v>
      </c>
      <c r="O27" s="304">
        <f>ROUND(N27*$F$27,0)</f>
        <v>1953511</v>
      </c>
      <c r="P27" s="305">
        <f>O27/$H$27</f>
        <v>0.30000006142787244</v>
      </c>
      <c r="Q27" s="433">
        <v>0.7</v>
      </c>
      <c r="R27" s="429">
        <f>ROUND(Q27*$F$27,0)</f>
        <v>4558191</v>
      </c>
      <c r="S27" s="430">
        <f>R27/$H$27</f>
        <v>0.6999999385721275</v>
      </c>
      <c r="T27" s="432">
        <v>0</v>
      </c>
      <c r="U27" s="425">
        <f t="shared" si="13"/>
        <v>0</v>
      </c>
      <c r="V27" s="426">
        <f>U27/H27</f>
        <v>0</v>
      </c>
      <c r="W27" s="432">
        <v>0</v>
      </c>
      <c r="X27" s="425">
        <f>ROUND(W27*G27,0)</f>
        <v>0</v>
      </c>
      <c r="Y27" s="426">
        <f t="shared" si="0"/>
        <v>0</v>
      </c>
      <c r="Z27" s="416">
        <f t="shared" si="1"/>
        <v>1</v>
      </c>
      <c r="AA27" s="175">
        <f t="shared" si="2"/>
        <v>6511702</v>
      </c>
      <c r="AB27" s="176">
        <f>AA27/H27</f>
        <v>1</v>
      </c>
    </row>
    <row r="28" spans="1:28" x14ac:dyDescent="0.3">
      <c r="A28" s="1289"/>
      <c r="B28" s="1289"/>
      <c r="C28" s="257"/>
      <c r="D28" s="257" t="s">
        <v>791</v>
      </c>
      <c r="E28" s="565"/>
      <c r="F28" s="258"/>
      <c r="G28" s="258"/>
      <c r="H28" s="259">
        <f>SUM(H26:H27)</f>
        <v>6511702</v>
      </c>
      <c r="I28" s="259">
        <f>SUM(I26:I27)</f>
        <v>6843799</v>
      </c>
      <c r="J28" s="1289"/>
      <c r="K28" s="308"/>
      <c r="L28" s="179">
        <f>SUM(L26:L27)</f>
        <v>0</v>
      </c>
      <c r="M28" s="308">
        <f>L28/$H$28</f>
        <v>0</v>
      </c>
      <c r="N28" s="424"/>
      <c r="O28" s="179">
        <f>SUM(O26:O27)</f>
        <v>1953511</v>
      </c>
      <c r="P28" s="308">
        <f>O28/$H$28</f>
        <v>0.30000006142787244</v>
      </c>
      <c r="Q28" s="431"/>
      <c r="R28" s="179">
        <f>SUM(R26:R27)</f>
        <v>4558191</v>
      </c>
      <c r="S28" s="431">
        <f>R28/$H$28</f>
        <v>0.6999999385721275</v>
      </c>
      <c r="T28" s="431"/>
      <c r="U28" s="179">
        <f>SUM(U26:U27)</f>
        <v>0</v>
      </c>
      <c r="V28" s="431">
        <f>U28/$H$28</f>
        <v>0</v>
      </c>
      <c r="W28" s="431"/>
      <c r="X28" s="179">
        <f>SUM(X26:X27)</f>
        <v>0</v>
      </c>
      <c r="Y28" s="1091">
        <f t="shared" si="0"/>
        <v>0</v>
      </c>
      <c r="Z28" s="1096"/>
      <c r="AA28" s="1078">
        <f t="shared" si="2"/>
        <v>6511702</v>
      </c>
      <c r="AB28" s="308">
        <f>AA28/H28</f>
        <v>1</v>
      </c>
    </row>
    <row r="29" spans="1:28" x14ac:dyDescent="0.3">
      <c r="F29" s="151" t="s">
        <v>64</v>
      </c>
      <c r="G29" s="151"/>
      <c r="H29" s="181">
        <f>SUM(H14:H28)/2</f>
        <v>41229168</v>
      </c>
      <c r="I29" s="181">
        <f>SUM(I14:I28)/2</f>
        <v>43331855</v>
      </c>
      <c r="K29" s="152" t="s">
        <v>64</v>
      </c>
      <c r="L29" s="181">
        <f>SUM(L14:L28)/2</f>
        <v>1002872</v>
      </c>
      <c r="N29" s="152" t="s">
        <v>64</v>
      </c>
      <c r="O29" s="181">
        <f>SUM(O14:O28)/2</f>
        <v>11365881</v>
      </c>
      <c r="Q29" s="484" t="s">
        <v>64</v>
      </c>
      <c r="R29" s="481">
        <f>SUM(R14:R28)/2</f>
        <v>25350367</v>
      </c>
      <c r="T29" s="484" t="s">
        <v>64</v>
      </c>
      <c r="U29" s="481">
        <f>SUM(U14:U28)/2</f>
        <v>1844531</v>
      </c>
      <c r="W29" s="484" t="s">
        <v>64</v>
      </c>
      <c r="X29" s="481">
        <f>SUM(X14:X28)/2</f>
        <v>0</v>
      </c>
      <c r="Z29" s="480" t="s">
        <v>64</v>
      </c>
      <c r="AA29" s="481">
        <f>SUM(AA14:AA28)/2</f>
        <v>39563651</v>
      </c>
    </row>
    <row r="30" spans="1:28" x14ac:dyDescent="0.3">
      <c r="F30" s="153" t="s">
        <v>65</v>
      </c>
      <c r="G30" s="153"/>
      <c r="H30" s="339">
        <f>+(H16+H19+H22+H25+H28)*0.3*0.03</f>
        <v>371062.51199999999</v>
      </c>
      <c r="I30" s="339">
        <f>+(I16+I19+I22+I25+I28)*0.3*0.03</f>
        <v>389986.69500000001</v>
      </c>
      <c r="K30" s="153" t="s">
        <v>65</v>
      </c>
      <c r="L30" s="339">
        <f>+(H14+H23)*0.3*0.03</f>
        <v>45129.203999999998</v>
      </c>
      <c r="N30" s="153" t="s">
        <v>65</v>
      </c>
      <c r="O30" s="181">
        <f>+(H15+H18+H21+H24+H27)*0.3*0.03</f>
        <v>325933.30799999996</v>
      </c>
      <c r="Q30" s="482" t="s">
        <v>65</v>
      </c>
      <c r="R30" s="481">
        <v>0</v>
      </c>
      <c r="T30" s="482" t="s">
        <v>65</v>
      </c>
      <c r="U30" s="481">
        <v>0</v>
      </c>
      <c r="W30" s="482" t="s">
        <v>65</v>
      </c>
      <c r="X30" s="481">
        <v>0</v>
      </c>
      <c r="Z30" s="482" t="s">
        <v>65</v>
      </c>
      <c r="AA30" s="483">
        <f>+L30+O30+R30</f>
        <v>371062.51199999999</v>
      </c>
    </row>
    <row r="31" spans="1:28" x14ac:dyDescent="0.3">
      <c r="F31" s="152" t="s">
        <v>64</v>
      </c>
      <c r="G31" s="152"/>
      <c r="H31" s="181">
        <f>+H29+H30</f>
        <v>41600230.512000002</v>
      </c>
      <c r="I31" s="181">
        <f>+I29+I30</f>
        <v>43721841.695</v>
      </c>
      <c r="K31" s="152" t="s">
        <v>64</v>
      </c>
      <c r="L31" s="181">
        <f>+L29+L30</f>
        <v>1048001.204</v>
      </c>
      <c r="M31" s="50">
        <f>L31/$H$29</f>
        <v>2.5418926814142841E-2</v>
      </c>
      <c r="N31" s="152" t="s">
        <v>64</v>
      </c>
      <c r="O31" s="181">
        <f>+O29+O30</f>
        <v>11691814.308</v>
      </c>
      <c r="P31" s="50">
        <f>O31/$H$29</f>
        <v>0.28358113624800774</v>
      </c>
      <c r="Q31" s="484" t="s">
        <v>64</v>
      </c>
      <c r="R31" s="481">
        <f>+R29+R30</f>
        <v>25350367</v>
      </c>
      <c r="T31" s="484" t="s">
        <v>64</v>
      </c>
      <c r="U31" s="481">
        <f>+U29+U30</f>
        <v>1844531</v>
      </c>
      <c r="W31" s="484" t="s">
        <v>64</v>
      </c>
      <c r="X31" s="481">
        <f>+X29+X30</f>
        <v>0</v>
      </c>
      <c r="Z31" s="484" t="s">
        <v>64</v>
      </c>
      <c r="AA31" s="483">
        <f>+AA29+AA30</f>
        <v>39934713.512000002</v>
      </c>
    </row>
    <row r="32" spans="1:28" ht="26.4" x14ac:dyDescent="0.3">
      <c r="F32" s="152"/>
      <c r="G32" s="152"/>
      <c r="H32" s="181"/>
      <c r="I32" s="181"/>
      <c r="K32" s="152"/>
      <c r="L32" s="181"/>
      <c r="N32" s="152"/>
      <c r="O32" s="181"/>
      <c r="Q32" s="484" t="s">
        <v>1439</v>
      </c>
      <c r="R32" s="481">
        <f>ROUND(R31*0.015,0)</f>
        <v>380256</v>
      </c>
      <c r="T32" s="484" t="s">
        <v>1439</v>
      </c>
      <c r="U32" s="481">
        <f>ROUND(U31*0.015,0)</f>
        <v>27668</v>
      </c>
      <c r="W32" s="484" t="s">
        <v>1439</v>
      </c>
      <c r="X32" s="481">
        <f>ROUND(X31*0.015,0)</f>
        <v>0</v>
      </c>
      <c r="Z32" s="484" t="s">
        <v>1439</v>
      </c>
      <c r="AA32" s="483">
        <f>L32+O32+R32+U32+X32</f>
        <v>407924</v>
      </c>
    </row>
    <row r="33" spans="1:28" ht="26.4" x14ac:dyDescent="0.3">
      <c r="F33" s="152"/>
      <c r="G33" s="152"/>
      <c r="H33" s="181"/>
      <c r="I33" s="181"/>
      <c r="K33" s="152"/>
      <c r="L33" s="181"/>
      <c r="N33" s="152"/>
      <c r="O33" s="181"/>
      <c r="Q33" s="152" t="s">
        <v>1440</v>
      </c>
      <c r="R33" s="181">
        <f>R31+R32</f>
        <v>25730623</v>
      </c>
      <c r="S33" s="50">
        <f>R33/$H$31</f>
        <v>0.61852116402522683</v>
      </c>
      <c r="T33" s="152" t="s">
        <v>1440</v>
      </c>
      <c r="U33" s="181">
        <f>U31+U32</f>
        <v>1872199</v>
      </c>
      <c r="V33" s="50">
        <f>U33/$H$31</f>
        <v>4.5004534276797951E-2</v>
      </c>
      <c r="W33" s="152" t="s">
        <v>1440</v>
      </c>
      <c r="X33" s="181">
        <f>X31+X32</f>
        <v>0</v>
      </c>
      <c r="Y33" s="50">
        <f>X33/$H$31</f>
        <v>0</v>
      </c>
      <c r="Z33" s="152" t="s">
        <v>1440</v>
      </c>
      <c r="AA33" s="181">
        <f>AA31+AA32</f>
        <v>40342637.512000002</v>
      </c>
      <c r="AB33" s="50">
        <f>AA33/H31</f>
        <v>0.96976956654994417</v>
      </c>
    </row>
    <row r="34" spans="1:28" x14ac:dyDescent="0.3">
      <c r="F34" s="154" t="s">
        <v>66</v>
      </c>
      <c r="G34" s="154"/>
      <c r="H34" s="181">
        <f>+H31*19%</f>
        <v>7904043.7972800005</v>
      </c>
      <c r="I34" s="181">
        <f>+I31*19%</f>
        <v>8307149.9220500002</v>
      </c>
      <c r="K34" s="154" t="s">
        <v>66</v>
      </c>
      <c r="L34" s="181">
        <f>+L31*19%</f>
        <v>199120.22876</v>
      </c>
      <c r="N34" s="154" t="s">
        <v>66</v>
      </c>
      <c r="O34" s="181">
        <f>+O31*19%</f>
        <v>2221444.7185200001</v>
      </c>
      <c r="Q34" s="485" t="s">
        <v>66</v>
      </c>
      <c r="R34" s="481">
        <f>ROUND(R33*0.19,0)</f>
        <v>4888818</v>
      </c>
      <c r="T34" s="485" t="s">
        <v>66</v>
      </c>
      <c r="U34" s="481">
        <f>ROUND(U33*0.19,0)</f>
        <v>355718</v>
      </c>
      <c r="W34" s="485" t="s">
        <v>66</v>
      </c>
      <c r="X34" s="481">
        <f>ROUND(X33*0.19,0)</f>
        <v>0</v>
      </c>
      <c r="Z34" s="485" t="s">
        <v>66</v>
      </c>
      <c r="AA34" s="481">
        <f>ROUND(AA33*0.19,0)</f>
        <v>7665101</v>
      </c>
    </row>
    <row r="35" spans="1:28" x14ac:dyDescent="0.3">
      <c r="F35" s="155" t="s">
        <v>69</v>
      </c>
      <c r="G35" s="155"/>
      <c r="H35" s="181">
        <f>+H31+H34</f>
        <v>49504274.309280001</v>
      </c>
      <c r="I35" s="181">
        <f>+I31+I34</f>
        <v>52028991.61705</v>
      </c>
      <c r="K35" s="155" t="s">
        <v>69</v>
      </c>
      <c r="L35" s="181">
        <f>+L31+L34</f>
        <v>1247121.43276</v>
      </c>
      <c r="N35" s="155" t="s">
        <v>69</v>
      </c>
      <c r="O35" s="181">
        <f>+O31+O34</f>
        <v>13913259.026520001</v>
      </c>
      <c r="Q35" s="545" t="s">
        <v>69</v>
      </c>
      <c r="R35" s="481">
        <f>+R31+R34</f>
        <v>30239185</v>
      </c>
      <c r="T35" s="545" t="s">
        <v>69</v>
      </c>
      <c r="U35" s="481">
        <f>+U31+U34</f>
        <v>2200249</v>
      </c>
      <c r="W35" s="545" t="s">
        <v>69</v>
      </c>
      <c r="X35" s="481">
        <f>+X31+X34</f>
        <v>0</v>
      </c>
      <c r="Z35" s="545" t="s">
        <v>69</v>
      </c>
      <c r="AA35" s="481">
        <f>+AA31+AA34</f>
        <v>47599814.512000002</v>
      </c>
    </row>
    <row r="38" spans="1:28" x14ac:dyDescent="0.3">
      <c r="A38" s="183" t="s">
        <v>67</v>
      </c>
      <c r="B38" s="184"/>
      <c r="C38" s="184"/>
      <c r="D38" s="185" t="s">
        <v>68</v>
      </c>
      <c r="K38" s="186" t="s">
        <v>70</v>
      </c>
      <c r="L38" s="187" t="s">
        <v>71</v>
      </c>
      <c r="M38" s="186" t="s">
        <v>58</v>
      </c>
      <c r="N38" s="186" t="s">
        <v>70</v>
      </c>
      <c r="O38" s="187" t="s">
        <v>71</v>
      </c>
      <c r="P38" s="186" t="s">
        <v>58</v>
      </c>
      <c r="Q38" s="186" t="s">
        <v>70</v>
      </c>
      <c r="R38" s="187" t="s">
        <v>71</v>
      </c>
      <c r="S38" s="186" t="s">
        <v>58</v>
      </c>
      <c r="T38" s="186" t="s">
        <v>70</v>
      </c>
      <c r="U38" s="187" t="s">
        <v>71</v>
      </c>
      <c r="V38" s="186" t="s">
        <v>58</v>
      </c>
      <c r="W38" s="186" t="s">
        <v>70</v>
      </c>
      <c r="X38" s="187" t="s">
        <v>71</v>
      </c>
      <c r="Y38" s="186" t="s">
        <v>58</v>
      </c>
    </row>
    <row r="39" spans="1:28" x14ac:dyDescent="0.3">
      <c r="A39" s="183"/>
      <c r="B39" s="184"/>
      <c r="C39" s="184"/>
      <c r="D39" s="185"/>
      <c r="K39" s="69" t="s">
        <v>72</v>
      </c>
      <c r="L39" s="70">
        <f>$L$31</f>
        <v>1048001.204</v>
      </c>
      <c r="M39" s="71">
        <f>$M$31</f>
        <v>2.5418926814142841E-2</v>
      </c>
      <c r="N39" s="69" t="s">
        <v>72</v>
      </c>
      <c r="O39" s="70">
        <f>$L$31</f>
        <v>1048001.204</v>
      </c>
      <c r="P39" s="71">
        <f>$M$31</f>
        <v>2.5418926814142841E-2</v>
      </c>
      <c r="Q39" s="69" t="s">
        <v>72</v>
      </c>
      <c r="R39" s="70">
        <f>$L$31</f>
        <v>1048001.204</v>
      </c>
      <c r="S39" s="71">
        <f>$M$31</f>
        <v>2.5418926814142841E-2</v>
      </c>
      <c r="T39" s="69" t="s">
        <v>72</v>
      </c>
      <c r="U39" s="70">
        <f>$L$31</f>
        <v>1048001.204</v>
      </c>
      <c r="V39" s="71">
        <f>$M$31</f>
        <v>2.5418926814142841E-2</v>
      </c>
      <c r="W39" s="69" t="s">
        <v>72</v>
      </c>
      <c r="X39" s="70">
        <f>$L$31</f>
        <v>1048001.204</v>
      </c>
      <c r="Y39" s="71">
        <f>$M$31</f>
        <v>2.5418926814142841E-2</v>
      </c>
    </row>
    <row r="40" spans="1:28" x14ac:dyDescent="0.3">
      <c r="A40" s="183"/>
      <c r="B40" s="184"/>
      <c r="C40" s="184"/>
      <c r="D40" s="185"/>
      <c r="K40" s="69"/>
      <c r="L40" s="70"/>
      <c r="M40" s="71"/>
      <c r="N40" s="69" t="s">
        <v>73</v>
      </c>
      <c r="O40" s="70">
        <f>$O$31</f>
        <v>11691814.308</v>
      </c>
      <c r="P40" s="71">
        <f>$P$31</f>
        <v>0.28358113624800774</v>
      </c>
      <c r="Q40" s="69" t="s">
        <v>73</v>
      </c>
      <c r="R40" s="70">
        <f>$O$31</f>
        <v>11691814.308</v>
      </c>
      <c r="S40" s="71">
        <f>$P$31</f>
        <v>0.28358113624800774</v>
      </c>
      <c r="T40" s="69" t="s">
        <v>73</v>
      </c>
      <c r="U40" s="70">
        <f>$O$31</f>
        <v>11691814.308</v>
      </c>
      <c r="V40" s="71">
        <f>$P$31</f>
        <v>0.28358113624800774</v>
      </c>
      <c r="W40" s="69" t="s">
        <v>73</v>
      </c>
      <c r="X40" s="70">
        <f>$O$31</f>
        <v>11691814.308</v>
      </c>
      <c r="Y40" s="71">
        <f>$P$31</f>
        <v>0.28358113624800774</v>
      </c>
    </row>
    <row r="41" spans="1:28" x14ac:dyDescent="0.3">
      <c r="A41" s="183"/>
      <c r="B41" s="184"/>
      <c r="C41" s="184"/>
      <c r="D41" s="185"/>
      <c r="K41" s="69"/>
      <c r="L41" s="70"/>
      <c r="M41" s="71"/>
      <c r="N41" s="69"/>
      <c r="O41" s="70"/>
      <c r="P41" s="71"/>
      <c r="Q41" s="69" t="s">
        <v>74</v>
      </c>
      <c r="R41" s="70">
        <f>$R$33</f>
        <v>25730623</v>
      </c>
      <c r="S41" s="71">
        <f>$S$33</f>
        <v>0.61852116402522683</v>
      </c>
      <c r="T41" s="69" t="s">
        <v>74</v>
      </c>
      <c r="U41" s="70">
        <f>$R$33</f>
        <v>25730623</v>
      </c>
      <c r="V41" s="71">
        <f>$S$33</f>
        <v>0.61852116402522683</v>
      </c>
      <c r="W41" s="69" t="s">
        <v>74</v>
      </c>
      <c r="X41" s="70">
        <f>$R$33</f>
        <v>25730623</v>
      </c>
      <c r="Y41" s="71">
        <f>$S$33</f>
        <v>0.61852116402522683</v>
      </c>
    </row>
    <row r="42" spans="1:28" s="795" customFormat="1" x14ac:dyDescent="0.3">
      <c r="A42" s="183"/>
      <c r="B42" s="184"/>
      <c r="C42" s="184"/>
      <c r="D42" s="185"/>
      <c r="E42" s="80"/>
      <c r="K42" s="69"/>
      <c r="L42" s="70"/>
      <c r="M42" s="71"/>
      <c r="N42" s="69"/>
      <c r="O42" s="70"/>
      <c r="P42" s="71"/>
      <c r="Q42" s="69"/>
      <c r="R42" s="70"/>
      <c r="S42" s="71"/>
      <c r="T42" s="69" t="s">
        <v>155</v>
      </c>
      <c r="U42" s="70">
        <f>+U33</f>
        <v>1872199</v>
      </c>
      <c r="V42" s="71">
        <f>+V33</f>
        <v>4.5004534276797951E-2</v>
      </c>
      <c r="W42" s="69" t="s">
        <v>155</v>
      </c>
      <c r="X42" s="70">
        <f>+U33</f>
        <v>1872199</v>
      </c>
      <c r="Y42" s="71">
        <f>+V33</f>
        <v>4.5004534276797951E-2</v>
      </c>
    </row>
    <row r="43" spans="1:28" x14ac:dyDescent="0.3">
      <c r="A43" s="183"/>
      <c r="B43" s="184"/>
      <c r="C43" s="184"/>
      <c r="D43" s="185"/>
      <c r="K43" s="72" t="s">
        <v>1</v>
      </c>
      <c r="L43" s="105">
        <f>SUM(L39:L39)</f>
        <v>1048001.204</v>
      </c>
      <c r="M43" s="73">
        <f>SUM(M39:M39)</f>
        <v>2.5418926814142841E-2</v>
      </c>
      <c r="N43" s="72" t="s">
        <v>1</v>
      </c>
      <c r="O43" s="105">
        <f>SUM(O39:O40)</f>
        <v>12739815.512</v>
      </c>
      <c r="P43" s="73">
        <f>SUM(P39:P40)</f>
        <v>0.30900006306215055</v>
      </c>
      <c r="Q43" s="72" t="s">
        <v>1</v>
      </c>
      <c r="R43" s="105">
        <f>SUM(R39:R41)</f>
        <v>38470438.512000002</v>
      </c>
      <c r="S43" s="73">
        <f>SUM(S39:S41)</f>
        <v>0.92752122708737739</v>
      </c>
      <c r="T43" s="72" t="s">
        <v>1</v>
      </c>
      <c r="U43" s="105">
        <f>SUM(U39:U42)</f>
        <v>40342637.512000002</v>
      </c>
      <c r="V43" s="73">
        <f>SUM(V39:V42)</f>
        <v>0.97252576136417535</v>
      </c>
      <c r="W43" s="69" t="s">
        <v>352</v>
      </c>
      <c r="X43" s="70">
        <f>+X33</f>
        <v>0</v>
      </c>
      <c r="Y43" s="71">
        <f>+Y33</f>
        <v>0</v>
      </c>
    </row>
    <row r="44" spans="1:28" x14ac:dyDescent="0.3">
      <c r="A44" s="183"/>
      <c r="B44" s="184"/>
      <c r="C44" s="184"/>
      <c r="D44" s="185"/>
      <c r="K44" s="72" t="s">
        <v>9</v>
      </c>
      <c r="L44" s="1285"/>
      <c r="M44" s="1286"/>
      <c r="N44" s="72" t="s">
        <v>9</v>
      </c>
      <c r="O44" s="1285"/>
      <c r="P44" s="1286"/>
      <c r="Q44" s="72" t="s">
        <v>9</v>
      </c>
      <c r="R44" s="1285"/>
      <c r="S44" s="1286"/>
      <c r="T44" s="72" t="s">
        <v>9</v>
      </c>
      <c r="U44" s="1285"/>
      <c r="V44" s="1286"/>
      <c r="W44" s="72" t="s">
        <v>1</v>
      </c>
      <c r="X44" s="105">
        <f>SUM(X39:X43)</f>
        <v>40342637.512000002</v>
      </c>
      <c r="Y44" s="73">
        <f>SUM(Y39:Y43)</f>
        <v>0.97252576136417535</v>
      </c>
    </row>
    <row r="45" spans="1:28" x14ac:dyDescent="0.3">
      <c r="A45" s="183"/>
      <c r="B45" s="184"/>
      <c r="C45" s="184"/>
      <c r="D45" s="185"/>
      <c r="K45" s="156" t="s">
        <v>78</v>
      </c>
      <c r="L45" s="1285" t="s">
        <v>792</v>
      </c>
      <c r="M45" s="1286"/>
      <c r="N45" s="156" t="s">
        <v>78</v>
      </c>
      <c r="O45" s="1285" t="s">
        <v>792</v>
      </c>
      <c r="P45" s="1286"/>
      <c r="Q45" s="156" t="s">
        <v>78</v>
      </c>
      <c r="R45" s="1285" t="s">
        <v>792</v>
      </c>
      <c r="S45" s="1286"/>
      <c r="T45" s="156" t="s">
        <v>78</v>
      </c>
      <c r="U45" s="1285" t="s">
        <v>2220</v>
      </c>
      <c r="V45" s="1286"/>
      <c r="W45" s="72" t="s">
        <v>9</v>
      </c>
      <c r="X45" s="1285"/>
      <c r="Y45" s="1286"/>
    </row>
    <row r="46" spans="1:28" x14ac:dyDescent="0.3">
      <c r="A46" s="183"/>
      <c r="B46" s="184"/>
      <c r="C46" s="184"/>
      <c r="D46" s="185"/>
      <c r="K46" s="157" t="s">
        <v>8</v>
      </c>
      <c r="L46" s="1285"/>
      <c r="M46" s="1286"/>
      <c r="N46" s="157" t="s">
        <v>8</v>
      </c>
      <c r="O46" s="1285"/>
      <c r="P46" s="1286"/>
      <c r="Q46" s="157" t="s">
        <v>8</v>
      </c>
      <c r="R46" s="1285"/>
      <c r="S46" s="1286"/>
      <c r="T46" s="157" t="s">
        <v>8</v>
      </c>
      <c r="U46" s="1285" t="s">
        <v>2221</v>
      </c>
      <c r="V46" s="1286"/>
      <c r="W46" s="156" t="s">
        <v>78</v>
      </c>
      <c r="X46" s="1285" t="s">
        <v>2220</v>
      </c>
      <c r="Y46" s="1286"/>
    </row>
    <row r="47" spans="1:28" x14ac:dyDescent="0.3">
      <c r="A47" s="183"/>
      <c r="B47" s="184"/>
      <c r="C47" s="184"/>
      <c r="D47" s="185" t="s">
        <v>75</v>
      </c>
      <c r="W47" s="157" t="s">
        <v>8</v>
      </c>
      <c r="X47" s="1285" t="s">
        <v>2221</v>
      </c>
      <c r="Y47" s="1286"/>
    </row>
    <row r="48" spans="1:28" x14ac:dyDescent="0.3">
      <c r="A48" s="183" t="s">
        <v>76</v>
      </c>
      <c r="B48" s="180"/>
      <c r="C48" s="180"/>
      <c r="D48" s="185" t="s">
        <v>77</v>
      </c>
    </row>
    <row r="49" spans="1:4" x14ac:dyDescent="0.3">
      <c r="A49" s="183" t="s">
        <v>79</v>
      </c>
      <c r="B49" s="180"/>
      <c r="C49" s="180"/>
      <c r="D49" s="185" t="s">
        <v>80</v>
      </c>
    </row>
  </sheetData>
  <sheetProtection formatCells="0" formatColumns="0" formatRows="0" insertColumns="0" insertRows="0" insertHyperlinks="0" deleteColumns="0" deleteRows="0" sort="0" autoFilter="0" pivotTables="0"/>
  <mergeCells count="49">
    <mergeCell ref="A10:AB10"/>
    <mergeCell ref="Z11:AB12"/>
    <mergeCell ref="W11:Y12"/>
    <mergeCell ref="A26:A28"/>
    <mergeCell ref="A14:A16"/>
    <mergeCell ref="B14:B16"/>
    <mergeCell ref="J14:J16"/>
    <mergeCell ref="A17:A19"/>
    <mergeCell ref="B17:B19"/>
    <mergeCell ref="J17:J19"/>
    <mergeCell ref="B23:B25"/>
    <mergeCell ref="J23:J25"/>
    <mergeCell ref="A20:A22"/>
    <mergeCell ref="A23:A25"/>
    <mergeCell ref="X47:Y47"/>
    <mergeCell ref="B11:J11"/>
    <mergeCell ref="K11:M12"/>
    <mergeCell ref="T11:V12"/>
    <mergeCell ref="B26:B28"/>
    <mergeCell ref="J26:J28"/>
    <mergeCell ref="B20:B22"/>
    <mergeCell ref="J20:J22"/>
    <mergeCell ref="U44:V44"/>
    <mergeCell ref="U45:V45"/>
    <mergeCell ref="U46:V46"/>
    <mergeCell ref="N11:P12"/>
    <mergeCell ref="Q11:S12"/>
    <mergeCell ref="B12:J12"/>
    <mergeCell ref="O44:P44"/>
    <mergeCell ref="O45:P45"/>
    <mergeCell ref="O46:P46"/>
    <mergeCell ref="Z1:AB1"/>
    <mergeCell ref="Z2:AB2"/>
    <mergeCell ref="A3:AB3"/>
    <mergeCell ref="A4:AB4"/>
    <mergeCell ref="A5:AB5"/>
    <mergeCell ref="C1:S2"/>
    <mergeCell ref="L44:M44"/>
    <mergeCell ref="L45:M45"/>
    <mergeCell ref="L46:M46"/>
    <mergeCell ref="A6:AB6"/>
    <mergeCell ref="A7:AB7"/>
    <mergeCell ref="A8:AB8"/>
    <mergeCell ref="A9:AB9"/>
    <mergeCell ref="X45:Y45"/>
    <mergeCell ref="X46:Y46"/>
    <mergeCell ref="R44:S44"/>
    <mergeCell ref="R45:S45"/>
    <mergeCell ref="R46:S46"/>
  </mergeCells>
  <pageMargins left="0.7" right="0.7" top="0.75" bottom="0.75" header="0.3" footer="0.3"/>
  <pageSetup scale="47" fitToHeight="0" orientation="landscape" r:id="rId1"/>
  <drawing r:id="rId2"/>
  <legacyDrawingHF r:id="rId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tabColor theme="1"/>
  </sheetPr>
  <dimension ref="A1:G49"/>
  <sheetViews>
    <sheetView topLeftCell="A16" zoomScaleNormal="100" workbookViewId="0">
      <selection activeCell="G37" sqref="G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RESUMEN!G41</f>
        <v>Proyecto: CDIM_CBSGSM_R0071 Reposición de Protecciones, Levantamiento e ingeniería para reposición de protecciones y normalización de tableros de control y protección SSEE LA PAZ</v>
      </c>
      <c r="C5" s="1281"/>
      <c r="D5" s="1281"/>
      <c r="E5" s="1281"/>
      <c r="F5" s="1281"/>
      <c r="G5" s="1282"/>
    </row>
    <row r="6" spans="1:7" x14ac:dyDescent="0.25">
      <c r="A6" s="1177"/>
      <c r="B6" s="1177"/>
      <c r="C6" s="1177"/>
      <c r="D6" s="1177"/>
      <c r="E6" s="1177"/>
      <c r="F6" s="1177"/>
      <c r="G6" s="1177"/>
    </row>
    <row r="7" spans="1:7" x14ac:dyDescent="0.25">
      <c r="A7" s="271" t="s">
        <v>0</v>
      </c>
      <c r="B7" s="1264" t="str">
        <f>RESUMEN!B41</f>
        <v>D00234809</v>
      </c>
      <c r="C7" s="1265"/>
      <c r="D7" s="1177"/>
      <c r="E7" s="1266" t="s">
        <v>627</v>
      </c>
      <c r="F7" s="1267"/>
      <c r="G7" s="280" t="str">
        <f>RESUMEN!E41</f>
        <v xml:space="preserve">17-200 </v>
      </c>
    </row>
    <row r="8" spans="1:7" x14ac:dyDescent="0.25">
      <c r="A8" s="271" t="s">
        <v>628</v>
      </c>
      <c r="B8" s="1264">
        <f>RESUMEN!C41</f>
        <v>0</v>
      </c>
      <c r="C8" s="1265"/>
      <c r="D8" s="1177"/>
      <c r="E8" s="1266" t="s">
        <v>629</v>
      </c>
      <c r="F8" s="1267"/>
      <c r="G8" s="280" t="str">
        <f>RESUMEN!U41</f>
        <v>Acta N° 4: Marzo</v>
      </c>
    </row>
    <row r="9" spans="1:7" x14ac:dyDescent="0.25">
      <c r="A9" s="271" t="s">
        <v>630</v>
      </c>
      <c r="B9" s="1283" t="s">
        <v>631</v>
      </c>
      <c r="C9" s="1265"/>
      <c r="D9" s="1177"/>
      <c r="E9" s="1266" t="s">
        <v>632</v>
      </c>
      <c r="F9" s="1267"/>
      <c r="G9" s="1178">
        <f>RESUMEN!H41</f>
        <v>51982185</v>
      </c>
    </row>
    <row r="10" spans="1:7" x14ac:dyDescent="0.25">
      <c r="A10" s="271" t="s">
        <v>633</v>
      </c>
      <c r="B10" s="1283" t="str">
        <f>RESUMEN!D41</f>
        <v>LA PAZ REP PROTEC</v>
      </c>
      <c r="C10" s="1265"/>
      <c r="D10" s="1177"/>
      <c r="E10" s="1266" t="s">
        <v>634</v>
      </c>
      <c r="F10" s="1267"/>
      <c r="G10" s="1178">
        <f>RESUMEN!R41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CDIM_CBSGSM_R0071 Reposición de Protecciones, Levantamiento e ingeniería para reposición de protecciones y normalización de tableros de control y protección SSEE LA PAZ</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RESUMEN!N41</f>
        <v>0</v>
      </c>
      <c r="F19" s="1248"/>
      <c r="G19" s="1177"/>
    </row>
    <row r="20" spans="1:7" ht="27" customHeight="1" x14ac:dyDescent="0.25">
      <c r="A20" s="1177"/>
      <c r="B20" s="1244" t="s">
        <v>1498</v>
      </c>
      <c r="C20" s="1245"/>
      <c r="D20" s="1246"/>
      <c r="E20" s="1247">
        <f>RESUMEN!P41</f>
        <v>0</v>
      </c>
      <c r="F20" s="1248"/>
      <c r="G20" s="1177"/>
    </row>
    <row r="21" spans="1:7" ht="27" customHeight="1" x14ac:dyDescent="0.25">
      <c r="A21" s="1177"/>
      <c r="B21" s="1244" t="s">
        <v>1499</v>
      </c>
      <c r="C21" s="1245"/>
      <c r="D21" s="1246"/>
      <c r="E21" s="1247">
        <f>RESUMEN!Q41</f>
        <v>0</v>
      </c>
      <c r="F21" s="1248"/>
      <c r="G21" s="1177"/>
    </row>
    <row r="22" spans="1:7" x14ac:dyDescent="0.25">
      <c r="A22" s="1177"/>
      <c r="B22" s="1254" t="s">
        <v>64</v>
      </c>
      <c r="C22" s="1254"/>
      <c r="D22" s="1254"/>
      <c r="E22" s="1255">
        <f>RESUMEN!R41</f>
        <v>0</v>
      </c>
      <c r="F22" s="1255"/>
      <c r="G22" s="1177"/>
    </row>
    <row r="23" spans="1:7" x14ac:dyDescent="0.25">
      <c r="A23" s="1177"/>
      <c r="B23" s="1256" t="s">
        <v>66</v>
      </c>
      <c r="C23" s="1256"/>
      <c r="D23" s="1256"/>
      <c r="E23" s="1257">
        <f>RESUMEN!S41</f>
        <v>0</v>
      </c>
      <c r="F23" s="1257"/>
      <c r="G23" s="1177"/>
    </row>
    <row r="24" spans="1:7" x14ac:dyDescent="0.25">
      <c r="A24" s="1177"/>
      <c r="B24" s="1258" t="s">
        <v>1</v>
      </c>
      <c r="C24" s="1258"/>
      <c r="D24" s="1258"/>
      <c r="E24" s="1259">
        <f>RESUMEN!T41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+'OT17-200 LA PAZ REP PROTEC'!T38</f>
        <v>ACTA 1</v>
      </c>
      <c r="C28" s="1253">
        <f>+'OT17-200 LA PAZ REP PROTEC'!U38</f>
        <v>4826321</v>
      </c>
      <c r="D28" s="1253"/>
      <c r="E28" s="267">
        <f>+'OT17-200 LA PAZ REP PROTEC'!V38</f>
        <v>9.2845673955413766E-2</v>
      </c>
      <c r="F28" s="1177"/>
      <c r="G28" s="1177"/>
    </row>
    <row r="29" spans="1:7" x14ac:dyDescent="0.25">
      <c r="A29" s="1177"/>
      <c r="B29" s="280" t="str">
        <f>+'OT17-200 LA PAZ REP PROTEC'!T39</f>
        <v>ACTA 2</v>
      </c>
      <c r="C29" s="1253">
        <f>+'OT17-200 LA PAZ REP PROTEC'!U39</f>
        <v>20645925</v>
      </c>
      <c r="D29" s="1253"/>
      <c r="E29" s="267">
        <f>+'OT17-200 LA PAZ REP PROTEC'!V39</f>
        <v>0.39717308920354155</v>
      </c>
      <c r="F29" s="1177"/>
      <c r="G29" s="1177"/>
    </row>
    <row r="30" spans="1:7" x14ac:dyDescent="0.25">
      <c r="A30" s="1177"/>
      <c r="B30" s="280" t="str">
        <f>+'OT17-200 LA PAZ REP PROTEC'!T40</f>
        <v>ACTA 3</v>
      </c>
      <c r="C30" s="1253">
        <f>+'OT17-200 LA PAZ REP PROTEC'!U40</f>
        <v>11470346</v>
      </c>
      <c r="D30" s="1253"/>
      <c r="E30" s="267">
        <f>+'OT17-200 LA PAZ REP PROTEC'!V40</f>
        <v>0.22065917390736844</v>
      </c>
      <c r="F30" s="1177"/>
      <c r="G30" s="1177"/>
    </row>
    <row r="31" spans="1:7" x14ac:dyDescent="0.25">
      <c r="A31" s="1177"/>
      <c r="B31" s="280" t="str">
        <f>+'OT17-200 LA PAZ REP PROTEC'!T41</f>
        <v>ACTA 4</v>
      </c>
      <c r="C31" s="1253">
        <f>+'OT17-200 LA PAZ REP PROTEC'!U41</f>
        <v>0</v>
      </c>
      <c r="D31" s="1253"/>
      <c r="E31" s="267">
        <f>+'OT17-200 LA PAZ REP PROTEC'!V41</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36942592</v>
      </c>
      <c r="D34" s="1251"/>
      <c r="E34" s="264">
        <f>SUM(E28:E33)</f>
        <v>0.71067793706632376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2">
    <tabColor theme="7"/>
  </sheetPr>
  <dimension ref="A1:Y49"/>
  <sheetViews>
    <sheetView topLeftCell="A4" zoomScale="55" zoomScaleNormal="55" zoomScaleSheetLayoutView="40" workbookViewId="0">
      <selection activeCell="V29" sqref="V29"/>
    </sheetView>
  </sheetViews>
  <sheetFormatPr baseColWidth="10" defaultColWidth="11.44140625" defaultRowHeight="14.4" x14ac:dyDescent="0.3"/>
  <cols>
    <col min="1" max="1" width="15.33203125" style="189" customWidth="1"/>
    <col min="2" max="2" width="26.6640625" style="189" customWidth="1"/>
    <col min="3" max="3" width="32.109375" style="189" customWidth="1"/>
    <col min="4" max="4" width="23.44140625" style="189" customWidth="1"/>
    <col min="5" max="5" width="11.5546875" style="189" bestFit="1" customWidth="1"/>
    <col min="6" max="6" width="17.88671875" style="189" bestFit="1" customWidth="1"/>
    <col min="7" max="7" width="17.88671875" style="796" customWidth="1"/>
    <col min="8" max="8" width="17.5546875" style="189" bestFit="1" customWidth="1"/>
    <col min="9" max="9" width="17.5546875" style="796" customWidth="1"/>
    <col min="10" max="10" width="47.88671875"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6.88671875" style="189" hidden="1" customWidth="1"/>
    <col min="17" max="17" width="17.88671875" style="189" hidden="1" customWidth="1"/>
    <col min="18" max="18" width="18" style="189" hidden="1" customWidth="1"/>
    <col min="19" max="19" width="6.88671875" style="189" hidden="1" customWidth="1"/>
    <col min="20" max="20" width="17.88671875" style="189" bestFit="1" customWidth="1"/>
    <col min="21" max="21" width="18" style="189" bestFit="1" customWidth="1"/>
    <col min="22" max="22" width="6.88671875" style="189" bestFit="1" customWidth="1"/>
    <col min="23" max="23" width="17.88671875" style="189" bestFit="1" customWidth="1"/>
    <col min="24" max="24" width="18" style="189" bestFit="1" customWidth="1"/>
    <col min="25" max="16384" width="11.44140625" style="189"/>
  </cols>
  <sheetData>
    <row r="1" spans="1:25" s="302" customFormat="1" ht="73.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9"/>
      <c r="W1" s="1328" t="s">
        <v>803</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2"/>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ht="13.5" customHeight="1" x14ac:dyDescent="0.3">
      <c r="A7" s="1291" t="s">
        <v>804</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805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15"/>
      <c r="B11" s="1301"/>
      <c r="C11" s="1313"/>
      <c r="D11" s="1313"/>
      <c r="E11" s="1313"/>
      <c r="F11" s="1313"/>
      <c r="G11" s="1313"/>
      <c r="H11" s="1313"/>
      <c r="I11" s="1313"/>
      <c r="J11" s="1313"/>
      <c r="K11" s="1293" t="s">
        <v>46</v>
      </c>
      <c r="L11" s="1294"/>
      <c r="M11" s="1295"/>
      <c r="N11" s="1293" t="s">
        <v>981</v>
      </c>
      <c r="O11" s="1294"/>
      <c r="P11" s="1295"/>
      <c r="Q11" s="1293" t="s">
        <v>981</v>
      </c>
      <c r="R11" s="1294"/>
      <c r="S11" s="1295"/>
      <c r="T11" s="1293" t="s">
        <v>2319</v>
      </c>
      <c r="U11" s="1294"/>
      <c r="V11" s="1295"/>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296"/>
      <c r="O12" s="1297"/>
      <c r="P12" s="1298"/>
      <c r="Q12" s="1296"/>
      <c r="R12" s="1297"/>
      <c r="S12" s="1298"/>
      <c r="T12" s="1296"/>
      <c r="U12" s="1297"/>
      <c r="V12" s="1298"/>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28.8" x14ac:dyDescent="0.3">
      <c r="A14" s="1314" t="s">
        <v>201</v>
      </c>
      <c r="B14" s="1314" t="s">
        <v>190</v>
      </c>
      <c r="C14" s="316" t="s">
        <v>83</v>
      </c>
      <c r="D14" s="316" t="s">
        <v>191</v>
      </c>
      <c r="E14" s="191">
        <v>0.7</v>
      </c>
      <c r="F14" s="192">
        <v>2228604</v>
      </c>
      <c r="G14" s="32">
        <f>+ROUND(F14*1.051,0)</f>
        <v>2342263</v>
      </c>
      <c r="H14" s="192">
        <f>ROUND((E14*F14),0)</f>
        <v>1560023</v>
      </c>
      <c r="I14" s="32">
        <f>+ROUND(G14*E14,0)</f>
        <v>1639584</v>
      </c>
      <c r="J14" s="1314" t="s">
        <v>797</v>
      </c>
      <c r="K14" s="158">
        <v>0</v>
      </c>
      <c r="L14" s="194">
        <f>ROUND(K14*$F14,0)</f>
        <v>0</v>
      </c>
      <c r="M14" s="195">
        <f>L14/$H$14</f>
        <v>0</v>
      </c>
      <c r="N14" s="158">
        <v>0</v>
      </c>
      <c r="O14" s="194">
        <f>ROUND(N14*$F14,0)</f>
        <v>0</v>
      </c>
      <c r="P14" s="195">
        <f>O14/$H$14</f>
        <v>0</v>
      </c>
      <c r="Q14" s="432">
        <v>0</v>
      </c>
      <c r="R14" s="425">
        <f>ROUND(Q14*$F14,0)</f>
        <v>0</v>
      </c>
      <c r="S14" s="426">
        <f>R14/$H$14</f>
        <v>0</v>
      </c>
      <c r="T14" s="432">
        <v>0</v>
      </c>
      <c r="U14" s="425">
        <f>ROUND(T14*G14,0)</f>
        <v>0</v>
      </c>
      <c r="V14" s="426">
        <f>U14/I14</f>
        <v>0</v>
      </c>
      <c r="W14" s="149">
        <f>K14+N14+Q14+T14</f>
        <v>0</v>
      </c>
      <c r="X14" s="175">
        <f>L14+O14+R14+U14</f>
        <v>0</v>
      </c>
      <c r="Y14" s="176">
        <f t="shared" ref="Y14:Y19" si="0">X14/H14</f>
        <v>0</v>
      </c>
    </row>
    <row r="15" spans="1:25" ht="30" customHeight="1" x14ac:dyDescent="0.3">
      <c r="A15" s="1314"/>
      <c r="B15" s="1314"/>
      <c r="C15" s="316" t="s">
        <v>61</v>
      </c>
      <c r="D15" s="316" t="s">
        <v>192</v>
      </c>
      <c r="E15" s="191">
        <v>1</v>
      </c>
      <c r="F15" s="192">
        <v>17585079</v>
      </c>
      <c r="G15" s="32">
        <f>+ROUND(F15*1.051,0)</f>
        <v>18481918</v>
      </c>
      <c r="H15" s="192">
        <f>ROUND((E15*F15),0)</f>
        <v>17585079</v>
      </c>
      <c r="I15" s="32">
        <f>+ROUND(G15*E15,0)</f>
        <v>18481918</v>
      </c>
      <c r="J15" s="1314"/>
      <c r="K15" s="158">
        <v>0</v>
      </c>
      <c r="L15" s="194">
        <f>ROUND(K15*$F15,0)</f>
        <v>0</v>
      </c>
      <c r="M15" s="195">
        <f>L15/$H$15</f>
        <v>0</v>
      </c>
      <c r="N15" s="158">
        <v>0</v>
      </c>
      <c r="O15" s="194">
        <f>ROUND(N15*$F15,0)</f>
        <v>0</v>
      </c>
      <c r="P15" s="195">
        <f>O15/$H$15</f>
        <v>0</v>
      </c>
      <c r="Q15" s="433">
        <v>0.3</v>
      </c>
      <c r="R15" s="429">
        <f>ROUND(Q15*$F15,0)</f>
        <v>5275524</v>
      </c>
      <c r="S15" s="430">
        <f>R15/$H$15</f>
        <v>0.30000001705991769</v>
      </c>
      <c r="T15" s="432">
        <v>0</v>
      </c>
      <c r="U15" s="425">
        <f>ROUND(T15*G15,0)</f>
        <v>0</v>
      </c>
      <c r="V15" s="426">
        <f>U15/I15</f>
        <v>0</v>
      </c>
      <c r="W15" s="416">
        <f>K15+N15+Q15+T15</f>
        <v>0.3</v>
      </c>
      <c r="X15" s="175">
        <f>L15+O15+R15+U15</f>
        <v>5275524</v>
      </c>
      <c r="Y15" s="176">
        <f t="shared" si="0"/>
        <v>0.30000001705991769</v>
      </c>
    </row>
    <row r="16" spans="1:25" x14ac:dyDescent="0.3">
      <c r="A16" s="1314"/>
      <c r="B16" s="1314"/>
      <c r="C16" s="196"/>
      <c r="D16" s="196" t="s">
        <v>193</v>
      </c>
      <c r="E16" s="197"/>
      <c r="F16" s="198"/>
      <c r="G16" s="198"/>
      <c r="H16" s="199">
        <f>SUM(H14:H15)</f>
        <v>19145102</v>
      </c>
      <c r="I16" s="199">
        <f>SUM(I14:I15)</f>
        <v>20121502</v>
      </c>
      <c r="J16" s="1314"/>
      <c r="K16" s="308"/>
      <c r="L16" s="179">
        <f>SUM(L14:L15)</f>
        <v>0</v>
      </c>
      <c r="M16" s="308">
        <f>L16/$H$16</f>
        <v>0</v>
      </c>
      <c r="N16" s="308"/>
      <c r="O16" s="179">
        <f>SUM(O14:O15)</f>
        <v>0</v>
      </c>
      <c r="P16" s="308">
        <f>O16/$H$16</f>
        <v>0</v>
      </c>
      <c r="Q16" s="431"/>
      <c r="R16" s="179">
        <f>SUM(R14:R15)</f>
        <v>5275524</v>
      </c>
      <c r="S16" s="431">
        <f>R16/$H$16</f>
        <v>0.27555476069022772</v>
      </c>
      <c r="T16" s="431"/>
      <c r="U16" s="179">
        <f>SUM(U14:U15)</f>
        <v>0</v>
      </c>
      <c r="V16" s="431">
        <f>U16/$H$16</f>
        <v>0</v>
      </c>
      <c r="W16" s="306"/>
      <c r="X16" s="307">
        <f t="shared" ref="X16:X28" si="1">L16+O16+R16+U16</f>
        <v>5275524</v>
      </c>
      <c r="Y16" s="308">
        <f t="shared" si="0"/>
        <v>0.27555476069022772</v>
      </c>
    </row>
    <row r="17" spans="1:25" ht="28.8" x14ac:dyDescent="0.3">
      <c r="A17" s="1314" t="s">
        <v>151</v>
      </c>
      <c r="B17" s="1314" t="s">
        <v>195</v>
      </c>
      <c r="C17" s="316" t="s">
        <v>83</v>
      </c>
      <c r="D17" s="316" t="s">
        <v>91</v>
      </c>
      <c r="E17" s="191">
        <v>1</v>
      </c>
      <c r="F17" s="192">
        <v>1671452</v>
      </c>
      <c r="G17" s="32">
        <f t="shared" ref="G17:G18" si="2">+ROUND(F17*1.051,0)</f>
        <v>1756696</v>
      </c>
      <c r="H17" s="192">
        <f>ROUND((E17*F17),0)</f>
        <v>1671452</v>
      </c>
      <c r="I17" s="32">
        <f t="shared" ref="I17:I18" si="3">+ROUND(G17*E17,0)</f>
        <v>1756696</v>
      </c>
      <c r="J17" s="1314" t="s">
        <v>798</v>
      </c>
      <c r="K17" s="303">
        <v>0.3</v>
      </c>
      <c r="L17" s="304">
        <f>ROUND(K17*$F17,0)</f>
        <v>501436</v>
      </c>
      <c r="M17" s="305">
        <f>L17/$H$17</f>
        <v>0.30000023931288483</v>
      </c>
      <c r="N17" s="158">
        <v>0</v>
      </c>
      <c r="O17" s="194">
        <f>ROUND(N17*$F17,0)</f>
        <v>0</v>
      </c>
      <c r="P17" s="195">
        <f>O17/$H$17</f>
        <v>0</v>
      </c>
      <c r="Q17" s="433">
        <v>0.7</v>
      </c>
      <c r="R17" s="429">
        <f>ROUND(Q17*$F17,0)</f>
        <v>1170016</v>
      </c>
      <c r="S17" s="430">
        <f>R17/$H$17</f>
        <v>0.69999976068711511</v>
      </c>
      <c r="T17" s="432">
        <v>0</v>
      </c>
      <c r="U17" s="425">
        <f t="shared" ref="U17:U18" si="4">ROUND(T17*G17,0)</f>
        <v>0</v>
      </c>
      <c r="V17" s="426">
        <f t="shared" ref="V17:V18" si="5">U17/I17</f>
        <v>0</v>
      </c>
      <c r="W17" s="416">
        <f>K17+N17+Q17+T17</f>
        <v>1</v>
      </c>
      <c r="X17" s="175">
        <f t="shared" si="1"/>
        <v>1671452</v>
      </c>
      <c r="Y17" s="176">
        <f t="shared" si="0"/>
        <v>1</v>
      </c>
    </row>
    <row r="18" spans="1:25" ht="28.8" x14ac:dyDescent="0.3">
      <c r="A18" s="1314"/>
      <c r="B18" s="1314"/>
      <c r="C18" s="316" t="s">
        <v>61</v>
      </c>
      <c r="D18" s="316" t="s">
        <v>92</v>
      </c>
      <c r="E18" s="191">
        <v>1</v>
      </c>
      <c r="F18" s="192">
        <v>6233126</v>
      </c>
      <c r="G18" s="32">
        <f t="shared" si="2"/>
        <v>6551015</v>
      </c>
      <c r="H18" s="192">
        <f>ROUND((E18*F18),0)</f>
        <v>6233126</v>
      </c>
      <c r="I18" s="32">
        <f t="shared" si="3"/>
        <v>6551015</v>
      </c>
      <c r="J18" s="1314"/>
      <c r="K18" s="303">
        <v>0.3</v>
      </c>
      <c r="L18" s="304">
        <f>ROUND(K18*$F18,0)</f>
        <v>1869938</v>
      </c>
      <c r="M18" s="305">
        <f>L18/$H$18</f>
        <v>0.30000003208662879</v>
      </c>
      <c r="N18" s="303">
        <v>0.7</v>
      </c>
      <c r="O18" s="304">
        <f>ROUND(N18*$F18,0)</f>
        <v>4363188</v>
      </c>
      <c r="P18" s="305">
        <f>O18/$H$18</f>
        <v>0.69999996791337127</v>
      </c>
      <c r="Q18" s="432">
        <v>0</v>
      </c>
      <c r="R18" s="425">
        <f>ROUND(Q18*$F18,0)</f>
        <v>0</v>
      </c>
      <c r="S18" s="426">
        <f>R18/$H$18</f>
        <v>0</v>
      </c>
      <c r="T18" s="432">
        <v>0</v>
      </c>
      <c r="U18" s="425">
        <f t="shared" si="4"/>
        <v>0</v>
      </c>
      <c r="V18" s="426">
        <f t="shared" si="5"/>
        <v>0</v>
      </c>
      <c r="W18" s="416">
        <f>K18+N18+Q18+T18</f>
        <v>1</v>
      </c>
      <c r="X18" s="175">
        <f t="shared" si="1"/>
        <v>6233126</v>
      </c>
      <c r="Y18" s="176">
        <f t="shared" si="0"/>
        <v>1</v>
      </c>
    </row>
    <row r="19" spans="1:25" x14ac:dyDescent="0.3">
      <c r="A19" s="1314"/>
      <c r="B19" s="1314"/>
      <c r="C19" s="196"/>
      <c r="D19" s="196" t="s">
        <v>63</v>
      </c>
      <c r="E19" s="197"/>
      <c r="F19" s="198"/>
      <c r="G19" s="198"/>
      <c r="H19" s="199">
        <f>SUM(H17:H18)</f>
        <v>7904578</v>
      </c>
      <c r="I19" s="199">
        <f>SUM(I17:I18)</f>
        <v>8307711</v>
      </c>
      <c r="J19" s="1314"/>
      <c r="K19" s="308"/>
      <c r="L19" s="179">
        <f>SUM(L17:L18)</f>
        <v>2371374</v>
      </c>
      <c r="M19" s="308">
        <f>L19/$H$19</f>
        <v>0.30000007590538041</v>
      </c>
      <c r="N19" s="308"/>
      <c r="O19" s="179">
        <f>SUM(O17:O18)</f>
        <v>4363188</v>
      </c>
      <c r="P19" s="308">
        <f>O19/$H$19</f>
        <v>0.55198240816903821</v>
      </c>
      <c r="Q19" s="431"/>
      <c r="R19" s="179">
        <f>SUM(R17:R18)</f>
        <v>1170016</v>
      </c>
      <c r="S19" s="431">
        <f>R19/$H$19</f>
        <v>0.14801751592558135</v>
      </c>
      <c r="T19" s="431"/>
      <c r="U19" s="179">
        <f>SUM(U17:U18)</f>
        <v>0</v>
      </c>
      <c r="V19" s="431">
        <f>U19/$H$19</f>
        <v>0</v>
      </c>
      <c r="W19" s="306"/>
      <c r="X19" s="307">
        <f t="shared" si="1"/>
        <v>7904578</v>
      </c>
      <c r="Y19" s="308">
        <f t="shared" si="0"/>
        <v>1</v>
      </c>
    </row>
    <row r="20" spans="1:25" ht="29.4" thickBot="1" x14ac:dyDescent="0.35">
      <c r="A20" s="1314" t="s">
        <v>151</v>
      </c>
      <c r="B20" s="1314" t="s">
        <v>799</v>
      </c>
      <c r="C20" s="316" t="s">
        <v>83</v>
      </c>
      <c r="D20" s="316" t="s">
        <v>789</v>
      </c>
      <c r="E20" s="191">
        <v>0</v>
      </c>
      <c r="F20" s="192">
        <v>1114302</v>
      </c>
      <c r="G20" s="32">
        <f t="shared" ref="G20:G21" si="6">+ROUND(F20*1.051,0)</f>
        <v>1171131</v>
      </c>
      <c r="H20" s="192">
        <f>ROUND((E20*F20),0)</f>
        <v>0</v>
      </c>
      <c r="I20" s="32">
        <f t="shared" ref="I20:I21" si="7">+ROUND(G20*E20,0)</f>
        <v>0</v>
      </c>
      <c r="J20" s="1314" t="s">
        <v>800</v>
      </c>
      <c r="K20" s="350">
        <v>0</v>
      </c>
      <c r="L20" s="351">
        <f>ROUND(K20*$F20,0)</f>
        <v>0</v>
      </c>
      <c r="M20" s="298">
        <v>0</v>
      </c>
      <c r="N20" s="158">
        <v>0</v>
      </c>
      <c r="O20" s="194">
        <f>ROUND(N20*$F20,0)</f>
        <v>0</v>
      </c>
      <c r="P20" s="195">
        <v>0</v>
      </c>
      <c r="Q20" s="432">
        <v>0</v>
      </c>
      <c r="R20" s="425">
        <f>ROUND(Q20*$F20,0)</f>
        <v>0</v>
      </c>
      <c r="S20" s="426">
        <v>0</v>
      </c>
      <c r="T20" s="432">
        <v>0</v>
      </c>
      <c r="U20" s="425">
        <f t="shared" ref="U20:U21" si="8">ROUND(T20*G20,0)</f>
        <v>0</v>
      </c>
      <c r="V20" s="426">
        <v>0</v>
      </c>
      <c r="W20" s="416">
        <f>K20+N20+Q20+T20</f>
        <v>0</v>
      </c>
      <c r="X20" s="175">
        <f t="shared" si="1"/>
        <v>0</v>
      </c>
      <c r="Y20" s="176">
        <v>0</v>
      </c>
    </row>
    <row r="21" spans="1:25" ht="29.4" thickBot="1" x14ac:dyDescent="0.35">
      <c r="A21" s="1314"/>
      <c r="B21" s="1314"/>
      <c r="C21" s="316" t="s">
        <v>61</v>
      </c>
      <c r="D21" s="316" t="s">
        <v>790</v>
      </c>
      <c r="E21" s="191">
        <v>1</v>
      </c>
      <c r="F21" s="192">
        <v>6511702</v>
      </c>
      <c r="G21" s="32">
        <f t="shared" si="6"/>
        <v>6843799</v>
      </c>
      <c r="H21" s="192">
        <f>ROUND((E21*F21),0)</f>
        <v>6511702</v>
      </c>
      <c r="I21" s="32">
        <f t="shared" si="7"/>
        <v>6843799</v>
      </c>
      <c r="J21" s="1452"/>
      <c r="K21" s="347">
        <v>0.3</v>
      </c>
      <c r="L21" s="348">
        <f>ROUND(K21*$F21,0)</f>
        <v>1953511</v>
      </c>
      <c r="M21" s="349">
        <f>L21/$H$21</f>
        <v>0.30000006142787244</v>
      </c>
      <c r="N21" s="303">
        <v>0.7</v>
      </c>
      <c r="O21" s="304">
        <f>ROUND(N21*$F21,0)</f>
        <v>4558191</v>
      </c>
      <c r="P21" s="305">
        <f>O21/$H$21</f>
        <v>0.6999999385721275</v>
      </c>
      <c r="Q21" s="432">
        <v>0</v>
      </c>
      <c r="R21" s="425">
        <f>ROUND(Q21*$F21,0)</f>
        <v>0</v>
      </c>
      <c r="S21" s="426">
        <f>R21/$H$21</f>
        <v>0</v>
      </c>
      <c r="T21" s="432">
        <v>0</v>
      </c>
      <c r="U21" s="425">
        <f t="shared" si="8"/>
        <v>0</v>
      </c>
      <c r="V21" s="426">
        <f t="shared" ref="V21" si="9">U21/I21</f>
        <v>0</v>
      </c>
      <c r="W21" s="416">
        <f>K21+N21+Q21+T21</f>
        <v>1</v>
      </c>
      <c r="X21" s="175">
        <f t="shared" si="1"/>
        <v>6511702</v>
      </c>
      <c r="Y21" s="176">
        <f>X21/H21</f>
        <v>1</v>
      </c>
    </row>
    <row r="22" spans="1:25" x14ac:dyDescent="0.3">
      <c r="A22" s="1314"/>
      <c r="B22" s="1314"/>
      <c r="C22" s="196"/>
      <c r="D22" s="196" t="s">
        <v>791</v>
      </c>
      <c r="E22" s="197"/>
      <c r="F22" s="198"/>
      <c r="G22" s="198"/>
      <c r="H22" s="199">
        <f>SUM(H20:H21)</f>
        <v>6511702</v>
      </c>
      <c r="I22" s="199">
        <f>SUM(I20:I21)</f>
        <v>6843799</v>
      </c>
      <c r="J22" s="1314"/>
      <c r="K22" s="346"/>
      <c r="L22" s="352">
        <f>SUM(L20:L21)</f>
        <v>1953511</v>
      </c>
      <c r="M22" s="346">
        <f>L22/$H$22</f>
        <v>0.30000006142787244</v>
      </c>
      <c r="N22" s="308"/>
      <c r="O22" s="179">
        <f>SUM(O20:O21)</f>
        <v>4558191</v>
      </c>
      <c r="P22" s="308">
        <f>O22/$H$22</f>
        <v>0.6999999385721275</v>
      </c>
      <c r="Q22" s="431"/>
      <c r="R22" s="179">
        <f>SUM(R20:R21)</f>
        <v>0</v>
      </c>
      <c r="S22" s="431">
        <f>R22/$H$22</f>
        <v>0</v>
      </c>
      <c r="T22" s="431"/>
      <c r="U22" s="179">
        <f>SUM(U20:U21)</f>
        <v>0</v>
      </c>
      <c r="V22" s="431">
        <f>U22/$H$22</f>
        <v>0</v>
      </c>
      <c r="W22" s="306"/>
      <c r="X22" s="307">
        <f t="shared" si="1"/>
        <v>6511702</v>
      </c>
      <c r="Y22" s="308">
        <f>X22/H22</f>
        <v>1</v>
      </c>
    </row>
    <row r="23" spans="1:25" ht="28.8" x14ac:dyDescent="0.3">
      <c r="A23" s="1314" t="s">
        <v>109</v>
      </c>
      <c r="B23" s="1314" t="s">
        <v>195</v>
      </c>
      <c r="C23" s="316" t="s">
        <v>83</v>
      </c>
      <c r="D23" s="316" t="s">
        <v>91</v>
      </c>
      <c r="E23" s="191">
        <v>1</v>
      </c>
      <c r="F23" s="192">
        <v>1671452</v>
      </c>
      <c r="G23" s="32">
        <f t="shared" ref="G23:G24" si="10">+ROUND(F23*1.051,0)</f>
        <v>1756696</v>
      </c>
      <c r="H23" s="192">
        <f>ROUND((E23*F23),0)</f>
        <v>1671452</v>
      </c>
      <c r="I23" s="32">
        <f t="shared" ref="I23:I24" si="11">+ROUND(G23*E23,0)</f>
        <v>1756696</v>
      </c>
      <c r="J23" s="1314" t="s">
        <v>801</v>
      </c>
      <c r="K23" s="303">
        <v>0.3</v>
      </c>
      <c r="L23" s="304">
        <f>ROUND(K23*$F23,0)</f>
        <v>501436</v>
      </c>
      <c r="M23" s="305">
        <f>L23/$H$23</f>
        <v>0.30000023931288483</v>
      </c>
      <c r="N23" s="158">
        <v>0</v>
      </c>
      <c r="O23" s="194">
        <f>ROUND(N23*$F23,0)</f>
        <v>0</v>
      </c>
      <c r="P23" s="195">
        <f>O23/$H$23</f>
        <v>0</v>
      </c>
      <c r="Q23" s="432">
        <v>0</v>
      </c>
      <c r="R23" s="425">
        <f>ROUND(Q23*$F23,0)</f>
        <v>0</v>
      </c>
      <c r="S23" s="426">
        <f>R23/$H$23</f>
        <v>0</v>
      </c>
      <c r="T23" s="432">
        <v>0</v>
      </c>
      <c r="U23" s="425">
        <f t="shared" ref="U23:U24" si="12">ROUND(T23*G23,0)</f>
        <v>0</v>
      </c>
      <c r="V23" s="426">
        <f t="shared" ref="V23:V24" si="13">U23/I23</f>
        <v>0</v>
      </c>
      <c r="W23" s="416">
        <f>K23+N23+Q23+T23</f>
        <v>0.3</v>
      </c>
      <c r="X23" s="175">
        <f t="shared" si="1"/>
        <v>501436</v>
      </c>
      <c r="Y23" s="176">
        <f>X23/H23</f>
        <v>0.30000023931288483</v>
      </c>
    </row>
    <row r="24" spans="1:25" ht="28.8" x14ac:dyDescent="0.3">
      <c r="A24" s="1314"/>
      <c r="B24" s="1314"/>
      <c r="C24" s="316" t="s">
        <v>61</v>
      </c>
      <c r="D24" s="316" t="s">
        <v>92</v>
      </c>
      <c r="E24" s="191">
        <v>1</v>
      </c>
      <c r="F24" s="192">
        <v>6233126</v>
      </c>
      <c r="G24" s="32">
        <f t="shared" si="10"/>
        <v>6551015</v>
      </c>
      <c r="H24" s="192">
        <f>ROUND((E24*F24),0)</f>
        <v>6233126</v>
      </c>
      <c r="I24" s="32">
        <f t="shared" si="11"/>
        <v>6551015</v>
      </c>
      <c r="J24" s="1314"/>
      <c r="K24" s="158">
        <v>0</v>
      </c>
      <c r="L24" s="194">
        <f>ROUND(K24*$F24,0)</f>
        <v>0</v>
      </c>
      <c r="M24" s="195">
        <f>L24/$H$24</f>
        <v>0</v>
      </c>
      <c r="N24" s="303">
        <v>0.7</v>
      </c>
      <c r="O24" s="304">
        <f>ROUND(N24*$F24,0)</f>
        <v>4363188</v>
      </c>
      <c r="P24" s="305">
        <f>O24/$H$24</f>
        <v>0.69999996791337127</v>
      </c>
      <c r="Q24" s="433">
        <v>0.3</v>
      </c>
      <c r="R24" s="429">
        <f>ROUND(Q24*$F24,0)</f>
        <v>1869938</v>
      </c>
      <c r="S24" s="430">
        <f>R24/$H$24</f>
        <v>0.30000003208662879</v>
      </c>
      <c r="T24" s="432">
        <v>0</v>
      </c>
      <c r="U24" s="425">
        <f t="shared" si="12"/>
        <v>0</v>
      </c>
      <c r="V24" s="426">
        <f t="shared" si="13"/>
        <v>0</v>
      </c>
      <c r="W24" s="416">
        <f>K24+N24+Q24+T24</f>
        <v>1</v>
      </c>
      <c r="X24" s="175">
        <f t="shared" si="1"/>
        <v>6233126</v>
      </c>
      <c r="Y24" s="176">
        <f>X24/H24</f>
        <v>1</v>
      </c>
    </row>
    <row r="25" spans="1:25" x14ac:dyDescent="0.3">
      <c r="A25" s="1314"/>
      <c r="B25" s="1314"/>
      <c r="C25" s="196"/>
      <c r="D25" s="196" t="s">
        <v>63</v>
      </c>
      <c r="E25" s="197"/>
      <c r="F25" s="198"/>
      <c r="G25" s="198"/>
      <c r="H25" s="199">
        <f>SUM(H23:H24)</f>
        <v>7904578</v>
      </c>
      <c r="I25" s="199">
        <f>SUM(I23:I24)</f>
        <v>8307711</v>
      </c>
      <c r="J25" s="1314"/>
      <c r="K25" s="308"/>
      <c r="L25" s="179">
        <f>SUM(L23:L24)</f>
        <v>501436</v>
      </c>
      <c r="M25" s="308">
        <f>L25/$H$25</f>
        <v>6.3436150544659051E-2</v>
      </c>
      <c r="N25" s="308"/>
      <c r="O25" s="179">
        <f>SUM(O23:O24)</f>
        <v>4363188</v>
      </c>
      <c r="P25" s="308">
        <f>O25/$H$25</f>
        <v>0.55198240816903821</v>
      </c>
      <c r="Q25" s="431"/>
      <c r="R25" s="179">
        <f>SUM(R23:R24)</f>
        <v>1869938</v>
      </c>
      <c r="S25" s="431">
        <f>R25/$H$25</f>
        <v>0.23656392536072135</v>
      </c>
      <c r="T25" s="431"/>
      <c r="U25" s="179">
        <f>SUM(U23:U24)</f>
        <v>0</v>
      </c>
      <c r="V25" s="431">
        <f>U25/$H$25</f>
        <v>0</v>
      </c>
      <c r="W25" s="306"/>
      <c r="X25" s="307">
        <f t="shared" si="1"/>
        <v>6734562</v>
      </c>
      <c r="Y25" s="308">
        <f>X25/H25</f>
        <v>0.85198248407441868</v>
      </c>
    </row>
    <row r="26" spans="1:25" ht="28.8" x14ac:dyDescent="0.3">
      <c r="A26" s="1314" t="s">
        <v>109</v>
      </c>
      <c r="B26" s="1314" t="s">
        <v>692</v>
      </c>
      <c r="C26" s="316" t="s">
        <v>83</v>
      </c>
      <c r="D26" s="316" t="s">
        <v>693</v>
      </c>
      <c r="E26" s="191">
        <v>0</v>
      </c>
      <c r="F26" s="192">
        <v>1323233</v>
      </c>
      <c r="G26" s="32">
        <f t="shared" ref="G26:G27" si="14">+ROUND(F26*1.051,0)</f>
        <v>1390718</v>
      </c>
      <c r="H26" s="192">
        <f>ROUND((E26*F26),0)</f>
        <v>0</v>
      </c>
      <c r="I26" s="32">
        <f t="shared" ref="I26" si="15">+ROUND(G26*E26,0)</f>
        <v>0</v>
      </c>
      <c r="J26" s="1315" t="s">
        <v>802</v>
      </c>
      <c r="K26" s="158">
        <v>0</v>
      </c>
      <c r="L26" s="194">
        <f>ROUND(K26*$F26,0)</f>
        <v>0</v>
      </c>
      <c r="M26" s="195">
        <v>0</v>
      </c>
      <c r="N26" s="158">
        <v>0</v>
      </c>
      <c r="O26" s="194">
        <f>ROUND(N26*$F26,0)</f>
        <v>0</v>
      </c>
      <c r="P26" s="195">
        <v>0</v>
      </c>
      <c r="Q26" s="432">
        <v>0</v>
      </c>
      <c r="R26" s="425">
        <f>ROUND(Q26*$F26,0)</f>
        <v>0</v>
      </c>
      <c r="S26" s="426">
        <v>0</v>
      </c>
      <c r="T26" s="432">
        <v>0</v>
      </c>
      <c r="U26" s="425">
        <f t="shared" ref="U26:U27" si="16">ROUND(T26*G26,0)</f>
        <v>0</v>
      </c>
      <c r="V26" s="426">
        <v>0</v>
      </c>
      <c r="W26" s="416">
        <f>K26+N26+Q26+T26</f>
        <v>0</v>
      </c>
      <c r="X26" s="175">
        <f t="shared" si="1"/>
        <v>0</v>
      </c>
      <c r="Y26" s="176">
        <v>0</v>
      </c>
    </row>
    <row r="27" spans="1:25" ht="28.8" x14ac:dyDescent="0.3">
      <c r="A27" s="1314"/>
      <c r="B27" s="1314"/>
      <c r="C27" s="316" t="s">
        <v>61</v>
      </c>
      <c r="D27" s="316" t="s">
        <v>695</v>
      </c>
      <c r="E27" s="191">
        <v>1</v>
      </c>
      <c r="F27" s="192">
        <v>10516225</v>
      </c>
      <c r="G27" s="32">
        <f t="shared" si="14"/>
        <v>11052552</v>
      </c>
      <c r="H27" s="192">
        <f>ROUND((E27*F27),0)</f>
        <v>10516225</v>
      </c>
      <c r="I27" s="32">
        <f>+ROUND(G27*E27,0)</f>
        <v>11052552</v>
      </c>
      <c r="J27" s="1314"/>
      <c r="K27" s="158">
        <v>0</v>
      </c>
      <c r="L27" s="194">
        <f>ROUND(K27*$F27,0)</f>
        <v>0</v>
      </c>
      <c r="M27" s="195">
        <f>L27/$H$27</f>
        <v>0</v>
      </c>
      <c r="N27" s="303">
        <v>0.7</v>
      </c>
      <c r="O27" s="304">
        <f>ROUND(N27*$F27,0)</f>
        <v>7361358</v>
      </c>
      <c r="P27" s="305">
        <f>O27/$H$27</f>
        <v>0.70000004754557843</v>
      </c>
      <c r="Q27" s="433">
        <v>0.3</v>
      </c>
      <c r="R27" s="429">
        <f>ROUND(Q27*$F27,0)</f>
        <v>3154868</v>
      </c>
      <c r="S27" s="430">
        <f>R27/$H$27</f>
        <v>0.30000004754557841</v>
      </c>
      <c r="T27" s="432">
        <v>0</v>
      </c>
      <c r="U27" s="425">
        <f t="shared" si="16"/>
        <v>0</v>
      </c>
      <c r="V27" s="426">
        <f t="shared" ref="V27" si="17">U27/I27</f>
        <v>0</v>
      </c>
      <c r="W27" s="416">
        <f>K27+N27+Q27+T27</f>
        <v>1</v>
      </c>
      <c r="X27" s="175">
        <f t="shared" si="1"/>
        <v>10516226</v>
      </c>
      <c r="Y27" s="176">
        <f>X27/H27</f>
        <v>1.0000000950911567</v>
      </c>
    </row>
    <row r="28" spans="1:25" x14ac:dyDescent="0.3">
      <c r="A28" s="1314"/>
      <c r="B28" s="1314"/>
      <c r="C28" s="196"/>
      <c r="D28" s="196" t="s">
        <v>696</v>
      </c>
      <c r="E28" s="198"/>
      <c r="F28" s="198"/>
      <c r="G28" s="198"/>
      <c r="H28" s="199">
        <f>SUM(H26:H27)</f>
        <v>10516225</v>
      </c>
      <c r="I28" s="199">
        <f>SUM(I26:I27)</f>
        <v>11052552</v>
      </c>
      <c r="J28" s="1314"/>
      <c r="K28" s="308"/>
      <c r="L28" s="179">
        <f>SUM(L26:L27)</f>
        <v>0</v>
      </c>
      <c r="M28" s="308">
        <f>L28/$H$28</f>
        <v>0</v>
      </c>
      <c r="N28" s="308"/>
      <c r="O28" s="179">
        <f>SUM(O26:O27)</f>
        <v>7361358</v>
      </c>
      <c r="P28" s="308">
        <f>O28/$H$28</f>
        <v>0.70000004754557843</v>
      </c>
      <c r="Q28" s="431"/>
      <c r="R28" s="179">
        <f>SUM(R26:R27)</f>
        <v>3154868</v>
      </c>
      <c r="S28" s="431">
        <f>R28/$H$28</f>
        <v>0.30000004754557841</v>
      </c>
      <c r="T28" s="431"/>
      <c r="U28" s="179">
        <f>SUM(U26:U27)</f>
        <v>0</v>
      </c>
      <c r="V28" s="431">
        <f>U28/$H$28</f>
        <v>0</v>
      </c>
      <c r="W28" s="306"/>
      <c r="X28" s="307">
        <f t="shared" si="1"/>
        <v>10516226</v>
      </c>
      <c r="Y28" s="308">
        <f>X28/H28</f>
        <v>1.0000000950911567</v>
      </c>
    </row>
    <row r="29" spans="1:25" x14ac:dyDescent="0.3">
      <c r="F29" s="151" t="s">
        <v>64</v>
      </c>
      <c r="G29" s="151"/>
      <c r="H29" s="181">
        <f>SUM(H14:H28)/2</f>
        <v>51982185</v>
      </c>
      <c r="I29" s="181">
        <f>SUM(I14:I28)/2</f>
        <v>54633275</v>
      </c>
      <c r="K29" s="151" t="s">
        <v>64</v>
      </c>
      <c r="L29" s="181">
        <f>SUM(L14:L28)/2</f>
        <v>4826321</v>
      </c>
      <c r="M29" s="131">
        <f>L29/$H$29</f>
        <v>9.2845673955413766E-2</v>
      </c>
      <c r="N29" s="151" t="s">
        <v>64</v>
      </c>
      <c r="O29" s="181">
        <f>SUM(O14:O28)/2</f>
        <v>20645925</v>
      </c>
      <c r="P29" s="131">
        <f>O29/$H$29</f>
        <v>0.39717308920354155</v>
      </c>
      <c r="Q29" s="151" t="s">
        <v>64</v>
      </c>
      <c r="R29" s="181">
        <f>SUM(R14:R28)/2</f>
        <v>11470346</v>
      </c>
      <c r="S29" s="131">
        <f>R29/$H$29</f>
        <v>0.22065917390736844</v>
      </c>
      <c r="T29" s="151" t="s">
        <v>64</v>
      </c>
      <c r="U29" s="181">
        <f>SUM(U14:U28)/2</f>
        <v>0</v>
      </c>
      <c r="V29" s="131">
        <f>U29/$H$29</f>
        <v>0</v>
      </c>
      <c r="W29" s="151" t="s">
        <v>64</v>
      </c>
      <c r="X29" s="181">
        <f>SUM(X14:X28)/2</f>
        <v>36942592</v>
      </c>
      <c r="Y29" s="131">
        <f>X29/H29</f>
        <v>0.71067793706632376</v>
      </c>
    </row>
    <row r="30" spans="1:25" x14ac:dyDescent="0.3">
      <c r="F30" s="153" t="s">
        <v>65</v>
      </c>
      <c r="G30" s="816"/>
      <c r="H30" s="182">
        <v>0</v>
      </c>
      <c r="I30" s="182">
        <v>0</v>
      </c>
      <c r="K30" s="153" t="s">
        <v>65</v>
      </c>
      <c r="L30" s="182">
        <v>0</v>
      </c>
      <c r="N30" s="153" t="s">
        <v>65</v>
      </c>
      <c r="O30" s="182">
        <v>0</v>
      </c>
      <c r="Q30" s="153" t="s">
        <v>65</v>
      </c>
      <c r="R30" s="182">
        <v>0</v>
      </c>
      <c r="T30" s="153" t="s">
        <v>65</v>
      </c>
      <c r="U30" s="182">
        <v>0</v>
      </c>
      <c r="W30" s="153" t="s">
        <v>65</v>
      </c>
      <c r="X30" s="182">
        <v>0</v>
      </c>
    </row>
    <row r="31" spans="1:25" x14ac:dyDescent="0.3">
      <c r="F31" s="152" t="s">
        <v>64</v>
      </c>
      <c r="G31" s="817"/>
      <c r="H31" s="182">
        <f>+H29+H30</f>
        <v>51982185</v>
      </c>
      <c r="I31" s="182">
        <f>+I29+I30</f>
        <v>54633275</v>
      </c>
      <c r="K31" s="152" t="s">
        <v>64</v>
      </c>
      <c r="L31" s="182">
        <f>+L29+L30</f>
        <v>4826321</v>
      </c>
      <c r="N31" s="152" t="s">
        <v>64</v>
      </c>
      <c r="O31" s="182">
        <f>+O29+O30</f>
        <v>20645925</v>
      </c>
      <c r="Q31" s="152" t="s">
        <v>64</v>
      </c>
      <c r="R31" s="182">
        <f>+R29+R30</f>
        <v>11470346</v>
      </c>
      <c r="T31" s="152" t="s">
        <v>64</v>
      </c>
      <c r="U31" s="182">
        <f>+U29+U30</f>
        <v>0</v>
      </c>
      <c r="W31" s="152" t="s">
        <v>64</v>
      </c>
      <c r="X31" s="182">
        <f>+X29+X30</f>
        <v>36942592</v>
      </c>
    </row>
    <row r="32" spans="1:25" ht="26.4" x14ac:dyDescent="0.3">
      <c r="F32" s="152"/>
      <c r="G32" s="817"/>
      <c r="H32" s="182"/>
      <c r="I32" s="182"/>
      <c r="K32" s="152"/>
      <c r="L32" s="182"/>
      <c r="N32" s="152"/>
      <c r="O32" s="182"/>
      <c r="Q32" s="152"/>
      <c r="R32" s="182"/>
      <c r="T32" s="484" t="s">
        <v>1439</v>
      </c>
      <c r="U32" s="182">
        <f>ROUND(U31*0.015,0)</f>
        <v>0</v>
      </c>
      <c r="W32" s="484" t="s">
        <v>1439</v>
      </c>
      <c r="X32" s="182">
        <f>L32+O32+R32+U32</f>
        <v>0</v>
      </c>
    </row>
    <row r="33" spans="1:24" ht="26.4" x14ac:dyDescent="0.3">
      <c r="F33" s="152"/>
      <c r="G33" s="817"/>
      <c r="H33" s="182"/>
      <c r="I33" s="182"/>
      <c r="K33" s="152"/>
      <c r="L33" s="182"/>
      <c r="N33" s="152"/>
      <c r="O33" s="182"/>
      <c r="Q33" s="152"/>
      <c r="R33" s="182"/>
      <c r="T33" s="152" t="s">
        <v>1440</v>
      </c>
      <c r="U33" s="182">
        <f>U31+U32</f>
        <v>0</v>
      </c>
      <c r="W33" s="152" t="s">
        <v>1440</v>
      </c>
      <c r="X33" s="182">
        <f>X31+X32</f>
        <v>36942592</v>
      </c>
    </row>
    <row r="34" spans="1:24" x14ac:dyDescent="0.3">
      <c r="F34" s="154" t="s">
        <v>66</v>
      </c>
      <c r="G34" s="818"/>
      <c r="H34" s="182">
        <f>+H31*19%</f>
        <v>9876615.1500000004</v>
      </c>
      <c r="I34" s="182">
        <f>+I31*19%</f>
        <v>10380322.25</v>
      </c>
      <c r="K34" s="154" t="s">
        <v>66</v>
      </c>
      <c r="L34" s="182">
        <f>+L31*19%</f>
        <v>917000.99</v>
      </c>
      <c r="N34" s="154" t="s">
        <v>66</v>
      </c>
      <c r="O34" s="182">
        <f>+O31*19%</f>
        <v>3922725.75</v>
      </c>
      <c r="Q34" s="154" t="s">
        <v>66</v>
      </c>
      <c r="R34" s="182">
        <f>+R31*19%</f>
        <v>2179365.7400000002</v>
      </c>
      <c r="T34" s="154" t="s">
        <v>66</v>
      </c>
      <c r="U34" s="182">
        <f>ROUND(U33*0.19,0)</f>
        <v>0</v>
      </c>
      <c r="W34" s="154" t="s">
        <v>66</v>
      </c>
      <c r="X34" s="182">
        <f>ROUND(X33*0.19,0)</f>
        <v>7019092</v>
      </c>
    </row>
    <row r="35" spans="1:24" x14ac:dyDescent="0.3">
      <c r="F35" s="155" t="s">
        <v>69</v>
      </c>
      <c r="G35" s="155"/>
      <c r="H35" s="181">
        <f>+H31+H34</f>
        <v>61858800.149999999</v>
      </c>
      <c r="I35" s="181">
        <f>+I31+I34</f>
        <v>65013597.25</v>
      </c>
      <c r="K35" s="155" t="s">
        <v>69</v>
      </c>
      <c r="L35" s="181">
        <f>+L31+L34</f>
        <v>5743321.9900000002</v>
      </c>
      <c r="N35" s="155" t="s">
        <v>69</v>
      </c>
      <c r="O35" s="181">
        <f>+O31+O34</f>
        <v>24568650.75</v>
      </c>
      <c r="Q35" s="155" t="s">
        <v>69</v>
      </c>
      <c r="R35" s="181">
        <f>+R31+R34</f>
        <v>13649711.74</v>
      </c>
      <c r="T35" s="155" t="s">
        <v>69</v>
      </c>
      <c r="U35" s="181">
        <f>U33+U34</f>
        <v>0</v>
      </c>
      <c r="W35" s="155" t="s">
        <v>69</v>
      </c>
      <c r="X35" s="181">
        <f>X33+X34</f>
        <v>43961684</v>
      </c>
    </row>
    <row r="37" spans="1:24" x14ac:dyDescent="0.3">
      <c r="A37" s="183" t="s">
        <v>67</v>
      </c>
      <c r="B37" s="184"/>
      <c r="C37" s="184"/>
      <c r="D37" s="185" t="s">
        <v>68</v>
      </c>
      <c r="K37" s="186" t="s">
        <v>70</v>
      </c>
      <c r="L37" s="187" t="s">
        <v>71</v>
      </c>
      <c r="M37" s="186" t="s">
        <v>58</v>
      </c>
      <c r="N37" s="186" t="s">
        <v>70</v>
      </c>
      <c r="O37" s="187" t="s">
        <v>71</v>
      </c>
      <c r="P37" s="186" t="s">
        <v>58</v>
      </c>
      <c r="Q37" s="186" t="s">
        <v>70</v>
      </c>
      <c r="R37" s="187" t="s">
        <v>71</v>
      </c>
      <c r="S37" s="186" t="s">
        <v>58</v>
      </c>
      <c r="T37" s="186" t="s">
        <v>70</v>
      </c>
      <c r="U37" s="187" t="s">
        <v>71</v>
      </c>
      <c r="V37" s="186" t="s">
        <v>58</v>
      </c>
    </row>
    <row r="38" spans="1:24" x14ac:dyDescent="0.3">
      <c r="A38" s="183"/>
      <c r="B38" s="184"/>
      <c r="C38" s="184"/>
      <c r="D38" s="185"/>
      <c r="K38" s="69" t="s">
        <v>72</v>
      </c>
      <c r="L38" s="70">
        <f>$L$29</f>
        <v>4826321</v>
      </c>
      <c r="M38" s="71">
        <f>$M$29</f>
        <v>9.2845673955413766E-2</v>
      </c>
      <c r="N38" s="69" t="s">
        <v>72</v>
      </c>
      <c r="O38" s="70">
        <f>$L$29</f>
        <v>4826321</v>
      </c>
      <c r="P38" s="71">
        <f>$M$29</f>
        <v>9.2845673955413766E-2</v>
      </c>
      <c r="Q38" s="69" t="s">
        <v>72</v>
      </c>
      <c r="R38" s="70">
        <f>$L$29</f>
        <v>4826321</v>
      </c>
      <c r="S38" s="71">
        <f>$M$29</f>
        <v>9.2845673955413766E-2</v>
      </c>
      <c r="T38" s="69" t="s">
        <v>72</v>
      </c>
      <c r="U38" s="70">
        <f>$L$29</f>
        <v>4826321</v>
      </c>
      <c r="V38" s="71">
        <f>$M$29</f>
        <v>9.2845673955413766E-2</v>
      </c>
    </row>
    <row r="39" spans="1:24" x14ac:dyDescent="0.3">
      <c r="A39" s="183"/>
      <c r="B39" s="184"/>
      <c r="C39" s="184"/>
      <c r="D39" s="185"/>
      <c r="K39" s="69"/>
      <c r="L39" s="70"/>
      <c r="M39" s="71"/>
      <c r="N39" s="69" t="s">
        <v>73</v>
      </c>
      <c r="O39" s="70">
        <f>$O$29</f>
        <v>20645925</v>
      </c>
      <c r="P39" s="71">
        <f>$P$29</f>
        <v>0.39717308920354155</v>
      </c>
      <c r="Q39" s="69" t="s">
        <v>73</v>
      </c>
      <c r="R39" s="70">
        <f>$O$29</f>
        <v>20645925</v>
      </c>
      <c r="S39" s="71">
        <f>$P$29</f>
        <v>0.39717308920354155</v>
      </c>
      <c r="T39" s="69" t="s">
        <v>73</v>
      </c>
      <c r="U39" s="70">
        <f>$O$29</f>
        <v>20645925</v>
      </c>
      <c r="V39" s="71">
        <f>$P$29</f>
        <v>0.39717308920354155</v>
      </c>
    </row>
    <row r="40" spans="1:24" x14ac:dyDescent="0.3">
      <c r="A40" s="183"/>
      <c r="B40" s="184"/>
      <c r="C40" s="184"/>
      <c r="D40" s="185"/>
      <c r="K40" s="69"/>
      <c r="L40" s="70"/>
      <c r="M40" s="71"/>
      <c r="N40" s="69"/>
      <c r="O40" s="70"/>
      <c r="P40" s="71"/>
      <c r="Q40" s="69" t="s">
        <v>74</v>
      </c>
      <c r="R40" s="70">
        <f>$R$29</f>
        <v>11470346</v>
      </c>
      <c r="S40" s="71">
        <f>$S$29</f>
        <v>0.22065917390736844</v>
      </c>
      <c r="T40" s="69" t="s">
        <v>74</v>
      </c>
      <c r="U40" s="70">
        <f>$R$29</f>
        <v>11470346</v>
      </c>
      <c r="V40" s="71">
        <f>$S$29</f>
        <v>0.22065917390736844</v>
      </c>
    </row>
    <row r="41" spans="1:24" x14ac:dyDescent="0.3">
      <c r="A41" s="183"/>
      <c r="B41" s="184"/>
      <c r="C41" s="184"/>
      <c r="D41" s="185"/>
      <c r="K41" s="69"/>
      <c r="L41" s="70"/>
      <c r="M41" s="71"/>
      <c r="N41" s="69"/>
      <c r="O41" s="70"/>
      <c r="P41" s="71"/>
      <c r="Q41" s="69"/>
      <c r="R41" s="70"/>
      <c r="S41" s="71"/>
      <c r="T41" s="69" t="s">
        <v>155</v>
      </c>
      <c r="U41" s="70">
        <f>$U$29</f>
        <v>0</v>
      </c>
      <c r="V41" s="71">
        <f>V29</f>
        <v>0</v>
      </c>
    </row>
    <row r="42" spans="1:24" x14ac:dyDescent="0.3">
      <c r="A42" s="183"/>
      <c r="B42" s="184"/>
      <c r="C42" s="184"/>
      <c r="D42" s="185"/>
      <c r="K42" s="72" t="s">
        <v>1</v>
      </c>
      <c r="L42" s="105">
        <f>SUM(L38:L38)</f>
        <v>4826321</v>
      </c>
      <c r="M42" s="73">
        <f>SUM(M38:M38)</f>
        <v>9.2845673955413766E-2</v>
      </c>
      <c r="N42" s="72" t="s">
        <v>1</v>
      </c>
      <c r="O42" s="105">
        <f>SUM(O38:O39)</f>
        <v>25472246</v>
      </c>
      <c r="P42" s="73">
        <f>SUM(P38:P39)</f>
        <v>0.49001876315895532</v>
      </c>
      <c r="Q42" s="72" t="s">
        <v>1</v>
      </c>
      <c r="R42" s="105">
        <f>SUM(R38:R40)</f>
        <v>36942592</v>
      </c>
      <c r="S42" s="73">
        <f>SUM(S38:S40)</f>
        <v>0.71067793706632376</v>
      </c>
      <c r="T42" s="72" t="s">
        <v>1</v>
      </c>
      <c r="U42" s="105">
        <f>SUM(U38:U41)</f>
        <v>36942592</v>
      </c>
      <c r="V42" s="73">
        <f>SUM(V38:V41)</f>
        <v>0.71067793706632376</v>
      </c>
    </row>
    <row r="43" spans="1:24" x14ac:dyDescent="0.3">
      <c r="A43" s="183"/>
      <c r="B43" s="184"/>
      <c r="C43" s="184"/>
      <c r="D43" s="185"/>
      <c r="K43" s="72" t="s">
        <v>9</v>
      </c>
      <c r="L43" s="1285"/>
      <c r="M43" s="1286"/>
      <c r="N43" s="72" t="s">
        <v>9</v>
      </c>
      <c r="O43" s="1285"/>
      <c r="P43" s="1286"/>
      <c r="Q43" s="72" t="s">
        <v>9</v>
      </c>
      <c r="R43" s="1285"/>
      <c r="S43" s="1286"/>
      <c r="T43" s="72" t="s">
        <v>9</v>
      </c>
      <c r="U43" s="1285"/>
      <c r="V43" s="1286"/>
    </row>
    <row r="44" spans="1:24" x14ac:dyDescent="0.3">
      <c r="A44" s="183"/>
      <c r="B44" s="184"/>
      <c r="C44" s="184"/>
      <c r="D44" s="185"/>
      <c r="K44" s="156" t="s">
        <v>78</v>
      </c>
      <c r="L44" s="1285" t="s">
        <v>202</v>
      </c>
      <c r="M44" s="1286"/>
      <c r="N44" s="156" t="s">
        <v>78</v>
      </c>
      <c r="O44" s="1285" t="s">
        <v>202</v>
      </c>
      <c r="P44" s="1286"/>
      <c r="Q44" s="156" t="s">
        <v>78</v>
      </c>
      <c r="R44" s="1285" t="s">
        <v>202</v>
      </c>
      <c r="S44" s="1286"/>
      <c r="T44" s="156" t="s">
        <v>78</v>
      </c>
      <c r="U44" s="1285" t="s">
        <v>202</v>
      </c>
      <c r="V44" s="1286"/>
    </row>
    <row r="45" spans="1:24" x14ac:dyDescent="0.3">
      <c r="A45" s="183"/>
      <c r="B45" s="184"/>
      <c r="C45" s="184"/>
      <c r="D45" s="185"/>
      <c r="K45" s="157" t="s">
        <v>8</v>
      </c>
      <c r="L45" s="1285"/>
      <c r="M45" s="1286"/>
      <c r="N45" s="157" t="s">
        <v>8</v>
      </c>
      <c r="O45" s="1285"/>
      <c r="P45" s="1286"/>
      <c r="Q45" s="157" t="s">
        <v>8</v>
      </c>
      <c r="R45" s="1285"/>
      <c r="S45" s="1286"/>
      <c r="T45" s="157" t="s">
        <v>8</v>
      </c>
      <c r="U45" s="1285"/>
      <c r="V45" s="1286"/>
    </row>
    <row r="46" spans="1:24" x14ac:dyDescent="0.3">
      <c r="A46" s="183"/>
      <c r="B46" s="184"/>
      <c r="C46" s="184"/>
      <c r="D46" s="185" t="s">
        <v>75</v>
      </c>
    </row>
    <row r="47" spans="1:24" x14ac:dyDescent="0.3">
      <c r="A47" s="183" t="s">
        <v>76</v>
      </c>
      <c r="B47" s="180"/>
      <c r="C47" s="180"/>
      <c r="D47" s="185" t="s">
        <v>77</v>
      </c>
    </row>
    <row r="48" spans="1:24" ht="26.4" x14ac:dyDescent="0.3">
      <c r="A48" s="183" t="s">
        <v>79</v>
      </c>
      <c r="B48" s="180"/>
      <c r="C48" s="180"/>
      <c r="D48" s="185" t="s">
        <v>80</v>
      </c>
    </row>
    <row r="49" spans="1:4" x14ac:dyDescent="0.3">
      <c r="A49" s="52"/>
      <c r="B49" s="52"/>
      <c r="C49" s="52"/>
      <c r="D49" s="52"/>
    </row>
  </sheetData>
  <sheetProtection formatCells="0" formatColumns="0" formatRows="0" insertColumns="0" insertRows="0" insertHyperlinks="0" deleteColumns="0" deleteRows="0" sort="0" autoFilter="0" pivotTables="0"/>
  <mergeCells count="45">
    <mergeCell ref="A7:Y7"/>
    <mergeCell ref="A8:Y8"/>
    <mergeCell ref="A6:Y6"/>
    <mergeCell ref="A26:A28"/>
    <mergeCell ref="B26:B28"/>
    <mergeCell ref="J26:J28"/>
    <mergeCell ref="A20:A22"/>
    <mergeCell ref="B20:B22"/>
    <mergeCell ref="J20:J22"/>
    <mergeCell ref="A23:A25"/>
    <mergeCell ref="B23:B25"/>
    <mergeCell ref="J23:J25"/>
    <mergeCell ref="A14:A16"/>
    <mergeCell ref="B14:B16"/>
    <mergeCell ref="J14:J16"/>
    <mergeCell ref="A17:A19"/>
    <mergeCell ref="W1:Y1"/>
    <mergeCell ref="W2:Y2"/>
    <mergeCell ref="A3:Y3"/>
    <mergeCell ref="A4:Y4"/>
    <mergeCell ref="A5:Y5"/>
    <mergeCell ref="C1:V2"/>
    <mergeCell ref="B17:B19"/>
    <mergeCell ref="J17:J19"/>
    <mergeCell ref="N11:P12"/>
    <mergeCell ref="O43:P43"/>
    <mergeCell ref="O44:P44"/>
    <mergeCell ref="L43:M43"/>
    <mergeCell ref="L44:M44"/>
    <mergeCell ref="A9:Y9"/>
    <mergeCell ref="A10:Y10"/>
    <mergeCell ref="B11:J11"/>
    <mergeCell ref="K11:M12"/>
    <mergeCell ref="W11:Y12"/>
    <mergeCell ref="B12:J12"/>
    <mergeCell ref="Q11:S12"/>
    <mergeCell ref="T11:V12"/>
    <mergeCell ref="L45:M45"/>
    <mergeCell ref="O45:P45"/>
    <mergeCell ref="U43:V43"/>
    <mergeCell ref="U44:V44"/>
    <mergeCell ref="U45:V45"/>
    <mergeCell ref="R43:S43"/>
    <mergeCell ref="R44:S44"/>
    <mergeCell ref="R45:S45"/>
  </mergeCells>
  <pageMargins left="0.7" right="0.7" top="0.75" bottom="0.75" header="0.3" footer="0.3"/>
  <pageSetup scale="41" orientation="landscape" r:id="rId1"/>
  <drawing r:id="rId2"/>
  <legacyDrawingHF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tabColor theme="1"/>
  </sheetPr>
  <dimension ref="A1:G49"/>
  <sheetViews>
    <sheetView topLeftCell="A25"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RESUMEN!G42</f>
        <v>Proyecto: CDIM_CADCSR_R0109   AMPLIACIÓN CAPACIDAD INDUMIL</v>
      </c>
      <c r="C5" s="1281"/>
      <c r="D5" s="1281"/>
      <c r="E5" s="1281"/>
      <c r="F5" s="1281"/>
      <c r="G5" s="1282"/>
    </row>
    <row r="6" spans="1:7" x14ac:dyDescent="0.25">
      <c r="A6" s="1177"/>
      <c r="B6" s="1177"/>
      <c r="C6" s="1177"/>
      <c r="D6" s="1177"/>
      <c r="E6" s="1177"/>
      <c r="F6" s="1177"/>
      <c r="G6" s="1177"/>
    </row>
    <row r="7" spans="1:7" x14ac:dyDescent="0.25">
      <c r="A7" s="271" t="s">
        <v>0</v>
      </c>
      <c r="B7" s="1264" t="str">
        <f>RESUMEN!B42</f>
        <v>D00249497</v>
      </c>
      <c r="C7" s="1265"/>
      <c r="D7" s="1177"/>
      <c r="E7" s="1266" t="s">
        <v>627</v>
      </c>
      <c r="F7" s="1267"/>
      <c r="G7" s="280" t="str">
        <f>RESUMEN!E42</f>
        <v>OT17-207</v>
      </c>
    </row>
    <row r="8" spans="1:7" x14ac:dyDescent="0.25">
      <c r="A8" s="271" t="s">
        <v>628</v>
      </c>
      <c r="B8" s="1264" t="str">
        <f>RESUMEN!C42</f>
        <v>D00249497000</v>
      </c>
      <c r="C8" s="1265"/>
      <c r="D8" s="1177"/>
      <c r="E8" s="1266" t="s">
        <v>629</v>
      </c>
      <c r="F8" s="1267"/>
      <c r="G8" s="280" t="str">
        <f>RESUMEN!U42</f>
        <v>Acta N° 5: Marzo</v>
      </c>
    </row>
    <row r="9" spans="1:7" x14ac:dyDescent="0.25">
      <c r="A9" s="271" t="s">
        <v>630</v>
      </c>
      <c r="B9" s="1283" t="s">
        <v>631</v>
      </c>
      <c r="C9" s="1265"/>
      <c r="D9" s="1177"/>
      <c r="E9" s="1266" t="s">
        <v>632</v>
      </c>
      <c r="F9" s="1267"/>
      <c r="G9" s="1178">
        <f>RESUMEN!H42</f>
        <v>19855477</v>
      </c>
    </row>
    <row r="10" spans="1:7" x14ac:dyDescent="0.25">
      <c r="A10" s="271" t="s">
        <v>633</v>
      </c>
      <c r="B10" s="1283" t="str">
        <f>RESUMEN!D42</f>
        <v xml:space="preserve"> INDUMIL</v>
      </c>
      <c r="C10" s="1265"/>
      <c r="D10" s="1177"/>
      <c r="E10" s="1266" t="s">
        <v>634</v>
      </c>
      <c r="F10" s="1267"/>
      <c r="G10" s="1178">
        <f>RESUMEN!R42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CDIM_CADCSR_R0109   AMPLIACIÓN CAPACIDAD INDUMIL</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RESUMEN!N42</f>
        <v>0</v>
      </c>
      <c r="F19" s="1248"/>
      <c r="G19" s="1177"/>
    </row>
    <row r="20" spans="1:7" ht="27" customHeight="1" x14ac:dyDescent="0.25">
      <c r="A20" s="1177"/>
      <c r="B20" s="1244" t="s">
        <v>1498</v>
      </c>
      <c r="C20" s="1245"/>
      <c r="D20" s="1246"/>
      <c r="E20" s="1247">
        <f>RESUMEN!P42</f>
        <v>0</v>
      </c>
      <c r="F20" s="1248"/>
      <c r="G20" s="1177"/>
    </row>
    <row r="21" spans="1:7" ht="27" customHeight="1" x14ac:dyDescent="0.25">
      <c r="A21" s="1177"/>
      <c r="B21" s="1244" t="s">
        <v>1499</v>
      </c>
      <c r="C21" s="1245"/>
      <c r="D21" s="1246"/>
      <c r="E21" s="1247">
        <f>RESUMEN!Q42</f>
        <v>0</v>
      </c>
      <c r="F21" s="1248"/>
      <c r="G21" s="1177"/>
    </row>
    <row r="22" spans="1:7" x14ac:dyDescent="0.25">
      <c r="A22" s="1177"/>
      <c r="B22" s="1254" t="s">
        <v>64</v>
      </c>
      <c r="C22" s="1254"/>
      <c r="D22" s="1254"/>
      <c r="E22" s="1255">
        <f>RESUMEN!R42</f>
        <v>0</v>
      </c>
      <c r="F22" s="1255"/>
      <c r="G22" s="1177"/>
    </row>
    <row r="23" spans="1:7" x14ac:dyDescent="0.25">
      <c r="A23" s="1177"/>
      <c r="B23" s="1256" t="s">
        <v>66</v>
      </c>
      <c r="C23" s="1256"/>
      <c r="D23" s="1256"/>
      <c r="E23" s="1257">
        <f>RESUMEN!S42</f>
        <v>0</v>
      </c>
      <c r="F23" s="1257"/>
      <c r="G23" s="1177"/>
    </row>
    <row r="24" spans="1:7" x14ac:dyDescent="0.25">
      <c r="A24" s="1177"/>
      <c r="B24" s="1258" t="s">
        <v>1</v>
      </c>
      <c r="C24" s="1258"/>
      <c r="D24" s="1258"/>
      <c r="E24" s="1259">
        <f>RESUMEN!T42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+'OT17-207 INDUMIL'!W46</f>
        <v>ACTA 1</v>
      </c>
      <c r="C28" s="1253">
        <f>+'OT17-207 INDUMIL'!X46</f>
        <v>3821707</v>
      </c>
      <c r="D28" s="1253"/>
      <c r="E28" s="267">
        <f>+'OT17-207 INDUMIL'!Y46</f>
        <v>0.19247621197919346</v>
      </c>
      <c r="F28" s="1177"/>
      <c r="G28" s="1177"/>
    </row>
    <row r="29" spans="1:7" x14ac:dyDescent="0.25">
      <c r="A29" s="1177"/>
      <c r="B29" s="280" t="str">
        <f>+'OT17-207 INDUMIL'!W47</f>
        <v>ACTA 2</v>
      </c>
      <c r="C29" s="1253">
        <f>+'OT17-207 INDUMIL'!X47</f>
        <v>3426482</v>
      </c>
      <c r="D29" s="1253"/>
      <c r="E29" s="267">
        <f>+'OT17-207 INDUMIL'!Y47</f>
        <v>0.17257112483371717</v>
      </c>
      <c r="F29" s="1177"/>
      <c r="G29" s="1177"/>
    </row>
    <row r="30" spans="1:7" x14ac:dyDescent="0.25">
      <c r="A30" s="1177"/>
      <c r="B30" s="280" t="str">
        <f>+'OT17-207 INDUMIL'!W48</f>
        <v>ACTA 3</v>
      </c>
      <c r="C30" s="1253">
        <f>+'OT17-207 INDUMIL'!X48</f>
        <v>4387564</v>
      </c>
      <c r="D30" s="1253"/>
      <c r="E30" s="267">
        <f>+'OT17-207 INDUMIL'!Y48</f>
        <v>0.22097499848530458</v>
      </c>
      <c r="F30" s="1177"/>
      <c r="G30" s="1177"/>
    </row>
    <row r="31" spans="1:7" x14ac:dyDescent="0.25">
      <c r="A31" s="1177"/>
      <c r="B31" s="280" t="str">
        <f>+'OT17-207 INDUMIL'!W49</f>
        <v>ACTA 4</v>
      </c>
      <c r="C31" s="1253">
        <f>+'OT17-207 INDUMIL'!X49</f>
        <v>1404150</v>
      </c>
      <c r="D31" s="1253"/>
      <c r="E31" s="267">
        <f>+'OT17-207 INDUMIL'!Y49</f>
        <v>7.0718522652465116E-2</v>
      </c>
      <c r="F31" s="1177"/>
      <c r="G31" s="1177"/>
    </row>
    <row r="32" spans="1:7" x14ac:dyDescent="0.25">
      <c r="A32" s="1177"/>
      <c r="B32" s="280" t="str">
        <f>+'OT17-207 INDUMIL'!W50</f>
        <v>ACTA 5</v>
      </c>
      <c r="C32" s="1253">
        <f>+'OT17-207 INDUMIL'!X50</f>
        <v>0</v>
      </c>
      <c r="D32" s="1253"/>
      <c r="E32" s="267">
        <f>+'OT17-207 INDUMIL'!Y50</f>
        <v>0</v>
      </c>
      <c r="F32" s="1177"/>
      <c r="G32" s="1177"/>
    </row>
    <row r="33" spans="1:7" x14ac:dyDescent="0.25">
      <c r="A33" s="1177"/>
      <c r="B33" s="280"/>
      <c r="C33" s="1253"/>
      <c r="D33" s="1253"/>
      <c r="E33" s="267"/>
      <c r="F33" s="1177"/>
      <c r="G33" s="1177"/>
    </row>
    <row r="34" spans="1:7" x14ac:dyDescent="0.25">
      <c r="A34" s="1177"/>
      <c r="B34" s="263" t="s">
        <v>1</v>
      </c>
      <c r="C34" s="1251">
        <f>SUM(C28:D33)</f>
        <v>13039903</v>
      </c>
      <c r="D34" s="1251"/>
      <c r="E34" s="264">
        <f>SUM(E28:E33)</f>
        <v>0.65674085795068038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3"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7">
    <tabColor rgb="FF72104A"/>
  </sheetPr>
  <dimension ref="A1:AE57"/>
  <sheetViews>
    <sheetView topLeftCell="G24" zoomScale="70" zoomScaleNormal="70" workbookViewId="0">
      <selection activeCell="W11" sqref="W11:Y12"/>
    </sheetView>
  </sheetViews>
  <sheetFormatPr baseColWidth="10" defaultColWidth="11.44140625" defaultRowHeight="14.4" x14ac:dyDescent="0.3"/>
  <cols>
    <col min="1" max="1" width="18.33203125" style="148" customWidth="1"/>
    <col min="2" max="2" width="24.44140625" style="148" customWidth="1"/>
    <col min="3" max="3" width="31.5546875" style="148" customWidth="1"/>
    <col min="4" max="4" width="22.5546875" style="148" customWidth="1"/>
    <col min="5" max="5" width="11.5546875" style="148" bestFit="1" customWidth="1"/>
    <col min="6" max="6" width="17.88671875" style="148" customWidth="1"/>
    <col min="7" max="7" width="17.88671875" style="795" customWidth="1"/>
    <col min="8" max="8" width="17.88671875" style="148" customWidth="1"/>
    <col min="9" max="9" width="17.88671875" style="795" customWidth="1"/>
    <col min="10" max="10" width="50.33203125" style="148" customWidth="1"/>
    <col min="11" max="11" width="17.88671875" style="148" hidden="1" customWidth="1"/>
    <col min="12" max="12" width="18" style="148" hidden="1" customWidth="1"/>
    <col min="13" max="13" width="11.44140625" style="148" hidden="1" customWidth="1"/>
    <col min="14" max="14" width="17.88671875" style="148" hidden="1" customWidth="1"/>
    <col min="15" max="15" width="18" style="148" hidden="1" customWidth="1"/>
    <col min="16" max="16" width="8" style="148" hidden="1" customWidth="1"/>
    <col min="17" max="17" width="17.88671875" style="302" hidden="1" customWidth="1"/>
    <col min="18" max="18" width="18" style="302" hidden="1" customWidth="1"/>
    <col min="19" max="19" width="8" style="302" hidden="1" customWidth="1"/>
    <col min="20" max="20" width="17.88671875" style="302" bestFit="1" customWidth="1"/>
    <col min="21" max="21" width="18" style="302" bestFit="1" customWidth="1"/>
    <col min="22" max="22" width="8" style="302" customWidth="1"/>
    <col min="23" max="23" width="17" style="1054" customWidth="1"/>
    <col min="24" max="24" width="18.44140625" style="1054" customWidth="1"/>
    <col min="25" max="25" width="15.44140625" style="1054" customWidth="1"/>
    <col min="26" max="27" width="17.88671875" style="148" bestFit="1" customWidth="1"/>
    <col min="28" max="16384" width="11.44140625" style="148"/>
  </cols>
  <sheetData>
    <row r="1" spans="1:28" ht="29.25"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9"/>
      <c r="W1" s="1052"/>
      <c r="X1" s="1052"/>
      <c r="Y1" s="1052"/>
      <c r="Z1" s="1328" t="s">
        <v>669</v>
      </c>
      <c r="AA1" s="1303"/>
      <c r="AB1" s="1304"/>
    </row>
    <row r="2" spans="1:28"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2"/>
      <c r="W2" s="1053"/>
      <c r="X2" s="1053"/>
      <c r="Y2" s="1053"/>
      <c r="Z2" s="1329" t="s">
        <v>41</v>
      </c>
      <c r="AA2" s="1305"/>
      <c r="AB2" s="1306"/>
    </row>
    <row r="3" spans="1:28"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x14ac:dyDescent="0.3">
      <c r="A7" s="1291" t="s">
        <v>668</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ht="13.5" customHeight="1" x14ac:dyDescent="0.3">
      <c r="A10" s="1292" t="s">
        <v>444</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ht="13.5" customHeight="1" x14ac:dyDescent="0.3">
      <c r="A11" s="213"/>
      <c r="B11" s="1318"/>
      <c r="C11" s="1320"/>
      <c r="D11" s="1320"/>
      <c r="E11" s="1320"/>
      <c r="F11" s="1320"/>
      <c r="G11" s="1320"/>
      <c r="H11" s="1320"/>
      <c r="I11" s="1320"/>
      <c r="J11" s="1320"/>
      <c r="K11" s="1293" t="s">
        <v>46</v>
      </c>
      <c r="L11" s="1294"/>
      <c r="M11" s="1295"/>
      <c r="N11" s="1293" t="s">
        <v>677</v>
      </c>
      <c r="O11" s="1294"/>
      <c r="P11" s="1295"/>
      <c r="Q11" s="1293" t="s">
        <v>980</v>
      </c>
      <c r="R11" s="1294"/>
      <c r="S11" s="1295"/>
      <c r="T11" s="1470" t="s">
        <v>2088</v>
      </c>
      <c r="U11" s="1471"/>
      <c r="V11" s="1472"/>
      <c r="W11" s="1470" t="s">
        <v>2328</v>
      </c>
      <c r="X11" s="1471"/>
      <c r="Y11" s="1472"/>
      <c r="Z11" s="1299" t="s">
        <v>49</v>
      </c>
      <c r="AA11" s="1299"/>
      <c r="AB11" s="1299"/>
    </row>
    <row r="12" spans="1:28"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473"/>
      <c r="U12" s="1474"/>
      <c r="V12" s="1475"/>
      <c r="W12" s="1473"/>
      <c r="X12" s="1474"/>
      <c r="Y12" s="1475"/>
      <c r="Z12" s="1300"/>
      <c r="AA12" s="1300"/>
      <c r="AB12" s="1300"/>
    </row>
    <row r="13" spans="1:28" ht="28.8" x14ac:dyDescent="0.3">
      <c r="A13" s="159" t="s">
        <v>50</v>
      </c>
      <c r="B13" s="159" t="s">
        <v>51</v>
      </c>
      <c r="C13" s="159" t="s">
        <v>52</v>
      </c>
      <c r="D13" s="159" t="s">
        <v>164</v>
      </c>
      <c r="E13" s="159" t="s">
        <v>54</v>
      </c>
      <c r="F13" s="141" t="s">
        <v>55</v>
      </c>
      <c r="G13" s="823" t="s">
        <v>2007</v>
      </c>
      <c r="H13" s="159" t="s">
        <v>56</v>
      </c>
      <c r="I13" s="824" t="s">
        <v>56</v>
      </c>
      <c r="J13" s="159" t="s">
        <v>57</v>
      </c>
      <c r="K13" s="209" t="s">
        <v>54</v>
      </c>
      <c r="L13" s="209" t="s">
        <v>56</v>
      </c>
      <c r="M13" s="209" t="s">
        <v>58</v>
      </c>
      <c r="N13" s="209" t="s">
        <v>54</v>
      </c>
      <c r="O13" s="209" t="s">
        <v>56</v>
      </c>
      <c r="P13" s="209" t="s">
        <v>58</v>
      </c>
      <c r="Q13" s="209" t="s">
        <v>54</v>
      </c>
      <c r="R13" s="209" t="s">
        <v>56</v>
      </c>
      <c r="S13" s="209" t="s">
        <v>58</v>
      </c>
      <c r="T13" s="209" t="s">
        <v>54</v>
      </c>
      <c r="U13" s="209" t="s">
        <v>56</v>
      </c>
      <c r="V13" s="209" t="s">
        <v>58</v>
      </c>
      <c r="W13" s="209" t="s">
        <v>54</v>
      </c>
      <c r="X13" s="209" t="s">
        <v>56</v>
      </c>
      <c r="Y13" s="209" t="s">
        <v>58</v>
      </c>
      <c r="Z13" s="209" t="s">
        <v>54</v>
      </c>
      <c r="AA13" s="209" t="s">
        <v>56</v>
      </c>
      <c r="AB13" s="209" t="s">
        <v>58</v>
      </c>
    </row>
    <row r="14" spans="1:28" ht="30" customHeight="1" x14ac:dyDescent="0.3">
      <c r="A14" s="1289" t="s">
        <v>432</v>
      </c>
      <c r="B14" s="1476" t="s">
        <v>165</v>
      </c>
      <c r="C14" s="214" t="s">
        <v>81</v>
      </c>
      <c r="D14" s="214" t="s">
        <v>166</v>
      </c>
      <c r="E14" s="31">
        <v>0</v>
      </c>
      <c r="F14" s="32">
        <v>1149124</v>
      </c>
      <c r="G14" s="32">
        <f>+ROUND(F14*1.051,0)</f>
        <v>1207729</v>
      </c>
      <c r="H14" s="32">
        <f>ROUND((E14*F14),0)</f>
        <v>0</v>
      </c>
      <c r="I14" s="32">
        <f>+ROUND(G14*E14,0)</f>
        <v>0</v>
      </c>
      <c r="J14" s="1289" t="s">
        <v>433</v>
      </c>
      <c r="K14" s="163">
        <v>0</v>
      </c>
      <c r="L14" s="164">
        <f>ROUND(K14*$F$14,0)</f>
        <v>0</v>
      </c>
      <c r="M14" s="165">
        <v>0</v>
      </c>
      <c r="N14" s="163">
        <v>0</v>
      </c>
      <c r="O14" s="164">
        <f>ROUND(N14*$F$14,0)</f>
        <v>0</v>
      </c>
      <c r="P14" s="165">
        <v>0</v>
      </c>
      <c r="Q14" s="163">
        <v>0</v>
      </c>
      <c r="R14" s="164">
        <f>ROUND(Q14*$F$14,0)</f>
        <v>0</v>
      </c>
      <c r="S14" s="165">
        <v>0</v>
      </c>
      <c r="T14" s="163">
        <v>0</v>
      </c>
      <c r="U14" s="164">
        <f>ROUND(T14*G14,0)</f>
        <v>0</v>
      </c>
      <c r="V14" s="863">
        <v>0</v>
      </c>
      <c r="W14" s="163">
        <v>0</v>
      </c>
      <c r="X14" s="164">
        <f>ROUND(W14*G14,0)</f>
        <v>0</v>
      </c>
      <c r="Y14" s="1097">
        <v>0</v>
      </c>
      <c r="Z14" s="163">
        <f>K14+N14+Q14+T14+W14</f>
        <v>0</v>
      </c>
      <c r="AA14" s="164">
        <f>L14+O14+R14+U14+X14</f>
        <v>0</v>
      </c>
      <c r="AB14" s="165">
        <v>0</v>
      </c>
    </row>
    <row r="15" spans="1:28" ht="30" customHeight="1" x14ac:dyDescent="0.3">
      <c r="A15" s="1289"/>
      <c r="B15" s="1476"/>
      <c r="C15" s="214" t="s">
        <v>83</v>
      </c>
      <c r="D15" s="214" t="s">
        <v>167</v>
      </c>
      <c r="E15" s="31">
        <v>0.3</v>
      </c>
      <c r="F15" s="32">
        <v>2646468</v>
      </c>
      <c r="G15" s="32">
        <f t="shared" ref="G15:G16" si="0">+ROUND(F15*1.051,0)</f>
        <v>2781438</v>
      </c>
      <c r="H15" s="32">
        <f>ROUND((E15*F15),0)</f>
        <v>793940</v>
      </c>
      <c r="I15" s="32">
        <f>+ROUND(G15*E15,0)</f>
        <v>834431</v>
      </c>
      <c r="J15" s="1289"/>
      <c r="K15" s="163">
        <v>0</v>
      </c>
      <c r="L15" s="164">
        <f>ROUND(K15*$F$15,0)</f>
        <v>0</v>
      </c>
      <c r="M15" s="165">
        <f>L15/$H$15</f>
        <v>0</v>
      </c>
      <c r="N15" s="163">
        <v>0</v>
      </c>
      <c r="O15" s="164">
        <f>ROUND(N15*$F$15,0)</f>
        <v>0</v>
      </c>
      <c r="P15" s="165">
        <f>O15/$H$15</f>
        <v>0</v>
      </c>
      <c r="Q15" s="163">
        <v>0</v>
      </c>
      <c r="R15" s="164">
        <f>ROUND(Q15*$F$15,0)</f>
        <v>0</v>
      </c>
      <c r="S15" s="165">
        <f>R15/$H$15</f>
        <v>0</v>
      </c>
      <c r="T15" s="163">
        <v>0</v>
      </c>
      <c r="U15" s="164">
        <f t="shared" ref="U15:U16" si="1">ROUND(T15*G15,0)</f>
        <v>0</v>
      </c>
      <c r="V15" s="863">
        <f t="shared" ref="V15" si="2">+U15/I15</f>
        <v>0</v>
      </c>
      <c r="W15" s="163">
        <v>0</v>
      </c>
      <c r="X15" s="164">
        <f t="shared" ref="X15:X16" si="3">ROUND(W15*G15,0)</f>
        <v>0</v>
      </c>
      <c r="Y15" s="1097">
        <f>+X15/I15</f>
        <v>0</v>
      </c>
      <c r="Z15" s="163">
        <f t="shared" ref="Z15:Z33" si="4">K15+N15+Q15+T15+W15</f>
        <v>0</v>
      </c>
      <c r="AA15" s="164">
        <f t="shared" ref="AA15:AA34" si="5">L15+O15+R15+U15+X15</f>
        <v>0</v>
      </c>
      <c r="AB15" s="165">
        <f>AA15/H15</f>
        <v>0</v>
      </c>
    </row>
    <row r="16" spans="1:28" ht="30" customHeight="1" x14ac:dyDescent="0.3">
      <c r="A16" s="1289"/>
      <c r="B16" s="1476"/>
      <c r="C16" s="214" t="s">
        <v>61</v>
      </c>
      <c r="D16" s="214" t="s">
        <v>168</v>
      </c>
      <c r="E16" s="31">
        <v>0</v>
      </c>
      <c r="F16" s="32">
        <v>2542001</v>
      </c>
      <c r="G16" s="32">
        <f t="shared" si="0"/>
        <v>2671643</v>
      </c>
      <c r="H16" s="32">
        <f>ROUND((E16*F16),0)</f>
        <v>0</v>
      </c>
      <c r="I16" s="32">
        <f>+ROUND(G16*E16,0)</f>
        <v>0</v>
      </c>
      <c r="J16" s="1289"/>
      <c r="K16" s="163">
        <v>0</v>
      </c>
      <c r="L16" s="164">
        <f>ROUND(K16*$F$16,0)</f>
        <v>0</v>
      </c>
      <c r="M16" s="165">
        <v>0</v>
      </c>
      <c r="N16" s="163">
        <v>0</v>
      </c>
      <c r="O16" s="164">
        <f>ROUND(N16*$F$16,0)</f>
        <v>0</v>
      </c>
      <c r="P16" s="165">
        <v>0</v>
      </c>
      <c r="Q16" s="163">
        <v>0</v>
      </c>
      <c r="R16" s="164">
        <f>ROUND(Q16*$F$16,0)</f>
        <v>0</v>
      </c>
      <c r="S16" s="165">
        <v>0</v>
      </c>
      <c r="T16" s="163">
        <v>0</v>
      </c>
      <c r="U16" s="164">
        <f t="shared" si="1"/>
        <v>0</v>
      </c>
      <c r="V16" s="863">
        <v>0</v>
      </c>
      <c r="W16" s="163">
        <v>0</v>
      </c>
      <c r="X16" s="164">
        <f t="shared" si="3"/>
        <v>0</v>
      </c>
      <c r="Y16" s="1097">
        <v>0</v>
      </c>
      <c r="Z16" s="163">
        <f t="shared" si="4"/>
        <v>0</v>
      </c>
      <c r="AA16" s="164">
        <f t="shared" si="5"/>
        <v>0</v>
      </c>
      <c r="AB16" s="165">
        <v>0</v>
      </c>
    </row>
    <row r="17" spans="1:28" x14ac:dyDescent="0.3">
      <c r="A17" s="1289"/>
      <c r="B17" s="1476"/>
      <c r="C17" s="39"/>
      <c r="D17" s="39" t="s">
        <v>169</v>
      </c>
      <c r="E17" s="40"/>
      <c r="F17" s="41"/>
      <c r="G17" s="41"/>
      <c r="H17" s="42">
        <f>SUM(H14:H16)</f>
        <v>793940</v>
      </c>
      <c r="I17" s="42">
        <f>SUM(I14:I16)</f>
        <v>834431</v>
      </c>
      <c r="J17" s="1289"/>
      <c r="K17" s="200"/>
      <c r="L17" s="177">
        <f>SUM(L14:L16)</f>
        <v>0</v>
      </c>
      <c r="M17" s="178">
        <f>L17/$H$17</f>
        <v>0</v>
      </c>
      <c r="N17" s="200"/>
      <c r="O17" s="289">
        <f>SUM(O14:O16)</f>
        <v>0</v>
      </c>
      <c r="P17" s="178">
        <f>O17/$H$17</f>
        <v>0</v>
      </c>
      <c r="Q17" s="306"/>
      <c r="R17" s="307">
        <f>SUM(R14:R16)</f>
        <v>0</v>
      </c>
      <c r="S17" s="308">
        <f>R17/$H$17</f>
        <v>0</v>
      </c>
      <c r="T17" s="428"/>
      <c r="U17" s="307">
        <f>SUM(U14:U16)</f>
        <v>0</v>
      </c>
      <c r="V17" s="431">
        <f>U17/$H$17</f>
        <v>0</v>
      </c>
      <c r="W17" s="428"/>
      <c r="X17" s="307">
        <f>SUM(X14:X16)</f>
        <v>0</v>
      </c>
      <c r="Y17" s="1098">
        <f t="shared" ref="Y17:Y34" si="6">+X17/I17</f>
        <v>0</v>
      </c>
      <c r="Z17" s="1094"/>
      <c r="AA17" s="1085">
        <f t="shared" si="5"/>
        <v>0</v>
      </c>
      <c r="AB17" s="178">
        <f>AA17/H17</f>
        <v>0</v>
      </c>
    </row>
    <row r="18" spans="1:28" ht="30" customHeight="1" x14ac:dyDescent="0.3">
      <c r="A18" s="1289" t="s">
        <v>434</v>
      </c>
      <c r="B18" s="1289" t="s">
        <v>316</v>
      </c>
      <c r="C18" s="214" t="s">
        <v>81</v>
      </c>
      <c r="D18" s="214" t="s">
        <v>317</v>
      </c>
      <c r="E18" s="31">
        <v>0</v>
      </c>
      <c r="F18" s="32">
        <v>4596496</v>
      </c>
      <c r="G18" s="32">
        <f t="shared" ref="G18:G19" si="7">+ROUND(F18*1.051,0)</f>
        <v>4830917</v>
      </c>
      <c r="H18" s="32">
        <f>ROUND((E18*F18),0)</f>
        <v>0</v>
      </c>
      <c r="I18" s="32">
        <f>+ROUND(G18*E18,0)</f>
        <v>0</v>
      </c>
      <c r="J18" s="1289" t="s">
        <v>435</v>
      </c>
      <c r="K18" s="163">
        <v>0</v>
      </c>
      <c r="L18" s="164">
        <f>ROUND(K18*$F$18,0)</f>
        <v>0</v>
      </c>
      <c r="M18" s="165">
        <v>0</v>
      </c>
      <c r="N18" s="163">
        <v>0</v>
      </c>
      <c r="O18" s="164">
        <f>ROUND(N18*$F$18,0)</f>
        <v>0</v>
      </c>
      <c r="P18" s="165">
        <v>0</v>
      </c>
      <c r="Q18" s="163">
        <v>0</v>
      </c>
      <c r="R18" s="164">
        <f>ROUND(Q18*$F$18,0)</f>
        <v>0</v>
      </c>
      <c r="S18" s="165">
        <v>0</v>
      </c>
      <c r="T18" s="163">
        <v>0</v>
      </c>
      <c r="U18" s="164">
        <f>ROUND(T18*G18,0)</f>
        <v>0</v>
      </c>
      <c r="V18" s="863">
        <v>0</v>
      </c>
      <c r="W18" s="163">
        <v>0</v>
      </c>
      <c r="X18" s="164">
        <f>ROUND(W18*G18,0)</f>
        <v>0</v>
      </c>
      <c r="Y18" s="1097">
        <v>0</v>
      </c>
      <c r="Z18" s="163">
        <f t="shared" si="4"/>
        <v>0</v>
      </c>
      <c r="AA18" s="164">
        <f t="shared" si="5"/>
        <v>0</v>
      </c>
      <c r="AB18" s="165">
        <v>0</v>
      </c>
    </row>
    <row r="19" spans="1:28" ht="30" customHeight="1" x14ac:dyDescent="0.3">
      <c r="A19" s="1289"/>
      <c r="B19" s="1289"/>
      <c r="C19" s="214" t="s">
        <v>83</v>
      </c>
      <c r="D19" s="214" t="s">
        <v>318</v>
      </c>
      <c r="E19" s="31">
        <v>1.3</v>
      </c>
      <c r="F19" s="32">
        <v>4387564</v>
      </c>
      <c r="G19" s="32">
        <f t="shared" si="7"/>
        <v>4611330</v>
      </c>
      <c r="H19" s="32">
        <f>ROUND((E19*F19),0)</f>
        <v>5703833</v>
      </c>
      <c r="I19" s="32">
        <f>+ROUND(G19*E19,0)</f>
        <v>5994729</v>
      </c>
      <c r="J19" s="1289"/>
      <c r="K19" s="163">
        <v>0</v>
      </c>
      <c r="L19" s="164">
        <f>ROUND(K19*$F$19,0)</f>
        <v>0</v>
      </c>
      <c r="M19" s="165">
        <f>L19/$H$19</f>
        <v>0</v>
      </c>
      <c r="N19" s="163">
        <v>0</v>
      </c>
      <c r="O19" s="164">
        <f>ROUND(N19*$F$19,0)</f>
        <v>0</v>
      </c>
      <c r="P19" s="165">
        <f>O19/$H$19</f>
        <v>0</v>
      </c>
      <c r="Q19" s="309">
        <v>1</v>
      </c>
      <c r="R19" s="310">
        <f>ROUND(Q19*$F$19,0)</f>
        <v>4387564</v>
      </c>
      <c r="S19" s="311">
        <f>R19/$H$19</f>
        <v>0.7692307962031848</v>
      </c>
      <c r="T19" s="412">
        <v>0.3</v>
      </c>
      <c r="U19" s="413">
        <f>ROUND(T19*G19,0)</f>
        <v>1383399</v>
      </c>
      <c r="V19" s="973">
        <f>+U19/H19</f>
        <v>0.24253848245556978</v>
      </c>
      <c r="W19" s="408">
        <v>0</v>
      </c>
      <c r="X19" s="164">
        <f>ROUND(W19*G19,0)</f>
        <v>0</v>
      </c>
      <c r="Y19" s="1097">
        <f t="shared" si="6"/>
        <v>0</v>
      </c>
      <c r="Z19" s="163">
        <f t="shared" si="4"/>
        <v>1.3</v>
      </c>
      <c r="AA19" s="164">
        <f t="shared" si="5"/>
        <v>5770963</v>
      </c>
      <c r="AB19" s="165">
        <f t="shared" ref="AB19:AB28" si="8">AA19/H19</f>
        <v>1.0117692786587547</v>
      </c>
    </row>
    <row r="20" spans="1:28" x14ac:dyDescent="0.3">
      <c r="A20" s="1289"/>
      <c r="B20" s="1289"/>
      <c r="C20" s="39"/>
      <c r="D20" s="39" t="s">
        <v>247</v>
      </c>
      <c r="E20" s="40"/>
      <c r="F20" s="41"/>
      <c r="G20" s="41"/>
      <c r="H20" s="42">
        <f>SUM(H18:H19)</f>
        <v>5703833</v>
      </c>
      <c r="I20" s="42">
        <f>SUM(I18:I19)</f>
        <v>5994729</v>
      </c>
      <c r="J20" s="1289"/>
      <c r="K20" s="200"/>
      <c r="L20" s="177">
        <f>SUM(L18:L19)</f>
        <v>0</v>
      </c>
      <c r="M20" s="178">
        <f>L20/$H$20</f>
        <v>0</v>
      </c>
      <c r="N20" s="200"/>
      <c r="O20" s="289">
        <f>SUM(O18:O19)</f>
        <v>0</v>
      </c>
      <c r="P20" s="178">
        <f>O20/$H$20</f>
        <v>0</v>
      </c>
      <c r="Q20" s="306"/>
      <c r="R20" s="307">
        <f>SUM(R18:R19)</f>
        <v>4387564</v>
      </c>
      <c r="S20" s="308">
        <f>R20/$H$20</f>
        <v>0.7692307962031848</v>
      </c>
      <c r="T20" s="428"/>
      <c r="U20" s="307">
        <f>SUM(U18:U19)</f>
        <v>1383399</v>
      </c>
      <c r="V20" s="431">
        <f>U20/$H$20</f>
        <v>0.24253848245556978</v>
      </c>
      <c r="W20" s="428"/>
      <c r="X20" s="307">
        <f>SUM(X18:X19)</f>
        <v>0</v>
      </c>
      <c r="Y20" s="1098">
        <f t="shared" si="6"/>
        <v>0</v>
      </c>
      <c r="Z20" s="1094"/>
      <c r="AA20" s="1085">
        <f t="shared" si="5"/>
        <v>5770963</v>
      </c>
      <c r="AB20" s="178">
        <f t="shared" si="8"/>
        <v>1.0117692786587547</v>
      </c>
    </row>
    <row r="21" spans="1:28" ht="30" customHeight="1" x14ac:dyDescent="0.3">
      <c r="A21" s="1289" t="s">
        <v>306</v>
      </c>
      <c r="B21" s="1289" t="s">
        <v>194</v>
      </c>
      <c r="C21" s="214" t="s">
        <v>160</v>
      </c>
      <c r="D21" s="214" t="s">
        <v>161</v>
      </c>
      <c r="E21" s="31">
        <v>24</v>
      </c>
      <c r="F21" s="32">
        <v>69644</v>
      </c>
      <c r="G21" s="32">
        <f>+ROUND(F21*1.051,0)</f>
        <v>73196</v>
      </c>
      <c r="H21" s="32">
        <f>ROUND((E21*F21),0)</f>
        <v>1671456</v>
      </c>
      <c r="I21" s="32">
        <f>+ROUND(G21*E21,0)</f>
        <v>1756704</v>
      </c>
      <c r="J21" s="1289" t="s">
        <v>436</v>
      </c>
      <c r="K21" s="163">
        <v>0</v>
      </c>
      <c r="L21" s="143">
        <f>ROUND(K21*$F$21,0)</f>
        <v>0</v>
      </c>
      <c r="M21" s="144">
        <f>L21/$H$21</f>
        <v>0</v>
      </c>
      <c r="N21" s="309">
        <v>24</v>
      </c>
      <c r="O21" s="310">
        <f>ROUND(N21*$F$21,0)</f>
        <v>1671456</v>
      </c>
      <c r="P21" s="311">
        <f>O21/$H$21</f>
        <v>1</v>
      </c>
      <c r="Q21" s="163">
        <v>0</v>
      </c>
      <c r="R21" s="164">
        <f>ROUND(Q21*$F$21,0)</f>
        <v>0</v>
      </c>
      <c r="S21" s="165">
        <f>R21/$H$21</f>
        <v>0</v>
      </c>
      <c r="T21" s="163">
        <v>0</v>
      </c>
      <c r="U21" s="164">
        <f>ROUND(T21*G21,0)</f>
        <v>0</v>
      </c>
      <c r="V21" s="863">
        <f>+U21/I21</f>
        <v>0</v>
      </c>
      <c r="W21" s="163">
        <v>0</v>
      </c>
      <c r="X21" s="164">
        <f>ROUND(W21*G21,0)</f>
        <v>0</v>
      </c>
      <c r="Y21" s="1097">
        <f t="shared" si="6"/>
        <v>0</v>
      </c>
      <c r="Z21" s="163">
        <f>K21+N21+Q21+T21+W21</f>
        <v>24</v>
      </c>
      <c r="AA21" s="164">
        <f t="shared" si="5"/>
        <v>1671456</v>
      </c>
      <c r="AB21" s="165">
        <f t="shared" si="8"/>
        <v>1</v>
      </c>
    </row>
    <row r="22" spans="1:28" x14ac:dyDescent="0.3">
      <c r="A22" s="1289"/>
      <c r="B22" s="1289"/>
      <c r="C22" s="39"/>
      <c r="D22" s="39" t="s">
        <v>162</v>
      </c>
      <c r="E22" s="40"/>
      <c r="F22" s="41"/>
      <c r="G22" s="41"/>
      <c r="H22" s="42">
        <f>H21</f>
        <v>1671456</v>
      </c>
      <c r="I22" s="42">
        <f>SUM(I21)</f>
        <v>1756704</v>
      </c>
      <c r="J22" s="1289"/>
      <c r="K22" s="200"/>
      <c r="L22" s="177">
        <f>SUM(L21)</f>
        <v>0</v>
      </c>
      <c r="M22" s="178">
        <f>L22/$H$22</f>
        <v>0</v>
      </c>
      <c r="N22" s="200"/>
      <c r="O22" s="289">
        <f>SUM(O21)</f>
        <v>1671456</v>
      </c>
      <c r="P22" s="178">
        <f>O22/$H$22</f>
        <v>1</v>
      </c>
      <c r="Q22" s="306"/>
      <c r="R22" s="307">
        <f>SUM(R21)</f>
        <v>0</v>
      </c>
      <c r="S22" s="308">
        <f>R22/$H$22</f>
        <v>0</v>
      </c>
      <c r="T22" s="428"/>
      <c r="U22" s="307">
        <f>SUM(U21)</f>
        <v>0</v>
      </c>
      <c r="V22" s="431">
        <f>U22/$H$22</f>
        <v>0</v>
      </c>
      <c r="W22" s="428"/>
      <c r="X22" s="307">
        <f>SUM(X21)</f>
        <v>0</v>
      </c>
      <c r="Y22" s="1098">
        <f t="shared" si="6"/>
        <v>0</v>
      </c>
      <c r="Z22" s="1094"/>
      <c r="AA22" s="1085">
        <f t="shared" si="5"/>
        <v>1671456</v>
      </c>
      <c r="AB22" s="178">
        <f t="shared" si="8"/>
        <v>1</v>
      </c>
    </row>
    <row r="23" spans="1:28" ht="30" customHeight="1" x14ac:dyDescent="0.3">
      <c r="A23" s="1289" t="s">
        <v>306</v>
      </c>
      <c r="B23" s="1289" t="s">
        <v>194</v>
      </c>
      <c r="C23" s="214" t="s">
        <v>160</v>
      </c>
      <c r="D23" s="214" t="s">
        <v>161</v>
      </c>
      <c r="E23" s="31">
        <v>48</v>
      </c>
      <c r="F23" s="32">
        <v>69644</v>
      </c>
      <c r="G23" s="32">
        <f>+ROUND(F23*1.051,0)</f>
        <v>73196</v>
      </c>
      <c r="H23" s="32">
        <f>ROUND((E23*F23),0)</f>
        <v>3342912</v>
      </c>
      <c r="I23" s="32">
        <f>+ROUND(G23*E23,0)</f>
        <v>3513408</v>
      </c>
      <c r="J23" s="1477" t="s">
        <v>437</v>
      </c>
      <c r="K23" s="163">
        <v>0</v>
      </c>
      <c r="L23" s="164">
        <f>ROUND(K23*$F$23,0)</f>
        <v>0</v>
      </c>
      <c r="M23" s="165">
        <f>L23/$H$23</f>
        <v>0</v>
      </c>
      <c r="N23" s="163">
        <v>0</v>
      </c>
      <c r="O23" s="164">
        <f>ROUND(N23*$F$25,0)</f>
        <v>0</v>
      </c>
      <c r="P23" s="165">
        <f>O23/$H$25</f>
        <v>0</v>
      </c>
      <c r="Q23" s="163">
        <v>0</v>
      </c>
      <c r="R23" s="164">
        <f>ROUND(Q23*$F$25,0)</f>
        <v>0</v>
      </c>
      <c r="S23" s="165">
        <f>R23/$H$25</f>
        <v>0</v>
      </c>
      <c r="T23" s="163">
        <v>0</v>
      </c>
      <c r="U23" s="164">
        <f>ROUND(T23*G23,0)</f>
        <v>0</v>
      </c>
      <c r="V23" s="863">
        <f>+U23/I23</f>
        <v>0</v>
      </c>
      <c r="W23" s="163">
        <v>0</v>
      </c>
      <c r="X23" s="164">
        <f>ROUND(W23*G23,0)</f>
        <v>0</v>
      </c>
      <c r="Y23" s="1097">
        <f t="shared" si="6"/>
        <v>0</v>
      </c>
      <c r="Z23" s="163">
        <f t="shared" si="4"/>
        <v>0</v>
      </c>
      <c r="AA23" s="164">
        <f t="shared" si="5"/>
        <v>0</v>
      </c>
      <c r="AB23" s="165">
        <f t="shared" si="8"/>
        <v>0</v>
      </c>
    </row>
    <row r="24" spans="1:28" x14ac:dyDescent="0.3">
      <c r="A24" s="1289"/>
      <c r="B24" s="1289"/>
      <c r="C24" s="39"/>
      <c r="D24" s="39" t="s">
        <v>162</v>
      </c>
      <c r="E24" s="40"/>
      <c r="F24" s="41"/>
      <c r="G24" s="41"/>
      <c r="H24" s="42">
        <f>H23</f>
        <v>3342912</v>
      </c>
      <c r="I24" s="42">
        <f>SUM(I23)</f>
        <v>3513408</v>
      </c>
      <c r="J24" s="1476"/>
      <c r="K24" s="200"/>
      <c r="L24" s="177">
        <f>SUM(L23)</f>
        <v>0</v>
      </c>
      <c r="M24" s="178">
        <f>L24/$H$24</f>
        <v>0</v>
      </c>
      <c r="N24" s="200"/>
      <c r="O24" s="289">
        <f>SUM(O23)</f>
        <v>0</v>
      </c>
      <c r="P24" s="178">
        <f>O24/$H$24</f>
        <v>0</v>
      </c>
      <c r="Q24" s="306"/>
      <c r="R24" s="307">
        <f>SUM(R23)</f>
        <v>0</v>
      </c>
      <c r="S24" s="308">
        <f>R24/$H$24</f>
        <v>0</v>
      </c>
      <c r="T24" s="428"/>
      <c r="U24" s="307">
        <f>SUM(U23)</f>
        <v>0</v>
      </c>
      <c r="V24" s="431">
        <f>U24/$H$24</f>
        <v>0</v>
      </c>
      <c r="W24" s="428"/>
      <c r="X24" s="307">
        <f>SUM(X23)</f>
        <v>0</v>
      </c>
      <c r="Y24" s="1098">
        <f t="shared" si="6"/>
        <v>0</v>
      </c>
      <c r="Z24" s="1094"/>
      <c r="AA24" s="1085">
        <f t="shared" si="5"/>
        <v>0</v>
      </c>
      <c r="AB24" s="178">
        <f t="shared" si="8"/>
        <v>0</v>
      </c>
    </row>
    <row r="25" spans="1:28" ht="30" customHeight="1" x14ac:dyDescent="0.3">
      <c r="A25" s="1289" t="s">
        <v>438</v>
      </c>
      <c r="B25" s="1289" t="s">
        <v>415</v>
      </c>
      <c r="C25" s="214" t="s">
        <v>118</v>
      </c>
      <c r="D25" s="214" t="s">
        <v>119</v>
      </c>
      <c r="E25" s="31">
        <v>0.35</v>
      </c>
      <c r="F25" s="32">
        <v>7904580</v>
      </c>
      <c r="G25" s="32">
        <f t="shared" ref="G25:G27" si="9">+ROUND(F25*1.051,0)</f>
        <v>8307714</v>
      </c>
      <c r="H25" s="32">
        <f>ROUND((E25*F25),0)</f>
        <v>2766603</v>
      </c>
      <c r="I25" s="32">
        <f t="shared" ref="I25:I27" si="10">+ROUND(G25*E25,0)</f>
        <v>2907700</v>
      </c>
      <c r="J25" s="1289" t="s">
        <v>439</v>
      </c>
      <c r="K25" s="163">
        <v>0</v>
      </c>
      <c r="L25" s="164">
        <f>ROUND(K25*$F$25,0)</f>
        <v>0</v>
      </c>
      <c r="M25" s="165">
        <f>L25/$H$25</f>
        <v>0</v>
      </c>
      <c r="N25" s="163">
        <v>0</v>
      </c>
      <c r="O25" s="164">
        <f>ROUND(N25*$F$25,0)</f>
        <v>0</v>
      </c>
      <c r="P25" s="165">
        <f>O25/$H$25</f>
        <v>0</v>
      </c>
      <c r="Q25" s="163">
        <v>0</v>
      </c>
      <c r="R25" s="164">
        <f>ROUND(Q25*$F$25,0)</f>
        <v>0</v>
      </c>
      <c r="S25" s="165">
        <f>R25/$H$25</f>
        <v>0</v>
      </c>
      <c r="T25" s="163">
        <v>0</v>
      </c>
      <c r="U25" s="164">
        <f t="shared" ref="U25:U27" si="11">ROUND(T25*G25,0)</f>
        <v>0</v>
      </c>
      <c r="V25" s="863">
        <f t="shared" ref="V25:V27" si="12">+U25/I25</f>
        <v>0</v>
      </c>
      <c r="W25" s="163">
        <v>0</v>
      </c>
      <c r="X25" s="164">
        <f>ROUND(W25*G25,0)</f>
        <v>0</v>
      </c>
      <c r="Y25" s="1097">
        <f t="shared" si="6"/>
        <v>0</v>
      </c>
      <c r="Z25" s="163">
        <f t="shared" si="4"/>
        <v>0</v>
      </c>
      <c r="AA25" s="164">
        <f t="shared" si="5"/>
        <v>0</v>
      </c>
      <c r="AB25" s="165">
        <f t="shared" si="8"/>
        <v>0</v>
      </c>
    </row>
    <row r="26" spans="1:28" ht="30" customHeight="1" x14ac:dyDescent="0.3">
      <c r="A26" s="1289"/>
      <c r="B26" s="1289"/>
      <c r="C26" s="214" t="s">
        <v>83</v>
      </c>
      <c r="D26" s="214" t="s">
        <v>120</v>
      </c>
      <c r="E26" s="31">
        <v>0.35</v>
      </c>
      <c r="F26" s="32">
        <v>5014359</v>
      </c>
      <c r="G26" s="32">
        <f t="shared" si="9"/>
        <v>5270091</v>
      </c>
      <c r="H26" s="32">
        <f>ROUND((E26*F26),0)</f>
        <v>1755026</v>
      </c>
      <c r="I26" s="32">
        <f t="shared" si="10"/>
        <v>1844532</v>
      </c>
      <c r="J26" s="1289"/>
      <c r="K26" s="163">
        <v>0</v>
      </c>
      <c r="L26" s="164">
        <f>ROUND(K26*$F$26,0)</f>
        <v>0</v>
      </c>
      <c r="M26" s="165">
        <f>L26/$H$26</f>
        <v>0</v>
      </c>
      <c r="N26" s="309">
        <v>0.35</v>
      </c>
      <c r="O26" s="310">
        <f>ROUND(N26*$F$26,0)</f>
        <v>1755026</v>
      </c>
      <c r="P26" s="311">
        <f>O26/$H$26</f>
        <v>1</v>
      </c>
      <c r="Q26" s="163">
        <v>0</v>
      </c>
      <c r="R26" s="164">
        <f>ROUND(Q26*$F$26,0)</f>
        <v>0</v>
      </c>
      <c r="S26" s="165">
        <f>R26/$H$26</f>
        <v>0</v>
      </c>
      <c r="T26" s="163">
        <v>0</v>
      </c>
      <c r="U26" s="164">
        <f t="shared" si="11"/>
        <v>0</v>
      </c>
      <c r="V26" s="863">
        <f t="shared" si="12"/>
        <v>0</v>
      </c>
      <c r="W26" s="163">
        <v>0</v>
      </c>
      <c r="X26" s="164">
        <f t="shared" ref="X26:X27" si="13">ROUND(W26*G26,0)</f>
        <v>0</v>
      </c>
      <c r="Y26" s="1097">
        <f t="shared" si="6"/>
        <v>0</v>
      </c>
      <c r="Z26" s="163">
        <f t="shared" si="4"/>
        <v>0.35</v>
      </c>
      <c r="AA26" s="164">
        <f t="shared" si="5"/>
        <v>1755026</v>
      </c>
      <c r="AB26" s="165">
        <f t="shared" si="8"/>
        <v>1</v>
      </c>
    </row>
    <row r="27" spans="1:28" ht="30" customHeight="1" x14ac:dyDescent="0.3">
      <c r="A27" s="1289"/>
      <c r="B27" s="1289"/>
      <c r="C27" s="214" t="s">
        <v>61</v>
      </c>
      <c r="D27" s="214" t="s">
        <v>121</v>
      </c>
      <c r="E27" s="31">
        <v>0.35</v>
      </c>
      <c r="F27" s="32">
        <v>4283098</v>
      </c>
      <c r="G27" s="32">
        <f t="shared" si="9"/>
        <v>4501536</v>
      </c>
      <c r="H27" s="32">
        <f>ROUND((E27*F27),0)</f>
        <v>1499084</v>
      </c>
      <c r="I27" s="32">
        <f t="shared" si="10"/>
        <v>1575538</v>
      </c>
      <c r="J27" s="1289"/>
      <c r="K27" s="160">
        <v>0.35</v>
      </c>
      <c r="L27" s="161">
        <f>ROUND(K27*$F$27,0)</f>
        <v>1499084</v>
      </c>
      <c r="M27" s="162">
        <f>L27/$H$27</f>
        <v>1</v>
      </c>
      <c r="N27" s="163">
        <v>0</v>
      </c>
      <c r="O27" s="164">
        <f>ROUND(N27*$F$27,0)</f>
        <v>0</v>
      </c>
      <c r="P27" s="165">
        <f>O27/$H$27</f>
        <v>0</v>
      </c>
      <c r="Q27" s="163">
        <v>0</v>
      </c>
      <c r="R27" s="164">
        <f>ROUND(Q27*$F$27,0)</f>
        <v>0</v>
      </c>
      <c r="S27" s="165">
        <f>R27/$H$27</f>
        <v>0</v>
      </c>
      <c r="T27" s="163">
        <v>0</v>
      </c>
      <c r="U27" s="164">
        <f t="shared" si="11"/>
        <v>0</v>
      </c>
      <c r="V27" s="863">
        <f t="shared" si="12"/>
        <v>0</v>
      </c>
      <c r="W27" s="163">
        <v>0</v>
      </c>
      <c r="X27" s="164">
        <f t="shared" si="13"/>
        <v>0</v>
      </c>
      <c r="Y27" s="1097">
        <f t="shared" si="6"/>
        <v>0</v>
      </c>
      <c r="Z27" s="163">
        <f t="shared" si="4"/>
        <v>0.35</v>
      </c>
      <c r="AA27" s="164">
        <f t="shared" si="5"/>
        <v>1499084</v>
      </c>
      <c r="AB27" s="165">
        <f t="shared" si="8"/>
        <v>1</v>
      </c>
    </row>
    <row r="28" spans="1:28" x14ac:dyDescent="0.3">
      <c r="A28" s="1289"/>
      <c r="B28" s="1289"/>
      <c r="C28" s="39"/>
      <c r="D28" s="39" t="s">
        <v>116</v>
      </c>
      <c r="E28" s="40"/>
      <c r="F28" s="41"/>
      <c r="G28" s="41"/>
      <c r="H28" s="42">
        <f>SUM(H25:H27)</f>
        <v>6020713</v>
      </c>
      <c r="I28" s="42">
        <f>SUM(I25:I27)</f>
        <v>6327770</v>
      </c>
      <c r="J28" s="1289"/>
      <c r="K28" s="200"/>
      <c r="L28" s="177">
        <f>SUM(L25:L27)</f>
        <v>1499084</v>
      </c>
      <c r="M28" s="178">
        <f>L28/$H$28</f>
        <v>0.24898778599810353</v>
      </c>
      <c r="N28" s="200"/>
      <c r="O28" s="289">
        <f>SUM(O25:O27)</f>
        <v>1755026</v>
      </c>
      <c r="P28" s="178">
        <f>O28/$H$28</f>
        <v>0.29149803353855264</v>
      </c>
      <c r="Q28" s="306"/>
      <c r="R28" s="307">
        <f>SUM(R25:R27)</f>
        <v>0</v>
      </c>
      <c r="S28" s="308">
        <f>R28/$H$28</f>
        <v>0</v>
      </c>
      <c r="T28" s="428"/>
      <c r="U28" s="307">
        <f>SUM(U25:U27)</f>
        <v>0</v>
      </c>
      <c r="V28" s="431">
        <f>U28/$H$28</f>
        <v>0</v>
      </c>
      <c r="W28" s="428"/>
      <c r="X28" s="307">
        <f>SUM(X25:X27)</f>
        <v>0</v>
      </c>
      <c r="Y28" s="1098">
        <f t="shared" si="6"/>
        <v>0</v>
      </c>
      <c r="Z28" s="1094"/>
      <c r="AA28" s="1085">
        <f t="shared" si="5"/>
        <v>3254110</v>
      </c>
      <c r="AB28" s="178">
        <f t="shared" si="8"/>
        <v>0.5404858195366562</v>
      </c>
    </row>
    <row r="29" spans="1:28" ht="30" customHeight="1" x14ac:dyDescent="0.3">
      <c r="A29" s="1289" t="s">
        <v>440</v>
      </c>
      <c r="B29" s="1289" t="s">
        <v>170</v>
      </c>
      <c r="C29" s="214" t="s">
        <v>83</v>
      </c>
      <c r="D29" s="214" t="s">
        <v>123</v>
      </c>
      <c r="E29" s="31">
        <v>0</v>
      </c>
      <c r="F29" s="32">
        <v>1044658</v>
      </c>
      <c r="G29" s="32">
        <f t="shared" ref="G29:G30" si="14">+ROUND(F29*1.051,0)</f>
        <v>1097936</v>
      </c>
      <c r="H29" s="32">
        <f>ROUND((E29*F29),0)</f>
        <v>0</v>
      </c>
      <c r="I29" s="32">
        <f t="shared" ref="I29:I30" si="15">+ROUND(G29*E29,0)</f>
        <v>0</v>
      </c>
      <c r="J29" s="1290" t="s">
        <v>441</v>
      </c>
      <c r="K29" s="163">
        <v>0</v>
      </c>
      <c r="L29" s="164">
        <f>ROUND(K29*$F$29,0)</f>
        <v>0</v>
      </c>
      <c r="M29" s="165">
        <v>0</v>
      </c>
      <c r="N29" s="163">
        <v>0</v>
      </c>
      <c r="O29" s="164">
        <f>ROUND(N29*$F$29,0)</f>
        <v>0</v>
      </c>
      <c r="P29" s="165">
        <v>0</v>
      </c>
      <c r="Q29" s="163">
        <v>0</v>
      </c>
      <c r="R29" s="164">
        <f>ROUND(Q29*$F$29,0)</f>
        <v>0</v>
      </c>
      <c r="S29" s="165">
        <v>0</v>
      </c>
      <c r="T29" s="163">
        <v>0</v>
      </c>
      <c r="U29" s="164">
        <f t="shared" ref="U29:U30" si="16">ROUND(T29*G29,0)</f>
        <v>0</v>
      </c>
      <c r="V29" s="863">
        <v>0</v>
      </c>
      <c r="W29" s="163">
        <v>0</v>
      </c>
      <c r="X29" s="164">
        <f>ROUND(W29*G29,0)</f>
        <v>0</v>
      </c>
      <c r="Y29" s="1097">
        <v>0</v>
      </c>
      <c r="Z29" s="163">
        <f t="shared" si="4"/>
        <v>0</v>
      </c>
      <c r="AA29" s="164">
        <f t="shared" si="5"/>
        <v>0</v>
      </c>
      <c r="AB29" s="165">
        <v>0</v>
      </c>
    </row>
    <row r="30" spans="1:28" ht="30" customHeight="1" x14ac:dyDescent="0.3">
      <c r="A30" s="1289"/>
      <c r="B30" s="1289"/>
      <c r="C30" s="214" t="s">
        <v>61</v>
      </c>
      <c r="D30" s="214" t="s">
        <v>125</v>
      </c>
      <c r="E30" s="31">
        <v>0.7</v>
      </c>
      <c r="F30" s="32">
        <v>1009836</v>
      </c>
      <c r="G30" s="32">
        <f t="shared" si="14"/>
        <v>1061338</v>
      </c>
      <c r="H30" s="32">
        <f>ROUND((E30*F30),0)</f>
        <v>706885</v>
      </c>
      <c r="I30" s="32">
        <f t="shared" si="15"/>
        <v>742937</v>
      </c>
      <c r="J30" s="1289"/>
      <c r="K30" s="160">
        <v>0.7</v>
      </c>
      <c r="L30" s="161">
        <f>ROUND(K30*$F$30,0)</f>
        <v>706885</v>
      </c>
      <c r="M30" s="162">
        <f>L30/$H$30</f>
        <v>1</v>
      </c>
      <c r="N30" s="163">
        <v>0</v>
      </c>
      <c r="O30" s="164">
        <f>ROUND(N30*$F$30,0)</f>
        <v>0</v>
      </c>
      <c r="P30" s="165">
        <f>O30/$H$30</f>
        <v>0</v>
      </c>
      <c r="Q30" s="163">
        <v>0</v>
      </c>
      <c r="R30" s="164">
        <f>ROUND(Q30*$F$30,0)</f>
        <v>0</v>
      </c>
      <c r="S30" s="165">
        <f>R30/$H$30</f>
        <v>0</v>
      </c>
      <c r="T30" s="163">
        <v>0</v>
      </c>
      <c r="U30" s="164">
        <f t="shared" si="16"/>
        <v>0</v>
      </c>
      <c r="V30" s="863">
        <f t="shared" ref="V30" si="17">+U30/I30</f>
        <v>0</v>
      </c>
      <c r="W30" s="163">
        <v>0</v>
      </c>
      <c r="X30" s="164">
        <f>ROUND(W30*G30,0)</f>
        <v>0</v>
      </c>
      <c r="Y30" s="1097">
        <f t="shared" si="6"/>
        <v>0</v>
      </c>
      <c r="Z30" s="163">
        <f t="shared" si="4"/>
        <v>0.7</v>
      </c>
      <c r="AA30" s="164">
        <f t="shared" si="5"/>
        <v>706885</v>
      </c>
      <c r="AB30" s="165">
        <f>AA30/H30</f>
        <v>1</v>
      </c>
    </row>
    <row r="31" spans="1:28" x14ac:dyDescent="0.3">
      <c r="A31" s="1289"/>
      <c r="B31" s="1289"/>
      <c r="C31" s="39"/>
      <c r="D31" s="39" t="s">
        <v>126</v>
      </c>
      <c r="E31" s="40"/>
      <c r="F31" s="41"/>
      <c r="G31" s="41"/>
      <c r="H31" s="42">
        <f>SUM(H29:H30)</f>
        <v>706885</v>
      </c>
      <c r="I31" s="42">
        <f>SUM(I29:I30)</f>
        <v>742937</v>
      </c>
      <c r="J31" s="1289"/>
      <c r="K31" s="200"/>
      <c r="L31" s="177">
        <f>SUM(L29:L30)</f>
        <v>706885</v>
      </c>
      <c r="M31" s="178">
        <f>L31/$H$31</f>
        <v>1</v>
      </c>
      <c r="N31" s="200"/>
      <c r="O31" s="289">
        <f>SUM(O29:O30)</f>
        <v>0</v>
      </c>
      <c r="P31" s="178">
        <f>O31/$H$31</f>
        <v>0</v>
      </c>
      <c r="Q31" s="306"/>
      <c r="R31" s="307">
        <f>SUM(R29:R30)</f>
        <v>0</v>
      </c>
      <c r="S31" s="308">
        <f>R31/$H$31</f>
        <v>0</v>
      </c>
      <c r="T31" s="428"/>
      <c r="U31" s="307">
        <f>SUM(U29:U30)</f>
        <v>0</v>
      </c>
      <c r="V31" s="431">
        <f>U31/$H$31</f>
        <v>0</v>
      </c>
      <c r="W31" s="428"/>
      <c r="X31" s="307">
        <f>SUM(X29:X30)</f>
        <v>0</v>
      </c>
      <c r="Y31" s="1098">
        <f t="shared" si="6"/>
        <v>0</v>
      </c>
      <c r="Z31" s="1094"/>
      <c r="AA31" s="1085">
        <f t="shared" si="5"/>
        <v>706885</v>
      </c>
      <c r="AB31" s="178">
        <f>AA31/H31</f>
        <v>1</v>
      </c>
    </row>
    <row r="32" spans="1:28" ht="30" customHeight="1" x14ac:dyDescent="0.3">
      <c r="A32" s="1289" t="s">
        <v>442</v>
      </c>
      <c r="B32" s="1289" t="s">
        <v>170</v>
      </c>
      <c r="C32" s="214" t="s">
        <v>83</v>
      </c>
      <c r="D32" s="214" t="s">
        <v>123</v>
      </c>
      <c r="E32" s="31">
        <v>0</v>
      </c>
      <c r="F32" s="32">
        <v>1044658</v>
      </c>
      <c r="G32" s="32">
        <f t="shared" ref="G32:G33" si="18">+ROUND(F32*1.051,0)</f>
        <v>1097936</v>
      </c>
      <c r="H32" s="32">
        <f>ROUND((E32*F32),0)</f>
        <v>0</v>
      </c>
      <c r="I32" s="32">
        <f t="shared" ref="I32" si="19">+ROUND(G32*E32,0)</f>
        <v>0</v>
      </c>
      <c r="J32" s="1477" t="s">
        <v>443</v>
      </c>
      <c r="K32" s="163">
        <v>0</v>
      </c>
      <c r="L32" s="164">
        <f>ROUND(K32*$F$32,0)</f>
        <v>0</v>
      </c>
      <c r="M32" s="165">
        <v>0</v>
      </c>
      <c r="N32" s="163">
        <v>0</v>
      </c>
      <c r="O32" s="164">
        <f>ROUND(N32*$F$32,0)</f>
        <v>0</v>
      </c>
      <c r="P32" s="165">
        <v>0</v>
      </c>
      <c r="Q32" s="163">
        <v>0</v>
      </c>
      <c r="R32" s="164">
        <f>ROUND(Q32*$F$32,0)</f>
        <v>0</v>
      </c>
      <c r="S32" s="165">
        <v>0</v>
      </c>
      <c r="T32" s="163">
        <v>0</v>
      </c>
      <c r="U32" s="164">
        <f t="shared" ref="U32:U33" si="20">ROUND(T32*G32,0)</f>
        <v>0</v>
      </c>
      <c r="V32" s="863">
        <v>0</v>
      </c>
      <c r="W32" s="163">
        <v>0</v>
      </c>
      <c r="X32" s="164">
        <f>ROUND(W32*G32,0)</f>
        <v>0</v>
      </c>
      <c r="Y32" s="1097">
        <v>0</v>
      </c>
      <c r="Z32" s="163">
        <f t="shared" si="4"/>
        <v>0</v>
      </c>
      <c r="AA32" s="164">
        <f t="shared" si="5"/>
        <v>0</v>
      </c>
      <c r="AB32" s="165">
        <v>0</v>
      </c>
    </row>
    <row r="33" spans="1:31" ht="30" customHeight="1" x14ac:dyDescent="0.3">
      <c r="A33" s="1289"/>
      <c r="B33" s="1289"/>
      <c r="C33" s="214" t="s">
        <v>61</v>
      </c>
      <c r="D33" s="214" t="s">
        <v>125</v>
      </c>
      <c r="E33" s="31">
        <v>1.6</v>
      </c>
      <c r="F33" s="32">
        <v>1009836</v>
      </c>
      <c r="G33" s="32">
        <f t="shared" si="18"/>
        <v>1061338</v>
      </c>
      <c r="H33" s="32">
        <f>ROUND((E33*F33),0)</f>
        <v>1615738</v>
      </c>
      <c r="I33" s="32">
        <f>+ROUND(G33*E33,0)</f>
        <v>1698141</v>
      </c>
      <c r="J33" s="1476"/>
      <c r="K33" s="160">
        <v>1.6</v>
      </c>
      <c r="L33" s="161">
        <f>ROUND(K33*$F$33,0)</f>
        <v>1615738</v>
      </c>
      <c r="M33" s="162">
        <f>L33/$H$33</f>
        <v>1</v>
      </c>
      <c r="N33" s="163">
        <v>0</v>
      </c>
      <c r="O33" s="164">
        <f>ROUND(N33*$F$33,0)</f>
        <v>0</v>
      </c>
      <c r="P33" s="165">
        <f>O33/$H$33</f>
        <v>0</v>
      </c>
      <c r="Q33" s="163">
        <v>0</v>
      </c>
      <c r="R33" s="164">
        <f>ROUND(Q33*$F$33,0)</f>
        <v>0</v>
      </c>
      <c r="S33" s="165">
        <f>R33/$H$33</f>
        <v>0</v>
      </c>
      <c r="T33" s="163">
        <v>0</v>
      </c>
      <c r="U33" s="164">
        <f t="shared" si="20"/>
        <v>0</v>
      </c>
      <c r="V33" s="863">
        <f t="shared" ref="V33" si="21">+U33/I33</f>
        <v>0</v>
      </c>
      <c r="W33" s="163">
        <v>0</v>
      </c>
      <c r="X33" s="164">
        <f>ROUND(W33*G33,0)</f>
        <v>0</v>
      </c>
      <c r="Y33" s="1097">
        <f t="shared" si="6"/>
        <v>0</v>
      </c>
      <c r="Z33" s="163">
        <f t="shared" si="4"/>
        <v>1.6</v>
      </c>
      <c r="AA33" s="164">
        <f t="shared" si="5"/>
        <v>1615738</v>
      </c>
      <c r="AB33" s="165">
        <f>AA33/H33</f>
        <v>1</v>
      </c>
    </row>
    <row r="34" spans="1:31" x14ac:dyDescent="0.3">
      <c r="A34" s="1289"/>
      <c r="B34" s="1289"/>
      <c r="C34" s="39"/>
      <c r="D34" s="39" t="s">
        <v>126</v>
      </c>
      <c r="E34" s="41"/>
      <c r="F34" s="41"/>
      <c r="G34" s="41"/>
      <c r="H34" s="42">
        <f>SUM(H32:H33)</f>
        <v>1615738</v>
      </c>
      <c r="I34" s="42">
        <f>SUM(I32:I33)</f>
        <v>1698141</v>
      </c>
      <c r="J34" s="1476"/>
      <c r="K34" s="200"/>
      <c r="L34" s="177">
        <f>SUM(L32:L33)</f>
        <v>1615738</v>
      </c>
      <c r="M34" s="178">
        <f>L34/$H$34</f>
        <v>1</v>
      </c>
      <c r="N34" s="200"/>
      <c r="O34" s="289">
        <f>SUM(O32:O33)</f>
        <v>0</v>
      </c>
      <c r="P34" s="178">
        <f>O34/$H$34</f>
        <v>0</v>
      </c>
      <c r="Q34" s="306"/>
      <c r="R34" s="307">
        <f>SUM(R32:R33)</f>
        <v>0</v>
      </c>
      <c r="S34" s="308">
        <f>R34/$H$34</f>
        <v>0</v>
      </c>
      <c r="T34" s="428"/>
      <c r="U34" s="307">
        <f>SUM(U32:U33)</f>
        <v>0</v>
      </c>
      <c r="V34" s="431">
        <f>U34/$H$34</f>
        <v>0</v>
      </c>
      <c r="W34" s="428"/>
      <c r="X34" s="307">
        <f>SUM(X32:X33)</f>
        <v>0</v>
      </c>
      <c r="Y34" s="1098">
        <f t="shared" si="6"/>
        <v>0</v>
      </c>
      <c r="Z34" s="1096"/>
      <c r="AA34" s="1085">
        <f t="shared" si="5"/>
        <v>1615738</v>
      </c>
      <c r="AB34" s="178">
        <f>AA34/H34</f>
        <v>1</v>
      </c>
    </row>
    <row r="35" spans="1:31" x14ac:dyDescent="0.3">
      <c r="F35" s="151" t="s">
        <v>64</v>
      </c>
      <c r="G35" s="151"/>
      <c r="H35" s="181">
        <f>SUM(H12:H34)/2</f>
        <v>19855477</v>
      </c>
      <c r="I35" s="181">
        <f>SUM(I12:I34)/2</f>
        <v>20868120</v>
      </c>
      <c r="K35" s="151" t="s">
        <v>64</v>
      </c>
      <c r="L35" s="181">
        <f>SUM(L12:L34)/2</f>
        <v>3821707</v>
      </c>
      <c r="M35" s="131">
        <f>L35/$H$35</f>
        <v>0.19247621197919346</v>
      </c>
      <c r="N35" s="151" t="s">
        <v>64</v>
      </c>
      <c r="O35" s="181">
        <f>SUM(O12:O34)/2</f>
        <v>3426482</v>
      </c>
      <c r="P35" s="131">
        <f>O35/$H$35</f>
        <v>0.17257112483371717</v>
      </c>
      <c r="Q35" s="151" t="s">
        <v>64</v>
      </c>
      <c r="R35" s="181">
        <f>SUM(R12:R34)/2</f>
        <v>4387564</v>
      </c>
      <c r="S35" s="131">
        <f>R35/$H$35</f>
        <v>0.22097499848530458</v>
      </c>
      <c r="T35" s="480" t="s">
        <v>64</v>
      </c>
      <c r="U35" s="481">
        <f>SUM(U12:U34)/2</f>
        <v>1383399</v>
      </c>
      <c r="V35" s="131">
        <f>U39/$H$35</f>
        <v>7.0718522652465116E-2</v>
      </c>
      <c r="W35" s="480" t="s">
        <v>64</v>
      </c>
      <c r="X35" s="481">
        <f>SUM(X14:X34)/2</f>
        <v>0</v>
      </c>
      <c r="Y35" s="131">
        <f>X35/$H$35</f>
        <v>0</v>
      </c>
      <c r="Z35" s="480" t="s">
        <v>64</v>
      </c>
      <c r="AA35" s="481">
        <f>SUM(AA12:AA34)/2</f>
        <v>13019152</v>
      </c>
      <c r="AB35" s="131">
        <f>AA35/H35</f>
        <v>0.6556957558863985</v>
      </c>
    </row>
    <row r="36" spans="1:31" x14ac:dyDescent="0.3">
      <c r="F36" s="153" t="s">
        <v>65</v>
      </c>
      <c r="G36" s="816"/>
      <c r="H36" s="182">
        <v>0</v>
      </c>
      <c r="I36" s="182">
        <v>0</v>
      </c>
      <c r="K36" s="153" t="s">
        <v>65</v>
      </c>
      <c r="L36" s="182">
        <v>0</v>
      </c>
      <c r="M36" s="189"/>
      <c r="N36" s="153" t="s">
        <v>65</v>
      </c>
      <c r="O36" s="182">
        <v>0</v>
      </c>
      <c r="P36" s="189"/>
      <c r="Q36" s="153" t="s">
        <v>65</v>
      </c>
      <c r="R36" s="182">
        <v>0</v>
      </c>
      <c r="S36" s="189"/>
      <c r="T36" s="482" t="s">
        <v>65</v>
      </c>
      <c r="U36" s="483">
        <v>0</v>
      </c>
      <c r="V36" s="189"/>
      <c r="W36" s="482" t="s">
        <v>65</v>
      </c>
      <c r="X36" s="483">
        <v>0</v>
      </c>
      <c r="Y36" s="1055"/>
      <c r="Z36" s="482" t="s">
        <v>65</v>
      </c>
      <c r="AA36" s="483">
        <v>0</v>
      </c>
      <c r="AB36" s="189"/>
    </row>
    <row r="37" spans="1:31" x14ac:dyDescent="0.3">
      <c r="F37" s="152" t="s">
        <v>64</v>
      </c>
      <c r="G37" s="817"/>
      <c r="H37" s="182">
        <f>+H35+H36</f>
        <v>19855477</v>
      </c>
      <c r="I37" s="182">
        <f>+I35+I36</f>
        <v>20868120</v>
      </c>
      <c r="K37" s="152" t="s">
        <v>64</v>
      </c>
      <c r="L37" s="182">
        <f>+L35+L36</f>
        <v>3821707</v>
      </c>
      <c r="M37" s="189"/>
      <c r="N37" s="152" t="s">
        <v>64</v>
      </c>
      <c r="O37" s="182">
        <f>+O35+O36</f>
        <v>3426482</v>
      </c>
      <c r="P37" s="189"/>
      <c r="Q37" s="152" t="s">
        <v>64</v>
      </c>
      <c r="R37" s="182">
        <f>+R35+R36</f>
        <v>4387564</v>
      </c>
      <c r="S37" s="189"/>
      <c r="T37" s="484" t="s">
        <v>64</v>
      </c>
      <c r="U37" s="483">
        <f>+U35+U36</f>
        <v>1383399</v>
      </c>
      <c r="V37" s="189"/>
      <c r="W37" s="484" t="s">
        <v>64</v>
      </c>
      <c r="X37" s="483">
        <f>+X35+X36</f>
        <v>0</v>
      </c>
      <c r="Y37" s="1055"/>
      <c r="Z37" s="484" t="s">
        <v>64</v>
      </c>
      <c r="AA37" s="483">
        <f>+AA35+AA36</f>
        <v>13019152</v>
      </c>
      <c r="AB37" s="189"/>
    </row>
    <row r="38" spans="1:31" s="302" customFormat="1" ht="26.4" x14ac:dyDescent="0.3">
      <c r="F38" s="152"/>
      <c r="G38" s="817"/>
      <c r="H38" s="182"/>
      <c r="I38" s="182"/>
      <c r="K38" s="152"/>
      <c r="L38" s="182"/>
      <c r="M38" s="189"/>
      <c r="N38" s="152"/>
      <c r="O38" s="182"/>
      <c r="P38" s="189"/>
      <c r="Q38" s="152"/>
      <c r="R38" s="182"/>
      <c r="S38" s="189"/>
      <c r="T38" s="484" t="s">
        <v>1439</v>
      </c>
      <c r="U38" s="483">
        <f>ROUND(U37*0.015,0)</f>
        <v>20751</v>
      </c>
      <c r="V38" s="189"/>
      <c r="W38" s="484" t="s">
        <v>1439</v>
      </c>
      <c r="X38" s="483">
        <f>ROUND(X37*0.015,0)</f>
        <v>0</v>
      </c>
      <c r="Y38" s="1055"/>
      <c r="Z38" s="484" t="s">
        <v>1439</v>
      </c>
      <c r="AA38" s="483">
        <f>L38+O38+R38+U38+X38</f>
        <v>20751</v>
      </c>
      <c r="AB38" s="189"/>
    </row>
    <row r="39" spans="1:31" s="302" customFormat="1" ht="26.4" x14ac:dyDescent="0.3">
      <c r="F39" s="152"/>
      <c r="G39" s="817"/>
      <c r="H39" s="182"/>
      <c r="I39" s="182"/>
      <c r="K39" s="152"/>
      <c r="L39" s="182"/>
      <c r="M39" s="189"/>
      <c r="N39" s="152"/>
      <c r="O39" s="182"/>
      <c r="P39" s="189"/>
      <c r="Q39" s="152"/>
      <c r="R39" s="182"/>
      <c r="S39" s="189"/>
      <c r="T39" s="152" t="s">
        <v>1440</v>
      </c>
      <c r="U39" s="182">
        <f>U37+U38</f>
        <v>1404150</v>
      </c>
      <c r="V39" s="189"/>
      <c r="W39" s="152" t="s">
        <v>1440</v>
      </c>
      <c r="X39" s="182">
        <f>X37+X38</f>
        <v>0</v>
      </c>
      <c r="Y39" s="1055"/>
      <c r="Z39" s="152" t="s">
        <v>1440</v>
      </c>
      <c r="AA39" s="182">
        <f>AA37+AA38</f>
        <v>13039903</v>
      </c>
      <c r="AB39" s="189"/>
    </row>
    <row r="40" spans="1:31" x14ac:dyDescent="0.3">
      <c r="F40" s="154" t="s">
        <v>66</v>
      </c>
      <c r="G40" s="818"/>
      <c r="H40" s="182">
        <f>+H37*19%</f>
        <v>3772540.63</v>
      </c>
      <c r="I40" s="182">
        <f>+I37*19%</f>
        <v>3964942.8</v>
      </c>
      <c r="K40" s="154" t="s">
        <v>66</v>
      </c>
      <c r="L40" s="182">
        <f>+L37*19%</f>
        <v>726124.33</v>
      </c>
      <c r="M40" s="189"/>
      <c r="N40" s="154" t="s">
        <v>66</v>
      </c>
      <c r="O40" s="182">
        <f>+O37*19%</f>
        <v>651031.57999999996</v>
      </c>
      <c r="P40" s="189"/>
      <c r="Q40" s="154" t="s">
        <v>66</v>
      </c>
      <c r="R40" s="182">
        <f>+R37*19%</f>
        <v>833637.16</v>
      </c>
      <c r="S40" s="189"/>
      <c r="T40" s="485" t="s">
        <v>66</v>
      </c>
      <c r="U40" s="483">
        <f>ROUND(U39*0.19,0)</f>
        <v>266789</v>
      </c>
      <c r="V40" s="189"/>
      <c r="W40" s="485" t="s">
        <v>66</v>
      </c>
      <c r="X40" s="483">
        <f>ROUND(X39*0.19,0)</f>
        <v>0</v>
      </c>
      <c r="Y40" s="1055"/>
      <c r="Z40" s="485" t="s">
        <v>66</v>
      </c>
      <c r="AA40" s="483">
        <f>ROUND(AA39*0.19,0)</f>
        <v>2477582</v>
      </c>
      <c r="AB40" s="189"/>
    </row>
    <row r="41" spans="1:31" x14ac:dyDescent="0.3">
      <c r="F41" s="155" t="s">
        <v>69</v>
      </c>
      <c r="G41" s="155"/>
      <c r="H41" s="181">
        <f>+H37+H40</f>
        <v>23628017.629999999</v>
      </c>
      <c r="I41" s="181">
        <f>+I37+I40</f>
        <v>24833062.800000001</v>
      </c>
      <c r="K41" s="155" t="s">
        <v>69</v>
      </c>
      <c r="L41" s="181">
        <f>+L37+L40</f>
        <v>4547831.33</v>
      </c>
      <c r="M41" s="189"/>
      <c r="N41" s="155" t="s">
        <v>69</v>
      </c>
      <c r="O41" s="181">
        <f>+O37+O40</f>
        <v>4077513.58</v>
      </c>
      <c r="P41" s="189"/>
      <c r="Q41" s="155" t="s">
        <v>69</v>
      </c>
      <c r="R41" s="181">
        <f>+R37+R40</f>
        <v>5221201.16</v>
      </c>
      <c r="S41" s="189"/>
      <c r="T41" s="545" t="s">
        <v>69</v>
      </c>
      <c r="U41" s="481">
        <f>U39+U40</f>
        <v>1670939</v>
      </c>
      <c r="V41" s="189"/>
      <c r="W41" s="545" t="s">
        <v>69</v>
      </c>
      <c r="X41" s="481">
        <f>X39+X40</f>
        <v>0</v>
      </c>
      <c r="Y41" s="1055"/>
      <c r="Z41" s="545" t="s">
        <v>69</v>
      </c>
      <c r="AA41" s="481">
        <f>AA39+AA40</f>
        <v>15517485</v>
      </c>
      <c r="AB41" s="189"/>
    </row>
    <row r="45" spans="1:31" x14ac:dyDescent="0.3">
      <c r="A45" s="183" t="s">
        <v>67</v>
      </c>
      <c r="B45" s="184"/>
      <c r="C45" s="184"/>
      <c r="D45" s="185" t="s">
        <v>68</v>
      </c>
      <c r="K45" s="186" t="s">
        <v>70</v>
      </c>
      <c r="L45" s="187" t="s">
        <v>71</v>
      </c>
      <c r="M45" s="186" t="s">
        <v>58</v>
      </c>
      <c r="N45" s="186" t="s">
        <v>70</v>
      </c>
      <c r="O45" s="187" t="s">
        <v>71</v>
      </c>
      <c r="P45" s="186" t="s">
        <v>58</v>
      </c>
      <c r="Q45" s="186" t="s">
        <v>70</v>
      </c>
      <c r="R45" s="187" t="s">
        <v>71</v>
      </c>
      <c r="S45" s="186" t="s">
        <v>58</v>
      </c>
      <c r="T45" s="186" t="s">
        <v>70</v>
      </c>
      <c r="U45" s="187" t="s">
        <v>71</v>
      </c>
      <c r="V45" s="186" t="s">
        <v>58</v>
      </c>
      <c r="W45" s="186" t="s">
        <v>70</v>
      </c>
      <c r="X45" s="187" t="s">
        <v>71</v>
      </c>
      <c r="Y45" s="186" t="s">
        <v>58</v>
      </c>
      <c r="AC45" s="189"/>
      <c r="AD45" s="189"/>
      <c r="AE45" s="189"/>
    </row>
    <row r="46" spans="1:31" x14ac:dyDescent="0.3">
      <c r="A46" s="183"/>
      <c r="B46" s="184"/>
      <c r="C46" s="184"/>
      <c r="D46" s="185"/>
      <c r="K46" s="203" t="s">
        <v>72</v>
      </c>
      <c r="L46" s="204">
        <f>$L$37</f>
        <v>3821707</v>
      </c>
      <c r="M46" s="205">
        <f>$M$35</f>
        <v>0.19247621197919346</v>
      </c>
      <c r="N46" s="203" t="s">
        <v>72</v>
      </c>
      <c r="O46" s="204">
        <f>$L$35</f>
        <v>3821707</v>
      </c>
      <c r="P46" s="205">
        <f>$M$35</f>
        <v>0.19247621197919346</v>
      </c>
      <c r="Q46" s="203" t="s">
        <v>72</v>
      </c>
      <c r="R46" s="204">
        <f>$L$35</f>
        <v>3821707</v>
      </c>
      <c r="S46" s="205">
        <f>$M$35</f>
        <v>0.19247621197919346</v>
      </c>
      <c r="T46" s="203" t="s">
        <v>72</v>
      </c>
      <c r="U46" s="204">
        <f>$L$35</f>
        <v>3821707</v>
      </c>
      <c r="V46" s="205">
        <f>$M$35</f>
        <v>0.19247621197919346</v>
      </c>
      <c r="W46" s="203" t="s">
        <v>72</v>
      </c>
      <c r="X46" s="204">
        <f>$L$35</f>
        <v>3821707</v>
      </c>
      <c r="Y46" s="205">
        <f>$M$35</f>
        <v>0.19247621197919346</v>
      </c>
      <c r="AC46" s="189"/>
      <c r="AD46" s="189"/>
      <c r="AE46" s="189"/>
    </row>
    <row r="47" spans="1:31" x14ac:dyDescent="0.3">
      <c r="A47" s="183"/>
      <c r="B47" s="184"/>
      <c r="C47" s="184"/>
      <c r="D47" s="185"/>
      <c r="K47" s="203"/>
      <c r="L47" s="204"/>
      <c r="M47" s="205"/>
      <c r="N47" s="203" t="s">
        <v>73</v>
      </c>
      <c r="O47" s="204">
        <f>$O$35</f>
        <v>3426482</v>
      </c>
      <c r="P47" s="205">
        <f>$P$35</f>
        <v>0.17257112483371717</v>
      </c>
      <c r="Q47" s="203" t="s">
        <v>73</v>
      </c>
      <c r="R47" s="204">
        <f>$O$35</f>
        <v>3426482</v>
      </c>
      <c r="S47" s="205">
        <f>$P$35</f>
        <v>0.17257112483371717</v>
      </c>
      <c r="T47" s="203" t="s">
        <v>73</v>
      </c>
      <c r="U47" s="204">
        <f>$O$35</f>
        <v>3426482</v>
      </c>
      <c r="V47" s="205">
        <f>$P$35</f>
        <v>0.17257112483371717</v>
      </c>
      <c r="W47" s="203" t="s">
        <v>73</v>
      </c>
      <c r="X47" s="204">
        <f>$O$35</f>
        <v>3426482</v>
      </c>
      <c r="Y47" s="205">
        <f>$P$35</f>
        <v>0.17257112483371717</v>
      </c>
      <c r="AC47" s="189"/>
      <c r="AD47" s="189"/>
      <c r="AE47" s="189"/>
    </row>
    <row r="48" spans="1:31" s="302" customFormat="1" x14ac:dyDescent="0.3">
      <c r="A48" s="183"/>
      <c r="B48" s="184"/>
      <c r="C48" s="184"/>
      <c r="D48" s="185"/>
      <c r="G48" s="795"/>
      <c r="I48" s="795"/>
      <c r="K48" s="203"/>
      <c r="L48" s="204"/>
      <c r="M48" s="205"/>
      <c r="N48" s="203"/>
      <c r="O48" s="204"/>
      <c r="P48" s="205"/>
      <c r="Q48" s="203" t="s">
        <v>74</v>
      </c>
      <c r="R48" s="204">
        <f>$R$35</f>
        <v>4387564</v>
      </c>
      <c r="S48" s="205">
        <f>$S$35</f>
        <v>0.22097499848530458</v>
      </c>
      <c r="T48" s="203" t="s">
        <v>74</v>
      </c>
      <c r="U48" s="204">
        <f>$R$35</f>
        <v>4387564</v>
      </c>
      <c r="V48" s="205">
        <f>$S$35</f>
        <v>0.22097499848530458</v>
      </c>
      <c r="W48" s="203" t="s">
        <v>74</v>
      </c>
      <c r="X48" s="204">
        <f>$R$35</f>
        <v>4387564</v>
      </c>
      <c r="Y48" s="205">
        <f>$S$35</f>
        <v>0.22097499848530458</v>
      </c>
      <c r="AC48" s="189"/>
      <c r="AD48" s="189"/>
      <c r="AE48" s="189"/>
    </row>
    <row r="49" spans="1:31" s="302" customFormat="1" x14ac:dyDescent="0.3">
      <c r="A49" s="183"/>
      <c r="B49" s="184"/>
      <c r="C49" s="184"/>
      <c r="D49" s="185"/>
      <c r="G49" s="795"/>
      <c r="I49" s="795"/>
      <c r="K49" s="203"/>
      <c r="L49" s="204"/>
      <c r="M49" s="205"/>
      <c r="N49" s="203"/>
      <c r="O49" s="204"/>
      <c r="P49" s="205"/>
      <c r="Q49" s="203"/>
      <c r="R49" s="204"/>
      <c r="S49" s="205"/>
      <c r="T49" s="203" t="s">
        <v>155</v>
      </c>
      <c r="U49" s="204">
        <f>$U$39</f>
        <v>1404150</v>
      </c>
      <c r="V49" s="205">
        <f>$V$35</f>
        <v>7.0718522652465116E-2</v>
      </c>
      <c r="W49" s="203" t="s">
        <v>155</v>
      </c>
      <c r="X49" s="204">
        <f>$U$39</f>
        <v>1404150</v>
      </c>
      <c r="Y49" s="205">
        <f>$V$35</f>
        <v>7.0718522652465116E-2</v>
      </c>
      <c r="AC49" s="189"/>
      <c r="AD49" s="189"/>
      <c r="AE49" s="189"/>
    </row>
    <row r="50" spans="1:31" s="795" customFormat="1" x14ac:dyDescent="0.3">
      <c r="A50" s="183"/>
      <c r="B50" s="184"/>
      <c r="C50" s="184"/>
      <c r="D50" s="185"/>
      <c r="K50" s="203"/>
      <c r="L50" s="204"/>
      <c r="M50" s="205"/>
      <c r="N50" s="203"/>
      <c r="O50" s="204"/>
      <c r="P50" s="205"/>
      <c r="Q50" s="203"/>
      <c r="R50" s="204"/>
      <c r="S50" s="205"/>
      <c r="T50" s="203"/>
      <c r="U50" s="204"/>
      <c r="V50" s="205"/>
      <c r="W50" s="203" t="s">
        <v>352</v>
      </c>
      <c r="X50" s="204">
        <f>+X39</f>
        <v>0</v>
      </c>
      <c r="Y50" s="205">
        <f>+Y35</f>
        <v>0</v>
      </c>
      <c r="AC50" s="796"/>
      <c r="AD50" s="796"/>
      <c r="AE50" s="796"/>
    </row>
    <row r="51" spans="1:31" x14ac:dyDescent="0.3">
      <c r="A51" s="183"/>
      <c r="B51" s="184"/>
      <c r="C51" s="184"/>
      <c r="D51" s="185"/>
      <c r="K51" s="206" t="s">
        <v>1</v>
      </c>
      <c r="L51" s="207">
        <f>SUM(L46)</f>
        <v>3821707</v>
      </c>
      <c r="M51" s="208">
        <f>SUM(M46:M46)</f>
        <v>0.19247621197919346</v>
      </c>
      <c r="N51" s="206" t="s">
        <v>1</v>
      </c>
      <c r="O51" s="207">
        <f>SUM(O46:O47)</f>
        <v>7248189</v>
      </c>
      <c r="P51" s="208">
        <f>SUM(P46:P47)</f>
        <v>0.36504733681291063</v>
      </c>
      <c r="Q51" s="206" t="s">
        <v>1</v>
      </c>
      <c r="R51" s="207">
        <f>SUM(R46:R48)</f>
        <v>11635753</v>
      </c>
      <c r="S51" s="208">
        <f>SUM(S46:S48)</f>
        <v>0.58602233529821524</v>
      </c>
      <c r="T51" s="206" t="s">
        <v>1</v>
      </c>
      <c r="U51" s="207">
        <f>SUM(U46:U50)</f>
        <v>13039903</v>
      </c>
      <c r="V51" s="208">
        <f>SUM(V46:V50)</f>
        <v>0.65674085795068038</v>
      </c>
      <c r="W51" s="206" t="s">
        <v>1</v>
      </c>
      <c r="X51" s="207">
        <f>SUM(X46:X50)</f>
        <v>13039903</v>
      </c>
      <c r="Y51" s="208">
        <f>SUM(Y46:Y50)</f>
        <v>0.65674085795068038</v>
      </c>
      <c r="AC51" s="189"/>
      <c r="AD51" s="189"/>
      <c r="AE51" s="189"/>
    </row>
    <row r="52" spans="1:31" x14ac:dyDescent="0.3">
      <c r="A52" s="183"/>
      <c r="B52" s="184"/>
      <c r="C52" s="184"/>
      <c r="D52" s="185"/>
      <c r="K52" s="206" t="s">
        <v>9</v>
      </c>
      <c r="L52" s="1285"/>
      <c r="M52" s="1286"/>
      <c r="N52" s="206" t="s">
        <v>9</v>
      </c>
      <c r="O52" s="1285"/>
      <c r="P52" s="1286"/>
      <c r="Q52" s="206" t="s">
        <v>9</v>
      </c>
      <c r="R52" s="1285"/>
      <c r="S52" s="1286"/>
      <c r="T52" s="206" t="s">
        <v>9</v>
      </c>
      <c r="U52" s="1285"/>
      <c r="V52" s="1286"/>
      <c r="W52" s="206" t="s">
        <v>9</v>
      </c>
      <c r="X52" s="1285"/>
      <c r="Y52" s="1286"/>
      <c r="AC52" s="189"/>
      <c r="AD52" s="189"/>
      <c r="AE52" s="189"/>
    </row>
    <row r="53" spans="1:31" x14ac:dyDescent="0.3">
      <c r="A53" s="183"/>
      <c r="B53" s="184"/>
      <c r="C53" s="184"/>
      <c r="D53" s="185"/>
      <c r="K53" s="156" t="s">
        <v>78</v>
      </c>
      <c r="L53" s="1285" t="s">
        <v>666</v>
      </c>
      <c r="M53" s="1286"/>
      <c r="N53" s="156" t="s">
        <v>78</v>
      </c>
      <c r="O53" s="1285" t="s">
        <v>666</v>
      </c>
      <c r="P53" s="1286"/>
      <c r="Q53" s="156" t="s">
        <v>78</v>
      </c>
      <c r="R53" s="1285" t="s">
        <v>666</v>
      </c>
      <c r="S53" s="1286"/>
      <c r="T53" s="156" t="s">
        <v>78</v>
      </c>
      <c r="U53" s="1285" t="s">
        <v>2296</v>
      </c>
      <c r="V53" s="1286"/>
      <c r="W53" s="156" t="s">
        <v>78</v>
      </c>
      <c r="X53" s="1285" t="s">
        <v>2296</v>
      </c>
      <c r="Y53" s="1286"/>
      <c r="AC53" s="189"/>
      <c r="AD53" s="189"/>
      <c r="AE53" s="189"/>
    </row>
    <row r="54" spans="1:31" x14ac:dyDescent="0.3">
      <c r="A54" s="183"/>
      <c r="B54" s="184"/>
      <c r="C54" s="184"/>
      <c r="D54" s="185"/>
      <c r="K54" s="157" t="s">
        <v>8</v>
      </c>
      <c r="L54" s="1287" t="s">
        <v>667</v>
      </c>
      <c r="M54" s="1288"/>
      <c r="N54" s="157" t="s">
        <v>8</v>
      </c>
      <c r="O54" s="1287" t="s">
        <v>667</v>
      </c>
      <c r="P54" s="1288"/>
      <c r="Q54" s="157" t="s">
        <v>8</v>
      </c>
      <c r="R54" s="1287" t="s">
        <v>667</v>
      </c>
      <c r="S54" s="1288"/>
      <c r="T54" s="157" t="s">
        <v>8</v>
      </c>
      <c r="U54" s="1287" t="s">
        <v>2297</v>
      </c>
      <c r="V54" s="1288"/>
      <c r="W54" s="157" t="s">
        <v>8</v>
      </c>
      <c r="X54" s="1287" t="s">
        <v>2297</v>
      </c>
      <c r="Y54" s="1288"/>
      <c r="AC54" s="189"/>
      <c r="AD54" s="189"/>
      <c r="AE54" s="189"/>
    </row>
    <row r="55" spans="1:31" x14ac:dyDescent="0.3">
      <c r="A55" s="183"/>
      <c r="B55" s="184"/>
      <c r="C55" s="184"/>
      <c r="D55" s="185" t="s">
        <v>75</v>
      </c>
    </row>
    <row r="56" spans="1:31" x14ac:dyDescent="0.3">
      <c r="A56" s="183" t="s">
        <v>76</v>
      </c>
      <c r="B56" s="180"/>
      <c r="C56" s="180"/>
      <c r="D56" s="185" t="s">
        <v>77</v>
      </c>
    </row>
    <row r="57" spans="1:31" x14ac:dyDescent="0.3">
      <c r="A57" s="183" t="s">
        <v>79</v>
      </c>
      <c r="B57" s="180"/>
      <c r="C57" s="180"/>
      <c r="D57" s="185" t="s">
        <v>80</v>
      </c>
    </row>
  </sheetData>
  <mergeCells count="55">
    <mergeCell ref="U52:V52"/>
    <mergeCell ref="U53:V53"/>
    <mergeCell ref="U54:V54"/>
    <mergeCell ref="C1:V2"/>
    <mergeCell ref="A10:AB10"/>
    <mergeCell ref="B11:J11"/>
    <mergeCell ref="K11:M12"/>
    <mergeCell ref="Z11:AB12"/>
    <mergeCell ref="B12:J12"/>
    <mergeCell ref="N11:P12"/>
    <mergeCell ref="T11:V12"/>
    <mergeCell ref="R52:S52"/>
    <mergeCell ref="O53:P53"/>
    <mergeCell ref="J14:J17"/>
    <mergeCell ref="R53:S53"/>
    <mergeCell ref="R54:S54"/>
    <mergeCell ref="A23:A24"/>
    <mergeCell ref="O54:P54"/>
    <mergeCell ref="L54:M54"/>
    <mergeCell ref="L52:M52"/>
    <mergeCell ref="L53:M53"/>
    <mergeCell ref="J29:J31"/>
    <mergeCell ref="O52:P52"/>
    <mergeCell ref="A18:A20"/>
    <mergeCell ref="Q11:S12"/>
    <mergeCell ref="W11:Y12"/>
    <mergeCell ref="A32:A34"/>
    <mergeCell ref="J32:J34"/>
    <mergeCell ref="A29:A31"/>
    <mergeCell ref="B29:B31"/>
    <mergeCell ref="B25:B28"/>
    <mergeCell ref="J25:J28"/>
    <mergeCell ref="B32:B34"/>
    <mergeCell ref="A25:A28"/>
    <mergeCell ref="A21:A22"/>
    <mergeCell ref="B21:B22"/>
    <mergeCell ref="J21:J22"/>
    <mergeCell ref="B23:B24"/>
    <mergeCell ref="J23:J24"/>
    <mergeCell ref="X52:Y52"/>
    <mergeCell ref="X53:Y53"/>
    <mergeCell ref="X54:Y54"/>
    <mergeCell ref="Z1:AB1"/>
    <mergeCell ref="Z2:AB2"/>
    <mergeCell ref="A3:AB3"/>
    <mergeCell ref="A4:AB4"/>
    <mergeCell ref="B18:B20"/>
    <mergeCell ref="J18:J20"/>
    <mergeCell ref="A7:AB7"/>
    <mergeCell ref="A8:AB8"/>
    <mergeCell ref="A9:AB9"/>
    <mergeCell ref="A5:AB5"/>
    <mergeCell ref="A6:AB6"/>
    <mergeCell ref="A14:A17"/>
    <mergeCell ref="B14:B17"/>
  </mergeCells>
  <pageMargins left="0.7" right="0.7" top="0.75" bottom="0.75" header="0.3" footer="0.3"/>
  <pageSetup scale="36" orientation="landscape"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6">
    <tabColor theme="1"/>
  </sheetPr>
  <dimension ref="A1:G49"/>
  <sheetViews>
    <sheetView topLeftCell="A13" zoomScaleNormal="100" workbookViewId="0">
      <selection activeCell="F31" sqref="F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RESUMEN!G43</f>
        <v>Proyecto: LT DO GU Remplazo estructura 453 por distancias de seguridad y remplazo estructura terminal 578 por estabilidad</v>
      </c>
      <c r="C5" s="1281"/>
      <c r="D5" s="1281"/>
      <c r="E5" s="1281"/>
      <c r="F5" s="1281"/>
      <c r="G5" s="1282"/>
    </row>
    <row r="6" spans="1:7" x14ac:dyDescent="0.25">
      <c r="A6" s="1177"/>
      <c r="B6" s="1177"/>
      <c r="C6" s="1177"/>
      <c r="D6" s="1177"/>
      <c r="E6" s="1177"/>
      <c r="F6" s="1177"/>
      <c r="G6" s="1177"/>
    </row>
    <row r="7" spans="1:7" x14ac:dyDescent="0.25">
      <c r="A7" s="271" t="s">
        <v>0</v>
      </c>
      <c r="B7" s="1264" t="str">
        <f>RESUMEN!B43</f>
        <v>D00234839</v>
      </c>
      <c r="C7" s="1265"/>
      <c r="D7" s="1177"/>
      <c r="E7" s="1266" t="s">
        <v>627</v>
      </c>
      <c r="F7" s="1267"/>
      <c r="G7" s="280" t="str">
        <f>RESUMEN!E43</f>
        <v>17-225</v>
      </c>
    </row>
    <row r="8" spans="1:7" x14ac:dyDescent="0.25">
      <c r="A8" s="271" t="s">
        <v>628</v>
      </c>
      <c r="B8" s="1264">
        <f>RESUMEN!C43</f>
        <v>1620900020</v>
      </c>
      <c r="C8" s="1265"/>
      <c r="D8" s="1177"/>
      <c r="E8" s="1266" t="s">
        <v>629</v>
      </c>
      <c r="F8" s="1267"/>
      <c r="G8" s="280" t="str">
        <f>RESUMEN!U43</f>
        <v>Acta N° 5: Marzo</v>
      </c>
    </row>
    <row r="9" spans="1:7" x14ac:dyDescent="0.25">
      <c r="A9" s="271" t="s">
        <v>630</v>
      </c>
      <c r="B9" s="1283" t="s">
        <v>631</v>
      </c>
      <c r="C9" s="1265"/>
      <c r="D9" s="1177"/>
      <c r="E9" s="1266" t="s">
        <v>632</v>
      </c>
      <c r="F9" s="1267"/>
      <c r="G9" s="1178">
        <f>RESUMEN!H43</f>
        <v>24562704.119999997</v>
      </c>
    </row>
    <row r="10" spans="1:7" x14ac:dyDescent="0.25">
      <c r="A10" s="271" t="s">
        <v>633</v>
      </c>
      <c r="B10" s="1283" t="str">
        <f>RESUMEN!D43</f>
        <v xml:space="preserve">LT DOR GUA CONEX GUAD </v>
      </c>
      <c r="C10" s="1265"/>
      <c r="D10" s="1177"/>
      <c r="E10" s="1266" t="s">
        <v>634</v>
      </c>
      <c r="F10" s="1267"/>
      <c r="G10" s="1178">
        <f>RESUMEN!R43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LT DO GU Remplazo estructura 453 por distancias de seguridad y remplazo estructura terminal 578 por estabilidad</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RESUMEN!N43</f>
        <v>0</v>
      </c>
      <c r="F19" s="1248"/>
      <c r="G19" s="1177"/>
    </row>
    <row r="20" spans="1:7" ht="27" customHeight="1" x14ac:dyDescent="0.25">
      <c r="A20" s="1177"/>
      <c r="B20" s="1244" t="s">
        <v>1498</v>
      </c>
      <c r="C20" s="1245"/>
      <c r="D20" s="1246"/>
      <c r="E20" s="1247">
        <f>RESUMEN!P43</f>
        <v>0</v>
      </c>
      <c r="F20" s="1248"/>
      <c r="G20" s="1177"/>
    </row>
    <row r="21" spans="1:7" ht="27" customHeight="1" x14ac:dyDescent="0.25">
      <c r="A21" s="1177"/>
      <c r="B21" s="1244" t="s">
        <v>1499</v>
      </c>
      <c r="C21" s="1245"/>
      <c r="D21" s="1246"/>
      <c r="E21" s="1247">
        <f>RESUMEN!Q43</f>
        <v>0</v>
      </c>
      <c r="F21" s="1248"/>
      <c r="G21" s="1177"/>
    </row>
    <row r="22" spans="1:7" x14ac:dyDescent="0.25">
      <c r="A22" s="1177"/>
      <c r="B22" s="1254" t="s">
        <v>64</v>
      </c>
      <c r="C22" s="1254"/>
      <c r="D22" s="1254"/>
      <c r="E22" s="1255">
        <f>RESUMEN!R43</f>
        <v>0</v>
      </c>
      <c r="F22" s="1255"/>
      <c r="G22" s="1177"/>
    </row>
    <row r="23" spans="1:7" x14ac:dyDescent="0.25">
      <c r="A23" s="1177"/>
      <c r="B23" s="1256" t="s">
        <v>66</v>
      </c>
      <c r="C23" s="1256"/>
      <c r="D23" s="1256"/>
      <c r="E23" s="1257">
        <f>RESUMEN!S43</f>
        <v>0</v>
      </c>
      <c r="F23" s="1257"/>
      <c r="G23" s="1177"/>
    </row>
    <row r="24" spans="1:7" x14ac:dyDescent="0.25">
      <c r="A24" s="1177"/>
      <c r="B24" s="1258" t="s">
        <v>1</v>
      </c>
      <c r="C24" s="1258"/>
      <c r="D24" s="1258"/>
      <c r="E24" s="1259">
        <f>RESUMEN!T43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+'OT17-225 LT DOR GUA CONEX GUAD '!W47</f>
        <v>ACTA 1</v>
      </c>
      <c r="C28" s="1253">
        <f>+'OT17-225 LT DOR GUA CONEX GUAD '!X47</f>
        <v>2080263.19</v>
      </c>
      <c r="D28" s="1253"/>
      <c r="E28" s="267">
        <f>+'OT17-225 LT DOR GUA CONEX GUAD '!Y47</f>
        <v>8.3732636447252581E-2</v>
      </c>
      <c r="F28" s="1177"/>
      <c r="G28" s="1177"/>
    </row>
    <row r="29" spans="1:7" x14ac:dyDescent="0.25">
      <c r="A29" s="1177"/>
      <c r="B29" s="280" t="str">
        <f>+'OT17-225 LT DOR GUA CONEX GUAD '!W48</f>
        <v>ACTA 2</v>
      </c>
      <c r="C29" s="1253">
        <f>+'OT17-225 LT DOR GUA CONEX GUAD '!X48</f>
        <v>1754596.76</v>
      </c>
      <c r="D29" s="1253"/>
      <c r="E29" s="267">
        <f>+'OT17-225 LT DOR GUA CONEX GUAD '!Y48</f>
        <v>7.0624242799108172E-2</v>
      </c>
      <c r="F29" s="1177"/>
      <c r="G29" s="1177"/>
    </row>
    <row r="30" spans="1:7" x14ac:dyDescent="0.25">
      <c r="A30" s="1177"/>
      <c r="B30" s="280" t="str">
        <f>+'OT17-225 LT DOR GUA CONEX GUAD '!W49</f>
        <v>ACTA 3</v>
      </c>
      <c r="C30" s="1253">
        <f>+'OT17-225 LT DOR GUA CONEX GUAD '!X49</f>
        <v>5368150.4000000004</v>
      </c>
      <c r="D30" s="1253"/>
      <c r="E30" s="267">
        <f>+'OT17-225 LT DOR GUA CONEX GUAD '!Y49</f>
        <v>0.21607332572056595</v>
      </c>
      <c r="F30" s="1177"/>
      <c r="G30" s="1177"/>
    </row>
    <row r="31" spans="1:7" x14ac:dyDescent="0.25">
      <c r="A31" s="1177"/>
      <c r="B31" s="280" t="str">
        <f>+'OT17-225 LT DOR GUA CONEX GUAD '!W50</f>
        <v>ACTA 4</v>
      </c>
      <c r="C31" s="1253">
        <f>+'OT17-225 LT DOR GUA CONEX GUAD '!X50</f>
        <v>15074819.33</v>
      </c>
      <c r="D31" s="1253"/>
      <c r="E31" s="267">
        <f>+'OT17-225 LT DOR GUA CONEX GUAD '!Y50</f>
        <v>0.6067762831812189</v>
      </c>
      <c r="F31" s="1177"/>
      <c r="G31" s="1177"/>
    </row>
    <row r="32" spans="1:7" x14ac:dyDescent="0.25">
      <c r="A32" s="1177"/>
      <c r="B32" s="280" t="str">
        <f>+'OT17-225 LT DOR GUA CONEX GUAD '!W51</f>
        <v>ACTA 5</v>
      </c>
      <c r="C32" s="1253">
        <f>+'OT17-225 LT DOR GUA CONEX GUAD '!X51</f>
        <v>0</v>
      </c>
      <c r="D32" s="1253"/>
      <c r="E32" s="267">
        <f>+'OT17-225 LT DOR GUA CONEX GUAD '!Y51</f>
        <v>0</v>
      </c>
      <c r="F32" s="1177"/>
      <c r="G32" s="1177"/>
    </row>
    <row r="33" spans="1:7" x14ac:dyDescent="0.25">
      <c r="A33" s="1177"/>
      <c r="B33" s="280"/>
      <c r="C33" s="1253"/>
      <c r="D33" s="1253"/>
      <c r="E33" s="267"/>
      <c r="F33" s="1177"/>
      <c r="G33" s="1177"/>
    </row>
    <row r="34" spans="1:7" x14ac:dyDescent="0.25">
      <c r="A34" s="1177"/>
      <c r="B34" s="263" t="s">
        <v>1</v>
      </c>
      <c r="C34" s="1251">
        <f>SUM(C28:D33)</f>
        <v>24277829.68</v>
      </c>
      <c r="D34" s="1251"/>
      <c r="E34" s="264">
        <f>SUM(E28:E33)</f>
        <v>0.97720648814814559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7">
    <tabColor rgb="FF92D050"/>
  </sheetPr>
  <dimension ref="A1:AB58"/>
  <sheetViews>
    <sheetView topLeftCell="A25" zoomScale="70" zoomScaleNormal="70" workbookViewId="0">
      <selection activeCell="C20" sqref="C20"/>
    </sheetView>
  </sheetViews>
  <sheetFormatPr baseColWidth="10" defaultColWidth="11.44140625" defaultRowHeight="14.4" x14ac:dyDescent="0.3"/>
  <cols>
    <col min="1" max="1" width="21.44140625" style="189" customWidth="1"/>
    <col min="2" max="2" width="25.33203125" style="189" customWidth="1"/>
    <col min="3" max="3" width="30.33203125" style="189" customWidth="1"/>
    <col min="4" max="4" width="23.88671875" style="189" customWidth="1"/>
    <col min="5" max="5" width="11.5546875" style="189" bestFit="1" customWidth="1"/>
    <col min="6" max="6" width="17.88671875" style="189" customWidth="1"/>
    <col min="7" max="7" width="17.88671875" style="805" customWidth="1"/>
    <col min="8" max="8" width="17.5546875" style="189" customWidth="1"/>
    <col min="9" max="9" width="17.5546875" style="805" customWidth="1"/>
    <col min="10" max="10" width="43.109375"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8" style="189" hidden="1" customWidth="1"/>
    <col min="17" max="17" width="17.88671875" style="189" hidden="1" customWidth="1"/>
    <col min="18" max="18" width="18" style="189" hidden="1" customWidth="1"/>
    <col min="19" max="19" width="8" style="189" hidden="1" customWidth="1"/>
    <col min="20" max="20" width="17.88671875" style="189" hidden="1" customWidth="1"/>
    <col min="21" max="21" width="18" style="189" hidden="1" customWidth="1"/>
    <col min="22" max="22" width="8" style="189" hidden="1" customWidth="1"/>
    <col min="23" max="23" width="17.88671875" style="805" bestFit="1" customWidth="1"/>
    <col min="24" max="24" width="18" style="805" bestFit="1" customWidth="1"/>
    <col min="25" max="25" width="8" style="805" bestFit="1" customWidth="1"/>
    <col min="26" max="27" width="17.88671875" style="189" bestFit="1" customWidth="1"/>
    <col min="28" max="16384" width="11.44140625" style="189"/>
  </cols>
  <sheetData>
    <row r="1" spans="1:28" s="148" customFormat="1" ht="48" customHeight="1" thickBot="1" x14ac:dyDescent="0.35">
      <c r="A1" s="169"/>
      <c r="B1" s="188"/>
      <c r="C1" s="1307" t="s">
        <v>40</v>
      </c>
      <c r="D1" s="1308"/>
      <c r="E1" s="1308"/>
      <c r="F1" s="1308"/>
      <c r="G1" s="1308"/>
      <c r="H1" s="1308"/>
      <c r="I1" s="1308"/>
      <c r="J1" s="1308"/>
      <c r="K1" s="1308"/>
      <c r="L1" s="1308"/>
      <c r="M1" s="1308"/>
      <c r="N1" s="1308"/>
      <c r="O1" s="1308"/>
      <c r="P1" s="1308"/>
      <c r="Q1" s="1308"/>
      <c r="R1" s="1308"/>
      <c r="S1" s="1308"/>
      <c r="T1" s="1308"/>
      <c r="U1" s="1308"/>
      <c r="V1" s="1309"/>
      <c r="W1" s="800"/>
      <c r="X1" s="800"/>
      <c r="Y1" s="800"/>
      <c r="Z1" s="1328" t="s">
        <v>723</v>
      </c>
      <c r="AA1" s="1303"/>
      <c r="AB1" s="1304"/>
    </row>
    <row r="2" spans="1:28" s="148"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1"/>
      <c r="T2" s="1311"/>
      <c r="U2" s="1311"/>
      <c r="V2" s="1312"/>
      <c r="W2" s="801"/>
      <c r="X2" s="801"/>
      <c r="Y2" s="801"/>
      <c r="Z2" s="1329" t="s">
        <v>41</v>
      </c>
      <c r="AA2" s="1305"/>
      <c r="AB2" s="1306"/>
    </row>
    <row r="3" spans="1:28"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s="148" customFormat="1" ht="12.75" customHeight="1" x14ac:dyDescent="0.3">
      <c r="A7" s="1291" t="s">
        <v>724</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s="148" customFormat="1"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s="148" customFormat="1" ht="13.5" customHeight="1" x14ac:dyDescent="0.3">
      <c r="A9" s="1292" t="s">
        <v>2327</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s="148" customFormat="1" ht="13.5" customHeight="1" x14ac:dyDescent="0.3">
      <c r="A10" s="1292" t="s">
        <v>725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s="148" customFormat="1" ht="13.5" customHeight="1" x14ac:dyDescent="0.3">
      <c r="A11" s="299"/>
      <c r="B11" s="1318"/>
      <c r="C11" s="1320"/>
      <c r="D11" s="1320"/>
      <c r="E11" s="1320"/>
      <c r="F11" s="1320"/>
      <c r="G11" s="1320"/>
      <c r="H11" s="1320"/>
      <c r="I11" s="1320"/>
      <c r="J11" s="1320"/>
      <c r="K11" s="1293" t="s">
        <v>46</v>
      </c>
      <c r="L11" s="1294"/>
      <c r="M11" s="1295"/>
      <c r="N11" s="1293" t="s">
        <v>981</v>
      </c>
      <c r="O11" s="1294"/>
      <c r="P11" s="1295"/>
      <c r="Q11" s="1293" t="s">
        <v>1406</v>
      </c>
      <c r="R11" s="1294"/>
      <c r="S11" s="1295"/>
      <c r="T11" s="1293" t="s">
        <v>1729</v>
      </c>
      <c r="U11" s="1294"/>
      <c r="V11" s="1295"/>
      <c r="W11" s="1293" t="s">
        <v>2330</v>
      </c>
      <c r="X11" s="1294"/>
      <c r="Y11" s="1295"/>
      <c r="Z11" s="1299" t="s">
        <v>49</v>
      </c>
      <c r="AA11" s="1299"/>
      <c r="AB11" s="1299"/>
    </row>
    <row r="12" spans="1:28" s="148" customFormat="1"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296"/>
      <c r="U12" s="1297"/>
      <c r="V12" s="1298"/>
      <c r="W12" s="1296"/>
      <c r="X12" s="1297"/>
      <c r="Y12" s="1298"/>
      <c r="Z12" s="1300"/>
      <c r="AA12" s="1300"/>
      <c r="AB12" s="1300"/>
    </row>
    <row r="13" spans="1:28" ht="28.8" x14ac:dyDescent="0.3">
      <c r="A13" s="209" t="s">
        <v>50</v>
      </c>
      <c r="B13" s="209" t="s">
        <v>51</v>
      </c>
      <c r="C13" s="209" t="s">
        <v>52</v>
      </c>
      <c r="D13" s="209" t="s">
        <v>53</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28" t="s">
        <v>54</v>
      </c>
      <c r="X13" s="28" t="s">
        <v>56</v>
      </c>
      <c r="Y13" s="28" t="s">
        <v>58</v>
      </c>
      <c r="Z13" s="174" t="s">
        <v>54</v>
      </c>
      <c r="AA13" s="172" t="s">
        <v>56</v>
      </c>
      <c r="AB13" s="28" t="s">
        <v>58</v>
      </c>
    </row>
    <row r="14" spans="1:28" ht="33.75" customHeight="1" x14ac:dyDescent="0.3">
      <c r="A14" s="1315" t="s">
        <v>715</v>
      </c>
      <c r="B14" s="1315" t="s">
        <v>258</v>
      </c>
      <c r="C14" s="300" t="s">
        <v>259</v>
      </c>
      <c r="D14" s="300" t="s">
        <v>260</v>
      </c>
      <c r="E14" s="300">
        <v>1</v>
      </c>
      <c r="F14" s="192">
        <v>2019673</v>
      </c>
      <c r="G14" s="32">
        <f>+ROUND(F14*1.051,0)</f>
        <v>2122676</v>
      </c>
      <c r="H14" s="192">
        <f>ROUND((E14*F14),0)</f>
        <v>2019673</v>
      </c>
      <c r="I14" s="32">
        <f>+ROUND(G14*E14,0)</f>
        <v>2122676</v>
      </c>
      <c r="J14" s="1479" t="s">
        <v>716</v>
      </c>
      <c r="K14" s="303">
        <v>1</v>
      </c>
      <c r="L14" s="304">
        <f>ROUND(K14*$F$14,0)</f>
        <v>2019673</v>
      </c>
      <c r="M14" s="305">
        <f>L14/$H$14</f>
        <v>1</v>
      </c>
      <c r="N14" s="158">
        <v>0</v>
      </c>
      <c r="O14" s="194">
        <f>ROUND(N14*$F$14,0)</f>
        <v>0</v>
      </c>
      <c r="P14" s="195">
        <f>O14/$H$14</f>
        <v>0</v>
      </c>
      <c r="Q14" s="432">
        <v>0</v>
      </c>
      <c r="R14" s="425">
        <f>ROUND(Q14*$F$14,0)</f>
        <v>0</v>
      </c>
      <c r="S14" s="426">
        <f>R14/$H$14</f>
        <v>0</v>
      </c>
      <c r="T14" s="432">
        <v>0</v>
      </c>
      <c r="U14" s="425">
        <f>ROUND(T14*$F$14,0)</f>
        <v>0</v>
      </c>
      <c r="V14" s="426">
        <f>U14/$H$14</f>
        <v>0</v>
      </c>
      <c r="W14" s="432">
        <v>0</v>
      </c>
      <c r="X14" s="425">
        <f>ROUND(W14*G14,0)</f>
        <v>0</v>
      </c>
      <c r="Y14" s="426">
        <f>X14/I14</f>
        <v>0</v>
      </c>
      <c r="Z14" s="149">
        <f>K14+N14+Q14+T14+W14</f>
        <v>1</v>
      </c>
      <c r="AA14" s="175">
        <f>L14+O14+R14+U14+X14</f>
        <v>2019673</v>
      </c>
      <c r="AB14" s="176">
        <f t="shared" ref="AB14:AB33" si="0">AA14/H14</f>
        <v>1</v>
      </c>
    </row>
    <row r="15" spans="1:28" x14ac:dyDescent="0.3">
      <c r="A15" s="1314"/>
      <c r="B15" s="1314"/>
      <c r="C15" s="196"/>
      <c r="D15" s="196" t="s">
        <v>261</v>
      </c>
      <c r="E15" s="198"/>
      <c r="F15" s="198"/>
      <c r="G15" s="198"/>
      <c r="H15" s="199">
        <f>H14</f>
        <v>2019673</v>
      </c>
      <c r="I15" s="199">
        <f>SUM(I14)</f>
        <v>2122676</v>
      </c>
      <c r="J15" s="1479"/>
      <c r="K15" s="178"/>
      <c r="L15" s="179">
        <f>L14</f>
        <v>2019673</v>
      </c>
      <c r="M15" s="178">
        <f>L15/$H$15</f>
        <v>1</v>
      </c>
      <c r="N15" s="308"/>
      <c r="O15" s="179">
        <f>O14</f>
        <v>0</v>
      </c>
      <c r="P15" s="308">
        <f>O15/$H$15</f>
        <v>0</v>
      </c>
      <c r="Q15" s="431"/>
      <c r="R15" s="179">
        <f>R14</f>
        <v>0</v>
      </c>
      <c r="S15" s="431">
        <f>R15/$H$15</f>
        <v>0</v>
      </c>
      <c r="T15" s="431"/>
      <c r="U15" s="179">
        <f>U14</f>
        <v>0</v>
      </c>
      <c r="V15" s="431">
        <f>U15/$H$15</f>
        <v>0</v>
      </c>
      <c r="W15" s="431"/>
      <c r="X15" s="179">
        <f>X14</f>
        <v>0</v>
      </c>
      <c r="Y15" s="1091">
        <f t="shared" ref="Y15:Y33" si="1">X15/I15</f>
        <v>0</v>
      </c>
      <c r="Z15" s="150"/>
      <c r="AA15" s="289">
        <f t="shared" ref="AA15:AA33" si="2">L15+O15+R15+U15</f>
        <v>2019673</v>
      </c>
      <c r="AB15" s="178">
        <f t="shared" si="0"/>
        <v>1</v>
      </c>
    </row>
    <row r="16" spans="1:28" ht="36.75" customHeight="1" x14ac:dyDescent="0.3">
      <c r="A16" s="1315" t="s">
        <v>715</v>
      </c>
      <c r="B16" s="1315" t="s">
        <v>262</v>
      </c>
      <c r="C16" s="300" t="s">
        <v>263</v>
      </c>
      <c r="D16" s="300" t="s">
        <v>264</v>
      </c>
      <c r="E16" s="300">
        <v>1</v>
      </c>
      <c r="F16" s="192">
        <v>1532165</v>
      </c>
      <c r="G16" s="32">
        <f>+ROUND(F16*1.051,0)</f>
        <v>1610305</v>
      </c>
      <c r="H16" s="192">
        <f>ROUND((E16*F16),0)</f>
        <v>1532165</v>
      </c>
      <c r="I16" s="32">
        <f>+ROUND(G16*E16,0)</f>
        <v>1610305</v>
      </c>
      <c r="J16" s="1314"/>
      <c r="K16" s="158">
        <v>0</v>
      </c>
      <c r="L16" s="194">
        <f>ROUND(K16*$F$16,0)</f>
        <v>0</v>
      </c>
      <c r="M16" s="195">
        <f>L16/$H$16</f>
        <v>0</v>
      </c>
      <c r="N16" s="158">
        <v>0</v>
      </c>
      <c r="O16" s="194">
        <f>ROUND(N16*$F$16,0)</f>
        <v>0</v>
      </c>
      <c r="P16" s="195">
        <f>O16/$H$16</f>
        <v>0</v>
      </c>
      <c r="Q16" s="432">
        <v>0</v>
      </c>
      <c r="R16" s="425">
        <f>ROUND(Q16*$F$16,0)</f>
        <v>0</v>
      </c>
      <c r="S16" s="426">
        <f>R16/$H$16</f>
        <v>0</v>
      </c>
      <c r="T16" s="433">
        <v>1</v>
      </c>
      <c r="U16" s="429">
        <f>ROUND(T16*$F$16,0)</f>
        <v>1532165</v>
      </c>
      <c r="V16" s="430">
        <f>U16/$H$16</f>
        <v>1</v>
      </c>
      <c r="W16" s="432">
        <v>0</v>
      </c>
      <c r="X16" s="425">
        <f>ROUND(W16*G16,0)</f>
        <v>0</v>
      </c>
      <c r="Y16" s="426">
        <f t="shared" si="1"/>
        <v>0</v>
      </c>
      <c r="Z16" s="416">
        <f>K16+N16+Q16+T16+W16</f>
        <v>1</v>
      </c>
      <c r="AA16" s="175">
        <f>L16+O16+R16+U16+X16</f>
        <v>1532165</v>
      </c>
      <c r="AB16" s="176">
        <f t="shared" si="0"/>
        <v>1</v>
      </c>
    </row>
    <row r="17" spans="1:28" x14ac:dyDescent="0.3">
      <c r="A17" s="1314"/>
      <c r="B17" s="1314"/>
      <c r="C17" s="196"/>
      <c r="D17" s="196" t="s">
        <v>265</v>
      </c>
      <c r="E17" s="198"/>
      <c r="F17" s="198"/>
      <c r="G17" s="198"/>
      <c r="H17" s="199">
        <f>H16</f>
        <v>1532165</v>
      </c>
      <c r="I17" s="199">
        <f>SUM(I16)</f>
        <v>1610305</v>
      </c>
      <c r="J17" s="1314"/>
      <c r="K17" s="178"/>
      <c r="L17" s="179">
        <f>L16</f>
        <v>0</v>
      </c>
      <c r="M17" s="178">
        <f>L17/$H$17</f>
        <v>0</v>
      </c>
      <c r="N17" s="308"/>
      <c r="O17" s="179">
        <f>O16</f>
        <v>0</v>
      </c>
      <c r="P17" s="308">
        <f>O17/$H$17</f>
        <v>0</v>
      </c>
      <c r="Q17" s="431"/>
      <c r="R17" s="179">
        <f>R16</f>
        <v>0</v>
      </c>
      <c r="S17" s="431">
        <f>R17/$H$17</f>
        <v>0</v>
      </c>
      <c r="T17" s="431"/>
      <c r="U17" s="179">
        <f>U16</f>
        <v>1532165</v>
      </c>
      <c r="V17" s="431">
        <f>U17/$H$17</f>
        <v>1</v>
      </c>
      <c r="W17" s="431"/>
      <c r="X17" s="179">
        <f>X16</f>
        <v>0</v>
      </c>
      <c r="Y17" s="1091">
        <f t="shared" si="1"/>
        <v>0</v>
      </c>
      <c r="Z17" s="150"/>
      <c r="AA17" s="307">
        <f t="shared" si="2"/>
        <v>1532165</v>
      </c>
      <c r="AB17" s="431">
        <f t="shared" si="0"/>
        <v>1</v>
      </c>
    </row>
    <row r="18" spans="1:28" ht="48.75" customHeight="1" x14ac:dyDescent="0.3">
      <c r="A18" s="1315" t="s">
        <v>715</v>
      </c>
      <c r="B18" s="1315" t="s">
        <v>266</v>
      </c>
      <c r="C18" s="300" t="s">
        <v>267</v>
      </c>
      <c r="D18" s="300" t="s">
        <v>268</v>
      </c>
      <c r="E18" s="300">
        <v>2</v>
      </c>
      <c r="F18" s="192">
        <v>1149124</v>
      </c>
      <c r="G18" s="32">
        <f>+ROUND(F18*1.051,0)</f>
        <v>1207729</v>
      </c>
      <c r="H18" s="192">
        <f>ROUND((E18*F18),0)</f>
        <v>2298248</v>
      </c>
      <c r="I18" s="32">
        <f>+ROUND(G18*E18,0)</f>
        <v>2415458</v>
      </c>
      <c r="J18" s="1314"/>
      <c r="K18" s="158">
        <v>0</v>
      </c>
      <c r="L18" s="194">
        <f>ROUND(K18*$F$18,0)</f>
        <v>0</v>
      </c>
      <c r="M18" s="195">
        <f>L18/$H$18</f>
        <v>0</v>
      </c>
      <c r="N18" s="158">
        <v>0</v>
      </c>
      <c r="O18" s="194">
        <f>ROUND(N18*$F$18,0)</f>
        <v>0</v>
      </c>
      <c r="P18" s="195">
        <f>O18/$H$18</f>
        <v>0</v>
      </c>
      <c r="Q18" s="432">
        <v>0</v>
      </c>
      <c r="R18" s="425">
        <f>ROUND(Q18*$F$18,0)</f>
        <v>0</v>
      </c>
      <c r="S18" s="426">
        <f>R18/$H$18</f>
        <v>0</v>
      </c>
      <c r="T18" s="433">
        <v>2</v>
      </c>
      <c r="U18" s="429">
        <f>ROUND(T18*$F$18,0)</f>
        <v>2298248</v>
      </c>
      <c r="V18" s="430">
        <f>U18/$H$18</f>
        <v>1</v>
      </c>
      <c r="W18" s="432">
        <v>0</v>
      </c>
      <c r="X18" s="425">
        <f>ROUND(W18*G18,0)</f>
        <v>0</v>
      </c>
      <c r="Y18" s="426">
        <f t="shared" si="1"/>
        <v>0</v>
      </c>
      <c r="Z18" s="416">
        <f>K18+N18+Q18+T18+W18</f>
        <v>2</v>
      </c>
      <c r="AA18" s="175">
        <f>L18+O18+R18+U18+X18</f>
        <v>2298248</v>
      </c>
      <c r="AB18" s="176">
        <f t="shared" si="0"/>
        <v>1</v>
      </c>
    </row>
    <row r="19" spans="1:28" x14ac:dyDescent="0.3">
      <c r="A19" s="1314"/>
      <c r="B19" s="1314"/>
      <c r="C19" s="196"/>
      <c r="D19" s="196" t="s">
        <v>229</v>
      </c>
      <c r="E19" s="198"/>
      <c r="F19" s="198"/>
      <c r="G19" s="198"/>
      <c r="H19" s="199">
        <f>H18</f>
        <v>2298248</v>
      </c>
      <c r="I19" s="199">
        <f>SUM(I18)</f>
        <v>2415458</v>
      </c>
      <c r="J19" s="1314"/>
      <c r="K19" s="178"/>
      <c r="L19" s="179">
        <f>L18</f>
        <v>0</v>
      </c>
      <c r="M19" s="178">
        <f>L19/$H$19</f>
        <v>0</v>
      </c>
      <c r="N19" s="308"/>
      <c r="O19" s="179">
        <f>O18</f>
        <v>0</v>
      </c>
      <c r="P19" s="308">
        <f>O19/$H$19</f>
        <v>0</v>
      </c>
      <c r="Q19" s="431"/>
      <c r="R19" s="179">
        <f>R18</f>
        <v>0</v>
      </c>
      <c r="S19" s="431">
        <f>R19/$H$19</f>
        <v>0</v>
      </c>
      <c r="T19" s="431"/>
      <c r="U19" s="179">
        <f>U18</f>
        <v>2298248</v>
      </c>
      <c r="V19" s="431">
        <f>U19/$H$19</f>
        <v>1</v>
      </c>
      <c r="W19" s="431"/>
      <c r="X19" s="179">
        <f>X18</f>
        <v>0</v>
      </c>
      <c r="Y19" s="1091">
        <f t="shared" si="1"/>
        <v>0</v>
      </c>
      <c r="Z19" s="150"/>
      <c r="AA19" s="307">
        <f t="shared" si="2"/>
        <v>2298248</v>
      </c>
      <c r="AB19" s="431">
        <f t="shared" si="0"/>
        <v>1</v>
      </c>
    </row>
    <row r="20" spans="1:28" ht="51" customHeight="1" x14ac:dyDescent="0.3">
      <c r="A20" s="1315" t="s">
        <v>715</v>
      </c>
      <c r="B20" s="1315" t="s">
        <v>269</v>
      </c>
      <c r="C20" s="300" t="s">
        <v>270</v>
      </c>
      <c r="D20" s="300" t="s">
        <v>271</v>
      </c>
      <c r="E20" s="300">
        <v>1</v>
      </c>
      <c r="F20" s="192">
        <v>5571510</v>
      </c>
      <c r="G20" s="32">
        <f>+ROUND(F20*1.051,0)</f>
        <v>5855657</v>
      </c>
      <c r="H20" s="192">
        <f>ROUND((E20*F20),0)</f>
        <v>5571510</v>
      </c>
      <c r="I20" s="32">
        <f>+ROUND(G20*E20,0)</f>
        <v>5855657</v>
      </c>
      <c r="J20" s="1314"/>
      <c r="K20" s="158">
        <v>0</v>
      </c>
      <c r="L20" s="194">
        <f>ROUND(K20*$F$20,0)</f>
        <v>0</v>
      </c>
      <c r="M20" s="195">
        <f>L20/$H$20</f>
        <v>0</v>
      </c>
      <c r="N20" s="158">
        <v>0</v>
      </c>
      <c r="O20" s="194">
        <f>ROUND(N20*$F$20,0)</f>
        <v>0</v>
      </c>
      <c r="P20" s="195">
        <f>O20/$H$20</f>
        <v>0</v>
      </c>
      <c r="Q20" s="432">
        <v>0</v>
      </c>
      <c r="R20" s="425">
        <f>ROUND(Q20*$F$20,0)</f>
        <v>0</v>
      </c>
      <c r="S20" s="426">
        <f>R20/$H$20</f>
        <v>0</v>
      </c>
      <c r="T20" s="433">
        <v>1</v>
      </c>
      <c r="U20" s="429">
        <f>ROUND(T20*$F$20,0)</f>
        <v>5571510</v>
      </c>
      <c r="V20" s="430">
        <f>U20/$H$20</f>
        <v>1</v>
      </c>
      <c r="W20" s="432">
        <v>0</v>
      </c>
      <c r="X20" s="425">
        <f>ROUND(W20*G20,0)</f>
        <v>0</v>
      </c>
      <c r="Y20" s="426">
        <f t="shared" si="1"/>
        <v>0</v>
      </c>
      <c r="Z20" s="416">
        <f>K20+N20+Q20+T20+W20</f>
        <v>1</v>
      </c>
      <c r="AA20" s="175">
        <f>L20+O20+R20+U20+X20</f>
        <v>5571510</v>
      </c>
      <c r="AB20" s="176">
        <f t="shared" si="0"/>
        <v>1</v>
      </c>
    </row>
    <row r="21" spans="1:28" x14ac:dyDescent="0.3">
      <c r="A21" s="1314"/>
      <c r="B21" s="1314"/>
      <c r="C21" s="196"/>
      <c r="D21" s="196" t="s">
        <v>215</v>
      </c>
      <c r="E21" s="198"/>
      <c r="F21" s="198"/>
      <c r="G21" s="198"/>
      <c r="H21" s="199">
        <f>H20</f>
        <v>5571510</v>
      </c>
      <c r="I21" s="199">
        <f>SUM(I20)</f>
        <v>5855657</v>
      </c>
      <c r="J21" s="1314"/>
      <c r="K21" s="178"/>
      <c r="L21" s="179">
        <f>L20</f>
        <v>0</v>
      </c>
      <c r="M21" s="178">
        <f>L21/$H$21</f>
        <v>0</v>
      </c>
      <c r="N21" s="308"/>
      <c r="O21" s="179">
        <f>O20</f>
        <v>0</v>
      </c>
      <c r="P21" s="308">
        <f>O21/$H$21</f>
        <v>0</v>
      </c>
      <c r="Q21" s="431"/>
      <c r="R21" s="179">
        <f>R20</f>
        <v>0</v>
      </c>
      <c r="S21" s="431">
        <f>R21/$H$21</f>
        <v>0</v>
      </c>
      <c r="T21" s="431"/>
      <c r="U21" s="179">
        <f>U20</f>
        <v>5571510</v>
      </c>
      <c r="V21" s="431">
        <f>U21/$H$21</f>
        <v>1</v>
      </c>
      <c r="W21" s="431"/>
      <c r="X21" s="179">
        <f>X20</f>
        <v>0</v>
      </c>
      <c r="Y21" s="1091">
        <f t="shared" si="1"/>
        <v>0</v>
      </c>
      <c r="Z21" s="150"/>
      <c r="AA21" s="307">
        <f t="shared" si="2"/>
        <v>5571510</v>
      </c>
      <c r="AB21" s="431">
        <f t="shared" si="0"/>
        <v>1</v>
      </c>
    </row>
    <row r="22" spans="1:28" ht="64.5" customHeight="1" x14ac:dyDescent="0.3">
      <c r="A22" s="1315" t="s">
        <v>715</v>
      </c>
      <c r="B22" s="1315" t="s">
        <v>272</v>
      </c>
      <c r="C22" s="300" t="s">
        <v>273</v>
      </c>
      <c r="D22" s="300" t="s">
        <v>274</v>
      </c>
      <c r="E22" s="300">
        <v>2</v>
      </c>
      <c r="F22" s="192">
        <v>1253590</v>
      </c>
      <c r="G22" s="32">
        <f>+ROUND(F22*1.051,0)</f>
        <v>1317523</v>
      </c>
      <c r="H22" s="192">
        <f>ROUND((E22*F22),0)</f>
        <v>2507180</v>
      </c>
      <c r="I22" s="32">
        <f>+ROUND(G22*E22,0)</f>
        <v>2635046</v>
      </c>
      <c r="J22" s="1479" t="s">
        <v>717</v>
      </c>
      <c r="K22" s="158">
        <v>0</v>
      </c>
      <c r="L22" s="194">
        <f>ROUND(K22*$F$22,0)</f>
        <v>0</v>
      </c>
      <c r="M22" s="195">
        <f>L22/$H$22</f>
        <v>0</v>
      </c>
      <c r="N22" s="158">
        <v>0</v>
      </c>
      <c r="O22" s="194">
        <f>ROUND(N22*$F$22,0)</f>
        <v>0</v>
      </c>
      <c r="P22" s="195">
        <f>O22/$H$22</f>
        <v>0</v>
      </c>
      <c r="Q22" s="433">
        <v>2</v>
      </c>
      <c r="R22" s="429">
        <f>ROUND(Q22*$F$22,0)</f>
        <v>2507180</v>
      </c>
      <c r="S22" s="430">
        <f>R22/$H$22</f>
        <v>1</v>
      </c>
      <c r="T22" s="432">
        <v>0</v>
      </c>
      <c r="U22" s="425">
        <f>ROUND(T22*$F$22,0)</f>
        <v>0</v>
      </c>
      <c r="V22" s="426">
        <f>U22/$H$22</f>
        <v>0</v>
      </c>
      <c r="W22" s="432">
        <v>0</v>
      </c>
      <c r="X22" s="425">
        <f>ROUND(W22*G22,0)</f>
        <v>0</v>
      </c>
      <c r="Y22" s="426">
        <f t="shared" si="1"/>
        <v>0</v>
      </c>
      <c r="Z22" s="416">
        <f>K22+N22+Q22+T22+W22</f>
        <v>2</v>
      </c>
      <c r="AA22" s="175">
        <f>L22+O22+R22+U22+X22</f>
        <v>2507180</v>
      </c>
      <c r="AB22" s="176">
        <f t="shared" si="0"/>
        <v>1</v>
      </c>
    </row>
    <row r="23" spans="1:28" x14ac:dyDescent="0.3">
      <c r="A23" s="1314"/>
      <c r="B23" s="1314"/>
      <c r="C23" s="196"/>
      <c r="D23" s="196" t="s">
        <v>136</v>
      </c>
      <c r="E23" s="198"/>
      <c r="F23" s="198"/>
      <c r="G23" s="198"/>
      <c r="H23" s="199">
        <f>H22</f>
        <v>2507180</v>
      </c>
      <c r="I23" s="199">
        <f>SUM(I22)</f>
        <v>2635046</v>
      </c>
      <c r="J23" s="1479"/>
      <c r="K23" s="178"/>
      <c r="L23" s="179">
        <f>L22</f>
        <v>0</v>
      </c>
      <c r="M23" s="178">
        <f>L23/$H$23</f>
        <v>0</v>
      </c>
      <c r="N23" s="308"/>
      <c r="O23" s="179">
        <f>O22</f>
        <v>0</v>
      </c>
      <c r="P23" s="308">
        <f>O23/$H$23</f>
        <v>0</v>
      </c>
      <c r="Q23" s="431"/>
      <c r="R23" s="179">
        <f>R22</f>
        <v>2507180</v>
      </c>
      <c r="S23" s="431">
        <f>R23/$H$23</f>
        <v>1</v>
      </c>
      <c r="T23" s="431"/>
      <c r="U23" s="179">
        <f>U22</f>
        <v>0</v>
      </c>
      <c r="V23" s="431">
        <f>U23/$H$23</f>
        <v>0</v>
      </c>
      <c r="W23" s="431"/>
      <c r="X23" s="179">
        <f>X22</f>
        <v>0</v>
      </c>
      <c r="Y23" s="1091">
        <f t="shared" si="1"/>
        <v>0</v>
      </c>
      <c r="Z23" s="150"/>
      <c r="AA23" s="307">
        <f t="shared" si="2"/>
        <v>2507180</v>
      </c>
      <c r="AB23" s="431">
        <f t="shared" si="0"/>
        <v>1</v>
      </c>
    </row>
    <row r="24" spans="1:28" ht="65.25" customHeight="1" x14ac:dyDescent="0.3">
      <c r="A24" s="1315" t="s">
        <v>715</v>
      </c>
      <c r="B24" s="1315" t="s">
        <v>275</v>
      </c>
      <c r="C24" s="300" t="s">
        <v>276</v>
      </c>
      <c r="D24" s="300" t="s">
        <v>277</v>
      </c>
      <c r="E24" s="300">
        <v>24.46</v>
      </c>
      <c r="F24" s="192">
        <v>69644</v>
      </c>
      <c r="G24" s="32">
        <f>+ROUND(F24*1.051,0)</f>
        <v>73196</v>
      </c>
      <c r="H24" s="192">
        <f>ROUND((E24*F24),0)</f>
        <v>1703492</v>
      </c>
      <c r="I24" s="32">
        <f>+ROUND(G24*E24,0)</f>
        <v>1790374</v>
      </c>
      <c r="J24" s="1479" t="s">
        <v>718</v>
      </c>
      <c r="K24" s="158">
        <v>0</v>
      </c>
      <c r="L24" s="194">
        <f>ROUND(K24*$F$24,0)</f>
        <v>0</v>
      </c>
      <c r="M24" s="195">
        <f>L24/$H$24</f>
        <v>0</v>
      </c>
      <c r="N24" s="303">
        <v>24.46</v>
      </c>
      <c r="O24" s="304">
        <f>ROUND(N24*$F$24,0)</f>
        <v>1703492</v>
      </c>
      <c r="P24" s="305">
        <f>O24/$H$24</f>
        <v>1</v>
      </c>
      <c r="Q24" s="432">
        <v>0</v>
      </c>
      <c r="R24" s="425">
        <f>ROUND(Q24*$F$24,0)</f>
        <v>0</v>
      </c>
      <c r="S24" s="426">
        <f>R24/$H$24</f>
        <v>0</v>
      </c>
      <c r="T24" s="432">
        <v>0</v>
      </c>
      <c r="U24" s="425">
        <f>ROUND(T24*$F$24,0)</f>
        <v>0</v>
      </c>
      <c r="V24" s="426">
        <f>U24/$H$24</f>
        <v>0</v>
      </c>
      <c r="W24" s="432">
        <v>0</v>
      </c>
      <c r="X24" s="425">
        <f>ROUND(W24*G24,0)</f>
        <v>0</v>
      </c>
      <c r="Y24" s="426">
        <f t="shared" si="1"/>
        <v>0</v>
      </c>
      <c r="Z24" s="416">
        <f>K24+N24+Q24+T24+W24</f>
        <v>24.46</v>
      </c>
      <c r="AA24" s="175">
        <f>L24+O24+R24+U24+X24</f>
        <v>1703492</v>
      </c>
      <c r="AB24" s="176">
        <f t="shared" si="0"/>
        <v>1</v>
      </c>
    </row>
    <row r="25" spans="1:28" x14ac:dyDescent="0.3">
      <c r="A25" s="1314"/>
      <c r="B25" s="1314"/>
      <c r="C25" s="196"/>
      <c r="D25" s="196" t="s">
        <v>278</v>
      </c>
      <c r="E25" s="198"/>
      <c r="F25" s="198"/>
      <c r="G25" s="198"/>
      <c r="H25" s="199">
        <f>H24</f>
        <v>1703492</v>
      </c>
      <c r="I25" s="199">
        <f>SUM(I24)</f>
        <v>1790374</v>
      </c>
      <c r="J25" s="1479"/>
      <c r="K25" s="178"/>
      <c r="L25" s="179">
        <f>L24</f>
        <v>0</v>
      </c>
      <c r="M25" s="178">
        <f>L25/$H$25</f>
        <v>0</v>
      </c>
      <c r="N25" s="308"/>
      <c r="O25" s="179">
        <f>O24</f>
        <v>1703492</v>
      </c>
      <c r="P25" s="308">
        <f>O25/$H$25</f>
        <v>1</v>
      </c>
      <c r="Q25" s="431"/>
      <c r="R25" s="179">
        <f>R24</f>
        <v>0</v>
      </c>
      <c r="S25" s="431">
        <f>R25/$H$25</f>
        <v>0</v>
      </c>
      <c r="T25" s="431"/>
      <c r="U25" s="179">
        <f>U24</f>
        <v>0</v>
      </c>
      <c r="V25" s="431">
        <f>U25/$H$25</f>
        <v>0</v>
      </c>
      <c r="W25" s="431"/>
      <c r="X25" s="179">
        <f>X24</f>
        <v>0</v>
      </c>
      <c r="Y25" s="1091">
        <f t="shared" si="1"/>
        <v>0</v>
      </c>
      <c r="Z25" s="150"/>
      <c r="AA25" s="307">
        <f t="shared" si="2"/>
        <v>1703492</v>
      </c>
      <c r="AB25" s="431">
        <f t="shared" si="0"/>
        <v>1</v>
      </c>
    </row>
    <row r="26" spans="1:28" ht="34.5" customHeight="1" x14ac:dyDescent="0.3">
      <c r="A26" s="1323" t="s">
        <v>719</v>
      </c>
      <c r="B26" s="1323" t="s">
        <v>255</v>
      </c>
      <c r="C26" s="301" t="s">
        <v>256</v>
      </c>
      <c r="D26" s="301" t="s">
        <v>257</v>
      </c>
      <c r="E26" s="301">
        <v>1</v>
      </c>
      <c r="F26" s="114">
        <v>1741097</v>
      </c>
      <c r="G26" s="32">
        <f>+ROUND(F26*1.051,0)</f>
        <v>1829893</v>
      </c>
      <c r="H26" s="114">
        <f>+F26*E26</f>
        <v>1741097</v>
      </c>
      <c r="I26" s="32">
        <f>+ROUND(G26*E26,0)</f>
        <v>1829893</v>
      </c>
      <c r="J26" s="1323"/>
      <c r="K26" s="158">
        <v>0</v>
      </c>
      <c r="L26" s="194">
        <f>ROUND(K26*$F$26,0)</f>
        <v>0</v>
      </c>
      <c r="M26" s="195">
        <f>L26/$H$26</f>
        <v>0</v>
      </c>
      <c r="N26" s="158">
        <v>0</v>
      </c>
      <c r="O26" s="194">
        <f>ROUND(N26*$F$26,0)</f>
        <v>0</v>
      </c>
      <c r="P26" s="195">
        <f>O26/$H$26</f>
        <v>0</v>
      </c>
      <c r="Q26" s="432">
        <v>0</v>
      </c>
      <c r="R26" s="425">
        <f>ROUND(Q26*$F$26,0)</f>
        <v>0</v>
      </c>
      <c r="S26" s="426">
        <f>R26/$H$26</f>
        <v>0</v>
      </c>
      <c r="T26" s="433">
        <v>1</v>
      </c>
      <c r="U26" s="429">
        <f>ROUND(T26*$F$26,0)</f>
        <v>1741097</v>
      </c>
      <c r="V26" s="430">
        <f>U26/$H$26</f>
        <v>1</v>
      </c>
      <c r="W26" s="432">
        <v>0</v>
      </c>
      <c r="X26" s="425">
        <f>ROUND(W26*G26,0)</f>
        <v>0</v>
      </c>
      <c r="Y26" s="426">
        <f t="shared" si="1"/>
        <v>0</v>
      </c>
      <c r="Z26" s="416">
        <f>K26+N26+Q26+T26+W26</f>
        <v>1</v>
      </c>
      <c r="AA26" s="175">
        <f>L26+O26+R26+U26+X26</f>
        <v>1741097</v>
      </c>
      <c r="AB26" s="176">
        <f t="shared" si="0"/>
        <v>1</v>
      </c>
    </row>
    <row r="27" spans="1:28" x14ac:dyDescent="0.3">
      <c r="A27" s="1323"/>
      <c r="B27" s="1323"/>
      <c r="C27" s="115"/>
      <c r="D27" s="115" t="s">
        <v>116</v>
      </c>
      <c r="E27" s="116"/>
      <c r="F27" s="116"/>
      <c r="G27" s="116"/>
      <c r="H27" s="117">
        <f>+H26</f>
        <v>1741097</v>
      </c>
      <c r="I27" s="199">
        <f>SUM(I26)</f>
        <v>1829893</v>
      </c>
      <c r="J27" s="1323"/>
      <c r="K27" s="178"/>
      <c r="L27" s="179">
        <f>L26</f>
        <v>0</v>
      </c>
      <c r="M27" s="178">
        <f>L27/$H$27</f>
        <v>0</v>
      </c>
      <c r="N27" s="308"/>
      <c r="O27" s="179">
        <f>O26</f>
        <v>0</v>
      </c>
      <c r="P27" s="308">
        <f>O27/$H$27</f>
        <v>0</v>
      </c>
      <c r="Q27" s="431"/>
      <c r="R27" s="179">
        <f>R26</f>
        <v>0</v>
      </c>
      <c r="S27" s="431">
        <f>R27/$H$27</f>
        <v>0</v>
      </c>
      <c r="T27" s="431"/>
      <c r="U27" s="179">
        <f>U26</f>
        <v>1741097</v>
      </c>
      <c r="V27" s="431">
        <f>U27/$H$27</f>
        <v>1</v>
      </c>
      <c r="W27" s="431"/>
      <c r="X27" s="179">
        <f>X26</f>
        <v>0</v>
      </c>
      <c r="Y27" s="1091">
        <f t="shared" si="1"/>
        <v>0</v>
      </c>
      <c r="Z27" s="150"/>
      <c r="AA27" s="307">
        <f t="shared" si="2"/>
        <v>1741097</v>
      </c>
      <c r="AB27" s="431">
        <f t="shared" si="0"/>
        <v>1</v>
      </c>
    </row>
    <row r="28" spans="1:28" ht="36.75" customHeight="1" x14ac:dyDescent="0.3">
      <c r="A28" s="1315" t="s">
        <v>719</v>
      </c>
      <c r="B28" s="1315" t="s">
        <v>262</v>
      </c>
      <c r="C28" s="300" t="s">
        <v>263</v>
      </c>
      <c r="D28" s="300" t="s">
        <v>264</v>
      </c>
      <c r="E28" s="300">
        <v>0.5</v>
      </c>
      <c r="F28" s="192">
        <v>1532165</v>
      </c>
      <c r="G28" s="32">
        <f>+ROUND(F28*1.051,0)</f>
        <v>1610305</v>
      </c>
      <c r="H28" s="192">
        <f>ROUND((E28*F28),0)</f>
        <v>766083</v>
      </c>
      <c r="I28" s="32">
        <f>+ROUND(G28*E28,0)</f>
        <v>805153</v>
      </c>
      <c r="J28" s="1315" t="s">
        <v>720</v>
      </c>
      <c r="K28" s="158">
        <v>0</v>
      </c>
      <c r="L28" s="194">
        <f>ROUND(K28*$F$28,0)</f>
        <v>0</v>
      </c>
      <c r="M28" s="195">
        <f>L28/$H$28</f>
        <v>0</v>
      </c>
      <c r="N28" s="158">
        <v>0</v>
      </c>
      <c r="O28" s="194">
        <f>ROUND(N28*$F$28,0)</f>
        <v>0</v>
      </c>
      <c r="P28" s="195">
        <f>O28/$H$28</f>
        <v>0</v>
      </c>
      <c r="Q28" s="432">
        <v>0</v>
      </c>
      <c r="R28" s="425">
        <f>ROUND(Q28*$F$28,0)</f>
        <v>0</v>
      </c>
      <c r="S28" s="426">
        <f>R28/$H$28</f>
        <v>0</v>
      </c>
      <c r="T28" s="432">
        <v>0</v>
      </c>
      <c r="U28" s="425">
        <f>ROUND(T28*$F$28,0)</f>
        <v>0</v>
      </c>
      <c r="V28" s="426">
        <f>U28/$H$28</f>
        <v>0</v>
      </c>
      <c r="W28" s="432">
        <v>0</v>
      </c>
      <c r="X28" s="425">
        <f>ROUND(W28*G28,0)</f>
        <v>0</v>
      </c>
      <c r="Y28" s="426">
        <f t="shared" si="1"/>
        <v>0</v>
      </c>
      <c r="Z28" s="416">
        <f>K28+N28+Q28+T28+W28</f>
        <v>0</v>
      </c>
      <c r="AA28" s="175">
        <f>L28+O28+R28+U28+X28</f>
        <v>0</v>
      </c>
      <c r="AB28" s="176">
        <f t="shared" si="0"/>
        <v>0</v>
      </c>
    </row>
    <row r="29" spans="1:28" x14ac:dyDescent="0.3">
      <c r="A29" s="1314"/>
      <c r="B29" s="1314"/>
      <c r="C29" s="196"/>
      <c r="D29" s="196" t="s">
        <v>265</v>
      </c>
      <c r="E29" s="198"/>
      <c r="F29" s="198"/>
      <c r="G29" s="198"/>
      <c r="H29" s="199">
        <f>H28</f>
        <v>766083</v>
      </c>
      <c r="I29" s="199">
        <v>2122676</v>
      </c>
      <c r="J29" s="1314"/>
      <c r="K29" s="178"/>
      <c r="L29" s="179">
        <f>L28</f>
        <v>0</v>
      </c>
      <c r="M29" s="178">
        <f>L29/$H$29</f>
        <v>0</v>
      </c>
      <c r="N29" s="308"/>
      <c r="O29" s="179">
        <f>O28</f>
        <v>0</v>
      </c>
      <c r="P29" s="308">
        <f>O29/$H$29</f>
        <v>0</v>
      </c>
      <c r="Q29" s="431"/>
      <c r="R29" s="179">
        <f>R28</f>
        <v>0</v>
      </c>
      <c r="S29" s="431">
        <f>R29/$H$29</f>
        <v>0</v>
      </c>
      <c r="T29" s="431"/>
      <c r="U29" s="179">
        <f>U28</f>
        <v>0</v>
      </c>
      <c r="V29" s="431">
        <f>U29/$H$29</f>
        <v>0</v>
      </c>
      <c r="W29" s="431"/>
      <c r="X29" s="179">
        <f>X28</f>
        <v>0</v>
      </c>
      <c r="Y29" s="1091">
        <f t="shared" si="1"/>
        <v>0</v>
      </c>
      <c r="Z29" s="150"/>
      <c r="AA29" s="307">
        <f t="shared" si="2"/>
        <v>0</v>
      </c>
      <c r="AB29" s="431">
        <f t="shared" si="0"/>
        <v>0</v>
      </c>
    </row>
    <row r="30" spans="1:28" ht="40.5" customHeight="1" x14ac:dyDescent="0.3">
      <c r="A30" s="1323" t="s">
        <v>719</v>
      </c>
      <c r="B30" s="1323" t="s">
        <v>269</v>
      </c>
      <c r="C30" s="301" t="s">
        <v>270</v>
      </c>
      <c r="D30" s="301" t="s">
        <v>271</v>
      </c>
      <c r="E30" s="301">
        <v>1</v>
      </c>
      <c r="F30" s="114">
        <v>5571510</v>
      </c>
      <c r="G30" s="32">
        <f>+ROUND(F30*1.051,0)</f>
        <v>5855657</v>
      </c>
      <c r="H30" s="114">
        <f>+E30*F30</f>
        <v>5571510</v>
      </c>
      <c r="I30" s="32">
        <f>+ROUND(G30*E30,0)</f>
        <v>5855657</v>
      </c>
      <c r="J30" s="1323" t="s">
        <v>721</v>
      </c>
      <c r="K30" s="158">
        <v>0</v>
      </c>
      <c r="L30" s="194">
        <f>ROUND(K30*$F$30,0)</f>
        <v>0</v>
      </c>
      <c r="M30" s="195">
        <f>L30/$H$30</f>
        <v>0</v>
      </c>
      <c r="N30" s="158">
        <v>0</v>
      </c>
      <c r="O30" s="194">
        <f>ROUND(N30*$F$30,0)</f>
        <v>0</v>
      </c>
      <c r="P30" s="195">
        <f>O30/$H$30</f>
        <v>0</v>
      </c>
      <c r="Q30" s="433">
        <v>0.5</v>
      </c>
      <c r="R30" s="429">
        <f>ROUND(Q30*$F$30,0)</f>
        <v>2785755</v>
      </c>
      <c r="S30" s="430">
        <f>R30/$H$30</f>
        <v>0.5</v>
      </c>
      <c r="T30" s="433">
        <v>0.5</v>
      </c>
      <c r="U30" s="429">
        <f>ROUND(T30*$F$30,0)</f>
        <v>2785755</v>
      </c>
      <c r="V30" s="430">
        <f>U30/$H$30</f>
        <v>0.5</v>
      </c>
      <c r="W30" s="432">
        <v>0</v>
      </c>
      <c r="X30" s="425">
        <f>ROUND(W30*G30,0)</f>
        <v>0</v>
      </c>
      <c r="Y30" s="426">
        <f t="shared" si="1"/>
        <v>0</v>
      </c>
      <c r="Z30" s="416">
        <f>K30+N30+Q30+T30+W30</f>
        <v>1</v>
      </c>
      <c r="AA30" s="175">
        <f>L30+O30+R30+U30+X30</f>
        <v>5571510</v>
      </c>
      <c r="AB30" s="176">
        <f t="shared" si="0"/>
        <v>1</v>
      </c>
    </row>
    <row r="31" spans="1:28" x14ac:dyDescent="0.3">
      <c r="A31" s="1323"/>
      <c r="B31" s="1323"/>
      <c r="C31" s="115"/>
      <c r="D31" s="115" t="s">
        <v>215</v>
      </c>
      <c r="E31" s="116"/>
      <c r="F31" s="116"/>
      <c r="G31" s="116"/>
      <c r="H31" s="117">
        <f>+H30</f>
        <v>5571510</v>
      </c>
      <c r="I31" s="199">
        <f>SUM(I30)</f>
        <v>5855657</v>
      </c>
      <c r="J31" s="1323"/>
      <c r="K31" s="178"/>
      <c r="L31" s="179">
        <f>L30</f>
        <v>0</v>
      </c>
      <c r="M31" s="178">
        <f>L31/$H$31</f>
        <v>0</v>
      </c>
      <c r="N31" s="308"/>
      <c r="O31" s="179">
        <f>O30</f>
        <v>0</v>
      </c>
      <c r="P31" s="308">
        <f>O31/$H$31</f>
        <v>0</v>
      </c>
      <c r="Q31" s="431"/>
      <c r="R31" s="179">
        <f>R30</f>
        <v>2785755</v>
      </c>
      <c r="S31" s="431">
        <f>R31/$H$31</f>
        <v>0.5</v>
      </c>
      <c r="T31" s="431"/>
      <c r="U31" s="179">
        <f>U30</f>
        <v>2785755</v>
      </c>
      <c r="V31" s="431">
        <f>U31/$H$31</f>
        <v>0.5</v>
      </c>
      <c r="W31" s="431"/>
      <c r="X31" s="179">
        <f>X30</f>
        <v>0</v>
      </c>
      <c r="Y31" s="1091">
        <f t="shared" si="1"/>
        <v>0</v>
      </c>
      <c r="Z31" s="150"/>
      <c r="AA31" s="307">
        <f t="shared" si="2"/>
        <v>5571510</v>
      </c>
      <c r="AB31" s="431">
        <f t="shared" si="0"/>
        <v>1</v>
      </c>
    </row>
    <row r="32" spans="1:28" ht="39" customHeight="1" x14ac:dyDescent="0.3">
      <c r="A32" s="1323" t="s">
        <v>719</v>
      </c>
      <c r="B32" s="1478" t="s">
        <v>275</v>
      </c>
      <c r="C32" s="301" t="s">
        <v>276</v>
      </c>
      <c r="D32" s="301" t="s">
        <v>277</v>
      </c>
      <c r="E32" s="301">
        <v>12.23</v>
      </c>
      <c r="F32" s="114">
        <v>69644</v>
      </c>
      <c r="G32" s="32">
        <f>+ROUND(F32*1.051,0)</f>
        <v>73196</v>
      </c>
      <c r="H32" s="114">
        <f>+F32*E32</f>
        <v>851746.12</v>
      </c>
      <c r="I32" s="32">
        <f>+ROUND(G32*E32,0)</f>
        <v>895187</v>
      </c>
      <c r="J32" s="1478" t="s">
        <v>722</v>
      </c>
      <c r="K32" s="158">
        <v>0</v>
      </c>
      <c r="L32" s="194">
        <f>ROUND(K32*$F$32,0)</f>
        <v>0</v>
      </c>
      <c r="M32" s="195">
        <f>L32/$H$32</f>
        <v>0</v>
      </c>
      <c r="N32" s="427">
        <v>0</v>
      </c>
      <c r="O32" s="425">
        <f>ROUND(N32*$F$32,0)</f>
        <v>0</v>
      </c>
      <c r="P32" s="426">
        <f>O32/$H$32</f>
        <v>0</v>
      </c>
      <c r="Q32" s="432">
        <v>0</v>
      </c>
      <c r="R32" s="425">
        <f>ROUND(Q32*$F$32,0)</f>
        <v>0</v>
      </c>
      <c r="S32" s="426">
        <f>R32/$H$32</f>
        <v>0</v>
      </c>
      <c r="T32" s="433">
        <v>12.23</v>
      </c>
      <c r="U32" s="429">
        <f>ROUND(T32*$F$32,0)</f>
        <v>851746</v>
      </c>
      <c r="V32" s="430">
        <f>U32/$H$32</f>
        <v>0.99999985911294786</v>
      </c>
      <c r="W32" s="432">
        <v>0</v>
      </c>
      <c r="X32" s="425">
        <f>ROUND(W32*G32,0)</f>
        <v>0</v>
      </c>
      <c r="Y32" s="426">
        <f t="shared" si="1"/>
        <v>0</v>
      </c>
      <c r="Z32" s="416">
        <f>K32+N32+Q32+T32+W32</f>
        <v>12.23</v>
      </c>
      <c r="AA32" s="175">
        <f>L32+O32+R32+U32+X32</f>
        <v>851746</v>
      </c>
      <c r="AB32" s="176">
        <f t="shared" si="0"/>
        <v>0.99999985911294786</v>
      </c>
    </row>
    <row r="33" spans="1:28" x14ac:dyDescent="0.3">
      <c r="A33" s="1323"/>
      <c r="B33" s="1478"/>
      <c r="C33" s="115"/>
      <c r="D33" s="115" t="s">
        <v>278</v>
      </c>
      <c r="E33" s="116"/>
      <c r="F33" s="116"/>
      <c r="G33" s="116"/>
      <c r="H33" s="117">
        <f>+H32</f>
        <v>851746.12</v>
      </c>
      <c r="I33" s="199">
        <f>SUM(I32)</f>
        <v>895187</v>
      </c>
      <c r="J33" s="1478"/>
      <c r="K33" s="178"/>
      <c r="L33" s="179">
        <f>L32</f>
        <v>0</v>
      </c>
      <c r="M33" s="178">
        <f>L33/$H$33</f>
        <v>0</v>
      </c>
      <c r="N33" s="308"/>
      <c r="O33" s="179">
        <f>O32</f>
        <v>0</v>
      </c>
      <c r="P33" s="308">
        <f>O33/$H$33</f>
        <v>0</v>
      </c>
      <c r="Q33" s="431"/>
      <c r="R33" s="179">
        <f>R32</f>
        <v>0</v>
      </c>
      <c r="S33" s="431">
        <f>R33/$H$33</f>
        <v>0</v>
      </c>
      <c r="T33" s="431"/>
      <c r="U33" s="179">
        <f>U32</f>
        <v>851746</v>
      </c>
      <c r="V33" s="431">
        <f>U33/$H$33</f>
        <v>0.99999985911294786</v>
      </c>
      <c r="W33" s="431"/>
      <c r="X33" s="179">
        <f>X32</f>
        <v>0</v>
      </c>
      <c r="Y33" s="1091">
        <f t="shared" si="1"/>
        <v>0</v>
      </c>
      <c r="Z33" s="150"/>
      <c r="AA33" s="307">
        <f t="shared" si="2"/>
        <v>851746</v>
      </c>
      <c r="AB33" s="431">
        <f t="shared" si="0"/>
        <v>0.99999985911294786</v>
      </c>
    </row>
    <row r="34" spans="1:28" x14ac:dyDescent="0.3">
      <c r="F34" s="151" t="s">
        <v>64</v>
      </c>
      <c r="G34" s="151"/>
      <c r="H34" s="181">
        <f>SUM(H14:H33)/2</f>
        <v>24562704.119999997</v>
      </c>
      <c r="I34" s="181">
        <f>SUM(I14:I33)/2</f>
        <v>26474167.5</v>
      </c>
      <c r="K34" s="151" t="s">
        <v>64</v>
      </c>
      <c r="L34" s="181">
        <f>SUM(L14:L33)/2</f>
        <v>2019673</v>
      </c>
      <c r="M34" s="50">
        <f>L36/$H$36</f>
        <v>8.3732636447252581E-2</v>
      </c>
      <c r="N34" s="151" t="s">
        <v>64</v>
      </c>
      <c r="O34" s="181">
        <f>SUM(O14:O33)/2</f>
        <v>1703492</v>
      </c>
      <c r="P34" s="50">
        <f>O36/$H$36</f>
        <v>7.0624242799108172E-2</v>
      </c>
      <c r="Q34" s="151" t="s">
        <v>64</v>
      </c>
      <c r="R34" s="181">
        <f>SUM(R14:R33)/2</f>
        <v>5292935</v>
      </c>
      <c r="S34" s="50">
        <f>R36/$H$36</f>
        <v>0.21607332572056595</v>
      </c>
      <c r="T34" s="480" t="s">
        <v>64</v>
      </c>
      <c r="U34" s="481">
        <f>SUM(U14:U33)/2</f>
        <v>14780521</v>
      </c>
      <c r="W34" s="480" t="s">
        <v>64</v>
      </c>
      <c r="X34" s="481">
        <f>SUM(X14:X33)/2</f>
        <v>0</v>
      </c>
      <c r="Z34" s="480" t="s">
        <v>64</v>
      </c>
      <c r="AA34" s="481">
        <f>SUM(AA14:AA33)/2</f>
        <v>23796621</v>
      </c>
    </row>
    <row r="35" spans="1:28" x14ac:dyDescent="0.3">
      <c r="F35" s="153" t="s">
        <v>65</v>
      </c>
      <c r="G35" s="816"/>
      <c r="H35" s="182">
        <f>(H14+H32+H16+H22+H24+H28)*0.03</f>
        <v>281410.17360000004</v>
      </c>
      <c r="I35" s="182">
        <f>(I14+I32+I16+I22+I24+I28)*0.03</f>
        <v>295762.23</v>
      </c>
      <c r="K35" s="153" t="s">
        <v>65</v>
      </c>
      <c r="L35" s="182">
        <f>(L14+L32+L16+L22+L24+L28)*0.03</f>
        <v>60590.189999999995</v>
      </c>
      <c r="N35" s="153" t="s">
        <v>65</v>
      </c>
      <c r="O35" s="182">
        <f>(O14+O32+O16+O22+O24+O28)*0.03</f>
        <v>51104.759999999995</v>
      </c>
      <c r="Q35" s="153" t="s">
        <v>65</v>
      </c>
      <c r="R35" s="182">
        <f>(R14+R32+R16+R22+R24+R28)*0.03</f>
        <v>75215.399999999994</v>
      </c>
      <c r="T35" s="482" t="s">
        <v>65</v>
      </c>
      <c r="U35" s="483">
        <f>(U14+U32+U16+U22+U24+U28)*0.03</f>
        <v>71517.33</v>
      </c>
      <c r="W35" s="482" t="s">
        <v>65</v>
      </c>
      <c r="X35" s="483">
        <f>(X14+X32+X16+X22+X24+X28)*0.03</f>
        <v>0</v>
      </c>
      <c r="Z35" s="482" t="s">
        <v>65</v>
      </c>
      <c r="AA35" s="483">
        <f>+L35+O35+R35+U35</f>
        <v>258427.68</v>
      </c>
      <c r="AB35" s="370"/>
    </row>
    <row r="36" spans="1:28" x14ac:dyDescent="0.3">
      <c r="F36" s="152" t="s">
        <v>64</v>
      </c>
      <c r="G36" s="817"/>
      <c r="H36" s="182">
        <f>+H34+H35</f>
        <v>24844114.293599997</v>
      </c>
      <c r="I36" s="182">
        <f>+I34+I35</f>
        <v>26769929.73</v>
      </c>
      <c r="K36" s="152" t="s">
        <v>64</v>
      </c>
      <c r="L36" s="182">
        <f>+L34+L35</f>
        <v>2080263.19</v>
      </c>
      <c r="N36" s="152" t="s">
        <v>64</v>
      </c>
      <c r="O36" s="182">
        <f>+O34+O35</f>
        <v>1754596.76</v>
      </c>
      <c r="Q36" s="152" t="s">
        <v>64</v>
      </c>
      <c r="R36" s="182">
        <f>+R34+R35</f>
        <v>5368150.4000000004</v>
      </c>
      <c r="T36" s="484" t="s">
        <v>64</v>
      </c>
      <c r="U36" s="483">
        <f>+U34+U35</f>
        <v>14852038.33</v>
      </c>
      <c r="W36" s="484" t="s">
        <v>64</v>
      </c>
      <c r="X36" s="483">
        <f>+X34+X35</f>
        <v>0</v>
      </c>
      <c r="Z36" s="484" t="s">
        <v>64</v>
      </c>
      <c r="AA36" s="483">
        <f>+AA34+AA35</f>
        <v>24055048.68</v>
      </c>
      <c r="AB36" s="370"/>
    </row>
    <row r="37" spans="1:28" ht="26.4" x14ac:dyDescent="0.3">
      <c r="F37" s="152"/>
      <c r="G37" s="817"/>
      <c r="H37" s="182"/>
      <c r="I37" s="182"/>
      <c r="K37" s="152"/>
      <c r="L37" s="182"/>
      <c r="N37" s="152"/>
      <c r="O37" s="182"/>
      <c r="Q37" s="152"/>
      <c r="R37" s="182"/>
      <c r="T37" s="484" t="s">
        <v>1439</v>
      </c>
      <c r="U37" s="483">
        <f>ROUND(U36*0.015,0)</f>
        <v>222781</v>
      </c>
      <c r="W37" s="484" t="s">
        <v>1439</v>
      </c>
      <c r="X37" s="483">
        <f>ROUND(X36*0.015,0)</f>
        <v>0</v>
      </c>
      <c r="Z37" s="484" t="s">
        <v>1439</v>
      </c>
      <c r="AA37" s="483">
        <f>L37+O37+R37+U37</f>
        <v>222781</v>
      </c>
      <c r="AB37" s="370"/>
    </row>
    <row r="38" spans="1:28" ht="26.4" x14ac:dyDescent="0.3">
      <c r="F38" s="152"/>
      <c r="G38" s="817"/>
      <c r="H38" s="182"/>
      <c r="I38" s="182"/>
      <c r="K38" s="152"/>
      <c r="L38" s="182"/>
      <c r="N38" s="152"/>
      <c r="O38" s="182"/>
      <c r="Q38" s="152"/>
      <c r="R38" s="182"/>
      <c r="T38" s="152" t="s">
        <v>1440</v>
      </c>
      <c r="U38" s="182">
        <f>U36+U37</f>
        <v>15074819.33</v>
      </c>
      <c r="V38" s="572">
        <f>U38/$H$36</f>
        <v>0.6067762831812189</v>
      </c>
      <c r="W38" s="152" t="s">
        <v>1440</v>
      </c>
      <c r="X38" s="182">
        <f>X36+X37</f>
        <v>0</v>
      </c>
      <c r="Y38" s="572">
        <f>X38/$H$36</f>
        <v>0</v>
      </c>
      <c r="Z38" s="152" t="s">
        <v>1440</v>
      </c>
      <c r="AA38" s="182">
        <f>AA36+AA37</f>
        <v>24277829.68</v>
      </c>
      <c r="AB38" s="617">
        <f>AA38/H36</f>
        <v>0.97720648814814559</v>
      </c>
    </row>
    <row r="39" spans="1:28" x14ac:dyDescent="0.3">
      <c r="F39" s="154" t="s">
        <v>66</v>
      </c>
      <c r="G39" s="818"/>
      <c r="H39" s="182">
        <f>+H36*19%</f>
        <v>4720381.7157839993</v>
      </c>
      <c r="I39" s="182">
        <f>+I36*19%</f>
        <v>5086286.6486999998</v>
      </c>
      <c r="K39" s="154" t="s">
        <v>66</v>
      </c>
      <c r="L39" s="182">
        <f>+L36*19%</f>
        <v>395250.0061</v>
      </c>
      <c r="N39" s="154" t="s">
        <v>66</v>
      </c>
      <c r="O39" s="182">
        <f>+O36*19%</f>
        <v>333373.38439999998</v>
      </c>
      <c r="Q39" s="154" t="s">
        <v>66</v>
      </c>
      <c r="R39" s="182">
        <f>+R36*19%</f>
        <v>1019948.5760000001</v>
      </c>
      <c r="T39" s="485" t="s">
        <v>66</v>
      </c>
      <c r="U39" s="483">
        <f>ROUND(U38*0.19,0)</f>
        <v>2864216</v>
      </c>
      <c r="W39" s="485" t="s">
        <v>66</v>
      </c>
      <c r="X39" s="483">
        <f>ROUND(X38*0.19,0)</f>
        <v>0</v>
      </c>
      <c r="Z39" s="485" t="s">
        <v>66</v>
      </c>
      <c r="AA39" s="483">
        <f>ROUND(AA38*0.19,0)</f>
        <v>4612788</v>
      </c>
      <c r="AB39" s="370"/>
    </row>
    <row r="40" spans="1:28" x14ac:dyDescent="0.3">
      <c r="F40" s="155" t="s">
        <v>69</v>
      </c>
      <c r="G40" s="155"/>
      <c r="H40" s="181">
        <f>+H36+H39</f>
        <v>29564496.009383995</v>
      </c>
      <c r="I40" s="181">
        <f>+I36+I39</f>
        <v>31856216.378699999</v>
      </c>
      <c r="K40" s="155" t="s">
        <v>69</v>
      </c>
      <c r="L40" s="181">
        <f>+L36+L39</f>
        <v>2475513.1960999998</v>
      </c>
      <c r="N40" s="155" t="s">
        <v>69</v>
      </c>
      <c r="O40" s="181">
        <f>+O36+O39</f>
        <v>2087970.1444000001</v>
      </c>
      <c r="Q40" s="155" t="s">
        <v>69</v>
      </c>
      <c r="R40" s="181">
        <f>+R36+R39</f>
        <v>6388098.9760000007</v>
      </c>
      <c r="T40" s="545" t="s">
        <v>69</v>
      </c>
      <c r="U40" s="481">
        <f>U38+U39</f>
        <v>17939035.329999998</v>
      </c>
      <c r="W40" s="545" t="s">
        <v>69</v>
      </c>
      <c r="X40" s="481">
        <f>X38+X39</f>
        <v>0</v>
      </c>
      <c r="Z40" s="545" t="s">
        <v>69</v>
      </c>
      <c r="AA40" s="481">
        <f>AA38+AA39</f>
        <v>28890617.68</v>
      </c>
      <c r="AB40" s="370"/>
    </row>
    <row r="46" spans="1:28" x14ac:dyDescent="0.3">
      <c r="A46" s="183" t="s">
        <v>67</v>
      </c>
      <c r="B46" s="184"/>
      <c r="C46" s="184"/>
      <c r="D46" s="185" t="s">
        <v>68</v>
      </c>
      <c r="K46" s="186" t="s">
        <v>70</v>
      </c>
      <c r="L46" s="187" t="s">
        <v>71</v>
      </c>
      <c r="M46" s="186" t="s">
        <v>58</v>
      </c>
      <c r="N46" s="186" t="s">
        <v>70</v>
      </c>
      <c r="O46" s="187" t="s">
        <v>71</v>
      </c>
      <c r="P46" s="186" t="s">
        <v>58</v>
      </c>
      <c r="Q46" s="186" t="s">
        <v>70</v>
      </c>
      <c r="R46" s="187" t="s">
        <v>71</v>
      </c>
      <c r="S46" s="186" t="s">
        <v>58</v>
      </c>
      <c r="T46" s="186" t="s">
        <v>70</v>
      </c>
      <c r="U46" s="187" t="s">
        <v>71</v>
      </c>
      <c r="V46" s="186" t="s">
        <v>58</v>
      </c>
      <c r="W46" s="186" t="s">
        <v>70</v>
      </c>
      <c r="X46" s="187" t="s">
        <v>71</v>
      </c>
      <c r="Y46" s="186" t="s">
        <v>58</v>
      </c>
      <c r="Z46" s="148"/>
      <c r="AA46" s="148"/>
      <c r="AB46" s="148"/>
    </row>
    <row r="47" spans="1:28" x14ac:dyDescent="0.3">
      <c r="A47" s="183"/>
      <c r="B47" s="184"/>
      <c r="C47" s="184"/>
      <c r="D47" s="185"/>
      <c r="K47" s="69" t="s">
        <v>72</v>
      </c>
      <c r="L47" s="70">
        <f>$L$36</f>
        <v>2080263.19</v>
      </c>
      <c r="M47" s="71">
        <f>$M$34</f>
        <v>8.3732636447252581E-2</v>
      </c>
      <c r="N47" s="69" t="s">
        <v>72</v>
      </c>
      <c r="O47" s="70">
        <f>$L$36</f>
        <v>2080263.19</v>
      </c>
      <c r="P47" s="71">
        <f>$M$34</f>
        <v>8.3732636447252581E-2</v>
      </c>
      <c r="Q47" s="69" t="s">
        <v>72</v>
      </c>
      <c r="R47" s="70">
        <f>$L$36</f>
        <v>2080263.19</v>
      </c>
      <c r="S47" s="71">
        <f>$M$34</f>
        <v>8.3732636447252581E-2</v>
      </c>
      <c r="T47" s="69" t="s">
        <v>72</v>
      </c>
      <c r="U47" s="70">
        <f>$L$36</f>
        <v>2080263.19</v>
      </c>
      <c r="V47" s="71">
        <f>$M$34</f>
        <v>8.3732636447252581E-2</v>
      </c>
      <c r="W47" s="69" t="s">
        <v>72</v>
      </c>
      <c r="X47" s="70">
        <f>$L$36</f>
        <v>2080263.19</v>
      </c>
      <c r="Y47" s="71">
        <f>$M$34</f>
        <v>8.3732636447252581E-2</v>
      </c>
      <c r="Z47" s="148"/>
      <c r="AA47" s="148"/>
      <c r="AB47" s="148"/>
    </row>
    <row r="48" spans="1:28" x14ac:dyDescent="0.3">
      <c r="A48" s="183"/>
      <c r="B48" s="184"/>
      <c r="C48" s="184"/>
      <c r="D48" s="185"/>
      <c r="K48" s="69"/>
      <c r="L48" s="70"/>
      <c r="M48" s="71"/>
      <c r="N48" s="69" t="s">
        <v>73</v>
      </c>
      <c r="O48" s="70">
        <f>$O$36</f>
        <v>1754596.76</v>
      </c>
      <c r="P48" s="71">
        <f>$P$34</f>
        <v>7.0624242799108172E-2</v>
      </c>
      <c r="Q48" s="69" t="s">
        <v>73</v>
      </c>
      <c r="R48" s="70">
        <f>$O$36</f>
        <v>1754596.76</v>
      </c>
      <c r="S48" s="71">
        <f>$P$34</f>
        <v>7.0624242799108172E-2</v>
      </c>
      <c r="T48" s="69" t="s">
        <v>73</v>
      </c>
      <c r="U48" s="70">
        <f>$O$36</f>
        <v>1754596.76</v>
      </c>
      <c r="V48" s="71">
        <f>$P$34</f>
        <v>7.0624242799108172E-2</v>
      </c>
      <c r="W48" s="69" t="s">
        <v>73</v>
      </c>
      <c r="X48" s="70">
        <f>$O$36</f>
        <v>1754596.76</v>
      </c>
      <c r="Y48" s="71">
        <f>$P$34</f>
        <v>7.0624242799108172E-2</v>
      </c>
      <c r="Z48" s="302"/>
      <c r="AA48" s="302"/>
      <c r="AB48" s="302"/>
    </row>
    <row r="49" spans="1:28" x14ac:dyDescent="0.3">
      <c r="A49" s="183"/>
      <c r="B49" s="184"/>
      <c r="C49" s="184"/>
      <c r="D49" s="185"/>
      <c r="K49" s="69"/>
      <c r="L49" s="70"/>
      <c r="M49" s="71"/>
      <c r="N49" s="69"/>
      <c r="O49" s="70"/>
      <c r="P49" s="71"/>
      <c r="Q49" s="69" t="s">
        <v>74</v>
      </c>
      <c r="R49" s="70">
        <f>$R$36</f>
        <v>5368150.4000000004</v>
      </c>
      <c r="S49" s="71">
        <f>$S$34</f>
        <v>0.21607332572056595</v>
      </c>
      <c r="T49" s="69" t="s">
        <v>74</v>
      </c>
      <c r="U49" s="70">
        <f>$R$36</f>
        <v>5368150.4000000004</v>
      </c>
      <c r="V49" s="71">
        <f>$S$34</f>
        <v>0.21607332572056595</v>
      </c>
      <c r="W49" s="69" t="s">
        <v>74</v>
      </c>
      <c r="X49" s="70">
        <f>$R$36</f>
        <v>5368150.4000000004</v>
      </c>
      <c r="Y49" s="71">
        <f>$S$34</f>
        <v>0.21607332572056595</v>
      </c>
      <c r="Z49" s="302"/>
      <c r="AA49" s="302"/>
      <c r="AB49" s="302"/>
    </row>
    <row r="50" spans="1:28" x14ac:dyDescent="0.3">
      <c r="A50" s="183"/>
      <c r="B50" s="184"/>
      <c r="C50" s="184"/>
      <c r="D50" s="185"/>
      <c r="K50" s="69"/>
      <c r="L50" s="70"/>
      <c r="M50" s="71"/>
      <c r="N50" s="69"/>
      <c r="O50" s="70"/>
      <c r="P50" s="71"/>
      <c r="Q50" s="69"/>
      <c r="R50" s="70"/>
      <c r="S50" s="71"/>
      <c r="T50" s="69" t="s">
        <v>155</v>
      </c>
      <c r="U50" s="70">
        <f>$U$38</f>
        <v>15074819.33</v>
      </c>
      <c r="V50" s="71">
        <f>$V$38</f>
        <v>0.6067762831812189</v>
      </c>
      <c r="W50" s="69" t="s">
        <v>155</v>
      </c>
      <c r="X50" s="70">
        <f>$U$38</f>
        <v>15074819.33</v>
      </c>
      <c r="Y50" s="71">
        <f>$V$38</f>
        <v>0.6067762831812189</v>
      </c>
      <c r="Z50" s="302"/>
      <c r="AA50" s="302"/>
      <c r="AB50" s="302"/>
    </row>
    <row r="51" spans="1:28" s="805" customFormat="1" x14ac:dyDescent="0.3">
      <c r="A51" s="183"/>
      <c r="B51" s="184"/>
      <c r="C51" s="184"/>
      <c r="D51" s="185"/>
      <c r="K51" s="69"/>
      <c r="L51" s="70"/>
      <c r="M51" s="71"/>
      <c r="N51" s="69"/>
      <c r="O51" s="70"/>
      <c r="P51" s="71"/>
      <c r="Q51" s="69"/>
      <c r="R51" s="70"/>
      <c r="S51" s="71"/>
      <c r="T51" s="69"/>
      <c r="U51" s="70"/>
      <c r="V51" s="71"/>
      <c r="W51" s="69" t="s">
        <v>352</v>
      </c>
      <c r="X51" s="70">
        <f>+X38</f>
        <v>0</v>
      </c>
      <c r="Y51" s="71">
        <f>+Y38</f>
        <v>0</v>
      </c>
      <c r="Z51" s="804"/>
      <c r="AA51" s="804"/>
      <c r="AB51" s="804"/>
    </row>
    <row r="52" spans="1:28" x14ac:dyDescent="0.3">
      <c r="A52" s="183"/>
      <c r="B52" s="184"/>
      <c r="C52" s="184"/>
      <c r="D52" s="185"/>
      <c r="K52" s="72" t="s">
        <v>1</v>
      </c>
      <c r="L52" s="105">
        <f>SUM(L47:L47)</f>
        <v>2080263.19</v>
      </c>
      <c r="M52" s="73">
        <f>SUM(M47:M47)</f>
        <v>8.3732636447252581E-2</v>
      </c>
      <c r="N52" s="72" t="s">
        <v>1</v>
      </c>
      <c r="O52" s="105">
        <f>SUM(O47:O48)</f>
        <v>3834859.95</v>
      </c>
      <c r="P52" s="73">
        <f>SUM(P47:P48)</f>
        <v>0.15435687924636077</v>
      </c>
      <c r="Q52" s="72" t="s">
        <v>1</v>
      </c>
      <c r="R52" s="105">
        <f>SUM(R47:R49)</f>
        <v>9203010.3500000015</v>
      </c>
      <c r="S52" s="73">
        <f>SUM(S47:S48)</f>
        <v>0.15435687924636077</v>
      </c>
      <c r="T52" s="72" t="s">
        <v>1</v>
      </c>
      <c r="U52" s="105">
        <f>SUM(U47:U50)</f>
        <v>24277829.68</v>
      </c>
      <c r="V52" s="73">
        <f>SUM(V47:V50)</f>
        <v>0.97720648814814559</v>
      </c>
      <c r="W52" s="72" t="s">
        <v>1</v>
      </c>
      <c r="X52" s="105">
        <f>SUM(X47:X51)</f>
        <v>24277829.68</v>
      </c>
      <c r="Y52" s="73">
        <f>SUM(Y47:Y51)</f>
        <v>0.97720648814814559</v>
      </c>
      <c r="Z52" s="148"/>
      <c r="AA52" s="148"/>
      <c r="AB52" s="148"/>
    </row>
    <row r="53" spans="1:28" x14ac:dyDescent="0.3">
      <c r="A53" s="183"/>
      <c r="B53" s="184"/>
      <c r="C53" s="184"/>
      <c r="D53" s="185"/>
      <c r="K53" s="72" t="s">
        <v>9</v>
      </c>
      <c r="L53" s="1285"/>
      <c r="M53" s="1286"/>
      <c r="N53" s="72" t="s">
        <v>9</v>
      </c>
      <c r="O53" s="1285"/>
      <c r="P53" s="1286"/>
      <c r="Q53" s="72" t="s">
        <v>9</v>
      </c>
      <c r="R53" s="1285"/>
      <c r="S53" s="1286"/>
      <c r="T53" s="72" t="s">
        <v>9</v>
      </c>
      <c r="U53" s="1285"/>
      <c r="V53" s="1286"/>
      <c r="W53" s="72" t="s">
        <v>9</v>
      </c>
      <c r="X53" s="1285"/>
      <c r="Y53" s="1286"/>
      <c r="Z53" s="148"/>
      <c r="AA53" s="148"/>
      <c r="AB53" s="148"/>
    </row>
    <row r="54" spans="1:28" x14ac:dyDescent="0.3">
      <c r="A54" s="183"/>
      <c r="B54" s="184"/>
      <c r="C54" s="184"/>
      <c r="D54" s="185"/>
      <c r="K54" s="156" t="s">
        <v>78</v>
      </c>
      <c r="L54" s="1285" t="s">
        <v>726</v>
      </c>
      <c r="M54" s="1286"/>
      <c r="N54" s="156" t="s">
        <v>78</v>
      </c>
      <c r="O54" s="1285" t="s">
        <v>726</v>
      </c>
      <c r="P54" s="1286"/>
      <c r="Q54" s="156" t="s">
        <v>78</v>
      </c>
      <c r="R54" s="1285" t="s">
        <v>726</v>
      </c>
      <c r="S54" s="1286"/>
      <c r="T54" s="156" t="s">
        <v>78</v>
      </c>
      <c r="U54" s="1285" t="s">
        <v>726</v>
      </c>
      <c r="V54" s="1286"/>
      <c r="W54" s="156" t="s">
        <v>78</v>
      </c>
      <c r="X54" s="1285" t="s">
        <v>726</v>
      </c>
      <c r="Y54" s="1286"/>
      <c r="Z54" s="148"/>
      <c r="AA54" s="148"/>
      <c r="AB54" s="148"/>
    </row>
    <row r="55" spans="1:28" x14ac:dyDescent="0.3">
      <c r="A55" s="183"/>
      <c r="B55" s="184"/>
      <c r="C55" s="184"/>
      <c r="D55" s="185"/>
      <c r="K55" s="157" t="s">
        <v>8</v>
      </c>
      <c r="L55" s="1287">
        <v>1620900020</v>
      </c>
      <c r="M55" s="1288"/>
      <c r="N55" s="157" t="s">
        <v>8</v>
      </c>
      <c r="O55" s="1287">
        <v>1620900020</v>
      </c>
      <c r="P55" s="1288"/>
      <c r="Q55" s="157" t="s">
        <v>8</v>
      </c>
      <c r="R55" s="1287">
        <v>1620900020</v>
      </c>
      <c r="S55" s="1288"/>
      <c r="T55" s="157" t="s">
        <v>8</v>
      </c>
      <c r="U55" s="1287">
        <v>1620900020</v>
      </c>
      <c r="V55" s="1288"/>
      <c r="W55" s="157" t="s">
        <v>8</v>
      </c>
      <c r="X55" s="1287">
        <v>1620900020</v>
      </c>
      <c r="Y55" s="1288"/>
      <c r="Z55" s="148"/>
      <c r="AA55" s="148"/>
      <c r="AB55" s="148"/>
    </row>
    <row r="56" spans="1:28" x14ac:dyDescent="0.3">
      <c r="A56" s="183"/>
      <c r="B56" s="184"/>
      <c r="C56" s="184"/>
      <c r="D56" s="185" t="s">
        <v>75</v>
      </c>
    </row>
    <row r="57" spans="1:28" x14ac:dyDescent="0.3">
      <c r="A57" s="183" t="s">
        <v>76</v>
      </c>
      <c r="B57" s="180"/>
      <c r="C57" s="180"/>
      <c r="D57" s="185" t="s">
        <v>77</v>
      </c>
    </row>
    <row r="58" spans="1:28" x14ac:dyDescent="0.3">
      <c r="A58" s="183" t="s">
        <v>79</v>
      </c>
      <c r="B58" s="180"/>
      <c r="C58" s="180"/>
      <c r="D58" s="185" t="s">
        <v>80</v>
      </c>
    </row>
  </sheetData>
  <sheetProtection formatCells="0" formatColumns="0" formatRows="0" insertColumns="0" insertRows="0" insertHyperlinks="0" deleteColumns="0" deleteRows="0" sort="0" autoFilter="0" pivotTables="0"/>
  <mergeCells count="64">
    <mergeCell ref="X53:Y53"/>
    <mergeCell ref="X54:Y54"/>
    <mergeCell ref="X55:Y55"/>
    <mergeCell ref="U53:V53"/>
    <mergeCell ref="U54:V54"/>
    <mergeCell ref="U55:V55"/>
    <mergeCell ref="C1:V2"/>
    <mergeCell ref="A14:A15"/>
    <mergeCell ref="B14:B15"/>
    <mergeCell ref="J14:J15"/>
    <mergeCell ref="A16:A17"/>
    <mergeCell ref="B16:B17"/>
    <mergeCell ref="J16:J17"/>
    <mergeCell ref="A10:AB10"/>
    <mergeCell ref="W11:Y12"/>
    <mergeCell ref="A6:AB6"/>
    <mergeCell ref="A7:AB7"/>
    <mergeCell ref="A8:AB8"/>
    <mergeCell ref="A9:AB9"/>
    <mergeCell ref="Z1:AB1"/>
    <mergeCell ref="Z2:AB2"/>
    <mergeCell ref="A3:AB3"/>
    <mergeCell ref="A18:A19"/>
    <mergeCell ref="B18:B19"/>
    <mergeCell ref="J18:J19"/>
    <mergeCell ref="A20:A21"/>
    <mergeCell ref="B20:B21"/>
    <mergeCell ref="J20:J21"/>
    <mergeCell ref="A30:A31"/>
    <mergeCell ref="B30:B31"/>
    <mergeCell ref="J30:J31"/>
    <mergeCell ref="A22:A23"/>
    <mergeCell ref="B22:B23"/>
    <mergeCell ref="J22:J23"/>
    <mergeCell ref="A24:A25"/>
    <mergeCell ref="B24:B25"/>
    <mergeCell ref="J24:J25"/>
    <mergeCell ref="A26:A27"/>
    <mergeCell ref="B26:B27"/>
    <mergeCell ref="J26:J27"/>
    <mergeCell ref="A28:A29"/>
    <mergeCell ref="B28:B29"/>
    <mergeCell ref="J28:J29"/>
    <mergeCell ref="R53:S53"/>
    <mergeCell ref="R54:S54"/>
    <mergeCell ref="A32:A33"/>
    <mergeCell ref="B32:B33"/>
    <mergeCell ref="J32:J33"/>
    <mergeCell ref="R55:S55"/>
    <mergeCell ref="T11:V12"/>
    <mergeCell ref="A4:AB4"/>
    <mergeCell ref="A5:AB5"/>
    <mergeCell ref="L55:M55"/>
    <mergeCell ref="B11:J11"/>
    <mergeCell ref="K11:M12"/>
    <mergeCell ref="Z11:AB12"/>
    <mergeCell ref="B12:J12"/>
    <mergeCell ref="L53:M53"/>
    <mergeCell ref="L54:M54"/>
    <mergeCell ref="N11:P12"/>
    <mergeCell ref="O53:P53"/>
    <mergeCell ref="O54:P54"/>
    <mergeCell ref="O55:P55"/>
    <mergeCell ref="Q11:S12"/>
  </mergeCells>
  <pageMargins left="0.70866141732283472" right="0.70866141732283472" top="0.74803149606299213" bottom="0.74803149606299213" header="0.31496062992125984" footer="0.31496062992125984"/>
  <pageSetup scale="40" orientation="landscape" r:id="rId1"/>
  <rowBreaks count="1" manualBreakCount="1">
    <brk id="29" max="16383" man="1"/>
  </rowBreaks>
  <drawing r:id="rId2"/>
  <legacyDrawingHF r:id="rId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7">
    <tabColor theme="1"/>
  </sheetPr>
  <dimension ref="A1:G49"/>
  <sheetViews>
    <sheetView topLeftCell="A10"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RESUMEN!G44</f>
        <v>Proyecto: Validación ELÉCTRICA, CIVIL, MECÁNICA de los nuevos bancos de transformadores T2 por futuro reemplazo de cada una de las unidades existentes en la SE BACATÁ 500/115 KV</v>
      </c>
      <c r="C5" s="1281"/>
      <c r="D5" s="1281"/>
      <c r="E5" s="1281"/>
      <c r="F5" s="1281"/>
      <c r="G5" s="1282"/>
    </row>
    <row r="6" spans="1:7" x14ac:dyDescent="0.25">
      <c r="A6" s="1177"/>
      <c r="B6" s="1177"/>
      <c r="C6" s="1177"/>
      <c r="D6" s="1177"/>
      <c r="E6" s="1177"/>
      <c r="F6" s="1177"/>
      <c r="G6" s="1177"/>
    </row>
    <row r="7" spans="1:7" x14ac:dyDescent="0.25">
      <c r="A7" s="271" t="s">
        <v>0</v>
      </c>
      <c r="B7" s="1264">
        <f>RESUMEN!B44</f>
        <v>0</v>
      </c>
      <c r="C7" s="1265"/>
      <c r="D7" s="1177"/>
      <c r="E7" s="1266" t="s">
        <v>627</v>
      </c>
      <c r="F7" s="1267"/>
      <c r="G7" s="280" t="str">
        <f>RESUMEN!E44</f>
        <v xml:space="preserve">17-227 </v>
      </c>
    </row>
    <row r="8" spans="1:7" x14ac:dyDescent="0.25">
      <c r="A8" s="271" t="s">
        <v>628</v>
      </c>
      <c r="B8" s="1264">
        <f>RESUMEN!C44</f>
        <v>0</v>
      </c>
      <c r="C8" s="1265"/>
      <c r="D8" s="1177"/>
      <c r="E8" s="1266" t="s">
        <v>629</v>
      </c>
      <c r="F8" s="1267"/>
      <c r="G8" s="280" t="str">
        <f>RESUMEN!U44</f>
        <v>Acta N° 3: Marzo</v>
      </c>
    </row>
    <row r="9" spans="1:7" x14ac:dyDescent="0.25">
      <c r="A9" s="271" t="s">
        <v>630</v>
      </c>
      <c r="B9" s="1283" t="s">
        <v>631</v>
      </c>
      <c r="C9" s="1265"/>
      <c r="D9" s="1177"/>
      <c r="E9" s="1266" t="s">
        <v>632</v>
      </c>
      <c r="F9" s="1267"/>
      <c r="G9" s="1178">
        <f>RESUMEN!H44</f>
        <v>10321222</v>
      </c>
    </row>
    <row r="10" spans="1:7" x14ac:dyDescent="0.25">
      <c r="A10" s="271" t="s">
        <v>633</v>
      </c>
      <c r="B10" s="1283" t="str">
        <f>RESUMEN!D44</f>
        <v>BACATÁ VALIDA DISEÑO</v>
      </c>
      <c r="C10" s="1265"/>
      <c r="D10" s="1177"/>
      <c r="E10" s="1266" t="s">
        <v>634</v>
      </c>
      <c r="F10" s="1267"/>
      <c r="G10" s="1178">
        <f>RESUMEN!R44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Validación ELÉCTRICA, CIVIL, MECÁNICA de los nuevos bancos de transformadores T2 por futuro reemplazo de cada una de las unidades existentes en la SE BACATÁ 500/115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RESUMEN!N44</f>
        <v>0</v>
      </c>
      <c r="F19" s="1248"/>
      <c r="G19" s="1177"/>
    </row>
    <row r="20" spans="1:7" ht="27" customHeight="1" x14ac:dyDescent="0.25">
      <c r="A20" s="1177"/>
      <c r="B20" s="1244" t="s">
        <v>1498</v>
      </c>
      <c r="C20" s="1245"/>
      <c r="D20" s="1246"/>
      <c r="E20" s="1247">
        <f>RESUMEN!P44</f>
        <v>0</v>
      </c>
      <c r="F20" s="1248"/>
      <c r="G20" s="1177"/>
    </row>
    <row r="21" spans="1:7" ht="27" customHeight="1" x14ac:dyDescent="0.25">
      <c r="A21" s="1177"/>
      <c r="B21" s="1244" t="s">
        <v>1499</v>
      </c>
      <c r="C21" s="1245"/>
      <c r="D21" s="1246"/>
      <c r="E21" s="1247">
        <f>RESUMEN!Q44</f>
        <v>0</v>
      </c>
      <c r="F21" s="1248"/>
      <c r="G21" s="1177"/>
    </row>
    <row r="22" spans="1:7" x14ac:dyDescent="0.25">
      <c r="A22" s="1177"/>
      <c r="B22" s="1254" t="s">
        <v>64</v>
      </c>
      <c r="C22" s="1254"/>
      <c r="D22" s="1254"/>
      <c r="E22" s="1255">
        <f>RESUMEN!R44</f>
        <v>0</v>
      </c>
      <c r="F22" s="1255"/>
      <c r="G22" s="1177"/>
    </row>
    <row r="23" spans="1:7" x14ac:dyDescent="0.25">
      <c r="A23" s="1177"/>
      <c r="B23" s="1256" t="s">
        <v>66</v>
      </c>
      <c r="C23" s="1256"/>
      <c r="D23" s="1256"/>
      <c r="E23" s="1257">
        <f>RESUMEN!S44</f>
        <v>0</v>
      </c>
      <c r="F23" s="1257"/>
      <c r="G23" s="1177"/>
    </row>
    <row r="24" spans="1:7" x14ac:dyDescent="0.25">
      <c r="A24" s="1177"/>
      <c r="B24" s="1258" t="s">
        <v>1</v>
      </c>
      <c r="C24" s="1258"/>
      <c r="D24" s="1258"/>
      <c r="E24" s="1259">
        <f>RESUMEN!T44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+'OT17-227 BACATÁ VALIDA DISEÑO'!Q28</f>
        <v>ACTA 1</v>
      </c>
      <c r="C28" s="1253">
        <f>+'OT17-227 BACATÁ VALIDA DISEÑO'!R28</f>
        <v>2569859</v>
      </c>
      <c r="D28" s="1253"/>
      <c r="E28" s="267">
        <f>+'OT17-227 BACATÁ VALIDA DISEÑO'!S28</f>
        <v>0.24898786209617427</v>
      </c>
      <c r="F28" s="1177"/>
      <c r="G28" s="1177"/>
    </row>
    <row r="29" spans="1:7" x14ac:dyDescent="0.25">
      <c r="A29" s="1177"/>
      <c r="B29" s="280" t="str">
        <f>+'OT17-227 BACATÁ VALIDA DISEÑO'!Q29</f>
        <v>ACTA 2</v>
      </c>
      <c r="C29" s="1253">
        <f>+'OT17-227 BACATÁ VALIDA DISEÑO'!R29</f>
        <v>3319924</v>
      </c>
      <c r="D29" s="1253"/>
      <c r="E29" s="267">
        <f>+'OT17-227 BACATÁ VALIDA DISEÑO'!S29</f>
        <v>0.32165997398370078</v>
      </c>
      <c r="F29" s="1177"/>
      <c r="G29" s="1177"/>
    </row>
    <row r="30" spans="1:7" x14ac:dyDescent="0.25">
      <c r="A30" s="1177"/>
      <c r="B30" s="280" t="str">
        <f>+'OT17-227 BACATÁ VALIDA DISEÑO'!Q30</f>
        <v>ACTA 3</v>
      </c>
      <c r="C30" s="1253">
        <f>+'OT17-227 BACATÁ VALIDA DISEÑO'!R30</f>
        <v>0</v>
      </c>
      <c r="D30" s="1253"/>
      <c r="E30" s="267">
        <f>+'OT17-227 BACATÁ VALIDA DISEÑO'!S30</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5889783</v>
      </c>
      <c r="D34" s="1251"/>
      <c r="E34" s="264">
        <f>SUM(E28:E33)</f>
        <v>0.57064783607987501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1">
    <tabColor theme="7"/>
  </sheetPr>
  <dimension ref="A1:V37"/>
  <sheetViews>
    <sheetView zoomScale="55" zoomScaleNormal="55" workbookViewId="0">
      <selection activeCell="S18" sqref="S18"/>
    </sheetView>
  </sheetViews>
  <sheetFormatPr baseColWidth="10" defaultColWidth="11.44140625" defaultRowHeight="14.4" x14ac:dyDescent="0.3"/>
  <cols>
    <col min="1" max="1" width="16.109375" style="302" customWidth="1"/>
    <col min="2" max="2" width="23.33203125" style="302" customWidth="1"/>
    <col min="3" max="3" width="22.109375" style="302" customWidth="1"/>
    <col min="4" max="4" width="22.33203125" style="302" customWidth="1"/>
    <col min="5" max="5" width="11.5546875" style="302" bestFit="1" customWidth="1"/>
    <col min="6" max="6" width="17.88671875" style="302" customWidth="1"/>
    <col min="7" max="7" width="17.88671875" style="804" customWidth="1"/>
    <col min="8" max="8" width="17.33203125" style="302" customWidth="1"/>
    <col min="9" max="9" width="17.33203125" style="804" customWidth="1"/>
    <col min="10" max="10" width="46.88671875" style="302" customWidth="1"/>
    <col min="11" max="11" width="17.88671875" style="302" hidden="1" customWidth="1"/>
    <col min="12" max="12" width="18" style="302" hidden="1" customWidth="1"/>
    <col min="13" max="13" width="11.44140625" style="302" hidden="1" customWidth="1"/>
    <col min="14" max="14" width="17.88671875" style="302" hidden="1" customWidth="1"/>
    <col min="15" max="15" width="18" style="302" hidden="1" customWidth="1"/>
    <col min="16" max="16" width="11.44140625" style="302" hidden="1" customWidth="1"/>
    <col min="17" max="17" width="17.88671875" style="302" bestFit="1" customWidth="1"/>
    <col min="18" max="18" width="18" style="302" bestFit="1" customWidth="1"/>
    <col min="19" max="19" width="11.44140625" style="302"/>
    <col min="20" max="20" width="17.88671875" style="302" bestFit="1" customWidth="1"/>
    <col min="21" max="21" width="17" style="302" bestFit="1" customWidth="1"/>
    <col min="22" max="16384" width="11.44140625" style="302"/>
  </cols>
  <sheetData>
    <row r="1" spans="1:22" ht="71.2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1303" t="s">
        <v>821</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1305"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ht="13.5" customHeight="1" x14ac:dyDescent="0.3">
      <c r="A7" s="1291" t="s">
        <v>822</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823</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318"/>
      <c r="B11" s="1301"/>
      <c r="C11" s="1313"/>
      <c r="D11" s="1313"/>
      <c r="E11" s="1313"/>
      <c r="F11" s="1313"/>
      <c r="G11" s="1313"/>
      <c r="H11" s="1313"/>
      <c r="I11" s="1313"/>
      <c r="J11" s="1313"/>
      <c r="K11" s="1293" t="s">
        <v>46</v>
      </c>
      <c r="L11" s="1294"/>
      <c r="M11" s="1295"/>
      <c r="N11" s="1293" t="s">
        <v>981</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296"/>
      <c r="O12" s="1297"/>
      <c r="P12" s="1298"/>
      <c r="Q12" s="1296"/>
      <c r="R12" s="1297"/>
      <c r="S12" s="1298"/>
      <c r="T12" s="1300"/>
      <c r="U12" s="1300"/>
      <c r="V12" s="1300"/>
    </row>
    <row r="13" spans="1:22" ht="28.8" x14ac:dyDescent="0.3">
      <c r="A13" s="159" t="s">
        <v>50</v>
      </c>
      <c r="B13" s="159" t="s">
        <v>51</v>
      </c>
      <c r="C13" s="159" t="s">
        <v>52</v>
      </c>
      <c r="D13" s="159" t="s">
        <v>164</v>
      </c>
      <c r="E13" s="159" t="s">
        <v>54</v>
      </c>
      <c r="F13" s="141" t="s">
        <v>55</v>
      </c>
      <c r="G13" s="823" t="s">
        <v>2007</v>
      </c>
      <c r="H13" s="159" t="s">
        <v>56</v>
      </c>
      <c r="I13" s="824" t="s">
        <v>56</v>
      </c>
      <c r="J13" s="159" t="s">
        <v>57</v>
      </c>
      <c r="K13" s="28" t="s">
        <v>54</v>
      </c>
      <c r="L13" s="28" t="s">
        <v>56</v>
      </c>
      <c r="M13" s="28" t="s">
        <v>58</v>
      </c>
      <c r="N13" s="28" t="s">
        <v>54</v>
      </c>
      <c r="O13" s="28" t="s">
        <v>56</v>
      </c>
      <c r="P13" s="28" t="s">
        <v>58</v>
      </c>
      <c r="Q13" s="28" t="s">
        <v>54</v>
      </c>
      <c r="R13" s="28" t="s">
        <v>56</v>
      </c>
      <c r="S13" s="28" t="s">
        <v>58</v>
      </c>
      <c r="T13" s="174" t="s">
        <v>54</v>
      </c>
      <c r="U13" s="172" t="s">
        <v>56</v>
      </c>
      <c r="V13" s="28" t="s">
        <v>58</v>
      </c>
    </row>
    <row r="14" spans="1:22" ht="52.5" customHeight="1" x14ac:dyDescent="0.3">
      <c r="A14" s="1289" t="s">
        <v>818</v>
      </c>
      <c r="B14" s="1289" t="s">
        <v>819</v>
      </c>
      <c r="C14" s="317" t="s">
        <v>81</v>
      </c>
      <c r="D14" s="317" t="s">
        <v>419</v>
      </c>
      <c r="E14" s="31">
        <v>0.6</v>
      </c>
      <c r="F14" s="32">
        <v>7904580</v>
      </c>
      <c r="G14" s="32">
        <f>+ROUND(F14*1.051,0)</f>
        <v>8307714</v>
      </c>
      <c r="H14" s="32">
        <f>ROUND((E14*F14),0)</f>
        <v>4742748</v>
      </c>
      <c r="I14" s="32">
        <f>+ROUND(G14*E14,0)</f>
        <v>4984628</v>
      </c>
      <c r="J14" s="1290" t="s">
        <v>820</v>
      </c>
      <c r="K14" s="158">
        <v>0</v>
      </c>
      <c r="L14" s="194">
        <f>ROUND(K14*$F$14,0)</f>
        <v>0</v>
      </c>
      <c r="M14" s="195">
        <f>L14/$H$14</f>
        <v>0</v>
      </c>
      <c r="N14" s="303">
        <v>0.42</v>
      </c>
      <c r="O14" s="304">
        <f>ROUND(N14*$F$14,0)</f>
        <v>3319924</v>
      </c>
      <c r="P14" s="305">
        <f>O14/$H$14</f>
        <v>0.70000008433929017</v>
      </c>
      <c r="Q14" s="432">
        <v>0</v>
      </c>
      <c r="R14" s="425">
        <f>ROUND(Q14*G14,0)</f>
        <v>0</v>
      </c>
      <c r="S14" s="426">
        <f>R14/I14</f>
        <v>0</v>
      </c>
      <c r="T14" s="149">
        <f t="shared" ref="T14:T16" si="0">K14+N14+Q14</f>
        <v>0.42</v>
      </c>
      <c r="U14" s="175">
        <f>L14+O14+R14</f>
        <v>3319924</v>
      </c>
      <c r="V14" s="176">
        <f>U14/H14</f>
        <v>0.70000008433929017</v>
      </c>
    </row>
    <row r="15" spans="1:22" ht="44.25" customHeight="1" x14ac:dyDescent="0.3">
      <c r="A15" s="1289"/>
      <c r="B15" s="1289"/>
      <c r="C15" s="317" t="s">
        <v>83</v>
      </c>
      <c r="D15" s="317" t="s">
        <v>420</v>
      </c>
      <c r="E15" s="31">
        <v>0.6</v>
      </c>
      <c r="F15" s="32">
        <v>5014359</v>
      </c>
      <c r="G15" s="32">
        <f>+ROUND(F15*1.051,0)</f>
        <v>5270091</v>
      </c>
      <c r="H15" s="32">
        <f>ROUND((E15*F15),0)</f>
        <v>3008615</v>
      </c>
      <c r="I15" s="32">
        <f t="shared" ref="I15:I16" si="1">+ROUND(G15*E15,0)</f>
        <v>3162055</v>
      </c>
      <c r="J15" s="1289"/>
      <c r="K15" s="158">
        <v>0</v>
      </c>
      <c r="L15" s="194">
        <f>ROUND(K15*$F$15,0)</f>
        <v>0</v>
      </c>
      <c r="M15" s="195">
        <f>L15/$H$15</f>
        <v>0</v>
      </c>
      <c r="N15" s="158">
        <v>0</v>
      </c>
      <c r="O15" s="194">
        <f>ROUND(N15*$F$15,0)</f>
        <v>0</v>
      </c>
      <c r="P15" s="195">
        <f>O15/$H$15</f>
        <v>0</v>
      </c>
      <c r="Q15" s="432">
        <v>0</v>
      </c>
      <c r="R15" s="425">
        <f>ROUND(Q15*G15,0)</f>
        <v>0</v>
      </c>
      <c r="S15" s="426">
        <f>R15/I15</f>
        <v>0</v>
      </c>
      <c r="T15" s="416">
        <f t="shared" si="0"/>
        <v>0</v>
      </c>
      <c r="U15" s="175">
        <f>L15+O15+R15</f>
        <v>0</v>
      </c>
      <c r="V15" s="176">
        <f t="shared" ref="V15:V16" si="2">U15/H15</f>
        <v>0</v>
      </c>
    </row>
    <row r="16" spans="1:22" ht="42.75" customHeight="1" x14ac:dyDescent="0.3">
      <c r="A16" s="1289"/>
      <c r="B16" s="1289"/>
      <c r="C16" s="317" t="s">
        <v>61</v>
      </c>
      <c r="D16" s="317" t="s">
        <v>421</v>
      </c>
      <c r="E16" s="31">
        <v>0.6</v>
      </c>
      <c r="F16" s="32">
        <v>4283098</v>
      </c>
      <c r="G16" s="32">
        <f>+ROUND(F16*1.051,0)</f>
        <v>4501536</v>
      </c>
      <c r="H16" s="32">
        <f>ROUND((E16*F16),0)</f>
        <v>2569859</v>
      </c>
      <c r="I16" s="32">
        <f t="shared" si="1"/>
        <v>2700922</v>
      </c>
      <c r="J16" s="1289"/>
      <c r="K16" s="303">
        <v>0.6</v>
      </c>
      <c r="L16" s="304">
        <f>ROUND(K16*$F$16,0)</f>
        <v>2569859</v>
      </c>
      <c r="M16" s="305">
        <f>L16/$H$16</f>
        <v>1</v>
      </c>
      <c r="N16" s="158">
        <v>0</v>
      </c>
      <c r="O16" s="194">
        <f>ROUND(N16*$F$16,0)</f>
        <v>0</v>
      </c>
      <c r="P16" s="195">
        <f>O16/$H$16</f>
        <v>0</v>
      </c>
      <c r="Q16" s="432">
        <v>0</v>
      </c>
      <c r="R16" s="425">
        <f>ROUND(Q16*G16,0)</f>
        <v>0</v>
      </c>
      <c r="S16" s="426">
        <f>R16/I16</f>
        <v>0</v>
      </c>
      <c r="T16" s="416">
        <f t="shared" si="0"/>
        <v>0.6</v>
      </c>
      <c r="U16" s="175">
        <f>L16+O16+R16</f>
        <v>2569859</v>
      </c>
      <c r="V16" s="176">
        <f t="shared" si="2"/>
        <v>1</v>
      </c>
    </row>
    <row r="17" spans="1:22" x14ac:dyDescent="0.3">
      <c r="A17" s="1289"/>
      <c r="B17" s="1289"/>
      <c r="C17" s="39"/>
      <c r="D17" s="39" t="s">
        <v>261</v>
      </c>
      <c r="E17" s="41"/>
      <c r="F17" s="41"/>
      <c r="G17" s="41"/>
      <c r="H17" s="42">
        <f>SUM(H14:H16)</f>
        <v>10321222</v>
      </c>
      <c r="I17" s="42"/>
      <c r="J17" s="1289"/>
      <c r="K17" s="308"/>
      <c r="L17" s="179">
        <f>SUM(L14:L16)</f>
        <v>2569859</v>
      </c>
      <c r="M17" s="308">
        <f>L17/$H$17</f>
        <v>0.24898786209617427</v>
      </c>
      <c r="N17" s="308"/>
      <c r="O17" s="179">
        <f>SUM(O14:O16)</f>
        <v>3319924</v>
      </c>
      <c r="P17" s="308">
        <f>O17/$H$17</f>
        <v>0.32165997398370078</v>
      </c>
      <c r="Q17" s="431"/>
      <c r="R17" s="179">
        <f>SUM(R14:R16)</f>
        <v>0</v>
      </c>
      <c r="S17" s="431">
        <f>R17/$H$17</f>
        <v>0</v>
      </c>
      <c r="T17" s="306"/>
      <c r="U17" s="307">
        <f>L17+O17+R17</f>
        <v>5889783</v>
      </c>
      <c r="V17" s="308">
        <f>U17/H17</f>
        <v>0.57064783607987501</v>
      </c>
    </row>
    <row r="18" spans="1:22" x14ac:dyDescent="0.3">
      <c r="F18" s="151" t="s">
        <v>64</v>
      </c>
      <c r="G18" s="151"/>
      <c r="H18" s="181">
        <f>SUM(H14:H17)/2</f>
        <v>10321222</v>
      </c>
      <c r="I18" s="138"/>
      <c r="K18" s="151" t="s">
        <v>64</v>
      </c>
      <c r="L18" s="181">
        <f>SUM(L14:L17)/2</f>
        <v>2569859</v>
      </c>
      <c r="M18" s="322">
        <f>L18/$H$18</f>
        <v>0.24898786209617427</v>
      </c>
      <c r="N18" s="151" t="s">
        <v>64</v>
      </c>
      <c r="O18" s="181">
        <f>SUM(O14:O17)/2</f>
        <v>3319924</v>
      </c>
      <c r="P18" s="322">
        <f>O18/$H$18</f>
        <v>0.32165997398370078</v>
      </c>
      <c r="Q18" s="151" t="s">
        <v>64</v>
      </c>
      <c r="R18" s="181">
        <f>SUM(R14:R17)/2</f>
        <v>0</v>
      </c>
      <c r="S18" s="322">
        <f>R18/$H$18</f>
        <v>0</v>
      </c>
      <c r="T18" s="151" t="s">
        <v>64</v>
      </c>
      <c r="U18" s="181">
        <f>SUM(U14:U17)/2</f>
        <v>5889783</v>
      </c>
      <c r="V18" s="322">
        <f>U18/H18</f>
        <v>0.57064783607987501</v>
      </c>
    </row>
    <row r="19" spans="1:22" x14ac:dyDescent="0.3">
      <c r="F19" s="153" t="s">
        <v>65</v>
      </c>
      <c r="G19" s="816"/>
      <c r="H19" s="182">
        <v>0</v>
      </c>
      <c r="I19" s="138"/>
      <c r="K19" s="153" t="s">
        <v>65</v>
      </c>
      <c r="L19" s="182">
        <v>0</v>
      </c>
      <c r="N19" s="153" t="s">
        <v>65</v>
      </c>
      <c r="O19" s="182">
        <v>0</v>
      </c>
      <c r="Q19" s="153" t="s">
        <v>65</v>
      </c>
      <c r="R19" s="182">
        <v>0</v>
      </c>
      <c r="T19" s="153" t="s">
        <v>65</v>
      </c>
      <c r="U19" s="182">
        <v>0</v>
      </c>
    </row>
    <row r="20" spans="1:22" x14ac:dyDescent="0.3">
      <c r="F20" s="152" t="s">
        <v>64</v>
      </c>
      <c r="G20" s="817"/>
      <c r="H20" s="182">
        <f>+H18+H19</f>
        <v>10321222</v>
      </c>
      <c r="I20" s="138"/>
      <c r="K20" s="152" t="s">
        <v>64</v>
      </c>
      <c r="L20" s="182">
        <f>+L18+L19</f>
        <v>2569859</v>
      </c>
      <c r="N20" s="152" t="s">
        <v>64</v>
      </c>
      <c r="O20" s="182">
        <f>+O18+O19</f>
        <v>3319924</v>
      </c>
      <c r="Q20" s="152" t="s">
        <v>64</v>
      </c>
      <c r="R20" s="182">
        <f>+R18+R19</f>
        <v>0</v>
      </c>
      <c r="T20" s="152" t="s">
        <v>64</v>
      </c>
      <c r="U20" s="182">
        <f>+U18+U19</f>
        <v>5889783</v>
      </c>
    </row>
    <row r="21" spans="1:22" ht="26.4" x14ac:dyDescent="0.3">
      <c r="F21" s="152"/>
      <c r="G21" s="817"/>
      <c r="H21" s="182"/>
      <c r="I21" s="138"/>
      <c r="K21" s="152"/>
      <c r="L21" s="182"/>
      <c r="N21" s="152"/>
      <c r="O21" s="182"/>
      <c r="Q21" s="484" t="s">
        <v>1439</v>
      </c>
      <c r="R21" s="182">
        <f>ROUND(R20*0.015,0)</f>
        <v>0</v>
      </c>
      <c r="T21" s="484" t="s">
        <v>1439</v>
      </c>
      <c r="U21" s="182">
        <f>L21+O21+R21</f>
        <v>0</v>
      </c>
    </row>
    <row r="22" spans="1:22" ht="26.4" x14ac:dyDescent="0.3">
      <c r="F22" s="152"/>
      <c r="G22" s="817"/>
      <c r="H22" s="182"/>
      <c r="I22" s="138"/>
      <c r="K22" s="152"/>
      <c r="L22" s="182"/>
      <c r="N22" s="152"/>
      <c r="O22" s="182"/>
      <c r="Q22" s="152" t="s">
        <v>1440</v>
      </c>
      <c r="R22" s="182">
        <f>R20+R21</f>
        <v>0</v>
      </c>
      <c r="T22" s="152" t="s">
        <v>1440</v>
      </c>
      <c r="U22" s="182">
        <f>U20+U21</f>
        <v>5889783</v>
      </c>
    </row>
    <row r="23" spans="1:22" x14ac:dyDescent="0.3">
      <c r="F23" s="154" t="s">
        <v>66</v>
      </c>
      <c r="G23" s="818"/>
      <c r="H23" s="182">
        <f>+H20*19%</f>
        <v>1961032.18</v>
      </c>
      <c r="I23" s="138"/>
      <c r="K23" s="154" t="s">
        <v>66</v>
      </c>
      <c r="L23" s="182">
        <f>+L20*19%</f>
        <v>488273.21</v>
      </c>
      <c r="N23" s="154" t="s">
        <v>66</v>
      </c>
      <c r="O23" s="182">
        <f>+O20*19%</f>
        <v>630785.56000000006</v>
      </c>
      <c r="Q23" s="154" t="s">
        <v>66</v>
      </c>
      <c r="R23" s="182">
        <f>ROUND(R22*0.19,0)</f>
        <v>0</v>
      </c>
      <c r="T23" s="154" t="s">
        <v>66</v>
      </c>
      <c r="U23" s="182">
        <f>ROUND(U22*0.19,0)</f>
        <v>1119059</v>
      </c>
    </row>
    <row r="24" spans="1:22" x14ac:dyDescent="0.3">
      <c r="F24" s="155" t="s">
        <v>69</v>
      </c>
      <c r="G24" s="155"/>
      <c r="H24" s="181">
        <f>+H20+H23</f>
        <v>12282254.18</v>
      </c>
      <c r="I24" s="138"/>
      <c r="K24" s="155" t="s">
        <v>69</v>
      </c>
      <c r="L24" s="181">
        <f>+L20+L23</f>
        <v>3058132.21</v>
      </c>
      <c r="N24" s="155" t="s">
        <v>69</v>
      </c>
      <c r="O24" s="181">
        <f>+O20+O23</f>
        <v>3950709.56</v>
      </c>
      <c r="Q24" s="155" t="s">
        <v>69</v>
      </c>
      <c r="R24" s="181">
        <f>R22+R23</f>
        <v>0</v>
      </c>
      <c r="T24" s="155" t="s">
        <v>69</v>
      </c>
      <c r="U24" s="181">
        <f>U22+U23</f>
        <v>7008842</v>
      </c>
    </row>
    <row r="27" spans="1:22" x14ac:dyDescent="0.3">
      <c r="A27" s="183" t="s">
        <v>67</v>
      </c>
      <c r="B27" s="184"/>
      <c r="C27" s="184"/>
      <c r="D27" s="185" t="s">
        <v>68</v>
      </c>
      <c r="K27" s="186" t="s">
        <v>70</v>
      </c>
      <c r="L27" s="187" t="s">
        <v>71</v>
      </c>
      <c r="M27" s="186" t="s">
        <v>58</v>
      </c>
      <c r="N27" s="186" t="s">
        <v>70</v>
      </c>
      <c r="O27" s="187" t="s">
        <v>71</v>
      </c>
      <c r="P27" s="186" t="s">
        <v>58</v>
      </c>
      <c r="Q27" s="186" t="s">
        <v>70</v>
      </c>
      <c r="R27" s="187" t="s">
        <v>71</v>
      </c>
      <c r="S27" s="186" t="s">
        <v>58</v>
      </c>
    </row>
    <row r="28" spans="1:22" x14ac:dyDescent="0.3">
      <c r="A28" s="183"/>
      <c r="B28" s="184"/>
      <c r="C28" s="184"/>
      <c r="D28" s="185"/>
      <c r="K28" s="69" t="s">
        <v>72</v>
      </c>
      <c r="L28" s="70">
        <f>$L$18</f>
        <v>2569859</v>
      </c>
      <c r="M28" s="71">
        <f>$M$18</f>
        <v>0.24898786209617427</v>
      </c>
      <c r="N28" s="69" t="s">
        <v>72</v>
      </c>
      <c r="O28" s="70">
        <f>$L$18</f>
        <v>2569859</v>
      </c>
      <c r="P28" s="71">
        <f>$M$18</f>
        <v>0.24898786209617427</v>
      </c>
      <c r="Q28" s="69" t="s">
        <v>72</v>
      </c>
      <c r="R28" s="70">
        <f>$L$18</f>
        <v>2569859</v>
      </c>
      <c r="S28" s="71">
        <f>$M$18</f>
        <v>0.24898786209617427</v>
      </c>
    </row>
    <row r="29" spans="1:22" x14ac:dyDescent="0.3">
      <c r="A29" s="183"/>
      <c r="B29" s="184"/>
      <c r="C29" s="184"/>
      <c r="D29" s="185"/>
      <c r="K29" s="69"/>
      <c r="L29" s="70"/>
      <c r="M29" s="71"/>
      <c r="N29" s="69" t="s">
        <v>73</v>
      </c>
      <c r="O29" s="70">
        <f>$O$18</f>
        <v>3319924</v>
      </c>
      <c r="P29" s="71">
        <f>$P$18</f>
        <v>0.32165997398370078</v>
      </c>
      <c r="Q29" s="69" t="s">
        <v>73</v>
      </c>
      <c r="R29" s="70">
        <f>$O$18</f>
        <v>3319924</v>
      </c>
      <c r="S29" s="71">
        <f>$P$18</f>
        <v>0.32165997398370078</v>
      </c>
    </row>
    <row r="30" spans="1:22" x14ac:dyDescent="0.3">
      <c r="A30" s="183"/>
      <c r="B30" s="184"/>
      <c r="C30" s="184"/>
      <c r="D30" s="185"/>
      <c r="K30" s="69"/>
      <c r="L30" s="70"/>
      <c r="M30" s="71"/>
      <c r="N30" s="69"/>
      <c r="O30" s="70"/>
      <c r="P30" s="71"/>
      <c r="Q30" s="69" t="s">
        <v>74</v>
      </c>
      <c r="R30" s="70">
        <f>$R$18</f>
        <v>0</v>
      </c>
      <c r="S30" s="71">
        <f>$S$18</f>
        <v>0</v>
      </c>
    </row>
    <row r="31" spans="1:22" x14ac:dyDescent="0.3">
      <c r="A31" s="183"/>
      <c r="B31" s="184"/>
      <c r="C31" s="184"/>
      <c r="D31" s="185"/>
      <c r="K31" s="72" t="s">
        <v>1</v>
      </c>
      <c r="L31" s="105">
        <f>SUM(L28:L28)</f>
        <v>2569859</v>
      </c>
      <c r="M31" s="73">
        <f>SUM(M28:M28)</f>
        <v>0.24898786209617427</v>
      </c>
      <c r="N31" s="72" t="s">
        <v>1</v>
      </c>
      <c r="O31" s="105">
        <f>SUM(O28:O29)</f>
        <v>5889783</v>
      </c>
      <c r="P31" s="73">
        <f>SUM(P28:P29)</f>
        <v>0.57064783607987501</v>
      </c>
      <c r="Q31" s="72" t="s">
        <v>1</v>
      </c>
      <c r="R31" s="105">
        <f>SUM(R28:R30)</f>
        <v>5889783</v>
      </c>
      <c r="S31" s="73">
        <f>SUM(S28:S30)</f>
        <v>0.57064783607987501</v>
      </c>
    </row>
    <row r="32" spans="1:22" x14ac:dyDescent="0.3">
      <c r="A32" s="183"/>
      <c r="B32" s="184"/>
      <c r="C32" s="184"/>
      <c r="D32" s="185"/>
      <c r="K32" s="72" t="s">
        <v>9</v>
      </c>
      <c r="L32" s="1285"/>
      <c r="M32" s="1286"/>
      <c r="N32" s="72" t="s">
        <v>9</v>
      </c>
      <c r="O32" s="1285"/>
      <c r="P32" s="1286"/>
      <c r="Q32" s="72" t="s">
        <v>9</v>
      </c>
      <c r="R32" s="1285"/>
      <c r="S32" s="1286"/>
    </row>
    <row r="33" spans="1:19" x14ac:dyDescent="0.3">
      <c r="A33" s="183"/>
      <c r="B33" s="184"/>
      <c r="C33" s="184"/>
      <c r="D33" s="185"/>
      <c r="K33" s="156" t="s">
        <v>78</v>
      </c>
      <c r="L33" s="1285"/>
      <c r="M33" s="1286"/>
      <c r="N33" s="156" t="s">
        <v>78</v>
      </c>
      <c r="O33" s="1285"/>
      <c r="P33" s="1286"/>
      <c r="Q33" s="156" t="s">
        <v>78</v>
      </c>
      <c r="R33" s="1285"/>
      <c r="S33" s="1286"/>
    </row>
    <row r="34" spans="1:19" x14ac:dyDescent="0.3">
      <c r="A34" s="183"/>
      <c r="B34" s="184"/>
      <c r="C34" s="184"/>
      <c r="D34" s="185"/>
      <c r="K34" s="157" t="s">
        <v>8</v>
      </c>
      <c r="L34" s="1285"/>
      <c r="M34" s="1286"/>
      <c r="N34" s="157" t="s">
        <v>8</v>
      </c>
      <c r="O34" s="1285"/>
      <c r="P34" s="1286"/>
      <c r="Q34" s="157" t="s">
        <v>8</v>
      </c>
      <c r="R34" s="1285"/>
      <c r="S34" s="1286"/>
    </row>
    <row r="35" spans="1:19" x14ac:dyDescent="0.3">
      <c r="A35" s="183"/>
      <c r="B35" s="184"/>
      <c r="C35" s="184"/>
      <c r="D35" s="185" t="s">
        <v>75</v>
      </c>
    </row>
    <row r="36" spans="1:19" x14ac:dyDescent="0.3">
      <c r="A36" s="183" t="s">
        <v>76</v>
      </c>
      <c r="B36" s="180"/>
      <c r="C36" s="180"/>
      <c r="D36" s="185" t="s">
        <v>77</v>
      </c>
    </row>
    <row r="37" spans="1:19" ht="26.4" x14ac:dyDescent="0.3">
      <c r="A37" s="183" t="s">
        <v>79</v>
      </c>
      <c r="B37" s="180"/>
      <c r="C37" s="180"/>
      <c r="D37" s="185" t="s">
        <v>80</v>
      </c>
    </row>
  </sheetData>
  <sheetProtection formatCells="0" formatColumns="0" formatRows="0" insertColumns="0" insertRows="0" insertHyperlinks="0" deleteColumns="0" deleteRows="0" sort="0" autoFilter="0" pivotTables="0"/>
  <mergeCells count="29">
    <mergeCell ref="R32:S32"/>
    <mergeCell ref="R33:S33"/>
    <mergeCell ref="R34:S34"/>
    <mergeCell ref="C1:S2"/>
    <mergeCell ref="A6:V6"/>
    <mergeCell ref="T1:V1"/>
    <mergeCell ref="T2:V2"/>
    <mergeCell ref="A3:V3"/>
    <mergeCell ref="A4:V4"/>
    <mergeCell ref="A5:V5"/>
    <mergeCell ref="O32:P32"/>
    <mergeCell ref="O33:P33"/>
    <mergeCell ref="O34:P34"/>
    <mergeCell ref="L32:M32"/>
    <mergeCell ref="L33:M33"/>
    <mergeCell ref="L34:M34"/>
    <mergeCell ref="A14:A17"/>
    <mergeCell ref="B14:B17"/>
    <mergeCell ref="J14:J17"/>
    <mergeCell ref="A7:V7"/>
    <mergeCell ref="A8:V8"/>
    <mergeCell ref="A9:V9"/>
    <mergeCell ref="A10:V10"/>
    <mergeCell ref="T11:V12"/>
    <mergeCell ref="B12:J12"/>
    <mergeCell ref="N11:P12"/>
    <mergeCell ref="B11:J11"/>
    <mergeCell ref="K11:M12"/>
    <mergeCell ref="Q11:S12"/>
  </mergeCells>
  <pageMargins left="0.7" right="0.7" top="0.75" bottom="0.75" header="0.3" footer="0.3"/>
  <pageSetup scale="43" orientation="landscape" r:id="rId1"/>
  <drawing r:id="rId2"/>
  <legacyDrawingHF r:id="rId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8">
    <tabColor theme="1"/>
  </sheetPr>
  <dimension ref="A1:G49"/>
  <sheetViews>
    <sheetView topLeftCell="A16" zoomScaleNormal="100" workbookViewId="0">
      <selection activeCell="A40" sqref="A40:C4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RESUMEN!G45</f>
        <v>Proyecto: Ingeniería civil para ampliación de capacidad subestación Noroeste</v>
      </c>
      <c r="C5" s="1281"/>
      <c r="D5" s="1281"/>
      <c r="E5" s="1281"/>
      <c r="F5" s="1281"/>
      <c r="G5" s="1282"/>
    </row>
    <row r="6" spans="1:7" x14ac:dyDescent="0.25">
      <c r="A6" s="1177"/>
      <c r="B6" s="1177"/>
      <c r="C6" s="1177"/>
      <c r="D6" s="1177"/>
      <c r="E6" s="1177"/>
      <c r="F6" s="1177"/>
      <c r="G6" s="1177"/>
    </row>
    <row r="7" spans="1:7" x14ac:dyDescent="0.25">
      <c r="A7" s="271" t="s">
        <v>0</v>
      </c>
      <c r="B7" s="1264">
        <f>RESUMEN!B45</f>
        <v>0</v>
      </c>
      <c r="C7" s="1265"/>
      <c r="D7" s="1177"/>
      <c r="E7" s="1266" t="s">
        <v>627</v>
      </c>
      <c r="F7" s="1267"/>
      <c r="G7" s="280" t="str">
        <f>RESUMEN!E45</f>
        <v>17-232</v>
      </c>
    </row>
    <row r="8" spans="1:7" x14ac:dyDescent="0.25">
      <c r="A8" s="271" t="s">
        <v>628</v>
      </c>
      <c r="B8" s="1264">
        <f>RESUMEN!C45</f>
        <v>0</v>
      </c>
      <c r="C8" s="1265"/>
      <c r="D8" s="1177"/>
      <c r="E8" s="1266" t="s">
        <v>629</v>
      </c>
      <c r="F8" s="1267"/>
      <c r="G8" s="280" t="str">
        <f>RESUMEN!U45</f>
        <v xml:space="preserve">Acta N° 4: Marzo </v>
      </c>
    </row>
    <row r="9" spans="1:7" x14ac:dyDescent="0.25">
      <c r="A9" s="271" t="s">
        <v>630</v>
      </c>
      <c r="B9" s="1283" t="s">
        <v>631</v>
      </c>
      <c r="C9" s="1265"/>
      <c r="D9" s="1177"/>
      <c r="E9" s="1266" t="s">
        <v>632</v>
      </c>
      <c r="F9" s="1267"/>
      <c r="G9" s="1178">
        <f>RESUMEN!H45</f>
        <v>9306511</v>
      </c>
    </row>
    <row r="10" spans="1:7" x14ac:dyDescent="0.25">
      <c r="A10" s="271" t="s">
        <v>633</v>
      </c>
      <c r="B10" s="1283" t="str">
        <f>RESUMEN!D45</f>
        <v>NOROESTE</v>
      </c>
      <c r="C10" s="1265"/>
      <c r="D10" s="1177"/>
      <c r="E10" s="1266" t="s">
        <v>634</v>
      </c>
      <c r="F10" s="1267"/>
      <c r="G10" s="1178">
        <f>RESUMEN!R45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",RESUMEN!G45)</f>
        <v>A los 14 días del mes de Marzo se reunieron en las instalaciones de CODENSA S.A. E.S.P., los ingenieros Ing. Jhon Casanova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Ingeniería civil para ampliación de capacidad subestación Noroeste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RESUMEN!N45</f>
        <v>0</v>
      </c>
      <c r="F19" s="1248"/>
      <c r="G19" s="1177"/>
    </row>
    <row r="20" spans="1:7" ht="27" customHeight="1" x14ac:dyDescent="0.25">
      <c r="A20" s="1177"/>
      <c r="B20" s="1244" t="s">
        <v>1498</v>
      </c>
      <c r="C20" s="1245"/>
      <c r="D20" s="1246"/>
      <c r="E20" s="1247">
        <f>RESUMEN!P45</f>
        <v>0</v>
      </c>
      <c r="F20" s="1248"/>
      <c r="G20" s="1177"/>
    </row>
    <row r="21" spans="1:7" ht="27" customHeight="1" x14ac:dyDescent="0.25">
      <c r="A21" s="1177"/>
      <c r="B21" s="1244" t="s">
        <v>1499</v>
      </c>
      <c r="C21" s="1245"/>
      <c r="D21" s="1246"/>
      <c r="E21" s="1247">
        <f>RESUMEN!Q45</f>
        <v>0</v>
      </c>
      <c r="F21" s="1248"/>
      <c r="G21" s="1177"/>
    </row>
    <row r="22" spans="1:7" x14ac:dyDescent="0.25">
      <c r="A22" s="1177"/>
      <c r="B22" s="1254" t="s">
        <v>64</v>
      </c>
      <c r="C22" s="1254"/>
      <c r="D22" s="1254"/>
      <c r="E22" s="1255">
        <f>RESUMEN!R45</f>
        <v>0</v>
      </c>
      <c r="F22" s="1255"/>
      <c r="G22" s="1177"/>
    </row>
    <row r="23" spans="1:7" x14ac:dyDescent="0.25">
      <c r="A23" s="1177"/>
      <c r="B23" s="1256" t="s">
        <v>66</v>
      </c>
      <c r="C23" s="1256"/>
      <c r="D23" s="1256"/>
      <c r="E23" s="1257">
        <f>RESUMEN!S45</f>
        <v>0</v>
      </c>
      <c r="F23" s="1257"/>
      <c r="G23" s="1177"/>
    </row>
    <row r="24" spans="1:7" x14ac:dyDescent="0.25">
      <c r="A24" s="1177"/>
      <c r="B24" s="1258" t="s">
        <v>1</v>
      </c>
      <c r="C24" s="1258"/>
      <c r="D24" s="1258"/>
      <c r="E24" s="1259">
        <f>RESUMEN!T45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+'OT17-232 NOROESTE'!T34</f>
        <v>ACTA 1</v>
      </c>
      <c r="C28" s="1253">
        <f>+'OT17-232 NOROESTE'!U34</f>
        <v>3816832</v>
      </c>
      <c r="D28" s="1253"/>
      <c r="E28" s="267">
        <f>+'OT17-232 NOROESTE'!V34</f>
        <v>0.41012491147326857</v>
      </c>
      <c r="F28" s="1177"/>
      <c r="G28" s="1177"/>
    </row>
    <row r="29" spans="1:7" x14ac:dyDescent="0.25">
      <c r="A29" s="1177"/>
      <c r="B29" s="280" t="str">
        <f>+'OT17-232 NOROESTE'!T35</f>
        <v>ACTA 2</v>
      </c>
      <c r="C29" s="1253">
        <f>+'OT17-232 NOROESTE'!U35</f>
        <v>2209370</v>
      </c>
      <c r="D29" s="1253"/>
      <c r="E29" s="267">
        <f>+'OT17-232 NOROESTE'!V35</f>
        <v>0.23740046081716337</v>
      </c>
      <c r="F29" s="1177"/>
      <c r="G29" s="1177"/>
    </row>
    <row r="30" spans="1:7" x14ac:dyDescent="0.25">
      <c r="A30" s="1177"/>
      <c r="B30" s="280" t="str">
        <f>+'OT17-232 NOROESTE'!T36</f>
        <v>ACTA 3</v>
      </c>
      <c r="C30" s="1253">
        <f>+'OT17-232 NOROESTE'!U36</f>
        <v>1604742</v>
      </c>
      <c r="D30" s="1253"/>
      <c r="E30" s="267">
        <f>+'OT17-232 NOROESTE'!V36</f>
        <v>0.17243218215720155</v>
      </c>
      <c r="F30" s="1177"/>
      <c r="G30" s="1177"/>
    </row>
    <row r="31" spans="1:7" x14ac:dyDescent="0.25">
      <c r="A31" s="1177"/>
      <c r="B31" s="280" t="str">
        <f>+'OT17-232 NOROESTE'!T37</f>
        <v>ACTA 4</v>
      </c>
      <c r="C31" s="1253">
        <f>+'OT17-232 NOROESTE'!U37</f>
        <v>0</v>
      </c>
      <c r="D31" s="1253"/>
      <c r="E31" s="267">
        <f>+'OT17-232 NOROESTE'!V37</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7630944</v>
      </c>
      <c r="D34" s="1251"/>
      <c r="E34" s="264">
        <f>SUM(E28:E33)</f>
        <v>0.81995755444763352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RESUMEN!V45</f>
        <v>Ing. Jhon Casanova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5">
    <tabColor rgb="FF72104A"/>
  </sheetPr>
  <dimension ref="A1:Y43"/>
  <sheetViews>
    <sheetView topLeftCell="J13" zoomScale="70" zoomScaleNormal="70" workbookViewId="0">
      <selection activeCell="J14" sqref="J14:J15"/>
    </sheetView>
  </sheetViews>
  <sheetFormatPr baseColWidth="10" defaultColWidth="11.44140625" defaultRowHeight="14.4" x14ac:dyDescent="0.3"/>
  <cols>
    <col min="1" max="1" width="15.88671875" style="189" customWidth="1"/>
    <col min="2" max="2" width="23" style="189" customWidth="1"/>
    <col min="3" max="3" width="33" style="189" customWidth="1"/>
    <col min="4" max="4" width="23.33203125" style="189" customWidth="1"/>
    <col min="5" max="5" width="10.5546875" style="189" bestFit="1" customWidth="1"/>
    <col min="6" max="6" width="17.88671875" style="189" bestFit="1" customWidth="1"/>
    <col min="7" max="7" width="17.88671875" style="805" customWidth="1"/>
    <col min="8" max="8" width="17.5546875" style="189" customWidth="1"/>
    <col min="9" max="9" width="17.5546875" style="805" customWidth="1"/>
    <col min="10" max="10" width="52"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0" style="189" hidden="1" customWidth="1"/>
    <col min="17" max="17" width="17.88671875" style="805" bestFit="1" customWidth="1"/>
    <col min="18" max="18" width="18" style="805" bestFit="1" customWidth="1"/>
    <col min="19" max="19" width="11.44140625" style="805"/>
    <col min="20" max="20" width="16.5546875" style="1055" customWidth="1"/>
    <col min="21" max="21" width="15.21875" style="1055" customWidth="1"/>
    <col min="22" max="22" width="14.88671875" style="1055" customWidth="1"/>
    <col min="23" max="23" width="17.88671875" style="189" bestFit="1" customWidth="1"/>
    <col min="24" max="24" width="16.33203125" style="189" bestFit="1" customWidth="1"/>
    <col min="25" max="16384" width="11.44140625" style="189"/>
  </cols>
  <sheetData>
    <row r="1" spans="1:25" s="148" customFormat="1" ht="36.75" customHeight="1" thickBot="1" x14ac:dyDescent="0.35">
      <c r="A1" s="169"/>
      <c r="B1" s="188"/>
      <c r="C1" s="1307" t="s">
        <v>40</v>
      </c>
      <c r="D1" s="1308"/>
      <c r="E1" s="1308"/>
      <c r="F1" s="1308"/>
      <c r="G1" s="1308"/>
      <c r="H1" s="1308"/>
      <c r="I1" s="1308"/>
      <c r="J1" s="1308"/>
      <c r="K1" s="1308"/>
      <c r="L1" s="1308"/>
      <c r="M1" s="1308"/>
      <c r="N1" s="1308"/>
      <c r="O1" s="1308"/>
      <c r="P1" s="1309"/>
      <c r="Q1" s="800"/>
      <c r="R1" s="800"/>
      <c r="S1" s="800"/>
      <c r="T1" s="1052"/>
      <c r="U1" s="1052"/>
      <c r="V1" s="1052"/>
      <c r="W1" s="1328" t="s">
        <v>736</v>
      </c>
      <c r="X1" s="1303"/>
      <c r="Y1" s="1304"/>
    </row>
    <row r="2" spans="1:25" s="148" customFormat="1" ht="13.5" customHeight="1" thickBot="1" x14ac:dyDescent="0.35">
      <c r="A2" s="170"/>
      <c r="B2" s="190"/>
      <c r="C2" s="1310"/>
      <c r="D2" s="1311"/>
      <c r="E2" s="1311"/>
      <c r="F2" s="1311"/>
      <c r="G2" s="1311"/>
      <c r="H2" s="1311"/>
      <c r="I2" s="1311"/>
      <c r="J2" s="1311"/>
      <c r="K2" s="1311"/>
      <c r="L2" s="1311"/>
      <c r="M2" s="1311"/>
      <c r="N2" s="1311"/>
      <c r="O2" s="1311"/>
      <c r="P2" s="1312"/>
      <c r="Q2" s="801"/>
      <c r="R2" s="801"/>
      <c r="S2" s="801"/>
      <c r="T2" s="1053"/>
      <c r="U2" s="1053"/>
      <c r="V2" s="1053"/>
      <c r="W2" s="1329" t="s">
        <v>41</v>
      </c>
      <c r="X2" s="1305"/>
      <c r="Y2" s="1306"/>
    </row>
    <row r="3" spans="1:25"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148" customFormat="1" ht="12.75" customHeight="1" x14ac:dyDescent="0.3">
      <c r="A7" s="1291" t="s">
        <v>737</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148" customFormat="1" ht="13.5" customHeight="1" x14ac:dyDescent="0.3">
      <c r="A8" s="1292" t="s">
        <v>2334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148" customFormat="1" ht="13.5" customHeight="1" x14ac:dyDescent="0.3">
      <c r="A10" s="1292" t="s">
        <v>738</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148" customFormat="1" ht="13.5" customHeight="1" x14ac:dyDescent="0.3">
      <c r="A11" s="299"/>
      <c r="B11" s="1318"/>
      <c r="C11" s="1320"/>
      <c r="D11" s="1320"/>
      <c r="E11" s="1320"/>
      <c r="F11" s="1320"/>
      <c r="G11" s="1320"/>
      <c r="H11" s="1320"/>
      <c r="I11" s="1320"/>
      <c r="J11" s="1320"/>
      <c r="K11" s="1293" t="s">
        <v>678</v>
      </c>
      <c r="L11" s="1294"/>
      <c r="M11" s="1295"/>
      <c r="N11" s="1293" t="s">
        <v>1721</v>
      </c>
      <c r="O11" s="1294"/>
      <c r="P11" s="1295"/>
      <c r="Q11" s="1293" t="s">
        <v>2088</v>
      </c>
      <c r="R11" s="1294"/>
      <c r="S11" s="1295"/>
      <c r="T11" s="1293" t="s">
        <v>2319</v>
      </c>
      <c r="U11" s="1294"/>
      <c r="V11" s="1295"/>
      <c r="W11" s="1299" t="s">
        <v>49</v>
      </c>
      <c r="X11" s="1299"/>
      <c r="Y11" s="1299"/>
    </row>
    <row r="12" spans="1:25" s="148" customFormat="1" ht="13.5" customHeight="1" x14ac:dyDescent="0.3">
      <c r="A12" s="171"/>
      <c r="B12" s="1318"/>
      <c r="C12" s="1319"/>
      <c r="D12" s="1319"/>
      <c r="E12" s="1319"/>
      <c r="F12" s="1319"/>
      <c r="G12" s="1319"/>
      <c r="H12" s="1319"/>
      <c r="I12" s="1319"/>
      <c r="J12" s="1319"/>
      <c r="K12" s="1325"/>
      <c r="L12" s="1326"/>
      <c r="M12" s="1327"/>
      <c r="N12" s="1296"/>
      <c r="O12" s="1297"/>
      <c r="P12" s="1298"/>
      <c r="Q12" s="1296"/>
      <c r="R12" s="1297"/>
      <c r="S12" s="1298"/>
      <c r="T12" s="1296"/>
      <c r="U12" s="1297"/>
      <c r="V12" s="1298"/>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111" t="s">
        <v>54</v>
      </c>
      <c r="L13" s="111" t="s">
        <v>56</v>
      </c>
      <c r="M13" s="111" t="s">
        <v>58</v>
      </c>
      <c r="N13" s="111" t="s">
        <v>54</v>
      </c>
      <c r="O13" s="111" t="s">
        <v>56</v>
      </c>
      <c r="P13" s="111" t="s">
        <v>58</v>
      </c>
      <c r="Q13" s="111" t="s">
        <v>54</v>
      </c>
      <c r="R13" s="111" t="s">
        <v>56</v>
      </c>
      <c r="S13" s="111" t="s">
        <v>58</v>
      </c>
      <c r="T13" s="111" t="s">
        <v>54</v>
      </c>
      <c r="U13" s="111" t="s">
        <v>56</v>
      </c>
      <c r="V13" s="111" t="s">
        <v>58</v>
      </c>
      <c r="W13" s="174" t="s">
        <v>54</v>
      </c>
      <c r="X13" s="172" t="s">
        <v>56</v>
      </c>
      <c r="Y13" s="111" t="s">
        <v>58</v>
      </c>
    </row>
    <row r="14" spans="1:25" ht="43.2" x14ac:dyDescent="0.3">
      <c r="A14" s="1314" t="s">
        <v>727</v>
      </c>
      <c r="B14" s="1315" t="s">
        <v>683</v>
      </c>
      <c r="C14" s="300" t="s">
        <v>148</v>
      </c>
      <c r="D14" s="300" t="s">
        <v>684</v>
      </c>
      <c r="E14" s="300">
        <v>0.1</v>
      </c>
      <c r="F14" s="192">
        <v>16401132</v>
      </c>
      <c r="G14" s="32">
        <f>+ROUND(F14*1.051,0)</f>
        <v>17237590</v>
      </c>
      <c r="H14" s="192">
        <f>ROUND((E14*F14),0)</f>
        <v>1640113</v>
      </c>
      <c r="I14" s="32">
        <f>+ROUND(G14*E14,0)</f>
        <v>1723759</v>
      </c>
      <c r="J14" s="1315" t="s">
        <v>728</v>
      </c>
      <c r="K14" s="303">
        <v>0.1</v>
      </c>
      <c r="L14" s="304">
        <f>ROUND(K14*$F$14,0)</f>
        <v>1640113</v>
      </c>
      <c r="M14" s="305">
        <f>L14/$H$14</f>
        <v>1</v>
      </c>
      <c r="N14" s="158">
        <v>0</v>
      </c>
      <c r="O14" s="194">
        <f>ROUND(N14*$F$14,0)</f>
        <v>0</v>
      </c>
      <c r="P14" s="195">
        <f>O14/$H$14</f>
        <v>0</v>
      </c>
      <c r="Q14" s="432">
        <v>0</v>
      </c>
      <c r="R14" s="425">
        <f>ROUND(Q14*G14,0)</f>
        <v>0</v>
      </c>
      <c r="S14" s="426">
        <f>R14/H14</f>
        <v>0</v>
      </c>
      <c r="T14" s="432">
        <v>0</v>
      </c>
      <c r="U14" s="425">
        <f>ROUND(T14*G14,0)</f>
        <v>0</v>
      </c>
      <c r="V14" s="426">
        <f>U14/I14</f>
        <v>0</v>
      </c>
      <c r="W14" s="149">
        <f>K14+N14+Q14+T14</f>
        <v>0.1</v>
      </c>
      <c r="X14" s="175">
        <f>L14+O14+R14+U14</f>
        <v>1640113</v>
      </c>
      <c r="Y14" s="176">
        <f t="shared" ref="Y14:Y21" si="0">X14/H14</f>
        <v>1</v>
      </c>
    </row>
    <row r="15" spans="1:25" x14ac:dyDescent="0.3">
      <c r="A15" s="1314"/>
      <c r="B15" s="1314"/>
      <c r="C15" s="196"/>
      <c r="D15" s="196" t="s">
        <v>685</v>
      </c>
      <c r="E15" s="198"/>
      <c r="F15" s="198"/>
      <c r="G15" s="198"/>
      <c r="H15" s="199">
        <f>H14</f>
        <v>1640113</v>
      </c>
      <c r="I15" s="199">
        <f>SUM(I14)</f>
        <v>1723759</v>
      </c>
      <c r="J15" s="1314"/>
      <c r="K15" s="178"/>
      <c r="L15" s="179">
        <f>L14</f>
        <v>1640113</v>
      </c>
      <c r="M15" s="178">
        <f>L15/$H$15</f>
        <v>1</v>
      </c>
      <c r="N15" s="308"/>
      <c r="O15" s="179">
        <f>O14</f>
        <v>0</v>
      </c>
      <c r="P15" s="308">
        <f>O15/$H$15</f>
        <v>0</v>
      </c>
      <c r="Q15" s="431"/>
      <c r="R15" s="179">
        <f>R14</f>
        <v>0</v>
      </c>
      <c r="S15" s="431">
        <f>R15/$H$15</f>
        <v>0</v>
      </c>
      <c r="T15" s="431"/>
      <c r="U15" s="179">
        <f>U14</f>
        <v>0</v>
      </c>
      <c r="V15" s="1091">
        <f t="shared" ref="V15:V23" si="1">U15/I15</f>
        <v>0</v>
      </c>
      <c r="W15" s="1093"/>
      <c r="X15" s="1078">
        <f t="shared" ref="X15:X23" si="2">L15+O15+R15+U15</f>
        <v>1640113</v>
      </c>
      <c r="Y15" s="178">
        <f t="shared" si="0"/>
        <v>1</v>
      </c>
    </row>
    <row r="16" spans="1:25" ht="28.8" x14ac:dyDescent="0.3">
      <c r="A16" s="1314" t="s">
        <v>727</v>
      </c>
      <c r="B16" s="1314" t="s">
        <v>729</v>
      </c>
      <c r="C16" s="300" t="s">
        <v>81</v>
      </c>
      <c r="D16" s="300" t="s">
        <v>138</v>
      </c>
      <c r="E16" s="300">
        <v>0.49</v>
      </c>
      <c r="F16" s="192">
        <v>6546524</v>
      </c>
      <c r="G16" s="32">
        <f>+ROUND(F16*1.051,0)</f>
        <v>6880397</v>
      </c>
      <c r="H16" s="192">
        <f>ROUND((E16*F16),0)</f>
        <v>3207797</v>
      </c>
      <c r="I16" s="32">
        <f>+ROUND(G16*E16,0)</f>
        <v>3371395</v>
      </c>
      <c r="J16" s="1315" t="s">
        <v>730</v>
      </c>
      <c r="K16" s="303">
        <f>0.49*50%</f>
        <v>0.245</v>
      </c>
      <c r="L16" s="304">
        <f>ROUND(K16*$F$16,0)</f>
        <v>1603898</v>
      </c>
      <c r="M16" s="305">
        <f>L16/$H$16</f>
        <v>0.49999984412978754</v>
      </c>
      <c r="N16" s="433">
        <f>+E16-K16</f>
        <v>0.245</v>
      </c>
      <c r="O16" s="429">
        <f>ROUND(N16*$F$16,0)</f>
        <v>1603898</v>
      </c>
      <c r="P16" s="430">
        <f>O16/$H$16</f>
        <v>0.49999984412978754</v>
      </c>
      <c r="Q16" s="432">
        <v>0</v>
      </c>
      <c r="R16" s="425">
        <f>ROUND(Q16*G16,0)</f>
        <v>0</v>
      </c>
      <c r="S16" s="426">
        <f>R16/H16</f>
        <v>0</v>
      </c>
      <c r="T16" s="432">
        <v>0</v>
      </c>
      <c r="U16" s="425">
        <f>ROUND(T16*G16,0)</f>
        <v>0</v>
      </c>
      <c r="V16" s="426">
        <f t="shared" si="1"/>
        <v>0</v>
      </c>
      <c r="W16" s="416">
        <f t="shared" ref="W16:W22" si="3">K16+N16+Q16+T16</f>
        <v>0.49</v>
      </c>
      <c r="X16" s="175">
        <f t="shared" si="2"/>
        <v>3207796</v>
      </c>
      <c r="Y16" s="176">
        <f t="shared" si="0"/>
        <v>0.99999968825957508</v>
      </c>
    </row>
    <row r="17" spans="1:25" x14ac:dyDescent="0.3">
      <c r="A17" s="1314"/>
      <c r="B17" s="1314"/>
      <c r="C17" s="196"/>
      <c r="D17" s="196" t="s">
        <v>140</v>
      </c>
      <c r="E17" s="198"/>
      <c r="F17" s="198"/>
      <c r="G17" s="198"/>
      <c r="H17" s="199">
        <f>H16</f>
        <v>3207797</v>
      </c>
      <c r="I17" s="199">
        <f>SUM(I16)</f>
        <v>3371395</v>
      </c>
      <c r="J17" s="1314"/>
      <c r="K17" s="178"/>
      <c r="L17" s="179">
        <f>L16</f>
        <v>1603898</v>
      </c>
      <c r="M17" s="178">
        <f>L17/$H$17</f>
        <v>0.49999984412978754</v>
      </c>
      <c r="N17" s="308"/>
      <c r="O17" s="179">
        <f>O16</f>
        <v>1603898</v>
      </c>
      <c r="P17" s="308">
        <f>O17/$H$17</f>
        <v>0.49999984412978754</v>
      </c>
      <c r="Q17" s="431"/>
      <c r="R17" s="179">
        <f>R16</f>
        <v>0</v>
      </c>
      <c r="S17" s="431">
        <f>R17/$H$17</f>
        <v>0</v>
      </c>
      <c r="T17" s="431"/>
      <c r="U17" s="179">
        <f>U16</f>
        <v>0</v>
      </c>
      <c r="V17" s="1091">
        <f t="shared" si="1"/>
        <v>0</v>
      </c>
      <c r="W17" s="1093"/>
      <c r="X17" s="1078">
        <f t="shared" si="2"/>
        <v>3207796</v>
      </c>
      <c r="Y17" s="308">
        <f t="shared" si="0"/>
        <v>0.99999968825957508</v>
      </c>
    </row>
    <row r="18" spans="1:25" ht="28.8" x14ac:dyDescent="0.3">
      <c r="A18" s="1314" t="s">
        <v>727</v>
      </c>
      <c r="B18" s="1314" t="s">
        <v>731</v>
      </c>
      <c r="C18" s="300" t="s">
        <v>81</v>
      </c>
      <c r="D18" s="300" t="s">
        <v>153</v>
      </c>
      <c r="E18" s="300">
        <v>0.35</v>
      </c>
      <c r="F18" s="192">
        <v>3273262</v>
      </c>
      <c r="G18" s="32">
        <f>+ROUND(F18*1.051,0)</f>
        <v>3440198</v>
      </c>
      <c r="H18" s="192">
        <f>ROUND((E18*F18),0)</f>
        <v>1145642</v>
      </c>
      <c r="I18" s="32">
        <f>+ROUND(G18*E18,0)</f>
        <v>1204069</v>
      </c>
      <c r="J18" s="1480" t="s">
        <v>732</v>
      </c>
      <c r="K18" s="303">
        <f>0.35*50%</f>
        <v>0.17499999999999999</v>
      </c>
      <c r="L18" s="304">
        <f>ROUND(K18*$F$18,0)</f>
        <v>572821</v>
      </c>
      <c r="M18" s="305">
        <f>L18/$H$18</f>
        <v>0.5</v>
      </c>
      <c r="N18" s="433">
        <f>+E18-K18</f>
        <v>0.17499999999999999</v>
      </c>
      <c r="O18" s="429">
        <f>ROUND(N18*$F$18,0)</f>
        <v>572821</v>
      </c>
      <c r="P18" s="430">
        <f>O18/$H$18</f>
        <v>0.5</v>
      </c>
      <c r="Q18" s="432">
        <v>0</v>
      </c>
      <c r="R18" s="425">
        <f>ROUND(Q18*G18,0)</f>
        <v>0</v>
      </c>
      <c r="S18" s="426">
        <f>R18/H18</f>
        <v>0</v>
      </c>
      <c r="T18" s="432">
        <v>0</v>
      </c>
      <c r="U18" s="425">
        <f>ROUND(T18*G18,0)</f>
        <v>0</v>
      </c>
      <c r="V18" s="426">
        <f t="shared" si="1"/>
        <v>0</v>
      </c>
      <c r="W18" s="416">
        <f t="shared" si="3"/>
        <v>0.35</v>
      </c>
      <c r="X18" s="175">
        <f t="shared" si="2"/>
        <v>1145642</v>
      </c>
      <c r="Y18" s="176">
        <f t="shared" si="0"/>
        <v>1</v>
      </c>
    </row>
    <row r="19" spans="1:25" x14ac:dyDescent="0.3">
      <c r="A19" s="1314"/>
      <c r="B19" s="1314"/>
      <c r="C19" s="196"/>
      <c r="D19" s="196" t="s">
        <v>154</v>
      </c>
      <c r="E19" s="198"/>
      <c r="F19" s="198"/>
      <c r="G19" s="198"/>
      <c r="H19" s="199">
        <f>H18</f>
        <v>1145642</v>
      </c>
      <c r="I19" s="199">
        <f>SUM(I18)</f>
        <v>1204069</v>
      </c>
      <c r="J19" s="1350"/>
      <c r="K19" s="178"/>
      <c r="L19" s="179">
        <f>L18</f>
        <v>572821</v>
      </c>
      <c r="M19" s="178">
        <f>L19/$H$19</f>
        <v>0.5</v>
      </c>
      <c r="N19" s="308"/>
      <c r="O19" s="179">
        <f>O18</f>
        <v>572821</v>
      </c>
      <c r="P19" s="308">
        <f>O19/$H$19</f>
        <v>0.5</v>
      </c>
      <c r="Q19" s="431"/>
      <c r="R19" s="179">
        <f>R18</f>
        <v>0</v>
      </c>
      <c r="S19" s="431">
        <f>R19/$H$19</f>
        <v>0</v>
      </c>
      <c r="T19" s="431"/>
      <c r="U19" s="179">
        <f>U18</f>
        <v>0</v>
      </c>
      <c r="V19" s="1091">
        <f t="shared" si="1"/>
        <v>0</v>
      </c>
      <c r="W19" s="1093"/>
      <c r="X19" s="1078">
        <f t="shared" si="2"/>
        <v>1145642</v>
      </c>
      <c r="Y19" s="308">
        <f t="shared" si="0"/>
        <v>1</v>
      </c>
    </row>
    <row r="20" spans="1:25" ht="28.8" x14ac:dyDescent="0.3">
      <c r="A20" s="1314" t="s">
        <v>131</v>
      </c>
      <c r="B20" s="1314" t="s">
        <v>415</v>
      </c>
      <c r="C20" s="300" t="s">
        <v>118</v>
      </c>
      <c r="D20" s="300" t="s">
        <v>119</v>
      </c>
      <c r="E20" s="300">
        <v>0.14000000000000001</v>
      </c>
      <c r="F20" s="192">
        <v>7904580</v>
      </c>
      <c r="G20" s="32">
        <f t="shared" ref="G20:G22" si="4">+ROUND(F20*1.051,0)</f>
        <v>8307714</v>
      </c>
      <c r="H20" s="192">
        <f>ROUND((E20*F20),0)</f>
        <v>1106641</v>
      </c>
      <c r="I20" s="32">
        <f t="shared" ref="I20:I22" si="5">+ROUND(G20*E20,0)</f>
        <v>1163080</v>
      </c>
      <c r="J20" s="1315" t="s">
        <v>733</v>
      </c>
      <c r="K20" s="149">
        <v>0</v>
      </c>
      <c r="L20" s="175">
        <f>ROUND(K20*$F$20,0)</f>
        <v>0</v>
      </c>
      <c r="M20" s="176">
        <f>L20/$H$20</f>
        <v>0</v>
      </c>
      <c r="N20" s="158">
        <v>0</v>
      </c>
      <c r="O20" s="194">
        <f>ROUND(N20*$F$20,0)</f>
        <v>0</v>
      </c>
      <c r="P20" s="195">
        <f>O20/$H$20</f>
        <v>0</v>
      </c>
      <c r="Q20" s="432">
        <v>0</v>
      </c>
      <c r="R20" s="425">
        <f t="shared" ref="R20:R22" si="6">ROUND(Q20*G20,0)</f>
        <v>0</v>
      </c>
      <c r="S20" s="426">
        <f t="shared" ref="S20" si="7">R20/H20</f>
        <v>0</v>
      </c>
      <c r="T20" s="432">
        <v>0</v>
      </c>
      <c r="U20" s="425">
        <f>ROUND(T20*G20,0)</f>
        <v>0</v>
      </c>
      <c r="V20" s="426">
        <f t="shared" si="1"/>
        <v>0</v>
      </c>
      <c r="W20" s="416">
        <f t="shared" si="3"/>
        <v>0</v>
      </c>
      <c r="X20" s="175">
        <f t="shared" si="2"/>
        <v>0</v>
      </c>
      <c r="Y20" s="176">
        <f t="shared" si="0"/>
        <v>0</v>
      </c>
    </row>
    <row r="21" spans="1:25" ht="28.8" x14ac:dyDescent="0.3">
      <c r="A21" s="1314"/>
      <c r="B21" s="1314"/>
      <c r="C21" s="300" t="s">
        <v>83</v>
      </c>
      <c r="D21" s="300" t="s">
        <v>120</v>
      </c>
      <c r="E21" s="300">
        <v>0.44</v>
      </c>
      <c r="F21" s="192">
        <v>5014359</v>
      </c>
      <c r="G21" s="32">
        <f t="shared" si="4"/>
        <v>5270091</v>
      </c>
      <c r="H21" s="192">
        <f>ROUND((E21*F21),0)</f>
        <v>2206318</v>
      </c>
      <c r="I21" s="32">
        <f>+ROUND(G21*E21,0)</f>
        <v>2318840</v>
      </c>
      <c r="J21" s="1314"/>
      <c r="K21" s="149">
        <v>0</v>
      </c>
      <c r="L21" s="175">
        <f>ROUND(K21*$F$21,0)</f>
        <v>0</v>
      </c>
      <c r="M21" s="176">
        <f>L21/$H$21</f>
        <v>0</v>
      </c>
      <c r="N21" s="158">
        <v>0</v>
      </c>
      <c r="O21" s="194">
        <f>ROUND(N21*$F$21,0)</f>
        <v>0</v>
      </c>
      <c r="P21" s="195">
        <f>O21/$H$21</f>
        <v>0</v>
      </c>
      <c r="Q21" s="433">
        <v>0.3</v>
      </c>
      <c r="R21" s="429">
        <f t="shared" si="6"/>
        <v>1581027</v>
      </c>
      <c r="S21" s="430">
        <f>R21/H21</f>
        <v>0.71659071811044461</v>
      </c>
      <c r="T21" s="432">
        <v>0</v>
      </c>
      <c r="U21" s="425">
        <f t="shared" ref="U21:U22" si="8">ROUND(T21*G21,0)</f>
        <v>0</v>
      </c>
      <c r="V21" s="426">
        <f t="shared" si="1"/>
        <v>0</v>
      </c>
      <c r="W21" s="416">
        <f t="shared" si="3"/>
        <v>0.3</v>
      </c>
      <c r="X21" s="175">
        <f t="shared" si="2"/>
        <v>1581027</v>
      </c>
      <c r="Y21" s="176">
        <f t="shared" si="0"/>
        <v>0.71659071811044461</v>
      </c>
    </row>
    <row r="22" spans="1:25" ht="103.5" customHeight="1" x14ac:dyDescent="0.3">
      <c r="A22" s="1314"/>
      <c r="B22" s="1314"/>
      <c r="C22" s="300" t="s">
        <v>61</v>
      </c>
      <c r="D22" s="300" t="s">
        <v>121</v>
      </c>
      <c r="E22" s="300">
        <v>0</v>
      </c>
      <c r="F22" s="192">
        <v>4283098</v>
      </c>
      <c r="G22" s="32">
        <f t="shared" si="4"/>
        <v>4501536</v>
      </c>
      <c r="H22" s="192">
        <f>ROUND((E22*F22),0)</f>
        <v>0</v>
      </c>
      <c r="I22" s="32">
        <f t="shared" si="5"/>
        <v>0</v>
      </c>
      <c r="J22" s="1314"/>
      <c r="K22" s="149">
        <v>0</v>
      </c>
      <c r="L22" s="175">
        <f>ROUND(K22*$F$22,0)</f>
        <v>0</v>
      </c>
      <c r="M22" s="176">
        <v>0</v>
      </c>
      <c r="N22" s="158">
        <v>0</v>
      </c>
      <c r="O22" s="194">
        <f>ROUND(N22*$F$22,0)</f>
        <v>0</v>
      </c>
      <c r="P22" s="195">
        <v>0</v>
      </c>
      <c r="Q22" s="432">
        <v>0</v>
      </c>
      <c r="R22" s="425">
        <f t="shared" si="6"/>
        <v>0</v>
      </c>
      <c r="S22" s="426">
        <v>0</v>
      </c>
      <c r="T22" s="432">
        <v>0</v>
      </c>
      <c r="U22" s="425">
        <f t="shared" si="8"/>
        <v>0</v>
      </c>
      <c r="V22" s="426">
        <v>0</v>
      </c>
      <c r="W22" s="416">
        <f t="shared" si="3"/>
        <v>0</v>
      </c>
      <c r="X22" s="175">
        <f t="shared" si="2"/>
        <v>0</v>
      </c>
      <c r="Y22" s="176">
        <v>0</v>
      </c>
    </row>
    <row r="23" spans="1:25" x14ac:dyDescent="0.3">
      <c r="A23" s="1314"/>
      <c r="B23" s="1314"/>
      <c r="C23" s="196"/>
      <c r="D23" s="196" t="s">
        <v>116</v>
      </c>
      <c r="E23" s="198"/>
      <c r="F23" s="198"/>
      <c r="G23" s="198"/>
      <c r="H23" s="199">
        <f>SUM(H20:H22)</f>
        <v>3312959</v>
      </c>
      <c r="I23" s="199">
        <f>SUM(I20:I22)</f>
        <v>3481920</v>
      </c>
      <c r="J23" s="1314"/>
      <c r="K23" s="178"/>
      <c r="L23" s="179">
        <f>SUM(L20:L22)</f>
        <v>0</v>
      </c>
      <c r="M23" s="178">
        <f>L23/$H$23</f>
        <v>0</v>
      </c>
      <c r="N23" s="308"/>
      <c r="O23" s="179">
        <f>SUM(O20:O22)</f>
        <v>0</v>
      </c>
      <c r="P23" s="308">
        <f>O23/$H$23</f>
        <v>0</v>
      </c>
      <c r="Q23" s="431"/>
      <c r="R23" s="179">
        <f>SUM(R20:R22)</f>
        <v>1581027</v>
      </c>
      <c r="S23" s="431">
        <f>R23/$H$23</f>
        <v>0.47722504262805548</v>
      </c>
      <c r="T23" s="431"/>
      <c r="U23" s="179">
        <f>SUM(U20:U22)</f>
        <v>0</v>
      </c>
      <c r="V23" s="1091">
        <f t="shared" si="1"/>
        <v>0</v>
      </c>
      <c r="W23" s="1096"/>
      <c r="X23" s="1078">
        <f t="shared" si="2"/>
        <v>1581027</v>
      </c>
      <c r="Y23" s="308">
        <f>X23/H23</f>
        <v>0.47722504262805548</v>
      </c>
    </row>
    <row r="24" spans="1:25" x14ac:dyDescent="0.3">
      <c r="F24" s="151" t="s">
        <v>64</v>
      </c>
      <c r="G24" s="151"/>
      <c r="H24" s="181">
        <f>SUM(H14:H23)/2</f>
        <v>9306511</v>
      </c>
      <c r="I24" s="181">
        <f>SUM(I14:I23)/2</f>
        <v>9781143</v>
      </c>
      <c r="K24" s="151" t="s">
        <v>64</v>
      </c>
      <c r="L24" s="181">
        <f>SUM(L14:L23)/2</f>
        <v>3816832</v>
      </c>
      <c r="M24" s="50">
        <f>L24/$H$24</f>
        <v>0.41012491147326857</v>
      </c>
      <c r="N24" s="480" t="s">
        <v>64</v>
      </c>
      <c r="O24" s="481">
        <f>SUM(O14:O23)/2</f>
        <v>2176719</v>
      </c>
      <c r="Q24" s="480" t="s">
        <v>64</v>
      </c>
      <c r="R24" s="481">
        <f>SUM(R14:R23)/2</f>
        <v>1581027</v>
      </c>
      <c r="T24" s="480" t="s">
        <v>64</v>
      </c>
      <c r="U24" s="481">
        <f>SUM(U14:U23)/2</f>
        <v>0</v>
      </c>
      <c r="W24" s="480" t="s">
        <v>64</v>
      </c>
      <c r="X24" s="481">
        <f>SUM(X14:X23)/2</f>
        <v>7574578</v>
      </c>
    </row>
    <row r="25" spans="1:25" x14ac:dyDescent="0.3">
      <c r="F25" s="153" t="s">
        <v>65</v>
      </c>
      <c r="G25" s="816"/>
      <c r="H25" s="182">
        <v>0</v>
      </c>
      <c r="I25" s="182">
        <v>0</v>
      </c>
      <c r="K25" s="153" t="s">
        <v>65</v>
      </c>
      <c r="L25" s="182">
        <v>0</v>
      </c>
      <c r="N25" s="482" t="s">
        <v>65</v>
      </c>
      <c r="O25" s="483">
        <v>0</v>
      </c>
      <c r="Q25" s="482" t="s">
        <v>65</v>
      </c>
      <c r="R25" s="483">
        <v>0</v>
      </c>
      <c r="T25" s="482" t="s">
        <v>65</v>
      </c>
      <c r="U25" s="483">
        <v>0</v>
      </c>
      <c r="W25" s="482" t="s">
        <v>65</v>
      </c>
      <c r="X25" s="483">
        <v>0</v>
      </c>
    </row>
    <row r="26" spans="1:25" x14ac:dyDescent="0.3">
      <c r="F26" s="152" t="s">
        <v>64</v>
      </c>
      <c r="G26" s="817"/>
      <c r="H26" s="182">
        <f>+H24+H25</f>
        <v>9306511</v>
      </c>
      <c r="I26" s="182">
        <f>+I24+I25</f>
        <v>9781143</v>
      </c>
      <c r="K26" s="152" t="s">
        <v>64</v>
      </c>
      <c r="L26" s="182">
        <f>+L24+L25</f>
        <v>3816832</v>
      </c>
      <c r="N26" s="484" t="s">
        <v>64</v>
      </c>
      <c r="O26" s="483">
        <f>+O24+O25</f>
        <v>2176719</v>
      </c>
      <c r="Q26" s="484" t="s">
        <v>64</v>
      </c>
      <c r="R26" s="483">
        <f>+R24+R25</f>
        <v>1581027</v>
      </c>
      <c r="T26" s="484" t="s">
        <v>64</v>
      </c>
      <c r="U26" s="483">
        <f>+U24+U25</f>
        <v>0</v>
      </c>
      <c r="W26" s="484" t="s">
        <v>64</v>
      </c>
      <c r="X26" s="483">
        <f>+X24+X25</f>
        <v>7574578</v>
      </c>
    </row>
    <row r="27" spans="1:25" ht="26.4" x14ac:dyDescent="0.3">
      <c r="F27" s="152"/>
      <c r="G27" s="817"/>
      <c r="H27" s="182"/>
      <c r="I27" s="182"/>
      <c r="K27" s="152"/>
      <c r="L27" s="182"/>
      <c r="N27" s="484" t="s">
        <v>1439</v>
      </c>
      <c r="O27" s="483">
        <f>ROUND(O26*0.015,0)</f>
        <v>32651</v>
      </c>
      <c r="Q27" s="484" t="s">
        <v>1439</v>
      </c>
      <c r="R27" s="483">
        <f>ROUND(R26*0.015,0)</f>
        <v>23715</v>
      </c>
      <c r="T27" s="484" t="s">
        <v>1439</v>
      </c>
      <c r="U27" s="483">
        <f>ROUND(U26*0.015,0)</f>
        <v>0</v>
      </c>
      <c r="W27" s="484" t="s">
        <v>1439</v>
      </c>
      <c r="X27" s="483">
        <f>L27+O27+R27+U27</f>
        <v>56366</v>
      </c>
    </row>
    <row r="28" spans="1:25" ht="26.4" x14ac:dyDescent="0.3">
      <c r="F28" s="152"/>
      <c r="G28" s="817"/>
      <c r="H28" s="182"/>
      <c r="I28" s="182"/>
      <c r="K28" s="152"/>
      <c r="L28" s="182"/>
      <c r="N28" s="152" t="s">
        <v>1440</v>
      </c>
      <c r="O28" s="182">
        <f>O26+O27</f>
        <v>2209370</v>
      </c>
      <c r="P28" s="592">
        <f>O28/$H$26</f>
        <v>0.23740046081716337</v>
      </c>
      <c r="Q28" s="152" t="s">
        <v>1440</v>
      </c>
      <c r="R28" s="182">
        <f>R26+R27</f>
        <v>1604742</v>
      </c>
      <c r="S28" s="592">
        <f>R28/$H$26</f>
        <v>0.17243218215720155</v>
      </c>
      <c r="T28" s="152" t="s">
        <v>1440</v>
      </c>
      <c r="U28" s="182">
        <f>U26+U27</f>
        <v>0</v>
      </c>
      <c r="V28" s="592">
        <f>U28/$H$26</f>
        <v>0</v>
      </c>
      <c r="W28" s="484" t="s">
        <v>1440</v>
      </c>
      <c r="X28" s="483">
        <f>X26+X27</f>
        <v>7630944</v>
      </c>
      <c r="Y28" s="592">
        <f>X28/H26</f>
        <v>0.81995755444763352</v>
      </c>
    </row>
    <row r="29" spans="1:25" x14ac:dyDescent="0.3">
      <c r="F29" s="154" t="s">
        <v>66</v>
      </c>
      <c r="G29" s="818"/>
      <c r="H29" s="182">
        <f>+H26*19%</f>
        <v>1768237.09</v>
      </c>
      <c r="I29" s="182">
        <f>+I26*19%</f>
        <v>1858417.17</v>
      </c>
      <c r="K29" s="154" t="s">
        <v>66</v>
      </c>
      <c r="L29" s="182">
        <f>+L26*19%</f>
        <v>725198.08</v>
      </c>
      <c r="N29" s="485" t="s">
        <v>66</v>
      </c>
      <c r="O29" s="483">
        <f>ROUND(O28*0.19,0)</f>
        <v>419780</v>
      </c>
      <c r="Q29" s="485" t="s">
        <v>66</v>
      </c>
      <c r="R29" s="483">
        <f>ROUND(R28*0.19,0)</f>
        <v>304901</v>
      </c>
      <c r="T29" s="485" t="s">
        <v>66</v>
      </c>
      <c r="U29" s="483">
        <f>ROUND(U28*0.19,0)</f>
        <v>0</v>
      </c>
      <c r="W29" s="485" t="s">
        <v>66</v>
      </c>
      <c r="X29" s="483">
        <f>ROUND(X28*0.19,0)</f>
        <v>1449879</v>
      </c>
    </row>
    <row r="30" spans="1:25" x14ac:dyDescent="0.3">
      <c r="F30" s="155" t="s">
        <v>69</v>
      </c>
      <c r="G30" s="155"/>
      <c r="H30" s="181">
        <f>+H26+H29</f>
        <v>11074748.09</v>
      </c>
      <c r="I30" s="181">
        <f>+I26+I29</f>
        <v>11639560.17</v>
      </c>
      <c r="K30" s="155" t="s">
        <v>69</v>
      </c>
      <c r="L30" s="181">
        <f>+L26+L29</f>
        <v>4542030.08</v>
      </c>
      <c r="N30" s="545" t="s">
        <v>69</v>
      </c>
      <c r="O30" s="481">
        <f>O28+O29</f>
        <v>2629150</v>
      </c>
      <c r="Q30" s="545" t="s">
        <v>69</v>
      </c>
      <c r="R30" s="481">
        <f>R28+R29</f>
        <v>1909643</v>
      </c>
      <c r="T30" s="545" t="s">
        <v>69</v>
      </c>
      <c r="U30" s="481">
        <f>U28+U29</f>
        <v>0</v>
      </c>
      <c r="W30" s="545" t="s">
        <v>69</v>
      </c>
      <c r="X30" s="481">
        <f>X28+X29</f>
        <v>9080823</v>
      </c>
    </row>
    <row r="31" spans="1:25" x14ac:dyDescent="0.3">
      <c r="N31" s="370"/>
      <c r="O31" s="370"/>
      <c r="Q31" s="370"/>
      <c r="R31" s="370"/>
      <c r="T31" s="370"/>
      <c r="U31" s="370"/>
    </row>
    <row r="33" spans="1:25" x14ac:dyDescent="0.3">
      <c r="A33" s="183" t="s">
        <v>67</v>
      </c>
      <c r="B33" s="184"/>
      <c r="C33" s="184"/>
      <c r="D33" s="185" t="s">
        <v>68</v>
      </c>
      <c r="K33" s="186" t="s">
        <v>70</v>
      </c>
      <c r="L33" s="187" t="s">
        <v>71</v>
      </c>
      <c r="M33" s="186" t="s">
        <v>58</v>
      </c>
      <c r="N33" s="186" t="s">
        <v>70</v>
      </c>
      <c r="O33" s="187" t="s">
        <v>71</v>
      </c>
      <c r="P33" s="186" t="s">
        <v>58</v>
      </c>
      <c r="Q33" s="186" t="s">
        <v>70</v>
      </c>
      <c r="R33" s="187" t="s">
        <v>71</v>
      </c>
      <c r="S33" s="186" t="s">
        <v>58</v>
      </c>
      <c r="T33" s="186" t="s">
        <v>70</v>
      </c>
      <c r="U33" s="187" t="s">
        <v>71</v>
      </c>
      <c r="V33" s="186" t="s">
        <v>58</v>
      </c>
      <c r="W33"/>
      <c r="X33"/>
      <c r="Y33"/>
    </row>
    <row r="34" spans="1:25" x14ac:dyDescent="0.3">
      <c r="A34" s="183"/>
      <c r="B34" s="184"/>
      <c r="C34" s="184"/>
      <c r="D34" s="185"/>
      <c r="K34" s="69" t="s">
        <v>72</v>
      </c>
      <c r="L34" s="70">
        <f>$L$24</f>
        <v>3816832</v>
      </c>
      <c r="M34" s="71">
        <f>$M$24</f>
        <v>0.41012491147326857</v>
      </c>
      <c r="N34" s="69" t="s">
        <v>72</v>
      </c>
      <c r="O34" s="70">
        <f>$L$24</f>
        <v>3816832</v>
      </c>
      <c r="P34" s="71">
        <f>$M$24</f>
        <v>0.41012491147326857</v>
      </c>
      <c r="Q34" s="69" t="s">
        <v>72</v>
      </c>
      <c r="R34" s="70">
        <f>$L$24</f>
        <v>3816832</v>
      </c>
      <c r="S34" s="71">
        <f>$M$24</f>
        <v>0.41012491147326857</v>
      </c>
      <c r="T34" s="69" t="s">
        <v>72</v>
      </c>
      <c r="U34" s="70">
        <f>$L$24</f>
        <v>3816832</v>
      </c>
      <c r="V34" s="71">
        <f>$M$24</f>
        <v>0.41012491147326857</v>
      </c>
      <c r="W34"/>
      <c r="X34"/>
      <c r="Y34"/>
    </row>
    <row r="35" spans="1:25" x14ac:dyDescent="0.3">
      <c r="A35" s="183"/>
      <c r="B35" s="184"/>
      <c r="C35" s="184"/>
      <c r="D35" s="185"/>
      <c r="K35" s="69"/>
      <c r="L35" s="70"/>
      <c r="M35" s="71"/>
      <c r="N35" s="69" t="s">
        <v>73</v>
      </c>
      <c r="O35" s="70">
        <f>$O$28</f>
        <v>2209370</v>
      </c>
      <c r="P35" s="71">
        <f>$P$28</f>
        <v>0.23740046081716337</v>
      </c>
      <c r="Q35" s="69" t="s">
        <v>73</v>
      </c>
      <c r="R35" s="70">
        <f>$O$28</f>
        <v>2209370</v>
      </c>
      <c r="S35" s="71">
        <f>$P$28</f>
        <v>0.23740046081716337</v>
      </c>
      <c r="T35" s="69" t="s">
        <v>73</v>
      </c>
      <c r="U35" s="70">
        <f>$O$28</f>
        <v>2209370</v>
      </c>
      <c r="V35" s="71">
        <f>$P$28</f>
        <v>0.23740046081716337</v>
      </c>
      <c r="W35" s="302"/>
      <c r="X35" s="302"/>
      <c r="Y35" s="302"/>
    </row>
    <row r="36" spans="1:25" s="805" customFormat="1" x14ac:dyDescent="0.3">
      <c r="A36" s="183"/>
      <c r="B36" s="184"/>
      <c r="C36" s="184"/>
      <c r="D36" s="185"/>
      <c r="K36" s="69"/>
      <c r="L36" s="70"/>
      <c r="M36" s="71"/>
      <c r="N36" s="69"/>
      <c r="O36" s="70"/>
      <c r="P36" s="71"/>
      <c r="Q36" s="69" t="s">
        <v>74</v>
      </c>
      <c r="R36" s="70">
        <f>+R28</f>
        <v>1604742</v>
      </c>
      <c r="S36" s="71">
        <f>+S28</f>
        <v>0.17243218215720155</v>
      </c>
      <c r="T36" s="69" t="s">
        <v>74</v>
      </c>
      <c r="U36" s="70">
        <f>+R28</f>
        <v>1604742</v>
      </c>
      <c r="V36" s="71">
        <f>+S28</f>
        <v>0.17243218215720155</v>
      </c>
      <c r="W36" s="804"/>
      <c r="X36" s="804"/>
      <c r="Y36" s="804"/>
    </row>
    <row r="37" spans="1:25" x14ac:dyDescent="0.3">
      <c r="A37" s="183"/>
      <c r="B37" s="184"/>
      <c r="C37" s="184"/>
      <c r="D37" s="185"/>
      <c r="K37" s="72" t="s">
        <v>1</v>
      </c>
      <c r="L37" s="105">
        <f>SUM(L34:L34)</f>
        <v>3816832</v>
      </c>
      <c r="M37" s="73">
        <f>SUM(M34:M34)</f>
        <v>0.41012491147326857</v>
      </c>
      <c r="N37" s="72" t="s">
        <v>1</v>
      </c>
      <c r="O37" s="105">
        <f>SUM(O34:O35)</f>
        <v>6026202</v>
      </c>
      <c r="P37" s="73">
        <f>SUM(P34:P35)</f>
        <v>0.64752537229043194</v>
      </c>
      <c r="Q37" s="72" t="s">
        <v>1</v>
      </c>
      <c r="R37" s="105">
        <f>SUM(R34:R36)</f>
        <v>7630944</v>
      </c>
      <c r="S37" s="73">
        <f>SUM(S34:S36)</f>
        <v>0.81995755444763352</v>
      </c>
      <c r="T37" s="69" t="s">
        <v>155</v>
      </c>
      <c r="U37" s="70">
        <f>+U28</f>
        <v>0</v>
      </c>
      <c r="V37" s="71">
        <f>+V28</f>
        <v>0</v>
      </c>
      <c r="W37"/>
      <c r="X37"/>
      <c r="Y37"/>
    </row>
    <row r="38" spans="1:25" x14ac:dyDescent="0.3">
      <c r="A38" s="183"/>
      <c r="B38" s="184"/>
      <c r="C38" s="184"/>
      <c r="D38" s="185"/>
      <c r="K38" s="72" t="s">
        <v>9</v>
      </c>
      <c r="L38" s="1285"/>
      <c r="M38" s="1286"/>
      <c r="N38" s="72" t="s">
        <v>9</v>
      </c>
      <c r="O38" s="1285"/>
      <c r="P38" s="1286"/>
      <c r="Q38" s="72" t="s">
        <v>9</v>
      </c>
      <c r="R38" s="1285"/>
      <c r="S38" s="1286"/>
      <c r="T38" s="72" t="s">
        <v>1</v>
      </c>
      <c r="U38" s="105">
        <f>SUM(U34:U37)</f>
        <v>7630944</v>
      </c>
      <c r="V38" s="73">
        <f>SUM(V34:V37)</f>
        <v>0.81995755444763352</v>
      </c>
      <c r="W38"/>
      <c r="X38"/>
      <c r="Y38"/>
    </row>
    <row r="39" spans="1:25" x14ac:dyDescent="0.3">
      <c r="A39" s="183"/>
      <c r="B39" s="184"/>
      <c r="C39" s="184"/>
      <c r="D39" s="185"/>
      <c r="K39" s="156" t="s">
        <v>78</v>
      </c>
      <c r="L39" s="1285" t="s">
        <v>734</v>
      </c>
      <c r="M39" s="1286"/>
      <c r="N39" s="156" t="s">
        <v>78</v>
      </c>
      <c r="O39" s="1285" t="s">
        <v>734</v>
      </c>
      <c r="P39" s="1286"/>
      <c r="Q39" s="156" t="s">
        <v>78</v>
      </c>
      <c r="R39" s="1285"/>
      <c r="S39" s="1286"/>
      <c r="T39" s="72" t="s">
        <v>9</v>
      </c>
      <c r="U39" s="1285"/>
      <c r="V39" s="1286"/>
      <c r="W39"/>
      <c r="X39"/>
      <c r="Y39"/>
    </row>
    <row r="40" spans="1:25" x14ac:dyDescent="0.3">
      <c r="A40" s="183"/>
      <c r="B40" s="184"/>
      <c r="C40" s="184"/>
      <c r="D40" s="185"/>
      <c r="K40" s="157" t="s">
        <v>8</v>
      </c>
      <c r="L40" s="1287" t="s">
        <v>735</v>
      </c>
      <c r="M40" s="1288"/>
      <c r="N40" s="157" t="s">
        <v>8</v>
      </c>
      <c r="O40" s="1287" t="s">
        <v>735</v>
      </c>
      <c r="P40" s="1288"/>
      <c r="Q40" s="157" t="s">
        <v>8</v>
      </c>
      <c r="R40" s="1287"/>
      <c r="S40" s="1288"/>
      <c r="T40" s="156" t="s">
        <v>78</v>
      </c>
      <c r="U40" s="1285"/>
      <c r="V40" s="1286"/>
      <c r="W40"/>
      <c r="X40"/>
      <c r="Y40"/>
    </row>
    <row r="41" spans="1:25" x14ac:dyDescent="0.3">
      <c r="A41" s="183"/>
      <c r="B41" s="184"/>
      <c r="C41" s="184"/>
      <c r="D41" s="185" t="s">
        <v>75</v>
      </c>
      <c r="T41" s="157" t="s">
        <v>8</v>
      </c>
      <c r="U41" s="1287"/>
      <c r="V41" s="1288"/>
    </row>
    <row r="42" spans="1:25" x14ac:dyDescent="0.3">
      <c r="A42" s="183" t="s">
        <v>76</v>
      </c>
      <c r="B42" s="180"/>
      <c r="C42" s="180"/>
      <c r="D42" s="185" t="s">
        <v>77</v>
      </c>
    </row>
    <row r="43" spans="1:25" ht="26.4" x14ac:dyDescent="0.3">
      <c r="A43" s="183" t="s">
        <v>79</v>
      </c>
      <c r="B43" s="180"/>
      <c r="C43" s="180"/>
      <c r="D43" s="185" t="s">
        <v>80</v>
      </c>
    </row>
  </sheetData>
  <sheetProtection formatCells="0" formatColumns="0" formatRows="0" insertColumns="0" insertRows="0" insertHyperlinks="0" deleteColumns="0" deleteRows="0" sort="0" autoFilter="0" pivotTables="0"/>
  <mergeCells count="42">
    <mergeCell ref="A5:Y5"/>
    <mergeCell ref="A6:Y6"/>
    <mergeCell ref="A18:A19"/>
    <mergeCell ref="B18:B19"/>
    <mergeCell ref="J18:J19"/>
    <mergeCell ref="A14:A15"/>
    <mergeCell ref="B14:B15"/>
    <mergeCell ref="J14:J15"/>
    <mergeCell ref="A16:A17"/>
    <mergeCell ref="B16:B17"/>
    <mergeCell ref="J16:J17"/>
    <mergeCell ref="A7:Y7"/>
    <mergeCell ref="A8:Y8"/>
    <mergeCell ref="A9:Y9"/>
    <mergeCell ref="A10:Y10"/>
    <mergeCell ref="W11:Y12"/>
    <mergeCell ref="W1:Y1"/>
    <mergeCell ref="W2:Y2"/>
    <mergeCell ref="A3:Y3"/>
    <mergeCell ref="A4:Y4"/>
    <mergeCell ref="C1:P2"/>
    <mergeCell ref="A20:A23"/>
    <mergeCell ref="B20:B23"/>
    <mergeCell ref="J20:J23"/>
    <mergeCell ref="N11:P12"/>
    <mergeCell ref="O38:P38"/>
    <mergeCell ref="B11:J11"/>
    <mergeCell ref="K11:M12"/>
    <mergeCell ref="B12:J12"/>
    <mergeCell ref="L38:M38"/>
    <mergeCell ref="Q11:S12"/>
    <mergeCell ref="T11:V12"/>
    <mergeCell ref="U39:V39"/>
    <mergeCell ref="U40:V40"/>
    <mergeCell ref="U41:V41"/>
    <mergeCell ref="L39:M39"/>
    <mergeCell ref="L40:M40"/>
    <mergeCell ref="O39:P39"/>
    <mergeCell ref="O40:P40"/>
    <mergeCell ref="R38:S38"/>
    <mergeCell ref="R39:S39"/>
    <mergeCell ref="R40:S40"/>
  </mergeCells>
  <pageMargins left="0.7" right="0.7" top="0.75" bottom="0.75" header="0.3" footer="0.3"/>
  <pageSetup scale="36" orientation="landscape" r:id="rId1"/>
  <drawing r:id="rId2"/>
  <legacyDrawing r:id="rId3"/>
  <legacyDrawingHF r:id="rId4"/>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9">
    <tabColor theme="1"/>
  </sheetPr>
  <dimension ref="A1:G49"/>
  <sheetViews>
    <sheetView topLeftCell="A16" zoomScaleNormal="100" workbookViewId="0">
      <selection activeCell="G24" sqref="G2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RESUMEN!G46</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RESUMEN!B46</f>
        <v>D00243135</v>
      </c>
      <c r="C7" s="1265"/>
      <c r="D7" s="1177"/>
      <c r="E7" s="1266" t="s">
        <v>627</v>
      </c>
      <c r="F7" s="1267"/>
      <c r="G7" s="280" t="str">
        <f>RESUMEN!E46</f>
        <v xml:space="preserve">17-236 </v>
      </c>
    </row>
    <row r="8" spans="1:7" x14ac:dyDescent="0.25">
      <c r="A8" s="271" t="s">
        <v>628</v>
      </c>
      <c r="B8" s="1264" t="str">
        <f>RESUMEN!C46</f>
        <v>D00243135000</v>
      </c>
      <c r="C8" s="1265"/>
      <c r="D8" s="1177"/>
      <c r="E8" s="1266" t="s">
        <v>629</v>
      </c>
      <c r="F8" s="1267"/>
      <c r="G8" s="280" t="str">
        <f>RESUMEN!U46</f>
        <v>Acta N° 2: Marzo</v>
      </c>
    </row>
    <row r="9" spans="1:7" x14ac:dyDescent="0.25">
      <c r="A9" s="271" t="s">
        <v>630</v>
      </c>
      <c r="B9" s="1283" t="s">
        <v>631</v>
      </c>
      <c r="C9" s="1265"/>
      <c r="D9" s="1177"/>
      <c r="E9" s="1266" t="s">
        <v>632</v>
      </c>
      <c r="F9" s="1267"/>
      <c r="G9" s="1178">
        <f>RESUMEN!H46</f>
        <v>1539129</v>
      </c>
    </row>
    <row r="10" spans="1:7" x14ac:dyDescent="0.25">
      <c r="A10" s="271" t="s">
        <v>633</v>
      </c>
      <c r="B10" s="1283" t="str">
        <f>RESUMEN!D46</f>
        <v>MUÑA AS BUILT</v>
      </c>
      <c r="C10" s="1265"/>
      <c r="D10" s="1177"/>
      <c r="E10" s="1266" t="s">
        <v>634</v>
      </c>
      <c r="F10" s="1267"/>
      <c r="G10" s="1178">
        <f>RESUMEN!R46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RESUMEN!N46</f>
        <v>0</v>
      </c>
      <c r="F19" s="1248"/>
      <c r="G19" s="1177"/>
    </row>
    <row r="20" spans="1:7" ht="27" customHeight="1" x14ac:dyDescent="0.25">
      <c r="A20" s="1177"/>
      <c r="B20" s="1244" t="s">
        <v>1498</v>
      </c>
      <c r="C20" s="1245"/>
      <c r="D20" s="1246"/>
      <c r="E20" s="1247">
        <f>RESUMEN!P46</f>
        <v>0</v>
      </c>
      <c r="F20" s="1248"/>
      <c r="G20" s="1177"/>
    </row>
    <row r="21" spans="1:7" ht="27" customHeight="1" x14ac:dyDescent="0.25">
      <c r="A21" s="1177"/>
      <c r="B21" s="1244" t="s">
        <v>1499</v>
      </c>
      <c r="C21" s="1245"/>
      <c r="D21" s="1246"/>
      <c r="E21" s="1247">
        <f>RESUMEN!Q46</f>
        <v>0</v>
      </c>
      <c r="F21" s="1248"/>
      <c r="G21" s="1177"/>
    </row>
    <row r="22" spans="1:7" x14ac:dyDescent="0.25">
      <c r="A22" s="1177"/>
      <c r="B22" s="1254" t="s">
        <v>64</v>
      </c>
      <c r="C22" s="1254"/>
      <c r="D22" s="1254"/>
      <c r="E22" s="1255">
        <f>RESUMEN!R46</f>
        <v>0</v>
      </c>
      <c r="F22" s="1255"/>
      <c r="G22" s="1177"/>
    </row>
    <row r="23" spans="1:7" x14ac:dyDescent="0.25">
      <c r="A23" s="1177"/>
      <c r="B23" s="1256" t="s">
        <v>66</v>
      </c>
      <c r="C23" s="1256"/>
      <c r="D23" s="1256"/>
      <c r="E23" s="1257">
        <f>RESUMEN!S46</f>
        <v>0</v>
      </c>
      <c r="F23" s="1257"/>
      <c r="G23" s="1177"/>
    </row>
    <row r="24" spans="1:7" x14ac:dyDescent="0.25">
      <c r="A24" s="1177"/>
      <c r="B24" s="1258" t="s">
        <v>1</v>
      </c>
      <c r="C24" s="1258"/>
      <c r="D24" s="1258"/>
      <c r="E24" s="1259">
        <f>RESUMEN!T46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+'OT17-236 MUÑA AS BUILT'!N56</f>
        <v>ACTA 1</v>
      </c>
      <c r="C28" s="1253">
        <f>+'OT17-236 MUÑA AS BUILT'!O56</f>
        <v>1265777</v>
      </c>
      <c r="D28" s="1253"/>
      <c r="E28" s="267">
        <f>+'OT17-236 MUÑA AS BUILT'!P56</f>
        <v>0.82239825251814502</v>
      </c>
      <c r="F28" s="1177"/>
      <c r="G28" s="1177"/>
    </row>
    <row r="29" spans="1:7" x14ac:dyDescent="0.25">
      <c r="A29" s="1177"/>
      <c r="B29" s="280" t="str">
        <f>+'OT17-236 MUÑA AS BUILT'!N57</f>
        <v>ACTA 2</v>
      </c>
      <c r="C29" s="1253">
        <f>+'OT17-236 MUÑA AS BUILT'!O57</f>
        <v>0</v>
      </c>
      <c r="D29" s="1253"/>
      <c r="E29" s="267">
        <f>+'OT17-236 MUÑA AS BUILT'!P57</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1265777</v>
      </c>
      <c r="D34" s="1251"/>
      <c r="E34" s="264">
        <f>SUM(E28:E33)</f>
        <v>0.82239825251814502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9">
    <tabColor theme="7"/>
    <pageSetUpPr fitToPage="1"/>
  </sheetPr>
  <dimension ref="A1:S64"/>
  <sheetViews>
    <sheetView topLeftCell="A31" zoomScale="55" zoomScaleNormal="55" workbookViewId="0">
      <selection activeCell="S37" sqref="S37"/>
    </sheetView>
  </sheetViews>
  <sheetFormatPr baseColWidth="10" defaultColWidth="11.44140625" defaultRowHeight="14.4" x14ac:dyDescent="0.3"/>
  <cols>
    <col min="1" max="1" width="17.88671875" style="189" customWidth="1"/>
    <col min="2" max="2" width="23" style="189" customWidth="1"/>
    <col min="3" max="3" width="30.88671875" style="189" customWidth="1"/>
    <col min="4" max="4" width="23.44140625" style="189" customWidth="1"/>
    <col min="5" max="5" width="10.5546875" style="189" bestFit="1" customWidth="1"/>
    <col min="6" max="6" width="17.88671875" style="189" bestFit="1" customWidth="1"/>
    <col min="7" max="7" width="17.88671875" style="852" customWidth="1"/>
    <col min="8" max="8" width="16.33203125" style="189" bestFit="1" customWidth="1"/>
    <col min="9" max="9" width="16.33203125" style="852" customWidth="1"/>
    <col min="10" max="10" width="34.33203125" style="189" customWidth="1"/>
    <col min="11" max="11" width="17.88671875" style="189" customWidth="1"/>
    <col min="12" max="12" width="18" style="189" customWidth="1"/>
    <col min="13" max="13" width="11.44140625" style="189" customWidth="1"/>
    <col min="14" max="14" width="17.88671875" style="189" bestFit="1" customWidth="1"/>
    <col min="15" max="15" width="18" style="189" bestFit="1" customWidth="1"/>
    <col min="16" max="16" width="11.44140625" style="189"/>
    <col min="17" max="17" width="17.88671875" style="189" bestFit="1" customWidth="1"/>
    <col min="18" max="18" width="16.5546875" style="189" bestFit="1" customWidth="1"/>
    <col min="19" max="16384" width="11.44140625" style="189"/>
  </cols>
  <sheetData>
    <row r="1" spans="1:19" s="302" customFormat="1" ht="42" customHeight="1" thickBot="1" x14ac:dyDescent="0.35">
      <c r="A1" s="169"/>
      <c r="B1" s="188"/>
      <c r="C1" s="1307" t="s">
        <v>40</v>
      </c>
      <c r="D1" s="1308"/>
      <c r="E1" s="1308"/>
      <c r="F1" s="1308"/>
      <c r="G1" s="1308"/>
      <c r="H1" s="1308"/>
      <c r="I1" s="1308"/>
      <c r="J1" s="1308"/>
      <c r="K1" s="1308"/>
      <c r="L1" s="1308"/>
      <c r="M1" s="1308"/>
      <c r="N1" s="1308"/>
      <c r="O1" s="1308"/>
      <c r="P1" s="1309"/>
      <c r="Q1" s="1328" t="s">
        <v>354</v>
      </c>
      <c r="R1" s="1303"/>
      <c r="S1" s="1304"/>
    </row>
    <row r="2" spans="1:19" s="302" customFormat="1"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ht="13.5" customHeight="1" x14ac:dyDescent="0.3">
      <c r="A7" s="1291" t="s">
        <v>312</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826</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18"/>
      <c r="B11" s="1301"/>
      <c r="C11" s="1313"/>
      <c r="D11" s="1313"/>
      <c r="E11" s="1313"/>
      <c r="F11" s="1313"/>
      <c r="G11" s="1313"/>
      <c r="H11" s="1313"/>
      <c r="I11" s="1313"/>
      <c r="J11" s="1313"/>
      <c r="K11" s="1293" t="s">
        <v>46</v>
      </c>
      <c r="L11" s="1294"/>
      <c r="M11" s="1295"/>
      <c r="N11" s="1293" t="s">
        <v>2324</v>
      </c>
      <c r="O11" s="1294"/>
      <c r="P11" s="1295"/>
      <c r="Q11" s="1299" t="s">
        <v>49</v>
      </c>
      <c r="R11" s="1299"/>
      <c r="S11" s="1299"/>
    </row>
    <row r="12" spans="1:19" s="302" customFormat="1" ht="13.5" customHeight="1" x14ac:dyDescent="0.3">
      <c r="A12" s="171"/>
      <c r="B12" s="1301"/>
      <c r="C12" s="1302"/>
      <c r="D12" s="1302"/>
      <c r="E12" s="1302"/>
      <c r="F12" s="1302"/>
      <c r="G12" s="1302"/>
      <c r="H12" s="1302"/>
      <c r="I12" s="1302"/>
      <c r="J12" s="1302"/>
      <c r="K12" s="1325"/>
      <c r="L12" s="1326"/>
      <c r="M12" s="1327"/>
      <c r="N12" s="1296"/>
      <c r="O12" s="1297"/>
      <c r="P12" s="1298"/>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174" t="s">
        <v>54</v>
      </c>
      <c r="R13" s="172" t="s">
        <v>56</v>
      </c>
      <c r="S13" s="28" t="s">
        <v>58</v>
      </c>
    </row>
    <row r="14" spans="1:19" ht="28.8" x14ac:dyDescent="0.3">
      <c r="A14" s="1314" t="s">
        <v>201</v>
      </c>
      <c r="B14" s="1314" t="s">
        <v>165</v>
      </c>
      <c r="C14" s="319" t="s">
        <v>81</v>
      </c>
      <c r="D14" s="319" t="s">
        <v>166</v>
      </c>
      <c r="E14" s="319">
        <v>0.05</v>
      </c>
      <c r="F14" s="192">
        <v>1149124</v>
      </c>
      <c r="G14" s="32">
        <f>+ROUND(F14*1.051,0)</f>
        <v>1207729</v>
      </c>
      <c r="H14" s="192">
        <f>ROUND((E14*F14),0)</f>
        <v>57456</v>
      </c>
      <c r="I14" s="32">
        <f>+ROUND(G14*E14,0)</f>
        <v>60386</v>
      </c>
      <c r="J14" s="1314" t="s">
        <v>825</v>
      </c>
      <c r="K14" s="158">
        <v>0</v>
      </c>
      <c r="L14" s="194">
        <f>ROUND(K14*$F$14,0)</f>
        <v>0</v>
      </c>
      <c r="M14" s="195">
        <f>L14/$H$14</f>
        <v>0</v>
      </c>
      <c r="N14" s="158">
        <v>0</v>
      </c>
      <c r="O14" s="194">
        <f>ROUND(N14*G14,0)</f>
        <v>0</v>
      </c>
      <c r="P14" s="195">
        <f>O14/I14</f>
        <v>0</v>
      </c>
      <c r="Q14" s="149">
        <f>K14+N14</f>
        <v>0</v>
      </c>
      <c r="R14" s="175">
        <f>L14+O14</f>
        <v>0</v>
      </c>
      <c r="S14" s="176">
        <f>R14/H14</f>
        <v>0</v>
      </c>
    </row>
    <row r="15" spans="1:19" ht="28.8" x14ac:dyDescent="0.3">
      <c r="A15" s="1314"/>
      <c r="B15" s="1314"/>
      <c r="C15" s="319" t="s">
        <v>83</v>
      </c>
      <c r="D15" s="319" t="s">
        <v>167</v>
      </c>
      <c r="E15" s="319">
        <v>0.05</v>
      </c>
      <c r="F15" s="192">
        <v>2646468</v>
      </c>
      <c r="G15" s="32">
        <f t="shared" ref="G15:G44" si="0">+ROUND(F15*1.051,0)</f>
        <v>2781438</v>
      </c>
      <c r="H15" s="192">
        <f>ROUND((E15*F15),0)</f>
        <v>132323</v>
      </c>
      <c r="I15" s="32">
        <f>+ROUND(G15*E15,0)</f>
        <v>139072</v>
      </c>
      <c r="J15" s="1314"/>
      <c r="K15" s="303">
        <v>0.05</v>
      </c>
      <c r="L15" s="304">
        <f>ROUND(K15*$F$15,0)</f>
        <v>132323</v>
      </c>
      <c r="M15" s="305">
        <f>L15/$H$15</f>
        <v>1</v>
      </c>
      <c r="N15" s="158">
        <v>0</v>
      </c>
      <c r="O15" s="425">
        <f t="shared" ref="O15:O16" si="1">ROUND(N15*G15,0)</f>
        <v>0</v>
      </c>
      <c r="P15" s="426">
        <f t="shared" ref="P15:P16" si="2">O15/I15</f>
        <v>0</v>
      </c>
      <c r="Q15" s="149">
        <f t="shared" ref="Q15:R16" si="3">K15+N15</f>
        <v>0.05</v>
      </c>
      <c r="R15" s="175">
        <f t="shared" si="3"/>
        <v>132323</v>
      </c>
      <c r="S15" s="176">
        <f>R15/H15</f>
        <v>1</v>
      </c>
    </row>
    <row r="16" spans="1:19" ht="28.8" x14ac:dyDescent="0.3">
      <c r="A16" s="1314"/>
      <c r="B16" s="1314"/>
      <c r="C16" s="319" t="s">
        <v>61</v>
      </c>
      <c r="D16" s="319" t="s">
        <v>168</v>
      </c>
      <c r="E16" s="319">
        <v>0.05</v>
      </c>
      <c r="F16" s="192">
        <v>2542001</v>
      </c>
      <c r="G16" s="32">
        <f t="shared" si="0"/>
        <v>2671643</v>
      </c>
      <c r="H16" s="192">
        <f>ROUND((E16*F16),0)</f>
        <v>127100</v>
      </c>
      <c r="I16" s="32">
        <f>+ROUND(G16*E16,0)</f>
        <v>133582</v>
      </c>
      <c r="J16" s="1314"/>
      <c r="K16" s="303">
        <v>0.05</v>
      </c>
      <c r="L16" s="304">
        <f>ROUND(K16*$F$16,0)</f>
        <v>127100</v>
      </c>
      <c r="M16" s="305">
        <f>L16/$H$16</f>
        <v>1</v>
      </c>
      <c r="N16" s="158">
        <v>0</v>
      </c>
      <c r="O16" s="425">
        <f t="shared" si="1"/>
        <v>0</v>
      </c>
      <c r="P16" s="426">
        <f t="shared" si="2"/>
        <v>0</v>
      </c>
      <c r="Q16" s="149">
        <f t="shared" si="3"/>
        <v>0.05</v>
      </c>
      <c r="R16" s="175">
        <f t="shared" si="3"/>
        <v>127100</v>
      </c>
      <c r="S16" s="176">
        <f>R16/H16</f>
        <v>1</v>
      </c>
    </row>
    <row r="17" spans="1:19" x14ac:dyDescent="0.3">
      <c r="A17" s="1314"/>
      <c r="B17" s="1314"/>
      <c r="C17" s="196"/>
      <c r="D17" s="196" t="s">
        <v>169</v>
      </c>
      <c r="E17" s="198"/>
      <c r="F17" s="198"/>
      <c r="G17" s="198"/>
      <c r="H17" s="199">
        <f>SUM(H14:H16)</f>
        <v>316879</v>
      </c>
      <c r="I17" s="199"/>
      <c r="J17" s="1314"/>
      <c r="K17" s="308"/>
      <c r="L17" s="179">
        <f>SUM(L14:L16)</f>
        <v>259423</v>
      </c>
      <c r="M17" s="308">
        <f>L17/$H$17</f>
        <v>0.8186815787729701</v>
      </c>
      <c r="N17" s="308"/>
      <c r="O17" s="179">
        <f>SUM(O14:O16)</f>
        <v>0</v>
      </c>
      <c r="P17" s="308">
        <f>O17/$H$17</f>
        <v>0</v>
      </c>
      <c r="Q17" s="306"/>
      <c r="R17" s="307">
        <f t="shared" ref="R17:R45" si="4">L17+O17</f>
        <v>259423</v>
      </c>
      <c r="S17" s="308">
        <f>R17/H17</f>
        <v>0.8186815787729701</v>
      </c>
    </row>
    <row r="18" spans="1:19" ht="28.8" x14ac:dyDescent="0.3">
      <c r="A18" s="1314" t="s">
        <v>151</v>
      </c>
      <c r="B18" s="1314" t="s">
        <v>217</v>
      </c>
      <c r="C18" s="319" t="s">
        <v>81</v>
      </c>
      <c r="D18" s="319" t="s">
        <v>218</v>
      </c>
      <c r="E18" s="319">
        <v>0</v>
      </c>
      <c r="F18" s="192">
        <v>1149124</v>
      </c>
      <c r="G18" s="32">
        <f t="shared" si="0"/>
        <v>1207729</v>
      </c>
      <c r="H18" s="192">
        <f>ROUND((E18*F18),0)</f>
        <v>0</v>
      </c>
      <c r="I18" s="32">
        <f>+ROUND(G18*E18,0)</f>
        <v>0</v>
      </c>
      <c r="J18" s="1314" t="s">
        <v>825</v>
      </c>
      <c r="K18" s="158">
        <v>0</v>
      </c>
      <c r="L18" s="194">
        <f>ROUND(K18*$F$18,0)</f>
        <v>0</v>
      </c>
      <c r="M18" s="195">
        <v>0</v>
      </c>
      <c r="N18" s="158">
        <v>0</v>
      </c>
      <c r="O18" s="425">
        <f t="shared" ref="O18:O20" si="5">ROUND(N18*G18,0)</f>
        <v>0</v>
      </c>
      <c r="P18" s="426">
        <v>0</v>
      </c>
      <c r="Q18" s="149">
        <f>K18+N18</f>
        <v>0</v>
      </c>
      <c r="R18" s="175">
        <f t="shared" si="4"/>
        <v>0</v>
      </c>
      <c r="S18" s="176">
        <v>0</v>
      </c>
    </row>
    <row r="19" spans="1:19" ht="28.8" x14ac:dyDescent="0.3">
      <c r="A19" s="1314"/>
      <c r="B19" s="1314"/>
      <c r="C19" s="319" t="s">
        <v>83</v>
      </c>
      <c r="D19" s="319" t="s">
        <v>219</v>
      </c>
      <c r="E19" s="319">
        <v>0</v>
      </c>
      <c r="F19" s="192">
        <v>2646468</v>
      </c>
      <c r="G19" s="32">
        <f t="shared" si="0"/>
        <v>2781438</v>
      </c>
      <c r="H19" s="192">
        <f>ROUND((E19*F19),0)</f>
        <v>0</v>
      </c>
      <c r="I19" s="32">
        <f>+ROUND(G19*E19,0)</f>
        <v>0</v>
      </c>
      <c r="J19" s="1314"/>
      <c r="K19" s="158">
        <v>0</v>
      </c>
      <c r="L19" s="194">
        <f>ROUND(K19*$F$19,0)</f>
        <v>0</v>
      </c>
      <c r="M19" s="195">
        <v>0</v>
      </c>
      <c r="N19" s="158">
        <v>0</v>
      </c>
      <c r="O19" s="425">
        <f t="shared" si="5"/>
        <v>0</v>
      </c>
      <c r="P19" s="426">
        <v>0</v>
      </c>
      <c r="Q19" s="149">
        <f>K19+N19</f>
        <v>0</v>
      </c>
      <c r="R19" s="175">
        <f t="shared" si="4"/>
        <v>0</v>
      </c>
      <c r="S19" s="176">
        <v>0</v>
      </c>
    </row>
    <row r="20" spans="1:19" ht="28.8" x14ac:dyDescent="0.3">
      <c r="A20" s="1314"/>
      <c r="B20" s="1314"/>
      <c r="C20" s="319" t="s">
        <v>61</v>
      </c>
      <c r="D20" s="319" t="s">
        <v>220</v>
      </c>
      <c r="E20" s="319">
        <v>0.05</v>
      </c>
      <c r="F20" s="192">
        <v>3203618</v>
      </c>
      <c r="G20" s="32">
        <f t="shared" si="0"/>
        <v>3367003</v>
      </c>
      <c r="H20" s="192">
        <f>ROUND((E20*F20),0)</f>
        <v>160181</v>
      </c>
      <c r="I20" s="32">
        <f>+ROUND(G20*E20,0)</f>
        <v>168350</v>
      </c>
      <c r="J20" s="1314"/>
      <c r="K20" s="303">
        <v>0.05</v>
      </c>
      <c r="L20" s="304">
        <f>ROUND(K20*$F$20,0)</f>
        <v>160181</v>
      </c>
      <c r="M20" s="305">
        <f>L20/$H$20</f>
        <v>1</v>
      </c>
      <c r="N20" s="158">
        <v>0</v>
      </c>
      <c r="O20" s="425">
        <f t="shared" si="5"/>
        <v>0</v>
      </c>
      <c r="P20" s="426">
        <f t="shared" ref="P20" si="6">O20/I20</f>
        <v>0</v>
      </c>
      <c r="Q20" s="149">
        <f>K20+N20</f>
        <v>0.05</v>
      </c>
      <c r="R20" s="175">
        <f t="shared" si="4"/>
        <v>160181</v>
      </c>
      <c r="S20" s="176">
        <f>R20/H20</f>
        <v>1</v>
      </c>
    </row>
    <row r="21" spans="1:19" x14ac:dyDescent="0.3">
      <c r="A21" s="1314"/>
      <c r="B21" s="1314"/>
      <c r="C21" s="196"/>
      <c r="D21" s="196" t="s">
        <v>221</v>
      </c>
      <c r="E21" s="198"/>
      <c r="F21" s="198"/>
      <c r="G21" s="198"/>
      <c r="H21" s="199">
        <f>SUM(H18:H20)</f>
        <v>160181</v>
      </c>
      <c r="I21" s="199"/>
      <c r="J21" s="1314"/>
      <c r="K21" s="308"/>
      <c r="L21" s="179">
        <f>SUM(L18:L20)</f>
        <v>160181</v>
      </c>
      <c r="M21" s="308">
        <f>L21/$H$21</f>
        <v>1</v>
      </c>
      <c r="N21" s="308"/>
      <c r="O21" s="179">
        <f>SUM(O18:O20)</f>
        <v>0</v>
      </c>
      <c r="P21" s="308">
        <f>O21/$H$21</f>
        <v>0</v>
      </c>
      <c r="Q21" s="306"/>
      <c r="R21" s="307">
        <f t="shared" si="4"/>
        <v>160181</v>
      </c>
      <c r="S21" s="308">
        <f>R21/H21</f>
        <v>1</v>
      </c>
    </row>
    <row r="22" spans="1:19" ht="28.8" x14ac:dyDescent="0.3">
      <c r="A22" s="1314" t="s">
        <v>151</v>
      </c>
      <c r="B22" s="1314" t="s">
        <v>170</v>
      </c>
      <c r="C22" s="319" t="s">
        <v>83</v>
      </c>
      <c r="D22" s="319" t="s">
        <v>123</v>
      </c>
      <c r="E22" s="319">
        <v>0</v>
      </c>
      <c r="F22" s="192">
        <v>1044658</v>
      </c>
      <c r="G22" s="32">
        <f t="shared" si="0"/>
        <v>1097936</v>
      </c>
      <c r="H22" s="192">
        <f>ROUND((E22*F22),0)</f>
        <v>0</v>
      </c>
      <c r="I22" s="32">
        <f>+ROUND(G22*E22,0)</f>
        <v>0</v>
      </c>
      <c r="J22" s="1314" t="s">
        <v>825</v>
      </c>
      <c r="K22" s="158">
        <v>0</v>
      </c>
      <c r="L22" s="194">
        <f>ROUND(K22*$F$22,0)</f>
        <v>0</v>
      </c>
      <c r="M22" s="195">
        <v>0</v>
      </c>
      <c r="N22" s="158">
        <v>0</v>
      </c>
      <c r="O22" s="425">
        <f t="shared" ref="O22:O23" si="7">ROUND(N22*G22,0)</f>
        <v>0</v>
      </c>
      <c r="P22" s="426">
        <v>0</v>
      </c>
      <c r="Q22" s="149">
        <f>K22+N22</f>
        <v>0</v>
      </c>
      <c r="R22" s="175">
        <f t="shared" si="4"/>
        <v>0</v>
      </c>
      <c r="S22" s="176">
        <v>0</v>
      </c>
    </row>
    <row r="23" spans="1:19" ht="28.8" x14ac:dyDescent="0.3">
      <c r="A23" s="1314"/>
      <c r="B23" s="1314"/>
      <c r="C23" s="319" t="s">
        <v>61</v>
      </c>
      <c r="D23" s="319" t="s">
        <v>125</v>
      </c>
      <c r="E23" s="319">
        <v>0.05</v>
      </c>
      <c r="F23" s="192">
        <v>1009836</v>
      </c>
      <c r="G23" s="32">
        <f t="shared" si="0"/>
        <v>1061338</v>
      </c>
      <c r="H23" s="192">
        <f>ROUND((E23*F23),0)</f>
        <v>50492</v>
      </c>
      <c r="I23" s="32">
        <f>+ROUND(G23*E23,0)</f>
        <v>53067</v>
      </c>
      <c r="J23" s="1314"/>
      <c r="K23" s="303">
        <v>0.05</v>
      </c>
      <c r="L23" s="304">
        <f>ROUND(K23*$F$23,0)</f>
        <v>50492</v>
      </c>
      <c r="M23" s="305">
        <f>L23/$H$23</f>
        <v>1</v>
      </c>
      <c r="N23" s="158">
        <v>0</v>
      </c>
      <c r="O23" s="425">
        <f t="shared" si="7"/>
        <v>0</v>
      </c>
      <c r="P23" s="426">
        <f t="shared" ref="P23" si="8">O23/I23</f>
        <v>0</v>
      </c>
      <c r="Q23" s="149">
        <f>K23+N23</f>
        <v>0.05</v>
      </c>
      <c r="R23" s="175">
        <f t="shared" si="4"/>
        <v>50492</v>
      </c>
      <c r="S23" s="176">
        <f>R23/H23</f>
        <v>1</v>
      </c>
    </row>
    <row r="24" spans="1:19" x14ac:dyDescent="0.3">
      <c r="A24" s="1314"/>
      <c r="B24" s="1314"/>
      <c r="C24" s="196"/>
      <c r="D24" s="196" t="s">
        <v>126</v>
      </c>
      <c r="E24" s="198"/>
      <c r="F24" s="198"/>
      <c r="G24" s="198"/>
      <c r="H24" s="199">
        <f>SUM(H22:H23)</f>
        <v>50492</v>
      </c>
      <c r="I24" s="199"/>
      <c r="J24" s="1314"/>
      <c r="K24" s="308"/>
      <c r="L24" s="179">
        <f>SUM(L22:L23)</f>
        <v>50492</v>
      </c>
      <c r="M24" s="308">
        <f>L24/$H$24</f>
        <v>1</v>
      </c>
      <c r="N24" s="308"/>
      <c r="O24" s="179">
        <f>SUM(O22:O23)</f>
        <v>0</v>
      </c>
      <c r="P24" s="308">
        <f>O24/$H$24</f>
        <v>0</v>
      </c>
      <c r="Q24" s="306"/>
      <c r="R24" s="307">
        <f t="shared" si="4"/>
        <v>50492</v>
      </c>
      <c r="S24" s="308">
        <f>R24/H24</f>
        <v>1</v>
      </c>
    </row>
    <row r="25" spans="1:19" ht="28.8" x14ac:dyDescent="0.3">
      <c r="A25" s="1314" t="s">
        <v>109</v>
      </c>
      <c r="B25" s="1314" t="s">
        <v>217</v>
      </c>
      <c r="C25" s="319" t="s">
        <v>81</v>
      </c>
      <c r="D25" s="319" t="s">
        <v>218</v>
      </c>
      <c r="E25" s="319">
        <v>0</v>
      </c>
      <c r="F25" s="192">
        <v>1149124</v>
      </c>
      <c r="G25" s="32">
        <f t="shared" si="0"/>
        <v>1207729</v>
      </c>
      <c r="H25" s="192">
        <f>ROUND((E25*F25),0)</f>
        <v>0</v>
      </c>
      <c r="I25" s="32">
        <f>+ROUND(G25*E25,0)</f>
        <v>0</v>
      </c>
      <c r="J25" s="1314" t="s">
        <v>825</v>
      </c>
      <c r="K25" s="158">
        <v>0</v>
      </c>
      <c r="L25" s="194">
        <f>ROUND(K25*$F$25,0)</f>
        <v>0</v>
      </c>
      <c r="M25" s="195">
        <v>0</v>
      </c>
      <c r="N25" s="158">
        <v>0</v>
      </c>
      <c r="O25" s="425">
        <f t="shared" ref="O25:O27" si="9">ROUND(N25*G25,0)</f>
        <v>0</v>
      </c>
      <c r="P25" s="426">
        <v>0</v>
      </c>
      <c r="Q25" s="149">
        <f>K25+N25</f>
        <v>0</v>
      </c>
      <c r="R25" s="175">
        <f t="shared" si="4"/>
        <v>0</v>
      </c>
      <c r="S25" s="176">
        <v>0</v>
      </c>
    </row>
    <row r="26" spans="1:19" ht="28.8" x14ac:dyDescent="0.3">
      <c r="A26" s="1314"/>
      <c r="B26" s="1314"/>
      <c r="C26" s="319" t="s">
        <v>83</v>
      </c>
      <c r="D26" s="319" t="s">
        <v>219</v>
      </c>
      <c r="E26" s="319">
        <v>0</v>
      </c>
      <c r="F26" s="192">
        <v>2646468</v>
      </c>
      <c r="G26" s="32">
        <f t="shared" si="0"/>
        <v>2781438</v>
      </c>
      <c r="H26" s="192">
        <f>ROUND((E26*F26),0)</f>
        <v>0</v>
      </c>
      <c r="I26" s="32">
        <f>+ROUND(G26*E26,0)</f>
        <v>0</v>
      </c>
      <c r="J26" s="1314"/>
      <c r="K26" s="158">
        <v>0</v>
      </c>
      <c r="L26" s="194">
        <f>ROUND(K26*$F$26,0)</f>
        <v>0</v>
      </c>
      <c r="M26" s="195">
        <v>0</v>
      </c>
      <c r="N26" s="158">
        <v>0</v>
      </c>
      <c r="O26" s="425">
        <f t="shared" si="9"/>
        <v>0</v>
      </c>
      <c r="P26" s="426">
        <v>0</v>
      </c>
      <c r="Q26" s="149">
        <f>K26+N26</f>
        <v>0</v>
      </c>
      <c r="R26" s="175">
        <f t="shared" si="4"/>
        <v>0</v>
      </c>
      <c r="S26" s="176">
        <v>0</v>
      </c>
    </row>
    <row r="27" spans="1:19" ht="28.8" x14ac:dyDescent="0.3">
      <c r="A27" s="1314"/>
      <c r="B27" s="1314"/>
      <c r="C27" s="319" t="s">
        <v>61</v>
      </c>
      <c r="D27" s="319" t="s">
        <v>220</v>
      </c>
      <c r="E27" s="319">
        <v>0.05</v>
      </c>
      <c r="F27" s="192">
        <v>3203618</v>
      </c>
      <c r="G27" s="32">
        <f t="shared" si="0"/>
        <v>3367003</v>
      </c>
      <c r="H27" s="192">
        <f>ROUND((E27*F27),0)</f>
        <v>160181</v>
      </c>
      <c r="I27" s="32">
        <f>+ROUND(G27*E27,0)</f>
        <v>168350</v>
      </c>
      <c r="J27" s="1314"/>
      <c r="K27" s="303">
        <v>0.05</v>
      </c>
      <c r="L27" s="304">
        <f>ROUND(K27*$F$27,0)</f>
        <v>160181</v>
      </c>
      <c r="M27" s="305">
        <f>L27/$H$27</f>
        <v>1</v>
      </c>
      <c r="N27" s="158">
        <v>0</v>
      </c>
      <c r="O27" s="425">
        <f t="shared" si="9"/>
        <v>0</v>
      </c>
      <c r="P27" s="426">
        <f t="shared" ref="P27" si="10">O27/I27</f>
        <v>0</v>
      </c>
      <c r="Q27" s="149">
        <f>K27+N27</f>
        <v>0.05</v>
      </c>
      <c r="R27" s="175">
        <f t="shared" si="4"/>
        <v>160181</v>
      </c>
      <c r="S27" s="176">
        <f>R27/H27</f>
        <v>1</v>
      </c>
    </row>
    <row r="28" spans="1:19" x14ac:dyDescent="0.3">
      <c r="A28" s="1314"/>
      <c r="B28" s="1314"/>
      <c r="C28" s="196"/>
      <c r="D28" s="196" t="s">
        <v>221</v>
      </c>
      <c r="E28" s="198"/>
      <c r="F28" s="198"/>
      <c r="G28" s="198"/>
      <c r="H28" s="199">
        <f>SUM(H25:H27)</f>
        <v>160181</v>
      </c>
      <c r="I28" s="199"/>
      <c r="J28" s="1314"/>
      <c r="K28" s="308"/>
      <c r="L28" s="179">
        <f>SUM(L25:L27)</f>
        <v>160181</v>
      </c>
      <c r="M28" s="308">
        <f>L28/$H$28</f>
        <v>1</v>
      </c>
      <c r="N28" s="308"/>
      <c r="O28" s="179">
        <f>SUM(O25:O27)</f>
        <v>0</v>
      </c>
      <c r="P28" s="308">
        <f>O28/$H$28</f>
        <v>0</v>
      </c>
      <c r="Q28" s="306"/>
      <c r="R28" s="307">
        <f t="shared" si="4"/>
        <v>160181</v>
      </c>
      <c r="S28" s="308">
        <f>R28/H28</f>
        <v>1</v>
      </c>
    </row>
    <row r="29" spans="1:19" ht="28.8" x14ac:dyDescent="0.3">
      <c r="A29" s="1314" t="s">
        <v>109</v>
      </c>
      <c r="B29" s="1314" t="s">
        <v>170</v>
      </c>
      <c r="C29" s="319" t="s">
        <v>83</v>
      </c>
      <c r="D29" s="319" t="s">
        <v>123</v>
      </c>
      <c r="E29" s="319">
        <v>0</v>
      </c>
      <c r="F29" s="192">
        <v>1044658</v>
      </c>
      <c r="G29" s="32">
        <f t="shared" si="0"/>
        <v>1097936</v>
      </c>
      <c r="H29" s="192">
        <f>ROUND((E29*F29),0)</f>
        <v>0</v>
      </c>
      <c r="I29" s="32">
        <f>+ROUND(G29*E29,0)</f>
        <v>0</v>
      </c>
      <c r="J29" s="1314" t="s">
        <v>825</v>
      </c>
      <c r="K29" s="158">
        <v>0</v>
      </c>
      <c r="L29" s="194">
        <f>ROUND(K29*$F$29,0)</f>
        <v>0</v>
      </c>
      <c r="M29" s="195">
        <v>0</v>
      </c>
      <c r="N29" s="158">
        <v>0</v>
      </c>
      <c r="O29" s="425">
        <f t="shared" ref="O29:O30" si="11">ROUND(N29*G29,0)</f>
        <v>0</v>
      </c>
      <c r="P29" s="426">
        <v>0</v>
      </c>
      <c r="Q29" s="149">
        <f>K29+N29</f>
        <v>0</v>
      </c>
      <c r="R29" s="175">
        <f t="shared" si="4"/>
        <v>0</v>
      </c>
      <c r="S29" s="176">
        <v>0</v>
      </c>
    </row>
    <row r="30" spans="1:19" ht="28.8" x14ac:dyDescent="0.3">
      <c r="A30" s="1314"/>
      <c r="B30" s="1314"/>
      <c r="C30" s="319" t="s">
        <v>61</v>
      </c>
      <c r="D30" s="319" t="s">
        <v>125</v>
      </c>
      <c r="E30" s="319">
        <v>0.05</v>
      </c>
      <c r="F30" s="192">
        <v>1009836</v>
      </c>
      <c r="G30" s="32">
        <f t="shared" si="0"/>
        <v>1061338</v>
      </c>
      <c r="H30" s="192">
        <f>ROUND((E30*F30),0)</f>
        <v>50492</v>
      </c>
      <c r="I30" s="32">
        <f>+ROUND(G30*E30,0)</f>
        <v>53067</v>
      </c>
      <c r="J30" s="1314"/>
      <c r="K30" s="303">
        <v>0.05</v>
      </c>
      <c r="L30" s="304">
        <f>ROUND(K30*$F$30,0)</f>
        <v>50492</v>
      </c>
      <c r="M30" s="305">
        <f>L30/$H$30</f>
        <v>1</v>
      </c>
      <c r="N30" s="158">
        <v>0</v>
      </c>
      <c r="O30" s="425">
        <f t="shared" si="11"/>
        <v>0</v>
      </c>
      <c r="P30" s="426">
        <f t="shared" ref="P30" si="12">O30/I30</f>
        <v>0</v>
      </c>
      <c r="Q30" s="149">
        <f>K30+N30</f>
        <v>0.05</v>
      </c>
      <c r="R30" s="175">
        <f t="shared" si="4"/>
        <v>50492</v>
      </c>
      <c r="S30" s="176">
        <f t="shared" ref="S30:S35" si="13">R30/H30</f>
        <v>1</v>
      </c>
    </row>
    <row r="31" spans="1:19" x14ac:dyDescent="0.3">
      <c r="A31" s="1314"/>
      <c r="B31" s="1314"/>
      <c r="C31" s="196"/>
      <c r="D31" s="196" t="s">
        <v>126</v>
      </c>
      <c r="E31" s="198"/>
      <c r="F31" s="198"/>
      <c r="G31" s="198"/>
      <c r="H31" s="199">
        <f>SUM(H29:H30)</f>
        <v>50492</v>
      </c>
      <c r="I31" s="199"/>
      <c r="J31" s="1314"/>
      <c r="K31" s="308"/>
      <c r="L31" s="179">
        <f>SUM(L29:L30)</f>
        <v>50492</v>
      </c>
      <c r="M31" s="308">
        <f>L31/$H$31</f>
        <v>1</v>
      </c>
      <c r="N31" s="308"/>
      <c r="O31" s="179">
        <f>SUM(O29:O30)</f>
        <v>0</v>
      </c>
      <c r="P31" s="308">
        <f>O31/$H$31</f>
        <v>0</v>
      </c>
      <c r="Q31" s="306"/>
      <c r="R31" s="307">
        <f t="shared" si="4"/>
        <v>50492</v>
      </c>
      <c r="S31" s="308">
        <f t="shared" si="13"/>
        <v>1</v>
      </c>
    </row>
    <row r="32" spans="1:19" ht="28.8" x14ac:dyDescent="0.3">
      <c r="A32" s="1314" t="s">
        <v>313</v>
      </c>
      <c r="B32" s="1314" t="s">
        <v>217</v>
      </c>
      <c r="C32" s="319" t="s">
        <v>81</v>
      </c>
      <c r="D32" s="319" t="s">
        <v>218</v>
      </c>
      <c r="E32" s="319">
        <v>0.05</v>
      </c>
      <c r="F32" s="192">
        <v>1149124</v>
      </c>
      <c r="G32" s="32">
        <f t="shared" si="0"/>
        <v>1207729</v>
      </c>
      <c r="H32" s="192">
        <f>ROUND((E32*F32),0)</f>
        <v>57456</v>
      </c>
      <c r="I32" s="32">
        <f>+ROUND(G32*E32,0)</f>
        <v>60386</v>
      </c>
      <c r="J32" s="1314" t="s">
        <v>825</v>
      </c>
      <c r="K32" s="158">
        <v>0</v>
      </c>
      <c r="L32" s="194">
        <f>ROUND(K32*$F$32,0)</f>
        <v>0</v>
      </c>
      <c r="M32" s="195">
        <f>L32/$H$32</f>
        <v>0</v>
      </c>
      <c r="N32" s="158">
        <v>0</v>
      </c>
      <c r="O32" s="425">
        <f t="shared" ref="O32:O34" si="14">ROUND(N32*G32,0)</f>
        <v>0</v>
      </c>
      <c r="P32" s="426">
        <f t="shared" ref="P32:P34" si="15">O32/I32</f>
        <v>0</v>
      </c>
      <c r="Q32" s="149">
        <f>K32+N32</f>
        <v>0</v>
      </c>
      <c r="R32" s="175">
        <f t="shared" si="4"/>
        <v>0</v>
      </c>
      <c r="S32" s="176">
        <f t="shared" si="13"/>
        <v>0</v>
      </c>
    </row>
    <row r="33" spans="1:19" ht="28.8" x14ac:dyDescent="0.3">
      <c r="A33" s="1314"/>
      <c r="B33" s="1314"/>
      <c r="C33" s="319" t="s">
        <v>83</v>
      </c>
      <c r="D33" s="319" t="s">
        <v>219</v>
      </c>
      <c r="E33" s="319">
        <v>0.05</v>
      </c>
      <c r="F33" s="192">
        <v>2646468</v>
      </c>
      <c r="G33" s="32">
        <f t="shared" si="0"/>
        <v>2781438</v>
      </c>
      <c r="H33" s="192">
        <f>ROUND((E33*F33),0)</f>
        <v>132323</v>
      </c>
      <c r="I33" s="32">
        <f>+ROUND(G33*E33,0)</f>
        <v>139072</v>
      </c>
      <c r="J33" s="1314"/>
      <c r="K33" s="303">
        <v>0.05</v>
      </c>
      <c r="L33" s="304">
        <f>ROUND(K33*$F$33,0)</f>
        <v>132323</v>
      </c>
      <c r="M33" s="305">
        <f>L33/$H$33</f>
        <v>1</v>
      </c>
      <c r="N33" s="158">
        <v>0</v>
      </c>
      <c r="O33" s="425">
        <f t="shared" si="14"/>
        <v>0</v>
      </c>
      <c r="P33" s="426">
        <f t="shared" si="15"/>
        <v>0</v>
      </c>
      <c r="Q33" s="149">
        <f>K33+N33</f>
        <v>0.05</v>
      </c>
      <c r="R33" s="175">
        <f t="shared" si="4"/>
        <v>132323</v>
      </c>
      <c r="S33" s="176">
        <f t="shared" si="13"/>
        <v>1</v>
      </c>
    </row>
    <row r="34" spans="1:19" ht="28.8" x14ac:dyDescent="0.3">
      <c r="A34" s="1314"/>
      <c r="B34" s="1314"/>
      <c r="C34" s="319" t="s">
        <v>61</v>
      </c>
      <c r="D34" s="319" t="s">
        <v>220</v>
      </c>
      <c r="E34" s="319">
        <v>0.05</v>
      </c>
      <c r="F34" s="192">
        <v>3203618</v>
      </c>
      <c r="G34" s="32">
        <f t="shared" si="0"/>
        <v>3367003</v>
      </c>
      <c r="H34" s="192">
        <f>ROUND((E34*F34),0)</f>
        <v>160181</v>
      </c>
      <c r="I34" s="32">
        <f>+ROUND(G34*E34,0)</f>
        <v>168350</v>
      </c>
      <c r="J34" s="1314"/>
      <c r="K34" s="303">
        <v>0.05</v>
      </c>
      <c r="L34" s="304">
        <f>ROUND(K34*$F$34,0)</f>
        <v>160181</v>
      </c>
      <c r="M34" s="305">
        <f>L34/$H$34</f>
        <v>1</v>
      </c>
      <c r="N34" s="158">
        <v>0</v>
      </c>
      <c r="O34" s="425">
        <f t="shared" si="14"/>
        <v>0</v>
      </c>
      <c r="P34" s="426">
        <f t="shared" si="15"/>
        <v>0</v>
      </c>
      <c r="Q34" s="149">
        <f>K34+N34</f>
        <v>0.05</v>
      </c>
      <c r="R34" s="175">
        <f t="shared" si="4"/>
        <v>160181</v>
      </c>
      <c r="S34" s="176">
        <f t="shared" si="13"/>
        <v>1</v>
      </c>
    </row>
    <row r="35" spans="1:19" x14ac:dyDescent="0.3">
      <c r="A35" s="1314"/>
      <c r="B35" s="1314"/>
      <c r="C35" s="196"/>
      <c r="D35" s="196" t="s">
        <v>221</v>
      </c>
      <c r="E35" s="198"/>
      <c r="F35" s="198"/>
      <c r="G35" s="198"/>
      <c r="H35" s="199">
        <f>SUM(H32:H34)</f>
        <v>349960</v>
      </c>
      <c r="I35" s="199"/>
      <c r="J35" s="1314"/>
      <c r="K35" s="308"/>
      <c r="L35" s="179">
        <f>SUM(L32:L34)</f>
        <v>292504</v>
      </c>
      <c r="M35" s="308">
        <f>L35/$H$35</f>
        <v>0.8358212367127672</v>
      </c>
      <c r="N35" s="308"/>
      <c r="O35" s="179">
        <f>SUM(O32:O34)</f>
        <v>0</v>
      </c>
      <c r="P35" s="308">
        <f>O35/$H$35</f>
        <v>0</v>
      </c>
      <c r="Q35" s="306"/>
      <c r="R35" s="307">
        <f t="shared" si="4"/>
        <v>292504</v>
      </c>
      <c r="S35" s="308">
        <f t="shared" si="13"/>
        <v>0.8358212367127672</v>
      </c>
    </row>
    <row r="36" spans="1:19" ht="28.8" x14ac:dyDescent="0.3">
      <c r="A36" s="1314" t="s">
        <v>313</v>
      </c>
      <c r="B36" s="1314" t="s">
        <v>170</v>
      </c>
      <c r="C36" s="319" t="s">
        <v>83</v>
      </c>
      <c r="D36" s="319" t="s">
        <v>123</v>
      </c>
      <c r="E36" s="319">
        <v>0</v>
      </c>
      <c r="F36" s="192">
        <v>1044658</v>
      </c>
      <c r="G36" s="32">
        <f t="shared" si="0"/>
        <v>1097936</v>
      </c>
      <c r="H36" s="192">
        <f>ROUND((E36*F36),0)</f>
        <v>0</v>
      </c>
      <c r="I36" s="32">
        <f>+ROUND(G36*E36,0)</f>
        <v>0</v>
      </c>
      <c r="J36" s="1314" t="s">
        <v>825</v>
      </c>
      <c r="K36" s="158">
        <v>0</v>
      </c>
      <c r="L36" s="194">
        <f>ROUND(K36*$F$36,0)</f>
        <v>0</v>
      </c>
      <c r="M36" s="195">
        <v>0</v>
      </c>
      <c r="N36" s="158">
        <v>0</v>
      </c>
      <c r="O36" s="425">
        <f t="shared" ref="O36:O37" si="16">ROUND(N36*G36,0)</f>
        <v>0</v>
      </c>
      <c r="P36" s="426">
        <v>0</v>
      </c>
      <c r="Q36" s="149">
        <f>K36+N36</f>
        <v>0</v>
      </c>
      <c r="R36" s="175">
        <f t="shared" si="4"/>
        <v>0</v>
      </c>
      <c r="S36" s="176">
        <v>0</v>
      </c>
    </row>
    <row r="37" spans="1:19" ht="28.8" x14ac:dyDescent="0.3">
      <c r="A37" s="1314"/>
      <c r="B37" s="1314"/>
      <c r="C37" s="319" t="s">
        <v>61</v>
      </c>
      <c r="D37" s="319" t="s">
        <v>125</v>
      </c>
      <c r="E37" s="319">
        <v>0.05</v>
      </c>
      <c r="F37" s="192">
        <v>1009836</v>
      </c>
      <c r="G37" s="32">
        <f t="shared" si="0"/>
        <v>1061338</v>
      </c>
      <c r="H37" s="192">
        <f>ROUND((E37*F37),0)</f>
        <v>50492</v>
      </c>
      <c r="I37" s="32">
        <f>+ROUND(G37*E37,0)</f>
        <v>53067</v>
      </c>
      <c r="J37" s="1314"/>
      <c r="K37" s="158">
        <v>0</v>
      </c>
      <c r="L37" s="194">
        <f>ROUND(K37*$F$37,0)</f>
        <v>0</v>
      </c>
      <c r="M37" s="195">
        <f>L37/$H$37</f>
        <v>0</v>
      </c>
      <c r="N37" s="158">
        <v>0</v>
      </c>
      <c r="O37" s="425">
        <f t="shared" si="16"/>
        <v>0</v>
      </c>
      <c r="P37" s="426">
        <f t="shared" ref="P37" si="17">O37/I37</f>
        <v>0</v>
      </c>
      <c r="Q37" s="149">
        <f>K37+N37</f>
        <v>0</v>
      </c>
      <c r="R37" s="175">
        <f t="shared" si="4"/>
        <v>0</v>
      </c>
      <c r="S37" s="176">
        <f t="shared" ref="S37:S42" si="18">R37/H37</f>
        <v>0</v>
      </c>
    </row>
    <row r="38" spans="1:19" x14ac:dyDescent="0.3">
      <c r="A38" s="1314"/>
      <c r="B38" s="1314"/>
      <c r="C38" s="196"/>
      <c r="D38" s="196" t="s">
        <v>126</v>
      </c>
      <c r="E38" s="198"/>
      <c r="F38" s="198"/>
      <c r="G38" s="198"/>
      <c r="H38" s="199">
        <f>SUM(H36:H37)</f>
        <v>50492</v>
      </c>
      <c r="I38" s="199"/>
      <c r="J38" s="1314"/>
      <c r="K38" s="308"/>
      <c r="L38" s="179">
        <f>SUM(L36:L37)</f>
        <v>0</v>
      </c>
      <c r="M38" s="308">
        <f>L38/$H$38</f>
        <v>0</v>
      </c>
      <c r="N38" s="308"/>
      <c r="O38" s="179">
        <f>SUM(O36:O37)</f>
        <v>0</v>
      </c>
      <c r="P38" s="308">
        <f>O38/$H$38</f>
        <v>0</v>
      </c>
      <c r="Q38" s="306"/>
      <c r="R38" s="307">
        <f t="shared" si="4"/>
        <v>0</v>
      </c>
      <c r="S38" s="308">
        <f t="shared" si="18"/>
        <v>0</v>
      </c>
    </row>
    <row r="39" spans="1:19" ht="28.8" x14ac:dyDescent="0.3">
      <c r="A39" s="1314" t="s">
        <v>307</v>
      </c>
      <c r="B39" s="1314" t="s">
        <v>217</v>
      </c>
      <c r="C39" s="319" t="s">
        <v>81</v>
      </c>
      <c r="D39" s="319" t="s">
        <v>218</v>
      </c>
      <c r="E39" s="319">
        <v>0.05</v>
      </c>
      <c r="F39" s="192">
        <v>1149124</v>
      </c>
      <c r="G39" s="32">
        <f t="shared" si="0"/>
        <v>1207729</v>
      </c>
      <c r="H39" s="192">
        <f>ROUND((E39*F39),0)</f>
        <v>57456</v>
      </c>
      <c r="I39" s="32">
        <f>+ROUND(G39*E39,0)</f>
        <v>60386</v>
      </c>
      <c r="J39" s="1314" t="s">
        <v>825</v>
      </c>
      <c r="K39" s="158">
        <v>0</v>
      </c>
      <c r="L39" s="194">
        <f>ROUND(K39*$F$39,0)</f>
        <v>0</v>
      </c>
      <c r="M39" s="195">
        <f>L39/$H$39</f>
        <v>0</v>
      </c>
      <c r="N39" s="158">
        <v>0</v>
      </c>
      <c r="O39" s="425">
        <f t="shared" ref="O39:O41" si="19">ROUND(N39*G39,0)</f>
        <v>0</v>
      </c>
      <c r="P39" s="426">
        <f t="shared" ref="P39:P41" si="20">O39/I39</f>
        <v>0</v>
      </c>
      <c r="Q39" s="149">
        <f>K39+N39</f>
        <v>0</v>
      </c>
      <c r="R39" s="175">
        <f t="shared" si="4"/>
        <v>0</v>
      </c>
      <c r="S39" s="176">
        <f t="shared" si="18"/>
        <v>0</v>
      </c>
    </row>
    <row r="40" spans="1:19" ht="28.8" x14ac:dyDescent="0.3">
      <c r="A40" s="1314"/>
      <c r="B40" s="1314"/>
      <c r="C40" s="319" t="s">
        <v>83</v>
      </c>
      <c r="D40" s="319" t="s">
        <v>219</v>
      </c>
      <c r="E40" s="319">
        <v>0.05</v>
      </c>
      <c r="F40" s="192">
        <v>2646468</v>
      </c>
      <c r="G40" s="32">
        <f t="shared" si="0"/>
        <v>2781438</v>
      </c>
      <c r="H40" s="192">
        <f>ROUND((E40*F40),0)</f>
        <v>132323</v>
      </c>
      <c r="I40" s="32">
        <f>+ROUND(G40*E40,0)</f>
        <v>139072</v>
      </c>
      <c r="J40" s="1314"/>
      <c r="K40" s="303">
        <v>0.05</v>
      </c>
      <c r="L40" s="304">
        <f>ROUND(K40*$F$40,0)</f>
        <v>132323</v>
      </c>
      <c r="M40" s="305">
        <f>L40/$H$40</f>
        <v>1</v>
      </c>
      <c r="N40" s="158">
        <v>0</v>
      </c>
      <c r="O40" s="425">
        <f t="shared" si="19"/>
        <v>0</v>
      </c>
      <c r="P40" s="426">
        <f t="shared" si="20"/>
        <v>0</v>
      </c>
      <c r="Q40" s="149">
        <f>K40+N40</f>
        <v>0.05</v>
      </c>
      <c r="R40" s="175">
        <f t="shared" si="4"/>
        <v>132323</v>
      </c>
      <c r="S40" s="176">
        <f t="shared" si="18"/>
        <v>1</v>
      </c>
    </row>
    <row r="41" spans="1:19" ht="28.8" x14ac:dyDescent="0.3">
      <c r="A41" s="1314"/>
      <c r="B41" s="1314"/>
      <c r="C41" s="319" t="s">
        <v>61</v>
      </c>
      <c r="D41" s="319" t="s">
        <v>220</v>
      </c>
      <c r="E41" s="319">
        <v>0.05</v>
      </c>
      <c r="F41" s="192">
        <v>3203618</v>
      </c>
      <c r="G41" s="32">
        <f t="shared" si="0"/>
        <v>3367003</v>
      </c>
      <c r="H41" s="192">
        <f>ROUND((E41*F41),0)</f>
        <v>160181</v>
      </c>
      <c r="I41" s="32">
        <f>+ROUND(G41*E41,0)</f>
        <v>168350</v>
      </c>
      <c r="J41" s="1314"/>
      <c r="K41" s="303">
        <v>0.05</v>
      </c>
      <c r="L41" s="304">
        <f>ROUND(K41*$F$41,0)</f>
        <v>160181</v>
      </c>
      <c r="M41" s="305">
        <f>L41/$H$41</f>
        <v>1</v>
      </c>
      <c r="N41" s="158">
        <v>0</v>
      </c>
      <c r="O41" s="425">
        <f t="shared" si="19"/>
        <v>0</v>
      </c>
      <c r="P41" s="426">
        <f t="shared" si="20"/>
        <v>0</v>
      </c>
      <c r="Q41" s="149">
        <f>K41+N41</f>
        <v>0.05</v>
      </c>
      <c r="R41" s="175">
        <f t="shared" si="4"/>
        <v>160181</v>
      </c>
      <c r="S41" s="176">
        <f t="shared" si="18"/>
        <v>1</v>
      </c>
    </row>
    <row r="42" spans="1:19" x14ac:dyDescent="0.3">
      <c r="A42" s="1314"/>
      <c r="B42" s="1314"/>
      <c r="C42" s="196"/>
      <c r="D42" s="196" t="s">
        <v>221</v>
      </c>
      <c r="E42" s="198"/>
      <c r="F42" s="198"/>
      <c r="G42" s="198"/>
      <c r="H42" s="199">
        <f>SUM(H39:H41)</f>
        <v>349960</v>
      </c>
      <c r="I42" s="199"/>
      <c r="J42" s="1314"/>
      <c r="K42" s="308"/>
      <c r="L42" s="179">
        <f>SUM(L39:L41)</f>
        <v>292504</v>
      </c>
      <c r="M42" s="308">
        <f>L42/$H$42</f>
        <v>0.8358212367127672</v>
      </c>
      <c r="N42" s="308"/>
      <c r="O42" s="179">
        <f>SUM(O39:O41)</f>
        <v>0</v>
      </c>
      <c r="P42" s="308">
        <f>O42/$H$42</f>
        <v>0</v>
      </c>
      <c r="Q42" s="306"/>
      <c r="R42" s="307">
        <f t="shared" si="4"/>
        <v>292504</v>
      </c>
      <c r="S42" s="308">
        <f t="shared" si="18"/>
        <v>0.8358212367127672</v>
      </c>
    </row>
    <row r="43" spans="1:19" ht="28.8" x14ac:dyDescent="0.3">
      <c r="A43" s="1314" t="s">
        <v>307</v>
      </c>
      <c r="B43" s="1314" t="s">
        <v>170</v>
      </c>
      <c r="C43" s="319" t="s">
        <v>83</v>
      </c>
      <c r="D43" s="319" t="s">
        <v>123</v>
      </c>
      <c r="E43" s="319">
        <v>0</v>
      </c>
      <c r="F43" s="192">
        <v>1044658</v>
      </c>
      <c r="G43" s="32">
        <f t="shared" si="0"/>
        <v>1097936</v>
      </c>
      <c r="H43" s="192">
        <f>ROUND((E43*F43),0)</f>
        <v>0</v>
      </c>
      <c r="I43" s="32">
        <f>+ROUND(G43*E43,0)</f>
        <v>0</v>
      </c>
      <c r="J43" s="1314" t="s">
        <v>825</v>
      </c>
      <c r="K43" s="158">
        <v>0</v>
      </c>
      <c r="L43" s="194">
        <f>ROUND(K43*$F$43,0)</f>
        <v>0</v>
      </c>
      <c r="M43" s="195">
        <v>0</v>
      </c>
      <c r="N43" s="158">
        <v>0</v>
      </c>
      <c r="O43" s="425">
        <f t="shared" ref="O43:O44" si="21">ROUND(N43*G43,0)</f>
        <v>0</v>
      </c>
      <c r="P43" s="426">
        <v>0</v>
      </c>
      <c r="Q43" s="149">
        <f>K43+N43</f>
        <v>0</v>
      </c>
      <c r="R43" s="175">
        <f t="shared" si="4"/>
        <v>0</v>
      </c>
      <c r="S43" s="176">
        <v>0</v>
      </c>
    </row>
    <row r="44" spans="1:19" ht="28.8" x14ac:dyDescent="0.3">
      <c r="A44" s="1314"/>
      <c r="B44" s="1314"/>
      <c r="C44" s="319" t="s">
        <v>61</v>
      </c>
      <c r="D44" s="319" t="s">
        <v>125</v>
      </c>
      <c r="E44" s="319">
        <v>0.05</v>
      </c>
      <c r="F44" s="192">
        <v>1009836</v>
      </c>
      <c r="G44" s="32">
        <f t="shared" si="0"/>
        <v>1061338</v>
      </c>
      <c r="H44" s="192">
        <f>ROUND((E44*F44),0)</f>
        <v>50492</v>
      </c>
      <c r="I44" s="32">
        <f>+ROUND(G44*E44,0)</f>
        <v>53067</v>
      </c>
      <c r="J44" s="1314"/>
      <c r="K44" s="158">
        <v>0</v>
      </c>
      <c r="L44" s="194">
        <f>ROUND(K44*$F$44,0)</f>
        <v>0</v>
      </c>
      <c r="M44" s="195">
        <f>L44/$H$44</f>
        <v>0</v>
      </c>
      <c r="N44" s="158">
        <v>0</v>
      </c>
      <c r="O44" s="425">
        <f t="shared" si="21"/>
        <v>0</v>
      </c>
      <c r="P44" s="426">
        <f t="shared" ref="P44" si="22">O44/I44</f>
        <v>0</v>
      </c>
      <c r="Q44" s="149">
        <f>K44+N44</f>
        <v>0</v>
      </c>
      <c r="R44" s="175">
        <f t="shared" si="4"/>
        <v>0</v>
      </c>
      <c r="S44" s="176">
        <f>R44/H44</f>
        <v>0</v>
      </c>
    </row>
    <row r="45" spans="1:19" x14ac:dyDescent="0.3">
      <c r="A45" s="1314"/>
      <c r="B45" s="1314"/>
      <c r="C45" s="196"/>
      <c r="D45" s="196" t="s">
        <v>126</v>
      </c>
      <c r="E45" s="198"/>
      <c r="F45" s="198"/>
      <c r="G45" s="198"/>
      <c r="H45" s="199">
        <f>SUM(H43:H44)</f>
        <v>50492</v>
      </c>
      <c r="I45" s="199"/>
      <c r="J45" s="1314"/>
      <c r="K45" s="308"/>
      <c r="L45" s="179">
        <f>SUM(L43:L44)</f>
        <v>0</v>
      </c>
      <c r="M45" s="308">
        <f>L45/$H$45</f>
        <v>0</v>
      </c>
      <c r="N45" s="308"/>
      <c r="O45" s="179">
        <f>SUM(O43:O44)</f>
        <v>0</v>
      </c>
      <c r="P45" s="308">
        <f>O45/$H$45</f>
        <v>0</v>
      </c>
      <c r="Q45" s="306"/>
      <c r="R45" s="307">
        <f t="shared" si="4"/>
        <v>0</v>
      </c>
      <c r="S45" s="308">
        <f>R45/H45</f>
        <v>0</v>
      </c>
    </row>
    <row r="46" spans="1:19" x14ac:dyDescent="0.3">
      <c r="F46" s="151" t="s">
        <v>64</v>
      </c>
      <c r="G46" s="151"/>
      <c r="H46" s="181">
        <f>SUM(H9:H45)/2</f>
        <v>1539129</v>
      </c>
      <c r="I46" s="181">
        <f>SUM(I9:I45)/2</f>
        <v>808812</v>
      </c>
      <c r="K46" s="151" t="s">
        <v>64</v>
      </c>
      <c r="L46" s="181">
        <f>SUM(L9:L45)/2</f>
        <v>1265777</v>
      </c>
      <c r="M46" s="131">
        <f>L46/$H$46</f>
        <v>0.82239825251814502</v>
      </c>
      <c r="N46" s="151" t="s">
        <v>64</v>
      </c>
      <c r="O46" s="181">
        <f>SUM(O9:O45)/2</f>
        <v>0</v>
      </c>
      <c r="P46" s="131">
        <f>O46/$H$46</f>
        <v>0</v>
      </c>
      <c r="Q46" s="151" t="s">
        <v>64</v>
      </c>
      <c r="R46" s="181">
        <f>SUM(R9:R45)/2</f>
        <v>1265777</v>
      </c>
      <c r="S46" s="131">
        <f>R46/H46</f>
        <v>0.82239825251814502</v>
      </c>
    </row>
    <row r="47" spans="1:19" x14ac:dyDescent="0.3">
      <c r="F47" s="153" t="s">
        <v>65</v>
      </c>
      <c r="G47" s="816"/>
      <c r="H47" s="182">
        <v>0</v>
      </c>
      <c r="I47" s="182">
        <v>0</v>
      </c>
      <c r="K47" s="153" t="s">
        <v>65</v>
      </c>
      <c r="L47" s="182">
        <v>0</v>
      </c>
      <c r="N47" s="153" t="s">
        <v>65</v>
      </c>
      <c r="O47" s="182">
        <v>0</v>
      </c>
      <c r="Q47" s="153" t="s">
        <v>65</v>
      </c>
      <c r="R47" s="182">
        <v>0</v>
      </c>
    </row>
    <row r="48" spans="1:19" x14ac:dyDescent="0.3">
      <c r="F48" s="152" t="s">
        <v>64</v>
      </c>
      <c r="G48" s="817"/>
      <c r="H48" s="182">
        <f>+H46+H47</f>
        <v>1539129</v>
      </c>
      <c r="I48" s="182">
        <f>+I46+I47</f>
        <v>808812</v>
      </c>
      <c r="K48" s="152" t="s">
        <v>64</v>
      </c>
      <c r="L48" s="182">
        <f>+L46+L47</f>
        <v>1265777</v>
      </c>
      <c r="N48" s="152" t="s">
        <v>64</v>
      </c>
      <c r="O48" s="182">
        <f>+O46+O47</f>
        <v>0</v>
      </c>
      <c r="Q48" s="152" t="s">
        <v>64</v>
      </c>
      <c r="R48" s="182">
        <f>+R46+R47</f>
        <v>1265777</v>
      </c>
    </row>
    <row r="49" spans="1:18" ht="26.4" x14ac:dyDescent="0.3">
      <c r="F49" s="152"/>
      <c r="G49" s="817"/>
      <c r="H49" s="182"/>
      <c r="I49" s="182"/>
      <c r="K49" s="152"/>
      <c r="L49" s="182"/>
      <c r="N49" s="484" t="s">
        <v>1439</v>
      </c>
      <c r="O49" s="182">
        <f>ROUND(O48*0.015,0)</f>
        <v>0</v>
      </c>
      <c r="Q49" s="484" t="s">
        <v>1439</v>
      </c>
      <c r="R49" s="182">
        <f>L49+O49</f>
        <v>0</v>
      </c>
    </row>
    <row r="50" spans="1:18" ht="26.4" x14ac:dyDescent="0.3">
      <c r="F50" s="152"/>
      <c r="G50" s="817"/>
      <c r="H50" s="182"/>
      <c r="I50" s="182"/>
      <c r="K50" s="152"/>
      <c r="L50" s="182"/>
      <c r="N50" s="152" t="s">
        <v>1440</v>
      </c>
      <c r="O50" s="182">
        <f>O48+O49</f>
        <v>0</v>
      </c>
      <c r="Q50" s="152" t="s">
        <v>1440</v>
      </c>
      <c r="R50" s="182">
        <f>R48+R49</f>
        <v>1265777</v>
      </c>
    </row>
    <row r="51" spans="1:18" x14ac:dyDescent="0.3">
      <c r="F51" s="154" t="s">
        <v>66</v>
      </c>
      <c r="G51" s="818"/>
      <c r="H51" s="182">
        <f>+H48*19%</f>
        <v>292434.51</v>
      </c>
      <c r="I51" s="182">
        <f>+I48*19%</f>
        <v>153674.28</v>
      </c>
      <c r="K51" s="154" t="s">
        <v>66</v>
      </c>
      <c r="L51" s="182">
        <f>+L48*19%</f>
        <v>240497.63</v>
      </c>
      <c r="N51" s="154" t="s">
        <v>66</v>
      </c>
      <c r="O51" s="182">
        <f>ROUND(O50*0.19,0)</f>
        <v>0</v>
      </c>
      <c r="Q51" s="154" t="s">
        <v>66</v>
      </c>
      <c r="R51" s="182">
        <f>ROUND(R50*0.19,0)</f>
        <v>240498</v>
      </c>
    </row>
    <row r="52" spans="1:18" x14ac:dyDescent="0.3">
      <c r="F52" s="155" t="s">
        <v>69</v>
      </c>
      <c r="G52" s="155"/>
      <c r="H52" s="181">
        <f>+H48+H51</f>
        <v>1831563.51</v>
      </c>
      <c r="I52" s="181">
        <f>+I48+I51</f>
        <v>962486.28</v>
      </c>
      <c r="K52" s="155" t="s">
        <v>69</v>
      </c>
      <c r="L52" s="181">
        <f>+L48+L51</f>
        <v>1506274.63</v>
      </c>
      <c r="N52" s="155" t="s">
        <v>69</v>
      </c>
      <c r="O52" s="181">
        <f>O50+O51</f>
        <v>0</v>
      </c>
      <c r="Q52" s="155" t="s">
        <v>69</v>
      </c>
      <c r="R52" s="181">
        <f>R50+R51</f>
        <v>1506275</v>
      </c>
    </row>
    <row r="55" spans="1:18" x14ac:dyDescent="0.3">
      <c r="A55" s="183" t="s">
        <v>67</v>
      </c>
      <c r="B55" s="184"/>
      <c r="C55" s="184"/>
      <c r="D55" s="185" t="s">
        <v>68</v>
      </c>
      <c r="K55" s="186" t="s">
        <v>70</v>
      </c>
      <c r="L55" s="187" t="s">
        <v>71</v>
      </c>
      <c r="M55" s="186" t="s">
        <v>58</v>
      </c>
      <c r="N55" s="186" t="s">
        <v>70</v>
      </c>
      <c r="O55" s="187" t="s">
        <v>71</v>
      </c>
      <c r="P55" s="186" t="s">
        <v>58</v>
      </c>
    </row>
    <row r="56" spans="1:18" x14ac:dyDescent="0.3">
      <c r="A56" s="183"/>
      <c r="B56" s="184"/>
      <c r="C56" s="184"/>
      <c r="D56" s="185"/>
      <c r="K56" s="69" t="s">
        <v>72</v>
      </c>
      <c r="L56" s="70">
        <f>$L$46</f>
        <v>1265777</v>
      </c>
      <c r="M56" s="71">
        <f>$M$46</f>
        <v>0.82239825251814502</v>
      </c>
      <c r="N56" s="69" t="s">
        <v>72</v>
      </c>
      <c r="O56" s="70">
        <f>$L$46</f>
        <v>1265777</v>
      </c>
      <c r="P56" s="71">
        <f>$M$46</f>
        <v>0.82239825251814502</v>
      </c>
    </row>
    <row r="57" spans="1:18" x14ac:dyDescent="0.3">
      <c r="A57" s="183"/>
      <c r="B57" s="184"/>
      <c r="C57" s="184"/>
      <c r="D57" s="185"/>
      <c r="K57" s="69"/>
      <c r="L57" s="70"/>
      <c r="M57" s="71"/>
      <c r="N57" s="69" t="s">
        <v>73</v>
      </c>
      <c r="O57" s="70">
        <f>$O$46</f>
        <v>0</v>
      </c>
      <c r="P57" s="71">
        <f>$P$46</f>
        <v>0</v>
      </c>
    </row>
    <row r="58" spans="1:18" x14ac:dyDescent="0.3">
      <c r="A58" s="183"/>
      <c r="B58" s="184"/>
      <c r="C58" s="184"/>
      <c r="D58" s="185"/>
      <c r="K58" s="72" t="s">
        <v>1</v>
      </c>
      <c r="L58" s="105">
        <f>SUM(L56:L56)</f>
        <v>1265777</v>
      </c>
      <c r="M58" s="73">
        <f>SUM(M56:M56)</f>
        <v>0.82239825251814502</v>
      </c>
      <c r="N58" s="72" t="s">
        <v>1</v>
      </c>
      <c r="O58" s="105">
        <f>SUM(O56:O57)</f>
        <v>1265777</v>
      </c>
      <c r="P58" s="73">
        <f>SUM(P56:P57)</f>
        <v>0.82239825251814502</v>
      </c>
    </row>
    <row r="59" spans="1:18" x14ac:dyDescent="0.3">
      <c r="A59" s="183"/>
      <c r="B59" s="184"/>
      <c r="C59" s="184"/>
      <c r="D59" s="185"/>
      <c r="K59" s="72" t="s">
        <v>9</v>
      </c>
      <c r="L59" s="1285"/>
      <c r="M59" s="1286"/>
      <c r="N59" s="72" t="s">
        <v>9</v>
      </c>
      <c r="O59" s="1285"/>
      <c r="P59" s="1286"/>
    </row>
    <row r="60" spans="1:18" x14ac:dyDescent="0.3">
      <c r="A60" s="183"/>
      <c r="B60" s="184"/>
      <c r="C60" s="184"/>
      <c r="D60" s="185"/>
      <c r="K60" s="156" t="s">
        <v>78</v>
      </c>
      <c r="L60" s="1285" t="s">
        <v>314</v>
      </c>
      <c r="M60" s="1286"/>
      <c r="N60" s="156" t="s">
        <v>78</v>
      </c>
      <c r="O60" s="1285" t="s">
        <v>314</v>
      </c>
      <c r="P60" s="1286"/>
    </row>
    <row r="61" spans="1:18" x14ac:dyDescent="0.3">
      <c r="A61" s="183"/>
      <c r="B61" s="184"/>
      <c r="C61" s="184"/>
      <c r="D61" s="185"/>
      <c r="K61" s="157" t="s">
        <v>8</v>
      </c>
      <c r="L61" s="1285" t="s">
        <v>315</v>
      </c>
      <c r="M61" s="1286"/>
      <c r="N61" s="157" t="s">
        <v>8</v>
      </c>
      <c r="O61" s="1285" t="s">
        <v>315</v>
      </c>
      <c r="P61" s="1286"/>
    </row>
    <row r="62" spans="1:18" x14ac:dyDescent="0.3">
      <c r="A62" s="183"/>
      <c r="B62" s="184"/>
      <c r="C62" s="184"/>
      <c r="D62" s="185" t="s">
        <v>75</v>
      </c>
    </row>
    <row r="63" spans="1:18" x14ac:dyDescent="0.3">
      <c r="A63" s="183" t="s">
        <v>76</v>
      </c>
      <c r="B63" s="180"/>
      <c r="C63" s="180"/>
      <c r="D63" s="185" t="s">
        <v>77</v>
      </c>
    </row>
    <row r="64" spans="1:18" x14ac:dyDescent="0.3">
      <c r="A64" s="183" t="s">
        <v>79</v>
      </c>
      <c r="B64" s="180"/>
      <c r="C64" s="180"/>
      <c r="D64" s="185" t="s">
        <v>80</v>
      </c>
    </row>
  </sheetData>
  <sheetProtection formatCells="0" formatColumns="0" formatRows="0" insertColumns="0" insertRows="0" insertHyperlinks="0" deleteColumns="0" deleteRows="0" sort="0" autoFilter="0" pivotTables="0"/>
  <mergeCells count="49">
    <mergeCell ref="O59:P59"/>
    <mergeCell ref="O60:P60"/>
    <mergeCell ref="O61:P61"/>
    <mergeCell ref="A7:S7"/>
    <mergeCell ref="A8:S8"/>
    <mergeCell ref="B14:B17"/>
    <mergeCell ref="J14:J17"/>
    <mergeCell ref="A18:A21"/>
    <mergeCell ref="B18:B21"/>
    <mergeCell ref="J18:J21"/>
    <mergeCell ref="N11:P12"/>
    <mergeCell ref="L59:M59"/>
    <mergeCell ref="L60:M60"/>
    <mergeCell ref="L61:M61"/>
    <mergeCell ref="A9:S9"/>
    <mergeCell ref="A10:S10"/>
    <mergeCell ref="A6:S6"/>
    <mergeCell ref="A43:A45"/>
    <mergeCell ref="B43:B45"/>
    <mergeCell ref="J43:J45"/>
    <mergeCell ref="A36:A38"/>
    <mergeCell ref="B36:B38"/>
    <mergeCell ref="J36:J38"/>
    <mergeCell ref="A39:A42"/>
    <mergeCell ref="B39:B42"/>
    <mergeCell ref="J39:J42"/>
    <mergeCell ref="A29:A31"/>
    <mergeCell ref="B29:B31"/>
    <mergeCell ref="J29:J31"/>
    <mergeCell ref="A32:A35"/>
    <mergeCell ref="B32:B35"/>
    <mergeCell ref="J32:J35"/>
    <mergeCell ref="Q1:S1"/>
    <mergeCell ref="Q2:S2"/>
    <mergeCell ref="A3:S3"/>
    <mergeCell ref="A4:S4"/>
    <mergeCell ref="A5:S5"/>
    <mergeCell ref="C1:P2"/>
    <mergeCell ref="K11:M12"/>
    <mergeCell ref="Q11:S12"/>
    <mergeCell ref="B12:J12"/>
    <mergeCell ref="A22:A24"/>
    <mergeCell ref="B22:B24"/>
    <mergeCell ref="J22:J24"/>
    <mergeCell ref="A25:A28"/>
    <mergeCell ref="B25:B28"/>
    <mergeCell ref="J25:J28"/>
    <mergeCell ref="A14:A17"/>
    <mergeCell ref="B11:J11"/>
  </mergeCells>
  <pageMargins left="0.70866141732283472" right="0.70866141732283472" top="0.74803149606299213" bottom="0.74803149606299213" header="0.31496062992125984" footer="0.31496062992125984"/>
  <pageSetup scale="45" fitToHeight="0" orientation="landscape" r:id="rId1"/>
  <drawing r:id="rId2"/>
  <legacyDrawingHF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3">
    <tabColor theme="1"/>
  </sheetPr>
  <dimension ref="A1:G49"/>
  <sheetViews>
    <sheetView topLeftCell="A13" zoomScaleNormal="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RESUMEN!G47</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RESUMEN!B47</f>
        <v>D00235027</v>
      </c>
      <c r="C7" s="1265"/>
      <c r="D7" s="1177"/>
      <c r="E7" s="1266" t="s">
        <v>627</v>
      </c>
      <c r="F7" s="1267"/>
      <c r="G7" s="280" t="str">
        <f>RESUMEN!E47</f>
        <v xml:space="preserve">17-237 </v>
      </c>
    </row>
    <row r="8" spans="1:7" x14ac:dyDescent="0.25">
      <c r="A8" s="271" t="s">
        <v>628</v>
      </c>
      <c r="B8" s="1264" t="str">
        <f>RESUMEN!C47</f>
        <v>D00235027000</v>
      </c>
      <c r="C8" s="1265"/>
      <c r="D8" s="1177"/>
      <c r="E8" s="1266" t="s">
        <v>629</v>
      </c>
      <c r="F8" s="1267"/>
      <c r="G8" s="280" t="str">
        <f>RESUMEN!U47</f>
        <v xml:space="preserve">Acta N° 2: Marzo </v>
      </c>
    </row>
    <row r="9" spans="1:7" x14ac:dyDescent="0.25">
      <c r="A9" s="271" t="s">
        <v>630</v>
      </c>
      <c r="B9" s="1283" t="s">
        <v>631</v>
      </c>
      <c r="C9" s="1265"/>
      <c r="D9" s="1177"/>
      <c r="E9" s="1266" t="s">
        <v>632</v>
      </c>
      <c r="F9" s="1267"/>
      <c r="G9" s="1178">
        <f>RESUMEN!H47</f>
        <v>1974403</v>
      </c>
    </row>
    <row r="10" spans="1:7" x14ac:dyDescent="0.25">
      <c r="A10" s="271" t="s">
        <v>633</v>
      </c>
      <c r="B10" s="1283" t="str">
        <f>RESUMEN!D47</f>
        <v>FONTIBÓN AS BUILT</v>
      </c>
      <c r="C10" s="1265"/>
      <c r="D10" s="1177"/>
      <c r="E10" s="1266" t="s">
        <v>634</v>
      </c>
      <c r="F10" s="1267"/>
      <c r="G10" s="1178">
        <f>RESUMEN!R47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RESUMEN!N47</f>
        <v>0</v>
      </c>
      <c r="F19" s="1248"/>
      <c r="G19" s="1177"/>
    </row>
    <row r="20" spans="1:7" ht="27" customHeight="1" x14ac:dyDescent="0.25">
      <c r="A20" s="1177"/>
      <c r="B20" s="1244" t="s">
        <v>1498</v>
      </c>
      <c r="C20" s="1245"/>
      <c r="D20" s="1246"/>
      <c r="E20" s="1247">
        <f>RESUMEN!P47</f>
        <v>0</v>
      </c>
      <c r="F20" s="1248"/>
      <c r="G20" s="1177"/>
    </row>
    <row r="21" spans="1:7" ht="27" customHeight="1" x14ac:dyDescent="0.25">
      <c r="A21" s="1177"/>
      <c r="B21" s="1244" t="s">
        <v>1499</v>
      </c>
      <c r="C21" s="1245"/>
      <c r="D21" s="1246"/>
      <c r="E21" s="1247">
        <f>RESUMEN!Q47</f>
        <v>0</v>
      </c>
      <c r="F21" s="1248"/>
      <c r="G21" s="1177"/>
    </row>
    <row r="22" spans="1:7" x14ac:dyDescent="0.25">
      <c r="A22" s="1177"/>
      <c r="B22" s="1254" t="s">
        <v>64</v>
      </c>
      <c r="C22" s="1254"/>
      <c r="D22" s="1254"/>
      <c r="E22" s="1255">
        <f>RESUMEN!R47</f>
        <v>0</v>
      </c>
      <c r="F22" s="1255"/>
      <c r="G22" s="1177"/>
    </row>
    <row r="23" spans="1:7" x14ac:dyDescent="0.25">
      <c r="A23" s="1177"/>
      <c r="B23" s="1256" t="s">
        <v>66</v>
      </c>
      <c r="C23" s="1256"/>
      <c r="D23" s="1256"/>
      <c r="E23" s="1257">
        <f>RESUMEN!S47</f>
        <v>0</v>
      </c>
      <c r="F23" s="1257"/>
      <c r="G23" s="1177"/>
    </row>
    <row r="24" spans="1:7" x14ac:dyDescent="0.25">
      <c r="A24" s="1177"/>
      <c r="B24" s="1258" t="s">
        <v>1</v>
      </c>
      <c r="C24" s="1258"/>
      <c r="D24" s="1258"/>
      <c r="E24" s="1259">
        <f>RESUMEN!T47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+'OT17-237 FONTIBÓN AS BUILT'!N63</f>
        <v>ACTA 1</v>
      </c>
      <c r="C28" s="1253">
        <f>+'OT17-237 FONTIBÓN AS BUILT'!O63</f>
        <v>1714980</v>
      </c>
      <c r="D28" s="1253"/>
      <c r="E28" s="267">
        <f>+'OT17-237 FONTIBÓN AS BUILT'!P63</f>
        <v>0.86860686496120598</v>
      </c>
      <c r="F28" s="1177"/>
      <c r="G28" s="1177"/>
    </row>
    <row r="29" spans="1:7" x14ac:dyDescent="0.25">
      <c r="A29" s="1177"/>
      <c r="B29" s="280" t="str">
        <f>+'OT17-237 FONTIBÓN AS BUILT'!N64</f>
        <v>ACTA 2</v>
      </c>
      <c r="C29" s="1253">
        <f>+'OT17-237 FONTIBÓN AS BUILT'!O64</f>
        <v>0</v>
      </c>
      <c r="D29" s="1253"/>
      <c r="E29" s="267">
        <f>+'OT17-237 FONTIBÓN AS BUILT'!P64</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1714980</v>
      </c>
      <c r="D34" s="1251"/>
      <c r="E34" s="264">
        <f>SUM(E28:E33)</f>
        <v>0.86860686496120598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1">
    <tabColor theme="7"/>
  </sheetPr>
  <dimension ref="A1:S71"/>
  <sheetViews>
    <sheetView topLeftCell="A40" zoomScale="60" zoomScaleNormal="60" workbookViewId="0">
      <selection activeCell="P53" sqref="P53"/>
    </sheetView>
  </sheetViews>
  <sheetFormatPr baseColWidth="10" defaultColWidth="11.44140625" defaultRowHeight="14.4" x14ac:dyDescent="0.3"/>
  <cols>
    <col min="1" max="1" width="18.33203125" style="189" customWidth="1"/>
    <col min="2" max="2" width="24.5546875" style="189" customWidth="1"/>
    <col min="3" max="3" width="31.5546875" style="189" customWidth="1"/>
    <col min="4" max="4" width="24.44140625" style="189" customWidth="1"/>
    <col min="5" max="5" width="10.5546875" style="189" bestFit="1" customWidth="1"/>
    <col min="6" max="6" width="17.88671875" style="189" customWidth="1"/>
    <col min="7" max="7" width="17.88671875" style="852" customWidth="1"/>
    <col min="8" max="8" width="16.5546875" style="189" customWidth="1"/>
    <col min="9" max="9" width="16.5546875" style="852" customWidth="1"/>
    <col min="10" max="10" width="39.88671875" style="189" customWidth="1"/>
    <col min="11" max="11" width="17.88671875" style="189" customWidth="1"/>
    <col min="12" max="12" width="18" style="189" customWidth="1"/>
    <col min="13" max="13" width="11.44140625" style="189" customWidth="1"/>
    <col min="14" max="14" width="17.88671875" style="189" bestFit="1" customWidth="1"/>
    <col min="15" max="15" width="18" style="189" bestFit="1" customWidth="1"/>
    <col min="16" max="16" width="11.44140625" style="189"/>
    <col min="17" max="17" width="17.88671875" style="189" bestFit="1" customWidth="1"/>
    <col min="18" max="18" width="17.109375" style="189" customWidth="1"/>
    <col min="19" max="16384" width="11.44140625" style="189"/>
  </cols>
  <sheetData>
    <row r="1" spans="1:19" s="148" customFormat="1" ht="28.5" customHeight="1" thickBot="1" x14ac:dyDescent="0.35">
      <c r="A1" s="169"/>
      <c r="B1" s="188"/>
      <c r="C1" s="1307" t="s">
        <v>40</v>
      </c>
      <c r="D1" s="1308"/>
      <c r="E1" s="1308"/>
      <c r="F1" s="1308"/>
      <c r="G1" s="1308"/>
      <c r="H1" s="1308"/>
      <c r="I1" s="1308"/>
      <c r="J1" s="1308"/>
      <c r="K1" s="1308"/>
      <c r="L1" s="1308"/>
      <c r="M1" s="1308"/>
      <c r="N1" s="1308"/>
      <c r="O1" s="1308"/>
      <c r="P1" s="1309"/>
      <c r="Q1" s="1328" t="s">
        <v>354</v>
      </c>
      <c r="R1" s="1303"/>
      <c r="S1" s="1304"/>
    </row>
    <row r="2" spans="1:19" s="148" customFormat="1"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s="148"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148"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148"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148"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148" customFormat="1" ht="12.75" customHeight="1" x14ac:dyDescent="0.3">
      <c r="A7" s="1291" t="s">
        <v>312</v>
      </c>
      <c r="B7" s="1292"/>
      <c r="C7" s="1292"/>
      <c r="D7" s="1292"/>
      <c r="E7" s="1292"/>
      <c r="F7" s="1292"/>
      <c r="G7" s="1292"/>
      <c r="H7" s="1292"/>
      <c r="I7" s="1292"/>
      <c r="J7" s="1292"/>
      <c r="K7" s="1292"/>
      <c r="L7" s="1292"/>
      <c r="M7" s="1292"/>
      <c r="N7" s="1292"/>
      <c r="O7" s="1292"/>
      <c r="P7" s="1292"/>
      <c r="Q7" s="1292"/>
      <c r="R7" s="1292"/>
      <c r="S7" s="1292"/>
    </row>
    <row r="8" spans="1:19" s="148" customFormat="1" ht="13.5" customHeight="1" x14ac:dyDescent="0.3">
      <c r="A8" s="1292" t="s">
        <v>2331</v>
      </c>
      <c r="B8" s="1292"/>
      <c r="C8" s="1292"/>
      <c r="D8" s="1292"/>
      <c r="E8" s="1292"/>
      <c r="F8" s="1292"/>
      <c r="G8" s="1292"/>
      <c r="H8" s="1292"/>
      <c r="I8" s="1292"/>
      <c r="J8" s="1292"/>
      <c r="K8" s="1292"/>
      <c r="L8" s="1292"/>
      <c r="M8" s="1292"/>
      <c r="N8" s="1292"/>
      <c r="O8" s="1292"/>
      <c r="P8" s="1292"/>
      <c r="Q8" s="1292"/>
      <c r="R8" s="1292"/>
      <c r="S8" s="1292"/>
    </row>
    <row r="9" spans="1:19" s="148"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s="148" customFormat="1" ht="13.5" customHeight="1" x14ac:dyDescent="0.3">
      <c r="A10" s="1292" t="s">
        <v>744</v>
      </c>
      <c r="B10" s="1292"/>
      <c r="C10" s="1292"/>
      <c r="D10" s="1292"/>
      <c r="E10" s="1292"/>
      <c r="F10" s="1292"/>
      <c r="G10" s="1292"/>
      <c r="H10" s="1292"/>
      <c r="I10" s="1292"/>
      <c r="J10" s="1292"/>
      <c r="K10" s="1292"/>
      <c r="L10" s="1292"/>
      <c r="M10" s="1292"/>
      <c r="N10" s="1292"/>
      <c r="O10" s="1292"/>
      <c r="P10" s="1292"/>
      <c r="Q10" s="1292"/>
      <c r="R10" s="1292"/>
      <c r="S10" s="1292"/>
    </row>
    <row r="11" spans="1:19" s="148" customFormat="1" ht="13.5" customHeight="1" x14ac:dyDescent="0.3">
      <c r="A11" s="299"/>
      <c r="B11" s="1318"/>
      <c r="C11" s="1320"/>
      <c r="D11" s="1320"/>
      <c r="E11" s="1320"/>
      <c r="F11" s="1320"/>
      <c r="G11" s="1320"/>
      <c r="H11" s="1320"/>
      <c r="I11" s="1320"/>
      <c r="J11" s="1320"/>
      <c r="K11" s="1293" t="s">
        <v>46</v>
      </c>
      <c r="L11" s="1294"/>
      <c r="M11" s="1295"/>
      <c r="N11" s="1293" t="s">
        <v>2324</v>
      </c>
      <c r="O11" s="1294"/>
      <c r="P11" s="1295"/>
      <c r="Q11" s="1299" t="s">
        <v>49</v>
      </c>
      <c r="R11" s="1299"/>
      <c r="S11" s="1299"/>
    </row>
    <row r="12" spans="1:19" s="148" customFormat="1" ht="13.5" customHeight="1" x14ac:dyDescent="0.3">
      <c r="A12" s="171"/>
      <c r="B12" s="1318"/>
      <c r="C12" s="1319"/>
      <c r="D12" s="1319"/>
      <c r="E12" s="1319"/>
      <c r="F12" s="1319"/>
      <c r="G12" s="1319"/>
      <c r="H12" s="1319"/>
      <c r="I12" s="1319"/>
      <c r="J12" s="1319"/>
      <c r="K12" s="1325"/>
      <c r="L12" s="1326"/>
      <c r="M12" s="1327"/>
      <c r="N12" s="1296"/>
      <c r="O12" s="1297"/>
      <c r="P12" s="1298"/>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174" t="s">
        <v>54</v>
      </c>
      <c r="R13" s="172" t="s">
        <v>56</v>
      </c>
      <c r="S13" s="28" t="s">
        <v>58</v>
      </c>
    </row>
    <row r="14" spans="1:19" ht="28.8" x14ac:dyDescent="0.3">
      <c r="A14" s="1314" t="s">
        <v>201</v>
      </c>
      <c r="B14" s="1314" t="s">
        <v>165</v>
      </c>
      <c r="C14" s="300" t="s">
        <v>81</v>
      </c>
      <c r="D14" s="300" t="s">
        <v>166</v>
      </c>
      <c r="E14" s="300">
        <v>0</v>
      </c>
      <c r="F14" s="192">
        <v>1149124</v>
      </c>
      <c r="G14" s="32">
        <f>+ROUND(F14*1.051,0)</f>
        <v>1207729</v>
      </c>
      <c r="H14" s="192">
        <f>ROUND((E14*F14),0)</f>
        <v>0</v>
      </c>
      <c r="I14" s="32">
        <f>+ROUND(G14*E14,0)</f>
        <v>0</v>
      </c>
      <c r="J14" s="1314" t="s">
        <v>739</v>
      </c>
      <c r="K14" s="158">
        <v>0</v>
      </c>
      <c r="L14" s="194">
        <f>ROUND(K14*$F$14,0)</f>
        <v>0</v>
      </c>
      <c r="M14" s="195">
        <v>0</v>
      </c>
      <c r="N14" s="158">
        <v>0</v>
      </c>
      <c r="O14" s="194">
        <f>ROUND(N14*G14,0)</f>
        <v>0</v>
      </c>
      <c r="P14" s="426">
        <v>0</v>
      </c>
      <c r="Q14" s="149">
        <f t="shared" ref="Q14:R16" si="0">K14+N14</f>
        <v>0</v>
      </c>
      <c r="R14" s="175">
        <f t="shared" si="0"/>
        <v>0</v>
      </c>
      <c r="S14" s="176">
        <v>0</v>
      </c>
    </row>
    <row r="15" spans="1:19" ht="28.8" x14ac:dyDescent="0.3">
      <c r="A15" s="1314"/>
      <c r="B15" s="1314"/>
      <c r="C15" s="300" t="s">
        <v>83</v>
      </c>
      <c r="D15" s="300" t="s">
        <v>167</v>
      </c>
      <c r="E15" s="300">
        <v>0.05</v>
      </c>
      <c r="F15" s="192">
        <v>2646468</v>
      </c>
      <c r="G15" s="32">
        <f>+ROUND(F15*1.051,0)</f>
        <v>2781438</v>
      </c>
      <c r="H15" s="192">
        <f>ROUND((E15*F15),0)</f>
        <v>132323</v>
      </c>
      <c r="I15" s="32">
        <f>+ROUND(G15*E15,0)</f>
        <v>139072</v>
      </c>
      <c r="J15" s="1314"/>
      <c r="K15" s="158">
        <v>0</v>
      </c>
      <c r="L15" s="194">
        <f>ROUND(K15*$F$15,0)</f>
        <v>0</v>
      </c>
      <c r="M15" s="195">
        <f>L15/$H$15</f>
        <v>0</v>
      </c>
      <c r="N15" s="158">
        <v>0</v>
      </c>
      <c r="O15" s="425">
        <f t="shared" ref="O15:O16" si="1">ROUND(N15*G15,0)</f>
        <v>0</v>
      </c>
      <c r="P15" s="426">
        <f t="shared" ref="P15:P16" si="2">O15/I15</f>
        <v>0</v>
      </c>
      <c r="Q15" s="149">
        <f t="shared" si="0"/>
        <v>0</v>
      </c>
      <c r="R15" s="175">
        <f t="shared" si="0"/>
        <v>0</v>
      </c>
      <c r="S15" s="176">
        <f>R15/H15</f>
        <v>0</v>
      </c>
    </row>
    <row r="16" spans="1:19" ht="28.8" x14ac:dyDescent="0.3">
      <c r="A16" s="1314"/>
      <c r="B16" s="1314"/>
      <c r="C16" s="300" t="s">
        <v>61</v>
      </c>
      <c r="D16" s="300" t="s">
        <v>168</v>
      </c>
      <c r="E16" s="300">
        <v>0.05</v>
      </c>
      <c r="F16" s="192">
        <v>2542001</v>
      </c>
      <c r="G16" s="32">
        <f>+ROUND(F16*1.051,0)</f>
        <v>2671643</v>
      </c>
      <c r="H16" s="192">
        <f>ROUND((E16*F16),0)</f>
        <v>127100</v>
      </c>
      <c r="I16" s="32">
        <f>+ROUND(G16*E16,0)</f>
        <v>133582</v>
      </c>
      <c r="J16" s="1314"/>
      <c r="K16" s="158">
        <v>0</v>
      </c>
      <c r="L16" s="194">
        <f>ROUND(K16*$F$16,0)</f>
        <v>0</v>
      </c>
      <c r="M16" s="195">
        <f>L16/$H$16</f>
        <v>0</v>
      </c>
      <c r="N16" s="158">
        <v>0</v>
      </c>
      <c r="O16" s="425">
        <f t="shared" si="1"/>
        <v>0</v>
      </c>
      <c r="P16" s="426">
        <f t="shared" si="2"/>
        <v>0</v>
      </c>
      <c r="Q16" s="149">
        <f t="shared" si="0"/>
        <v>0</v>
      </c>
      <c r="R16" s="175">
        <f t="shared" si="0"/>
        <v>0</v>
      </c>
      <c r="S16" s="176">
        <f>R16/H16</f>
        <v>0</v>
      </c>
    </row>
    <row r="17" spans="1:19" x14ac:dyDescent="0.3">
      <c r="A17" s="1314"/>
      <c r="B17" s="1314"/>
      <c r="C17" s="196"/>
      <c r="D17" s="196" t="s">
        <v>169</v>
      </c>
      <c r="E17" s="198"/>
      <c r="F17" s="198"/>
      <c r="G17" s="198"/>
      <c r="H17" s="199">
        <f>SUM(H14:H16)</f>
        <v>259423</v>
      </c>
      <c r="I17" s="199">
        <f>SUM(I14:I16)</f>
        <v>272654</v>
      </c>
      <c r="J17" s="1314"/>
      <c r="K17" s="178"/>
      <c r="L17" s="179">
        <f>SUM(L14:L16)</f>
        <v>0</v>
      </c>
      <c r="M17" s="178">
        <f>L17/$H$17</f>
        <v>0</v>
      </c>
      <c r="N17" s="306"/>
      <c r="O17" s="307">
        <f>SUM(O14:O16)</f>
        <v>0</v>
      </c>
      <c r="P17" s="308">
        <f>O17/$H$17</f>
        <v>0</v>
      </c>
      <c r="Q17" s="150"/>
      <c r="R17" s="289">
        <f t="shared" ref="R17:R52" si="3">L17+O17</f>
        <v>0</v>
      </c>
      <c r="S17" s="178">
        <f>R17/H17</f>
        <v>0</v>
      </c>
    </row>
    <row r="18" spans="1:19" ht="28.8" x14ac:dyDescent="0.3">
      <c r="A18" s="1314" t="s">
        <v>151</v>
      </c>
      <c r="B18" s="1314" t="s">
        <v>217</v>
      </c>
      <c r="C18" s="300" t="s">
        <v>81</v>
      </c>
      <c r="D18" s="300" t="s">
        <v>218</v>
      </c>
      <c r="E18" s="300">
        <v>0</v>
      </c>
      <c r="F18" s="192">
        <v>1149124</v>
      </c>
      <c r="G18" s="32">
        <f t="shared" ref="G18:G20" si="4">+ROUND(F18*1.051,0)</f>
        <v>1207729</v>
      </c>
      <c r="H18" s="192">
        <f>ROUND((E18*F18),0)</f>
        <v>0</v>
      </c>
      <c r="I18" s="32">
        <f t="shared" ref="I18:I20" si="5">+ROUND(G18*E18,0)</f>
        <v>0</v>
      </c>
      <c r="J18" s="1314" t="s">
        <v>740</v>
      </c>
      <c r="K18" s="158">
        <v>0</v>
      </c>
      <c r="L18" s="194">
        <f>ROUND(K18*$F$18,0)</f>
        <v>0</v>
      </c>
      <c r="M18" s="195">
        <v>0</v>
      </c>
      <c r="N18" s="158">
        <v>0</v>
      </c>
      <c r="O18" s="425">
        <f t="shared" ref="O18:O20" si="6">ROUND(N18*G18,0)</f>
        <v>0</v>
      </c>
      <c r="P18" s="426">
        <v>0</v>
      </c>
      <c r="Q18" s="149">
        <f>K18+N18</f>
        <v>0</v>
      </c>
      <c r="R18" s="175">
        <f t="shared" si="3"/>
        <v>0</v>
      </c>
      <c r="S18" s="176">
        <v>0</v>
      </c>
    </row>
    <row r="19" spans="1:19" ht="28.8" x14ac:dyDescent="0.3">
      <c r="A19" s="1314"/>
      <c r="B19" s="1314"/>
      <c r="C19" s="300" t="s">
        <v>83</v>
      </c>
      <c r="D19" s="300" t="s">
        <v>219</v>
      </c>
      <c r="E19" s="300">
        <v>0.05</v>
      </c>
      <c r="F19" s="192">
        <v>2646468</v>
      </c>
      <c r="G19" s="32">
        <f t="shared" si="4"/>
        <v>2781438</v>
      </c>
      <c r="H19" s="192">
        <f>ROUND((E19*F19),0)</f>
        <v>132323</v>
      </c>
      <c r="I19" s="32">
        <f t="shared" si="5"/>
        <v>139072</v>
      </c>
      <c r="J19" s="1314"/>
      <c r="K19" s="303">
        <v>0.05</v>
      </c>
      <c r="L19" s="304">
        <f>ROUND(K19*$F$19,0)</f>
        <v>132323</v>
      </c>
      <c r="M19" s="305">
        <f>L19/$H$19</f>
        <v>1</v>
      </c>
      <c r="N19" s="158">
        <v>0</v>
      </c>
      <c r="O19" s="425">
        <f t="shared" si="6"/>
        <v>0</v>
      </c>
      <c r="P19" s="426">
        <f t="shared" ref="P19:P20" si="7">O19/I19</f>
        <v>0</v>
      </c>
      <c r="Q19" s="149">
        <f>K19+N19</f>
        <v>0.05</v>
      </c>
      <c r="R19" s="175">
        <f t="shared" si="3"/>
        <v>132323</v>
      </c>
      <c r="S19" s="176">
        <f>R19/H19</f>
        <v>1</v>
      </c>
    </row>
    <row r="20" spans="1:19" ht="28.8" x14ac:dyDescent="0.3">
      <c r="A20" s="1314"/>
      <c r="B20" s="1314"/>
      <c r="C20" s="300" t="s">
        <v>61</v>
      </c>
      <c r="D20" s="300" t="s">
        <v>220</v>
      </c>
      <c r="E20" s="300">
        <v>0.05</v>
      </c>
      <c r="F20" s="192">
        <v>3203618</v>
      </c>
      <c r="G20" s="32">
        <f t="shared" si="4"/>
        <v>3367003</v>
      </c>
      <c r="H20" s="192">
        <f>ROUND((E20*F20),0)</f>
        <v>160181</v>
      </c>
      <c r="I20" s="32">
        <f t="shared" si="5"/>
        <v>168350</v>
      </c>
      <c r="J20" s="1314"/>
      <c r="K20" s="303">
        <v>0.05</v>
      </c>
      <c r="L20" s="304">
        <f>ROUND(K20*$F$20,0)</f>
        <v>160181</v>
      </c>
      <c r="M20" s="305">
        <f>L20/$H$20</f>
        <v>1</v>
      </c>
      <c r="N20" s="158">
        <v>0</v>
      </c>
      <c r="O20" s="425">
        <f t="shared" si="6"/>
        <v>0</v>
      </c>
      <c r="P20" s="426">
        <f t="shared" si="7"/>
        <v>0</v>
      </c>
      <c r="Q20" s="149">
        <f>K20+N20</f>
        <v>0.05</v>
      </c>
      <c r="R20" s="175">
        <f t="shared" si="3"/>
        <v>160181</v>
      </c>
      <c r="S20" s="176">
        <f>R20/H20</f>
        <v>1</v>
      </c>
    </row>
    <row r="21" spans="1:19" x14ac:dyDescent="0.3">
      <c r="A21" s="1314"/>
      <c r="B21" s="1314"/>
      <c r="C21" s="196"/>
      <c r="D21" s="196" t="s">
        <v>221</v>
      </c>
      <c r="E21" s="198"/>
      <c r="F21" s="198"/>
      <c r="G21" s="198"/>
      <c r="H21" s="199">
        <f>SUM(H18:H20)</f>
        <v>292504</v>
      </c>
      <c r="I21" s="199">
        <f>SUM(I18:I20)</f>
        <v>307422</v>
      </c>
      <c r="J21" s="1314"/>
      <c r="K21" s="178"/>
      <c r="L21" s="179">
        <f>SUM(L18:L20)</f>
        <v>292504</v>
      </c>
      <c r="M21" s="178">
        <f>L21/$H$21</f>
        <v>1</v>
      </c>
      <c r="N21" s="306"/>
      <c r="O21" s="307">
        <f>SUM(O18:O20)</f>
        <v>0</v>
      </c>
      <c r="P21" s="308">
        <f>O21/$H$21</f>
        <v>0</v>
      </c>
      <c r="Q21" s="150"/>
      <c r="R21" s="307">
        <f t="shared" si="3"/>
        <v>292504</v>
      </c>
      <c r="S21" s="178">
        <f>R21/H21</f>
        <v>1</v>
      </c>
    </row>
    <row r="22" spans="1:19" ht="28.8" x14ac:dyDescent="0.3">
      <c r="A22" s="1314" t="s">
        <v>151</v>
      </c>
      <c r="B22" s="1314" t="s">
        <v>170</v>
      </c>
      <c r="C22" s="300" t="s">
        <v>83</v>
      </c>
      <c r="D22" s="300" t="s">
        <v>123</v>
      </c>
      <c r="E22" s="300">
        <v>0</v>
      </c>
      <c r="F22" s="192">
        <v>1044658</v>
      </c>
      <c r="G22" s="32">
        <f t="shared" ref="G22:G23" si="8">+ROUND(F22*1.051,0)</f>
        <v>1097936</v>
      </c>
      <c r="H22" s="192">
        <f>ROUND((E22*F22),0)</f>
        <v>0</v>
      </c>
      <c r="I22" s="32">
        <f t="shared" ref="I22:I23" si="9">+ROUND(G22*E22,0)</f>
        <v>0</v>
      </c>
      <c r="J22" s="1314" t="s">
        <v>741</v>
      </c>
      <c r="K22" s="158">
        <v>0</v>
      </c>
      <c r="L22" s="194">
        <f>ROUND(K22*$F$22,0)</f>
        <v>0</v>
      </c>
      <c r="M22" s="195">
        <v>0</v>
      </c>
      <c r="N22" s="158">
        <v>0</v>
      </c>
      <c r="O22" s="425">
        <f t="shared" ref="O22:O23" si="10">ROUND(N22*G22,0)</f>
        <v>0</v>
      </c>
      <c r="P22" s="426">
        <v>0</v>
      </c>
      <c r="Q22" s="149">
        <f>K22+N22</f>
        <v>0</v>
      </c>
      <c r="R22" s="175">
        <f t="shared" si="3"/>
        <v>0</v>
      </c>
      <c r="S22" s="176">
        <v>0</v>
      </c>
    </row>
    <row r="23" spans="1:19" ht="28.8" x14ac:dyDescent="0.3">
      <c r="A23" s="1314"/>
      <c r="B23" s="1314"/>
      <c r="C23" s="300" t="s">
        <v>61</v>
      </c>
      <c r="D23" s="300" t="s">
        <v>125</v>
      </c>
      <c r="E23" s="300">
        <v>0.05</v>
      </c>
      <c r="F23" s="192">
        <v>1009836</v>
      </c>
      <c r="G23" s="32">
        <f t="shared" si="8"/>
        <v>1061338</v>
      </c>
      <c r="H23" s="192">
        <f>ROUND((E23*F23),0)</f>
        <v>50492</v>
      </c>
      <c r="I23" s="32">
        <f t="shared" si="9"/>
        <v>53067</v>
      </c>
      <c r="J23" s="1314"/>
      <c r="K23" s="303">
        <v>0.05</v>
      </c>
      <c r="L23" s="304">
        <f>ROUND(K23*$F$23,0)</f>
        <v>50492</v>
      </c>
      <c r="M23" s="305">
        <f>L23/$H$23</f>
        <v>1</v>
      </c>
      <c r="N23" s="158">
        <v>0</v>
      </c>
      <c r="O23" s="425">
        <f t="shared" si="10"/>
        <v>0</v>
      </c>
      <c r="P23" s="426">
        <f t="shared" ref="P23" si="11">O23/I23</f>
        <v>0</v>
      </c>
      <c r="Q23" s="149">
        <f>K23+N23</f>
        <v>0.05</v>
      </c>
      <c r="R23" s="175">
        <f t="shared" si="3"/>
        <v>50492</v>
      </c>
      <c r="S23" s="176">
        <f>R23/H23</f>
        <v>1</v>
      </c>
    </row>
    <row r="24" spans="1:19" x14ac:dyDescent="0.3">
      <c r="A24" s="1314"/>
      <c r="B24" s="1314"/>
      <c r="C24" s="196"/>
      <c r="D24" s="196" t="s">
        <v>126</v>
      </c>
      <c r="E24" s="198"/>
      <c r="F24" s="198"/>
      <c r="G24" s="198"/>
      <c r="H24" s="199">
        <f>SUM(H22:H23)</f>
        <v>50492</v>
      </c>
      <c r="I24" s="199">
        <f>SUM(I22:I23)</f>
        <v>53067</v>
      </c>
      <c r="J24" s="1314"/>
      <c r="K24" s="178"/>
      <c r="L24" s="179">
        <f>SUM(L22:L23)</f>
        <v>50492</v>
      </c>
      <c r="M24" s="178">
        <f>L24/$H$24</f>
        <v>1</v>
      </c>
      <c r="N24" s="306"/>
      <c r="O24" s="307">
        <f>SUM(O22:O23)</f>
        <v>0</v>
      </c>
      <c r="P24" s="308">
        <f>O24/$H$24</f>
        <v>0</v>
      </c>
      <c r="Q24" s="150"/>
      <c r="R24" s="307">
        <f t="shared" si="3"/>
        <v>50492</v>
      </c>
      <c r="S24" s="178">
        <f>R24/H24</f>
        <v>1</v>
      </c>
    </row>
    <row r="25" spans="1:19" ht="28.8" x14ac:dyDescent="0.3">
      <c r="A25" s="1314" t="s">
        <v>109</v>
      </c>
      <c r="B25" s="1314" t="s">
        <v>217</v>
      </c>
      <c r="C25" s="300" t="s">
        <v>81</v>
      </c>
      <c r="D25" s="300" t="s">
        <v>218</v>
      </c>
      <c r="E25" s="300">
        <v>0</v>
      </c>
      <c r="F25" s="192">
        <v>1149124</v>
      </c>
      <c r="G25" s="32">
        <f t="shared" ref="G25:G27" si="12">+ROUND(F25*1.051,0)</f>
        <v>1207729</v>
      </c>
      <c r="H25" s="192">
        <f>ROUND((E25*F25),0)</f>
        <v>0</v>
      </c>
      <c r="I25" s="32">
        <f t="shared" ref="I25:I27" si="13">+ROUND(G25*E25,0)</f>
        <v>0</v>
      </c>
      <c r="J25" s="1315" t="s">
        <v>740</v>
      </c>
      <c r="K25" s="158">
        <v>0</v>
      </c>
      <c r="L25" s="194">
        <f>ROUND(K25*$F$25,0)</f>
        <v>0</v>
      </c>
      <c r="M25" s="195">
        <v>0</v>
      </c>
      <c r="N25" s="158">
        <v>0</v>
      </c>
      <c r="O25" s="425">
        <f t="shared" ref="O25:O27" si="14">ROUND(N25*G25,0)</f>
        <v>0</v>
      </c>
      <c r="P25" s="426">
        <v>0</v>
      </c>
      <c r="Q25" s="149">
        <f>K25+N25</f>
        <v>0</v>
      </c>
      <c r="R25" s="175">
        <f t="shared" si="3"/>
        <v>0</v>
      </c>
      <c r="S25" s="176">
        <v>0</v>
      </c>
    </row>
    <row r="26" spans="1:19" ht="28.8" x14ac:dyDescent="0.3">
      <c r="A26" s="1314"/>
      <c r="B26" s="1314"/>
      <c r="C26" s="300" t="s">
        <v>83</v>
      </c>
      <c r="D26" s="300" t="s">
        <v>219</v>
      </c>
      <c r="E26" s="300">
        <v>0.05</v>
      </c>
      <c r="F26" s="192">
        <v>2646468</v>
      </c>
      <c r="G26" s="32">
        <f t="shared" si="12"/>
        <v>2781438</v>
      </c>
      <c r="H26" s="192">
        <f>ROUND((E26*F26),0)</f>
        <v>132323</v>
      </c>
      <c r="I26" s="32">
        <f t="shared" si="13"/>
        <v>139072</v>
      </c>
      <c r="J26" s="1314"/>
      <c r="K26" s="303">
        <v>0.05</v>
      </c>
      <c r="L26" s="304">
        <f>ROUND(K26*$F$26,0)</f>
        <v>132323</v>
      </c>
      <c r="M26" s="305">
        <f>L26/$H$26</f>
        <v>1</v>
      </c>
      <c r="N26" s="158">
        <v>0</v>
      </c>
      <c r="O26" s="425">
        <f t="shared" si="14"/>
        <v>0</v>
      </c>
      <c r="P26" s="426">
        <f t="shared" ref="P26:P27" si="15">O26/I26</f>
        <v>0</v>
      </c>
      <c r="Q26" s="149">
        <f>K26+N26</f>
        <v>0.05</v>
      </c>
      <c r="R26" s="175">
        <f t="shared" si="3"/>
        <v>132323</v>
      </c>
      <c r="S26" s="176">
        <f>R26/H26</f>
        <v>1</v>
      </c>
    </row>
    <row r="27" spans="1:19" ht="28.8" x14ac:dyDescent="0.3">
      <c r="A27" s="1314"/>
      <c r="B27" s="1314"/>
      <c r="C27" s="300" t="s">
        <v>61</v>
      </c>
      <c r="D27" s="300" t="s">
        <v>220</v>
      </c>
      <c r="E27" s="300">
        <v>0.05</v>
      </c>
      <c r="F27" s="192">
        <v>3203618</v>
      </c>
      <c r="G27" s="32">
        <f t="shared" si="12"/>
        <v>3367003</v>
      </c>
      <c r="H27" s="192">
        <f>ROUND((E27*F27),0)</f>
        <v>160181</v>
      </c>
      <c r="I27" s="32">
        <f t="shared" si="13"/>
        <v>168350</v>
      </c>
      <c r="J27" s="1314"/>
      <c r="K27" s="303">
        <v>0.05</v>
      </c>
      <c r="L27" s="304">
        <f>ROUND(K27*$F$27,0)</f>
        <v>160181</v>
      </c>
      <c r="M27" s="305">
        <f>L27/$H$27</f>
        <v>1</v>
      </c>
      <c r="N27" s="158">
        <v>0</v>
      </c>
      <c r="O27" s="425">
        <f t="shared" si="14"/>
        <v>0</v>
      </c>
      <c r="P27" s="426">
        <f t="shared" si="15"/>
        <v>0</v>
      </c>
      <c r="Q27" s="149">
        <f>K27+N27</f>
        <v>0.05</v>
      </c>
      <c r="R27" s="175">
        <f t="shared" si="3"/>
        <v>160181</v>
      </c>
      <c r="S27" s="176">
        <f>R27/H27</f>
        <v>1</v>
      </c>
    </row>
    <row r="28" spans="1:19" x14ac:dyDescent="0.3">
      <c r="A28" s="1314"/>
      <c r="B28" s="1314"/>
      <c r="C28" s="196"/>
      <c r="D28" s="196" t="s">
        <v>221</v>
      </c>
      <c r="E28" s="198"/>
      <c r="F28" s="198"/>
      <c r="G28" s="198"/>
      <c r="H28" s="199">
        <f>SUM(H25:H27)</f>
        <v>292504</v>
      </c>
      <c r="I28" s="199">
        <f>SUM(I25:I27)</f>
        <v>307422</v>
      </c>
      <c r="J28" s="1314"/>
      <c r="K28" s="178"/>
      <c r="L28" s="179">
        <f>SUM(L25:L27)</f>
        <v>292504</v>
      </c>
      <c r="M28" s="178">
        <f>L28/$H$28</f>
        <v>1</v>
      </c>
      <c r="N28" s="306"/>
      <c r="O28" s="307">
        <f>SUM(O25:O27)</f>
        <v>0</v>
      </c>
      <c r="P28" s="308">
        <f>O28/$H$28</f>
        <v>0</v>
      </c>
      <c r="Q28" s="150"/>
      <c r="R28" s="307">
        <f t="shared" si="3"/>
        <v>292504</v>
      </c>
      <c r="S28" s="178">
        <f>R28/H28</f>
        <v>1</v>
      </c>
    </row>
    <row r="29" spans="1:19" ht="28.8" x14ac:dyDescent="0.3">
      <c r="A29" s="1314" t="s">
        <v>109</v>
      </c>
      <c r="B29" s="1314" t="s">
        <v>170</v>
      </c>
      <c r="C29" s="300" t="s">
        <v>83</v>
      </c>
      <c r="D29" s="300" t="s">
        <v>123</v>
      </c>
      <c r="E29" s="300">
        <v>0</v>
      </c>
      <c r="F29" s="192">
        <v>1044658</v>
      </c>
      <c r="G29" s="32">
        <f t="shared" ref="G29:G30" si="16">+ROUND(F29*1.051,0)</f>
        <v>1097936</v>
      </c>
      <c r="H29" s="192">
        <f>ROUND((E29*F29),0)</f>
        <v>0</v>
      </c>
      <c r="I29" s="32">
        <f t="shared" ref="I29:I30" si="17">+ROUND(G29*E29,0)</f>
        <v>0</v>
      </c>
      <c r="J29" s="1315" t="s">
        <v>741</v>
      </c>
      <c r="K29" s="158">
        <v>0</v>
      </c>
      <c r="L29" s="194">
        <f>ROUND(K29*$F$29,0)</f>
        <v>0</v>
      </c>
      <c r="M29" s="195">
        <v>0</v>
      </c>
      <c r="N29" s="158">
        <v>0</v>
      </c>
      <c r="O29" s="425">
        <f t="shared" ref="O29:O30" si="18">ROUND(N29*G29,0)</f>
        <v>0</v>
      </c>
      <c r="P29" s="426">
        <v>0</v>
      </c>
      <c r="Q29" s="149">
        <f>K29+N29</f>
        <v>0</v>
      </c>
      <c r="R29" s="175">
        <f t="shared" si="3"/>
        <v>0</v>
      </c>
      <c r="S29" s="176">
        <v>0</v>
      </c>
    </row>
    <row r="30" spans="1:19" ht="28.8" x14ac:dyDescent="0.3">
      <c r="A30" s="1314"/>
      <c r="B30" s="1314"/>
      <c r="C30" s="300" t="s">
        <v>61</v>
      </c>
      <c r="D30" s="300" t="s">
        <v>125</v>
      </c>
      <c r="E30" s="300">
        <v>0.05</v>
      </c>
      <c r="F30" s="192">
        <v>1009836</v>
      </c>
      <c r="G30" s="32">
        <f t="shared" si="16"/>
        <v>1061338</v>
      </c>
      <c r="H30" s="192">
        <f>ROUND((E30*F30),0)</f>
        <v>50492</v>
      </c>
      <c r="I30" s="32">
        <f t="shared" si="17"/>
        <v>53067</v>
      </c>
      <c r="J30" s="1314"/>
      <c r="K30" s="303">
        <v>0.05</v>
      </c>
      <c r="L30" s="304">
        <f>ROUND(K30*$F$30,0)</f>
        <v>50492</v>
      </c>
      <c r="M30" s="305">
        <f>L30/$H$30</f>
        <v>1</v>
      </c>
      <c r="N30" s="158">
        <v>0</v>
      </c>
      <c r="O30" s="425">
        <f t="shared" si="18"/>
        <v>0</v>
      </c>
      <c r="P30" s="426">
        <f t="shared" ref="P30" si="19">O30/I30</f>
        <v>0</v>
      </c>
      <c r="Q30" s="149">
        <f>K30+N30</f>
        <v>0.05</v>
      </c>
      <c r="R30" s="175">
        <f t="shared" si="3"/>
        <v>50492</v>
      </c>
      <c r="S30" s="176">
        <f>R30/H30</f>
        <v>1</v>
      </c>
    </row>
    <row r="31" spans="1:19" x14ac:dyDescent="0.3">
      <c r="A31" s="1314"/>
      <c r="B31" s="1314"/>
      <c r="C31" s="196"/>
      <c r="D31" s="196" t="s">
        <v>126</v>
      </c>
      <c r="E31" s="198"/>
      <c r="F31" s="198"/>
      <c r="G31" s="198"/>
      <c r="H31" s="199">
        <f>SUM(H29:H30)</f>
        <v>50492</v>
      </c>
      <c r="I31" s="199">
        <f>SUM(I29:I30)</f>
        <v>53067</v>
      </c>
      <c r="J31" s="1314"/>
      <c r="K31" s="178"/>
      <c r="L31" s="179">
        <f>SUM(L29:L30)</f>
        <v>50492</v>
      </c>
      <c r="M31" s="178">
        <f>L31/$H$31</f>
        <v>1</v>
      </c>
      <c r="N31" s="306"/>
      <c r="O31" s="307">
        <f>SUM(O29:O30)</f>
        <v>0</v>
      </c>
      <c r="P31" s="308">
        <f>O31/$H$31</f>
        <v>0</v>
      </c>
      <c r="Q31" s="150"/>
      <c r="R31" s="307">
        <f t="shared" si="3"/>
        <v>50492</v>
      </c>
      <c r="S31" s="178">
        <f>R31/H31</f>
        <v>1</v>
      </c>
    </row>
    <row r="32" spans="1:19" ht="28.8" x14ac:dyDescent="0.3">
      <c r="A32" s="1314" t="s">
        <v>237</v>
      </c>
      <c r="B32" s="1314" t="s">
        <v>217</v>
      </c>
      <c r="C32" s="300" t="s">
        <v>81</v>
      </c>
      <c r="D32" s="300" t="s">
        <v>218</v>
      </c>
      <c r="E32" s="300">
        <v>0</v>
      </c>
      <c r="F32" s="192">
        <v>1149124</v>
      </c>
      <c r="G32" s="32">
        <f t="shared" ref="G32:G34" si="20">+ROUND(F32*1.051,0)</f>
        <v>1207729</v>
      </c>
      <c r="H32" s="192">
        <f>ROUND((E32*F32),0)</f>
        <v>0</v>
      </c>
      <c r="I32" s="32">
        <f t="shared" ref="I32:I34" si="21">+ROUND(G32*E32,0)</f>
        <v>0</v>
      </c>
      <c r="J32" s="1315" t="s">
        <v>740</v>
      </c>
      <c r="K32" s="158">
        <v>0</v>
      </c>
      <c r="L32" s="194">
        <f>ROUND(K32*$F$32,0)</f>
        <v>0</v>
      </c>
      <c r="M32" s="195">
        <v>0</v>
      </c>
      <c r="N32" s="158">
        <v>0</v>
      </c>
      <c r="O32" s="425">
        <f t="shared" ref="O32:O34" si="22">ROUND(N32*G32,0)</f>
        <v>0</v>
      </c>
      <c r="P32" s="426">
        <v>0</v>
      </c>
      <c r="Q32" s="149">
        <f>K32+N32</f>
        <v>0</v>
      </c>
      <c r="R32" s="175">
        <f t="shared" si="3"/>
        <v>0</v>
      </c>
      <c r="S32" s="176">
        <v>0</v>
      </c>
    </row>
    <row r="33" spans="1:19" ht="28.8" x14ac:dyDescent="0.3">
      <c r="A33" s="1314"/>
      <c r="B33" s="1314"/>
      <c r="C33" s="300" t="s">
        <v>83</v>
      </c>
      <c r="D33" s="300" t="s">
        <v>219</v>
      </c>
      <c r="E33" s="300">
        <v>0.05</v>
      </c>
      <c r="F33" s="192">
        <v>2646468</v>
      </c>
      <c r="G33" s="32">
        <f t="shared" si="20"/>
        <v>2781438</v>
      </c>
      <c r="H33" s="192">
        <f>ROUND((E33*F33),0)</f>
        <v>132323</v>
      </c>
      <c r="I33" s="32">
        <f>+ROUND(G33*E33,0)</f>
        <v>139072</v>
      </c>
      <c r="J33" s="1314"/>
      <c r="K33" s="303">
        <v>0.05</v>
      </c>
      <c r="L33" s="304">
        <f>ROUND(K33*$F$33,0)</f>
        <v>132323</v>
      </c>
      <c r="M33" s="305">
        <f>L33/$H$33</f>
        <v>1</v>
      </c>
      <c r="N33" s="158">
        <v>0</v>
      </c>
      <c r="O33" s="425">
        <f t="shared" si="22"/>
        <v>0</v>
      </c>
      <c r="P33" s="426">
        <f t="shared" ref="P33:P34" si="23">O33/I33</f>
        <v>0</v>
      </c>
      <c r="Q33" s="149">
        <f>K33+N33</f>
        <v>0.05</v>
      </c>
      <c r="R33" s="175">
        <f t="shared" si="3"/>
        <v>132323</v>
      </c>
      <c r="S33" s="176">
        <f>R33/H33</f>
        <v>1</v>
      </c>
    </row>
    <row r="34" spans="1:19" ht="28.8" x14ac:dyDescent="0.3">
      <c r="A34" s="1314"/>
      <c r="B34" s="1314"/>
      <c r="C34" s="300" t="s">
        <v>61</v>
      </c>
      <c r="D34" s="300" t="s">
        <v>220</v>
      </c>
      <c r="E34" s="300">
        <v>0.05</v>
      </c>
      <c r="F34" s="192">
        <v>3203618</v>
      </c>
      <c r="G34" s="32">
        <f t="shared" si="20"/>
        <v>3367003</v>
      </c>
      <c r="H34" s="192">
        <f>ROUND((E34*F34),0)</f>
        <v>160181</v>
      </c>
      <c r="I34" s="32">
        <f t="shared" si="21"/>
        <v>168350</v>
      </c>
      <c r="J34" s="1314"/>
      <c r="K34" s="303">
        <v>0.05</v>
      </c>
      <c r="L34" s="304">
        <f>ROUND(K34*$F$34,0)</f>
        <v>160181</v>
      </c>
      <c r="M34" s="305">
        <f>L34/$H$34</f>
        <v>1</v>
      </c>
      <c r="N34" s="158">
        <v>0</v>
      </c>
      <c r="O34" s="425">
        <f t="shared" si="22"/>
        <v>0</v>
      </c>
      <c r="P34" s="426">
        <f t="shared" si="23"/>
        <v>0</v>
      </c>
      <c r="Q34" s="149">
        <f>K34+N34</f>
        <v>0.05</v>
      </c>
      <c r="R34" s="175">
        <f t="shared" si="3"/>
        <v>160181</v>
      </c>
      <c r="S34" s="176">
        <f>R34/H34</f>
        <v>1</v>
      </c>
    </row>
    <row r="35" spans="1:19" x14ac:dyDescent="0.3">
      <c r="A35" s="1314"/>
      <c r="B35" s="1314"/>
      <c r="C35" s="196"/>
      <c r="D35" s="196" t="s">
        <v>221</v>
      </c>
      <c r="E35" s="198"/>
      <c r="F35" s="198"/>
      <c r="G35" s="198"/>
      <c r="H35" s="199">
        <f>SUM(H32:H34)</f>
        <v>292504</v>
      </c>
      <c r="I35" s="199">
        <f>SUM(I32:I34)</f>
        <v>307422</v>
      </c>
      <c r="J35" s="1314"/>
      <c r="K35" s="178"/>
      <c r="L35" s="179">
        <f>SUM(L32:L34)</f>
        <v>292504</v>
      </c>
      <c r="M35" s="178">
        <f>L35/$H$35</f>
        <v>1</v>
      </c>
      <c r="N35" s="306"/>
      <c r="O35" s="307">
        <f>SUM(O32:O34)</f>
        <v>0</v>
      </c>
      <c r="P35" s="308">
        <f>O35/$H$35</f>
        <v>0</v>
      </c>
      <c r="Q35" s="150"/>
      <c r="R35" s="307">
        <f t="shared" si="3"/>
        <v>292504</v>
      </c>
      <c r="S35" s="178">
        <f>R35/H35</f>
        <v>1</v>
      </c>
    </row>
    <row r="36" spans="1:19" ht="28.8" x14ac:dyDescent="0.3">
      <c r="A36" s="1314" t="s">
        <v>237</v>
      </c>
      <c r="B36" s="1314" t="s">
        <v>170</v>
      </c>
      <c r="C36" s="300" t="s">
        <v>83</v>
      </c>
      <c r="D36" s="300" t="s">
        <v>123</v>
      </c>
      <c r="E36" s="300">
        <v>0</v>
      </c>
      <c r="F36" s="192">
        <v>1044658</v>
      </c>
      <c r="G36" s="32">
        <f t="shared" ref="G36:G37" si="24">+ROUND(F36*1.051,0)</f>
        <v>1097936</v>
      </c>
      <c r="H36" s="192">
        <f>ROUND((E36*F36),0)</f>
        <v>0</v>
      </c>
      <c r="I36" s="32">
        <f t="shared" ref="I36:I37" si="25">+ROUND(G36*E36,0)</f>
        <v>0</v>
      </c>
      <c r="J36" s="1314" t="s">
        <v>741</v>
      </c>
      <c r="K36" s="158">
        <v>0</v>
      </c>
      <c r="L36" s="194">
        <f>ROUND(K36*$F$36,0)</f>
        <v>0</v>
      </c>
      <c r="M36" s="195">
        <v>0</v>
      </c>
      <c r="N36" s="158">
        <v>0</v>
      </c>
      <c r="O36" s="425">
        <f t="shared" ref="O36:O37" si="26">ROUND(N36*G36,0)</f>
        <v>0</v>
      </c>
      <c r="P36" s="426">
        <v>0</v>
      </c>
      <c r="Q36" s="149">
        <f>K36+N36</f>
        <v>0</v>
      </c>
      <c r="R36" s="175">
        <f t="shared" si="3"/>
        <v>0</v>
      </c>
      <c r="S36" s="176">
        <v>0</v>
      </c>
    </row>
    <row r="37" spans="1:19" ht="28.8" x14ac:dyDescent="0.3">
      <c r="A37" s="1314"/>
      <c r="B37" s="1314"/>
      <c r="C37" s="300" t="s">
        <v>61</v>
      </c>
      <c r="D37" s="300" t="s">
        <v>125</v>
      </c>
      <c r="E37" s="300">
        <v>0.05</v>
      </c>
      <c r="F37" s="192">
        <v>1009836</v>
      </c>
      <c r="G37" s="32">
        <f t="shared" si="24"/>
        <v>1061338</v>
      </c>
      <c r="H37" s="192">
        <f>ROUND((E37*F37),0)</f>
        <v>50492</v>
      </c>
      <c r="I37" s="32">
        <f t="shared" si="25"/>
        <v>53067</v>
      </c>
      <c r="J37" s="1314"/>
      <c r="K37" s="303">
        <v>0.05</v>
      </c>
      <c r="L37" s="304">
        <f>ROUND(K37*$F$37,0)</f>
        <v>50492</v>
      </c>
      <c r="M37" s="305">
        <f>L37/$H$37</f>
        <v>1</v>
      </c>
      <c r="N37" s="158">
        <v>0</v>
      </c>
      <c r="O37" s="425">
        <f t="shared" si="26"/>
        <v>0</v>
      </c>
      <c r="P37" s="426">
        <f t="shared" ref="P37" si="27">O37/I37</f>
        <v>0</v>
      </c>
      <c r="Q37" s="149">
        <f>K37+N37</f>
        <v>0.05</v>
      </c>
      <c r="R37" s="175">
        <f t="shared" si="3"/>
        <v>50492</v>
      </c>
      <c r="S37" s="176">
        <f>R37/H37</f>
        <v>1</v>
      </c>
    </row>
    <row r="38" spans="1:19" x14ac:dyDescent="0.3">
      <c r="A38" s="1314"/>
      <c r="B38" s="1314"/>
      <c r="C38" s="196"/>
      <c r="D38" s="196" t="s">
        <v>126</v>
      </c>
      <c r="E38" s="198"/>
      <c r="F38" s="198"/>
      <c r="G38" s="198"/>
      <c r="H38" s="199">
        <f>SUM(H36:H37)</f>
        <v>50492</v>
      </c>
      <c r="I38" s="199">
        <f>SUM(I36:I37)</f>
        <v>53067</v>
      </c>
      <c r="J38" s="1314"/>
      <c r="K38" s="178"/>
      <c r="L38" s="179">
        <f>SUM(L36:L37)</f>
        <v>50492</v>
      </c>
      <c r="M38" s="178">
        <f>L38/$H$38</f>
        <v>1</v>
      </c>
      <c r="N38" s="306"/>
      <c r="O38" s="307">
        <f>SUM(O36:O37)</f>
        <v>0</v>
      </c>
      <c r="P38" s="308">
        <f>O38/$H$38</f>
        <v>0</v>
      </c>
      <c r="Q38" s="150"/>
      <c r="R38" s="307">
        <f t="shared" si="3"/>
        <v>50492</v>
      </c>
      <c r="S38" s="178">
        <f>R38/H38</f>
        <v>1</v>
      </c>
    </row>
    <row r="39" spans="1:19" ht="28.8" x14ac:dyDescent="0.3">
      <c r="A39" s="1314" t="s">
        <v>313</v>
      </c>
      <c r="B39" s="1314" t="s">
        <v>217</v>
      </c>
      <c r="C39" s="300" t="s">
        <v>81</v>
      </c>
      <c r="D39" s="300" t="s">
        <v>218</v>
      </c>
      <c r="E39" s="300">
        <v>0</v>
      </c>
      <c r="F39" s="192">
        <v>1149124</v>
      </c>
      <c r="G39" s="32">
        <f t="shared" ref="G39:G41" si="28">+ROUND(F39*1.051,0)</f>
        <v>1207729</v>
      </c>
      <c r="H39" s="192">
        <f>ROUND((E39*F39),0)</f>
        <v>0</v>
      </c>
      <c r="I39" s="32">
        <f t="shared" ref="I39:I41" si="29">+ROUND(G39*E39,0)</f>
        <v>0</v>
      </c>
      <c r="J39" s="1314" t="s">
        <v>740</v>
      </c>
      <c r="K39" s="158">
        <v>0</v>
      </c>
      <c r="L39" s="194">
        <f>ROUND(K39*$F$39,0)</f>
        <v>0</v>
      </c>
      <c r="M39" s="195">
        <v>0</v>
      </c>
      <c r="N39" s="158">
        <v>0</v>
      </c>
      <c r="O39" s="425">
        <f t="shared" ref="O39:O41" si="30">ROUND(N39*G39,0)</f>
        <v>0</v>
      </c>
      <c r="P39" s="426">
        <v>0</v>
      </c>
      <c r="Q39" s="149">
        <f>K39+N39</f>
        <v>0</v>
      </c>
      <c r="R39" s="175">
        <f t="shared" si="3"/>
        <v>0</v>
      </c>
      <c r="S39" s="176">
        <v>0</v>
      </c>
    </row>
    <row r="40" spans="1:19" ht="28.8" x14ac:dyDescent="0.3">
      <c r="A40" s="1314"/>
      <c r="B40" s="1314"/>
      <c r="C40" s="300" t="s">
        <v>83</v>
      </c>
      <c r="D40" s="300" t="s">
        <v>219</v>
      </c>
      <c r="E40" s="300">
        <v>0.05</v>
      </c>
      <c r="F40" s="192">
        <v>2646468</v>
      </c>
      <c r="G40" s="32">
        <f t="shared" si="28"/>
        <v>2781438</v>
      </c>
      <c r="H40" s="192">
        <f>ROUND((E40*F40),0)</f>
        <v>132323</v>
      </c>
      <c r="I40" s="32">
        <f t="shared" si="29"/>
        <v>139072</v>
      </c>
      <c r="J40" s="1314"/>
      <c r="K40" s="303">
        <v>0.05</v>
      </c>
      <c r="L40" s="304">
        <f>ROUND(K40*$F$40,0)</f>
        <v>132323</v>
      </c>
      <c r="M40" s="305">
        <f>L40/$H$40</f>
        <v>1</v>
      </c>
      <c r="N40" s="158">
        <v>0</v>
      </c>
      <c r="O40" s="425">
        <f t="shared" si="30"/>
        <v>0</v>
      </c>
      <c r="P40" s="426">
        <f t="shared" ref="P40:P41" si="31">O40/I40</f>
        <v>0</v>
      </c>
      <c r="Q40" s="149">
        <f>K40+N40</f>
        <v>0.05</v>
      </c>
      <c r="R40" s="175">
        <f t="shared" si="3"/>
        <v>132323</v>
      </c>
      <c r="S40" s="176">
        <f>R40/H40</f>
        <v>1</v>
      </c>
    </row>
    <row r="41" spans="1:19" ht="28.8" x14ac:dyDescent="0.3">
      <c r="A41" s="1314"/>
      <c r="B41" s="1314"/>
      <c r="C41" s="300" t="s">
        <v>61</v>
      </c>
      <c r="D41" s="300" t="s">
        <v>220</v>
      </c>
      <c r="E41" s="300">
        <v>0.05</v>
      </c>
      <c r="F41" s="192">
        <v>3203618</v>
      </c>
      <c r="G41" s="32">
        <f t="shared" si="28"/>
        <v>3367003</v>
      </c>
      <c r="H41" s="192">
        <f>ROUND((E41*F41),0)</f>
        <v>160181</v>
      </c>
      <c r="I41" s="32">
        <f t="shared" si="29"/>
        <v>168350</v>
      </c>
      <c r="J41" s="1314"/>
      <c r="K41" s="303">
        <v>0.05</v>
      </c>
      <c r="L41" s="304">
        <f>ROUND(K41*$F$41,0)</f>
        <v>160181</v>
      </c>
      <c r="M41" s="305">
        <f>L41/$H$41</f>
        <v>1</v>
      </c>
      <c r="N41" s="158">
        <v>0</v>
      </c>
      <c r="O41" s="425">
        <f t="shared" si="30"/>
        <v>0</v>
      </c>
      <c r="P41" s="426">
        <f t="shared" si="31"/>
        <v>0</v>
      </c>
      <c r="Q41" s="149">
        <f>K41+N41</f>
        <v>0.05</v>
      </c>
      <c r="R41" s="175">
        <f t="shared" si="3"/>
        <v>160181</v>
      </c>
      <c r="S41" s="176">
        <f>R41/H41</f>
        <v>1</v>
      </c>
    </row>
    <row r="42" spans="1:19" x14ac:dyDescent="0.3">
      <c r="A42" s="1314"/>
      <c r="B42" s="1314"/>
      <c r="C42" s="196"/>
      <c r="D42" s="196" t="s">
        <v>221</v>
      </c>
      <c r="E42" s="198"/>
      <c r="F42" s="198"/>
      <c r="G42" s="198"/>
      <c r="H42" s="199">
        <f>SUM(H39:H41)</f>
        <v>292504</v>
      </c>
      <c r="I42" s="199"/>
      <c r="J42" s="1314"/>
      <c r="K42" s="178"/>
      <c r="L42" s="179">
        <f>SUM(L39:L41)</f>
        <v>292504</v>
      </c>
      <c r="M42" s="178">
        <f>L42/$H$42</f>
        <v>1</v>
      </c>
      <c r="N42" s="306"/>
      <c r="O42" s="307">
        <f>SUM(O39:O41)</f>
        <v>0</v>
      </c>
      <c r="P42" s="308">
        <f>O42/$H$42</f>
        <v>0</v>
      </c>
      <c r="Q42" s="150"/>
      <c r="R42" s="307">
        <f t="shared" si="3"/>
        <v>292504</v>
      </c>
      <c r="S42" s="178">
        <f>R42/H42</f>
        <v>1</v>
      </c>
    </row>
    <row r="43" spans="1:19" ht="28.8" x14ac:dyDescent="0.3">
      <c r="A43" s="1314" t="s">
        <v>313</v>
      </c>
      <c r="B43" s="1314" t="s">
        <v>170</v>
      </c>
      <c r="C43" s="300" t="s">
        <v>83</v>
      </c>
      <c r="D43" s="300" t="s">
        <v>123</v>
      </c>
      <c r="E43" s="300">
        <v>0</v>
      </c>
      <c r="F43" s="192">
        <v>1044658</v>
      </c>
      <c r="G43" s="32">
        <f t="shared" ref="G43:G44" si="32">+ROUND(F43*1.051,0)</f>
        <v>1097936</v>
      </c>
      <c r="H43" s="192">
        <f>ROUND((E43*F43),0)</f>
        <v>0</v>
      </c>
      <c r="I43" s="32">
        <f t="shared" ref="I43:I44" si="33">+ROUND(G43*E43,0)</f>
        <v>0</v>
      </c>
      <c r="J43" s="1314" t="s">
        <v>741</v>
      </c>
      <c r="K43" s="158">
        <v>0</v>
      </c>
      <c r="L43" s="194">
        <f>ROUND(K43*$F$43,0)</f>
        <v>0</v>
      </c>
      <c r="M43" s="195">
        <v>0</v>
      </c>
      <c r="N43" s="158">
        <v>0</v>
      </c>
      <c r="O43" s="425">
        <f t="shared" ref="O43:O44" si="34">ROUND(N43*G43,0)</f>
        <v>0</v>
      </c>
      <c r="P43" s="426">
        <v>0</v>
      </c>
      <c r="Q43" s="149">
        <f>K43+N43</f>
        <v>0</v>
      </c>
      <c r="R43" s="175">
        <f t="shared" si="3"/>
        <v>0</v>
      </c>
      <c r="S43" s="176">
        <v>0</v>
      </c>
    </row>
    <row r="44" spans="1:19" ht="28.8" x14ac:dyDescent="0.3">
      <c r="A44" s="1314"/>
      <c r="B44" s="1314"/>
      <c r="C44" s="300" t="s">
        <v>61</v>
      </c>
      <c r="D44" s="300" t="s">
        <v>125</v>
      </c>
      <c r="E44" s="300">
        <v>0.05</v>
      </c>
      <c r="F44" s="192">
        <v>1009836</v>
      </c>
      <c r="G44" s="32">
        <f t="shared" si="32"/>
        <v>1061338</v>
      </c>
      <c r="H44" s="192">
        <f>ROUND((E44*F44),0)</f>
        <v>50492</v>
      </c>
      <c r="I44" s="32">
        <f t="shared" si="33"/>
        <v>53067</v>
      </c>
      <c r="J44" s="1314"/>
      <c r="K44" s="303">
        <v>0.05</v>
      </c>
      <c r="L44" s="304">
        <f>ROUND(K44*$F$44,0)</f>
        <v>50492</v>
      </c>
      <c r="M44" s="305">
        <f>L44/$H$44</f>
        <v>1</v>
      </c>
      <c r="N44" s="158">
        <v>0</v>
      </c>
      <c r="O44" s="425">
        <f t="shared" si="34"/>
        <v>0</v>
      </c>
      <c r="P44" s="426">
        <f t="shared" ref="P44" si="35">O44/I44</f>
        <v>0</v>
      </c>
      <c r="Q44" s="149">
        <f>K44+N44</f>
        <v>0.05</v>
      </c>
      <c r="R44" s="175">
        <f t="shared" si="3"/>
        <v>50492</v>
      </c>
      <c r="S44" s="176">
        <f>R44/H44</f>
        <v>1</v>
      </c>
    </row>
    <row r="45" spans="1:19" x14ac:dyDescent="0.3">
      <c r="A45" s="1314"/>
      <c r="B45" s="1314"/>
      <c r="C45" s="196"/>
      <c r="D45" s="196" t="s">
        <v>126</v>
      </c>
      <c r="E45" s="198"/>
      <c r="F45" s="198"/>
      <c r="G45" s="198"/>
      <c r="H45" s="199">
        <f>SUM(H43:H44)</f>
        <v>50492</v>
      </c>
      <c r="I45" s="199">
        <f>SUM(I42:I44)</f>
        <v>53067</v>
      </c>
      <c r="J45" s="1314"/>
      <c r="K45" s="178"/>
      <c r="L45" s="179">
        <f>SUM(L43:L44)</f>
        <v>50492</v>
      </c>
      <c r="M45" s="178">
        <f>L45/$H$45</f>
        <v>1</v>
      </c>
      <c r="N45" s="306"/>
      <c r="O45" s="307">
        <f>SUM(O43:O44)</f>
        <v>0</v>
      </c>
      <c r="P45" s="308">
        <f>O45/$H$45</f>
        <v>0</v>
      </c>
      <c r="Q45" s="150"/>
      <c r="R45" s="307">
        <f t="shared" si="3"/>
        <v>50492</v>
      </c>
      <c r="S45" s="178">
        <f>R45/H45</f>
        <v>1</v>
      </c>
    </row>
    <row r="46" spans="1:19" ht="28.8" x14ac:dyDescent="0.3">
      <c r="A46" s="1314" t="s">
        <v>307</v>
      </c>
      <c r="B46" s="1314" t="s">
        <v>217</v>
      </c>
      <c r="C46" s="300" t="s">
        <v>81</v>
      </c>
      <c r="D46" s="300" t="s">
        <v>218</v>
      </c>
      <c r="E46" s="300">
        <v>0</v>
      </c>
      <c r="F46" s="192">
        <v>1149124</v>
      </c>
      <c r="G46" s="32">
        <f t="shared" ref="G46:G48" si="36">+ROUND(F46*1.051,0)</f>
        <v>1207729</v>
      </c>
      <c r="H46" s="192">
        <f>ROUND((E46*F46),0)</f>
        <v>0</v>
      </c>
      <c r="I46" s="32">
        <f t="shared" ref="I46:I48" si="37">+ROUND(G46*E46,0)</f>
        <v>0</v>
      </c>
      <c r="J46" s="1314" t="s">
        <v>740</v>
      </c>
      <c r="K46" s="158">
        <v>0</v>
      </c>
      <c r="L46" s="194">
        <f>ROUND(K46*$F$46,0)</f>
        <v>0</v>
      </c>
      <c r="M46" s="195">
        <v>0</v>
      </c>
      <c r="N46" s="158">
        <v>0</v>
      </c>
      <c r="O46" s="425">
        <f t="shared" ref="O46:O48" si="38">ROUND(N46*G46,0)</f>
        <v>0</v>
      </c>
      <c r="P46" s="426">
        <v>0</v>
      </c>
      <c r="Q46" s="149">
        <f>K46+N46</f>
        <v>0</v>
      </c>
      <c r="R46" s="175">
        <f t="shared" si="3"/>
        <v>0</v>
      </c>
      <c r="S46" s="176">
        <v>0</v>
      </c>
    </row>
    <row r="47" spans="1:19" ht="28.8" x14ac:dyDescent="0.3">
      <c r="A47" s="1314"/>
      <c r="B47" s="1314"/>
      <c r="C47" s="300" t="s">
        <v>83</v>
      </c>
      <c r="D47" s="300" t="s">
        <v>219</v>
      </c>
      <c r="E47" s="300">
        <v>0.05</v>
      </c>
      <c r="F47" s="192">
        <v>2646468</v>
      </c>
      <c r="G47" s="32">
        <f t="shared" si="36"/>
        <v>2781438</v>
      </c>
      <c r="H47" s="192">
        <f>ROUND((E47*F47),0)</f>
        <v>132323</v>
      </c>
      <c r="I47" s="32">
        <f t="shared" si="37"/>
        <v>139072</v>
      </c>
      <c r="J47" s="1314"/>
      <c r="K47" s="303">
        <v>0.05</v>
      </c>
      <c r="L47" s="304">
        <f>ROUND(K47*$F$47,0)</f>
        <v>132323</v>
      </c>
      <c r="M47" s="305">
        <f>L47/$H$47</f>
        <v>1</v>
      </c>
      <c r="N47" s="158">
        <v>0</v>
      </c>
      <c r="O47" s="425">
        <f t="shared" si="38"/>
        <v>0</v>
      </c>
      <c r="P47" s="426">
        <f t="shared" ref="P47:P48" si="39">O47/I47</f>
        <v>0</v>
      </c>
      <c r="Q47" s="149">
        <f>K47+N47</f>
        <v>0.05</v>
      </c>
      <c r="R47" s="175">
        <f t="shared" si="3"/>
        <v>132323</v>
      </c>
      <c r="S47" s="176">
        <f>R47/H47</f>
        <v>1</v>
      </c>
    </row>
    <row r="48" spans="1:19" ht="28.8" x14ac:dyDescent="0.3">
      <c r="A48" s="1314"/>
      <c r="B48" s="1314"/>
      <c r="C48" s="300" t="s">
        <v>61</v>
      </c>
      <c r="D48" s="300" t="s">
        <v>220</v>
      </c>
      <c r="E48" s="300">
        <v>0.05</v>
      </c>
      <c r="F48" s="192">
        <v>3203618</v>
      </c>
      <c r="G48" s="32">
        <f t="shared" si="36"/>
        <v>3367003</v>
      </c>
      <c r="H48" s="192">
        <f>ROUND((E48*F48),0)</f>
        <v>160181</v>
      </c>
      <c r="I48" s="32">
        <f t="shared" si="37"/>
        <v>168350</v>
      </c>
      <c r="J48" s="1314"/>
      <c r="K48" s="303">
        <v>0.05</v>
      </c>
      <c r="L48" s="304">
        <f>ROUND(K48*$F$48,0)</f>
        <v>160181</v>
      </c>
      <c r="M48" s="305">
        <f>L48/$H$48</f>
        <v>1</v>
      </c>
      <c r="N48" s="158">
        <v>0</v>
      </c>
      <c r="O48" s="425">
        <f t="shared" si="38"/>
        <v>0</v>
      </c>
      <c r="P48" s="426">
        <f t="shared" si="39"/>
        <v>0</v>
      </c>
      <c r="Q48" s="149">
        <f>K48+N48</f>
        <v>0.05</v>
      </c>
      <c r="R48" s="175">
        <f t="shared" si="3"/>
        <v>160181</v>
      </c>
      <c r="S48" s="176">
        <f>R48/H48</f>
        <v>1</v>
      </c>
    </row>
    <row r="49" spans="1:19" x14ac:dyDescent="0.3">
      <c r="A49" s="1314"/>
      <c r="B49" s="1314"/>
      <c r="C49" s="196"/>
      <c r="D49" s="196" t="s">
        <v>221</v>
      </c>
      <c r="E49" s="198"/>
      <c r="F49" s="198"/>
      <c r="G49" s="198"/>
      <c r="H49" s="199">
        <f>SUM(H46:H48)</f>
        <v>292504</v>
      </c>
      <c r="I49" s="199">
        <f>SUM(I46:I48)</f>
        <v>307422</v>
      </c>
      <c r="J49" s="1314"/>
      <c r="K49" s="178"/>
      <c r="L49" s="179">
        <f>SUM(L46:L48)</f>
        <v>292504</v>
      </c>
      <c r="M49" s="178">
        <f>L49/$H$49</f>
        <v>1</v>
      </c>
      <c r="N49" s="306"/>
      <c r="O49" s="307">
        <f>SUM(O46:O48)</f>
        <v>0</v>
      </c>
      <c r="P49" s="308">
        <f>O49/$H$49</f>
        <v>0</v>
      </c>
      <c r="Q49" s="150"/>
      <c r="R49" s="307">
        <f t="shared" si="3"/>
        <v>292504</v>
      </c>
      <c r="S49" s="178">
        <f>R49/H49</f>
        <v>1</v>
      </c>
    </row>
    <row r="50" spans="1:19" ht="28.8" x14ac:dyDescent="0.3">
      <c r="A50" s="1314" t="s">
        <v>307</v>
      </c>
      <c r="B50" s="1314" t="s">
        <v>170</v>
      </c>
      <c r="C50" s="300" t="s">
        <v>83</v>
      </c>
      <c r="D50" s="300" t="s">
        <v>123</v>
      </c>
      <c r="E50" s="300">
        <v>0</v>
      </c>
      <c r="F50" s="192">
        <v>1044658</v>
      </c>
      <c r="G50" s="32">
        <f t="shared" ref="G50:G51" si="40">+ROUND(F50*1.051,0)</f>
        <v>1097936</v>
      </c>
      <c r="H50" s="192">
        <f>ROUND((E50*F50),0)</f>
        <v>0</v>
      </c>
      <c r="I50" s="32">
        <f>+ROUND(G50*E50,0)</f>
        <v>0</v>
      </c>
      <c r="J50" s="1314" t="s">
        <v>741</v>
      </c>
      <c r="K50" s="158">
        <v>0</v>
      </c>
      <c r="L50" s="194">
        <f>ROUND(K50*$F$50,0)</f>
        <v>0</v>
      </c>
      <c r="M50" s="195">
        <v>0</v>
      </c>
      <c r="N50" s="158">
        <v>0</v>
      </c>
      <c r="O50" s="425">
        <f t="shared" ref="O50:O51" si="41">ROUND(N50*G50,0)</f>
        <v>0</v>
      </c>
      <c r="P50" s="426">
        <v>0</v>
      </c>
      <c r="Q50" s="149">
        <f>K50+N50</f>
        <v>0</v>
      </c>
      <c r="R50" s="175">
        <f t="shared" si="3"/>
        <v>0</v>
      </c>
      <c r="S50" s="176">
        <v>0</v>
      </c>
    </row>
    <row r="51" spans="1:19" ht="28.8" x14ac:dyDescent="0.3">
      <c r="A51" s="1314"/>
      <c r="B51" s="1314"/>
      <c r="C51" s="300" t="s">
        <v>61</v>
      </c>
      <c r="D51" s="300" t="s">
        <v>125</v>
      </c>
      <c r="E51" s="300">
        <v>0.05</v>
      </c>
      <c r="F51" s="192">
        <v>1009836</v>
      </c>
      <c r="G51" s="32">
        <f t="shared" si="40"/>
        <v>1061338</v>
      </c>
      <c r="H51" s="192">
        <f>ROUND((E51*F51),0)</f>
        <v>50492</v>
      </c>
      <c r="I51" s="32">
        <f t="shared" ref="I51" si="42">+ROUND(G51*E51,0)</f>
        <v>53067</v>
      </c>
      <c r="J51" s="1314"/>
      <c r="K51" s="303">
        <v>0.05</v>
      </c>
      <c r="L51" s="304">
        <f>ROUND(K51*$F$51,0)</f>
        <v>50492</v>
      </c>
      <c r="M51" s="305">
        <f>L51/$H$51</f>
        <v>1</v>
      </c>
      <c r="N51" s="158">
        <v>0</v>
      </c>
      <c r="O51" s="425">
        <f t="shared" si="41"/>
        <v>0</v>
      </c>
      <c r="P51" s="426">
        <f t="shared" ref="P51" si="43">O51/I51</f>
        <v>0</v>
      </c>
      <c r="Q51" s="149">
        <f>K51+N51</f>
        <v>0.05</v>
      </c>
      <c r="R51" s="175">
        <f t="shared" si="3"/>
        <v>50492</v>
      </c>
      <c r="S51" s="176">
        <f>R51/H51</f>
        <v>1</v>
      </c>
    </row>
    <row r="52" spans="1:19" x14ac:dyDescent="0.3">
      <c r="A52" s="1314"/>
      <c r="B52" s="1314"/>
      <c r="C52" s="196"/>
      <c r="D52" s="196" t="s">
        <v>126</v>
      </c>
      <c r="E52" s="198"/>
      <c r="F52" s="198"/>
      <c r="G52" s="198"/>
      <c r="H52" s="199">
        <f>SUM(H50:H51)</f>
        <v>50492</v>
      </c>
      <c r="I52" s="199">
        <f>SUM(I50:I51)</f>
        <v>53067</v>
      </c>
      <c r="J52" s="1314"/>
      <c r="K52" s="178"/>
      <c r="L52" s="179">
        <f>SUM(L50:L51)</f>
        <v>50492</v>
      </c>
      <c r="M52" s="178">
        <f>L52/$H$52</f>
        <v>1</v>
      </c>
      <c r="N52" s="306"/>
      <c r="O52" s="307">
        <f>SUM(O50:O51)</f>
        <v>0</v>
      </c>
      <c r="P52" s="308">
        <f>O52/$H$52</f>
        <v>0</v>
      </c>
      <c r="Q52" s="150"/>
      <c r="R52" s="307">
        <f t="shared" si="3"/>
        <v>50492</v>
      </c>
      <c r="S52" s="178">
        <f>R52/H52</f>
        <v>1</v>
      </c>
    </row>
    <row r="53" spans="1:19" x14ac:dyDescent="0.3">
      <c r="F53" s="151" t="s">
        <v>64</v>
      </c>
      <c r="G53" s="151"/>
      <c r="H53" s="181">
        <f>SUM(H9:H52)/2</f>
        <v>1974403</v>
      </c>
      <c r="I53" s="181">
        <f>SUM(I9:I52)/2</f>
        <v>1921388</v>
      </c>
      <c r="K53" s="151" t="s">
        <v>64</v>
      </c>
      <c r="L53" s="181">
        <f>SUM(L9:L52)/2</f>
        <v>1714980</v>
      </c>
      <c r="M53" s="50">
        <f>L53/$H$53</f>
        <v>0.86860686496120598</v>
      </c>
      <c r="N53" s="151" t="s">
        <v>64</v>
      </c>
      <c r="O53" s="181">
        <f>SUM(O9:O52)/2</f>
        <v>0</v>
      </c>
      <c r="P53" s="50">
        <f>O53/$H$53</f>
        <v>0</v>
      </c>
      <c r="Q53" s="151" t="s">
        <v>64</v>
      </c>
      <c r="R53" s="181">
        <f>SUM(R9:R52)/2</f>
        <v>1714980</v>
      </c>
      <c r="S53" s="50">
        <f>R53/H53</f>
        <v>0.86860686496120598</v>
      </c>
    </row>
    <row r="54" spans="1:19" x14ac:dyDescent="0.3">
      <c r="F54" s="153" t="s">
        <v>65</v>
      </c>
      <c r="G54" s="816"/>
      <c r="H54" s="182">
        <v>0</v>
      </c>
      <c r="I54" s="182">
        <v>0</v>
      </c>
      <c r="K54" s="153" t="s">
        <v>65</v>
      </c>
      <c r="L54" s="182">
        <v>0</v>
      </c>
      <c r="N54" s="153" t="s">
        <v>65</v>
      </c>
      <c r="O54" s="182">
        <v>0</v>
      </c>
      <c r="Q54" s="153" t="s">
        <v>65</v>
      </c>
      <c r="R54" s="182">
        <v>0</v>
      </c>
    </row>
    <row r="55" spans="1:19" x14ac:dyDescent="0.3">
      <c r="F55" s="152" t="s">
        <v>64</v>
      </c>
      <c r="G55" s="817"/>
      <c r="H55" s="182">
        <f>+H53+H54</f>
        <v>1974403</v>
      </c>
      <c r="I55" s="182">
        <f>+I53+I54</f>
        <v>1921388</v>
      </c>
      <c r="K55" s="152" t="s">
        <v>64</v>
      </c>
      <c r="L55" s="182">
        <f>+L53+L54</f>
        <v>1714980</v>
      </c>
      <c r="N55" s="152" t="s">
        <v>64</v>
      </c>
      <c r="O55" s="182">
        <f>+O53+O54</f>
        <v>0</v>
      </c>
      <c r="Q55" s="152" t="s">
        <v>64</v>
      </c>
      <c r="R55" s="182">
        <f>+R53+R54</f>
        <v>1714980</v>
      </c>
    </row>
    <row r="56" spans="1:19" ht="26.4" x14ac:dyDescent="0.3">
      <c r="F56" s="152"/>
      <c r="G56" s="817"/>
      <c r="H56" s="182"/>
      <c r="I56" s="182"/>
      <c r="K56" s="152"/>
      <c r="L56" s="182"/>
      <c r="N56" s="484" t="s">
        <v>1439</v>
      </c>
      <c r="O56" s="182">
        <f>ROUND(O55*0.015,0)</f>
        <v>0</v>
      </c>
      <c r="Q56" s="484" t="s">
        <v>1439</v>
      </c>
      <c r="R56" s="182">
        <f>L56+O56</f>
        <v>0</v>
      </c>
    </row>
    <row r="57" spans="1:19" ht="26.4" x14ac:dyDescent="0.3">
      <c r="F57" s="152"/>
      <c r="G57" s="817"/>
      <c r="H57" s="182"/>
      <c r="I57" s="182"/>
      <c r="K57" s="152"/>
      <c r="L57" s="182"/>
      <c r="N57" s="152" t="s">
        <v>1440</v>
      </c>
      <c r="O57" s="182">
        <f>O55+O56</f>
        <v>0</v>
      </c>
      <c r="Q57" s="152" t="s">
        <v>1440</v>
      </c>
      <c r="R57" s="182">
        <f>R55+R56</f>
        <v>1714980</v>
      </c>
    </row>
    <row r="58" spans="1:19" x14ac:dyDescent="0.3">
      <c r="F58" s="154" t="s">
        <v>66</v>
      </c>
      <c r="G58" s="818"/>
      <c r="H58" s="182">
        <f>+H55*19%</f>
        <v>375136.57</v>
      </c>
      <c r="I58" s="182">
        <f>+I55*19%</f>
        <v>365063.72000000003</v>
      </c>
      <c r="K58" s="154" t="s">
        <v>66</v>
      </c>
      <c r="L58" s="182">
        <f>+L55*19%</f>
        <v>325846.2</v>
      </c>
      <c r="N58" s="154" t="s">
        <v>66</v>
      </c>
      <c r="O58" s="182">
        <f>ROUND(O57*0.19,0)</f>
        <v>0</v>
      </c>
      <c r="Q58" s="154" t="s">
        <v>66</v>
      </c>
      <c r="R58" s="182">
        <f>ROUND(R57*0.19,0)</f>
        <v>325846</v>
      </c>
    </row>
    <row r="59" spans="1:19" x14ac:dyDescent="0.3">
      <c r="F59" s="155" t="s">
        <v>69</v>
      </c>
      <c r="G59" s="155"/>
      <c r="H59" s="181">
        <f>+H55+H58</f>
        <v>2349539.5699999998</v>
      </c>
      <c r="I59" s="181">
        <f>+I55+I58</f>
        <v>2286451.7200000002</v>
      </c>
      <c r="K59" s="155" t="s">
        <v>69</v>
      </c>
      <c r="L59" s="181">
        <f>+L55+L58</f>
        <v>2040826.2</v>
      </c>
      <c r="N59" s="155" t="s">
        <v>69</v>
      </c>
      <c r="O59" s="181">
        <f>O57+O58</f>
        <v>0</v>
      </c>
      <c r="Q59" s="155" t="s">
        <v>69</v>
      </c>
      <c r="R59" s="181">
        <f>R57+R58</f>
        <v>2040826</v>
      </c>
    </row>
    <row r="62" spans="1:19" x14ac:dyDescent="0.3">
      <c r="A62" s="183" t="s">
        <v>67</v>
      </c>
      <c r="B62" s="184"/>
      <c r="C62" s="184"/>
      <c r="D62" s="185" t="s">
        <v>68</v>
      </c>
      <c r="K62" s="186" t="s">
        <v>70</v>
      </c>
      <c r="L62" s="187" t="s">
        <v>71</v>
      </c>
      <c r="M62" s="186" t="s">
        <v>58</v>
      </c>
      <c r="N62" s="186" t="s">
        <v>70</v>
      </c>
      <c r="O62" s="187" t="s">
        <v>71</v>
      </c>
      <c r="P62" s="186" t="s">
        <v>58</v>
      </c>
      <c r="Q62"/>
      <c r="R62"/>
      <c r="S62"/>
    </row>
    <row r="63" spans="1:19" x14ac:dyDescent="0.3">
      <c r="A63" s="183"/>
      <c r="B63" s="184"/>
      <c r="C63" s="184"/>
      <c r="D63" s="185"/>
      <c r="K63" s="69" t="s">
        <v>72</v>
      </c>
      <c r="L63" s="70">
        <f>$L$53</f>
        <v>1714980</v>
      </c>
      <c r="M63" s="71">
        <f>$M$53</f>
        <v>0.86860686496120598</v>
      </c>
      <c r="N63" s="69" t="s">
        <v>72</v>
      </c>
      <c r="O63" s="70">
        <f>$L$53</f>
        <v>1714980</v>
      </c>
      <c r="P63" s="71">
        <f>$M$53</f>
        <v>0.86860686496120598</v>
      </c>
      <c r="Q63"/>
      <c r="R63"/>
      <c r="S63"/>
    </row>
    <row r="64" spans="1:19" x14ac:dyDescent="0.3">
      <c r="A64" s="183"/>
      <c r="B64" s="184"/>
      <c r="C64" s="184"/>
      <c r="D64" s="185"/>
      <c r="K64" s="69"/>
      <c r="L64" s="70"/>
      <c r="M64" s="71"/>
      <c r="N64" s="69" t="s">
        <v>73</v>
      </c>
      <c r="O64" s="70">
        <f>$O$53</f>
        <v>0</v>
      </c>
      <c r="P64" s="71">
        <f>$P$53</f>
        <v>0</v>
      </c>
      <c r="Q64" s="302"/>
      <c r="R64" s="302"/>
      <c r="S64" s="302"/>
    </row>
    <row r="65" spans="1:19" x14ac:dyDescent="0.3">
      <c r="A65" s="183"/>
      <c r="B65" s="184"/>
      <c r="C65" s="184"/>
      <c r="D65" s="185"/>
      <c r="K65" s="72" t="s">
        <v>1</v>
      </c>
      <c r="L65" s="105">
        <f>SUM(L63:L63)</f>
        <v>1714980</v>
      </c>
      <c r="M65" s="73">
        <f>SUM(M63:M63)</f>
        <v>0.86860686496120598</v>
      </c>
      <c r="N65" s="72" t="s">
        <v>1</v>
      </c>
      <c r="O65" s="105">
        <f>SUM(O63:O64)</f>
        <v>1714980</v>
      </c>
      <c r="P65" s="73">
        <f>SUM(P63:P64)</f>
        <v>0.86860686496120598</v>
      </c>
      <c r="Q65"/>
      <c r="R65"/>
      <c r="S65"/>
    </row>
    <row r="66" spans="1:19" x14ac:dyDescent="0.3">
      <c r="A66" s="183"/>
      <c r="B66" s="184"/>
      <c r="C66" s="184"/>
      <c r="D66" s="185"/>
      <c r="K66" s="72" t="s">
        <v>9</v>
      </c>
      <c r="L66" s="1285"/>
      <c r="M66" s="1286"/>
      <c r="N66" s="72" t="s">
        <v>9</v>
      </c>
      <c r="O66" s="1285"/>
      <c r="P66" s="1286"/>
      <c r="Q66"/>
      <c r="R66"/>
      <c r="S66"/>
    </row>
    <row r="67" spans="1:19" x14ac:dyDescent="0.3">
      <c r="A67" s="183"/>
      <c r="B67" s="184"/>
      <c r="C67" s="184"/>
      <c r="D67" s="185"/>
      <c r="K67" s="156" t="s">
        <v>78</v>
      </c>
      <c r="L67" s="1285" t="s">
        <v>742</v>
      </c>
      <c r="M67" s="1286"/>
      <c r="N67" s="156" t="s">
        <v>78</v>
      </c>
      <c r="O67" s="1285" t="s">
        <v>742</v>
      </c>
      <c r="P67" s="1286"/>
      <c r="Q67"/>
      <c r="R67"/>
      <c r="S67"/>
    </row>
    <row r="68" spans="1:19" x14ac:dyDescent="0.3">
      <c r="A68" s="183"/>
      <c r="B68" s="184"/>
      <c r="C68" s="184"/>
      <c r="D68" s="185"/>
      <c r="K68" s="157" t="s">
        <v>8</v>
      </c>
      <c r="L68" s="1287" t="s">
        <v>743</v>
      </c>
      <c r="M68" s="1288"/>
      <c r="N68" s="157" t="s">
        <v>8</v>
      </c>
      <c r="O68" s="1287" t="s">
        <v>743</v>
      </c>
      <c r="P68" s="1288"/>
      <c r="Q68"/>
      <c r="R68"/>
      <c r="S68"/>
    </row>
    <row r="69" spans="1:19" x14ac:dyDescent="0.3">
      <c r="A69" s="183"/>
      <c r="B69" s="184"/>
      <c r="C69" s="184"/>
      <c r="D69" s="185" t="s">
        <v>75</v>
      </c>
    </row>
    <row r="70" spans="1:19" x14ac:dyDescent="0.3">
      <c r="A70" s="183" t="s">
        <v>76</v>
      </c>
      <c r="B70" s="180"/>
      <c r="C70" s="180"/>
      <c r="D70" s="185" t="s">
        <v>77</v>
      </c>
    </row>
    <row r="71" spans="1:19" x14ac:dyDescent="0.3">
      <c r="A71" s="183" t="s">
        <v>79</v>
      </c>
      <c r="B71" s="180"/>
      <c r="C71" s="180"/>
      <c r="D71" s="185" t="s">
        <v>80</v>
      </c>
    </row>
  </sheetData>
  <sheetProtection formatCells="0" formatColumns="0" formatRows="0" insertColumns="0" insertRows="0" insertHyperlinks="0" deleteColumns="0" deleteRows="0" sort="0" autoFilter="0" pivotTables="0"/>
  <mergeCells count="55">
    <mergeCell ref="N11:P12"/>
    <mergeCell ref="O66:P66"/>
    <mergeCell ref="O67:P67"/>
    <mergeCell ref="O68:P68"/>
    <mergeCell ref="A7:S7"/>
    <mergeCell ref="A8:S8"/>
    <mergeCell ref="A14:A17"/>
    <mergeCell ref="B14:B17"/>
    <mergeCell ref="J14:J17"/>
    <mergeCell ref="A18:A21"/>
    <mergeCell ref="B18:B21"/>
    <mergeCell ref="J18:J21"/>
    <mergeCell ref="B22:B24"/>
    <mergeCell ref="J22:J24"/>
    <mergeCell ref="A50:A52"/>
    <mergeCell ref="B50:B52"/>
    <mergeCell ref="J50:J52"/>
    <mergeCell ref="A43:A45"/>
    <mergeCell ref="B43:B45"/>
    <mergeCell ref="J43:J45"/>
    <mergeCell ref="A46:A49"/>
    <mergeCell ref="B46:B49"/>
    <mergeCell ref="J46:J49"/>
    <mergeCell ref="A39:A42"/>
    <mergeCell ref="B39:B42"/>
    <mergeCell ref="J39:J42"/>
    <mergeCell ref="Q1:S1"/>
    <mergeCell ref="Q2:S2"/>
    <mergeCell ref="A3:S3"/>
    <mergeCell ref="A4:S4"/>
    <mergeCell ref="A5:S5"/>
    <mergeCell ref="A25:A28"/>
    <mergeCell ref="B25:B28"/>
    <mergeCell ref="J25:J28"/>
    <mergeCell ref="A6:S6"/>
    <mergeCell ref="A36:A38"/>
    <mergeCell ref="B36:B38"/>
    <mergeCell ref="J36:J38"/>
    <mergeCell ref="C1:P2"/>
    <mergeCell ref="L66:M66"/>
    <mergeCell ref="L67:M67"/>
    <mergeCell ref="L68:M68"/>
    <mergeCell ref="A9:S9"/>
    <mergeCell ref="A10:S10"/>
    <mergeCell ref="B11:J11"/>
    <mergeCell ref="K11:M12"/>
    <mergeCell ref="Q11:S12"/>
    <mergeCell ref="B12:J12"/>
    <mergeCell ref="A29:A31"/>
    <mergeCell ref="B29:B31"/>
    <mergeCell ref="J29:J31"/>
    <mergeCell ref="A32:A35"/>
    <mergeCell ref="B32:B35"/>
    <mergeCell ref="J32:J35"/>
    <mergeCell ref="A22:A24"/>
  </mergeCells>
  <pageMargins left="0.70866141732283472" right="0.70866141732283472" top="0.74803149606299213" bottom="0.74803149606299213" header="0.31496062992125984" footer="0.31496062992125984"/>
  <pageSetup scale="42" orientation="landscape" r:id="rId1"/>
  <rowBreaks count="1" manualBreakCount="1">
    <brk id="42" max="13" man="1"/>
  </rowBreaks>
  <drawing r:id="rId2"/>
  <legacyDrawingHF r:id="rId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4">
    <tabColor theme="1"/>
  </sheetPr>
  <dimension ref="A1:G49"/>
  <sheetViews>
    <sheetView topLeftCell="A4"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RESUMEN!G48</f>
        <v>Proyecto: Elaborar los diseños de dos cimentaciones especiales para postes, en la LT San José - Concordia - Veraguas a 115kV.</v>
      </c>
      <c r="C5" s="1281"/>
      <c r="D5" s="1281"/>
      <c r="E5" s="1281"/>
      <c r="F5" s="1281"/>
      <c r="G5" s="1282"/>
    </row>
    <row r="6" spans="1:7" x14ac:dyDescent="0.25">
      <c r="A6" s="1177"/>
      <c r="B6" s="1177"/>
      <c r="C6" s="1177"/>
      <c r="D6" s="1177"/>
      <c r="E6" s="1177"/>
      <c r="F6" s="1177"/>
      <c r="G6" s="1177"/>
    </row>
    <row r="7" spans="1:7" x14ac:dyDescent="0.25">
      <c r="A7" s="271" t="s">
        <v>0</v>
      </c>
      <c r="B7" s="1264" t="str">
        <f>RESUMEN!B48</f>
        <v>D00249527</v>
      </c>
      <c r="C7" s="1265"/>
      <c r="D7" s="1177"/>
      <c r="E7" s="1266" t="s">
        <v>627</v>
      </c>
      <c r="F7" s="1267"/>
      <c r="G7" s="280" t="str">
        <f>RESUMEN!E48</f>
        <v>17-238</v>
      </c>
    </row>
    <row r="8" spans="1:7" x14ac:dyDescent="0.25">
      <c r="A8" s="271" t="s">
        <v>628</v>
      </c>
      <c r="B8" s="1264" t="str">
        <f>RESUMEN!C48</f>
        <v>D00249527000</v>
      </c>
      <c r="C8" s="1265"/>
      <c r="D8" s="1177"/>
      <c r="E8" s="1266" t="s">
        <v>629</v>
      </c>
      <c r="F8" s="1267"/>
      <c r="G8" s="280" t="str">
        <f>RESUMEN!U48</f>
        <v>Acta N° 2: Marzo</v>
      </c>
    </row>
    <row r="9" spans="1:7" x14ac:dyDescent="0.25">
      <c r="A9" s="271" t="s">
        <v>630</v>
      </c>
      <c r="B9" s="1283" t="s">
        <v>631</v>
      </c>
      <c r="C9" s="1265"/>
      <c r="D9" s="1177"/>
      <c r="E9" s="1266" t="s">
        <v>632</v>
      </c>
      <c r="F9" s="1267"/>
      <c r="G9" s="1178">
        <f>RESUMEN!H48</f>
        <v>3482194</v>
      </c>
    </row>
    <row r="10" spans="1:7" x14ac:dyDescent="0.25">
      <c r="A10" s="271" t="s">
        <v>633</v>
      </c>
      <c r="B10" s="1283" t="str">
        <f>RESUMEN!D48</f>
        <v xml:space="preserve"> LT SJ CN CIM ESP</v>
      </c>
      <c r="C10" s="1265"/>
      <c r="D10" s="1177"/>
      <c r="E10" s="1266" t="s">
        <v>634</v>
      </c>
      <c r="F10" s="1267"/>
      <c r="G10" s="1178">
        <f>RESUMEN!R48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Elaborar los diseños de dos cimentaciones especiales para postes, en la LT San José - Concordia - Veraguas a 115kV.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RESUMEN!N48</f>
        <v>0</v>
      </c>
      <c r="F19" s="1248"/>
      <c r="G19" s="1177"/>
    </row>
    <row r="20" spans="1:7" ht="27" customHeight="1" x14ac:dyDescent="0.25">
      <c r="A20" s="1177"/>
      <c r="B20" s="1244" t="s">
        <v>1498</v>
      </c>
      <c r="C20" s="1245"/>
      <c r="D20" s="1246"/>
      <c r="E20" s="1247">
        <f>RESUMEN!P48</f>
        <v>0</v>
      </c>
      <c r="F20" s="1248"/>
      <c r="G20" s="1177"/>
    </row>
    <row r="21" spans="1:7" ht="27" customHeight="1" x14ac:dyDescent="0.25">
      <c r="A21" s="1177"/>
      <c r="B21" s="1244" t="s">
        <v>1499</v>
      </c>
      <c r="C21" s="1245"/>
      <c r="D21" s="1246"/>
      <c r="E21" s="1247">
        <f>RESUMEN!Q48</f>
        <v>0</v>
      </c>
      <c r="F21" s="1248"/>
      <c r="G21" s="1177"/>
    </row>
    <row r="22" spans="1:7" x14ac:dyDescent="0.25">
      <c r="A22" s="1177"/>
      <c r="B22" s="1254" t="s">
        <v>64</v>
      </c>
      <c r="C22" s="1254"/>
      <c r="D22" s="1254"/>
      <c r="E22" s="1255">
        <f>RESUMEN!R48</f>
        <v>0</v>
      </c>
      <c r="F22" s="1255"/>
      <c r="G22" s="1177"/>
    </row>
    <row r="23" spans="1:7" x14ac:dyDescent="0.25">
      <c r="A23" s="1177"/>
      <c r="B23" s="1256" t="s">
        <v>66</v>
      </c>
      <c r="C23" s="1256"/>
      <c r="D23" s="1256"/>
      <c r="E23" s="1257">
        <f>RESUMEN!S48</f>
        <v>0</v>
      </c>
      <c r="F23" s="1257"/>
      <c r="G23" s="1177"/>
    </row>
    <row r="24" spans="1:7" x14ac:dyDescent="0.25">
      <c r="A24" s="1177"/>
      <c r="B24" s="1258" t="s">
        <v>1</v>
      </c>
      <c r="C24" s="1258"/>
      <c r="D24" s="1258"/>
      <c r="E24" s="1259">
        <f>RESUMEN!T48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+'OT17-238 LT SJ CN CIM ESP'!N26</f>
        <v>ACTA 1</v>
      </c>
      <c r="C28" s="1253">
        <f>+'OT17-238 LT SJ CN CIM ESP'!O26</f>
        <v>1767213</v>
      </c>
      <c r="D28" s="1253"/>
      <c r="E28" s="267">
        <f>+'OT17-238 LT SJ CN CIM ESP'!P26</f>
        <v>0.50749986933525248</v>
      </c>
      <c r="F28" s="1177"/>
      <c r="G28" s="1177"/>
    </row>
    <row r="29" spans="1:7" x14ac:dyDescent="0.25">
      <c r="A29" s="1177"/>
      <c r="B29" s="280" t="str">
        <f>+'OT17-238 LT SJ CN CIM ESP'!N27</f>
        <v>ACTA 2</v>
      </c>
      <c r="C29" s="1253">
        <f>+'OT17-238 LT SJ CN CIM ESP'!O27</f>
        <v>0</v>
      </c>
      <c r="D29" s="1253"/>
      <c r="E29" s="267">
        <f>+'OT17-238 LT SJ CN CIM ESP'!P27</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1767213</v>
      </c>
      <c r="D34" s="1251"/>
      <c r="E34" s="264">
        <f>SUM(E28:E33)</f>
        <v>0.50749986933525248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4">
    <tabColor rgb="FF7B2307"/>
    <pageSetUpPr fitToPage="1"/>
  </sheetPr>
  <dimension ref="A1:V34"/>
  <sheetViews>
    <sheetView topLeftCell="G10" zoomScale="70" zoomScaleNormal="70" workbookViewId="0">
      <selection activeCell="P20" sqref="P20"/>
    </sheetView>
  </sheetViews>
  <sheetFormatPr baseColWidth="10" defaultColWidth="11.44140625" defaultRowHeight="14.4" x14ac:dyDescent="0.3"/>
  <cols>
    <col min="1" max="1" width="17.33203125" style="189" customWidth="1"/>
    <col min="2" max="2" width="22.88671875" style="189" customWidth="1"/>
    <col min="3" max="3" width="37.6640625" style="189" customWidth="1"/>
    <col min="4" max="4" width="23.6640625" style="189" customWidth="1"/>
    <col min="5" max="5" width="20.6640625" style="189" customWidth="1"/>
    <col min="6" max="6" width="17.88671875" style="189" customWidth="1"/>
    <col min="7" max="7" width="17.88671875" style="852" customWidth="1"/>
    <col min="8" max="8" width="16.33203125" style="189" bestFit="1" customWidth="1"/>
    <col min="9" max="9" width="16.33203125" style="852" customWidth="1"/>
    <col min="10" max="10" width="41" style="189" customWidth="1"/>
    <col min="11" max="11" width="17.88671875" style="189" bestFit="1" customWidth="1"/>
    <col min="12" max="12" width="18" style="189" bestFit="1" customWidth="1"/>
    <col min="13" max="13" width="11.44140625" style="189"/>
    <col min="14" max="14" width="17.88671875" style="852" bestFit="1" customWidth="1"/>
    <col min="15" max="15" width="18" style="852" bestFit="1" customWidth="1"/>
    <col min="16" max="16" width="11.44140625" style="852"/>
    <col min="17" max="17" width="17.88671875" style="189" bestFit="1" customWidth="1"/>
    <col min="18" max="18" width="16.33203125" style="189" customWidth="1"/>
    <col min="19" max="16384" width="11.44140625" style="189"/>
  </cols>
  <sheetData>
    <row r="1" spans="1:19" s="302" customFormat="1" ht="52.5" customHeight="1" thickBot="1" x14ac:dyDescent="0.35">
      <c r="A1" s="169"/>
      <c r="B1" s="188"/>
      <c r="C1" s="1307" t="s">
        <v>40</v>
      </c>
      <c r="D1" s="1308"/>
      <c r="E1" s="1308"/>
      <c r="F1" s="1308"/>
      <c r="G1" s="1308"/>
      <c r="H1" s="1308"/>
      <c r="I1" s="1308"/>
      <c r="J1" s="1308"/>
      <c r="K1" s="1308"/>
      <c r="L1" s="1308"/>
      <c r="M1" s="1308"/>
      <c r="N1" s="846"/>
      <c r="O1" s="846"/>
      <c r="P1" s="846"/>
      <c r="Q1" s="1328" t="s">
        <v>1710</v>
      </c>
      <c r="R1" s="1303"/>
      <c r="S1" s="1304"/>
    </row>
    <row r="2" spans="1:19" s="302" customFormat="1"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ht="12.75" customHeight="1" x14ac:dyDescent="0.3">
      <c r="A7" s="1291" t="s">
        <v>1709</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1059</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80"/>
      <c r="B11" s="1318"/>
      <c r="C11" s="1320"/>
      <c r="D11" s="1320"/>
      <c r="E11" s="1320"/>
      <c r="F11" s="1320"/>
      <c r="G11" s="1320"/>
      <c r="H11" s="1320"/>
      <c r="I11" s="1320"/>
      <c r="J11" s="1320"/>
      <c r="K11" s="1293" t="s">
        <v>1980</v>
      </c>
      <c r="L11" s="1294"/>
      <c r="M11" s="1295"/>
      <c r="N11" s="1293" t="s">
        <v>2324</v>
      </c>
      <c r="O11" s="1294"/>
      <c r="P11" s="1295"/>
      <c r="Q11" s="1299" t="s">
        <v>49</v>
      </c>
      <c r="R11" s="1299"/>
      <c r="S11" s="1299"/>
    </row>
    <row r="12" spans="1:19" s="302" customFormat="1" ht="13.5" customHeight="1" x14ac:dyDescent="0.3">
      <c r="A12" s="171"/>
      <c r="B12" s="1318"/>
      <c r="C12" s="1319"/>
      <c r="D12" s="1319"/>
      <c r="E12" s="1319"/>
      <c r="F12" s="1319"/>
      <c r="G12" s="1319"/>
      <c r="H12" s="1319"/>
      <c r="I12" s="1319"/>
      <c r="J12" s="1319"/>
      <c r="K12" s="1325"/>
      <c r="L12" s="1326"/>
      <c r="M12" s="1327"/>
      <c r="N12" s="1325"/>
      <c r="O12" s="1326"/>
      <c r="P12" s="1327"/>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174" t="s">
        <v>54</v>
      </c>
      <c r="R13" s="172" t="s">
        <v>56</v>
      </c>
      <c r="S13" s="28" t="s">
        <v>58</v>
      </c>
    </row>
    <row r="14" spans="1:19" ht="30" customHeight="1" x14ac:dyDescent="0.3">
      <c r="A14" s="1314" t="s">
        <v>339</v>
      </c>
      <c r="B14" s="1315" t="s">
        <v>255</v>
      </c>
      <c r="C14" s="381" t="s">
        <v>256</v>
      </c>
      <c r="D14" s="381" t="s">
        <v>257</v>
      </c>
      <c r="E14" s="191">
        <v>2</v>
      </c>
      <c r="F14" s="192">
        <v>1741097</v>
      </c>
      <c r="G14" s="32">
        <f>+ROUND(F14*1.051,0)</f>
        <v>1829893</v>
      </c>
      <c r="H14" s="192">
        <f>ROUND((E14*F14),0)</f>
        <v>3482194</v>
      </c>
      <c r="I14" s="32">
        <f>+ROUND(G14*E14,0)</f>
        <v>3659786</v>
      </c>
      <c r="J14" s="1481" t="s">
        <v>1058</v>
      </c>
      <c r="K14" s="761">
        <v>1</v>
      </c>
      <c r="L14" s="762">
        <f>ROUND(K14*$F$14,0)</f>
        <v>1741097</v>
      </c>
      <c r="M14" s="763">
        <f>L14/$H$14</f>
        <v>0.5</v>
      </c>
      <c r="N14" s="758">
        <v>0</v>
      </c>
      <c r="O14" s="759">
        <f>ROUND(N14*$G$14,0)</f>
        <v>0</v>
      </c>
      <c r="P14" s="760">
        <f>O14/$H$14</f>
        <v>0</v>
      </c>
      <c r="Q14" s="149">
        <f>K14+N14</f>
        <v>1</v>
      </c>
      <c r="R14" s="175">
        <f>L14+O14</f>
        <v>1741097</v>
      </c>
      <c r="S14" s="176">
        <f>R14/H14</f>
        <v>0.5</v>
      </c>
    </row>
    <row r="15" spans="1:19" ht="15" customHeight="1" x14ac:dyDescent="0.3">
      <c r="A15" s="1314"/>
      <c r="B15" s="1314"/>
      <c r="C15" s="196"/>
      <c r="D15" s="196" t="s">
        <v>116</v>
      </c>
      <c r="E15" s="198"/>
      <c r="F15" s="198"/>
      <c r="G15" s="198"/>
      <c r="H15" s="199">
        <f>H14</f>
        <v>3482194</v>
      </c>
      <c r="I15" s="867">
        <f>SUM(I14)</f>
        <v>3659786</v>
      </c>
      <c r="J15" s="1482"/>
      <c r="K15" s="306"/>
      <c r="L15" s="307">
        <f>SUM(L14)</f>
        <v>1741097</v>
      </c>
      <c r="M15" s="308">
        <f>L15/H15</f>
        <v>0.5</v>
      </c>
      <c r="N15" s="428"/>
      <c r="O15" s="307">
        <f>SUM(O14)</f>
        <v>0</v>
      </c>
      <c r="P15" s="431">
        <f>O15/I15</f>
        <v>0</v>
      </c>
      <c r="Q15" s="306"/>
      <c r="R15" s="307">
        <f>L15</f>
        <v>1741097</v>
      </c>
      <c r="S15" s="308">
        <f>R15/H15</f>
        <v>0.5</v>
      </c>
    </row>
    <row r="16" spans="1:19" x14ac:dyDescent="0.3">
      <c r="F16" s="151" t="s">
        <v>64</v>
      </c>
      <c r="G16" s="151"/>
      <c r="H16" s="181">
        <f>SUM(H14:H15)/2</f>
        <v>3482194</v>
      </c>
      <c r="I16" s="181">
        <f>SUM(I14:I15)/2</f>
        <v>3659786</v>
      </c>
      <c r="K16" s="480" t="s">
        <v>64</v>
      </c>
      <c r="L16" s="481">
        <f>SUM(L14:L15)/2</f>
        <v>1741097</v>
      </c>
      <c r="N16" s="480" t="s">
        <v>64</v>
      </c>
      <c r="O16" s="481">
        <f>SUM(O14:O15)/2</f>
        <v>0</v>
      </c>
      <c r="Q16" s="480" t="s">
        <v>64</v>
      </c>
      <c r="R16" s="481">
        <f>SUM(R14:R15)/2</f>
        <v>1741097</v>
      </c>
    </row>
    <row r="17" spans="1:22" x14ac:dyDescent="0.3">
      <c r="F17" s="153" t="s">
        <v>65</v>
      </c>
      <c r="G17" s="816"/>
      <c r="H17" s="182">
        <v>0</v>
      </c>
      <c r="I17" s="182">
        <v>0</v>
      </c>
      <c r="K17" s="482" t="s">
        <v>65</v>
      </c>
      <c r="L17" s="483">
        <v>0</v>
      </c>
      <c r="N17" s="482" t="s">
        <v>65</v>
      </c>
      <c r="O17" s="483">
        <v>0</v>
      </c>
      <c r="Q17" s="482" t="s">
        <v>65</v>
      </c>
      <c r="R17" s="483">
        <v>0</v>
      </c>
    </row>
    <row r="18" spans="1:22" x14ac:dyDescent="0.3">
      <c r="F18" s="152" t="s">
        <v>64</v>
      </c>
      <c r="G18" s="817"/>
      <c r="H18" s="182">
        <f>+H16+H17</f>
        <v>3482194</v>
      </c>
      <c r="I18" s="182">
        <f>+I16+I17</f>
        <v>3659786</v>
      </c>
      <c r="K18" s="484" t="s">
        <v>64</v>
      </c>
      <c r="L18" s="483">
        <f>+L16+L17</f>
        <v>1741097</v>
      </c>
      <c r="N18" s="484" t="s">
        <v>64</v>
      </c>
      <c r="O18" s="483">
        <f>+O16+O17</f>
        <v>0</v>
      </c>
      <c r="Q18" s="484" t="s">
        <v>64</v>
      </c>
      <c r="R18" s="483">
        <f>+R16+R17</f>
        <v>1741097</v>
      </c>
    </row>
    <row r="19" spans="1:22" ht="26.4" x14ac:dyDescent="0.3">
      <c r="F19" s="152"/>
      <c r="G19" s="817"/>
      <c r="H19" s="182"/>
      <c r="I19" s="182"/>
      <c r="K19" s="484" t="s">
        <v>1439</v>
      </c>
      <c r="L19" s="483">
        <f>ROUND(L18*0.015,0)</f>
        <v>26116</v>
      </c>
      <c r="N19" s="484" t="s">
        <v>1439</v>
      </c>
      <c r="O19" s="483">
        <f>ROUND(O18*0.015,0)</f>
        <v>0</v>
      </c>
      <c r="Q19" s="484" t="s">
        <v>1439</v>
      </c>
      <c r="R19" s="483">
        <f>L19</f>
        <v>26116</v>
      </c>
    </row>
    <row r="20" spans="1:22" ht="26.4" x14ac:dyDescent="0.3">
      <c r="F20" s="152"/>
      <c r="G20" s="817"/>
      <c r="H20" s="182"/>
      <c r="I20" s="182"/>
      <c r="K20" s="152" t="s">
        <v>1440</v>
      </c>
      <c r="L20" s="182">
        <f>L18+L19</f>
        <v>1767213</v>
      </c>
      <c r="M20" s="131">
        <f>L20/H16</f>
        <v>0.50749986933525248</v>
      </c>
      <c r="N20" s="152" t="s">
        <v>1440</v>
      </c>
      <c r="O20" s="182">
        <f>O18+O19</f>
        <v>0</v>
      </c>
      <c r="P20" s="131">
        <f>O20/I16</f>
        <v>0</v>
      </c>
      <c r="Q20" s="152" t="s">
        <v>1440</v>
      </c>
      <c r="R20" s="182">
        <f>R18+R19</f>
        <v>1767213</v>
      </c>
      <c r="S20" s="131">
        <f>R20/H16</f>
        <v>0.50749986933525248</v>
      </c>
    </row>
    <row r="21" spans="1:22" x14ac:dyDescent="0.3">
      <c r="F21" s="154" t="s">
        <v>66</v>
      </c>
      <c r="G21" s="818"/>
      <c r="H21" s="182">
        <f>+H18*19%</f>
        <v>661616.86</v>
      </c>
      <c r="I21" s="182">
        <f>+I18*19%</f>
        <v>695359.34</v>
      </c>
      <c r="K21" s="485" t="s">
        <v>66</v>
      </c>
      <c r="L21" s="483">
        <f>ROUND(L20*0.19,0)</f>
        <v>335770</v>
      </c>
      <c r="N21" s="485" t="s">
        <v>66</v>
      </c>
      <c r="O21" s="483">
        <f>ROUND(O20*0.19,0)</f>
        <v>0</v>
      </c>
      <c r="Q21" s="485" t="s">
        <v>66</v>
      </c>
      <c r="R21" s="483">
        <f>ROUND(R20*0.19,0)</f>
        <v>335770</v>
      </c>
    </row>
    <row r="22" spans="1:22" x14ac:dyDescent="0.3">
      <c r="F22" s="155" t="s">
        <v>69</v>
      </c>
      <c r="G22" s="155"/>
      <c r="H22" s="181">
        <f>+H18+H21</f>
        <v>4143810.86</v>
      </c>
      <c r="I22" s="181">
        <f>+I18+I21</f>
        <v>4355145.34</v>
      </c>
      <c r="K22" s="545" t="s">
        <v>69</v>
      </c>
      <c r="L22" s="481">
        <f>L20+L21</f>
        <v>2102983</v>
      </c>
      <c r="N22" s="545" t="s">
        <v>69</v>
      </c>
      <c r="O22" s="481">
        <f>O20+O21</f>
        <v>0</v>
      </c>
      <c r="Q22" s="545" t="s">
        <v>69</v>
      </c>
      <c r="R22" s="481">
        <f>R20+R21</f>
        <v>2102983</v>
      </c>
    </row>
    <row r="25" spans="1:22" x14ac:dyDescent="0.3">
      <c r="A25" s="183" t="s">
        <v>67</v>
      </c>
      <c r="B25" s="184"/>
      <c r="C25" s="184"/>
      <c r="D25" s="185" t="s">
        <v>68</v>
      </c>
      <c r="K25" s="186" t="s">
        <v>70</v>
      </c>
      <c r="L25" s="187" t="s">
        <v>71</v>
      </c>
      <c r="M25" s="186" t="s">
        <v>58</v>
      </c>
      <c r="N25" s="186" t="s">
        <v>70</v>
      </c>
      <c r="O25" s="187" t="s">
        <v>71</v>
      </c>
      <c r="P25" s="186" t="s">
        <v>58</v>
      </c>
      <c r="Q25"/>
      <c r="R25"/>
      <c r="S25"/>
      <c r="T25" s="302"/>
      <c r="U25" s="302"/>
      <c r="V25" s="302"/>
    </row>
    <row r="26" spans="1:22" x14ac:dyDescent="0.3">
      <c r="A26" s="183"/>
      <c r="B26" s="184"/>
      <c r="C26" s="184"/>
      <c r="D26" s="185"/>
      <c r="K26" s="69" t="s">
        <v>72</v>
      </c>
      <c r="L26" s="70">
        <f>$L$20</f>
        <v>1767213</v>
      </c>
      <c r="M26" s="71">
        <f>$M$20</f>
        <v>0.50749986933525248</v>
      </c>
      <c r="N26" s="69" t="s">
        <v>72</v>
      </c>
      <c r="O26" s="70">
        <f>$L$20</f>
        <v>1767213</v>
      </c>
      <c r="P26" s="71">
        <f>$M$20</f>
        <v>0.50749986933525248</v>
      </c>
      <c r="Q26"/>
      <c r="R26"/>
      <c r="S26"/>
      <c r="T26" s="302"/>
      <c r="U26" s="302"/>
      <c r="V26" s="302"/>
    </row>
    <row r="27" spans="1:22" s="852" customFormat="1" x14ac:dyDescent="0.3">
      <c r="A27" s="183"/>
      <c r="B27" s="184"/>
      <c r="C27" s="184"/>
      <c r="D27" s="185"/>
      <c r="K27" s="69"/>
      <c r="L27" s="70"/>
      <c r="M27" s="71"/>
      <c r="N27" s="69" t="s">
        <v>73</v>
      </c>
      <c r="O27" s="70">
        <f>$O$20</f>
        <v>0</v>
      </c>
      <c r="P27" s="71">
        <f>$P$20</f>
        <v>0</v>
      </c>
      <c r="Q27" s="849"/>
      <c r="R27" s="849"/>
      <c r="S27" s="849"/>
      <c r="T27" s="849"/>
      <c r="U27" s="849"/>
      <c r="V27" s="849"/>
    </row>
    <row r="28" spans="1:22" x14ac:dyDescent="0.3">
      <c r="A28" s="183"/>
      <c r="B28" s="184"/>
      <c r="C28" s="184"/>
      <c r="D28" s="185"/>
      <c r="K28" s="72" t="s">
        <v>1</v>
      </c>
      <c r="L28" s="105">
        <f>SUM(L26:L26)</f>
        <v>1767213</v>
      </c>
      <c r="M28" s="73">
        <f>SUM(M26:M26)</f>
        <v>0.50749986933525248</v>
      </c>
      <c r="N28" s="72" t="s">
        <v>1</v>
      </c>
      <c r="O28" s="105">
        <f>SUM(O26:O27)</f>
        <v>1767213</v>
      </c>
      <c r="P28" s="73">
        <f>SUM(P26:P27)</f>
        <v>0.50749986933525248</v>
      </c>
      <c r="Q28"/>
      <c r="R28"/>
      <c r="S28"/>
      <c r="T28" s="302"/>
      <c r="U28" s="302"/>
      <c r="V28" s="302"/>
    </row>
    <row r="29" spans="1:22" x14ac:dyDescent="0.3">
      <c r="A29" s="183"/>
      <c r="B29" s="184"/>
      <c r="C29" s="184"/>
      <c r="D29" s="185"/>
      <c r="K29" s="72" t="s">
        <v>9</v>
      </c>
      <c r="L29" s="1285"/>
      <c r="M29" s="1286"/>
      <c r="N29" s="72" t="s">
        <v>9</v>
      </c>
      <c r="O29" s="1285"/>
      <c r="P29" s="1286"/>
      <c r="Q29"/>
      <c r="R29"/>
      <c r="S29"/>
      <c r="T29" s="302"/>
      <c r="U29" s="302"/>
      <c r="V29" s="302"/>
    </row>
    <row r="30" spans="1:22" x14ac:dyDescent="0.3">
      <c r="A30" s="183"/>
      <c r="B30" s="184"/>
      <c r="C30" s="184"/>
      <c r="D30" s="185"/>
      <c r="K30" s="156" t="s">
        <v>78</v>
      </c>
      <c r="L30" s="1285" t="s">
        <v>2005</v>
      </c>
      <c r="M30" s="1286"/>
      <c r="N30" s="156" t="s">
        <v>78</v>
      </c>
      <c r="O30" s="1285" t="s">
        <v>2005</v>
      </c>
      <c r="P30" s="1286"/>
      <c r="Q30"/>
      <c r="R30"/>
      <c r="S30"/>
      <c r="T30" s="302"/>
      <c r="U30" s="302"/>
      <c r="V30" s="302"/>
    </row>
    <row r="31" spans="1:22" x14ac:dyDescent="0.3">
      <c r="A31" s="183"/>
      <c r="B31" s="184"/>
      <c r="C31" s="184"/>
      <c r="D31" s="185"/>
      <c r="K31" s="157" t="s">
        <v>8</v>
      </c>
      <c r="L31" s="1285" t="s">
        <v>2006</v>
      </c>
      <c r="M31" s="1286"/>
      <c r="N31" s="157" t="s">
        <v>8</v>
      </c>
      <c r="O31" s="1285" t="s">
        <v>2006</v>
      </c>
      <c r="P31" s="1286"/>
      <c r="Q31"/>
      <c r="R31"/>
      <c r="S31"/>
      <c r="T31" s="302"/>
      <c r="U31" s="302"/>
      <c r="V31" s="302"/>
    </row>
    <row r="32" spans="1:22" x14ac:dyDescent="0.3">
      <c r="A32" s="183"/>
      <c r="B32" s="184"/>
      <c r="C32" s="184"/>
      <c r="D32" s="185" t="s">
        <v>75</v>
      </c>
    </row>
    <row r="33" spans="1:4" x14ac:dyDescent="0.3">
      <c r="A33" s="183" t="s">
        <v>76</v>
      </c>
      <c r="B33" s="180"/>
      <c r="C33" s="180"/>
      <c r="D33" s="185" t="s">
        <v>77</v>
      </c>
    </row>
    <row r="34" spans="1:4" ht="26.4" x14ac:dyDescent="0.3">
      <c r="A34" s="183" t="s">
        <v>79</v>
      </c>
      <c r="B34" s="180"/>
      <c r="C34" s="180"/>
      <c r="D34" s="185" t="s">
        <v>80</v>
      </c>
    </row>
  </sheetData>
  <sheetProtection formatCells="0" formatColumns="0" formatRows="0" insertColumns="0" insertRows="0" insertHyperlinks="0" deleteColumns="0" deleteRows="0" sort="0" autoFilter="0" pivotTables="0"/>
  <mergeCells count="25">
    <mergeCell ref="Q11:S12"/>
    <mergeCell ref="B12:J12"/>
    <mergeCell ref="Q1:S1"/>
    <mergeCell ref="Q2:S2"/>
    <mergeCell ref="A3:S3"/>
    <mergeCell ref="A4:S4"/>
    <mergeCell ref="A5:S5"/>
    <mergeCell ref="A6:S6"/>
    <mergeCell ref="B11:J11"/>
    <mergeCell ref="K11:M12"/>
    <mergeCell ref="C1:M2"/>
    <mergeCell ref="A7:S7"/>
    <mergeCell ref="A8:S8"/>
    <mergeCell ref="A9:S9"/>
    <mergeCell ref="A10:S10"/>
    <mergeCell ref="N11:P12"/>
    <mergeCell ref="O29:P29"/>
    <mergeCell ref="O30:P30"/>
    <mergeCell ref="O31:P31"/>
    <mergeCell ref="A14:A15"/>
    <mergeCell ref="B14:B15"/>
    <mergeCell ref="J14:J15"/>
    <mergeCell ref="L29:M29"/>
    <mergeCell ref="L30:M30"/>
    <mergeCell ref="L31:M31"/>
  </mergeCells>
  <pageMargins left="0.7" right="0.7" top="0.75" bottom="0.75" header="0.3" footer="0.3"/>
  <pageSetup scale="42" fitToHeight="0" orientation="landscape" r:id="rId1"/>
  <drawing r:id="rId2"/>
  <legacyDrawingHF r:id="rId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5">
    <tabColor theme="1"/>
  </sheetPr>
  <dimension ref="A1:G49"/>
  <sheetViews>
    <sheetView topLeftCell="A22"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RESUMEN!G49</f>
        <v>Proyecto: CDIM_CBSGSM_R0161 Normalización y Reposición SE VICTORIA</v>
      </c>
      <c r="C5" s="1281"/>
      <c r="D5" s="1281"/>
      <c r="E5" s="1281"/>
      <c r="F5" s="1281"/>
      <c r="G5" s="1282"/>
    </row>
    <row r="6" spans="1:7" x14ac:dyDescent="0.25">
      <c r="A6" s="1177"/>
      <c r="B6" s="1177"/>
      <c r="C6" s="1177"/>
      <c r="D6" s="1177"/>
      <c r="E6" s="1177"/>
      <c r="F6" s="1177"/>
      <c r="G6" s="1177"/>
    </row>
    <row r="7" spans="1:7" x14ac:dyDescent="0.25">
      <c r="A7" s="271" t="s">
        <v>0</v>
      </c>
      <c r="B7" s="1264" t="str">
        <f>RESUMEN!B49</f>
        <v>D00235038</v>
      </c>
      <c r="C7" s="1265"/>
      <c r="D7" s="1177"/>
      <c r="E7" s="1266" t="s">
        <v>627</v>
      </c>
      <c r="F7" s="1267"/>
      <c r="G7" s="280" t="str">
        <f>RESUMEN!E49</f>
        <v xml:space="preserve">17-243 </v>
      </c>
    </row>
    <row r="8" spans="1:7" x14ac:dyDescent="0.25">
      <c r="A8" s="271" t="s">
        <v>628</v>
      </c>
      <c r="B8" s="1264" t="str">
        <f>RESUMEN!C49</f>
        <v>D00235038000</v>
      </c>
      <c r="C8" s="1265"/>
      <c r="D8" s="1177"/>
      <c r="E8" s="1266" t="s">
        <v>629</v>
      </c>
      <c r="F8" s="1267"/>
      <c r="G8" s="280" t="str">
        <f>RESUMEN!U49</f>
        <v>Acta N° 4: Marzo</v>
      </c>
    </row>
    <row r="9" spans="1:7" x14ac:dyDescent="0.25">
      <c r="A9" s="271" t="s">
        <v>630</v>
      </c>
      <c r="B9" s="1283" t="s">
        <v>631</v>
      </c>
      <c r="C9" s="1265"/>
      <c r="D9" s="1177"/>
      <c r="E9" s="1266" t="s">
        <v>632</v>
      </c>
      <c r="F9" s="1267"/>
      <c r="G9" s="1178">
        <f>RESUMEN!H49</f>
        <v>99771471</v>
      </c>
    </row>
    <row r="10" spans="1:7" x14ac:dyDescent="0.25">
      <c r="A10" s="271" t="s">
        <v>633</v>
      </c>
      <c r="B10" s="1283" t="str">
        <f>RESUMEN!D49</f>
        <v>VICTORIA 34,5 kV</v>
      </c>
      <c r="C10" s="1265"/>
      <c r="D10" s="1177"/>
      <c r="E10" s="1266" t="s">
        <v>634</v>
      </c>
      <c r="F10" s="1267"/>
      <c r="G10" s="1178">
        <f>RESUMEN!R49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RESUMEN!V49,"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",RESUMEN!G49)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RESUMEN!N49</f>
        <v>0</v>
      </c>
      <c r="F19" s="1248"/>
      <c r="G19" s="1177"/>
    </row>
    <row r="20" spans="1:7" ht="27" customHeight="1" x14ac:dyDescent="0.25">
      <c r="A20" s="1177"/>
      <c r="B20" s="1244" t="s">
        <v>1498</v>
      </c>
      <c r="C20" s="1245"/>
      <c r="D20" s="1246"/>
      <c r="E20" s="1247">
        <f>RESUMEN!P49</f>
        <v>0</v>
      </c>
      <c r="F20" s="1248"/>
      <c r="G20" s="1177"/>
    </row>
    <row r="21" spans="1:7" ht="27" customHeight="1" x14ac:dyDescent="0.25">
      <c r="A21" s="1177"/>
      <c r="B21" s="1244" t="s">
        <v>1499</v>
      </c>
      <c r="C21" s="1245"/>
      <c r="D21" s="1246"/>
      <c r="E21" s="1247">
        <f>RESUMEN!Q49</f>
        <v>0</v>
      </c>
      <c r="F21" s="1248"/>
      <c r="G21" s="1177"/>
    </row>
    <row r="22" spans="1:7" x14ac:dyDescent="0.25">
      <c r="A22" s="1177"/>
      <c r="B22" s="1254" t="s">
        <v>64</v>
      </c>
      <c r="C22" s="1254"/>
      <c r="D22" s="1254"/>
      <c r="E22" s="1255">
        <f>RESUMEN!R49</f>
        <v>0</v>
      </c>
      <c r="F22" s="1255"/>
      <c r="G22" s="1177"/>
    </row>
    <row r="23" spans="1:7" x14ac:dyDescent="0.25">
      <c r="A23" s="1177"/>
      <c r="B23" s="1256" t="s">
        <v>66</v>
      </c>
      <c r="C23" s="1256"/>
      <c r="D23" s="1256"/>
      <c r="E23" s="1257">
        <f>RESUMEN!S49</f>
        <v>0</v>
      </c>
      <c r="F23" s="1257"/>
      <c r="G23" s="1177"/>
    </row>
    <row r="24" spans="1:7" x14ac:dyDescent="0.25">
      <c r="A24" s="1177"/>
      <c r="B24" s="1258" t="s">
        <v>1</v>
      </c>
      <c r="C24" s="1258"/>
      <c r="D24" s="1258"/>
      <c r="E24" s="1259">
        <f>RESUMEN!T49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+'OT17-243 VICTORIA 34,5 kV'!T52</f>
        <v>ACTA 1</v>
      </c>
      <c r="C28" s="1253">
        <f>+'OT17-243 VICTORIA 34,5 kV'!U52</f>
        <v>37271139.859999999</v>
      </c>
      <c r="D28" s="1253"/>
      <c r="E28" s="267">
        <f>+'OT17-243 VICTORIA 34,5 kV'!V52</f>
        <v>0.37273771936223143</v>
      </c>
      <c r="F28" s="1177"/>
      <c r="G28" s="1177"/>
    </row>
    <row r="29" spans="1:7" x14ac:dyDescent="0.25">
      <c r="A29" s="1177"/>
      <c r="B29" s="280" t="str">
        <f>+'OT17-243 VICTORIA 34,5 kV'!T53</f>
        <v>ACTA 2</v>
      </c>
      <c r="C29" s="1253">
        <f>+'OT17-243 VICTORIA 34,5 kV'!U53</f>
        <v>20743778.350000001</v>
      </c>
      <c r="D29" s="1253"/>
      <c r="E29" s="267">
        <f>+'OT17-243 VICTORIA 34,5 kV'!V53</f>
        <v>0.20745243269129879</v>
      </c>
      <c r="F29" s="1177"/>
      <c r="G29" s="1177"/>
    </row>
    <row r="30" spans="1:7" x14ac:dyDescent="0.25">
      <c r="A30" s="1177"/>
      <c r="B30" s="280" t="str">
        <f>+'OT17-243 VICTORIA 34,5 kV'!T54</f>
        <v>ACTA 3</v>
      </c>
      <c r="C30" s="1253">
        <f>+'OT17-243 VICTORIA 34,5 kV'!U54</f>
        <v>39218176.32</v>
      </c>
      <c r="D30" s="1253"/>
      <c r="E30" s="267">
        <f>+'OT17-243 VICTORIA 34,5 kV'!V54</f>
        <v>0.39220945895328113</v>
      </c>
      <c r="F30" s="1177"/>
      <c r="G30" s="1177"/>
    </row>
    <row r="31" spans="1:7" x14ac:dyDescent="0.25">
      <c r="A31" s="1177"/>
      <c r="B31" s="280" t="str">
        <f>+'OT17-243 VICTORIA 34,5 kV'!T55</f>
        <v>ACTA 4</v>
      </c>
      <c r="C31" s="1253">
        <f>+'OT17-243 VICTORIA 34,5 kV'!U55</f>
        <v>0</v>
      </c>
      <c r="D31" s="1253"/>
      <c r="E31" s="267">
        <f>+'OT17-243 VICTORIA 34,5 kV'!V55</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97233094.530000001</v>
      </c>
      <c r="D34" s="1251"/>
      <c r="E34" s="264">
        <f>SUM(E28:E33)</f>
        <v>0.97239961100681138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RESUMEN!V49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6"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3">
    <tabColor rgb="FF92D050"/>
  </sheetPr>
  <dimension ref="A1:AB62"/>
  <sheetViews>
    <sheetView topLeftCell="A28" zoomScale="60" zoomScaleNormal="60" workbookViewId="0">
      <selection activeCell="T11" sqref="T11:V12"/>
    </sheetView>
  </sheetViews>
  <sheetFormatPr baseColWidth="10" defaultColWidth="11.44140625" defaultRowHeight="14.4" x14ac:dyDescent="0.3"/>
  <cols>
    <col min="1" max="1" width="14.5546875" style="189" customWidth="1"/>
    <col min="2" max="2" width="23.33203125" style="189" customWidth="1"/>
    <col min="3" max="3" width="31.44140625" style="189" customWidth="1"/>
    <col min="4" max="4" width="23.44140625" style="189" customWidth="1"/>
    <col min="5" max="5" width="12.5546875" style="189" bestFit="1" customWidth="1"/>
    <col min="6" max="6" width="17.88671875" style="189" customWidth="1"/>
    <col min="7" max="7" width="17.88671875" style="852" customWidth="1"/>
    <col min="8" max="8" width="18.88671875" style="189" bestFit="1" customWidth="1"/>
    <col min="9" max="9" width="18.88671875" style="852" customWidth="1"/>
    <col min="10" max="10" width="44" style="189" customWidth="1"/>
    <col min="11" max="11" width="17.88671875" style="189" hidden="1" customWidth="1"/>
    <col min="12" max="12" width="18" style="189" hidden="1" customWidth="1"/>
    <col min="13" max="13" width="11.44140625" style="189" hidden="1" customWidth="1"/>
    <col min="14" max="14" width="17.88671875" style="189" hidden="1" customWidth="1"/>
    <col min="15" max="15" width="18" style="189" hidden="1" customWidth="1"/>
    <col min="16" max="16" width="11.44140625" style="189" hidden="1" customWidth="1"/>
    <col min="17" max="17" width="17.88671875" style="189" bestFit="1" customWidth="1"/>
    <col min="18" max="18" width="18" style="189" bestFit="1" customWidth="1"/>
    <col min="19" max="19" width="11.44140625" style="189"/>
    <col min="20" max="20" width="17.88671875" style="852" bestFit="1" customWidth="1"/>
    <col min="21" max="21" width="18" style="852" bestFit="1" customWidth="1"/>
    <col min="22" max="22" width="11.44140625" style="852"/>
    <col min="23" max="23" width="17.88671875" style="189" bestFit="1" customWidth="1"/>
    <col min="24" max="24" width="18" style="189" bestFit="1" customWidth="1"/>
    <col min="25" max="16384" width="11.44140625" style="189"/>
  </cols>
  <sheetData>
    <row r="1" spans="1:25" s="302" customFormat="1" ht="24.7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846"/>
      <c r="U1" s="846"/>
      <c r="V1" s="846"/>
      <c r="W1" s="1328" t="s">
        <v>866</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847"/>
      <c r="U2" s="847"/>
      <c r="V2" s="847"/>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ht="13.5" customHeight="1" x14ac:dyDescent="0.3">
      <c r="A7" s="1291" t="s">
        <v>1080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1081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82"/>
      <c r="B11" s="1301"/>
      <c r="C11" s="1313"/>
      <c r="D11" s="1313"/>
      <c r="E11" s="1313"/>
      <c r="F11" s="1313"/>
      <c r="G11" s="1313"/>
      <c r="H11" s="1313"/>
      <c r="I11" s="1313"/>
      <c r="J11" s="1313"/>
      <c r="K11" s="1293" t="s">
        <v>46</v>
      </c>
      <c r="L11" s="1294"/>
      <c r="M11" s="1295"/>
      <c r="N11" s="1293" t="s">
        <v>1407</v>
      </c>
      <c r="O11" s="1294"/>
      <c r="P11" s="1295"/>
      <c r="Q11" s="1293" t="s">
        <v>1719</v>
      </c>
      <c r="R11" s="1294"/>
      <c r="S11" s="1295"/>
      <c r="T11" s="1293" t="s">
        <v>2319</v>
      </c>
      <c r="U11" s="1294"/>
      <c r="V11" s="1295"/>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28.8" x14ac:dyDescent="0.3">
      <c r="A14" s="1314" t="s">
        <v>896</v>
      </c>
      <c r="B14" s="1314" t="s">
        <v>316</v>
      </c>
      <c r="C14" s="383" t="s">
        <v>81</v>
      </c>
      <c r="D14" s="383" t="s">
        <v>317</v>
      </c>
      <c r="E14" s="191">
        <v>1</v>
      </c>
      <c r="F14" s="192">
        <v>4596496</v>
      </c>
      <c r="G14" s="32">
        <f>+ROUND(F14*1.051,0)</f>
        <v>4830917</v>
      </c>
      <c r="H14" s="192">
        <f>ROUND((E14*F14),0)</f>
        <v>4596496</v>
      </c>
      <c r="I14" s="32">
        <f>+ROUND(G14*E14,0)</f>
        <v>4830917</v>
      </c>
      <c r="J14" s="1314" t="s">
        <v>1061</v>
      </c>
      <c r="K14" s="303">
        <v>0.3</v>
      </c>
      <c r="L14" s="304">
        <f>ROUND(K14*$F$14,0)</f>
        <v>1378949</v>
      </c>
      <c r="M14" s="305">
        <f>L14/$H$14</f>
        <v>0.30000004351140519</v>
      </c>
      <c r="N14" s="432">
        <v>0</v>
      </c>
      <c r="O14" s="425">
        <f>ROUND(N14*$F$14,0)</f>
        <v>0</v>
      </c>
      <c r="P14" s="426">
        <f>O14/$H$14</f>
        <v>0</v>
      </c>
      <c r="Q14" s="433">
        <v>0.7</v>
      </c>
      <c r="R14" s="429">
        <f>ROUND(Q14*$F$14,0)</f>
        <v>3217547</v>
      </c>
      <c r="S14" s="430">
        <f>R14/$H$14</f>
        <v>0.69999995648859481</v>
      </c>
      <c r="T14" s="432">
        <v>0</v>
      </c>
      <c r="U14" s="425">
        <f>ROUND(T14*H14,0)</f>
        <v>0</v>
      </c>
      <c r="V14" s="426">
        <f>U14/I14</f>
        <v>0</v>
      </c>
      <c r="W14" s="149">
        <f>K14+N14+Q14+T14</f>
        <v>1</v>
      </c>
      <c r="X14" s="175">
        <f>L14+O14+R14+U14</f>
        <v>4596496</v>
      </c>
      <c r="Y14" s="176">
        <f t="shared" ref="Y14" si="0">X14/H14</f>
        <v>1</v>
      </c>
    </row>
    <row r="15" spans="1:25" ht="28.8" x14ac:dyDescent="0.3">
      <c r="A15" s="1314"/>
      <c r="B15" s="1314"/>
      <c r="C15" s="383" t="s">
        <v>83</v>
      </c>
      <c r="D15" s="383" t="s">
        <v>318</v>
      </c>
      <c r="E15" s="191">
        <v>1</v>
      </c>
      <c r="F15" s="192">
        <v>4387564</v>
      </c>
      <c r="G15" s="32">
        <f>+ROUND(F15*1.051,0)</f>
        <v>4611330</v>
      </c>
      <c r="H15" s="192">
        <f>ROUND((E15*F15),0)</f>
        <v>4387564</v>
      </c>
      <c r="I15" s="32">
        <f>+ROUND(G15*E15,0)</f>
        <v>4611330</v>
      </c>
      <c r="J15" s="1314"/>
      <c r="K15" s="303">
        <v>0.3</v>
      </c>
      <c r="L15" s="304">
        <f>ROUND(K15*$F$15,0)</f>
        <v>1316269</v>
      </c>
      <c r="M15" s="305">
        <f>L15/$H$15</f>
        <v>0.29999995441661936</v>
      </c>
      <c r="N15" s="432">
        <v>0</v>
      </c>
      <c r="O15" s="425">
        <f>ROUND(N15*$F$15,0)</f>
        <v>0</v>
      </c>
      <c r="P15" s="426">
        <f>O15/$H$15</f>
        <v>0</v>
      </c>
      <c r="Q15" s="433">
        <v>0.7</v>
      </c>
      <c r="R15" s="429">
        <f>ROUND(Q15*$F$15,0)</f>
        <v>3071295</v>
      </c>
      <c r="S15" s="430">
        <f>R15/$H$15</f>
        <v>0.70000004558338069</v>
      </c>
      <c r="T15" s="432">
        <v>0</v>
      </c>
      <c r="U15" s="425">
        <f>ROUND(T15*H15,0)</f>
        <v>0</v>
      </c>
      <c r="V15" s="426">
        <f>U15/I15</f>
        <v>0</v>
      </c>
      <c r="W15" s="416">
        <f>K15+N15+Q15+T15</f>
        <v>1</v>
      </c>
      <c r="X15" s="175">
        <f>L15+O15+R15+U15</f>
        <v>4387564</v>
      </c>
      <c r="Y15" s="176">
        <f t="shared" ref="Y15" si="1">X15/H15</f>
        <v>1</v>
      </c>
    </row>
    <row r="16" spans="1:25" x14ac:dyDescent="0.3">
      <c r="A16" s="1314"/>
      <c r="B16" s="1314"/>
      <c r="C16" s="196"/>
      <c r="D16" s="196" t="s">
        <v>247</v>
      </c>
      <c r="E16" s="197"/>
      <c r="F16" s="198"/>
      <c r="G16" s="198"/>
      <c r="H16" s="199">
        <f>SUM(H14:H15)</f>
        <v>8984060</v>
      </c>
      <c r="I16" s="199">
        <f>SUM(I14:I15)</f>
        <v>9442247</v>
      </c>
      <c r="J16" s="1314"/>
      <c r="K16" s="308"/>
      <c r="L16" s="179">
        <f>SUM(L14:L15)</f>
        <v>2695218</v>
      </c>
      <c r="M16" s="308">
        <f>L16/$H$16</f>
        <v>0.3</v>
      </c>
      <c r="N16" s="431"/>
      <c r="O16" s="179">
        <f>SUM(O14:O15)</f>
        <v>0</v>
      </c>
      <c r="P16" s="431">
        <f>O16/$H$16</f>
        <v>0</v>
      </c>
      <c r="Q16" s="431"/>
      <c r="R16" s="179">
        <f>SUM(R14:R15)</f>
        <v>6288842</v>
      </c>
      <c r="S16" s="431">
        <f>R16/$H$16</f>
        <v>0.7</v>
      </c>
      <c r="T16" s="431"/>
      <c r="U16" s="179">
        <f>SUM(U14:U15)</f>
        <v>0</v>
      </c>
      <c r="V16" s="431">
        <f>U16/$H$16</f>
        <v>0</v>
      </c>
      <c r="W16" s="306"/>
      <c r="X16" s="307">
        <f>SUM(X14:X15)</f>
        <v>8984060</v>
      </c>
      <c r="Y16" s="308">
        <f>X16/H16</f>
        <v>1</v>
      </c>
    </row>
    <row r="17" spans="1:25" ht="28.8" x14ac:dyDescent="0.3">
      <c r="A17" s="1314" t="s">
        <v>1062</v>
      </c>
      <c r="B17" s="1314" t="s">
        <v>1063</v>
      </c>
      <c r="C17" s="383" t="s">
        <v>81</v>
      </c>
      <c r="D17" s="383" t="s">
        <v>1064</v>
      </c>
      <c r="E17" s="191">
        <v>1</v>
      </c>
      <c r="F17" s="192">
        <v>4248277</v>
      </c>
      <c r="G17" s="32">
        <f t="shared" ref="G17:G19" si="2">+ROUND(F17*1.051,0)</f>
        <v>4464939</v>
      </c>
      <c r="H17" s="192">
        <f>ROUND((E17*F17),0)</f>
        <v>4248277</v>
      </c>
      <c r="I17" s="32">
        <f t="shared" ref="I17:I19" si="3">+ROUND(G17*E17,0)</f>
        <v>4464939</v>
      </c>
      <c r="J17" s="1314" t="s">
        <v>1065</v>
      </c>
      <c r="K17" s="303">
        <v>0.3</v>
      </c>
      <c r="L17" s="304">
        <f>ROUND(K17*$F$17,0)</f>
        <v>1274483</v>
      </c>
      <c r="M17" s="305">
        <f>L17/$H$17</f>
        <v>0.29999997646104526</v>
      </c>
      <c r="N17" s="432">
        <v>0</v>
      </c>
      <c r="O17" s="425">
        <f>ROUND(N17*$F$17,0)</f>
        <v>0</v>
      </c>
      <c r="P17" s="426">
        <f>O17/$H$17</f>
        <v>0</v>
      </c>
      <c r="Q17" s="433">
        <v>0.7</v>
      </c>
      <c r="R17" s="429">
        <f>ROUND(Q17*$F$17,0)</f>
        <v>2973794</v>
      </c>
      <c r="S17" s="430">
        <f>R17/$H$17</f>
        <v>0.70000002353895474</v>
      </c>
      <c r="T17" s="432">
        <v>0</v>
      </c>
      <c r="U17" s="425">
        <f t="shared" ref="U17:U19" si="4">ROUND(T17*H17,0)</f>
        <v>0</v>
      </c>
      <c r="V17" s="426">
        <f t="shared" ref="V17:V19" si="5">U17/I17</f>
        <v>0</v>
      </c>
      <c r="W17" s="416">
        <f t="shared" ref="W17:W19" si="6">K17+N17+Q17+T17</f>
        <v>1</v>
      </c>
      <c r="X17" s="175">
        <f t="shared" ref="X17:X19" si="7">L17+O17+R17+U17</f>
        <v>4248277</v>
      </c>
      <c r="Y17" s="176">
        <f t="shared" ref="Y17:Y19" si="8">X17/H17</f>
        <v>1</v>
      </c>
    </row>
    <row r="18" spans="1:25" ht="28.8" x14ac:dyDescent="0.3">
      <c r="A18" s="1314"/>
      <c r="B18" s="1314"/>
      <c r="C18" s="383" t="s">
        <v>83</v>
      </c>
      <c r="D18" s="383" t="s">
        <v>1066</v>
      </c>
      <c r="E18" s="191">
        <v>1</v>
      </c>
      <c r="F18" s="192">
        <v>6024196</v>
      </c>
      <c r="G18" s="32">
        <f t="shared" si="2"/>
        <v>6331430</v>
      </c>
      <c r="H18" s="192">
        <f>ROUND((E18*F18),0)</f>
        <v>6024196</v>
      </c>
      <c r="I18" s="32">
        <f t="shared" si="3"/>
        <v>6331430</v>
      </c>
      <c r="J18" s="1314"/>
      <c r="K18" s="303">
        <v>0.3</v>
      </c>
      <c r="L18" s="304">
        <f>ROUND(K18*$F$18,0)</f>
        <v>1807259</v>
      </c>
      <c r="M18" s="305">
        <f>L18/$H$18</f>
        <v>0.30000003319945101</v>
      </c>
      <c r="N18" s="432">
        <v>0</v>
      </c>
      <c r="O18" s="425">
        <f>ROUND(N18*$F$18,0)</f>
        <v>0</v>
      </c>
      <c r="P18" s="426">
        <f>O18/$H$18</f>
        <v>0</v>
      </c>
      <c r="Q18" s="433">
        <v>0.7</v>
      </c>
      <c r="R18" s="429">
        <f>ROUND(Q18*$F$18,0)</f>
        <v>4216937</v>
      </c>
      <c r="S18" s="430">
        <f>R18/$H$18</f>
        <v>0.69999996680054899</v>
      </c>
      <c r="T18" s="432">
        <v>0</v>
      </c>
      <c r="U18" s="425">
        <f t="shared" si="4"/>
        <v>0</v>
      </c>
      <c r="V18" s="426">
        <f t="shared" si="5"/>
        <v>0</v>
      </c>
      <c r="W18" s="416">
        <f t="shared" si="6"/>
        <v>1</v>
      </c>
      <c r="X18" s="175">
        <f t="shared" si="7"/>
        <v>6024196</v>
      </c>
      <c r="Y18" s="176">
        <f t="shared" si="8"/>
        <v>1</v>
      </c>
    </row>
    <row r="19" spans="1:25" ht="28.8" x14ac:dyDescent="0.3">
      <c r="A19" s="1314"/>
      <c r="B19" s="1314"/>
      <c r="C19" s="383" t="s">
        <v>61</v>
      </c>
      <c r="D19" s="383" t="s">
        <v>1067</v>
      </c>
      <c r="E19" s="191">
        <v>1</v>
      </c>
      <c r="F19" s="192">
        <v>9541211</v>
      </c>
      <c r="G19" s="32">
        <f t="shared" si="2"/>
        <v>10027813</v>
      </c>
      <c r="H19" s="192">
        <f>ROUND((E19*F19),0)</f>
        <v>9541211</v>
      </c>
      <c r="I19" s="32">
        <f t="shared" si="3"/>
        <v>10027813</v>
      </c>
      <c r="J19" s="1314"/>
      <c r="K19" s="303">
        <v>1</v>
      </c>
      <c r="L19" s="304">
        <f>ROUND(K19*$F$19,0)</f>
        <v>9541211</v>
      </c>
      <c r="M19" s="305">
        <f>L19/$H$19</f>
        <v>1</v>
      </c>
      <c r="N19" s="432">
        <v>0</v>
      </c>
      <c r="O19" s="425">
        <f>ROUND(N19*$F$19,0)</f>
        <v>0</v>
      </c>
      <c r="P19" s="426">
        <f>O19/$H$19</f>
        <v>0</v>
      </c>
      <c r="Q19" s="432">
        <v>0</v>
      </c>
      <c r="R19" s="425">
        <f>ROUND(Q19*$F$19,0)</f>
        <v>0</v>
      </c>
      <c r="S19" s="426">
        <f>R19/$H$19</f>
        <v>0</v>
      </c>
      <c r="T19" s="432">
        <v>0</v>
      </c>
      <c r="U19" s="425">
        <f t="shared" si="4"/>
        <v>0</v>
      </c>
      <c r="V19" s="426">
        <f t="shared" si="5"/>
        <v>0</v>
      </c>
      <c r="W19" s="416">
        <f t="shared" si="6"/>
        <v>1</v>
      </c>
      <c r="X19" s="175">
        <f t="shared" si="7"/>
        <v>9541211</v>
      </c>
      <c r="Y19" s="176">
        <f t="shared" si="8"/>
        <v>1</v>
      </c>
    </row>
    <row r="20" spans="1:25" x14ac:dyDescent="0.3">
      <c r="A20" s="1314"/>
      <c r="B20" s="1314"/>
      <c r="C20" s="196"/>
      <c r="D20" s="196" t="s">
        <v>242</v>
      </c>
      <c r="E20" s="197"/>
      <c r="F20" s="198"/>
      <c r="G20" s="198"/>
      <c r="H20" s="199">
        <f>SUM(H17:H19)</f>
        <v>19813684</v>
      </c>
      <c r="I20" s="199">
        <f>SUM(I17:I19)</f>
        <v>20824182</v>
      </c>
      <c r="J20" s="1314"/>
      <c r="K20" s="308"/>
      <c r="L20" s="179">
        <f>SUM(L17:L19)</f>
        <v>12622953</v>
      </c>
      <c r="M20" s="308">
        <f>L20/$H$20</f>
        <v>0.63708258393542561</v>
      </c>
      <c r="N20" s="431"/>
      <c r="O20" s="179">
        <f>SUM(O17:O19)</f>
        <v>0</v>
      </c>
      <c r="P20" s="431">
        <f>O20/$H$20</f>
        <v>0</v>
      </c>
      <c r="Q20" s="431"/>
      <c r="R20" s="179">
        <f>SUM(R17:R19)</f>
        <v>7190731</v>
      </c>
      <c r="S20" s="431">
        <f>R20/$H$20</f>
        <v>0.36291741606457434</v>
      </c>
      <c r="T20" s="431"/>
      <c r="U20" s="179">
        <f>SUM(U17:U19)</f>
        <v>0</v>
      </c>
      <c r="V20" s="431">
        <f>U20/$H$20</f>
        <v>0</v>
      </c>
      <c r="W20" s="306"/>
      <c r="X20" s="307">
        <f>SUM(X17:X19)</f>
        <v>19813684</v>
      </c>
      <c r="Y20" s="308">
        <f>X20/H20</f>
        <v>1</v>
      </c>
    </row>
    <row r="21" spans="1:25" ht="28.8" x14ac:dyDescent="0.3">
      <c r="A21" s="1314" t="s">
        <v>1068</v>
      </c>
      <c r="B21" s="1314" t="s">
        <v>1063</v>
      </c>
      <c r="C21" s="383" t="s">
        <v>81</v>
      </c>
      <c r="D21" s="383" t="s">
        <v>1064</v>
      </c>
      <c r="E21" s="358">
        <v>0.51</v>
      </c>
      <c r="F21" s="192">
        <v>4248277</v>
      </c>
      <c r="G21" s="32">
        <f t="shared" ref="G21:G23" si="9">+ROUND(F21*1.051,0)</f>
        <v>4464939</v>
      </c>
      <c r="H21" s="192">
        <f>ROUND((E21*F21),0)</f>
        <v>2166621</v>
      </c>
      <c r="I21" s="32">
        <f t="shared" ref="I21:I23" si="10">+ROUND(G21*E21,0)</f>
        <v>2277119</v>
      </c>
      <c r="J21" s="1315" t="s">
        <v>1069</v>
      </c>
      <c r="K21" s="303">
        <v>0.3</v>
      </c>
      <c r="L21" s="304">
        <f>ROUND(K21*$F$21,0)</f>
        <v>1274483</v>
      </c>
      <c r="M21" s="305">
        <f>L21/$H$21</f>
        <v>0.58823532126754052</v>
      </c>
      <c r="N21" s="432">
        <v>0</v>
      </c>
      <c r="O21" s="425">
        <f>ROUND(N21*$F$21,0)</f>
        <v>0</v>
      </c>
      <c r="P21" s="426">
        <f>O21/$H$21</f>
        <v>0</v>
      </c>
      <c r="Q21" s="433">
        <v>0.21</v>
      </c>
      <c r="R21" s="429">
        <f>ROUND(Q21*$F$21,0)</f>
        <v>892138</v>
      </c>
      <c r="S21" s="430">
        <f>R21/$H$21</f>
        <v>0.41176467873245942</v>
      </c>
      <c r="T21" s="432">
        <v>0</v>
      </c>
      <c r="U21" s="425">
        <f t="shared" ref="U21:U23" si="11">ROUND(T21*H21,0)</f>
        <v>0</v>
      </c>
      <c r="V21" s="426">
        <f t="shared" ref="V21:V23" si="12">U21/I21</f>
        <v>0</v>
      </c>
      <c r="W21" s="416">
        <f t="shared" ref="W21:W23" si="13">K21+N21+Q21+T21</f>
        <v>0.51</v>
      </c>
      <c r="X21" s="175">
        <f t="shared" ref="X21:X23" si="14">L21+O21+R21+U21</f>
        <v>2166621</v>
      </c>
      <c r="Y21" s="176">
        <f t="shared" ref="Y21:Y23" si="15">X21/H21</f>
        <v>1</v>
      </c>
    </row>
    <row r="22" spans="1:25" ht="28.8" x14ac:dyDescent="0.3">
      <c r="A22" s="1314"/>
      <c r="B22" s="1314"/>
      <c r="C22" s="383" t="s">
        <v>83</v>
      </c>
      <c r="D22" s="383" t="s">
        <v>1066</v>
      </c>
      <c r="E22" s="358">
        <v>0.51</v>
      </c>
      <c r="F22" s="192">
        <v>6024196</v>
      </c>
      <c r="G22" s="32">
        <f t="shared" si="9"/>
        <v>6331430</v>
      </c>
      <c r="H22" s="192">
        <f>ROUND((E22*F22),0)</f>
        <v>3072340</v>
      </c>
      <c r="I22" s="32">
        <f t="shared" si="10"/>
        <v>3229029</v>
      </c>
      <c r="J22" s="1314"/>
      <c r="K22" s="303">
        <v>0.3</v>
      </c>
      <c r="L22" s="304">
        <f>ROUND(K22*$F$22,0)</f>
        <v>1807259</v>
      </c>
      <c r="M22" s="305">
        <f>L22/$H$22</f>
        <v>0.58823535155614293</v>
      </c>
      <c r="N22" s="432">
        <v>0</v>
      </c>
      <c r="O22" s="425">
        <f>ROUND(N22*$F$22,0)</f>
        <v>0</v>
      </c>
      <c r="P22" s="426">
        <f>O22/$H$22</f>
        <v>0</v>
      </c>
      <c r="Q22" s="433">
        <v>0.21</v>
      </c>
      <c r="R22" s="429">
        <f>ROUND(Q22*$F$22,0)</f>
        <v>1265081</v>
      </c>
      <c r="S22" s="430">
        <f>R22/$H$22</f>
        <v>0.41176464844385713</v>
      </c>
      <c r="T22" s="432">
        <v>0</v>
      </c>
      <c r="U22" s="425">
        <f t="shared" si="11"/>
        <v>0</v>
      </c>
      <c r="V22" s="426">
        <f t="shared" si="12"/>
        <v>0</v>
      </c>
      <c r="W22" s="416">
        <f t="shared" si="13"/>
        <v>0.51</v>
      </c>
      <c r="X22" s="175">
        <f t="shared" si="14"/>
        <v>3072340</v>
      </c>
      <c r="Y22" s="176">
        <f t="shared" si="15"/>
        <v>1</v>
      </c>
    </row>
    <row r="23" spans="1:25" ht="28.8" x14ac:dyDescent="0.3">
      <c r="A23" s="1314"/>
      <c r="B23" s="1314"/>
      <c r="C23" s="383" t="s">
        <v>61</v>
      </c>
      <c r="D23" s="383" t="s">
        <v>1067</v>
      </c>
      <c r="E23" s="358">
        <v>0.51</v>
      </c>
      <c r="F23" s="192">
        <v>9541211</v>
      </c>
      <c r="G23" s="32">
        <f t="shared" si="9"/>
        <v>10027813</v>
      </c>
      <c r="H23" s="192">
        <f>ROUND((E23*F23),0)</f>
        <v>4866018</v>
      </c>
      <c r="I23" s="32">
        <f t="shared" si="10"/>
        <v>5114185</v>
      </c>
      <c r="J23" s="1314"/>
      <c r="K23" s="303">
        <v>0.51</v>
      </c>
      <c r="L23" s="304">
        <f>ROUND(K23*$F$23,0)</f>
        <v>4866018</v>
      </c>
      <c r="M23" s="305">
        <f>L23/$H$23</f>
        <v>1</v>
      </c>
      <c r="N23" s="432">
        <v>0</v>
      </c>
      <c r="O23" s="425">
        <f>ROUND(N23*$F$23,0)</f>
        <v>0</v>
      </c>
      <c r="P23" s="426">
        <f>O23/$H$23</f>
        <v>0</v>
      </c>
      <c r="Q23" s="432">
        <v>0</v>
      </c>
      <c r="R23" s="425">
        <f>ROUND(Q23*$F$23,0)</f>
        <v>0</v>
      </c>
      <c r="S23" s="426">
        <f>R23/$H$23</f>
        <v>0</v>
      </c>
      <c r="T23" s="432">
        <v>0</v>
      </c>
      <c r="U23" s="425">
        <f t="shared" si="11"/>
        <v>0</v>
      </c>
      <c r="V23" s="426">
        <f t="shared" si="12"/>
        <v>0</v>
      </c>
      <c r="W23" s="416">
        <f t="shared" si="13"/>
        <v>0.51</v>
      </c>
      <c r="X23" s="175">
        <f t="shared" si="14"/>
        <v>4866018</v>
      </c>
      <c r="Y23" s="176">
        <f t="shared" si="15"/>
        <v>1</v>
      </c>
    </row>
    <row r="24" spans="1:25" x14ac:dyDescent="0.3">
      <c r="A24" s="1314"/>
      <c r="B24" s="1314"/>
      <c r="C24" s="196"/>
      <c r="D24" s="196" t="s">
        <v>242</v>
      </c>
      <c r="E24" s="197"/>
      <c r="F24" s="198"/>
      <c r="G24" s="198"/>
      <c r="H24" s="199">
        <f>SUM(H21:H23)</f>
        <v>10104979</v>
      </c>
      <c r="I24" s="199">
        <f>SUM(I21:I23)</f>
        <v>10620333</v>
      </c>
      <c r="J24" s="1314"/>
      <c r="K24" s="308"/>
      <c r="L24" s="179">
        <f>SUM(L21:L23)</f>
        <v>7947760</v>
      </c>
      <c r="M24" s="308">
        <f>L24/$H$24</f>
        <v>0.7865192000893817</v>
      </c>
      <c r="N24" s="431"/>
      <c r="O24" s="179">
        <f>SUM(O21:O23)</f>
        <v>0</v>
      </c>
      <c r="P24" s="431">
        <f>O24/$H$24</f>
        <v>0</v>
      </c>
      <c r="Q24" s="431"/>
      <c r="R24" s="179">
        <f>SUM(R21:R23)</f>
        <v>2157219</v>
      </c>
      <c r="S24" s="431">
        <f>R24/$H$24</f>
        <v>0.21348079991061833</v>
      </c>
      <c r="T24" s="431"/>
      <c r="U24" s="179">
        <f>SUM(U21:U23)</f>
        <v>0</v>
      </c>
      <c r="V24" s="431">
        <f>U24/$H$24</f>
        <v>0</v>
      </c>
      <c r="W24" s="306"/>
      <c r="X24" s="307">
        <f>SUM(X21:X23)</f>
        <v>10104979</v>
      </c>
      <c r="Y24" s="308">
        <f>X24/H24</f>
        <v>1</v>
      </c>
    </row>
    <row r="25" spans="1:25" ht="28.8" x14ac:dyDescent="0.3">
      <c r="A25" s="1314" t="s">
        <v>200</v>
      </c>
      <c r="B25" s="1314" t="s">
        <v>415</v>
      </c>
      <c r="C25" s="383" t="s">
        <v>118</v>
      </c>
      <c r="D25" s="383" t="s">
        <v>119</v>
      </c>
      <c r="E25" s="191">
        <v>1</v>
      </c>
      <c r="F25" s="192">
        <v>7904580</v>
      </c>
      <c r="G25" s="32">
        <f t="shared" ref="G25:G27" si="16">+ROUND(F25*1.051,0)</f>
        <v>8307714</v>
      </c>
      <c r="H25" s="192">
        <f>ROUND((E25*F25),0)</f>
        <v>7904580</v>
      </c>
      <c r="I25" s="32">
        <f t="shared" ref="I25:I27" si="17">+ROUND(G25*E25,0)</f>
        <v>8307714</v>
      </c>
      <c r="J25" s="1314" t="s">
        <v>1070</v>
      </c>
      <c r="K25" s="303">
        <v>0.3</v>
      </c>
      <c r="L25" s="304">
        <f>ROUND(K25*$F$25,0)</f>
        <v>2371374</v>
      </c>
      <c r="M25" s="305">
        <f>L25/$H$25</f>
        <v>0.3</v>
      </c>
      <c r="N25" s="432">
        <v>0</v>
      </c>
      <c r="O25" s="425">
        <f>ROUND(N25*$F$25,0)</f>
        <v>0</v>
      </c>
      <c r="P25" s="426">
        <f>O25/$H$25</f>
        <v>0</v>
      </c>
      <c r="Q25" s="433">
        <v>0.7</v>
      </c>
      <c r="R25" s="429">
        <f>ROUND(Q25*$F$25,0)</f>
        <v>5533206</v>
      </c>
      <c r="S25" s="430">
        <f>R25/$H$25</f>
        <v>0.7</v>
      </c>
      <c r="T25" s="432">
        <v>0</v>
      </c>
      <c r="U25" s="425">
        <f t="shared" ref="U25:U27" si="18">ROUND(T25*H25,0)</f>
        <v>0</v>
      </c>
      <c r="V25" s="426">
        <f t="shared" ref="V25:V27" si="19">U25/I25</f>
        <v>0</v>
      </c>
      <c r="W25" s="416">
        <f t="shared" ref="W25:W27" si="20">K25+N25+Q25+T25</f>
        <v>1</v>
      </c>
      <c r="X25" s="175">
        <f t="shared" ref="X25:X27" si="21">L25+O25+R25+U25</f>
        <v>7904580</v>
      </c>
      <c r="Y25" s="176">
        <f t="shared" ref="Y25:Y27" si="22">X25/H25</f>
        <v>1</v>
      </c>
    </row>
    <row r="26" spans="1:25" ht="28.8" x14ac:dyDescent="0.3">
      <c r="A26" s="1314"/>
      <c r="B26" s="1314"/>
      <c r="C26" s="383" t="s">
        <v>83</v>
      </c>
      <c r="D26" s="383" t="s">
        <v>120</v>
      </c>
      <c r="E26" s="191">
        <v>1</v>
      </c>
      <c r="F26" s="192">
        <v>5014359</v>
      </c>
      <c r="G26" s="32">
        <f t="shared" si="16"/>
        <v>5270091</v>
      </c>
      <c r="H26" s="192">
        <f>ROUND((E26*F26),0)</f>
        <v>5014359</v>
      </c>
      <c r="I26" s="32">
        <f t="shared" si="17"/>
        <v>5270091</v>
      </c>
      <c r="J26" s="1314"/>
      <c r="K26" s="303">
        <v>0.3</v>
      </c>
      <c r="L26" s="304">
        <f>ROUND(K26*$F$26,0)</f>
        <v>1504308</v>
      </c>
      <c r="M26" s="305">
        <f>L26/$H$26</f>
        <v>0.30000005982818539</v>
      </c>
      <c r="N26" s="432">
        <v>0</v>
      </c>
      <c r="O26" s="425">
        <f>ROUND(N26*$F$26,0)</f>
        <v>0</v>
      </c>
      <c r="P26" s="426">
        <f>O26/$H$26</f>
        <v>0</v>
      </c>
      <c r="Q26" s="433">
        <v>0.7</v>
      </c>
      <c r="R26" s="429">
        <f>ROUND(Q26*$F$26,0)</f>
        <v>3510051</v>
      </c>
      <c r="S26" s="430">
        <f>R26/$H$26</f>
        <v>0.69999994017181455</v>
      </c>
      <c r="T26" s="432">
        <v>0</v>
      </c>
      <c r="U26" s="425">
        <f t="shared" si="18"/>
        <v>0</v>
      </c>
      <c r="V26" s="426">
        <f t="shared" si="19"/>
        <v>0</v>
      </c>
      <c r="W26" s="416">
        <f t="shared" si="20"/>
        <v>1</v>
      </c>
      <c r="X26" s="175">
        <f t="shared" si="21"/>
        <v>5014359</v>
      </c>
      <c r="Y26" s="176">
        <f t="shared" si="22"/>
        <v>1</v>
      </c>
    </row>
    <row r="27" spans="1:25" ht="28.8" x14ac:dyDescent="0.3">
      <c r="A27" s="1314"/>
      <c r="B27" s="1314"/>
      <c r="C27" s="383" t="s">
        <v>61</v>
      </c>
      <c r="D27" s="383" t="s">
        <v>121</v>
      </c>
      <c r="E27" s="191">
        <v>1</v>
      </c>
      <c r="F27" s="192">
        <v>4283098</v>
      </c>
      <c r="G27" s="32">
        <f t="shared" si="16"/>
        <v>4501536</v>
      </c>
      <c r="H27" s="192">
        <f>ROUND((E27*F27),0)</f>
        <v>4283098</v>
      </c>
      <c r="I27" s="32">
        <f t="shared" si="17"/>
        <v>4501536</v>
      </c>
      <c r="J27" s="1314"/>
      <c r="K27" s="303">
        <v>0.3</v>
      </c>
      <c r="L27" s="304">
        <f>ROUND(K27*$F$27,0)</f>
        <v>1284929</v>
      </c>
      <c r="M27" s="305">
        <f>L27/$H$27</f>
        <v>0.29999990660965498</v>
      </c>
      <c r="N27" s="433">
        <v>0.7</v>
      </c>
      <c r="O27" s="429">
        <f>ROUND(N27*$F$27,0)</f>
        <v>2998169</v>
      </c>
      <c r="P27" s="430">
        <f>O27/$H$27</f>
        <v>0.70000009339034508</v>
      </c>
      <c r="Q27" s="432">
        <v>0</v>
      </c>
      <c r="R27" s="425">
        <f>ROUND(Q27*$F$27,0)</f>
        <v>0</v>
      </c>
      <c r="S27" s="426">
        <f>R27/$H$27</f>
        <v>0</v>
      </c>
      <c r="T27" s="432">
        <v>0</v>
      </c>
      <c r="U27" s="425">
        <f t="shared" si="18"/>
        <v>0</v>
      </c>
      <c r="V27" s="426">
        <f t="shared" si="19"/>
        <v>0</v>
      </c>
      <c r="W27" s="416">
        <f t="shared" si="20"/>
        <v>1</v>
      </c>
      <c r="X27" s="175">
        <f t="shared" si="21"/>
        <v>4283098</v>
      </c>
      <c r="Y27" s="176">
        <f t="shared" si="22"/>
        <v>1</v>
      </c>
    </row>
    <row r="28" spans="1:25" x14ac:dyDescent="0.3">
      <c r="A28" s="1314"/>
      <c r="B28" s="1314"/>
      <c r="C28" s="196"/>
      <c r="D28" s="196" t="s">
        <v>116</v>
      </c>
      <c r="E28" s="197"/>
      <c r="F28" s="198"/>
      <c r="G28" s="198"/>
      <c r="H28" s="199">
        <f>SUM(H25:H27)</f>
        <v>17202037</v>
      </c>
      <c r="I28" s="199">
        <f>SUM(I25:I27)</f>
        <v>18079341</v>
      </c>
      <c r="J28" s="1314"/>
      <c r="K28" s="308"/>
      <c r="L28" s="179">
        <f>SUM(L25:L27)</f>
        <v>5160611</v>
      </c>
      <c r="M28" s="308">
        <f>L28/$H$28</f>
        <v>0.29999999418673495</v>
      </c>
      <c r="N28" s="431"/>
      <c r="O28" s="179">
        <f>SUM(O25:O27)</f>
        <v>2998169</v>
      </c>
      <c r="P28" s="431">
        <f>O28/$H$28</f>
        <v>0.17429150977875468</v>
      </c>
      <c r="Q28" s="431"/>
      <c r="R28" s="179">
        <f>SUM(R25:R27)</f>
        <v>9043257</v>
      </c>
      <c r="S28" s="431">
        <f>R28/$H$28</f>
        <v>0.52570849603451031</v>
      </c>
      <c r="T28" s="431"/>
      <c r="U28" s="179">
        <f>SUM(U25:U27)</f>
        <v>0</v>
      </c>
      <c r="V28" s="431">
        <f>U28/$H$28</f>
        <v>0</v>
      </c>
      <c r="W28" s="306"/>
      <c r="X28" s="307">
        <f>SUM(X25:X27)</f>
        <v>17202037</v>
      </c>
      <c r="Y28" s="308">
        <f>X28/H28</f>
        <v>1</v>
      </c>
    </row>
    <row r="29" spans="1:25" ht="28.8" x14ac:dyDescent="0.3">
      <c r="A29" s="1314" t="s">
        <v>200</v>
      </c>
      <c r="B29" s="1314" t="s">
        <v>883</v>
      </c>
      <c r="C29" s="383" t="s">
        <v>81</v>
      </c>
      <c r="D29" s="383" t="s">
        <v>230</v>
      </c>
      <c r="E29" s="191">
        <v>1</v>
      </c>
      <c r="F29" s="192">
        <v>1497343</v>
      </c>
      <c r="G29" s="32">
        <f t="shared" ref="G29:G31" si="23">+ROUND(F29*1.051,0)</f>
        <v>1573707</v>
      </c>
      <c r="H29" s="192">
        <f>ROUND((E29*F29),0)</f>
        <v>1497343</v>
      </c>
      <c r="I29" s="32">
        <f t="shared" ref="I29:I31" si="24">+ROUND(G29*E29,0)</f>
        <v>1573707</v>
      </c>
      <c r="J29" s="1314"/>
      <c r="K29" s="303">
        <v>0.3</v>
      </c>
      <c r="L29" s="304">
        <f>ROUND(K29*$F$29,0)</f>
        <v>449203</v>
      </c>
      <c r="M29" s="305">
        <f>L29/$H$29</f>
        <v>0.3000000667849651</v>
      </c>
      <c r="N29" s="432">
        <v>0</v>
      </c>
      <c r="O29" s="425">
        <f>ROUND(N29*$F$29,0)</f>
        <v>0</v>
      </c>
      <c r="P29" s="426">
        <f>O29/$H$29</f>
        <v>0</v>
      </c>
      <c r="Q29" s="433">
        <v>0.7</v>
      </c>
      <c r="R29" s="429">
        <f>ROUND(Q29*$F$29,0)</f>
        <v>1048140</v>
      </c>
      <c r="S29" s="430">
        <f>R29/$H$29</f>
        <v>0.69999993321503495</v>
      </c>
      <c r="T29" s="432">
        <v>0</v>
      </c>
      <c r="U29" s="425">
        <f t="shared" ref="U29:U31" si="25">ROUND(T29*H29,0)</f>
        <v>0</v>
      </c>
      <c r="V29" s="426">
        <f t="shared" ref="V29:V31" si="26">U29/I29</f>
        <v>0</v>
      </c>
      <c r="W29" s="416">
        <f t="shared" ref="W29:W31" si="27">K29+N29+Q29+T29</f>
        <v>1</v>
      </c>
      <c r="X29" s="175">
        <f t="shared" ref="X29:X31" si="28">L29+O29+R29+U29</f>
        <v>1497343</v>
      </c>
      <c r="Y29" s="176">
        <f t="shared" ref="Y29:Y31" si="29">X29/H29</f>
        <v>1</v>
      </c>
    </row>
    <row r="30" spans="1:25" ht="28.8" x14ac:dyDescent="0.3">
      <c r="A30" s="1314"/>
      <c r="B30" s="1314"/>
      <c r="C30" s="383" t="s">
        <v>83</v>
      </c>
      <c r="D30" s="383" t="s">
        <v>231</v>
      </c>
      <c r="E30" s="191">
        <v>1</v>
      </c>
      <c r="F30" s="192">
        <v>3133974</v>
      </c>
      <c r="G30" s="32">
        <f t="shared" si="23"/>
        <v>3293807</v>
      </c>
      <c r="H30" s="192">
        <f>ROUND((E30*F30),0)</f>
        <v>3133974</v>
      </c>
      <c r="I30" s="32">
        <f t="shared" si="24"/>
        <v>3293807</v>
      </c>
      <c r="J30" s="1314"/>
      <c r="K30" s="303">
        <v>0.3</v>
      </c>
      <c r="L30" s="304">
        <f>ROUND(K30*$F$30,0)</f>
        <v>940192</v>
      </c>
      <c r="M30" s="305">
        <f>L30/$H$30</f>
        <v>0.29999993618326126</v>
      </c>
      <c r="N30" s="432">
        <v>0</v>
      </c>
      <c r="O30" s="425">
        <f>ROUND(N30*$F$30,0)</f>
        <v>0</v>
      </c>
      <c r="P30" s="426">
        <f>O30/$H$30</f>
        <v>0</v>
      </c>
      <c r="Q30" s="433">
        <v>0.7</v>
      </c>
      <c r="R30" s="429">
        <f>ROUND(Q30*$F$30,0)</f>
        <v>2193782</v>
      </c>
      <c r="S30" s="430">
        <f>R30/$H$30</f>
        <v>0.70000006381673874</v>
      </c>
      <c r="T30" s="432">
        <v>0</v>
      </c>
      <c r="U30" s="425">
        <f t="shared" si="25"/>
        <v>0</v>
      </c>
      <c r="V30" s="426">
        <f t="shared" si="26"/>
        <v>0</v>
      </c>
      <c r="W30" s="416">
        <f t="shared" si="27"/>
        <v>1</v>
      </c>
      <c r="X30" s="175">
        <f t="shared" si="28"/>
        <v>3133974</v>
      </c>
      <c r="Y30" s="176">
        <f t="shared" si="29"/>
        <v>1</v>
      </c>
    </row>
    <row r="31" spans="1:25" ht="28.8" x14ac:dyDescent="0.3">
      <c r="A31" s="1314"/>
      <c r="B31" s="1314"/>
      <c r="C31" s="383" t="s">
        <v>61</v>
      </c>
      <c r="D31" s="383" t="s">
        <v>232</v>
      </c>
      <c r="E31" s="191">
        <v>1</v>
      </c>
      <c r="F31" s="192">
        <v>4004523</v>
      </c>
      <c r="G31" s="32">
        <f t="shared" si="23"/>
        <v>4208754</v>
      </c>
      <c r="H31" s="192">
        <f>ROUND((E31*F31),0)</f>
        <v>4004523</v>
      </c>
      <c r="I31" s="32">
        <f t="shared" si="24"/>
        <v>4208754</v>
      </c>
      <c r="J31" s="1314"/>
      <c r="K31" s="158">
        <v>0</v>
      </c>
      <c r="L31" s="194">
        <f>ROUND(K31*$F$31,0)</f>
        <v>0</v>
      </c>
      <c r="M31" s="195">
        <f>L31/$H$31</f>
        <v>0</v>
      </c>
      <c r="N31" s="433">
        <v>1</v>
      </c>
      <c r="O31" s="429">
        <f>ROUND(N31*$F$31,0)</f>
        <v>4004523</v>
      </c>
      <c r="P31" s="430">
        <f>O31/$H$31</f>
        <v>1</v>
      </c>
      <c r="Q31" s="432">
        <v>0</v>
      </c>
      <c r="R31" s="425">
        <f>ROUND(Q31*$F$31,0)</f>
        <v>0</v>
      </c>
      <c r="S31" s="426">
        <f>R31/$H$31</f>
        <v>0</v>
      </c>
      <c r="T31" s="432">
        <v>0</v>
      </c>
      <c r="U31" s="425">
        <f t="shared" si="25"/>
        <v>0</v>
      </c>
      <c r="V31" s="426">
        <f t="shared" si="26"/>
        <v>0</v>
      </c>
      <c r="W31" s="416">
        <f t="shared" si="27"/>
        <v>1</v>
      </c>
      <c r="X31" s="175">
        <f t="shared" si="28"/>
        <v>4004523</v>
      </c>
      <c r="Y31" s="176">
        <f t="shared" si="29"/>
        <v>1</v>
      </c>
    </row>
    <row r="32" spans="1:25" x14ac:dyDescent="0.3">
      <c r="A32" s="1314"/>
      <c r="B32" s="1314"/>
      <c r="C32" s="196"/>
      <c r="D32" s="196" t="s">
        <v>233</v>
      </c>
      <c r="E32" s="197"/>
      <c r="F32" s="198"/>
      <c r="G32" s="198"/>
      <c r="H32" s="199">
        <f>SUM(H29:H31)</f>
        <v>8635840</v>
      </c>
      <c r="I32" s="199">
        <f>SUM(I29:I31)</f>
        <v>9076268</v>
      </c>
      <c r="J32" s="1314"/>
      <c r="K32" s="308"/>
      <c r="L32" s="179">
        <f>SUM(L29:L31)</f>
        <v>1389395</v>
      </c>
      <c r="M32" s="308">
        <f>L32/$H$32</f>
        <v>0.16088707062659799</v>
      </c>
      <c r="N32" s="431"/>
      <c r="O32" s="179">
        <f>SUM(O29:O31)</f>
        <v>4004523</v>
      </c>
      <c r="P32" s="431">
        <f>O32/$H$32</f>
        <v>0.46370972597917515</v>
      </c>
      <c r="Q32" s="431"/>
      <c r="R32" s="179">
        <f>SUM(R29:R31)</f>
        <v>3241922</v>
      </c>
      <c r="S32" s="431">
        <f>R32/$H$32</f>
        <v>0.37540320339422684</v>
      </c>
      <c r="T32" s="431"/>
      <c r="U32" s="179">
        <f>SUM(U29:U31)</f>
        <v>0</v>
      </c>
      <c r="V32" s="431">
        <f>U32/$H$32</f>
        <v>0</v>
      </c>
      <c r="W32" s="306"/>
      <c r="X32" s="307">
        <f>SUM(X29:X31)</f>
        <v>8635840</v>
      </c>
      <c r="Y32" s="308">
        <f>X32/H32</f>
        <v>1</v>
      </c>
    </row>
    <row r="33" spans="1:25" ht="28.8" x14ac:dyDescent="0.3">
      <c r="A33" s="1314" t="s">
        <v>200</v>
      </c>
      <c r="B33" s="1314" t="s">
        <v>1063</v>
      </c>
      <c r="C33" s="383" t="s">
        <v>81</v>
      </c>
      <c r="D33" s="383" t="s">
        <v>1064</v>
      </c>
      <c r="E33" s="191">
        <v>1</v>
      </c>
      <c r="F33" s="192">
        <v>4248277</v>
      </c>
      <c r="G33" s="32">
        <f t="shared" ref="G33:G35" si="30">+ROUND(F33*1.051,0)</f>
        <v>4464939</v>
      </c>
      <c r="H33" s="192">
        <f>ROUND((E33*F33),0)</f>
        <v>4248277</v>
      </c>
      <c r="I33" s="32">
        <f t="shared" ref="I33:I35" si="31">+ROUND(G33*E33,0)</f>
        <v>4464939</v>
      </c>
      <c r="J33" s="1314" t="s">
        <v>1071</v>
      </c>
      <c r="K33" s="303">
        <v>0.3</v>
      </c>
      <c r="L33" s="304">
        <f>ROUND(K33*$F$33,0)</f>
        <v>1274483</v>
      </c>
      <c r="M33" s="305">
        <f>L33/$H$33</f>
        <v>0.29999997646104526</v>
      </c>
      <c r="N33" s="432">
        <v>0</v>
      </c>
      <c r="O33" s="425">
        <f>ROUND(N33*$F$33,0)</f>
        <v>0</v>
      </c>
      <c r="P33" s="426">
        <f>O33/$H$33</f>
        <v>0</v>
      </c>
      <c r="Q33" s="433">
        <v>0.7</v>
      </c>
      <c r="R33" s="429">
        <f>ROUND(Q33*$F$33,0)</f>
        <v>2973794</v>
      </c>
      <c r="S33" s="430">
        <f>R33/$H$33</f>
        <v>0.70000002353895474</v>
      </c>
      <c r="T33" s="432">
        <v>0</v>
      </c>
      <c r="U33" s="425">
        <f t="shared" ref="U33:U35" si="32">ROUND(T33*H33,0)</f>
        <v>0</v>
      </c>
      <c r="V33" s="426">
        <f t="shared" ref="V33:V35" si="33">U33/I33</f>
        <v>0</v>
      </c>
      <c r="W33" s="416">
        <f t="shared" ref="W33:W35" si="34">K33+N33+Q33+T33</f>
        <v>1</v>
      </c>
      <c r="X33" s="175">
        <f t="shared" ref="X33:X35" si="35">L33+O33+R33+U33</f>
        <v>4248277</v>
      </c>
      <c r="Y33" s="176">
        <f t="shared" ref="Y33:Y35" si="36">X33/H33</f>
        <v>1</v>
      </c>
    </row>
    <row r="34" spans="1:25" ht="28.8" x14ac:dyDescent="0.3">
      <c r="A34" s="1314"/>
      <c r="B34" s="1314"/>
      <c r="C34" s="383" t="s">
        <v>83</v>
      </c>
      <c r="D34" s="383" t="s">
        <v>1066</v>
      </c>
      <c r="E34" s="191">
        <v>1</v>
      </c>
      <c r="F34" s="192">
        <v>6024196</v>
      </c>
      <c r="G34" s="32">
        <f t="shared" si="30"/>
        <v>6331430</v>
      </c>
      <c r="H34" s="192">
        <f>ROUND((E34*F34),0)</f>
        <v>6024196</v>
      </c>
      <c r="I34" s="32">
        <f t="shared" si="31"/>
        <v>6331430</v>
      </c>
      <c r="J34" s="1314"/>
      <c r="K34" s="303">
        <v>0.3</v>
      </c>
      <c r="L34" s="304">
        <f>ROUND(K34*$F$34,0)</f>
        <v>1807259</v>
      </c>
      <c r="M34" s="305">
        <f>L34/$H$34</f>
        <v>0.30000003319945101</v>
      </c>
      <c r="N34" s="432">
        <v>0</v>
      </c>
      <c r="O34" s="425">
        <f>ROUND(N34*$F$34,0)</f>
        <v>0</v>
      </c>
      <c r="P34" s="426">
        <f>O34/$H$34</f>
        <v>0</v>
      </c>
      <c r="Q34" s="433">
        <v>0.7</v>
      </c>
      <c r="R34" s="429">
        <f>ROUND(Q34*$F$34,0)</f>
        <v>4216937</v>
      </c>
      <c r="S34" s="430">
        <f>R34/$H$34</f>
        <v>0.69999996680054899</v>
      </c>
      <c r="T34" s="432">
        <v>0</v>
      </c>
      <c r="U34" s="425">
        <f t="shared" si="32"/>
        <v>0</v>
      </c>
      <c r="V34" s="426">
        <f t="shared" si="33"/>
        <v>0</v>
      </c>
      <c r="W34" s="416">
        <f t="shared" si="34"/>
        <v>1</v>
      </c>
      <c r="X34" s="175">
        <f t="shared" si="35"/>
        <v>6024196</v>
      </c>
      <c r="Y34" s="176">
        <f t="shared" si="36"/>
        <v>1</v>
      </c>
    </row>
    <row r="35" spans="1:25" ht="28.8" x14ac:dyDescent="0.3">
      <c r="A35" s="1314"/>
      <c r="B35" s="1314"/>
      <c r="C35" s="383" t="s">
        <v>61</v>
      </c>
      <c r="D35" s="383" t="s">
        <v>1067</v>
      </c>
      <c r="E35" s="191">
        <v>1</v>
      </c>
      <c r="F35" s="192">
        <v>9541211</v>
      </c>
      <c r="G35" s="32">
        <f t="shared" si="30"/>
        <v>10027813</v>
      </c>
      <c r="H35" s="192">
        <f>ROUND((E35*F35),0)</f>
        <v>9541211</v>
      </c>
      <c r="I35" s="32">
        <f t="shared" si="31"/>
        <v>10027813</v>
      </c>
      <c r="J35" s="1314"/>
      <c r="K35" s="303">
        <v>0.3</v>
      </c>
      <c r="L35" s="304">
        <f>ROUND(K35*$F$35,0)</f>
        <v>2862363</v>
      </c>
      <c r="M35" s="305">
        <f>L35/$H$35</f>
        <v>0.29999996855745042</v>
      </c>
      <c r="N35" s="433">
        <v>0.7</v>
      </c>
      <c r="O35" s="429">
        <f>ROUND(N35*$F$35,0)</f>
        <v>6678848</v>
      </c>
      <c r="P35" s="430">
        <f>O35/$H$35</f>
        <v>0.70000003144254963</v>
      </c>
      <c r="Q35" s="432">
        <v>0</v>
      </c>
      <c r="R35" s="425">
        <f>ROUND(Q35*$F$35,0)</f>
        <v>0</v>
      </c>
      <c r="S35" s="426">
        <f>R35/$H$35</f>
        <v>0</v>
      </c>
      <c r="T35" s="432">
        <v>0</v>
      </c>
      <c r="U35" s="425">
        <f t="shared" si="32"/>
        <v>0</v>
      </c>
      <c r="V35" s="426">
        <f t="shared" si="33"/>
        <v>0</v>
      </c>
      <c r="W35" s="416">
        <f t="shared" si="34"/>
        <v>1</v>
      </c>
      <c r="X35" s="175">
        <f t="shared" si="35"/>
        <v>9541211</v>
      </c>
      <c r="Y35" s="176">
        <f t="shared" si="36"/>
        <v>1</v>
      </c>
    </row>
    <row r="36" spans="1:25" x14ac:dyDescent="0.3">
      <c r="A36" s="1314"/>
      <c r="B36" s="1314"/>
      <c r="C36" s="196"/>
      <c r="D36" s="196" t="s">
        <v>242</v>
      </c>
      <c r="E36" s="197"/>
      <c r="F36" s="198"/>
      <c r="G36" s="198"/>
      <c r="H36" s="199">
        <f>SUM(H33:H35)</f>
        <v>19813684</v>
      </c>
      <c r="I36" s="199">
        <f>SUM(I33:I35)</f>
        <v>20824182</v>
      </c>
      <c r="J36" s="1314"/>
      <c r="K36" s="308"/>
      <c r="L36" s="179">
        <f>SUM(L33:L35)</f>
        <v>5944105</v>
      </c>
      <c r="M36" s="308">
        <f>L36/$H$36</f>
        <v>0.29999998990596599</v>
      </c>
      <c r="N36" s="431"/>
      <c r="O36" s="179">
        <f>SUM(O33:O35)</f>
        <v>6678848</v>
      </c>
      <c r="P36" s="431">
        <f>O36/$H$36</f>
        <v>0.33708259402945961</v>
      </c>
      <c r="Q36" s="431"/>
      <c r="R36" s="179">
        <f>SUM(R33:R35)</f>
        <v>7190731</v>
      </c>
      <c r="S36" s="431">
        <f>R36/$H$36</f>
        <v>0.36291741606457434</v>
      </c>
      <c r="T36" s="431"/>
      <c r="U36" s="179">
        <f>SUM(U33:U35)</f>
        <v>0</v>
      </c>
      <c r="V36" s="431">
        <f>U36/$H$36</f>
        <v>0</v>
      </c>
      <c r="W36" s="306"/>
      <c r="X36" s="307">
        <f>SUM(X33:X35)</f>
        <v>19813684</v>
      </c>
      <c r="Y36" s="308">
        <f>X36/H36</f>
        <v>1</v>
      </c>
    </row>
    <row r="37" spans="1:25" ht="60.75" customHeight="1" x14ac:dyDescent="0.3">
      <c r="A37" s="1314" t="s">
        <v>200</v>
      </c>
      <c r="B37" s="1314" t="s">
        <v>1072</v>
      </c>
      <c r="C37" s="383" t="s">
        <v>152</v>
      </c>
      <c r="D37" s="383" t="s">
        <v>1073</v>
      </c>
      <c r="E37" s="191">
        <v>1</v>
      </c>
      <c r="F37" s="192">
        <v>1915206</v>
      </c>
      <c r="G37" s="32">
        <f>+ROUND(F37*1.051,0)</f>
        <v>2012882</v>
      </c>
      <c r="H37" s="192">
        <f>ROUND((E37*F37),0)</f>
        <v>1915206</v>
      </c>
      <c r="I37" s="32">
        <f t="shared" ref="I37:I38" si="37">+ROUND(G37*E37,0)</f>
        <v>2012882</v>
      </c>
      <c r="J37" s="1315" t="s">
        <v>1074</v>
      </c>
      <c r="K37" s="303">
        <v>0.3</v>
      </c>
      <c r="L37" s="304">
        <f>ROUND(K37*$F$37,0)</f>
        <v>574562</v>
      </c>
      <c r="M37" s="305">
        <f>L37/$H$37</f>
        <v>0.30000010442740888</v>
      </c>
      <c r="N37" s="432">
        <v>0</v>
      </c>
      <c r="O37" s="425">
        <f>ROUND(N37*$F$37,0)</f>
        <v>0</v>
      </c>
      <c r="P37" s="426">
        <f>O37/$H$37</f>
        <v>0</v>
      </c>
      <c r="Q37" s="433">
        <v>0.7</v>
      </c>
      <c r="R37" s="429">
        <f>ROUND(Q37*$F$37,0)</f>
        <v>1340644</v>
      </c>
      <c r="S37" s="430">
        <f>R37/$H$37</f>
        <v>0.69999989557259112</v>
      </c>
      <c r="T37" s="432">
        <v>0</v>
      </c>
      <c r="U37" s="425">
        <f t="shared" ref="U37:U38" si="38">ROUND(T37*H37,0)</f>
        <v>0</v>
      </c>
      <c r="V37" s="426">
        <f t="shared" ref="V37:V38" si="39">U37/I37</f>
        <v>0</v>
      </c>
      <c r="W37" s="416">
        <f t="shared" ref="W37:W38" si="40">K37+N37+Q37+T37</f>
        <v>1</v>
      </c>
      <c r="X37" s="175">
        <f t="shared" ref="X37:X38" si="41">L37+O37+R37+U37</f>
        <v>1915206</v>
      </c>
      <c r="Y37" s="176">
        <f t="shared" ref="Y37:Y38" si="42">X37/H37</f>
        <v>1</v>
      </c>
    </row>
    <row r="38" spans="1:25" ht="32.25" customHeight="1" x14ac:dyDescent="0.3">
      <c r="A38" s="1314"/>
      <c r="B38" s="1314"/>
      <c r="C38" s="383" t="s">
        <v>61</v>
      </c>
      <c r="D38" s="383" t="s">
        <v>1075</v>
      </c>
      <c r="E38" s="191">
        <v>1</v>
      </c>
      <c r="F38" s="192">
        <v>5467045</v>
      </c>
      <c r="G38" s="32">
        <f>+ROUND(F38*1.051,0)</f>
        <v>5745864</v>
      </c>
      <c r="H38" s="192">
        <f>ROUND((E38*F38),0)</f>
        <v>5467045</v>
      </c>
      <c r="I38" s="32">
        <f t="shared" si="37"/>
        <v>5745864</v>
      </c>
      <c r="J38" s="1314"/>
      <c r="K38" s="158">
        <v>0</v>
      </c>
      <c r="L38" s="194">
        <f>ROUND(K38*$F$38,0)</f>
        <v>0</v>
      </c>
      <c r="M38" s="195">
        <f>L38/$H$38</f>
        <v>0</v>
      </c>
      <c r="N38" s="433">
        <v>1</v>
      </c>
      <c r="O38" s="429">
        <f>ROUND(N38*$F$38,0)</f>
        <v>5467045</v>
      </c>
      <c r="P38" s="430">
        <f>O38/$H$38</f>
        <v>1</v>
      </c>
      <c r="Q38" s="432">
        <v>0</v>
      </c>
      <c r="R38" s="425">
        <f>ROUND(Q38*$F$38,0)</f>
        <v>0</v>
      </c>
      <c r="S38" s="426">
        <f>R38/$H$38</f>
        <v>0</v>
      </c>
      <c r="T38" s="432">
        <v>0</v>
      </c>
      <c r="U38" s="425">
        <f t="shared" si="38"/>
        <v>0</v>
      </c>
      <c r="V38" s="426">
        <f t="shared" si="39"/>
        <v>0</v>
      </c>
      <c r="W38" s="416">
        <f t="shared" si="40"/>
        <v>1</v>
      </c>
      <c r="X38" s="175">
        <f t="shared" si="41"/>
        <v>5467045</v>
      </c>
      <c r="Y38" s="176">
        <f t="shared" si="42"/>
        <v>1</v>
      </c>
    </row>
    <row r="39" spans="1:25" x14ac:dyDescent="0.3">
      <c r="A39" s="1314"/>
      <c r="B39" s="1314"/>
      <c r="C39" s="196"/>
      <c r="D39" s="196" t="s">
        <v>1076</v>
      </c>
      <c r="E39" s="197"/>
      <c r="F39" s="198"/>
      <c r="G39" s="198"/>
      <c r="H39" s="199">
        <f>SUM(H37:H38)</f>
        <v>7382251</v>
      </c>
      <c r="I39" s="199">
        <f>SUM(I37:I38)</f>
        <v>7758746</v>
      </c>
      <c r="J39" s="1314"/>
      <c r="K39" s="308"/>
      <c r="L39" s="179">
        <f>SUM(L37:L38)</f>
        <v>574562</v>
      </c>
      <c r="M39" s="308">
        <f>L39/$H$39</f>
        <v>7.783019027665139E-2</v>
      </c>
      <c r="N39" s="431"/>
      <c r="O39" s="179">
        <f>SUM(O37:O38)</f>
        <v>5467045</v>
      </c>
      <c r="P39" s="431">
        <f>O39/$H$39</f>
        <v>0.74056612271785394</v>
      </c>
      <c r="Q39" s="431"/>
      <c r="R39" s="179">
        <f>SUM(R37:R38)</f>
        <v>1340644</v>
      </c>
      <c r="S39" s="431">
        <f>R39/$H$39</f>
        <v>0.18160368700549467</v>
      </c>
      <c r="T39" s="431"/>
      <c r="U39" s="179">
        <f>SUM(U37:U38)</f>
        <v>0</v>
      </c>
      <c r="V39" s="431">
        <f>U39/$H$39</f>
        <v>0</v>
      </c>
      <c r="W39" s="306"/>
      <c r="X39" s="307">
        <f>SUM(X37:X38)</f>
        <v>7382251</v>
      </c>
      <c r="Y39" s="308">
        <f>X39/H39</f>
        <v>1</v>
      </c>
    </row>
    <row r="40" spans="1:25" ht="43.2" x14ac:dyDescent="0.3">
      <c r="A40" s="1314" t="s">
        <v>200</v>
      </c>
      <c r="B40" s="1314" t="s">
        <v>828</v>
      </c>
      <c r="C40" s="383" t="s">
        <v>59</v>
      </c>
      <c r="D40" s="383" t="s">
        <v>829</v>
      </c>
      <c r="E40" s="191">
        <v>1</v>
      </c>
      <c r="F40" s="192">
        <v>3064331</v>
      </c>
      <c r="G40" s="32">
        <f t="shared" ref="G40:G41" si="43">+ROUND(F40*1.051,0)</f>
        <v>3220612</v>
      </c>
      <c r="H40" s="192">
        <f>ROUND((E40*F40),0)</f>
        <v>3064331</v>
      </c>
      <c r="I40" s="32">
        <f t="shared" ref="I40:I41" si="44">+ROUND(G40*E40,0)</f>
        <v>3220612</v>
      </c>
      <c r="J40" s="1314" t="s">
        <v>1077</v>
      </c>
      <c r="K40" s="303">
        <v>0.3</v>
      </c>
      <c r="L40" s="304">
        <f>ROUND(K40*$F$40,0)</f>
        <v>919299</v>
      </c>
      <c r="M40" s="305">
        <f>L40/$H$40</f>
        <v>0.2999999020993489</v>
      </c>
      <c r="N40" s="432">
        <v>0</v>
      </c>
      <c r="O40" s="425">
        <f>ROUND(N40*$F$40,0)</f>
        <v>0</v>
      </c>
      <c r="P40" s="426">
        <f>O40/$H$40</f>
        <v>0</v>
      </c>
      <c r="Q40" s="433">
        <v>0.7</v>
      </c>
      <c r="R40" s="429">
        <f>ROUND(Q40*$F$40,0)</f>
        <v>2145032</v>
      </c>
      <c r="S40" s="430">
        <f>R40/$H$40</f>
        <v>0.7000000979006511</v>
      </c>
      <c r="T40" s="432">
        <v>0</v>
      </c>
      <c r="U40" s="425">
        <f t="shared" ref="U40:U41" si="45">ROUND(T40*H40,0)</f>
        <v>0</v>
      </c>
      <c r="V40" s="426">
        <f t="shared" ref="V40:V41" si="46">U40/I40</f>
        <v>0</v>
      </c>
      <c r="W40" s="416">
        <f t="shared" ref="W40:W41" si="47">K40+N40+Q40+T40</f>
        <v>1</v>
      </c>
      <c r="X40" s="175">
        <f t="shared" ref="X40:X41" si="48">L40+O40+R40+U40</f>
        <v>3064331</v>
      </c>
      <c r="Y40" s="176">
        <f t="shared" ref="Y40:Y41" si="49">X40/H40</f>
        <v>1</v>
      </c>
    </row>
    <row r="41" spans="1:25" ht="28.8" x14ac:dyDescent="0.3">
      <c r="A41" s="1314"/>
      <c r="B41" s="1314"/>
      <c r="C41" s="383" t="s">
        <v>61</v>
      </c>
      <c r="D41" s="383" t="s">
        <v>830</v>
      </c>
      <c r="E41" s="191">
        <v>1</v>
      </c>
      <c r="F41" s="192">
        <v>4770605</v>
      </c>
      <c r="G41" s="32">
        <f t="shared" si="43"/>
        <v>5013906</v>
      </c>
      <c r="H41" s="192">
        <f>ROUND((E41*F41),0)</f>
        <v>4770605</v>
      </c>
      <c r="I41" s="32">
        <f t="shared" si="44"/>
        <v>5013906</v>
      </c>
      <c r="J41" s="1314"/>
      <c r="K41" s="158">
        <v>0</v>
      </c>
      <c r="L41" s="194">
        <f>ROUND(K41*$F$41,0)</f>
        <v>0</v>
      </c>
      <c r="M41" s="195">
        <f>L41/$H$41</f>
        <v>0</v>
      </c>
      <c r="N41" s="433">
        <v>0.3</v>
      </c>
      <c r="O41" s="429">
        <f>ROUND(N41*$F$41,0)</f>
        <v>1431182</v>
      </c>
      <c r="P41" s="430">
        <f>O41/$H$41</f>
        <v>0.30000010480850964</v>
      </c>
      <c r="Q41" s="432">
        <v>0</v>
      </c>
      <c r="R41" s="425">
        <f>ROUND(Q41*$F$41,0)</f>
        <v>0</v>
      </c>
      <c r="S41" s="426">
        <f>R41/$H$41</f>
        <v>0</v>
      </c>
      <c r="T41" s="432">
        <v>0</v>
      </c>
      <c r="U41" s="425">
        <f t="shared" si="45"/>
        <v>0</v>
      </c>
      <c r="V41" s="426">
        <f t="shared" si="46"/>
        <v>0</v>
      </c>
      <c r="W41" s="416">
        <f t="shared" si="47"/>
        <v>0.3</v>
      </c>
      <c r="X41" s="175">
        <f t="shared" si="48"/>
        <v>1431182</v>
      </c>
      <c r="Y41" s="176">
        <f t="shared" si="49"/>
        <v>0.30000010480850964</v>
      </c>
    </row>
    <row r="42" spans="1:25" x14ac:dyDescent="0.3">
      <c r="A42" s="1314"/>
      <c r="B42" s="1314"/>
      <c r="C42" s="196"/>
      <c r="D42" s="196" t="s">
        <v>831</v>
      </c>
      <c r="E42" s="197"/>
      <c r="F42" s="198"/>
      <c r="G42" s="198"/>
      <c r="H42" s="199">
        <f>SUM(H40:H41)</f>
        <v>7834936</v>
      </c>
      <c r="I42" s="199">
        <f>SUM(I40:I41)</f>
        <v>8234518</v>
      </c>
      <c r="J42" s="1314"/>
      <c r="K42" s="308"/>
      <c r="L42" s="179">
        <f>SUM(L40:L41)</f>
        <v>919299</v>
      </c>
      <c r="M42" s="308">
        <f>L42/$H$42</f>
        <v>0.11733331325233544</v>
      </c>
      <c r="N42" s="431"/>
      <c r="O42" s="179">
        <f>SUM(O40:O41)</f>
        <v>1431182</v>
      </c>
      <c r="P42" s="431">
        <f>O42/$H$42</f>
        <v>0.1826667122743568</v>
      </c>
      <c r="Q42" s="431"/>
      <c r="R42" s="179">
        <f>SUM(R40:R41)</f>
        <v>2145032</v>
      </c>
      <c r="S42" s="431">
        <f>R42/$H$42</f>
        <v>0.27377785855557724</v>
      </c>
      <c r="T42" s="431"/>
      <c r="U42" s="179">
        <f>SUM(U40:U41)</f>
        <v>0</v>
      </c>
      <c r="V42" s="431">
        <f>U42/$H$42</f>
        <v>0</v>
      </c>
      <c r="W42" s="306"/>
      <c r="X42" s="307">
        <f>SUM(X40:X41)</f>
        <v>4495513</v>
      </c>
      <c r="Y42" s="308">
        <f>X42/H42</f>
        <v>0.57377788408226948</v>
      </c>
    </row>
    <row r="43" spans="1:25" x14ac:dyDescent="0.3">
      <c r="F43" s="151" t="s">
        <v>64</v>
      </c>
      <c r="G43" s="151"/>
      <c r="H43" s="181">
        <f>SUM(H14:H42)/2</f>
        <v>99771471</v>
      </c>
      <c r="I43" s="181">
        <f>SUM(I14:I42)/2</f>
        <v>104859817</v>
      </c>
      <c r="K43" s="151" t="s">
        <v>64</v>
      </c>
      <c r="L43" s="181">
        <f>SUM(L14:L42)/2</f>
        <v>37253903</v>
      </c>
      <c r="M43" s="131"/>
      <c r="N43" s="151" t="s">
        <v>64</v>
      </c>
      <c r="O43" s="181">
        <f>SUM(O14:O42)/2</f>
        <v>20579767</v>
      </c>
      <c r="P43" s="131"/>
      <c r="Q43" s="480" t="s">
        <v>64</v>
      </c>
      <c r="R43" s="481">
        <f>SUM(R14:R42)/2</f>
        <v>38598378</v>
      </c>
      <c r="S43" s="131"/>
      <c r="T43" s="480" t="s">
        <v>64</v>
      </c>
      <c r="U43" s="481">
        <f>SUM(U14:U42)/2</f>
        <v>0</v>
      </c>
      <c r="V43" s="131"/>
      <c r="W43" s="480" t="s">
        <v>64</v>
      </c>
      <c r="X43" s="481">
        <f>SUM(X14:X42)/2</f>
        <v>96432048</v>
      </c>
      <c r="Y43" s="131"/>
    </row>
    <row r="44" spans="1:25" x14ac:dyDescent="0.3">
      <c r="F44" s="153" t="s">
        <v>65</v>
      </c>
      <c r="G44" s="816"/>
      <c r="H44" s="182">
        <f>H39*0.03</f>
        <v>221467.53</v>
      </c>
      <c r="I44" s="182">
        <f>I39*0.03</f>
        <v>232762.38</v>
      </c>
      <c r="K44" s="153" t="s">
        <v>65</v>
      </c>
      <c r="L44" s="182">
        <f>L39*0.03</f>
        <v>17236.86</v>
      </c>
      <c r="N44" s="153" t="s">
        <v>65</v>
      </c>
      <c r="O44" s="182">
        <f>O39*0.03</f>
        <v>164011.35</v>
      </c>
      <c r="Q44" s="482" t="s">
        <v>65</v>
      </c>
      <c r="R44" s="483">
        <f>R39*0.03</f>
        <v>40219.32</v>
      </c>
      <c r="T44" s="482" t="s">
        <v>65</v>
      </c>
      <c r="U44" s="483">
        <f>U39*0.03</f>
        <v>0</v>
      </c>
      <c r="W44" s="482" t="s">
        <v>65</v>
      </c>
      <c r="X44" s="483">
        <f>X39*0.03</f>
        <v>221467.53</v>
      </c>
    </row>
    <row r="45" spans="1:25" x14ac:dyDescent="0.3">
      <c r="F45" s="152" t="s">
        <v>64</v>
      </c>
      <c r="G45" s="817"/>
      <c r="H45" s="182">
        <f>+H43+H44</f>
        <v>99992938.530000001</v>
      </c>
      <c r="I45" s="182">
        <f>+I43+I44</f>
        <v>105092579.38</v>
      </c>
      <c r="K45" s="152" t="s">
        <v>64</v>
      </c>
      <c r="L45" s="182">
        <f>+L43+L44</f>
        <v>37271139.859999999</v>
      </c>
      <c r="M45" s="131">
        <f>L45/H45</f>
        <v>0.37273771936223143</v>
      </c>
      <c r="N45" s="152" t="s">
        <v>64</v>
      </c>
      <c r="O45" s="182">
        <f>+O43+O44</f>
        <v>20743778.350000001</v>
      </c>
      <c r="P45" s="131">
        <f>O45/H45</f>
        <v>0.20745243269129879</v>
      </c>
      <c r="Q45" s="484" t="s">
        <v>64</v>
      </c>
      <c r="R45" s="483">
        <f>+R43+R44</f>
        <v>38638597.32</v>
      </c>
      <c r="T45" s="484" t="s">
        <v>64</v>
      </c>
      <c r="U45" s="483">
        <f>+U43+U44</f>
        <v>0</v>
      </c>
      <c r="W45" s="484" t="s">
        <v>64</v>
      </c>
      <c r="X45" s="483">
        <f>+X43+X44</f>
        <v>96653515.530000001</v>
      </c>
    </row>
    <row r="46" spans="1:25" ht="26.4" x14ac:dyDescent="0.3">
      <c r="F46" s="152"/>
      <c r="G46" s="817"/>
      <c r="H46" s="182"/>
      <c r="I46" s="182"/>
      <c r="K46" s="152"/>
      <c r="L46" s="182"/>
      <c r="M46" s="131"/>
      <c r="N46" s="152"/>
      <c r="O46" s="182"/>
      <c r="P46" s="131"/>
      <c r="Q46" s="484" t="s">
        <v>1439</v>
      </c>
      <c r="R46" s="483">
        <f>ROUND(R45*0.015,0)</f>
        <v>579579</v>
      </c>
      <c r="S46" s="131"/>
      <c r="T46" s="484" t="s">
        <v>1439</v>
      </c>
      <c r="U46" s="483">
        <f>ROUND(U45*0.015,0)</f>
        <v>0</v>
      </c>
      <c r="V46" s="131"/>
      <c r="W46" s="484" t="s">
        <v>1439</v>
      </c>
      <c r="X46" s="483">
        <f>L46+O46+R46</f>
        <v>579579</v>
      </c>
      <c r="Y46" s="131"/>
    </row>
    <row r="47" spans="1:25" ht="26.4" x14ac:dyDescent="0.3">
      <c r="F47" s="152"/>
      <c r="G47" s="817"/>
      <c r="H47" s="182"/>
      <c r="I47" s="182"/>
      <c r="K47" s="152"/>
      <c r="L47" s="182"/>
      <c r="M47" s="131"/>
      <c r="N47" s="152"/>
      <c r="O47" s="182"/>
      <c r="P47" s="131"/>
      <c r="Q47" s="152" t="s">
        <v>1440</v>
      </c>
      <c r="R47" s="182">
        <f>R45+R46</f>
        <v>39218176.32</v>
      </c>
      <c r="S47" s="131">
        <f>R47/H45</f>
        <v>0.39220945895328113</v>
      </c>
      <c r="T47" s="152" t="s">
        <v>1440</v>
      </c>
      <c r="U47" s="182">
        <f>U45+U46</f>
        <v>0</v>
      </c>
      <c r="V47" s="131">
        <f>U47/H45</f>
        <v>0</v>
      </c>
      <c r="W47" s="152" t="s">
        <v>1440</v>
      </c>
      <c r="X47" s="182">
        <f>X45+X46</f>
        <v>97233094.530000001</v>
      </c>
      <c r="Y47" s="131">
        <f>X47/H45</f>
        <v>0.97239961100681138</v>
      </c>
    </row>
    <row r="48" spans="1:25" x14ac:dyDescent="0.3">
      <c r="F48" s="154" t="s">
        <v>66</v>
      </c>
      <c r="G48" s="818"/>
      <c r="H48" s="182">
        <f>+H45*19%</f>
        <v>18998658.320700001</v>
      </c>
      <c r="I48" s="182">
        <f>+I45*19%</f>
        <v>19967590.082199998</v>
      </c>
      <c r="K48" s="154" t="s">
        <v>66</v>
      </c>
      <c r="L48" s="182">
        <f>+L45*19%</f>
        <v>7081516.5734000001</v>
      </c>
      <c r="N48" s="154" t="s">
        <v>66</v>
      </c>
      <c r="O48" s="182">
        <f>+O45*19%</f>
        <v>3941317.8865000005</v>
      </c>
      <c r="Q48" s="485" t="s">
        <v>66</v>
      </c>
      <c r="R48" s="483">
        <f>ROUND(R47*0.19,0)</f>
        <v>7451454</v>
      </c>
      <c r="T48" s="485" t="s">
        <v>66</v>
      </c>
      <c r="U48" s="483">
        <f>ROUND(U47*0.19,0)</f>
        <v>0</v>
      </c>
      <c r="W48" s="485" t="s">
        <v>66</v>
      </c>
      <c r="X48" s="483">
        <f>ROUND(X47*0.19,0)</f>
        <v>18474288</v>
      </c>
    </row>
    <row r="49" spans="1:28" x14ac:dyDescent="0.3">
      <c r="F49" s="155" t="s">
        <v>69</v>
      </c>
      <c r="G49" s="155"/>
      <c r="H49" s="181">
        <f>+H45+H48</f>
        <v>118991596.85070001</v>
      </c>
      <c r="I49" s="181">
        <f>+I45+I48</f>
        <v>125060169.46219999</v>
      </c>
      <c r="K49" s="155" t="s">
        <v>69</v>
      </c>
      <c r="L49" s="181">
        <f>+L45+L48</f>
        <v>44352656.433399998</v>
      </c>
      <c r="N49" s="155" t="s">
        <v>69</v>
      </c>
      <c r="O49" s="181">
        <f>+O45+O48</f>
        <v>24685096.236500002</v>
      </c>
      <c r="Q49" s="545" t="s">
        <v>69</v>
      </c>
      <c r="R49" s="481">
        <f>R47+R48</f>
        <v>46669630.32</v>
      </c>
      <c r="T49" s="545" t="s">
        <v>69</v>
      </c>
      <c r="U49" s="481">
        <f>U47+U48</f>
        <v>0</v>
      </c>
      <c r="W49" s="545" t="s">
        <v>69</v>
      </c>
      <c r="X49" s="481">
        <f>X47+X48</f>
        <v>115707382.53</v>
      </c>
    </row>
    <row r="51" spans="1:28" x14ac:dyDescent="0.3">
      <c r="A51" s="183" t="s">
        <v>67</v>
      </c>
      <c r="B51" s="184"/>
      <c r="C51" s="184"/>
      <c r="D51" s="185" t="s">
        <v>68</v>
      </c>
      <c r="K51" s="186" t="s">
        <v>70</v>
      </c>
      <c r="L51" s="187" t="s">
        <v>71</v>
      </c>
      <c r="M51" s="186" t="s">
        <v>58</v>
      </c>
      <c r="N51" s="186" t="s">
        <v>70</v>
      </c>
      <c r="O51" s="187" t="s">
        <v>71</v>
      </c>
      <c r="P51" s="186" t="s">
        <v>58</v>
      </c>
      <c r="Q51" s="186" t="s">
        <v>70</v>
      </c>
      <c r="R51" s="187" t="s">
        <v>71</v>
      </c>
      <c r="S51" s="186" t="s">
        <v>58</v>
      </c>
      <c r="T51" s="186" t="s">
        <v>70</v>
      </c>
      <c r="U51" s="187" t="s">
        <v>71</v>
      </c>
      <c r="V51" s="186" t="s">
        <v>58</v>
      </c>
      <c r="W51"/>
      <c r="X51"/>
      <c r="Y51"/>
      <c r="Z51" s="302"/>
      <c r="AA51" s="302"/>
      <c r="AB51" s="302"/>
    </row>
    <row r="52" spans="1:28" x14ac:dyDescent="0.3">
      <c r="A52" s="183"/>
      <c r="B52" s="184"/>
      <c r="C52" s="184"/>
      <c r="D52" s="185"/>
      <c r="K52" s="69" t="s">
        <v>72</v>
      </c>
      <c r="L52" s="70">
        <f>$L$45</f>
        <v>37271139.859999999</v>
      </c>
      <c r="M52" s="71">
        <f>$M$45</f>
        <v>0.37273771936223143</v>
      </c>
      <c r="N52" s="69" t="s">
        <v>72</v>
      </c>
      <c r="O52" s="70">
        <f>$L$45</f>
        <v>37271139.859999999</v>
      </c>
      <c r="P52" s="71">
        <f>$M$45</f>
        <v>0.37273771936223143</v>
      </c>
      <c r="Q52" s="69" t="s">
        <v>72</v>
      </c>
      <c r="R52" s="70">
        <f>$L$45</f>
        <v>37271139.859999999</v>
      </c>
      <c r="S52" s="71">
        <f>$M$45</f>
        <v>0.37273771936223143</v>
      </c>
      <c r="T52" s="69" t="s">
        <v>72</v>
      </c>
      <c r="U52" s="70">
        <f>$L$45</f>
        <v>37271139.859999999</v>
      </c>
      <c r="V52" s="71">
        <f>$M$45</f>
        <v>0.37273771936223143</v>
      </c>
      <c r="W52"/>
      <c r="X52"/>
      <c r="Y52"/>
      <c r="Z52" s="302"/>
      <c r="AA52" s="302"/>
      <c r="AB52" s="302"/>
    </row>
    <row r="53" spans="1:28" x14ac:dyDescent="0.3">
      <c r="A53" s="183"/>
      <c r="B53" s="184"/>
      <c r="C53" s="184"/>
      <c r="D53" s="185"/>
      <c r="K53" s="69"/>
      <c r="L53" s="70"/>
      <c r="M53" s="71"/>
      <c r="N53" s="69" t="s">
        <v>73</v>
      </c>
      <c r="O53" s="70">
        <f>$O$45</f>
        <v>20743778.350000001</v>
      </c>
      <c r="P53" s="71">
        <f>$P$45</f>
        <v>0.20745243269129879</v>
      </c>
      <c r="Q53" s="69" t="s">
        <v>73</v>
      </c>
      <c r="R53" s="70">
        <f>$O$45</f>
        <v>20743778.350000001</v>
      </c>
      <c r="S53" s="71">
        <f>$P$45</f>
        <v>0.20745243269129879</v>
      </c>
      <c r="T53" s="69" t="s">
        <v>73</v>
      </c>
      <c r="U53" s="70">
        <f>$O$45</f>
        <v>20743778.350000001</v>
      </c>
      <c r="V53" s="71">
        <f>$P$45</f>
        <v>0.20745243269129879</v>
      </c>
      <c r="W53" s="302"/>
      <c r="X53" s="302"/>
      <c r="Y53" s="302"/>
      <c r="Z53" s="302"/>
      <c r="AA53" s="302"/>
      <c r="AB53" s="302"/>
    </row>
    <row r="54" spans="1:28" x14ac:dyDescent="0.3">
      <c r="A54" s="183"/>
      <c r="B54" s="184"/>
      <c r="C54" s="184"/>
      <c r="D54" s="185"/>
      <c r="K54" s="69"/>
      <c r="L54" s="70"/>
      <c r="M54" s="71"/>
      <c r="N54" s="69"/>
      <c r="O54" s="70"/>
      <c r="P54" s="71"/>
      <c r="Q54" s="69" t="s">
        <v>74</v>
      </c>
      <c r="R54" s="70">
        <f>$R$47</f>
        <v>39218176.32</v>
      </c>
      <c r="S54" s="71">
        <f>$S$47</f>
        <v>0.39220945895328113</v>
      </c>
      <c r="T54" s="69" t="s">
        <v>74</v>
      </c>
      <c r="U54" s="70">
        <f>$R$47</f>
        <v>39218176.32</v>
      </c>
      <c r="V54" s="71">
        <f>$S$47</f>
        <v>0.39220945895328113</v>
      </c>
      <c r="W54" s="302"/>
      <c r="X54" s="302"/>
      <c r="Y54" s="302"/>
      <c r="Z54" s="302"/>
      <c r="AA54" s="302"/>
      <c r="AB54" s="302"/>
    </row>
    <row r="55" spans="1:28" s="852" customFormat="1" x14ac:dyDescent="0.3">
      <c r="A55" s="183"/>
      <c r="B55" s="184"/>
      <c r="C55" s="184"/>
      <c r="D55" s="185"/>
      <c r="K55" s="69"/>
      <c r="L55" s="70"/>
      <c r="M55" s="71"/>
      <c r="N55" s="69"/>
      <c r="O55" s="70"/>
      <c r="P55" s="71"/>
      <c r="Q55" s="69"/>
      <c r="R55" s="70"/>
      <c r="S55" s="71"/>
      <c r="T55" s="69" t="s">
        <v>155</v>
      </c>
      <c r="U55" s="70">
        <f>+U47</f>
        <v>0</v>
      </c>
      <c r="V55" s="71">
        <f>+V47</f>
        <v>0</v>
      </c>
      <c r="W55" s="849"/>
      <c r="X55" s="849"/>
      <c r="Y55" s="849"/>
      <c r="Z55" s="849"/>
      <c r="AA55" s="849"/>
      <c r="AB55" s="849"/>
    </row>
    <row r="56" spans="1:28" x14ac:dyDescent="0.3">
      <c r="A56" s="183"/>
      <c r="B56" s="184"/>
      <c r="C56" s="184"/>
      <c r="D56" s="185"/>
      <c r="K56" s="72" t="s">
        <v>1</v>
      </c>
      <c r="L56" s="105">
        <f>SUM(L52:L52)</f>
        <v>37271139.859999999</v>
      </c>
      <c r="M56" s="73">
        <f>SUM(M52:M52)</f>
        <v>0.37273771936223143</v>
      </c>
      <c r="N56" s="72" t="s">
        <v>1</v>
      </c>
      <c r="O56" s="105">
        <f>SUM(O52:O53)</f>
        <v>58014918.210000001</v>
      </c>
      <c r="P56" s="73">
        <f>SUM(P52:P53)</f>
        <v>0.58019015205353019</v>
      </c>
      <c r="Q56" s="72" t="s">
        <v>1</v>
      </c>
      <c r="R56" s="105">
        <f>SUM(R52:R54)</f>
        <v>97233094.530000001</v>
      </c>
      <c r="S56" s="73">
        <f>SUM(S52:S54)</f>
        <v>0.97239961100681138</v>
      </c>
      <c r="T56" s="72" t="s">
        <v>1</v>
      </c>
      <c r="U56" s="105">
        <f>SUM(U52:U55)</f>
        <v>97233094.530000001</v>
      </c>
      <c r="V56" s="73">
        <f>SUM(V52:V55)</f>
        <v>0.97239961100681138</v>
      </c>
      <c r="W56"/>
      <c r="X56"/>
      <c r="Y56"/>
      <c r="Z56" s="302"/>
      <c r="AA56" s="302"/>
      <c r="AB56" s="302"/>
    </row>
    <row r="57" spans="1:28" x14ac:dyDescent="0.3">
      <c r="A57" s="183"/>
      <c r="B57" s="184"/>
      <c r="C57" s="184"/>
      <c r="D57" s="185"/>
      <c r="K57" s="72" t="s">
        <v>9</v>
      </c>
      <c r="L57" s="1285"/>
      <c r="M57" s="1286"/>
      <c r="N57" s="72" t="s">
        <v>9</v>
      </c>
      <c r="O57" s="1285"/>
      <c r="P57" s="1286"/>
      <c r="Q57" s="72" t="s">
        <v>9</v>
      </c>
      <c r="R57" s="1285"/>
      <c r="S57" s="1286"/>
      <c r="T57" s="72" t="s">
        <v>9</v>
      </c>
      <c r="U57" s="1285"/>
      <c r="V57" s="1286"/>
      <c r="W57"/>
      <c r="X57"/>
      <c r="Y57"/>
      <c r="Z57" s="302"/>
      <c r="AA57" s="302"/>
      <c r="AB57" s="302"/>
    </row>
    <row r="58" spans="1:28" x14ac:dyDescent="0.3">
      <c r="A58" s="183"/>
      <c r="B58" s="184"/>
      <c r="C58" s="184"/>
      <c r="D58" s="185"/>
      <c r="K58" s="156" t="s">
        <v>78</v>
      </c>
      <c r="L58" s="1285" t="s">
        <v>1078</v>
      </c>
      <c r="M58" s="1286"/>
      <c r="N58" s="156" t="s">
        <v>78</v>
      </c>
      <c r="O58" s="1285" t="s">
        <v>1078</v>
      </c>
      <c r="P58" s="1286"/>
      <c r="Q58" s="156" t="s">
        <v>78</v>
      </c>
      <c r="R58" s="1285" t="s">
        <v>1078</v>
      </c>
      <c r="S58" s="1286"/>
      <c r="T58" s="156" t="s">
        <v>78</v>
      </c>
      <c r="U58" s="1285" t="s">
        <v>1078</v>
      </c>
      <c r="V58" s="1286"/>
      <c r="W58"/>
      <c r="X58"/>
      <c r="Y58"/>
      <c r="Z58" s="302"/>
      <c r="AA58" s="302"/>
      <c r="AB58" s="302"/>
    </row>
    <row r="59" spans="1:28" x14ac:dyDescent="0.3">
      <c r="A59" s="183"/>
      <c r="B59" s="184"/>
      <c r="C59" s="184"/>
      <c r="D59" s="185"/>
      <c r="K59" s="157" t="s">
        <v>8</v>
      </c>
      <c r="L59" s="1287" t="s">
        <v>1079</v>
      </c>
      <c r="M59" s="1288"/>
      <c r="N59" s="157" t="s">
        <v>8</v>
      </c>
      <c r="O59" s="1287" t="s">
        <v>1079</v>
      </c>
      <c r="P59" s="1288"/>
      <c r="Q59" s="157" t="s">
        <v>8</v>
      </c>
      <c r="R59" s="1287" t="s">
        <v>1079</v>
      </c>
      <c r="S59" s="1288"/>
      <c r="T59" s="157" t="s">
        <v>8</v>
      </c>
      <c r="U59" s="1287" t="s">
        <v>1079</v>
      </c>
      <c r="V59" s="1288"/>
      <c r="W59"/>
      <c r="X59"/>
      <c r="Y59"/>
      <c r="Z59" s="302"/>
      <c r="AA59" s="302"/>
      <c r="AB59" s="302"/>
    </row>
    <row r="60" spans="1:28" x14ac:dyDescent="0.3">
      <c r="A60" s="183"/>
      <c r="B60" s="184"/>
      <c r="C60" s="184"/>
      <c r="D60" s="185" t="s">
        <v>75</v>
      </c>
    </row>
    <row r="61" spans="1:28" x14ac:dyDescent="0.3">
      <c r="A61" s="183" t="s">
        <v>76</v>
      </c>
      <c r="B61" s="180"/>
      <c r="C61" s="180"/>
      <c r="D61" s="185" t="s">
        <v>77</v>
      </c>
    </row>
    <row r="62" spans="1:28" ht="26.4" x14ac:dyDescent="0.3">
      <c r="A62" s="183" t="s">
        <v>79</v>
      </c>
      <c r="B62" s="180"/>
      <c r="C62" s="180"/>
      <c r="D62" s="185" t="s">
        <v>80</v>
      </c>
    </row>
  </sheetData>
  <sheetProtection formatCells="0" formatColumns="0" formatRows="0" insertColumns="0" insertRows="0" insertHyperlinks="0" deleteColumns="0" deleteRows="0" sort="0" autoFilter="0" pivotTables="0"/>
  <mergeCells count="54">
    <mergeCell ref="K11:M12"/>
    <mergeCell ref="W11:Y12"/>
    <mergeCell ref="B12:J12"/>
    <mergeCell ref="L57:M57"/>
    <mergeCell ref="B11:J11"/>
    <mergeCell ref="N11:P12"/>
    <mergeCell ref="O57:P57"/>
    <mergeCell ref="Q11:S12"/>
    <mergeCell ref="R57:S57"/>
    <mergeCell ref="T11:V12"/>
    <mergeCell ref="U57:V57"/>
    <mergeCell ref="A6:Y6"/>
    <mergeCell ref="A7:Y7"/>
    <mergeCell ref="A8:Y8"/>
    <mergeCell ref="A9:Y9"/>
    <mergeCell ref="W1:Y1"/>
    <mergeCell ref="W2:Y2"/>
    <mergeCell ref="A3:Y3"/>
    <mergeCell ref="A4:Y4"/>
    <mergeCell ref="A5:Y5"/>
    <mergeCell ref="C1:S2"/>
    <mergeCell ref="A10:Y10"/>
    <mergeCell ref="A37:A39"/>
    <mergeCell ref="B37:B39"/>
    <mergeCell ref="J37:J39"/>
    <mergeCell ref="A40:A42"/>
    <mergeCell ref="B40:B42"/>
    <mergeCell ref="J40:J42"/>
    <mergeCell ref="A29:A32"/>
    <mergeCell ref="B29:B32"/>
    <mergeCell ref="J29:J32"/>
    <mergeCell ref="A33:A36"/>
    <mergeCell ref="B33:B36"/>
    <mergeCell ref="J33:J36"/>
    <mergeCell ref="A21:A24"/>
    <mergeCell ref="B21:B24"/>
    <mergeCell ref="J21:J24"/>
    <mergeCell ref="A14:A16"/>
    <mergeCell ref="B14:B16"/>
    <mergeCell ref="J14:J16"/>
    <mergeCell ref="A17:A20"/>
    <mergeCell ref="B17:B20"/>
    <mergeCell ref="J17:J20"/>
    <mergeCell ref="U58:V58"/>
    <mergeCell ref="U59:V59"/>
    <mergeCell ref="A25:A28"/>
    <mergeCell ref="B25:B28"/>
    <mergeCell ref="J25:J28"/>
    <mergeCell ref="L58:M58"/>
    <mergeCell ref="L59:M59"/>
    <mergeCell ref="O58:P58"/>
    <mergeCell ref="O59:P59"/>
    <mergeCell ref="R58:S58"/>
    <mergeCell ref="R59:S59"/>
  </mergeCells>
  <pageMargins left="0.70866141732283472" right="0.70866141732283472" top="0.74803149606299213" bottom="0.74803149606299213" header="0.31496062992125984" footer="0.31496062992125984"/>
  <pageSetup scale="70" orientation="landscape" r:id="rId1"/>
  <rowBreaks count="1" manualBreakCount="1">
    <brk id="39" max="16383" man="1"/>
  </rowBreaks>
  <drawing r:id="rId2"/>
  <legacyDrawingHF r:id="rId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6">
    <tabColor theme="1"/>
  </sheetPr>
  <dimension ref="A1:G49"/>
  <sheetViews>
    <sheetView topLeftCell="A10"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RESUMEN!G50</f>
        <v>Proyecto: EXPANSIÓN ZONAS PERIFÉRICAS MT</v>
      </c>
      <c r="C5" s="1281"/>
      <c r="D5" s="1281"/>
      <c r="E5" s="1281"/>
      <c r="F5" s="1281"/>
      <c r="G5" s="1282"/>
    </row>
    <row r="6" spans="1:7" x14ac:dyDescent="0.25">
      <c r="A6" s="1177"/>
      <c r="B6" s="1177"/>
      <c r="C6" s="1177"/>
      <c r="D6" s="1177"/>
      <c r="E6" s="1177"/>
      <c r="F6" s="1177"/>
      <c r="G6" s="1177"/>
    </row>
    <row r="7" spans="1:7" x14ac:dyDescent="0.25">
      <c r="A7" s="271" t="s">
        <v>0</v>
      </c>
      <c r="B7" s="1264">
        <f>RESUMEN!B50</f>
        <v>0</v>
      </c>
      <c r="C7" s="1265"/>
      <c r="D7" s="1177"/>
      <c r="E7" s="1266" t="s">
        <v>627</v>
      </c>
      <c r="F7" s="1267"/>
      <c r="G7" s="280" t="str">
        <f>RESUMEN!E50</f>
        <v>17-250</v>
      </c>
    </row>
    <row r="8" spans="1:7" x14ac:dyDescent="0.25">
      <c r="A8" s="271" t="s">
        <v>628</v>
      </c>
      <c r="B8" s="1264">
        <f>RESUMEN!C50</f>
        <v>0</v>
      </c>
      <c r="C8" s="1265"/>
      <c r="D8" s="1177"/>
      <c r="E8" s="1266" t="s">
        <v>629</v>
      </c>
      <c r="F8" s="1267"/>
      <c r="G8" s="280" t="str">
        <f>RESUMEN!U50</f>
        <v>Acta N° 6: Marzo</v>
      </c>
    </row>
    <row r="9" spans="1:7" x14ac:dyDescent="0.25">
      <c r="A9" s="271" t="s">
        <v>630</v>
      </c>
      <c r="B9" s="1283" t="s">
        <v>631</v>
      </c>
      <c r="C9" s="1265"/>
      <c r="D9" s="1177"/>
      <c r="E9" s="1266" t="s">
        <v>632</v>
      </c>
      <c r="F9" s="1267"/>
      <c r="G9" s="1178">
        <f>RESUMEN!H50</f>
        <v>13039080</v>
      </c>
    </row>
    <row r="10" spans="1:7" x14ac:dyDescent="0.25">
      <c r="A10" s="271" t="s">
        <v>633</v>
      </c>
      <c r="B10" s="1283" t="str">
        <f>RESUMEN!D50</f>
        <v>VILLA PINZON</v>
      </c>
      <c r="C10" s="1265"/>
      <c r="D10" s="1177"/>
      <c r="E10" s="1266" t="s">
        <v>634</v>
      </c>
      <c r="F10" s="1267"/>
      <c r="G10" s="1178">
        <f>RESUMEN!R50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",RESUMEN!G50)</f>
        <v>A los 14 días del mes de Marzo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EXPANSIÓN ZONAS PERIFÉRICAS 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RESUMEN!N50</f>
        <v>0</v>
      </c>
      <c r="F19" s="1248"/>
      <c r="G19" s="1177"/>
    </row>
    <row r="20" spans="1:7" ht="27" customHeight="1" x14ac:dyDescent="0.25">
      <c r="A20" s="1177"/>
      <c r="B20" s="1244" t="s">
        <v>1498</v>
      </c>
      <c r="C20" s="1245"/>
      <c r="D20" s="1246"/>
      <c r="E20" s="1247">
        <f>RESUMEN!P50</f>
        <v>0</v>
      </c>
      <c r="F20" s="1248"/>
      <c r="G20" s="1177"/>
    </row>
    <row r="21" spans="1:7" ht="27" customHeight="1" x14ac:dyDescent="0.25">
      <c r="A21" s="1177"/>
      <c r="B21" s="1244" t="s">
        <v>1499</v>
      </c>
      <c r="C21" s="1245"/>
      <c r="D21" s="1246"/>
      <c r="E21" s="1247">
        <f>RESUMEN!Q50</f>
        <v>0</v>
      </c>
      <c r="F21" s="1248"/>
      <c r="G21" s="1177"/>
    </row>
    <row r="22" spans="1:7" x14ac:dyDescent="0.25">
      <c r="A22" s="1177"/>
      <c r="B22" s="1254" t="s">
        <v>64</v>
      </c>
      <c r="C22" s="1254"/>
      <c r="D22" s="1254"/>
      <c r="E22" s="1255">
        <f>RESUMEN!R50</f>
        <v>0</v>
      </c>
      <c r="F22" s="1255"/>
      <c r="G22" s="1177"/>
    </row>
    <row r="23" spans="1:7" x14ac:dyDescent="0.25">
      <c r="A23" s="1177"/>
      <c r="B23" s="1256" t="s">
        <v>66</v>
      </c>
      <c r="C23" s="1256"/>
      <c r="D23" s="1256"/>
      <c r="E23" s="1257">
        <f>RESUMEN!S50</f>
        <v>0</v>
      </c>
      <c r="F23" s="1257"/>
      <c r="G23" s="1177"/>
    </row>
    <row r="24" spans="1:7" x14ac:dyDescent="0.25">
      <c r="A24" s="1177"/>
      <c r="B24" s="1258" t="s">
        <v>1</v>
      </c>
      <c r="C24" s="1258"/>
      <c r="D24" s="1258"/>
      <c r="E24" s="1259">
        <f>RESUMEN!T50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+'OT17-250 VILLA PINZON'!Z40</f>
        <v>ACTA 1</v>
      </c>
      <c r="C28" s="1253">
        <f>+'OT17-250 VILLA PINZON'!AA40</f>
        <v>4402457.7010000004</v>
      </c>
      <c r="D28" s="1253"/>
      <c r="E28" s="267">
        <f>+'OT17-250 VILLA PINZON'!AB40</f>
        <v>0.33462399187672748</v>
      </c>
      <c r="F28" s="1177"/>
      <c r="G28" s="1177"/>
    </row>
    <row r="29" spans="1:7" x14ac:dyDescent="0.25">
      <c r="A29" s="1177"/>
      <c r="B29" s="280" t="str">
        <f>+'OT17-250 VILLA PINZON'!Z41</f>
        <v>ACTA 2</v>
      </c>
      <c r="C29" s="1253">
        <f>+'OT17-250 VILLA PINZON'!AA41</f>
        <v>2590966.5619999999</v>
      </c>
      <c r="D29" s="1253"/>
      <c r="E29" s="267">
        <f>+'OT17-250 VILLA PINZON'!AB41</f>
        <v>0.19870777401473108</v>
      </c>
      <c r="F29" s="1177"/>
      <c r="G29" s="1177"/>
    </row>
    <row r="30" spans="1:7" x14ac:dyDescent="0.25">
      <c r="A30" s="1177"/>
      <c r="B30" s="280" t="str">
        <f>+'OT17-250 VILLA PINZON'!Z42</f>
        <v>ACTA 3</v>
      </c>
      <c r="C30" s="1253">
        <f>+'OT17-250 VILLA PINZON'!AA42</f>
        <v>508959</v>
      </c>
      <c r="D30" s="1253"/>
      <c r="E30" s="267">
        <f>+'OT17-250 VILLA PINZON'!AB42</f>
        <v>3.8746979466280862E-2</v>
      </c>
      <c r="F30" s="1177"/>
      <c r="G30" s="1177"/>
    </row>
    <row r="31" spans="1:7" x14ac:dyDescent="0.25">
      <c r="A31" s="1177"/>
      <c r="B31" s="280" t="str">
        <f>+'OT17-250 VILLA PINZON'!Z43</f>
        <v>ACTA 4</v>
      </c>
      <c r="C31" s="1253">
        <f>+'OT17-250 VILLA PINZON'!AA43</f>
        <v>1718031.6669999999</v>
      </c>
      <c r="D31" s="1253"/>
      <c r="E31" s="267">
        <f>+'OT17-250 VILLA PINZON'!AB43</f>
        <v>0.13079351720604071</v>
      </c>
      <c r="F31" s="1177"/>
      <c r="G31" s="1177"/>
    </row>
    <row r="32" spans="1:7" x14ac:dyDescent="0.25">
      <c r="A32" s="1177"/>
      <c r="B32" s="280" t="str">
        <f>+'OT17-250 VILLA PINZON'!Z44</f>
        <v>ACTA 5</v>
      </c>
      <c r="C32" s="1253">
        <f>+'OT17-250 VILLA PINZON'!AA44</f>
        <v>2152465</v>
      </c>
      <c r="D32" s="1253"/>
      <c r="E32" s="267">
        <f>+'OT17-250 VILLA PINZON'!AB44</f>
        <v>0.16386686777694909</v>
      </c>
      <c r="F32" s="1177"/>
      <c r="G32" s="1177"/>
    </row>
    <row r="33" spans="1:7" x14ac:dyDescent="0.25">
      <c r="A33" s="1177"/>
      <c r="B33" s="280" t="str">
        <f>+'OT17-250 VILLA PINZON'!Z45</f>
        <v>ACTA 6</v>
      </c>
      <c r="C33" s="1253">
        <f>+'OT17-250 VILLA PINZON'!AA45</f>
        <v>0</v>
      </c>
      <c r="D33" s="1253"/>
      <c r="E33" s="267">
        <f>+'OT17-250 VILLA PINZON'!AB45</f>
        <v>0</v>
      </c>
      <c r="F33" s="1177"/>
      <c r="G33" s="1177"/>
    </row>
    <row r="34" spans="1:7" x14ac:dyDescent="0.25">
      <c r="A34" s="1177"/>
      <c r="B34" s="263" t="s">
        <v>1</v>
      </c>
      <c r="C34" s="1251">
        <f>SUM(C28:D33)</f>
        <v>11372879.93</v>
      </c>
      <c r="D34" s="1251"/>
      <c r="E34" s="264">
        <f>SUM(E28:E33)</f>
        <v>0.86673913034072925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RESUMEN!V50</f>
        <v xml:space="preserve">Ing. Hernán Giraldo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E40:G40"/>
    <mergeCell ref="C30:D30"/>
    <mergeCell ref="B21:D21"/>
    <mergeCell ref="E21:F21"/>
    <mergeCell ref="B22:D22"/>
    <mergeCell ref="E22:F22"/>
    <mergeCell ref="B23:D23"/>
    <mergeCell ref="E23:F23"/>
    <mergeCell ref="B24:D24"/>
    <mergeCell ref="E24:F24"/>
    <mergeCell ref="C27:D27"/>
    <mergeCell ref="C28:D28"/>
    <mergeCell ref="C29:D29"/>
    <mergeCell ref="A49:C49"/>
    <mergeCell ref="E49:G49"/>
    <mergeCell ref="C31:D31"/>
    <mergeCell ref="A41:C41"/>
    <mergeCell ref="E41:G41"/>
    <mergeCell ref="A42:C42"/>
    <mergeCell ref="E42:G42"/>
    <mergeCell ref="A47:C47"/>
    <mergeCell ref="E47:G47"/>
    <mergeCell ref="A48:C48"/>
    <mergeCell ref="E48:G48"/>
    <mergeCell ref="C32:D32"/>
    <mergeCell ref="C33:D33"/>
    <mergeCell ref="C34:D34"/>
    <mergeCell ref="A36:G36"/>
    <mergeCell ref="A40:C40"/>
  </mergeCells>
  <pageMargins left="0.70866141732283472" right="0.70866141732283472" top="1.3130314960629921" bottom="0.74803149606299213" header="0.31496062992125984" footer="0.31496062992125984"/>
  <pageSetup paperSize="9" scale="73" orientation="portrait" r:id="rId1"/>
  <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55">
    <tabColor rgb="FF72104A"/>
    <pageSetUpPr fitToPage="1"/>
  </sheetPr>
  <dimension ref="A1:AF51"/>
  <sheetViews>
    <sheetView topLeftCell="G17" zoomScale="70" zoomScaleNormal="70" workbookViewId="0">
      <selection activeCell="J14" sqref="J14:J16"/>
    </sheetView>
  </sheetViews>
  <sheetFormatPr baseColWidth="10" defaultColWidth="11.44140625" defaultRowHeight="14.4" x14ac:dyDescent="0.3"/>
  <cols>
    <col min="1" max="1" width="20.109375" style="189" customWidth="1"/>
    <col min="2" max="2" width="22.5546875" style="189" customWidth="1"/>
    <col min="3" max="3" width="33" style="189" customWidth="1"/>
    <col min="4" max="4" width="23.33203125" style="189" customWidth="1"/>
    <col min="5" max="5" width="13" style="189" customWidth="1"/>
    <col min="6" max="6" width="17.88671875" style="189" customWidth="1"/>
    <col min="7" max="7" width="17.88671875" style="852" customWidth="1"/>
    <col min="8" max="8" width="18.33203125" style="189" bestFit="1" customWidth="1"/>
    <col min="9" max="9" width="18.33203125" style="852" customWidth="1"/>
    <col min="10" max="10" width="37.109375" style="189" customWidth="1"/>
    <col min="11" max="11" width="17.88671875" style="189" hidden="1" customWidth="1"/>
    <col min="12" max="12" width="18.5546875" style="189" hidden="1" customWidth="1"/>
    <col min="13" max="13" width="12.109375" style="189" hidden="1" customWidth="1"/>
    <col min="14" max="14" width="17.88671875" style="189" hidden="1" customWidth="1"/>
    <col min="15" max="15" width="18" style="189" hidden="1" customWidth="1"/>
    <col min="16" max="16" width="11.44140625" style="189" hidden="1" customWidth="1"/>
    <col min="17" max="17" width="17.88671875" style="603" hidden="1" customWidth="1"/>
    <col min="18" max="18" width="18" style="603" hidden="1" customWidth="1"/>
    <col min="19" max="19" width="11.44140625" style="609" hidden="1" customWidth="1"/>
    <col min="20" max="20" width="17.88671875" style="771" hidden="1" customWidth="1"/>
    <col min="21" max="21" width="18" style="771" hidden="1" customWidth="1"/>
    <col min="22" max="22" width="11.44140625" style="609" hidden="1" customWidth="1"/>
    <col min="23" max="23" width="17.88671875" style="852" customWidth="1"/>
    <col min="24" max="24" width="18" style="852" customWidth="1"/>
    <col min="25" max="25" width="11.44140625" style="609" customWidth="1"/>
    <col min="26" max="26" width="16.21875" style="609" customWidth="1"/>
    <col min="27" max="27" width="17.109375" style="609" customWidth="1"/>
    <col min="28" max="28" width="19.33203125" style="609" customWidth="1"/>
    <col min="29" max="29" width="18" style="189" bestFit="1" customWidth="1"/>
    <col min="30" max="30" width="19" style="189" customWidth="1"/>
    <col min="31" max="31" width="11.5546875" style="189" bestFit="1" customWidth="1"/>
    <col min="32" max="16384" width="11.44140625" style="189"/>
  </cols>
  <sheetData>
    <row r="1" spans="1:32" s="302" customFormat="1" ht="34.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769"/>
      <c r="U1" s="769"/>
      <c r="V1" s="769"/>
      <c r="W1" s="846"/>
      <c r="X1" s="846"/>
      <c r="Y1" s="846"/>
      <c r="Z1" s="1052"/>
      <c r="AA1" s="1052"/>
      <c r="AB1" s="1052"/>
      <c r="AC1" s="1328" t="s">
        <v>354</v>
      </c>
      <c r="AD1" s="1303"/>
      <c r="AE1" s="1304"/>
    </row>
    <row r="2" spans="1:32"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770"/>
      <c r="U2" s="770"/>
      <c r="V2" s="770"/>
      <c r="W2" s="847"/>
      <c r="X2" s="847"/>
      <c r="Y2" s="847"/>
      <c r="Z2" s="1053"/>
      <c r="AA2" s="1053"/>
      <c r="AB2" s="1053"/>
      <c r="AC2" s="1329" t="s">
        <v>41</v>
      </c>
      <c r="AD2" s="1305"/>
      <c r="AE2" s="1306"/>
    </row>
    <row r="3" spans="1:3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row>
    <row r="4" spans="1:3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1292"/>
      <c r="AE4" s="1292"/>
    </row>
    <row r="5" spans="1:3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1292"/>
      <c r="AE5" s="1292"/>
    </row>
    <row r="6" spans="1:3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1292"/>
      <c r="AE6" s="1292"/>
    </row>
    <row r="7" spans="1:32" s="302" customFormat="1" ht="13.5" customHeight="1" x14ac:dyDescent="0.3">
      <c r="A7" s="1291" t="s">
        <v>842</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c r="AC7" s="1292"/>
      <c r="AD7" s="1292"/>
      <c r="AE7" s="1292"/>
    </row>
    <row r="8" spans="1:32" s="302" customFormat="1" ht="13.5" customHeight="1" x14ac:dyDescent="0.3">
      <c r="A8" s="1292" t="s">
        <v>2304</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c r="AC8" s="1292"/>
      <c r="AD8" s="1292"/>
      <c r="AE8" s="1292"/>
    </row>
    <row r="9" spans="1:32"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c r="AC9" s="1292"/>
      <c r="AD9" s="1292"/>
      <c r="AE9" s="1292"/>
    </row>
    <row r="10" spans="1:32" s="302" customFormat="1" ht="13.5" customHeight="1" x14ac:dyDescent="0.3">
      <c r="A10" s="1292" t="s">
        <v>839</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c r="AC10" s="1292"/>
      <c r="AD10" s="1292"/>
      <c r="AE10" s="1292"/>
    </row>
    <row r="11" spans="1:32" s="302" customFormat="1" ht="13.5" customHeight="1" x14ac:dyDescent="0.3">
      <c r="A11" s="320"/>
      <c r="B11" s="1301"/>
      <c r="C11" s="1313"/>
      <c r="D11" s="1313"/>
      <c r="E11" s="1313"/>
      <c r="F11" s="1313"/>
      <c r="G11" s="1313"/>
      <c r="H11" s="1313"/>
      <c r="I11" s="1313"/>
      <c r="J11" s="1313"/>
      <c r="K11" s="1293" t="s">
        <v>46</v>
      </c>
      <c r="L11" s="1294"/>
      <c r="M11" s="1295"/>
      <c r="N11" s="1293" t="s">
        <v>1430</v>
      </c>
      <c r="O11" s="1294"/>
      <c r="P11" s="1295"/>
      <c r="Q11" s="1293" t="s">
        <v>1719</v>
      </c>
      <c r="R11" s="1294"/>
      <c r="S11" s="1295"/>
      <c r="T11" s="1293" t="s">
        <v>1983</v>
      </c>
      <c r="U11" s="1294"/>
      <c r="V11" s="1295"/>
      <c r="W11" s="1293" t="s">
        <v>2097</v>
      </c>
      <c r="X11" s="1294"/>
      <c r="Y11" s="1295"/>
      <c r="Z11" s="1293" t="s">
        <v>2303</v>
      </c>
      <c r="AA11" s="1294"/>
      <c r="AB11" s="1295"/>
      <c r="AC11" s="1299" t="s">
        <v>49</v>
      </c>
      <c r="AD11" s="1299"/>
      <c r="AE11" s="1299"/>
    </row>
    <row r="12" spans="1:32" s="302" customFormat="1" ht="13.5" customHeight="1" x14ac:dyDescent="0.3">
      <c r="A12" s="171"/>
      <c r="B12" s="1301"/>
      <c r="C12" s="1302"/>
      <c r="D12" s="1302"/>
      <c r="E12" s="1302"/>
      <c r="F12" s="1302"/>
      <c r="G12" s="1302"/>
      <c r="H12" s="1302"/>
      <c r="I12" s="1302"/>
      <c r="J12" s="1302"/>
      <c r="K12" s="1325"/>
      <c r="L12" s="1326"/>
      <c r="M12" s="1327"/>
      <c r="N12" s="1296"/>
      <c r="O12" s="1297"/>
      <c r="P12" s="1298"/>
      <c r="Q12" s="1296"/>
      <c r="R12" s="1297"/>
      <c r="S12" s="1298"/>
      <c r="T12" s="1296"/>
      <c r="U12" s="1297"/>
      <c r="V12" s="1298"/>
      <c r="W12" s="1296"/>
      <c r="X12" s="1297"/>
      <c r="Y12" s="1298"/>
      <c r="Z12" s="1296"/>
      <c r="AA12" s="1297"/>
      <c r="AB12" s="1298"/>
      <c r="AC12" s="1300"/>
      <c r="AD12" s="1300"/>
      <c r="AE12" s="1300"/>
      <c r="AF12" s="955" t="s">
        <v>2210</v>
      </c>
    </row>
    <row r="13" spans="1:32"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518" t="s">
        <v>58</v>
      </c>
      <c r="T13" s="28" t="s">
        <v>54</v>
      </c>
      <c r="U13" s="28" t="s">
        <v>56</v>
      </c>
      <c r="V13" s="518" t="s">
        <v>58</v>
      </c>
      <c r="W13" s="28" t="s">
        <v>54</v>
      </c>
      <c r="X13" s="28" t="s">
        <v>56</v>
      </c>
      <c r="Y13" s="518" t="s">
        <v>58</v>
      </c>
      <c r="Z13" s="28" t="s">
        <v>54</v>
      </c>
      <c r="AA13" s="28" t="s">
        <v>56</v>
      </c>
      <c r="AB13" s="518" t="s">
        <v>58</v>
      </c>
      <c r="AC13" s="174" t="s">
        <v>54</v>
      </c>
      <c r="AD13" s="172" t="s">
        <v>56</v>
      </c>
      <c r="AE13" s="28" t="s">
        <v>58</v>
      </c>
    </row>
    <row r="14" spans="1:32" ht="28.8" x14ac:dyDescent="0.3">
      <c r="A14" s="1314" t="s">
        <v>836</v>
      </c>
      <c r="B14" s="1314" t="s">
        <v>170</v>
      </c>
      <c r="C14" s="321" t="s">
        <v>83</v>
      </c>
      <c r="D14" s="321" t="s">
        <v>123</v>
      </c>
      <c r="E14" s="321">
        <v>0</v>
      </c>
      <c r="F14" s="192">
        <v>1044658</v>
      </c>
      <c r="G14" s="32">
        <f>+ROUND(F14*1.051,0)</f>
        <v>1097936</v>
      </c>
      <c r="H14" s="192">
        <f>ROUND((E14*F14),0)</f>
        <v>0</v>
      </c>
      <c r="I14" s="32">
        <f>+ROUND(G14*E14,0)</f>
        <v>0</v>
      </c>
      <c r="J14" s="1314" t="s">
        <v>428</v>
      </c>
      <c r="K14" s="158">
        <v>0</v>
      </c>
      <c r="L14" s="194">
        <f>ROUND(K14*$F$14,0)</f>
        <v>0</v>
      </c>
      <c r="M14" s="195">
        <v>0</v>
      </c>
      <c r="N14" s="158">
        <v>0</v>
      </c>
      <c r="O14" s="194">
        <f>ROUND(N14*$F$14,0)</f>
        <v>0</v>
      </c>
      <c r="P14" s="195">
        <v>0</v>
      </c>
      <c r="Q14" s="432">
        <v>0</v>
      </c>
      <c r="R14" s="425">
        <f>ROUND(Q14*F14,0)</f>
        <v>0</v>
      </c>
      <c r="S14" s="604">
        <v>0</v>
      </c>
      <c r="T14" s="432">
        <v>0</v>
      </c>
      <c r="U14" s="425">
        <f t="shared" ref="U14:U24" si="0">ROUND(T14*F14,0)</f>
        <v>0</v>
      </c>
      <c r="V14" s="604">
        <v>0</v>
      </c>
      <c r="W14" s="432">
        <v>0</v>
      </c>
      <c r="X14" s="425">
        <f>ROUND(W14*I14,0)</f>
        <v>0</v>
      </c>
      <c r="Y14" s="868">
        <v>0</v>
      </c>
      <c r="Z14" s="432">
        <v>0</v>
      </c>
      <c r="AA14" s="425">
        <f>ROUND(Z14*G14,0)</f>
        <v>0</v>
      </c>
      <c r="AB14" s="1099">
        <v>0</v>
      </c>
      <c r="AC14" s="149">
        <f>K14+N14+Q14+T14+W14+Z14</f>
        <v>0</v>
      </c>
      <c r="AD14" s="175">
        <f>L14+O14+R14+U14+X14+AA14</f>
        <v>0</v>
      </c>
      <c r="AE14" s="176">
        <v>0</v>
      </c>
    </row>
    <row r="15" spans="1:32" ht="28.8" x14ac:dyDescent="0.3">
      <c r="A15" s="1314"/>
      <c r="B15" s="1314"/>
      <c r="C15" s="321" t="s">
        <v>61</v>
      </c>
      <c r="D15" s="321" t="s">
        <v>125</v>
      </c>
      <c r="E15" s="321">
        <v>1</v>
      </c>
      <c r="F15" s="192">
        <v>1009836</v>
      </c>
      <c r="G15" s="32">
        <f>+ROUND(F15*1.051,0)</f>
        <v>1061338</v>
      </c>
      <c r="H15" s="192">
        <f>ROUND((E15*F15),0)</f>
        <v>1009836</v>
      </c>
      <c r="I15" s="32">
        <f>+ROUND(G15*E15,0)</f>
        <v>1061338</v>
      </c>
      <c r="J15" s="1314"/>
      <c r="K15" s="158">
        <v>0</v>
      </c>
      <c r="L15" s="194">
        <f>ROUND(K15*$F$15,0)</f>
        <v>0</v>
      </c>
      <c r="M15" s="195">
        <f>L15/$H$15</f>
        <v>0</v>
      </c>
      <c r="N15" s="433">
        <v>0.3</v>
      </c>
      <c r="O15" s="429">
        <f>ROUND(N15*$F$15,0)</f>
        <v>302951</v>
      </c>
      <c r="P15" s="430">
        <f>O15/$H$15</f>
        <v>0.30000019805196093</v>
      </c>
      <c r="Q15" s="432">
        <v>0</v>
      </c>
      <c r="R15" s="425">
        <f>ROUND(Q15*F15,0)</f>
        <v>0</v>
      </c>
      <c r="S15" s="604">
        <f>+R15/H15</f>
        <v>0</v>
      </c>
      <c r="T15" s="432">
        <v>0</v>
      </c>
      <c r="U15" s="425">
        <f t="shared" si="0"/>
        <v>0</v>
      </c>
      <c r="V15" s="604">
        <v>0</v>
      </c>
      <c r="W15" s="433">
        <v>0.7</v>
      </c>
      <c r="X15" s="429">
        <f>ROUND(W15*H15,0)</f>
        <v>706885</v>
      </c>
      <c r="Y15" s="534">
        <f>+X15/H15</f>
        <v>0.69999980194803912</v>
      </c>
      <c r="Z15" s="432">
        <v>0</v>
      </c>
      <c r="AA15" s="425">
        <f>ROUND(Z15*G15,0)</f>
        <v>0</v>
      </c>
      <c r="AB15" s="604">
        <f>+AA15/I15</f>
        <v>0</v>
      </c>
      <c r="AC15" s="416">
        <f t="shared" ref="AC15:AC28" si="1">K15+N15+Q15+T15+W15+Z15</f>
        <v>1</v>
      </c>
      <c r="AD15" s="175">
        <f t="shared" ref="AD15:AD28" si="2">L15+O15+R15+U15+X15+AA15</f>
        <v>1009836</v>
      </c>
      <c r="AE15" s="176">
        <f>AD15/H15</f>
        <v>1</v>
      </c>
    </row>
    <row r="16" spans="1:32" x14ac:dyDescent="0.3">
      <c r="A16" s="1314"/>
      <c r="B16" s="1314"/>
      <c r="C16" s="196"/>
      <c r="D16" s="196" t="s">
        <v>126</v>
      </c>
      <c r="E16" s="198"/>
      <c r="F16" s="198"/>
      <c r="G16" s="198"/>
      <c r="H16" s="199">
        <f>SUM(H14:H15)</f>
        <v>1009836</v>
      </c>
      <c r="I16" s="199">
        <f>SUM(I14:I15)</f>
        <v>1061338</v>
      </c>
      <c r="J16" s="1314"/>
      <c r="K16" s="308"/>
      <c r="L16" s="179">
        <f>SUM(L14:L15)</f>
        <v>0</v>
      </c>
      <c r="M16" s="308">
        <f>L16/$H$16</f>
        <v>0</v>
      </c>
      <c r="N16" s="308"/>
      <c r="O16" s="179">
        <f>SUM(O14:O15)</f>
        <v>302951</v>
      </c>
      <c r="P16" s="308">
        <f>O16/$H$16</f>
        <v>0.30000019805196093</v>
      </c>
      <c r="Q16" s="431"/>
      <c r="R16" s="179">
        <f>SUM(R14:R15)</f>
        <v>0</v>
      </c>
      <c r="S16" s="519">
        <f>R16/$H$16</f>
        <v>0</v>
      </c>
      <c r="T16" s="431"/>
      <c r="U16" s="179">
        <f>SUM(U14:U15)</f>
        <v>0</v>
      </c>
      <c r="V16" s="519">
        <f>U16/$H$16</f>
        <v>0</v>
      </c>
      <c r="W16" s="431"/>
      <c r="X16" s="179">
        <f>SUM(X14:X15)</f>
        <v>706885</v>
      </c>
      <c r="Y16" s="519">
        <f>X16/$H$16</f>
        <v>0.69999980194803912</v>
      </c>
      <c r="Z16" s="431"/>
      <c r="AA16" s="179">
        <f>SUM(AA14:AA15)</f>
        <v>0</v>
      </c>
      <c r="AB16" s="1100">
        <f t="shared" ref="AB16:AB29" si="3">+AA16/I16</f>
        <v>0</v>
      </c>
      <c r="AC16" s="1093"/>
      <c r="AD16" s="1078">
        <f t="shared" si="2"/>
        <v>1009836</v>
      </c>
      <c r="AE16" s="308">
        <f>AD16/H16</f>
        <v>1</v>
      </c>
    </row>
    <row r="17" spans="1:31" ht="28.8" x14ac:dyDescent="0.3">
      <c r="A17" s="1314" t="s">
        <v>837</v>
      </c>
      <c r="B17" s="1314" t="s">
        <v>170</v>
      </c>
      <c r="C17" s="321" t="s">
        <v>83</v>
      </c>
      <c r="D17" s="321" t="s">
        <v>123</v>
      </c>
      <c r="E17" s="321">
        <v>0</v>
      </c>
      <c r="F17" s="192">
        <v>1044658</v>
      </c>
      <c r="G17" s="32">
        <f t="shared" ref="G17:G18" si="4">+ROUND(F17*1.051,0)</f>
        <v>1097936</v>
      </c>
      <c r="H17" s="192">
        <f>ROUND((E17*F17),0)</f>
        <v>0</v>
      </c>
      <c r="I17" s="32">
        <f t="shared" ref="I17:I18" si="5">+ROUND(G17*E17,0)</f>
        <v>0</v>
      </c>
      <c r="J17" s="1314" t="s">
        <v>428</v>
      </c>
      <c r="K17" s="158">
        <v>0</v>
      </c>
      <c r="L17" s="194">
        <f>ROUND(K17*$F$17,0)</f>
        <v>0</v>
      </c>
      <c r="M17" s="195">
        <v>0</v>
      </c>
      <c r="N17" s="158">
        <v>0</v>
      </c>
      <c r="O17" s="194">
        <f>ROUND(N17*$F$17,0)</f>
        <v>0</v>
      </c>
      <c r="P17" s="195">
        <v>0</v>
      </c>
      <c r="Q17" s="432">
        <v>0</v>
      </c>
      <c r="R17" s="425">
        <f t="shared" ref="R17:R18" si="6">ROUND(Q17*F17,0)</f>
        <v>0</v>
      </c>
      <c r="S17" s="604">
        <v>0</v>
      </c>
      <c r="T17" s="432">
        <v>0</v>
      </c>
      <c r="U17" s="425">
        <f t="shared" si="0"/>
        <v>0</v>
      </c>
      <c r="V17" s="604">
        <v>0</v>
      </c>
      <c r="W17" s="432">
        <v>0</v>
      </c>
      <c r="X17" s="425">
        <f t="shared" ref="X17" si="7">ROUND(W17*I17,0)</f>
        <v>0</v>
      </c>
      <c r="Y17" s="604">
        <v>0</v>
      </c>
      <c r="Z17" s="432">
        <v>0</v>
      </c>
      <c r="AA17" s="425">
        <f>ROUND(Z17*G17,0)</f>
        <v>0</v>
      </c>
      <c r="AB17" s="1099">
        <v>0</v>
      </c>
      <c r="AC17" s="416">
        <f t="shared" si="1"/>
        <v>0</v>
      </c>
      <c r="AD17" s="175">
        <f t="shared" si="2"/>
        <v>0</v>
      </c>
      <c r="AE17" s="176">
        <v>0</v>
      </c>
    </row>
    <row r="18" spans="1:31" ht="28.8" x14ac:dyDescent="0.3">
      <c r="A18" s="1314"/>
      <c r="B18" s="1314"/>
      <c r="C18" s="321" t="s">
        <v>61</v>
      </c>
      <c r="D18" s="321" t="s">
        <v>125</v>
      </c>
      <c r="E18" s="321">
        <v>1</v>
      </c>
      <c r="F18" s="192">
        <v>1009836</v>
      </c>
      <c r="G18" s="32">
        <f t="shared" si="4"/>
        <v>1061338</v>
      </c>
      <c r="H18" s="192">
        <f>ROUND((E18*F18),0)</f>
        <v>1009836</v>
      </c>
      <c r="I18" s="32">
        <f t="shared" si="5"/>
        <v>1061338</v>
      </c>
      <c r="J18" s="1314"/>
      <c r="K18" s="158">
        <v>0</v>
      </c>
      <c r="L18" s="194">
        <f>ROUND(K18*$F$18,0)</f>
        <v>0</v>
      </c>
      <c r="M18" s="195">
        <f>L18/$H$18</f>
        <v>0</v>
      </c>
      <c r="N18" s="433">
        <v>0.3</v>
      </c>
      <c r="O18" s="429">
        <f>ROUND(N18*$F$18,0)</f>
        <v>302951</v>
      </c>
      <c r="P18" s="430">
        <f>O18/$H$18</f>
        <v>0.30000019805196093</v>
      </c>
      <c r="Q18" s="432">
        <v>0</v>
      </c>
      <c r="R18" s="425">
        <f t="shared" si="6"/>
        <v>0</v>
      </c>
      <c r="S18" s="604">
        <f t="shared" ref="S18" si="8">+R18/H18</f>
        <v>0</v>
      </c>
      <c r="T18" s="432">
        <v>0</v>
      </c>
      <c r="U18" s="425">
        <f t="shared" si="0"/>
        <v>0</v>
      </c>
      <c r="V18" s="604">
        <v>0</v>
      </c>
      <c r="W18" s="433">
        <v>0.7</v>
      </c>
      <c r="X18" s="429">
        <f>ROUND(W18*H18,0)</f>
        <v>706885</v>
      </c>
      <c r="Y18" s="534">
        <f>+X18/H18</f>
        <v>0.69999980194803912</v>
      </c>
      <c r="Z18" s="432">
        <v>0</v>
      </c>
      <c r="AA18" s="425">
        <f>ROUND(Z18*G18,0)</f>
        <v>0</v>
      </c>
      <c r="AB18" s="604">
        <f t="shared" si="3"/>
        <v>0</v>
      </c>
      <c r="AC18" s="416">
        <f t="shared" si="1"/>
        <v>1</v>
      </c>
      <c r="AD18" s="175">
        <f t="shared" si="2"/>
        <v>1009836</v>
      </c>
      <c r="AE18" s="176">
        <f>AD18/H18</f>
        <v>1</v>
      </c>
    </row>
    <row r="19" spans="1:31" x14ac:dyDescent="0.3">
      <c r="A19" s="1314"/>
      <c r="B19" s="1314"/>
      <c r="C19" s="196"/>
      <c r="D19" s="196" t="s">
        <v>126</v>
      </c>
      <c r="E19" s="198"/>
      <c r="F19" s="198"/>
      <c r="G19" s="198"/>
      <c r="H19" s="199">
        <f>SUM(H17:H18)</f>
        <v>1009836</v>
      </c>
      <c r="I19" s="199">
        <f>SUM(I17:I18)</f>
        <v>1061338</v>
      </c>
      <c r="J19" s="1314"/>
      <c r="K19" s="308"/>
      <c r="L19" s="179">
        <f>SUM(L17:L18)</f>
        <v>0</v>
      </c>
      <c r="M19" s="308">
        <f>L19/$H$19</f>
        <v>0</v>
      </c>
      <c r="N19" s="308"/>
      <c r="O19" s="179">
        <f>SUM(O17:O18)</f>
        <v>302951</v>
      </c>
      <c r="P19" s="308">
        <f>O19/$H$19</f>
        <v>0.30000019805196093</v>
      </c>
      <c r="Q19" s="431"/>
      <c r="R19" s="179">
        <f>SUM(R17:R18)</f>
        <v>0</v>
      </c>
      <c r="S19" s="519">
        <f>R19/$H$19</f>
        <v>0</v>
      </c>
      <c r="T19" s="431"/>
      <c r="U19" s="179">
        <f>SUM(U17:U18)</f>
        <v>0</v>
      </c>
      <c r="V19" s="519">
        <f>U19/$H$19</f>
        <v>0</v>
      </c>
      <c r="W19" s="431"/>
      <c r="X19" s="179">
        <f>SUM(X17:X18)</f>
        <v>706885</v>
      </c>
      <c r="Y19" s="519">
        <f>X19/$H$19</f>
        <v>0.69999980194803912</v>
      </c>
      <c r="Z19" s="431"/>
      <c r="AA19" s="179">
        <f>SUM(AA17:AA18)</f>
        <v>0</v>
      </c>
      <c r="AB19" s="1100">
        <f t="shared" si="3"/>
        <v>0</v>
      </c>
      <c r="AC19" s="1093"/>
      <c r="AD19" s="1078">
        <f t="shared" si="2"/>
        <v>1009836</v>
      </c>
      <c r="AE19" s="308">
        <f>AD19/H19</f>
        <v>1</v>
      </c>
    </row>
    <row r="20" spans="1:31" ht="28.8" x14ac:dyDescent="0.3">
      <c r="A20" s="1314" t="s">
        <v>838</v>
      </c>
      <c r="B20" s="1314" t="s">
        <v>170</v>
      </c>
      <c r="C20" s="321" t="s">
        <v>83</v>
      </c>
      <c r="D20" s="321" t="s">
        <v>123</v>
      </c>
      <c r="E20" s="321">
        <v>0</v>
      </c>
      <c r="F20" s="192">
        <v>1044658</v>
      </c>
      <c r="G20" s="32">
        <f t="shared" ref="G20:G21" si="9">+ROUND(F20*1.051,0)</f>
        <v>1097936</v>
      </c>
      <c r="H20" s="192">
        <f>ROUND((E20*F20),0)</f>
        <v>0</v>
      </c>
      <c r="I20" s="32">
        <f t="shared" ref="I20:I21" si="10">+ROUND(G20*E20,0)</f>
        <v>0</v>
      </c>
      <c r="J20" s="1314" t="s">
        <v>428</v>
      </c>
      <c r="K20" s="158">
        <v>0</v>
      </c>
      <c r="L20" s="194">
        <f>ROUND(K20*$F$20,0)</f>
        <v>0</v>
      </c>
      <c r="M20" s="195">
        <v>0</v>
      </c>
      <c r="N20" s="158">
        <v>0</v>
      </c>
      <c r="O20" s="194">
        <f>ROUND(N20*$F$20,0)</f>
        <v>0</v>
      </c>
      <c r="P20" s="195">
        <v>0</v>
      </c>
      <c r="Q20" s="432">
        <v>0</v>
      </c>
      <c r="R20" s="425">
        <f>ROUND(Q20*F20,0)</f>
        <v>0</v>
      </c>
      <c r="S20" s="604">
        <v>0</v>
      </c>
      <c r="T20" s="432">
        <v>0</v>
      </c>
      <c r="U20" s="425">
        <f t="shared" si="0"/>
        <v>0</v>
      </c>
      <c r="V20" s="604">
        <v>0</v>
      </c>
      <c r="W20" s="432">
        <v>0</v>
      </c>
      <c r="X20" s="425">
        <f t="shared" ref="X20" si="11">ROUND(W20*I20,0)</f>
        <v>0</v>
      </c>
      <c r="Y20" s="604">
        <v>0</v>
      </c>
      <c r="Z20" s="432">
        <v>0</v>
      </c>
      <c r="AA20" s="425">
        <f>ROUND(Z20*G20,0)</f>
        <v>0</v>
      </c>
      <c r="AB20" s="1099">
        <v>0</v>
      </c>
      <c r="AC20" s="416">
        <f t="shared" si="1"/>
        <v>0</v>
      </c>
      <c r="AD20" s="175">
        <f t="shared" si="2"/>
        <v>0</v>
      </c>
      <c r="AE20" s="176">
        <v>0</v>
      </c>
    </row>
    <row r="21" spans="1:31" ht="28.8" x14ac:dyDescent="0.3">
      <c r="A21" s="1314"/>
      <c r="B21" s="1314"/>
      <c r="C21" s="321" t="s">
        <v>61</v>
      </c>
      <c r="D21" s="321" t="s">
        <v>125</v>
      </c>
      <c r="E21" s="321">
        <v>1</v>
      </c>
      <c r="F21" s="192">
        <v>1009836</v>
      </c>
      <c r="G21" s="32">
        <f t="shared" si="9"/>
        <v>1061338</v>
      </c>
      <c r="H21" s="192">
        <f>ROUND((E21*F21),0)</f>
        <v>1009836</v>
      </c>
      <c r="I21" s="32">
        <f t="shared" si="10"/>
        <v>1061338</v>
      </c>
      <c r="J21" s="1314"/>
      <c r="K21" s="158">
        <v>0</v>
      </c>
      <c r="L21" s="194">
        <f>ROUND(K21*$F$21,0)</f>
        <v>0</v>
      </c>
      <c r="M21" s="195">
        <f>L21/$H$21</f>
        <v>0</v>
      </c>
      <c r="N21" s="433">
        <v>0.3</v>
      </c>
      <c r="O21" s="429">
        <f>ROUND(N21*$F$21,0)</f>
        <v>302951</v>
      </c>
      <c r="P21" s="430">
        <f>O21/$H$21</f>
        <v>0.30000019805196093</v>
      </c>
      <c r="Q21" s="432">
        <v>0</v>
      </c>
      <c r="R21" s="425">
        <f>ROUND(Q21*F21,0)</f>
        <v>0</v>
      </c>
      <c r="S21" s="604">
        <f>+R21/H21</f>
        <v>0</v>
      </c>
      <c r="T21" s="432">
        <v>0</v>
      </c>
      <c r="U21" s="425">
        <f t="shared" si="0"/>
        <v>0</v>
      </c>
      <c r="V21" s="604">
        <v>0</v>
      </c>
      <c r="W21" s="433">
        <v>0.7</v>
      </c>
      <c r="X21" s="429">
        <f>ROUND(W21*H21,0)</f>
        <v>706885</v>
      </c>
      <c r="Y21" s="534">
        <f>+X21/H21</f>
        <v>0.69999980194803912</v>
      </c>
      <c r="Z21" s="432">
        <v>0</v>
      </c>
      <c r="AA21" s="425">
        <f>ROUND(Z21*G21,0)</f>
        <v>0</v>
      </c>
      <c r="AB21" s="604">
        <f t="shared" si="3"/>
        <v>0</v>
      </c>
      <c r="AC21" s="416">
        <f t="shared" si="1"/>
        <v>1</v>
      </c>
      <c r="AD21" s="175">
        <f t="shared" si="2"/>
        <v>1009836</v>
      </c>
      <c r="AE21" s="176">
        <f>AD21/H21</f>
        <v>1</v>
      </c>
    </row>
    <row r="22" spans="1:31" x14ac:dyDescent="0.3">
      <c r="A22" s="1314"/>
      <c r="B22" s="1314"/>
      <c r="C22" s="196"/>
      <c r="D22" s="196" t="s">
        <v>126</v>
      </c>
      <c r="E22" s="198"/>
      <c r="F22" s="198"/>
      <c r="G22" s="198"/>
      <c r="H22" s="199">
        <f>SUM(H20:H21)</f>
        <v>1009836</v>
      </c>
      <c r="I22" s="199">
        <f>SUM(I20:I21)</f>
        <v>1061338</v>
      </c>
      <c r="J22" s="1314"/>
      <c r="K22" s="308"/>
      <c r="L22" s="179">
        <f>SUM(L20:L21)</f>
        <v>0</v>
      </c>
      <c r="M22" s="308">
        <f>L22/$H$22</f>
        <v>0</v>
      </c>
      <c r="N22" s="308"/>
      <c r="O22" s="179">
        <f>SUM(O20:O21)</f>
        <v>302951</v>
      </c>
      <c r="P22" s="308">
        <f>O22/$H$22</f>
        <v>0.30000019805196093</v>
      </c>
      <c r="Q22" s="431"/>
      <c r="R22" s="179">
        <f>SUM(R20:R21)</f>
        <v>0</v>
      </c>
      <c r="S22" s="519">
        <f>R22/$H$22</f>
        <v>0</v>
      </c>
      <c r="T22" s="431"/>
      <c r="U22" s="179">
        <f>SUM(U20:U21)</f>
        <v>0</v>
      </c>
      <c r="V22" s="519">
        <f>U22/$H$22</f>
        <v>0</v>
      </c>
      <c r="W22" s="431"/>
      <c r="X22" s="179">
        <f>SUM(X20:X21)</f>
        <v>706885</v>
      </c>
      <c r="Y22" s="519">
        <f>X22/$H$22</f>
        <v>0.69999980194803912</v>
      </c>
      <c r="Z22" s="431"/>
      <c r="AA22" s="179">
        <f>SUM(AA20:AA21)</f>
        <v>0</v>
      </c>
      <c r="AB22" s="1100">
        <f t="shared" si="3"/>
        <v>0</v>
      </c>
      <c r="AC22" s="1093"/>
      <c r="AD22" s="1078">
        <f t="shared" si="2"/>
        <v>1009836</v>
      </c>
      <c r="AE22" s="308">
        <f>AD22/H22</f>
        <v>1</v>
      </c>
    </row>
    <row r="23" spans="1:31" ht="28.8" x14ac:dyDescent="0.3">
      <c r="A23" s="1314" t="s">
        <v>280</v>
      </c>
      <c r="B23" s="1314" t="s">
        <v>243</v>
      </c>
      <c r="C23" s="321" t="s">
        <v>59</v>
      </c>
      <c r="D23" s="321" t="s">
        <v>141</v>
      </c>
      <c r="E23" s="321">
        <v>0</v>
      </c>
      <c r="F23" s="192">
        <v>940192</v>
      </c>
      <c r="G23" s="32">
        <f t="shared" ref="G23:G24" si="12">+ROUND(F23*1.051,0)</f>
        <v>988142</v>
      </c>
      <c r="H23" s="192">
        <f>ROUND((E23*F23),0)</f>
        <v>0</v>
      </c>
      <c r="I23" s="32">
        <f t="shared" ref="I23:I24" si="13">+ROUND(G23*E23,0)</f>
        <v>0</v>
      </c>
      <c r="J23" s="1314" t="s">
        <v>427</v>
      </c>
      <c r="K23" s="158">
        <v>0</v>
      </c>
      <c r="L23" s="194">
        <f>ROUND(K23*$F$23,0)</f>
        <v>0</v>
      </c>
      <c r="M23" s="195">
        <v>0</v>
      </c>
      <c r="N23" s="158">
        <v>0</v>
      </c>
      <c r="O23" s="194">
        <f>ROUND(N23*$F$23,0)</f>
        <v>0</v>
      </c>
      <c r="P23" s="195">
        <v>0</v>
      </c>
      <c r="Q23" s="432">
        <v>0</v>
      </c>
      <c r="R23" s="425">
        <f t="shared" ref="R23" si="14">ROUND(Q23*F23,0)</f>
        <v>0</v>
      </c>
      <c r="S23" s="604">
        <v>0</v>
      </c>
      <c r="T23" s="432">
        <v>0</v>
      </c>
      <c r="U23" s="425">
        <f t="shared" si="0"/>
        <v>0</v>
      </c>
      <c r="V23" s="604">
        <v>0</v>
      </c>
      <c r="W23" s="432">
        <v>0</v>
      </c>
      <c r="X23" s="425">
        <f t="shared" ref="X23:X24" si="15">ROUND(W23*I23,0)</f>
        <v>0</v>
      </c>
      <c r="Y23" s="604">
        <v>0</v>
      </c>
      <c r="Z23" s="432">
        <v>0</v>
      </c>
      <c r="AA23" s="425">
        <f>ROUND(Z23*G23,0)</f>
        <v>0</v>
      </c>
      <c r="AB23" s="1099">
        <v>0</v>
      </c>
      <c r="AC23" s="416">
        <f t="shared" si="1"/>
        <v>0</v>
      </c>
      <c r="AD23" s="175">
        <f t="shared" si="2"/>
        <v>0</v>
      </c>
      <c r="AE23" s="176">
        <v>0</v>
      </c>
    </row>
    <row r="24" spans="1:31" ht="28.8" x14ac:dyDescent="0.3">
      <c r="A24" s="1314"/>
      <c r="B24" s="1314"/>
      <c r="C24" s="321" t="s">
        <v>61</v>
      </c>
      <c r="D24" s="321" t="s">
        <v>142</v>
      </c>
      <c r="E24" s="321">
        <v>0.15</v>
      </c>
      <c r="F24" s="192">
        <v>2890220</v>
      </c>
      <c r="G24" s="32">
        <f t="shared" si="12"/>
        <v>3037621</v>
      </c>
      <c r="H24" s="192">
        <f>ROUND((E24*F24),0)</f>
        <v>433533</v>
      </c>
      <c r="I24" s="32">
        <f t="shared" si="13"/>
        <v>455643</v>
      </c>
      <c r="J24" s="1314"/>
      <c r="K24" s="158">
        <v>0</v>
      </c>
      <c r="L24" s="194">
        <f>ROUND(K24*$F$24,0)</f>
        <v>0</v>
      </c>
      <c r="M24" s="195">
        <f>L24/$H$24</f>
        <v>0</v>
      </c>
      <c r="N24" s="433">
        <v>0.15</v>
      </c>
      <c r="O24" s="429">
        <f>ROUND(N24*$F$24,0)</f>
        <v>433533</v>
      </c>
      <c r="P24" s="430">
        <f>O24/$H$24</f>
        <v>1</v>
      </c>
      <c r="Q24" s="432">
        <v>0</v>
      </c>
      <c r="R24" s="425">
        <f>ROUND(Q24*F24,0)</f>
        <v>0</v>
      </c>
      <c r="S24" s="604">
        <f t="shared" ref="S24" si="16">+R24/H24</f>
        <v>0</v>
      </c>
      <c r="T24" s="432">
        <v>0</v>
      </c>
      <c r="U24" s="425">
        <f t="shared" si="0"/>
        <v>0</v>
      </c>
      <c r="V24" s="604">
        <v>0</v>
      </c>
      <c r="W24" s="432">
        <v>0</v>
      </c>
      <c r="X24" s="425">
        <f t="shared" si="15"/>
        <v>0</v>
      </c>
      <c r="Y24" s="604">
        <f t="shared" ref="Y24" si="17">+X24/I24</f>
        <v>0</v>
      </c>
      <c r="Z24" s="432">
        <v>0</v>
      </c>
      <c r="AA24" s="425">
        <f>ROUND(Z24*G24,0)</f>
        <v>0</v>
      </c>
      <c r="AB24" s="604">
        <f t="shared" si="3"/>
        <v>0</v>
      </c>
      <c r="AC24" s="416">
        <f t="shared" si="1"/>
        <v>0.15</v>
      </c>
      <c r="AD24" s="175">
        <f t="shared" si="2"/>
        <v>433533</v>
      </c>
      <c r="AE24" s="176">
        <f t="shared" ref="AE24:AE29" si="18">AD24/H24</f>
        <v>1</v>
      </c>
    </row>
    <row r="25" spans="1:31" x14ac:dyDescent="0.3">
      <c r="A25" s="1314"/>
      <c r="B25" s="1314"/>
      <c r="C25" s="196"/>
      <c r="D25" s="196" t="s">
        <v>143</v>
      </c>
      <c r="E25" s="198"/>
      <c r="F25" s="198"/>
      <c r="G25" s="198"/>
      <c r="H25" s="199">
        <f>SUM(H23:H24)</f>
        <v>433533</v>
      </c>
      <c r="I25" s="199">
        <f>SUM(I23:I24)</f>
        <v>455643</v>
      </c>
      <c r="J25" s="1314"/>
      <c r="K25" s="308"/>
      <c r="L25" s="179">
        <f>SUM(L23:L24)</f>
        <v>0</v>
      </c>
      <c r="M25" s="308">
        <f>L25/$H$25</f>
        <v>0</v>
      </c>
      <c r="N25" s="308"/>
      <c r="O25" s="179">
        <f>SUM(O23:O24)</f>
        <v>433533</v>
      </c>
      <c r="P25" s="308">
        <f>O25/$H$25</f>
        <v>1</v>
      </c>
      <c r="Q25" s="431"/>
      <c r="R25" s="179">
        <f>SUM(R23:R24)</f>
        <v>0</v>
      </c>
      <c r="S25" s="519">
        <f>R25/$H$25</f>
        <v>0</v>
      </c>
      <c r="T25" s="431"/>
      <c r="U25" s="179">
        <f>SUM(U23:U24)</f>
        <v>0</v>
      </c>
      <c r="V25" s="519">
        <f>U25/$H$25</f>
        <v>0</v>
      </c>
      <c r="W25" s="431"/>
      <c r="X25" s="179">
        <f>SUM(X23:X24)</f>
        <v>0</v>
      </c>
      <c r="Y25" s="519">
        <f>X25/$H$25</f>
        <v>0</v>
      </c>
      <c r="Z25" s="431"/>
      <c r="AA25" s="179">
        <f>SUM(AA23:AA24)</f>
        <v>0</v>
      </c>
      <c r="AB25" s="1100">
        <f t="shared" si="3"/>
        <v>0</v>
      </c>
      <c r="AC25" s="1093"/>
      <c r="AD25" s="1078">
        <f t="shared" si="2"/>
        <v>433533</v>
      </c>
      <c r="AE25" s="308">
        <f t="shared" si="18"/>
        <v>1</v>
      </c>
    </row>
    <row r="26" spans="1:31" ht="30" customHeight="1" x14ac:dyDescent="0.3">
      <c r="A26" s="1314" t="s">
        <v>431</v>
      </c>
      <c r="B26" s="1314" t="s">
        <v>194</v>
      </c>
      <c r="C26" s="321" t="s">
        <v>160</v>
      </c>
      <c r="D26" s="321" t="s">
        <v>161</v>
      </c>
      <c r="E26" s="321">
        <v>48</v>
      </c>
      <c r="F26" s="192">
        <v>69644</v>
      </c>
      <c r="G26" s="32">
        <f>+ROUND(F26*1.051,0)</f>
        <v>73196</v>
      </c>
      <c r="H26" s="192">
        <f>ROUND((E26*F26),0)</f>
        <v>3342912</v>
      </c>
      <c r="I26" s="32">
        <f>+ROUND(G26*E26,0)</f>
        <v>3513408</v>
      </c>
      <c r="J26" s="1314" t="s">
        <v>429</v>
      </c>
      <c r="K26" s="158">
        <v>0</v>
      </c>
      <c r="L26" s="194">
        <f>ROUND(K26*$F$26,0)</f>
        <v>0</v>
      </c>
      <c r="M26" s="195">
        <f>L26/$H$26</f>
        <v>0</v>
      </c>
      <c r="N26" s="433">
        <f>24*70%</f>
        <v>16.799999999999997</v>
      </c>
      <c r="O26" s="429">
        <f>ROUND(N26*$F$26,0)</f>
        <v>1170019</v>
      </c>
      <c r="P26" s="430">
        <f>O26/$H$26</f>
        <v>0.34999994017192199</v>
      </c>
      <c r="Q26" s="433">
        <f>24-N26</f>
        <v>7.2000000000000028</v>
      </c>
      <c r="R26" s="429">
        <f>ROUND(Q26*F26,0)</f>
        <v>501437</v>
      </c>
      <c r="S26" s="534">
        <f t="shared" ref="S26" si="19">+R26/H26</f>
        <v>0.15000005982807804</v>
      </c>
      <c r="T26" s="433">
        <v>24</v>
      </c>
      <c r="U26" s="429">
        <f>ROUND(T26*F26,0)</f>
        <v>1671456</v>
      </c>
      <c r="V26" s="534">
        <f>+U26/H26</f>
        <v>0.5</v>
      </c>
      <c r="W26" s="432">
        <v>0</v>
      </c>
      <c r="X26" s="425">
        <f>ROUND(W26*I26,0)</f>
        <v>0</v>
      </c>
      <c r="Y26" s="604">
        <f>+X26/I26</f>
        <v>0</v>
      </c>
      <c r="Z26" s="432">
        <v>0</v>
      </c>
      <c r="AA26" s="425">
        <f>ROUND(Z26*G26,0)</f>
        <v>0</v>
      </c>
      <c r="AB26" s="604">
        <f t="shared" si="3"/>
        <v>0</v>
      </c>
      <c r="AC26" s="416">
        <f t="shared" si="1"/>
        <v>48</v>
      </c>
      <c r="AD26" s="175">
        <f t="shared" si="2"/>
        <v>3342912</v>
      </c>
      <c r="AE26" s="176">
        <f t="shared" si="18"/>
        <v>1</v>
      </c>
    </row>
    <row r="27" spans="1:31" x14ac:dyDescent="0.3">
      <c r="A27" s="1314"/>
      <c r="B27" s="1314"/>
      <c r="C27" s="196"/>
      <c r="D27" s="196" t="s">
        <v>162</v>
      </c>
      <c r="E27" s="198"/>
      <c r="F27" s="198"/>
      <c r="G27" s="198"/>
      <c r="H27" s="199">
        <f>H26</f>
        <v>3342912</v>
      </c>
      <c r="I27" s="199">
        <f>SUM(I26)</f>
        <v>3513408</v>
      </c>
      <c r="J27" s="1314"/>
      <c r="K27" s="308"/>
      <c r="L27" s="179">
        <f>SUM(L26)</f>
        <v>0</v>
      </c>
      <c r="M27" s="308">
        <f>L27/$H$27</f>
        <v>0</v>
      </c>
      <c r="N27" s="308"/>
      <c r="O27" s="179">
        <f>SUM(O26)</f>
        <v>1170019</v>
      </c>
      <c r="P27" s="308">
        <f>O27/$H$27</f>
        <v>0.34999994017192199</v>
      </c>
      <c r="Q27" s="431"/>
      <c r="R27" s="179">
        <f>SUM(R26)</f>
        <v>501437</v>
      </c>
      <c r="S27" s="519">
        <f>R27/$H$27</f>
        <v>0.15000005982807804</v>
      </c>
      <c r="T27" s="431"/>
      <c r="U27" s="179">
        <f>SUM(U26)</f>
        <v>1671456</v>
      </c>
      <c r="V27" s="519">
        <f>U27/$H$27</f>
        <v>0.5</v>
      </c>
      <c r="W27" s="431"/>
      <c r="X27" s="179">
        <f>SUM(X26)</f>
        <v>0</v>
      </c>
      <c r="Y27" s="519">
        <f>X27/$H$27</f>
        <v>0</v>
      </c>
      <c r="Z27" s="431"/>
      <c r="AA27" s="179">
        <f>SUM(AA26)</f>
        <v>0</v>
      </c>
      <c r="AB27" s="1100">
        <f t="shared" si="3"/>
        <v>0</v>
      </c>
      <c r="AC27" s="1093"/>
      <c r="AD27" s="1078">
        <f t="shared" si="2"/>
        <v>3342912</v>
      </c>
      <c r="AE27" s="308">
        <f t="shared" si="18"/>
        <v>1</v>
      </c>
    </row>
    <row r="28" spans="1:31" ht="28.8" x14ac:dyDescent="0.3">
      <c r="A28" s="1314" t="s">
        <v>431</v>
      </c>
      <c r="B28" s="1314" t="s">
        <v>284</v>
      </c>
      <c r="C28" s="321" t="s">
        <v>148</v>
      </c>
      <c r="D28" s="321" t="s">
        <v>181</v>
      </c>
      <c r="E28" s="321">
        <v>1</v>
      </c>
      <c r="F28" s="192">
        <v>6233127</v>
      </c>
      <c r="G28" s="32">
        <f>+ROUND(F28*1.051,0)</f>
        <v>6551016</v>
      </c>
      <c r="H28" s="192">
        <f>ROUND((E28*F28),0)</f>
        <v>6233127</v>
      </c>
      <c r="I28" s="32">
        <f>+ROUND(G28*E28,0)</f>
        <v>6551016</v>
      </c>
      <c r="J28" s="1314" t="s">
        <v>430</v>
      </c>
      <c r="K28" s="303">
        <f>1*0.7</f>
        <v>0.7</v>
      </c>
      <c r="L28" s="304">
        <f>ROUND(K28*$F$28,0)</f>
        <v>4363189</v>
      </c>
      <c r="M28" s="305">
        <f>L28/$H$28</f>
        <v>0.70000001604331186</v>
      </c>
      <c r="N28" s="432">
        <v>0</v>
      </c>
      <c r="O28" s="425">
        <f>ROUND(N28*$F$28,0)</f>
        <v>0</v>
      </c>
      <c r="P28" s="426">
        <f>O28/$H$28</f>
        <v>0</v>
      </c>
      <c r="Q28" s="432">
        <v>0</v>
      </c>
      <c r="R28" s="425">
        <f>ROUND(Q28*F28,0)</f>
        <v>0</v>
      </c>
      <c r="S28" s="604">
        <f t="shared" ref="S28" si="20">+R28/H28</f>
        <v>0</v>
      </c>
      <c r="T28" s="432">
        <v>0</v>
      </c>
      <c r="U28" s="425">
        <f t="shared" ref="U28" si="21">ROUND(T28*F28,0)</f>
        <v>0</v>
      </c>
      <c r="V28" s="604">
        <f t="shared" ref="V28" si="22">+U28/L28</f>
        <v>0</v>
      </c>
      <c r="W28" s="432">
        <v>0</v>
      </c>
      <c r="X28" s="429">
        <f>ROUND(W28*H28,0)</f>
        <v>0</v>
      </c>
      <c r="Y28" s="534">
        <f>+X28/H28</f>
        <v>0</v>
      </c>
      <c r="Z28" s="432">
        <v>0</v>
      </c>
      <c r="AA28" s="425">
        <f>ROUND(Z28*G28,0)</f>
        <v>0</v>
      </c>
      <c r="AB28" s="604">
        <f t="shared" si="3"/>
        <v>0</v>
      </c>
      <c r="AC28" s="416">
        <f t="shared" si="1"/>
        <v>0.7</v>
      </c>
      <c r="AD28" s="175">
        <f t="shared" si="2"/>
        <v>4363189</v>
      </c>
      <c r="AE28" s="176">
        <f t="shared" si="18"/>
        <v>0.70000001604331186</v>
      </c>
    </row>
    <row r="29" spans="1:31" x14ac:dyDescent="0.3">
      <c r="A29" s="1314"/>
      <c r="B29" s="1314"/>
      <c r="C29" s="196"/>
      <c r="D29" s="196" t="s">
        <v>183</v>
      </c>
      <c r="E29" s="198"/>
      <c r="F29" s="198"/>
      <c r="G29" s="198"/>
      <c r="H29" s="199">
        <f>H28</f>
        <v>6233127</v>
      </c>
      <c r="I29" s="199">
        <f>SUM(I28)</f>
        <v>6551016</v>
      </c>
      <c r="J29" s="1314"/>
      <c r="K29" s="308"/>
      <c r="L29" s="179">
        <f>SUM(L28)</f>
        <v>4363189</v>
      </c>
      <c r="M29" s="308">
        <f>L29/$H$29</f>
        <v>0.70000001604331186</v>
      </c>
      <c r="N29" s="308"/>
      <c r="O29" s="179">
        <f>SUM(O28)</f>
        <v>0</v>
      </c>
      <c r="P29" s="308">
        <f>O29/$H$29</f>
        <v>0</v>
      </c>
      <c r="Q29" s="431"/>
      <c r="R29" s="179">
        <f>SUM(R28)</f>
        <v>0</v>
      </c>
      <c r="S29" s="519">
        <f>R29/$H$29</f>
        <v>0</v>
      </c>
      <c r="T29" s="431"/>
      <c r="U29" s="179">
        <f>SUM(U28)</f>
        <v>0</v>
      </c>
      <c r="V29" s="519">
        <f>U29/$H$29</f>
        <v>0</v>
      </c>
      <c r="W29" s="431"/>
      <c r="X29" s="179">
        <f>SUM(X28)</f>
        <v>0</v>
      </c>
      <c r="Y29" s="519">
        <f>X29/$H$29</f>
        <v>0</v>
      </c>
      <c r="Z29" s="431"/>
      <c r="AA29" s="179">
        <f>SUM(AA28)</f>
        <v>0</v>
      </c>
      <c r="AB29" s="1100">
        <f t="shared" si="3"/>
        <v>0</v>
      </c>
      <c r="AC29" s="1096"/>
      <c r="AD29" s="1078">
        <f>L29+O29+R29+U29+X29+AA29</f>
        <v>4363189</v>
      </c>
      <c r="AE29" s="308">
        <f t="shared" si="18"/>
        <v>0.70000001604331186</v>
      </c>
    </row>
    <row r="30" spans="1:31" x14ac:dyDescent="0.3">
      <c r="F30" s="151" t="s">
        <v>64</v>
      </c>
      <c r="G30" s="151"/>
      <c r="H30" s="181">
        <f>SUM(H14:H29)/2</f>
        <v>13039080</v>
      </c>
      <c r="I30" s="181">
        <f>SUM(I14:I29)/2</f>
        <v>13704081</v>
      </c>
      <c r="K30" s="151" t="s">
        <v>64</v>
      </c>
      <c r="L30" s="181">
        <f>SUM(L14:L29)/2</f>
        <v>4363189</v>
      </c>
      <c r="M30" s="131">
        <f>L30/$H$30</f>
        <v>0.33462399187672748</v>
      </c>
      <c r="N30" s="480" t="s">
        <v>64</v>
      </c>
      <c r="O30" s="481">
        <f>SUM(O14:O29)/2</f>
        <v>2512405</v>
      </c>
      <c r="Q30" s="480" t="s">
        <v>64</v>
      </c>
      <c r="R30" s="481">
        <f>SUM(R14:R29)/2</f>
        <v>501437</v>
      </c>
      <c r="T30" s="480" t="s">
        <v>64</v>
      </c>
      <c r="U30" s="481">
        <f>SUM(U14:U29)/2</f>
        <v>1671456</v>
      </c>
      <c r="W30" s="480" t="s">
        <v>64</v>
      </c>
      <c r="X30" s="481">
        <f>SUM(X14:X29)/2</f>
        <v>2120655</v>
      </c>
      <c r="Z30" s="480" t="s">
        <v>64</v>
      </c>
      <c r="AA30" s="481">
        <f>SUM(AA14:AA29)/2</f>
        <v>0</v>
      </c>
      <c r="AC30" s="480" t="s">
        <v>64</v>
      </c>
      <c r="AD30" s="481">
        <f>SUM(AD14:AD29)/2</f>
        <v>11169142</v>
      </c>
    </row>
    <row r="31" spans="1:31" x14ac:dyDescent="0.3">
      <c r="F31" s="153" t="s">
        <v>65</v>
      </c>
      <c r="G31" s="816"/>
      <c r="H31" s="182">
        <f>+(((H19+H22+H29+H16)*0.3)+H25)*0.03</f>
        <v>96369.705000000002</v>
      </c>
      <c r="I31" s="182">
        <f>+(((I19+I22+I29+I16)*0.3)+I25)*0.03</f>
        <v>101284.56</v>
      </c>
      <c r="K31" s="153" t="s">
        <v>65</v>
      </c>
      <c r="L31" s="182">
        <f>+(((L19+L22+L29+L16)*0.3)+L25)*0.03</f>
        <v>39268.700999999994</v>
      </c>
      <c r="M31" s="516"/>
      <c r="N31" s="482" t="s">
        <v>65</v>
      </c>
      <c r="O31" s="483">
        <f>+(((H19+H22+O29+H16)*0.3)+H25)*0.03</f>
        <v>40271.561999999998</v>
      </c>
      <c r="Q31" s="482" t="s">
        <v>65</v>
      </c>
      <c r="R31" s="483">
        <f>+(((L19+L22+R29+L16)*0.3)+L25)*0.03</f>
        <v>0</v>
      </c>
      <c r="T31" s="482" t="s">
        <v>65</v>
      </c>
      <c r="U31" s="483">
        <f>+(((O19+O22+U29+O16)*0.3)+O25)*0.03</f>
        <v>21185.666999999998</v>
      </c>
      <c r="W31" s="482" t="s">
        <v>65</v>
      </c>
      <c r="X31" s="483">
        <f>+(((R19+R22+X29+R16)*0.3)+R25)*0.03</f>
        <v>0</v>
      </c>
      <c r="Z31" s="482" t="s">
        <v>65</v>
      </c>
      <c r="AA31" s="483">
        <f>+(((U19+U22+AA29+U16)*0.3)+U25)*0.03</f>
        <v>0</v>
      </c>
      <c r="AC31" s="482" t="s">
        <v>65</v>
      </c>
      <c r="AD31" s="483">
        <f>+L31+O31+R31+U31+X31</f>
        <v>100725.93</v>
      </c>
    </row>
    <row r="32" spans="1:31" x14ac:dyDescent="0.3">
      <c r="F32" s="152" t="s">
        <v>64</v>
      </c>
      <c r="G32" s="817"/>
      <c r="H32" s="182">
        <f>+H30+H31</f>
        <v>13135449.705</v>
      </c>
      <c r="I32" s="182">
        <f>+I30+I31</f>
        <v>13805365.560000001</v>
      </c>
      <c r="K32" s="152" t="s">
        <v>64</v>
      </c>
      <c r="L32" s="182">
        <f>+L30+L31</f>
        <v>4402457.7010000004</v>
      </c>
      <c r="N32" s="484" t="s">
        <v>64</v>
      </c>
      <c r="O32" s="483">
        <f>+O30+O31</f>
        <v>2552676.5619999999</v>
      </c>
      <c r="Q32" s="484" t="s">
        <v>64</v>
      </c>
      <c r="R32" s="483">
        <f>+R30+R31</f>
        <v>501437</v>
      </c>
      <c r="T32" s="484" t="s">
        <v>64</v>
      </c>
      <c r="U32" s="483">
        <f>+U30+U31</f>
        <v>1692641.6669999999</v>
      </c>
      <c r="W32" s="484" t="s">
        <v>64</v>
      </c>
      <c r="X32" s="483">
        <f>+X30+X31</f>
        <v>2120655</v>
      </c>
      <c r="Z32" s="484" t="s">
        <v>64</v>
      </c>
      <c r="AA32" s="483">
        <f>+AA30+AA31</f>
        <v>0</v>
      </c>
      <c r="AC32" s="484" t="s">
        <v>64</v>
      </c>
      <c r="AD32" s="483">
        <f>+AD30+AD31</f>
        <v>11269867.93</v>
      </c>
    </row>
    <row r="33" spans="1:31" ht="26.4" x14ac:dyDescent="0.3">
      <c r="F33" s="152"/>
      <c r="G33" s="817"/>
      <c r="H33" s="182"/>
      <c r="I33" s="182"/>
      <c r="K33" s="152"/>
      <c r="L33" s="182"/>
      <c r="N33" s="484" t="s">
        <v>1439</v>
      </c>
      <c r="O33" s="483">
        <f>ROUND(O32*0.015,0)</f>
        <v>38290</v>
      </c>
      <c r="Q33" s="484" t="s">
        <v>1439</v>
      </c>
      <c r="R33" s="483">
        <f>ROUND(R32*0.015,0)</f>
        <v>7522</v>
      </c>
      <c r="T33" s="484" t="s">
        <v>1439</v>
      </c>
      <c r="U33" s="483">
        <f>ROUND(U32*0.015,0)</f>
        <v>25390</v>
      </c>
      <c r="W33" s="484" t="s">
        <v>1439</v>
      </c>
      <c r="X33" s="483">
        <f>ROUND(X32*0.015,0)</f>
        <v>31810</v>
      </c>
      <c r="Z33" s="484" t="s">
        <v>1439</v>
      </c>
      <c r="AA33" s="483">
        <f>ROUND(AA32*0.015,0)</f>
        <v>0</v>
      </c>
      <c r="AC33" s="484" t="s">
        <v>1439</v>
      </c>
      <c r="AD33" s="483">
        <f>L33+O33+R33+U33+X33+AA33</f>
        <v>103012</v>
      </c>
    </row>
    <row r="34" spans="1:31" ht="26.4" x14ac:dyDescent="0.3">
      <c r="F34" s="152"/>
      <c r="G34" s="817"/>
      <c r="H34" s="182"/>
      <c r="I34" s="182"/>
      <c r="K34" s="152"/>
      <c r="L34" s="182"/>
      <c r="N34" s="152" t="s">
        <v>1440</v>
      </c>
      <c r="O34" s="182">
        <f>O32+O33</f>
        <v>2590966.5619999999</v>
      </c>
      <c r="P34" s="546">
        <f>O34/$H$30</f>
        <v>0.19870777401473108</v>
      </c>
      <c r="Q34" s="152" t="s">
        <v>1440</v>
      </c>
      <c r="R34" s="182">
        <f>R32+R33</f>
        <v>508959</v>
      </c>
      <c r="S34" s="615">
        <f>R34/$H$32</f>
        <v>3.8746979466280862E-2</v>
      </c>
      <c r="T34" s="152" t="s">
        <v>1440</v>
      </c>
      <c r="U34" s="182">
        <f>U32+U33</f>
        <v>1718031.6669999999</v>
      </c>
      <c r="V34" s="615">
        <f>U34/$H$32</f>
        <v>0.13079351720604071</v>
      </c>
      <c r="W34" s="152" t="s">
        <v>1440</v>
      </c>
      <c r="X34" s="182">
        <f>X32+X33</f>
        <v>2152465</v>
      </c>
      <c r="Y34" s="615">
        <f>X34/$H$32</f>
        <v>0.16386686777694909</v>
      </c>
      <c r="Z34" s="152" t="s">
        <v>1440</v>
      </c>
      <c r="AA34" s="182">
        <f>AA32+AA33</f>
        <v>0</v>
      </c>
      <c r="AB34" s="615">
        <f>AA34/$H$32</f>
        <v>0</v>
      </c>
      <c r="AC34" s="152" t="s">
        <v>1440</v>
      </c>
      <c r="AD34" s="182">
        <f>AD32+AD33</f>
        <v>11372879.93</v>
      </c>
      <c r="AE34" s="974">
        <f>AD34/H32</f>
        <v>0.86581580268781511</v>
      </c>
    </row>
    <row r="35" spans="1:31" x14ac:dyDescent="0.3">
      <c r="F35" s="154" t="s">
        <v>66</v>
      </c>
      <c r="G35" s="818"/>
      <c r="H35" s="182">
        <f>+H32*19%</f>
        <v>2495735.4439500002</v>
      </c>
      <c r="I35" s="182">
        <f>+I32*19%</f>
        <v>2623019.4564</v>
      </c>
      <c r="K35" s="154" t="s">
        <v>66</v>
      </c>
      <c r="L35" s="182">
        <f>+L32*19%</f>
        <v>836466.96319000004</v>
      </c>
      <c r="N35" s="485" t="s">
        <v>66</v>
      </c>
      <c r="O35" s="483">
        <f>ROUND(O34*0.19,0)</f>
        <v>492284</v>
      </c>
      <c r="Q35" s="485" t="s">
        <v>66</v>
      </c>
      <c r="R35" s="483">
        <f>ROUND(R34*0.19,0)</f>
        <v>96702</v>
      </c>
      <c r="T35" s="485" t="s">
        <v>66</v>
      </c>
      <c r="U35" s="483">
        <f>ROUND(U34*0.19,0)</f>
        <v>326426</v>
      </c>
      <c r="W35" s="485" t="s">
        <v>66</v>
      </c>
      <c r="X35" s="483">
        <f>ROUND(X34*0.19,0)</f>
        <v>408968</v>
      </c>
      <c r="Z35" s="485" t="s">
        <v>66</v>
      </c>
      <c r="AA35" s="483">
        <f>ROUND(AA34*0.19,0)</f>
        <v>0</v>
      </c>
      <c r="AC35" s="485" t="s">
        <v>66</v>
      </c>
      <c r="AD35" s="483">
        <f>ROUND(AD34*0.19,0)</f>
        <v>2160847</v>
      </c>
    </row>
    <row r="36" spans="1:31" x14ac:dyDescent="0.3">
      <c r="F36" s="155" t="s">
        <v>69</v>
      </c>
      <c r="G36" s="155"/>
      <c r="H36" s="181">
        <f>+H32+H35</f>
        <v>15631185.148949999</v>
      </c>
      <c r="I36" s="181">
        <f>+I32+I35</f>
        <v>16428385.0164</v>
      </c>
      <c r="K36" s="155" t="s">
        <v>69</v>
      </c>
      <c r="L36" s="181">
        <f>+L32+L35</f>
        <v>5238924.6641899999</v>
      </c>
      <c r="N36" s="545" t="s">
        <v>69</v>
      </c>
      <c r="O36" s="481">
        <f>O34+O35</f>
        <v>3083250.5619999999</v>
      </c>
      <c r="Q36" s="545" t="s">
        <v>69</v>
      </c>
      <c r="R36" s="481">
        <f>R34+R35</f>
        <v>605661</v>
      </c>
      <c r="T36" s="545" t="s">
        <v>69</v>
      </c>
      <c r="U36" s="481">
        <f>U34+U35</f>
        <v>2044457.6669999999</v>
      </c>
      <c r="W36" s="545" t="s">
        <v>69</v>
      </c>
      <c r="X36" s="481">
        <f>X34+X35</f>
        <v>2561433</v>
      </c>
      <c r="Z36" s="545" t="s">
        <v>69</v>
      </c>
      <c r="AA36" s="481">
        <f>AA34+AA35</f>
        <v>0</v>
      </c>
      <c r="AC36" s="545" t="s">
        <v>69</v>
      </c>
      <c r="AD36" s="481">
        <f>AD34+AD35</f>
        <v>13533726.93</v>
      </c>
    </row>
    <row r="37" spans="1:31" x14ac:dyDescent="0.3">
      <c r="Z37" s="1055"/>
      <c r="AA37" s="1055"/>
    </row>
    <row r="38" spans="1:31" x14ac:dyDescent="0.3">
      <c r="Z38" s="1055"/>
      <c r="AA38" s="1055"/>
    </row>
    <row r="39" spans="1:31" x14ac:dyDescent="0.3">
      <c r="A39" s="183" t="s">
        <v>67</v>
      </c>
      <c r="B39" s="184"/>
      <c r="C39" s="184"/>
      <c r="D39" s="185" t="s">
        <v>68</v>
      </c>
      <c r="K39" s="186" t="s">
        <v>70</v>
      </c>
      <c r="L39" s="187" t="s">
        <v>71</v>
      </c>
      <c r="M39" s="186" t="s">
        <v>58</v>
      </c>
      <c r="N39" s="186" t="s">
        <v>70</v>
      </c>
      <c r="O39" s="187" t="s">
        <v>71</v>
      </c>
      <c r="P39" s="186" t="s">
        <v>58</v>
      </c>
      <c r="Q39" s="186" t="s">
        <v>70</v>
      </c>
      <c r="R39" s="187" t="s">
        <v>71</v>
      </c>
      <c r="S39" s="521" t="s">
        <v>58</v>
      </c>
      <c r="T39" s="186" t="s">
        <v>70</v>
      </c>
      <c r="U39" s="187" t="s">
        <v>71</v>
      </c>
      <c r="V39" s="521" t="s">
        <v>58</v>
      </c>
      <c r="W39" s="186" t="s">
        <v>70</v>
      </c>
      <c r="X39" s="187" t="s">
        <v>71</v>
      </c>
      <c r="Y39" s="521" t="s">
        <v>58</v>
      </c>
      <c r="Z39" s="186" t="s">
        <v>70</v>
      </c>
      <c r="AA39" s="187" t="s">
        <v>71</v>
      </c>
      <c r="AB39" s="521" t="s">
        <v>58</v>
      </c>
    </row>
    <row r="40" spans="1:31" x14ac:dyDescent="0.3">
      <c r="A40" s="183"/>
      <c r="B40" s="184"/>
      <c r="C40" s="184"/>
      <c r="D40" s="185"/>
      <c r="K40" s="69" t="s">
        <v>72</v>
      </c>
      <c r="L40" s="70">
        <f>$L$32</f>
        <v>4402457.7010000004</v>
      </c>
      <c r="M40" s="71">
        <f>$M$30</f>
        <v>0.33462399187672748</v>
      </c>
      <c r="N40" s="69" t="s">
        <v>72</v>
      </c>
      <c r="O40" s="70">
        <f>$L$32</f>
        <v>4402457.7010000004</v>
      </c>
      <c r="P40" s="71">
        <f>$M$30</f>
        <v>0.33462399187672748</v>
      </c>
      <c r="Q40" s="69" t="s">
        <v>72</v>
      </c>
      <c r="R40" s="70">
        <f>$L$32</f>
        <v>4402457.7010000004</v>
      </c>
      <c r="S40" s="522">
        <f>$M$30</f>
        <v>0.33462399187672748</v>
      </c>
      <c r="T40" s="69" t="s">
        <v>72</v>
      </c>
      <c r="U40" s="70">
        <f>$L$32</f>
        <v>4402457.7010000004</v>
      </c>
      <c r="V40" s="522">
        <f>$M$30</f>
        <v>0.33462399187672748</v>
      </c>
      <c r="W40" s="69" t="s">
        <v>72</v>
      </c>
      <c r="X40" s="70">
        <f>$L$32</f>
        <v>4402457.7010000004</v>
      </c>
      <c r="Y40" s="522">
        <f>$M$30</f>
        <v>0.33462399187672748</v>
      </c>
      <c r="Z40" s="69" t="s">
        <v>72</v>
      </c>
      <c r="AA40" s="70">
        <f>$L$32</f>
        <v>4402457.7010000004</v>
      </c>
      <c r="AB40" s="522">
        <f>$M$30</f>
        <v>0.33462399187672748</v>
      </c>
    </row>
    <row r="41" spans="1:31" x14ac:dyDescent="0.3">
      <c r="A41" s="183"/>
      <c r="B41" s="184"/>
      <c r="C41" s="184"/>
      <c r="D41" s="185"/>
      <c r="K41" s="69"/>
      <c r="L41" s="70"/>
      <c r="M41" s="71"/>
      <c r="N41" s="69" t="s">
        <v>73</v>
      </c>
      <c r="O41" s="70">
        <f>$O$34</f>
        <v>2590966.5619999999</v>
      </c>
      <c r="P41" s="71">
        <f>$P$34</f>
        <v>0.19870777401473108</v>
      </c>
      <c r="Q41" s="69" t="s">
        <v>73</v>
      </c>
      <c r="R41" s="70">
        <f>$O$34</f>
        <v>2590966.5619999999</v>
      </c>
      <c r="S41" s="522">
        <f>$P$34</f>
        <v>0.19870777401473108</v>
      </c>
      <c r="T41" s="69" t="s">
        <v>73</v>
      </c>
      <c r="U41" s="70">
        <f>$O$34</f>
        <v>2590966.5619999999</v>
      </c>
      <c r="V41" s="522">
        <f>$P$34</f>
        <v>0.19870777401473108</v>
      </c>
      <c r="W41" s="69" t="s">
        <v>73</v>
      </c>
      <c r="X41" s="70">
        <f>$O$34</f>
        <v>2590966.5619999999</v>
      </c>
      <c r="Y41" s="522">
        <f>$P$34</f>
        <v>0.19870777401473108</v>
      </c>
      <c r="Z41" s="69" t="s">
        <v>73</v>
      </c>
      <c r="AA41" s="70">
        <f>$O$34</f>
        <v>2590966.5619999999</v>
      </c>
      <c r="AB41" s="522">
        <f>$P$34</f>
        <v>0.19870777401473108</v>
      </c>
    </row>
    <row r="42" spans="1:31" s="603" customFormat="1" x14ac:dyDescent="0.3">
      <c r="A42" s="183"/>
      <c r="B42" s="184"/>
      <c r="C42" s="184"/>
      <c r="D42" s="185"/>
      <c r="G42" s="852"/>
      <c r="I42" s="852"/>
      <c r="K42" s="69"/>
      <c r="L42" s="70"/>
      <c r="M42" s="71"/>
      <c r="N42" s="69"/>
      <c r="O42" s="70"/>
      <c r="P42" s="71"/>
      <c r="Q42" s="69" t="s">
        <v>74</v>
      </c>
      <c r="R42" s="70">
        <f>+R34</f>
        <v>508959</v>
      </c>
      <c r="S42" s="522">
        <f>+S34</f>
        <v>3.8746979466280862E-2</v>
      </c>
      <c r="T42" s="69" t="s">
        <v>74</v>
      </c>
      <c r="U42" s="70">
        <f>+R34</f>
        <v>508959</v>
      </c>
      <c r="V42" s="522">
        <f>+S34</f>
        <v>3.8746979466280862E-2</v>
      </c>
      <c r="W42" s="69" t="s">
        <v>74</v>
      </c>
      <c r="X42" s="70">
        <f>+R34</f>
        <v>508959</v>
      </c>
      <c r="Y42" s="522">
        <f>+S34</f>
        <v>3.8746979466280862E-2</v>
      </c>
      <c r="Z42" s="69" t="s">
        <v>74</v>
      </c>
      <c r="AA42" s="70">
        <f>+R34</f>
        <v>508959</v>
      </c>
      <c r="AB42" s="522">
        <f>+S34</f>
        <v>3.8746979466280862E-2</v>
      </c>
    </row>
    <row r="43" spans="1:31" s="771" customFormat="1" x14ac:dyDescent="0.3">
      <c r="A43" s="183"/>
      <c r="B43" s="184"/>
      <c r="C43" s="184"/>
      <c r="D43" s="185"/>
      <c r="G43" s="852"/>
      <c r="I43" s="852"/>
      <c r="K43" s="69"/>
      <c r="L43" s="620"/>
      <c r="M43" s="621"/>
      <c r="N43" s="69"/>
      <c r="O43" s="620"/>
      <c r="P43" s="621"/>
      <c r="Q43" s="778"/>
      <c r="R43" s="779"/>
      <c r="S43" s="780"/>
      <c r="T43" s="69" t="s">
        <v>155</v>
      </c>
      <c r="U43" s="779">
        <f>+U34</f>
        <v>1718031.6669999999</v>
      </c>
      <c r="V43" s="780">
        <f>+V34</f>
        <v>0.13079351720604071</v>
      </c>
      <c r="W43" s="69" t="s">
        <v>155</v>
      </c>
      <c r="X43" s="70">
        <f>+U34</f>
        <v>1718031.6669999999</v>
      </c>
      <c r="Y43" s="522">
        <f>+V34</f>
        <v>0.13079351720604071</v>
      </c>
      <c r="Z43" s="69" t="s">
        <v>155</v>
      </c>
      <c r="AA43" s="70">
        <f>+U34</f>
        <v>1718031.6669999999</v>
      </c>
      <c r="AB43" s="522">
        <f>+V34</f>
        <v>0.13079351720604071</v>
      </c>
    </row>
    <row r="44" spans="1:31" s="852" customFormat="1" x14ac:dyDescent="0.3">
      <c r="A44" s="183"/>
      <c r="B44" s="184"/>
      <c r="C44" s="184"/>
      <c r="D44" s="185"/>
      <c r="K44" s="69"/>
      <c r="L44" s="620"/>
      <c r="M44" s="621"/>
      <c r="N44" s="69"/>
      <c r="O44" s="620"/>
      <c r="P44" s="621"/>
      <c r="Q44" s="778"/>
      <c r="R44" s="779"/>
      <c r="S44" s="780"/>
      <c r="T44" s="778"/>
      <c r="U44" s="779"/>
      <c r="V44" s="780"/>
      <c r="W44" s="69" t="s">
        <v>352</v>
      </c>
      <c r="X44" s="70">
        <f>+X34</f>
        <v>2152465</v>
      </c>
      <c r="Y44" s="780">
        <f>+Y34</f>
        <v>0.16386686777694909</v>
      </c>
      <c r="Z44" s="69" t="s">
        <v>352</v>
      </c>
      <c r="AA44" s="70">
        <f>+X34</f>
        <v>2152465</v>
      </c>
      <c r="AB44" s="780">
        <f>+Y34</f>
        <v>0.16386686777694909</v>
      </c>
    </row>
    <row r="45" spans="1:31" s="767" customFormat="1" x14ac:dyDescent="0.3">
      <c r="A45" s="183"/>
      <c r="B45" s="184"/>
      <c r="C45" s="184"/>
      <c r="D45" s="185"/>
      <c r="G45" s="852"/>
      <c r="I45" s="852"/>
      <c r="K45" s="69"/>
      <c r="L45" s="620"/>
      <c r="M45" s="621"/>
      <c r="N45" s="69"/>
      <c r="O45" s="620"/>
      <c r="P45" s="621"/>
      <c r="Q45" s="1483" t="s">
        <v>1</v>
      </c>
      <c r="R45" s="1484"/>
      <c r="S45" s="774">
        <f>SUM(S40:S42)</f>
        <v>0.57207874535773939</v>
      </c>
      <c r="T45" s="773" t="s">
        <v>1</v>
      </c>
      <c r="U45" s="781">
        <f>SUM(U40:U43)</f>
        <v>9220414.9299999997</v>
      </c>
      <c r="V45" s="774">
        <f>SUM(V40:V43)</f>
        <v>0.7028722625637801</v>
      </c>
      <c r="W45" s="853" t="s">
        <v>1</v>
      </c>
      <c r="X45" s="781">
        <f>SUM(X40:X44)</f>
        <v>11372879.93</v>
      </c>
      <c r="Y45" s="957">
        <f>SUM(Y40:Y44)</f>
        <v>0.86673913034072925</v>
      </c>
      <c r="Z45" s="778" t="s">
        <v>979</v>
      </c>
      <c r="AA45" s="70">
        <f>+AA34</f>
        <v>0</v>
      </c>
      <c r="AB45" s="780">
        <f>+AB34</f>
        <v>0</v>
      </c>
    </row>
    <row r="46" spans="1:31" s="619" customFormat="1" x14ac:dyDescent="0.3">
      <c r="A46" s="183"/>
      <c r="B46" s="184"/>
      <c r="C46" s="184"/>
      <c r="D46" s="185"/>
      <c r="G46" s="852"/>
      <c r="I46" s="852"/>
      <c r="K46" s="69"/>
      <c r="L46" s="620"/>
      <c r="M46" s="621"/>
      <c r="N46" s="69"/>
      <c r="O46" s="620"/>
      <c r="P46" s="621"/>
      <c r="Q46" s="72" t="s">
        <v>9</v>
      </c>
      <c r="R46" s="1285"/>
      <c r="S46" s="1286"/>
      <c r="T46" s="72" t="s">
        <v>9</v>
      </c>
      <c r="U46" s="1285"/>
      <c r="V46" s="1286"/>
      <c r="W46" s="72" t="s">
        <v>9</v>
      </c>
      <c r="X46" s="1285"/>
      <c r="Y46" s="1286"/>
      <c r="Z46" s="1061" t="s">
        <v>1</v>
      </c>
      <c r="AA46" s="781">
        <f>SUM(AA40:AA45)</f>
        <v>11372879.93</v>
      </c>
      <c r="AB46" s="957">
        <f>SUM(AB40:AB45)</f>
        <v>0.86673913034072925</v>
      </c>
    </row>
    <row r="47" spans="1:31" x14ac:dyDescent="0.3">
      <c r="A47" s="183"/>
      <c r="B47" s="184"/>
      <c r="C47" s="184"/>
      <c r="D47" s="185"/>
      <c r="K47" s="156" t="s">
        <v>78</v>
      </c>
      <c r="L47" s="1285" t="s">
        <v>461</v>
      </c>
      <c r="M47" s="1286"/>
      <c r="N47" s="156" t="s">
        <v>78</v>
      </c>
      <c r="O47" s="1285" t="s">
        <v>461</v>
      </c>
      <c r="P47" s="1286"/>
      <c r="Q47" s="156" t="s">
        <v>78</v>
      </c>
      <c r="R47" s="1285" t="s">
        <v>461</v>
      </c>
      <c r="S47" s="1286"/>
      <c r="T47" s="156" t="s">
        <v>78</v>
      </c>
      <c r="U47" s="1285"/>
      <c r="V47" s="1286"/>
      <c r="W47" s="156" t="s">
        <v>78</v>
      </c>
      <c r="X47" s="1285"/>
      <c r="Y47" s="1286"/>
      <c r="Z47" s="72" t="s">
        <v>9</v>
      </c>
      <c r="AA47" s="1285"/>
      <c r="AB47" s="1286"/>
    </row>
    <row r="48" spans="1:31" x14ac:dyDescent="0.3">
      <c r="A48" s="183"/>
      <c r="B48" s="184"/>
      <c r="C48" s="184"/>
      <c r="D48" s="185"/>
      <c r="K48" s="157" t="s">
        <v>8</v>
      </c>
      <c r="L48" s="1287">
        <v>500000764272</v>
      </c>
      <c r="M48" s="1288"/>
      <c r="N48" s="157" t="s">
        <v>8</v>
      </c>
      <c r="O48" s="1287">
        <v>500000764272</v>
      </c>
      <c r="P48" s="1288"/>
      <c r="Q48" s="157" t="s">
        <v>8</v>
      </c>
      <c r="R48" s="1287">
        <v>500000764272</v>
      </c>
      <c r="S48" s="1288"/>
      <c r="T48" s="157" t="s">
        <v>8</v>
      </c>
      <c r="U48" s="1287"/>
      <c r="V48" s="1288"/>
      <c r="W48" s="157" t="s">
        <v>8</v>
      </c>
      <c r="X48" s="1287"/>
      <c r="Y48" s="1288"/>
      <c r="Z48" s="156" t="s">
        <v>78</v>
      </c>
      <c r="AA48" s="1285"/>
      <c r="AB48" s="1286"/>
    </row>
    <row r="49" spans="1:28" x14ac:dyDescent="0.3">
      <c r="A49" s="183"/>
      <c r="B49" s="184"/>
      <c r="C49" s="184"/>
      <c r="D49" s="185" t="s">
        <v>75</v>
      </c>
      <c r="Z49" s="157" t="s">
        <v>8</v>
      </c>
      <c r="AA49" s="1287"/>
      <c r="AB49" s="1288"/>
    </row>
    <row r="50" spans="1:28" x14ac:dyDescent="0.3">
      <c r="A50" s="183" t="s">
        <v>76</v>
      </c>
      <c r="B50" s="180"/>
      <c r="C50" s="180"/>
      <c r="D50" s="185" t="s">
        <v>77</v>
      </c>
    </row>
    <row r="51" spans="1:28" x14ac:dyDescent="0.3">
      <c r="A51" s="183" t="s">
        <v>79</v>
      </c>
      <c r="B51" s="180"/>
      <c r="C51" s="180"/>
      <c r="D51" s="185" t="s">
        <v>80</v>
      </c>
    </row>
  </sheetData>
  <sheetProtection formatCells="0" formatColumns="0" formatRows="0" insertColumns="0" insertRows="0" insertHyperlinks="0" deleteColumns="0" deleteRows="0" sort="0" autoFilter="0" pivotTables="0"/>
  <mergeCells count="55">
    <mergeCell ref="R47:S47"/>
    <mergeCell ref="R48:S48"/>
    <mergeCell ref="R46:S46"/>
    <mergeCell ref="A8:AE8"/>
    <mergeCell ref="A9:AE9"/>
    <mergeCell ref="A10:AE10"/>
    <mergeCell ref="B12:J12"/>
    <mergeCell ref="A20:A22"/>
    <mergeCell ref="U47:V47"/>
    <mergeCell ref="J20:J22"/>
    <mergeCell ref="X46:Y46"/>
    <mergeCell ref="AC1:AE1"/>
    <mergeCell ref="AC2:AE2"/>
    <mergeCell ref="A3:AE3"/>
    <mergeCell ref="A4:AE4"/>
    <mergeCell ref="A5:AE5"/>
    <mergeCell ref="C1:S2"/>
    <mergeCell ref="A6:AE6"/>
    <mergeCell ref="A7:AE7"/>
    <mergeCell ref="K11:M12"/>
    <mergeCell ref="AC11:AE12"/>
    <mergeCell ref="N11:P12"/>
    <mergeCell ref="O47:P47"/>
    <mergeCell ref="A26:A27"/>
    <mergeCell ref="W11:Y12"/>
    <mergeCell ref="Q45:R45"/>
    <mergeCell ref="A23:A25"/>
    <mergeCell ref="B23:B25"/>
    <mergeCell ref="A28:A29"/>
    <mergeCell ref="B28:B29"/>
    <mergeCell ref="J28:J29"/>
    <mergeCell ref="J26:J27"/>
    <mergeCell ref="B26:B27"/>
    <mergeCell ref="T11:V12"/>
    <mergeCell ref="A14:A16"/>
    <mergeCell ref="B14:B16"/>
    <mergeCell ref="J14:J16"/>
    <mergeCell ref="A17:A19"/>
    <mergeCell ref="B17:B19"/>
    <mergeCell ref="Z11:AB12"/>
    <mergeCell ref="AA47:AB47"/>
    <mergeCell ref="AA48:AB48"/>
    <mergeCell ref="AA49:AB49"/>
    <mergeCell ref="B20:B22"/>
    <mergeCell ref="J23:J25"/>
    <mergeCell ref="U46:V46"/>
    <mergeCell ref="L47:M47"/>
    <mergeCell ref="U48:V48"/>
    <mergeCell ref="X48:Y48"/>
    <mergeCell ref="B11:J11"/>
    <mergeCell ref="X47:Y47"/>
    <mergeCell ref="J17:J19"/>
    <mergeCell ref="L48:M48"/>
    <mergeCell ref="O48:P48"/>
    <mergeCell ref="Q11:S12"/>
  </mergeCells>
  <pageMargins left="0.7" right="0.7" top="0.75" bottom="0.75" header="0.3" footer="0.3"/>
  <pageSetup paperSize="9" scale="35" fitToHeight="0" orientation="landscape" r:id="rId1"/>
  <drawing r:id="rId2"/>
  <legacyDrawing r:id="rId3"/>
  <legacyDrawingHF r:id="rId4"/>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0">
    <tabColor theme="1"/>
  </sheetPr>
  <dimension ref="A1:G49"/>
  <sheetViews>
    <sheetView topLeftCell="A13"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RESUMEN!B51</f>
        <v>D00249388</v>
      </c>
      <c r="C7" s="1265"/>
      <c r="D7" s="1177"/>
      <c r="E7" s="1266" t="s">
        <v>627</v>
      </c>
      <c r="F7" s="1267"/>
      <c r="G7" s="280" t="str">
        <f>RESUMEN!E51</f>
        <v xml:space="preserve">17-258 </v>
      </c>
    </row>
    <row r="8" spans="1:7" x14ac:dyDescent="0.25">
      <c r="A8" s="271" t="s">
        <v>628</v>
      </c>
      <c r="B8" s="1264" t="str">
        <f>RESUMEN!C51</f>
        <v>D00249388000</v>
      </c>
      <c r="C8" s="1265"/>
      <c r="D8" s="1177"/>
      <c r="E8" s="1266" t="s">
        <v>629</v>
      </c>
      <c r="F8" s="1267"/>
      <c r="G8" s="280" t="str">
        <f>RESUMEN!U51</f>
        <v>Acta N° 3: Marzo</v>
      </c>
    </row>
    <row r="9" spans="1:7" x14ac:dyDescent="0.25">
      <c r="A9" s="271" t="s">
        <v>630</v>
      </c>
      <c r="B9" s="1283" t="s">
        <v>631</v>
      </c>
      <c r="C9" s="1265"/>
      <c r="D9" s="1177"/>
      <c r="E9" s="1266" t="s">
        <v>632</v>
      </c>
      <c r="F9" s="1267"/>
      <c r="G9" s="1178">
        <f>RESUMEN!H51</f>
        <v>6445542</v>
      </c>
    </row>
    <row r="10" spans="1:7" x14ac:dyDescent="0.25">
      <c r="A10" s="271" t="s">
        <v>633</v>
      </c>
      <c r="B10" s="1283" t="str">
        <f>RESUMEN!D51</f>
        <v>VILLA PINZON</v>
      </c>
      <c r="C10" s="1265"/>
      <c r="D10" s="1177"/>
      <c r="E10" s="1266" t="s">
        <v>634</v>
      </c>
      <c r="F10" s="1267"/>
      <c r="G10" s="1178">
        <f>RESUMEN!R51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RESUMEN!N51</f>
        <v>0</v>
      </c>
      <c r="F19" s="1248"/>
      <c r="G19" s="1177"/>
    </row>
    <row r="20" spans="1:7" ht="27" customHeight="1" x14ac:dyDescent="0.25">
      <c r="A20" s="1177"/>
      <c r="B20" s="1244" t="s">
        <v>1498</v>
      </c>
      <c r="C20" s="1245"/>
      <c r="D20" s="1246"/>
      <c r="E20" s="1247">
        <f>RESUMEN!P51</f>
        <v>0</v>
      </c>
      <c r="F20" s="1248"/>
      <c r="G20" s="1177"/>
    </row>
    <row r="21" spans="1:7" ht="27" customHeight="1" x14ac:dyDescent="0.25">
      <c r="A21" s="1177"/>
      <c r="B21" s="1244" t="s">
        <v>1499</v>
      </c>
      <c r="C21" s="1245"/>
      <c r="D21" s="1246"/>
      <c r="E21" s="1247">
        <f>RESUMEN!Q51</f>
        <v>0</v>
      </c>
      <c r="F21" s="1248"/>
      <c r="G21" s="1177"/>
    </row>
    <row r="22" spans="1:7" x14ac:dyDescent="0.25">
      <c r="A22" s="1177"/>
      <c r="B22" s="1254" t="s">
        <v>64</v>
      </c>
      <c r="C22" s="1254"/>
      <c r="D22" s="1254"/>
      <c r="E22" s="1255">
        <f>RESUMEN!R51</f>
        <v>0</v>
      </c>
      <c r="F22" s="1255"/>
      <c r="G22" s="1177"/>
    </row>
    <row r="23" spans="1:7" x14ac:dyDescent="0.25">
      <c r="A23" s="1177"/>
      <c r="B23" s="1256" t="s">
        <v>66</v>
      </c>
      <c r="C23" s="1256"/>
      <c r="D23" s="1256"/>
      <c r="E23" s="1257">
        <f>RESUMEN!S51</f>
        <v>0</v>
      </c>
      <c r="F23" s="1257"/>
      <c r="G23" s="1177"/>
    </row>
    <row r="24" spans="1:7" x14ac:dyDescent="0.25">
      <c r="A24" s="1177"/>
      <c r="B24" s="1258" t="s">
        <v>1</v>
      </c>
      <c r="C24" s="1258"/>
      <c r="D24" s="1258"/>
      <c r="E24" s="1259">
        <f>RESUMEN!T51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+'OT17-258 VILLA PINZON'!Q40</f>
        <v>ACTA 1</v>
      </c>
      <c r="C28" s="1253">
        <f>+'OT17-258 VILLA PINZON'!R40</f>
        <v>1880316</v>
      </c>
      <c r="D28" s="1253"/>
      <c r="E28" s="267">
        <f>+'OT17-258 VILLA PINZON'!S40</f>
        <v>0.29073395656805628</v>
      </c>
      <c r="F28" s="1177"/>
      <c r="G28" s="1177"/>
    </row>
    <row r="29" spans="1:7" x14ac:dyDescent="0.25">
      <c r="A29" s="1177"/>
      <c r="B29" s="280" t="str">
        <f>+'OT17-258 VILLA PINZON'!Q41</f>
        <v>ACTA 2</v>
      </c>
      <c r="C29" s="1253">
        <f>+'OT17-258 VILLA PINZON'!R41</f>
        <v>1880316</v>
      </c>
      <c r="D29" s="1253"/>
      <c r="E29" s="267">
        <f>+'OT17-258 VILLA PINZON'!S41</f>
        <v>0.29073395656805628</v>
      </c>
      <c r="F29" s="1177"/>
      <c r="G29" s="1177"/>
    </row>
    <row r="30" spans="1:7" x14ac:dyDescent="0.25">
      <c r="A30" s="1177"/>
      <c r="B30" s="280" t="str">
        <f>+'OT17-258 VILLA PINZON'!Q42</f>
        <v>ACTA 3</v>
      </c>
      <c r="C30" s="1253">
        <f>+'OT17-258 VILLA PINZON'!R42</f>
        <v>0</v>
      </c>
      <c r="D30" s="1253"/>
      <c r="E30" s="267">
        <f>+'OT17-258 VILLA PINZON'!S42</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3760632</v>
      </c>
      <c r="D34" s="1251"/>
      <c r="E34" s="264">
        <f>SUM(E28:E33)</f>
        <v>0.58146791313611257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RESUMEN!V51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2">
    <tabColor rgb="FF7B2307"/>
    <pageSetUpPr fitToPage="1"/>
  </sheetPr>
  <dimension ref="A1:V48"/>
  <sheetViews>
    <sheetView view="pageBreakPreview" topLeftCell="B16" zoomScale="60" zoomScaleNormal="60" workbookViewId="0">
      <selection activeCell="O24" sqref="O24"/>
    </sheetView>
  </sheetViews>
  <sheetFormatPr baseColWidth="10" defaultColWidth="11.44140625" defaultRowHeight="14.4" x14ac:dyDescent="0.3"/>
  <cols>
    <col min="1" max="1" width="20.109375" style="189" customWidth="1"/>
    <col min="2" max="2" width="22.5546875" style="189" customWidth="1"/>
    <col min="3" max="3" width="31.6640625" style="189" customWidth="1"/>
    <col min="4" max="4" width="21.6640625" style="189" customWidth="1"/>
    <col min="5" max="5" width="13" style="189" customWidth="1"/>
    <col min="6" max="6" width="17.88671875" style="189" customWidth="1"/>
    <col min="7" max="7" width="17.88671875" style="852" customWidth="1"/>
    <col min="8" max="8" width="16.6640625" style="189" bestFit="1" customWidth="1"/>
    <col min="9" max="9" width="16.6640625" style="852" customWidth="1"/>
    <col min="10" max="10" width="31.6640625" style="189" customWidth="1"/>
    <col min="11" max="11" width="17.88671875" style="189" hidden="1" customWidth="1"/>
    <col min="12" max="12" width="18" style="189" hidden="1" customWidth="1"/>
    <col min="13" max="13" width="0" style="189" hidden="1" customWidth="1"/>
    <col min="14" max="14" width="17.88671875" style="738" customWidth="1"/>
    <col min="15" max="15" width="18" style="738" bestFit="1" customWidth="1"/>
    <col min="16" max="16" width="11.44140625" style="738"/>
    <col min="17" max="17" width="17.88671875" style="852" customWidth="1"/>
    <col min="18" max="18" width="18" style="852" bestFit="1" customWidth="1"/>
    <col min="19" max="19" width="11.44140625" style="852"/>
    <col min="20" max="20" width="17.88671875" style="189" bestFit="1" customWidth="1"/>
    <col min="21" max="21" width="16.5546875" style="189" bestFit="1" customWidth="1"/>
    <col min="22" max="16384" width="11.44140625" style="189"/>
  </cols>
  <sheetData>
    <row r="1" spans="1:22" s="302" customFormat="1" ht="21" customHeight="1" thickBot="1" x14ac:dyDescent="0.35">
      <c r="A1" s="169"/>
      <c r="B1" s="188"/>
      <c r="C1" s="1307" t="s">
        <v>40</v>
      </c>
      <c r="D1" s="1308"/>
      <c r="E1" s="1308"/>
      <c r="F1" s="1308"/>
      <c r="G1" s="1308"/>
      <c r="H1" s="1308"/>
      <c r="I1" s="1308"/>
      <c r="J1" s="1308"/>
      <c r="K1" s="1308"/>
      <c r="L1" s="1308"/>
      <c r="M1" s="1308"/>
      <c r="N1" s="733"/>
      <c r="O1" s="733"/>
      <c r="P1" s="733"/>
      <c r="Q1" s="846"/>
      <c r="R1" s="846"/>
      <c r="S1" s="846"/>
      <c r="T1" s="1328" t="s">
        <v>163</v>
      </c>
      <c r="U1" s="1303"/>
      <c r="V1" s="1304"/>
    </row>
    <row r="2" spans="1:22" s="302" customFormat="1" ht="13.5" customHeight="1" thickBot="1" x14ac:dyDescent="0.35">
      <c r="A2" s="170"/>
      <c r="B2" s="190"/>
      <c r="C2" s="1310"/>
      <c r="D2" s="1311"/>
      <c r="E2" s="1311"/>
      <c r="F2" s="1311"/>
      <c r="G2" s="1311"/>
      <c r="H2" s="1311"/>
      <c r="I2" s="1311"/>
      <c r="J2" s="1311"/>
      <c r="K2" s="1311"/>
      <c r="L2" s="1311"/>
      <c r="M2" s="1311"/>
      <c r="N2" s="734"/>
      <c r="O2" s="734"/>
      <c r="P2" s="734"/>
      <c r="Q2" s="847"/>
      <c r="R2" s="847"/>
      <c r="S2" s="847"/>
      <c r="T2" s="1329" t="s">
        <v>41</v>
      </c>
      <c r="U2" s="1305"/>
      <c r="V2" s="1306"/>
    </row>
    <row r="3" spans="1:2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302" customFormat="1" ht="13.5" customHeight="1" x14ac:dyDescent="0.3">
      <c r="A7" s="1291" t="s">
        <v>312</v>
      </c>
      <c r="B7" s="1292"/>
      <c r="C7" s="1292"/>
      <c r="D7" s="1292"/>
      <c r="E7" s="1292"/>
      <c r="F7" s="1292"/>
      <c r="G7" s="1292"/>
      <c r="H7" s="1292"/>
      <c r="I7" s="1292"/>
      <c r="J7" s="1292"/>
      <c r="K7" s="1292"/>
      <c r="L7" s="1292"/>
      <c r="M7" s="1292"/>
      <c r="N7" s="1292"/>
      <c r="O7" s="1292"/>
      <c r="P7" s="1292"/>
      <c r="Q7" s="1292"/>
      <c r="R7" s="1292"/>
      <c r="S7" s="1292"/>
      <c r="T7" s="1292"/>
      <c r="U7" s="1292"/>
      <c r="V7" s="1292"/>
    </row>
    <row r="8" spans="1:22" s="302"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s="302" customFormat="1" ht="13.5" customHeight="1" x14ac:dyDescent="0.3">
      <c r="A10" s="1292" t="s">
        <v>1088</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302" customFormat="1" ht="13.5" customHeight="1" x14ac:dyDescent="0.3">
      <c r="A11" s="382"/>
      <c r="B11" s="1301"/>
      <c r="C11" s="1313"/>
      <c r="D11" s="1313"/>
      <c r="E11" s="1313"/>
      <c r="F11" s="1313"/>
      <c r="G11" s="1313"/>
      <c r="H11" s="1313"/>
      <c r="I11" s="1313"/>
      <c r="J11" s="1313"/>
      <c r="K11" s="1293" t="s">
        <v>1529</v>
      </c>
      <c r="L11" s="1294"/>
      <c r="M11" s="1295"/>
      <c r="N11" s="1293" t="s">
        <v>1977</v>
      </c>
      <c r="O11" s="1294"/>
      <c r="P11" s="1295"/>
      <c r="Q11" s="1293" t="s">
        <v>2318</v>
      </c>
      <c r="R11" s="1294"/>
      <c r="S11" s="1295"/>
      <c r="T11" s="1299" t="s">
        <v>49</v>
      </c>
      <c r="U11" s="1299"/>
      <c r="V11" s="1299"/>
    </row>
    <row r="12" spans="1:22"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174" t="s">
        <v>54</v>
      </c>
      <c r="U13" s="172" t="s">
        <v>56</v>
      </c>
      <c r="V13" s="28" t="s">
        <v>58</v>
      </c>
    </row>
    <row r="14" spans="1:22" ht="30" customHeight="1" x14ac:dyDescent="0.3">
      <c r="A14" s="1314" t="s">
        <v>507</v>
      </c>
      <c r="B14" s="1314" t="s">
        <v>210</v>
      </c>
      <c r="C14" s="383" t="s">
        <v>81</v>
      </c>
      <c r="D14" s="383" t="s">
        <v>207</v>
      </c>
      <c r="E14" s="383">
        <v>0</v>
      </c>
      <c r="F14" s="192">
        <v>800905</v>
      </c>
      <c r="G14" s="32">
        <f>+ROUND(F14*1.051,0)</f>
        <v>841751</v>
      </c>
      <c r="H14" s="192">
        <f>ROUND((E14*F14),0)</f>
        <v>0</v>
      </c>
      <c r="I14" s="32">
        <f>+ROUND(G14*E14,0)</f>
        <v>0</v>
      </c>
      <c r="J14" s="1314" t="s">
        <v>813</v>
      </c>
      <c r="K14" s="158">
        <v>0</v>
      </c>
      <c r="L14" s="194">
        <f>ROUND(K14*$F$14,0)</f>
        <v>0</v>
      </c>
      <c r="M14" s="195">
        <v>0</v>
      </c>
      <c r="N14" s="432">
        <v>0</v>
      </c>
      <c r="O14" s="425">
        <f>ROUND(N14*$F$14,0)</f>
        <v>0</v>
      </c>
      <c r="P14" s="426">
        <v>0</v>
      </c>
      <c r="Q14" s="432">
        <v>0</v>
      </c>
      <c r="R14" s="425">
        <f>ROUND(Q14*G14,0)</f>
        <v>0</v>
      </c>
      <c r="S14" s="604">
        <v>0</v>
      </c>
      <c r="T14" s="149">
        <f>K14+N14+Q14</f>
        <v>0</v>
      </c>
      <c r="U14" s="175">
        <f>L14+O14+R14</f>
        <v>0</v>
      </c>
      <c r="V14" s="176">
        <v>0</v>
      </c>
    </row>
    <row r="15" spans="1:22" ht="30" customHeight="1" x14ac:dyDescent="0.3">
      <c r="A15" s="1314"/>
      <c r="B15" s="1314"/>
      <c r="C15" s="383" t="s">
        <v>83</v>
      </c>
      <c r="D15" s="383" t="s">
        <v>208</v>
      </c>
      <c r="E15" s="383">
        <v>0</v>
      </c>
      <c r="F15" s="192">
        <v>2646468</v>
      </c>
      <c r="G15" s="32">
        <f t="shared" ref="G15:G28" si="0">+ROUND(F15*1.051,0)</f>
        <v>2781438</v>
      </c>
      <c r="H15" s="192">
        <f>ROUND((E15*F15),0)</f>
        <v>0</v>
      </c>
      <c r="I15" s="32">
        <f t="shared" ref="I15:I16" si="1">+ROUND(G15*E15,0)</f>
        <v>0</v>
      </c>
      <c r="J15" s="1314"/>
      <c r="K15" s="158">
        <v>0</v>
      </c>
      <c r="L15" s="194">
        <f>ROUND(K15*$F$15,0)</f>
        <v>0</v>
      </c>
      <c r="M15" s="195">
        <v>0</v>
      </c>
      <c r="N15" s="432">
        <v>0</v>
      </c>
      <c r="O15" s="425">
        <f>ROUND(N15*$F$15,0)</f>
        <v>0</v>
      </c>
      <c r="P15" s="426">
        <v>0</v>
      </c>
      <c r="Q15" s="432">
        <v>0</v>
      </c>
      <c r="R15" s="425">
        <f t="shared" ref="R15:R16" si="2">ROUND(Q15*G15,0)</f>
        <v>0</v>
      </c>
      <c r="S15" s="604">
        <v>0</v>
      </c>
      <c r="T15" s="416">
        <f>K15+N15+Q15</f>
        <v>0</v>
      </c>
      <c r="U15" s="175">
        <f t="shared" ref="U15:U28" si="3">L15+O15+R15</f>
        <v>0</v>
      </c>
      <c r="V15" s="176">
        <v>0</v>
      </c>
    </row>
    <row r="16" spans="1:22" ht="30" customHeight="1" x14ac:dyDescent="0.3">
      <c r="A16" s="1314"/>
      <c r="B16" s="1314"/>
      <c r="C16" s="383" t="s">
        <v>61</v>
      </c>
      <c r="D16" s="383" t="s">
        <v>209</v>
      </c>
      <c r="E16" s="383">
        <v>0.5</v>
      </c>
      <c r="F16" s="192">
        <v>1775919</v>
      </c>
      <c r="G16" s="32">
        <f t="shared" si="0"/>
        <v>1866491</v>
      </c>
      <c r="H16" s="192">
        <f>ROUND((E16*F16),0)</f>
        <v>887960</v>
      </c>
      <c r="I16" s="32">
        <f t="shared" si="1"/>
        <v>933246</v>
      </c>
      <c r="J16" s="1314"/>
      <c r="K16" s="433">
        <v>0.5</v>
      </c>
      <c r="L16" s="429">
        <f>ROUND(K16*$F$16,0)</f>
        <v>887960</v>
      </c>
      <c r="M16" s="430">
        <f>L16/$H$16</f>
        <v>1</v>
      </c>
      <c r="N16" s="432">
        <v>0</v>
      </c>
      <c r="O16" s="425">
        <f>ROUND(N16*$F$16,0)</f>
        <v>0</v>
      </c>
      <c r="P16" s="426">
        <f>O16/$H$16</f>
        <v>0</v>
      </c>
      <c r="Q16" s="432">
        <v>0</v>
      </c>
      <c r="R16" s="425">
        <f t="shared" si="2"/>
        <v>0</v>
      </c>
      <c r="S16" s="604">
        <f t="shared" ref="S16:S29" si="4">+R16/I16</f>
        <v>0</v>
      </c>
      <c r="T16" s="149">
        <f>K16+N16</f>
        <v>0.5</v>
      </c>
      <c r="U16" s="175">
        <f>L16+O16+R16</f>
        <v>887960</v>
      </c>
      <c r="V16" s="176">
        <f>U16/H16</f>
        <v>1</v>
      </c>
    </row>
    <row r="17" spans="1:22" ht="15" customHeight="1" x14ac:dyDescent="0.3">
      <c r="A17" s="1314"/>
      <c r="B17" s="1314"/>
      <c r="C17" s="196"/>
      <c r="D17" s="196" t="s">
        <v>136</v>
      </c>
      <c r="E17" s="198"/>
      <c r="F17" s="198"/>
      <c r="G17" s="198"/>
      <c r="H17" s="199">
        <f>SUM(H14:H16)</f>
        <v>887960</v>
      </c>
      <c r="I17" s="199">
        <f>SUM(I14:I16)</f>
        <v>933246</v>
      </c>
      <c r="J17" s="1314"/>
      <c r="K17" s="308"/>
      <c r="L17" s="179">
        <f>SUM(L14:L16)</f>
        <v>887960</v>
      </c>
      <c r="M17" s="308">
        <f>L17/$H$17</f>
        <v>1</v>
      </c>
      <c r="N17" s="431"/>
      <c r="O17" s="179">
        <f>SUM(O14:O16)</f>
        <v>0</v>
      </c>
      <c r="P17" s="431">
        <f>O17/$H$17</f>
        <v>0</v>
      </c>
      <c r="Q17" s="431"/>
      <c r="R17" s="179">
        <f>SUM(R14:R16)</f>
        <v>0</v>
      </c>
      <c r="S17" s="1100">
        <f t="shared" si="4"/>
        <v>0</v>
      </c>
      <c r="T17" s="306"/>
      <c r="U17" s="1078">
        <f t="shared" si="3"/>
        <v>887960</v>
      </c>
      <c r="V17" s="308">
        <f>U17/H17</f>
        <v>1</v>
      </c>
    </row>
    <row r="18" spans="1:22" ht="30" customHeight="1" x14ac:dyDescent="0.3">
      <c r="A18" s="1314" t="s">
        <v>280</v>
      </c>
      <c r="B18" s="1314" t="s">
        <v>240</v>
      </c>
      <c r="C18" s="383" t="s">
        <v>59</v>
      </c>
      <c r="D18" s="383" t="s">
        <v>241</v>
      </c>
      <c r="E18" s="383">
        <v>0.3</v>
      </c>
      <c r="F18" s="192">
        <v>2437535</v>
      </c>
      <c r="G18" s="32">
        <f t="shared" si="0"/>
        <v>2561849</v>
      </c>
      <c r="H18" s="192">
        <f>ROUND((E18*F18),0)</f>
        <v>731261</v>
      </c>
      <c r="I18" s="32">
        <f>+ROUND(G18*E18,0)</f>
        <v>768555</v>
      </c>
      <c r="J18" s="1314" t="s">
        <v>713</v>
      </c>
      <c r="K18" s="158">
        <v>0</v>
      </c>
      <c r="L18" s="194">
        <f>ROUND(K18*$F$18,0)</f>
        <v>0</v>
      </c>
      <c r="M18" s="195">
        <f>L18/$H$18</f>
        <v>0</v>
      </c>
      <c r="N18" s="432">
        <v>0</v>
      </c>
      <c r="O18" s="425">
        <f>ROUND(N18*$F$18,0)</f>
        <v>0</v>
      </c>
      <c r="P18" s="426">
        <f>O18/$H$18</f>
        <v>0</v>
      </c>
      <c r="Q18" s="432">
        <v>0</v>
      </c>
      <c r="R18" s="425">
        <f>ROUND(Q18*G18,0)</f>
        <v>0</v>
      </c>
      <c r="S18" s="604">
        <f t="shared" si="4"/>
        <v>0</v>
      </c>
      <c r="T18" s="416">
        <f>K18+N18+Q18</f>
        <v>0</v>
      </c>
      <c r="U18" s="175">
        <f t="shared" si="3"/>
        <v>0</v>
      </c>
      <c r="V18" s="176">
        <f>U18/H18</f>
        <v>0</v>
      </c>
    </row>
    <row r="19" spans="1:22" ht="15" customHeight="1" x14ac:dyDescent="0.3">
      <c r="A19" s="1314"/>
      <c r="B19" s="1314"/>
      <c r="C19" s="196"/>
      <c r="D19" s="196" t="s">
        <v>242</v>
      </c>
      <c r="E19" s="198"/>
      <c r="F19" s="198"/>
      <c r="G19" s="198"/>
      <c r="H19" s="199">
        <f>H18</f>
        <v>731261</v>
      </c>
      <c r="I19" s="199">
        <f>SUM(I18)</f>
        <v>768555</v>
      </c>
      <c r="J19" s="1314"/>
      <c r="K19" s="308"/>
      <c r="L19" s="179">
        <f>SUM(L18)</f>
        <v>0</v>
      </c>
      <c r="M19" s="308">
        <f>L19/$H$19</f>
        <v>0</v>
      </c>
      <c r="N19" s="431"/>
      <c r="O19" s="179">
        <f>SUM(O18)</f>
        <v>0</v>
      </c>
      <c r="P19" s="431">
        <f>O19/$H$19</f>
        <v>0</v>
      </c>
      <c r="Q19" s="431"/>
      <c r="R19" s="179">
        <f>SUM(R18)</f>
        <v>0</v>
      </c>
      <c r="S19" s="1100">
        <f t="shared" si="4"/>
        <v>0</v>
      </c>
      <c r="T19" s="306"/>
      <c r="U19" s="1078">
        <f t="shared" si="3"/>
        <v>0</v>
      </c>
      <c r="V19" s="308">
        <f>U19/H19</f>
        <v>0</v>
      </c>
    </row>
    <row r="20" spans="1:22" ht="30" customHeight="1" x14ac:dyDescent="0.3">
      <c r="A20" s="1314" t="s">
        <v>280</v>
      </c>
      <c r="B20" s="1314" t="s">
        <v>170</v>
      </c>
      <c r="C20" s="383" t="s">
        <v>83</v>
      </c>
      <c r="D20" s="383" t="s">
        <v>123</v>
      </c>
      <c r="E20" s="383">
        <v>0</v>
      </c>
      <c r="F20" s="192">
        <v>1044658</v>
      </c>
      <c r="G20" s="32">
        <f t="shared" si="0"/>
        <v>1097936</v>
      </c>
      <c r="H20" s="192">
        <f>ROUND((E20*F20),0)</f>
        <v>0</v>
      </c>
      <c r="I20" s="32">
        <f t="shared" ref="I20:I21" si="5">+ROUND(G20*E20,0)</f>
        <v>0</v>
      </c>
      <c r="J20" s="1314" t="s">
        <v>663</v>
      </c>
      <c r="K20" s="158">
        <v>0</v>
      </c>
      <c r="L20" s="194">
        <f>ROUND(K20*$F$20,0)</f>
        <v>0</v>
      </c>
      <c r="M20" s="195">
        <v>0</v>
      </c>
      <c r="N20" s="432">
        <v>0</v>
      </c>
      <c r="O20" s="425">
        <f>ROUND(N20*$F$20,0)</f>
        <v>0</v>
      </c>
      <c r="P20" s="426">
        <v>0</v>
      </c>
      <c r="Q20" s="432">
        <v>0</v>
      </c>
      <c r="R20" s="425">
        <f t="shared" ref="R20:R21" si="6">ROUND(Q20*G20,0)</f>
        <v>0</v>
      </c>
      <c r="S20" s="604">
        <v>0</v>
      </c>
      <c r="T20" s="416">
        <f t="shared" ref="T20:T21" si="7">K20+N20+Q20</f>
        <v>0</v>
      </c>
      <c r="U20" s="175">
        <f t="shared" si="3"/>
        <v>0</v>
      </c>
      <c r="V20" s="176">
        <v>0</v>
      </c>
    </row>
    <row r="21" spans="1:22" ht="30" customHeight="1" x14ac:dyDescent="0.3">
      <c r="A21" s="1314"/>
      <c r="B21" s="1314"/>
      <c r="C21" s="383" t="s">
        <v>61</v>
      </c>
      <c r="D21" s="383" t="s">
        <v>125</v>
      </c>
      <c r="E21" s="383">
        <v>0.7</v>
      </c>
      <c r="F21" s="192">
        <v>1009836</v>
      </c>
      <c r="G21" s="32">
        <f t="shared" si="0"/>
        <v>1061338</v>
      </c>
      <c r="H21" s="192">
        <f>ROUND((E21*F21),0)</f>
        <v>706885</v>
      </c>
      <c r="I21" s="32">
        <f t="shared" si="5"/>
        <v>742937</v>
      </c>
      <c r="J21" s="1314"/>
      <c r="K21" s="433">
        <v>0.7</v>
      </c>
      <c r="L21" s="429">
        <f>ROUND(K21*$F$21,0)</f>
        <v>706885</v>
      </c>
      <c r="M21" s="430">
        <f>L21/$H$21</f>
        <v>1</v>
      </c>
      <c r="N21" s="432">
        <v>0</v>
      </c>
      <c r="O21" s="425">
        <f>ROUND(N21*$F$21,0)</f>
        <v>0</v>
      </c>
      <c r="P21" s="426">
        <f>O21/$H$21</f>
        <v>0</v>
      </c>
      <c r="Q21" s="432">
        <v>0</v>
      </c>
      <c r="R21" s="425">
        <f t="shared" si="6"/>
        <v>0</v>
      </c>
      <c r="S21" s="604">
        <f t="shared" si="4"/>
        <v>0</v>
      </c>
      <c r="T21" s="416">
        <f t="shared" si="7"/>
        <v>0.7</v>
      </c>
      <c r="U21" s="175">
        <f t="shared" si="3"/>
        <v>706885</v>
      </c>
      <c r="V21" s="176">
        <f>U21/H21</f>
        <v>1</v>
      </c>
    </row>
    <row r="22" spans="1:22" ht="15" customHeight="1" x14ac:dyDescent="0.3">
      <c r="A22" s="1314"/>
      <c r="B22" s="1314"/>
      <c r="C22" s="196"/>
      <c r="D22" s="196" t="s">
        <v>126</v>
      </c>
      <c r="E22" s="198"/>
      <c r="F22" s="198"/>
      <c r="G22" s="198"/>
      <c r="H22" s="199">
        <f>SUM(H20:H21)</f>
        <v>706885</v>
      </c>
      <c r="I22" s="199">
        <f>SUM(I20:I21)</f>
        <v>742937</v>
      </c>
      <c r="J22" s="1314"/>
      <c r="K22" s="308"/>
      <c r="L22" s="179">
        <f>SUM(L20:L21)</f>
        <v>706885</v>
      </c>
      <c r="M22" s="308">
        <f>L22/$H$22</f>
        <v>1</v>
      </c>
      <c r="N22" s="431"/>
      <c r="O22" s="179">
        <f>SUM(O20:O21)</f>
        <v>0</v>
      </c>
      <c r="P22" s="431">
        <f>O22/$H$22</f>
        <v>0</v>
      </c>
      <c r="Q22" s="431"/>
      <c r="R22" s="179">
        <f>SUM(R20:R21)</f>
        <v>0</v>
      </c>
      <c r="S22" s="1100">
        <f t="shared" si="4"/>
        <v>0</v>
      </c>
      <c r="T22" s="306"/>
      <c r="U22" s="1078">
        <f t="shared" si="3"/>
        <v>706885</v>
      </c>
      <c r="V22" s="308">
        <f>U22/H22</f>
        <v>1</v>
      </c>
    </row>
    <row r="23" spans="1:22" ht="30" customHeight="1" x14ac:dyDescent="0.3">
      <c r="A23" s="1314" t="s">
        <v>285</v>
      </c>
      <c r="B23" s="1314" t="s">
        <v>211</v>
      </c>
      <c r="C23" s="383" t="s">
        <v>81</v>
      </c>
      <c r="D23" s="383" t="s">
        <v>212</v>
      </c>
      <c r="E23" s="383">
        <v>0</v>
      </c>
      <c r="F23" s="192">
        <v>800905</v>
      </c>
      <c r="G23" s="32">
        <f t="shared" si="0"/>
        <v>841751</v>
      </c>
      <c r="H23" s="192">
        <f>ROUND((E23*F23),0)</f>
        <v>0</v>
      </c>
      <c r="I23" s="32">
        <f t="shared" ref="I23:I25" si="8">+ROUND(G23*E23,0)</f>
        <v>0</v>
      </c>
      <c r="J23" s="1314" t="s">
        <v>1087</v>
      </c>
      <c r="K23" s="158">
        <v>0</v>
      </c>
      <c r="L23" s="194">
        <f>ROUND(K23*$F$23,0)</f>
        <v>0</v>
      </c>
      <c r="M23" s="195">
        <v>0</v>
      </c>
      <c r="N23" s="432">
        <v>0</v>
      </c>
      <c r="O23" s="425">
        <f>ROUND(N23*$F$23,0)</f>
        <v>0</v>
      </c>
      <c r="P23" s="426">
        <v>0</v>
      </c>
      <c r="Q23" s="432">
        <v>0</v>
      </c>
      <c r="R23" s="425">
        <f t="shared" ref="R23:R25" si="9">ROUND(Q23*G23,0)</f>
        <v>0</v>
      </c>
      <c r="S23" s="604">
        <v>0</v>
      </c>
      <c r="T23" s="416">
        <f t="shared" ref="T23:T25" si="10">K23+N23+Q23</f>
        <v>0</v>
      </c>
      <c r="U23" s="175">
        <f t="shared" si="3"/>
        <v>0</v>
      </c>
      <c r="V23" s="176">
        <v>0</v>
      </c>
    </row>
    <row r="24" spans="1:22" ht="30" customHeight="1" x14ac:dyDescent="0.3">
      <c r="A24" s="1314"/>
      <c r="B24" s="1314"/>
      <c r="C24" s="383" t="s">
        <v>83</v>
      </c>
      <c r="D24" s="383" t="s">
        <v>213</v>
      </c>
      <c r="E24" s="383">
        <v>0.7</v>
      </c>
      <c r="F24" s="192">
        <v>2646468</v>
      </c>
      <c r="G24" s="32">
        <f t="shared" si="0"/>
        <v>2781438</v>
      </c>
      <c r="H24" s="192">
        <f>ROUND((E24*F24),0)</f>
        <v>1852528</v>
      </c>
      <c r="I24" s="32">
        <f t="shared" si="8"/>
        <v>1947007</v>
      </c>
      <c r="J24" s="1314"/>
      <c r="K24" s="158">
        <v>0</v>
      </c>
      <c r="L24" s="194">
        <f>ROUND(K24*$F$24,0)</f>
        <v>0</v>
      </c>
      <c r="M24" s="195">
        <f>L24/$H$24</f>
        <v>0</v>
      </c>
      <c r="N24" s="433">
        <v>0.7</v>
      </c>
      <c r="O24" s="429">
        <f>ROUND(N24*$F$24,0)</f>
        <v>1852528</v>
      </c>
      <c r="P24" s="430">
        <f>O24/$H$24</f>
        <v>1</v>
      </c>
      <c r="Q24" s="432">
        <v>0</v>
      </c>
      <c r="R24" s="425">
        <f t="shared" si="9"/>
        <v>0</v>
      </c>
      <c r="S24" s="604">
        <f t="shared" si="4"/>
        <v>0</v>
      </c>
      <c r="T24" s="416">
        <f t="shared" si="10"/>
        <v>0.7</v>
      </c>
      <c r="U24" s="175">
        <f t="shared" si="3"/>
        <v>1852528</v>
      </c>
      <c r="V24" s="176">
        <f>U24/H24</f>
        <v>1</v>
      </c>
    </row>
    <row r="25" spans="1:22" ht="30" customHeight="1" x14ac:dyDescent="0.3">
      <c r="A25" s="1314"/>
      <c r="B25" s="1314"/>
      <c r="C25" s="383" t="s">
        <v>61</v>
      </c>
      <c r="D25" s="383" t="s">
        <v>214</v>
      </c>
      <c r="E25" s="383">
        <v>0.7</v>
      </c>
      <c r="F25" s="192">
        <v>2228604</v>
      </c>
      <c r="G25" s="32">
        <f t="shared" si="0"/>
        <v>2342263</v>
      </c>
      <c r="H25" s="192">
        <f>ROUND((E25*F25),0)</f>
        <v>1560023</v>
      </c>
      <c r="I25" s="32">
        <f t="shared" si="8"/>
        <v>1639584</v>
      </c>
      <c r="J25" s="1314"/>
      <c r="K25" s="433">
        <v>0.7</v>
      </c>
      <c r="L25" s="429">
        <f>ROUND(K25*$F$25,0)</f>
        <v>1560023</v>
      </c>
      <c r="M25" s="430">
        <f>L25/$H$25</f>
        <v>1</v>
      </c>
      <c r="N25" s="432">
        <v>0</v>
      </c>
      <c r="O25" s="425">
        <f>ROUND(N25*$F$25,0)</f>
        <v>0</v>
      </c>
      <c r="P25" s="426">
        <f>O25/$H$25</f>
        <v>0</v>
      </c>
      <c r="Q25" s="432">
        <v>0</v>
      </c>
      <c r="R25" s="425">
        <f t="shared" si="9"/>
        <v>0</v>
      </c>
      <c r="S25" s="604">
        <f t="shared" si="4"/>
        <v>0</v>
      </c>
      <c r="T25" s="416">
        <f t="shared" si="10"/>
        <v>0.7</v>
      </c>
      <c r="U25" s="175">
        <f t="shared" si="3"/>
        <v>1560023</v>
      </c>
      <c r="V25" s="176">
        <f>U25/H25</f>
        <v>1</v>
      </c>
    </row>
    <row r="26" spans="1:22" x14ac:dyDescent="0.3">
      <c r="A26" s="1314"/>
      <c r="B26" s="1314"/>
      <c r="C26" s="196"/>
      <c r="D26" s="196" t="s">
        <v>215</v>
      </c>
      <c r="E26" s="198"/>
      <c r="F26" s="198"/>
      <c r="G26" s="198"/>
      <c r="H26" s="199">
        <f>SUM(H23:H25)</f>
        <v>3412551</v>
      </c>
      <c r="I26" s="199">
        <f>SUM(I23:I25)</f>
        <v>3586591</v>
      </c>
      <c r="J26" s="1314"/>
      <c r="K26" s="308"/>
      <c r="L26" s="179">
        <f>SUM(L23:L25)</f>
        <v>1560023</v>
      </c>
      <c r="M26" s="308">
        <f>L26/$H$26</f>
        <v>0.45714276504585571</v>
      </c>
      <c r="N26" s="431"/>
      <c r="O26" s="179">
        <f>SUM(O23:O25)</f>
        <v>1852528</v>
      </c>
      <c r="P26" s="431">
        <f>O26/$H$26</f>
        <v>0.54285723495414429</v>
      </c>
      <c r="Q26" s="431"/>
      <c r="R26" s="179">
        <f>SUM(R23:R25)</f>
        <v>0</v>
      </c>
      <c r="S26" s="1100">
        <f t="shared" si="4"/>
        <v>0</v>
      </c>
      <c r="T26" s="306"/>
      <c r="U26" s="1078">
        <f t="shared" si="3"/>
        <v>3412551</v>
      </c>
      <c r="V26" s="308">
        <f>U26/H26</f>
        <v>1</v>
      </c>
    </row>
    <row r="27" spans="1:22" ht="30" customHeight="1" x14ac:dyDescent="0.3">
      <c r="A27" s="1314" t="s">
        <v>285</v>
      </c>
      <c r="B27" s="1314" t="s">
        <v>170</v>
      </c>
      <c r="C27" s="383" t="s">
        <v>83</v>
      </c>
      <c r="D27" s="383" t="s">
        <v>123</v>
      </c>
      <c r="E27" s="383">
        <v>0</v>
      </c>
      <c r="F27" s="192">
        <v>1044658</v>
      </c>
      <c r="G27" s="32">
        <f t="shared" si="0"/>
        <v>1097936</v>
      </c>
      <c r="H27" s="192">
        <f>ROUND((E27*F27),0)</f>
        <v>0</v>
      </c>
      <c r="I27" s="32">
        <f t="shared" ref="I27:I28" si="11">+ROUND(G27*E27,0)</f>
        <v>0</v>
      </c>
      <c r="J27" s="1314" t="s">
        <v>1086</v>
      </c>
      <c r="K27" s="158">
        <v>0</v>
      </c>
      <c r="L27" s="194">
        <f>ROUND(K27*$F$27,0)</f>
        <v>0</v>
      </c>
      <c r="M27" s="195">
        <v>0</v>
      </c>
      <c r="N27" s="432">
        <v>0</v>
      </c>
      <c r="O27" s="425">
        <f>ROUND(N27*$F$27,0)</f>
        <v>0</v>
      </c>
      <c r="P27" s="426">
        <v>0</v>
      </c>
      <c r="Q27" s="432">
        <v>0</v>
      </c>
      <c r="R27" s="425">
        <f t="shared" ref="R27:R28" si="12">ROUND(Q27*G27,0)</f>
        <v>0</v>
      </c>
      <c r="S27" s="604">
        <v>0</v>
      </c>
      <c r="T27" s="416">
        <f t="shared" ref="T27" si="13">K27+N27+Q27</f>
        <v>0</v>
      </c>
      <c r="U27" s="175">
        <f t="shared" si="3"/>
        <v>0</v>
      </c>
      <c r="V27" s="176">
        <v>0</v>
      </c>
    </row>
    <row r="28" spans="1:22" ht="30" customHeight="1" x14ac:dyDescent="0.3">
      <c r="A28" s="1314"/>
      <c r="B28" s="1314"/>
      <c r="C28" s="383" t="s">
        <v>61</v>
      </c>
      <c r="D28" s="383" t="s">
        <v>125</v>
      </c>
      <c r="E28" s="383">
        <v>0.7</v>
      </c>
      <c r="F28" s="192">
        <v>1009836</v>
      </c>
      <c r="G28" s="32">
        <f t="shared" si="0"/>
        <v>1061338</v>
      </c>
      <c r="H28" s="192">
        <f>ROUND((E28*F28),0)</f>
        <v>706885</v>
      </c>
      <c r="I28" s="32">
        <f t="shared" si="11"/>
        <v>742937</v>
      </c>
      <c r="J28" s="1314"/>
      <c r="K28" s="433">
        <v>0.7</v>
      </c>
      <c r="L28" s="429">
        <f>ROUND(K28*$F$28,0)</f>
        <v>706885</v>
      </c>
      <c r="M28" s="430">
        <f>L28/$H$28</f>
        <v>1</v>
      </c>
      <c r="N28" s="432">
        <v>0</v>
      </c>
      <c r="O28" s="425">
        <f>ROUND(N28*$F$28,0)</f>
        <v>0</v>
      </c>
      <c r="P28" s="426">
        <f>O28/$H$28</f>
        <v>0</v>
      </c>
      <c r="Q28" s="432">
        <v>0</v>
      </c>
      <c r="R28" s="425">
        <f t="shared" si="12"/>
        <v>0</v>
      </c>
      <c r="S28" s="604">
        <f t="shared" si="4"/>
        <v>0</v>
      </c>
      <c r="T28" s="416">
        <f>K28+N28+Q28</f>
        <v>0.7</v>
      </c>
      <c r="U28" s="175">
        <f t="shared" si="3"/>
        <v>706885</v>
      </c>
      <c r="V28" s="176">
        <f>U28/H28</f>
        <v>1</v>
      </c>
    </row>
    <row r="29" spans="1:22" ht="15" customHeight="1" x14ac:dyDescent="0.3">
      <c r="A29" s="1314"/>
      <c r="B29" s="1314"/>
      <c r="C29" s="196"/>
      <c r="D29" s="196" t="s">
        <v>126</v>
      </c>
      <c r="E29" s="198"/>
      <c r="F29" s="198"/>
      <c r="G29" s="198"/>
      <c r="H29" s="199">
        <f>SUM(H27:H28)</f>
        <v>706885</v>
      </c>
      <c r="I29" s="199">
        <f>SUM(I27:I28)</f>
        <v>742937</v>
      </c>
      <c r="J29" s="1314"/>
      <c r="K29" s="308"/>
      <c r="L29" s="179">
        <f>SUM(L27:L28)</f>
        <v>706885</v>
      </c>
      <c r="M29" s="308">
        <f>L29/H29</f>
        <v>1</v>
      </c>
      <c r="N29" s="431"/>
      <c r="O29" s="179">
        <f>SUM(O27:O28)</f>
        <v>0</v>
      </c>
      <c r="P29" s="431">
        <f>O29/L29</f>
        <v>0</v>
      </c>
      <c r="Q29" s="431"/>
      <c r="R29" s="179">
        <f>SUM(R27:R28)</f>
        <v>0</v>
      </c>
      <c r="S29" s="1100">
        <f t="shared" si="4"/>
        <v>0</v>
      </c>
      <c r="T29" s="306"/>
      <c r="U29" s="1078">
        <f>L29+O29+R29</f>
        <v>706885</v>
      </c>
      <c r="V29" s="308">
        <f>U29/H29</f>
        <v>1</v>
      </c>
    </row>
    <row r="30" spans="1:22" x14ac:dyDescent="0.3">
      <c r="F30" s="151" t="s">
        <v>64</v>
      </c>
      <c r="G30" s="151"/>
      <c r="H30" s="181">
        <f>SUM(H7:H29)/2</f>
        <v>6445542</v>
      </c>
      <c r="I30" s="181">
        <f>SUM(I7:I29)/2</f>
        <v>6774266</v>
      </c>
      <c r="K30" s="480" t="s">
        <v>64</v>
      </c>
      <c r="L30" s="481">
        <f>SUM(L7:L29)/2</f>
        <v>3861753</v>
      </c>
      <c r="N30" s="480" t="s">
        <v>64</v>
      </c>
      <c r="O30" s="481">
        <f>SUM(O7:O29)/2</f>
        <v>1852528</v>
      </c>
      <c r="Q30" s="480" t="s">
        <v>64</v>
      </c>
      <c r="R30" s="481">
        <f>SUM(R7:R29)/2</f>
        <v>0</v>
      </c>
      <c r="T30" s="480" t="s">
        <v>64</v>
      </c>
      <c r="U30" s="481">
        <f>SUM(U7:U29)/2</f>
        <v>5714281</v>
      </c>
    </row>
    <row r="31" spans="1:22" x14ac:dyDescent="0.3">
      <c r="F31" s="153" t="s">
        <v>65</v>
      </c>
      <c r="G31" s="816"/>
      <c r="H31" s="182">
        <f>H19*0.03</f>
        <v>21937.829999999998</v>
      </c>
      <c r="I31" s="182">
        <f>I19*0.03</f>
        <v>23056.649999999998</v>
      </c>
      <c r="K31" s="482" t="s">
        <v>65</v>
      </c>
      <c r="L31" s="483">
        <f>L19*0.03</f>
        <v>0</v>
      </c>
      <c r="N31" s="482" t="s">
        <v>65</v>
      </c>
      <c r="O31" s="483">
        <f>O19*0.03</f>
        <v>0</v>
      </c>
      <c r="Q31" s="482" t="s">
        <v>65</v>
      </c>
      <c r="R31" s="483">
        <f>R19*0.03</f>
        <v>0</v>
      </c>
      <c r="T31" s="482" t="s">
        <v>65</v>
      </c>
      <c r="U31" s="483">
        <f>U19*0.03</f>
        <v>0</v>
      </c>
    </row>
    <row r="32" spans="1:22" x14ac:dyDescent="0.3">
      <c r="F32" s="152" t="s">
        <v>64</v>
      </c>
      <c r="G32" s="817"/>
      <c r="H32" s="182">
        <f>+H30+H31</f>
        <v>6467479.8300000001</v>
      </c>
      <c r="I32" s="182">
        <f>+I30+I31</f>
        <v>6797322.6500000004</v>
      </c>
      <c r="K32" s="484" t="s">
        <v>64</v>
      </c>
      <c r="L32" s="483">
        <f>+L30+L31</f>
        <v>3861753</v>
      </c>
      <c r="N32" s="484" t="s">
        <v>64</v>
      </c>
      <c r="O32" s="483">
        <f>+O30+O31</f>
        <v>1852528</v>
      </c>
      <c r="Q32" s="484" t="s">
        <v>64</v>
      </c>
      <c r="R32" s="483">
        <f>+R30+R31</f>
        <v>0</v>
      </c>
      <c r="T32" s="484" t="s">
        <v>64</v>
      </c>
      <c r="U32" s="483">
        <f>+U30+U31</f>
        <v>5714281</v>
      </c>
    </row>
    <row r="33" spans="1:22" ht="26.4" x14ac:dyDescent="0.3">
      <c r="F33" s="152"/>
      <c r="G33" s="817"/>
      <c r="H33" s="182"/>
      <c r="I33" s="182"/>
      <c r="K33" s="484" t="s">
        <v>1439</v>
      </c>
      <c r="L33" s="483">
        <f>ROUND(L32*0.015,0)</f>
        <v>57926</v>
      </c>
      <c r="M33" s="131"/>
      <c r="N33" s="484" t="s">
        <v>1439</v>
      </c>
      <c r="O33" s="483">
        <f>ROUND(O32*0.015,0)</f>
        <v>27788</v>
      </c>
      <c r="P33" s="131"/>
      <c r="Q33" s="484" t="s">
        <v>1439</v>
      </c>
      <c r="R33" s="483">
        <f>ROUND(R32*0.015,0)</f>
        <v>0</v>
      </c>
      <c r="S33" s="131"/>
      <c r="T33" s="484" t="s">
        <v>1439</v>
      </c>
      <c r="U33" s="483">
        <f>L33+O33+R33</f>
        <v>85714</v>
      </c>
      <c r="V33" s="131"/>
    </row>
    <row r="34" spans="1:22" ht="26.4" x14ac:dyDescent="0.3">
      <c r="F34" s="152"/>
      <c r="G34" s="817"/>
      <c r="H34" s="182"/>
      <c r="I34" s="182"/>
      <c r="K34" s="152" t="s">
        <v>1440</v>
      </c>
      <c r="L34" s="182">
        <f>L32+L33</f>
        <v>3919679</v>
      </c>
      <c r="M34" s="546">
        <f>L34/$H$32</f>
        <v>0.60605971769996225</v>
      </c>
      <c r="N34" s="152" t="s">
        <v>1440</v>
      </c>
      <c r="O34" s="182">
        <f>O32+O33</f>
        <v>1880316</v>
      </c>
      <c r="P34" s="546">
        <f>O34/$H$32</f>
        <v>0.29073395656805628</v>
      </c>
      <c r="Q34" s="152" t="s">
        <v>1440</v>
      </c>
      <c r="R34" s="182">
        <f>R32+R33</f>
        <v>0</v>
      </c>
      <c r="S34" s="546">
        <f>R34/$H$30</f>
        <v>0</v>
      </c>
      <c r="T34" s="152" t="s">
        <v>1440</v>
      </c>
      <c r="U34" s="182">
        <f>U32+U33</f>
        <v>5799995</v>
      </c>
      <c r="V34" s="546">
        <f>U34/H32</f>
        <v>0.89679367426801859</v>
      </c>
    </row>
    <row r="35" spans="1:22" x14ac:dyDescent="0.3">
      <c r="F35" s="154" t="s">
        <v>66</v>
      </c>
      <c r="G35" s="818"/>
      <c r="H35" s="182">
        <f>+H32*19%</f>
        <v>1228821.1677000001</v>
      </c>
      <c r="I35" s="182">
        <f>+I32*19%</f>
        <v>1291491.3035000002</v>
      </c>
      <c r="K35" s="485" t="s">
        <v>66</v>
      </c>
      <c r="L35" s="483">
        <f>ROUND(L34*0.19,0)</f>
        <v>744739</v>
      </c>
      <c r="N35" s="485" t="s">
        <v>66</v>
      </c>
      <c r="O35" s="483">
        <f>ROUND(O34*0.19,0)</f>
        <v>357260</v>
      </c>
      <c r="Q35" s="485" t="s">
        <v>66</v>
      </c>
      <c r="R35" s="483">
        <f>ROUND(R34*0.19,0)</f>
        <v>0</v>
      </c>
      <c r="T35" s="485" t="s">
        <v>66</v>
      </c>
      <c r="U35" s="483">
        <f>ROUND(U34*0.19,0)</f>
        <v>1101999</v>
      </c>
    </row>
    <row r="36" spans="1:22" x14ac:dyDescent="0.3">
      <c r="F36" s="155" t="s">
        <v>69</v>
      </c>
      <c r="G36" s="155"/>
      <c r="H36" s="181">
        <f>+H32+H35</f>
        <v>7696300.9977000002</v>
      </c>
      <c r="I36" s="181">
        <f>+I32+I35</f>
        <v>8088813.9535000008</v>
      </c>
      <c r="K36" s="545" t="s">
        <v>69</v>
      </c>
      <c r="L36" s="481">
        <f>L34+L35</f>
        <v>4664418</v>
      </c>
      <c r="N36" s="545" t="s">
        <v>69</v>
      </c>
      <c r="O36" s="481">
        <f>O34+O35</f>
        <v>2237576</v>
      </c>
      <c r="Q36" s="545" t="s">
        <v>69</v>
      </c>
      <c r="R36" s="481">
        <f>R34+R35</f>
        <v>0</v>
      </c>
      <c r="T36" s="545" t="s">
        <v>69</v>
      </c>
      <c r="U36" s="481">
        <f>U34+U35</f>
        <v>6901994</v>
      </c>
    </row>
    <row r="39" spans="1:22" x14ac:dyDescent="0.3">
      <c r="A39" s="183" t="s">
        <v>67</v>
      </c>
      <c r="B39" s="184"/>
      <c r="C39" s="184"/>
      <c r="D39" s="185" t="s">
        <v>68</v>
      </c>
      <c r="K39" s="186" t="s">
        <v>70</v>
      </c>
      <c r="L39" s="187" t="s">
        <v>71</v>
      </c>
      <c r="M39" s="186" t="s">
        <v>58</v>
      </c>
      <c r="N39" s="186" t="s">
        <v>70</v>
      </c>
      <c r="O39" s="187" t="s">
        <v>71</v>
      </c>
      <c r="P39" s="186" t="s">
        <v>58</v>
      </c>
      <c r="Q39" s="186" t="s">
        <v>70</v>
      </c>
      <c r="R39" s="187" t="s">
        <v>71</v>
      </c>
      <c r="S39" s="186" t="s">
        <v>58</v>
      </c>
      <c r="T39" s="302"/>
      <c r="U39" s="302"/>
      <c r="V39" s="302"/>
    </row>
    <row r="40" spans="1:22" x14ac:dyDescent="0.3">
      <c r="A40" s="183"/>
      <c r="B40" s="184"/>
      <c r="C40" s="184"/>
      <c r="D40" s="185"/>
      <c r="K40" s="69" t="s">
        <v>72</v>
      </c>
      <c r="L40" s="70">
        <f>$L$34</f>
        <v>3919679</v>
      </c>
      <c r="M40" s="71">
        <f>M34</f>
        <v>0.60605971769996225</v>
      </c>
      <c r="N40" s="69" t="s">
        <v>72</v>
      </c>
      <c r="O40" s="70">
        <f>L34</f>
        <v>3919679</v>
      </c>
      <c r="P40" s="71">
        <f>M34</f>
        <v>0.60605971769996225</v>
      </c>
      <c r="Q40" s="69" t="s">
        <v>72</v>
      </c>
      <c r="R40" s="70">
        <f>O34</f>
        <v>1880316</v>
      </c>
      <c r="S40" s="71">
        <f>P34</f>
        <v>0.29073395656805628</v>
      </c>
      <c r="T40" s="302"/>
      <c r="U40" s="302"/>
      <c r="V40" s="302"/>
    </row>
    <row r="41" spans="1:22" x14ac:dyDescent="0.3">
      <c r="A41" s="183"/>
      <c r="B41" s="184"/>
      <c r="C41" s="184"/>
      <c r="D41" s="185"/>
      <c r="K41" s="72" t="s">
        <v>1</v>
      </c>
      <c r="L41" s="105">
        <f>SUM(L40)</f>
        <v>3919679</v>
      </c>
      <c r="M41" s="73">
        <f>SUM(M40)</f>
        <v>0.60605971769996225</v>
      </c>
      <c r="N41" s="69" t="s">
        <v>73</v>
      </c>
      <c r="O41" s="70">
        <f>O34</f>
        <v>1880316</v>
      </c>
      <c r="P41" s="71">
        <f>P34</f>
        <v>0.29073395656805628</v>
      </c>
      <c r="Q41" s="69" t="s">
        <v>73</v>
      </c>
      <c r="R41" s="70">
        <f>O34</f>
        <v>1880316</v>
      </c>
      <c r="S41" s="71">
        <f>P34</f>
        <v>0.29073395656805628</v>
      </c>
      <c r="T41" s="302"/>
      <c r="U41" s="302"/>
      <c r="V41" s="302"/>
    </row>
    <row r="42" spans="1:22" s="852" customFormat="1" x14ac:dyDescent="0.3">
      <c r="A42" s="183"/>
      <c r="B42" s="184"/>
      <c r="C42" s="184"/>
      <c r="D42" s="185"/>
      <c r="K42" s="72"/>
      <c r="L42" s="869"/>
      <c r="M42" s="870"/>
      <c r="N42" s="69"/>
      <c r="O42" s="70"/>
      <c r="P42" s="71"/>
      <c r="Q42" s="69" t="s">
        <v>74</v>
      </c>
      <c r="R42" s="70">
        <f>+R34</f>
        <v>0</v>
      </c>
      <c r="S42" s="71">
        <f>+S34</f>
        <v>0</v>
      </c>
      <c r="T42" s="849"/>
      <c r="U42" s="849"/>
      <c r="V42" s="849"/>
    </row>
    <row r="43" spans="1:22" x14ac:dyDescent="0.3">
      <c r="A43" s="183"/>
      <c r="B43" s="184"/>
      <c r="C43" s="184"/>
      <c r="D43" s="185"/>
      <c r="K43" s="72" t="s">
        <v>9</v>
      </c>
      <c r="L43" s="1285"/>
      <c r="M43" s="1286"/>
      <c r="N43" s="72" t="s">
        <v>1</v>
      </c>
      <c r="O43" s="105">
        <f>SUM(O40:O41)</f>
        <v>5799995</v>
      </c>
      <c r="P43" s="73">
        <f>SUM(P40:P41)</f>
        <v>0.89679367426801848</v>
      </c>
      <c r="Q43" s="72" t="s">
        <v>1</v>
      </c>
      <c r="R43" s="105">
        <f>SUM(R40:R42)</f>
        <v>3760632</v>
      </c>
      <c r="S43" s="73">
        <f>SUM(S40:S42)</f>
        <v>0.58146791313611257</v>
      </c>
      <c r="T43" s="302"/>
      <c r="U43" s="302"/>
      <c r="V43" s="302"/>
    </row>
    <row r="44" spans="1:22" x14ac:dyDescent="0.3">
      <c r="A44" s="183"/>
      <c r="B44" s="184"/>
      <c r="C44" s="184"/>
      <c r="D44" s="185"/>
      <c r="K44" s="156" t="s">
        <v>78</v>
      </c>
      <c r="L44" s="1285" t="s">
        <v>508</v>
      </c>
      <c r="M44" s="1286"/>
      <c r="N44" s="72" t="s">
        <v>9</v>
      </c>
      <c r="O44" s="731"/>
      <c r="P44" s="732"/>
      <c r="Q44" s="72" t="s">
        <v>9</v>
      </c>
      <c r="R44" s="841"/>
      <c r="S44" s="842"/>
      <c r="T44" s="302"/>
      <c r="U44" s="302"/>
      <c r="V44" s="302"/>
    </row>
    <row r="45" spans="1:22" x14ac:dyDescent="0.3">
      <c r="A45" s="183"/>
      <c r="B45" s="184"/>
      <c r="C45" s="184"/>
      <c r="D45" s="185"/>
      <c r="K45" s="157" t="s">
        <v>8</v>
      </c>
      <c r="L45" s="1285" t="s">
        <v>509</v>
      </c>
      <c r="M45" s="1286"/>
      <c r="N45" s="156" t="s">
        <v>78</v>
      </c>
      <c r="O45" s="1285" t="s">
        <v>1984</v>
      </c>
      <c r="P45" s="1286"/>
      <c r="Q45" s="156" t="s">
        <v>78</v>
      </c>
      <c r="R45" s="1285" t="s">
        <v>1984</v>
      </c>
      <c r="S45" s="1286"/>
      <c r="T45" s="302"/>
      <c r="U45" s="302"/>
      <c r="V45" s="302"/>
    </row>
    <row r="46" spans="1:22" x14ac:dyDescent="0.3">
      <c r="A46" s="183"/>
      <c r="B46" s="184"/>
      <c r="C46" s="184"/>
      <c r="D46" s="185" t="s">
        <v>75</v>
      </c>
      <c r="N46" s="157" t="s">
        <v>8</v>
      </c>
      <c r="O46" s="1285" t="s">
        <v>1985</v>
      </c>
      <c r="P46" s="1286"/>
      <c r="Q46" s="157" t="s">
        <v>8</v>
      </c>
      <c r="R46" s="1285" t="s">
        <v>1985</v>
      </c>
      <c r="S46" s="1286"/>
    </row>
    <row r="47" spans="1:22" x14ac:dyDescent="0.3">
      <c r="A47" s="183" t="s">
        <v>76</v>
      </c>
      <c r="B47" s="180"/>
      <c r="C47" s="180"/>
      <c r="D47" s="185" t="s">
        <v>77</v>
      </c>
    </row>
    <row r="48" spans="1:22" x14ac:dyDescent="0.3">
      <c r="A48" s="183" t="s">
        <v>79</v>
      </c>
      <c r="B48" s="180"/>
      <c r="C48" s="180"/>
      <c r="D48" s="185" t="s">
        <v>80</v>
      </c>
    </row>
  </sheetData>
  <sheetProtection formatCells="0" formatColumns="0" formatRows="0" insertColumns="0" insertRows="0" insertHyperlinks="0" deleteColumns="0" deleteRows="0" sort="0" autoFilter="0" pivotTables="0"/>
  <mergeCells count="39">
    <mergeCell ref="T2:V2"/>
    <mergeCell ref="A3:V3"/>
    <mergeCell ref="A4:V4"/>
    <mergeCell ref="T11:V12"/>
    <mergeCell ref="B12:J12"/>
    <mergeCell ref="N11:P12"/>
    <mergeCell ref="Q11:S12"/>
    <mergeCell ref="B11:J11"/>
    <mergeCell ref="K11:M12"/>
    <mergeCell ref="C1:M2"/>
    <mergeCell ref="A8:V8"/>
    <mergeCell ref="A9:V9"/>
    <mergeCell ref="A10:V10"/>
    <mergeCell ref="A5:V5"/>
    <mergeCell ref="A6:V6"/>
    <mergeCell ref="T1:V1"/>
    <mergeCell ref="J27:J29"/>
    <mergeCell ref="A20:A22"/>
    <mergeCell ref="B20:B22"/>
    <mergeCell ref="J20:J22"/>
    <mergeCell ref="A23:A26"/>
    <mergeCell ref="B23:B26"/>
    <mergeCell ref="J23:J26"/>
    <mergeCell ref="R45:S45"/>
    <mergeCell ref="R46:S46"/>
    <mergeCell ref="O45:P45"/>
    <mergeCell ref="O46:P46"/>
    <mergeCell ref="A7:V7"/>
    <mergeCell ref="A18:A19"/>
    <mergeCell ref="L43:M43"/>
    <mergeCell ref="L44:M44"/>
    <mergeCell ref="B18:B19"/>
    <mergeCell ref="J18:J19"/>
    <mergeCell ref="A14:A17"/>
    <mergeCell ref="B14:B17"/>
    <mergeCell ref="J14:J17"/>
    <mergeCell ref="L45:M45"/>
    <mergeCell ref="A27:A29"/>
    <mergeCell ref="B27:B29"/>
  </mergeCells>
  <pageMargins left="0.7" right="0.7" top="0.75" bottom="0.75" header="0.3" footer="0.3"/>
  <pageSetup scale="34" fitToHeight="0" orientation="landscape" r:id="rId1"/>
  <drawing r:id="rId2"/>
  <legacyDrawingHF r:id="rId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1">
    <tabColor theme="1"/>
  </sheetPr>
  <dimension ref="A1:G49"/>
  <sheetViews>
    <sheetView topLeftCell="A16"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RESUMEN!G52</f>
        <v>Proyecto: CDIM_CADCRA_R0113 AMPLIACIÓN SUBESTACIÓN MT-MT CAJICÁ</v>
      </c>
      <c r="C5" s="1281"/>
      <c r="D5" s="1281"/>
      <c r="E5" s="1281"/>
      <c r="F5" s="1281"/>
      <c r="G5" s="1282"/>
    </row>
    <row r="6" spans="1:7" x14ac:dyDescent="0.25">
      <c r="A6" s="1177"/>
      <c r="B6" s="1177"/>
      <c r="C6" s="1177"/>
      <c r="D6" s="1177"/>
      <c r="E6" s="1177"/>
      <c r="F6" s="1177"/>
      <c r="G6" s="1177"/>
    </row>
    <row r="7" spans="1:7" x14ac:dyDescent="0.25">
      <c r="A7" s="271" t="s">
        <v>0</v>
      </c>
      <c r="B7" s="1264" t="str">
        <f>RESUMEN!B52</f>
        <v>D00235021</v>
      </c>
      <c r="C7" s="1265"/>
      <c r="D7" s="1177"/>
      <c r="E7" s="1266" t="s">
        <v>627</v>
      </c>
      <c r="F7" s="1267"/>
      <c r="G7" s="280" t="str">
        <f>RESUMEN!E52</f>
        <v xml:space="preserve">OT17-259 </v>
      </c>
    </row>
    <row r="8" spans="1:7" x14ac:dyDescent="0.25">
      <c r="A8" s="271" t="s">
        <v>628</v>
      </c>
      <c r="B8" s="1264" t="str">
        <f>RESUMEN!C52</f>
        <v>D00235021000</v>
      </c>
      <c r="C8" s="1265"/>
      <c r="D8" s="1177"/>
      <c r="E8" s="1266" t="s">
        <v>629</v>
      </c>
      <c r="F8" s="1267"/>
      <c r="G8" s="280" t="str">
        <f>RESUMEN!U52</f>
        <v>Acta N° 2:  Marzo</v>
      </c>
    </row>
    <row r="9" spans="1:7" x14ac:dyDescent="0.25">
      <c r="A9" s="271" t="s">
        <v>630</v>
      </c>
      <c r="B9" s="1283" t="s">
        <v>631</v>
      </c>
      <c r="C9" s="1265"/>
      <c r="D9" s="1177"/>
      <c r="E9" s="1266" t="s">
        <v>632</v>
      </c>
      <c r="F9" s="1267"/>
      <c r="G9" s="1178">
        <f>RESUMEN!H52</f>
        <v>2364410</v>
      </c>
    </row>
    <row r="10" spans="1:7" x14ac:dyDescent="0.25">
      <c r="A10" s="271" t="s">
        <v>633</v>
      </c>
      <c r="B10" s="1283" t="str">
        <f>RESUMEN!D52</f>
        <v>CAJICA</v>
      </c>
      <c r="C10" s="1265"/>
      <c r="D10" s="1177"/>
      <c r="E10" s="1266" t="s">
        <v>634</v>
      </c>
      <c r="F10" s="1267"/>
      <c r="G10" s="1178">
        <f>RESUMEN!R52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CDIM_CADCRA_R0113 AMPLIACIÓN SUBESTACIÓN MT-MT CAJICÁ</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RESUMEN!N52</f>
        <v>0</v>
      </c>
      <c r="F19" s="1248"/>
      <c r="G19" s="1177"/>
    </row>
    <row r="20" spans="1:7" ht="27" customHeight="1" x14ac:dyDescent="0.25">
      <c r="A20" s="1177"/>
      <c r="B20" s="1244" t="s">
        <v>1498</v>
      </c>
      <c r="C20" s="1245"/>
      <c r="D20" s="1246"/>
      <c r="E20" s="1247">
        <f>RESUMEN!P52</f>
        <v>0</v>
      </c>
      <c r="F20" s="1248"/>
      <c r="G20" s="1177"/>
    </row>
    <row r="21" spans="1:7" ht="27" customHeight="1" x14ac:dyDescent="0.25">
      <c r="A21" s="1177"/>
      <c r="B21" s="1244" t="s">
        <v>1499</v>
      </c>
      <c r="C21" s="1245"/>
      <c r="D21" s="1246"/>
      <c r="E21" s="1247">
        <f>RESUMEN!Q52</f>
        <v>0</v>
      </c>
      <c r="F21" s="1248"/>
      <c r="G21" s="1177"/>
    </row>
    <row r="22" spans="1:7" x14ac:dyDescent="0.25">
      <c r="A22" s="1177"/>
      <c r="B22" s="1254" t="s">
        <v>64</v>
      </c>
      <c r="C22" s="1254"/>
      <c r="D22" s="1254"/>
      <c r="E22" s="1255">
        <f>RESUMEN!R52</f>
        <v>0</v>
      </c>
      <c r="F22" s="1255"/>
      <c r="G22" s="1177"/>
    </row>
    <row r="23" spans="1:7" x14ac:dyDescent="0.25">
      <c r="A23" s="1177"/>
      <c r="B23" s="1256" t="s">
        <v>66</v>
      </c>
      <c r="C23" s="1256"/>
      <c r="D23" s="1256"/>
      <c r="E23" s="1257">
        <f>RESUMEN!S52</f>
        <v>0</v>
      </c>
      <c r="F23" s="1257"/>
      <c r="G23" s="1177"/>
    </row>
    <row r="24" spans="1:7" x14ac:dyDescent="0.25">
      <c r="A24" s="1177"/>
      <c r="B24" s="1258" t="s">
        <v>1</v>
      </c>
      <c r="C24" s="1258"/>
      <c r="D24" s="1258"/>
      <c r="E24" s="1259">
        <f>RESUMEN!T52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+'OT17-259 CAJICA'!N28</f>
        <v>ACTA 1</v>
      </c>
      <c r="C28" s="1253">
        <f>+'OT17-259 CAJICA'!O28</f>
        <v>1679913</v>
      </c>
      <c r="D28" s="1253"/>
      <c r="E28" s="267">
        <f>+'OT17-259 CAJICA'!P28</f>
        <v>0.71049987100375989</v>
      </c>
      <c r="F28" s="1177"/>
      <c r="G28" s="1177"/>
    </row>
    <row r="29" spans="1:7" x14ac:dyDescent="0.25">
      <c r="A29" s="1177"/>
      <c r="B29" s="280" t="str">
        <f>+'OT17-259 CAJICA'!N29</f>
        <v>ACTA 2</v>
      </c>
      <c r="C29" s="1253">
        <f>+'OT17-259 CAJICA'!O29</f>
        <v>0</v>
      </c>
      <c r="D29" s="1253"/>
      <c r="E29" s="267">
        <f>+'OT17-259 CAJICA'!P29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1679913</v>
      </c>
      <c r="D34" s="1251"/>
      <c r="E34" s="264">
        <f>SUM(E28:E33)</f>
        <v>0.71049987100375989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RESUMEN!V52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3">
    <tabColor rgb="FF92D050"/>
    <pageSetUpPr fitToPage="1"/>
  </sheetPr>
  <dimension ref="A1:S36"/>
  <sheetViews>
    <sheetView view="pageBreakPreview" zoomScale="60" zoomScaleNormal="60" workbookViewId="0">
      <selection activeCell="N11" sqref="N11:P12"/>
    </sheetView>
  </sheetViews>
  <sheetFormatPr baseColWidth="10" defaultColWidth="11.44140625" defaultRowHeight="14.4" x14ac:dyDescent="0.3"/>
  <cols>
    <col min="1" max="1" width="18" style="189" customWidth="1"/>
    <col min="2" max="2" width="24.44140625" style="189" customWidth="1"/>
    <col min="3" max="3" width="32.109375" style="189" customWidth="1"/>
    <col min="4" max="4" width="22.6640625" style="189" customWidth="1"/>
    <col min="5" max="5" width="10.5546875" style="189" bestFit="1" customWidth="1"/>
    <col min="6" max="6" width="17.88671875" style="189" bestFit="1" customWidth="1"/>
    <col min="7" max="7" width="17.88671875" style="852" customWidth="1"/>
    <col min="8" max="8" width="16.33203125" style="189" bestFit="1" customWidth="1"/>
    <col min="9" max="9" width="19.44140625" style="852" customWidth="1"/>
    <col min="10" max="10" width="52" style="189" customWidth="1"/>
    <col min="11" max="11" width="17.88671875" style="189" customWidth="1"/>
    <col min="12" max="12" width="18" style="189" customWidth="1"/>
    <col min="13" max="13" width="11.44140625" style="189" customWidth="1"/>
    <col min="14" max="14" width="17.88671875" style="852" customWidth="1"/>
    <col min="15" max="15" width="18" style="852" customWidth="1"/>
    <col min="16" max="16" width="11.44140625" style="852" customWidth="1"/>
    <col min="17" max="17" width="17.88671875" style="189" bestFit="1" customWidth="1"/>
    <col min="18" max="18" width="16.6640625" style="189" customWidth="1"/>
    <col min="19" max="16384" width="11.44140625" style="189"/>
  </cols>
  <sheetData>
    <row r="1" spans="1:19" s="302" customFormat="1" ht="39" customHeight="1" thickBot="1" x14ac:dyDescent="0.35">
      <c r="A1" s="169"/>
      <c r="B1" s="188"/>
      <c r="C1" s="1307" t="s">
        <v>40</v>
      </c>
      <c r="D1" s="1308"/>
      <c r="E1" s="1308"/>
      <c r="F1" s="1308"/>
      <c r="G1" s="1308"/>
      <c r="H1" s="1308"/>
      <c r="I1" s="1308"/>
      <c r="J1" s="1308"/>
      <c r="K1" s="1308"/>
      <c r="L1" s="1308"/>
      <c r="M1" s="1308"/>
      <c r="N1" s="846"/>
      <c r="O1" s="846"/>
      <c r="P1" s="846"/>
      <c r="Q1" s="1328" t="s">
        <v>844</v>
      </c>
      <c r="R1" s="1303"/>
      <c r="S1" s="1304"/>
    </row>
    <row r="2" spans="1:19" s="302" customFormat="1"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ht="13.5" customHeight="1" x14ac:dyDescent="0.3">
      <c r="A7" s="1291" t="s">
        <v>845</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2335</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846</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20"/>
      <c r="B11" s="1301"/>
      <c r="C11" s="1313"/>
      <c r="D11" s="1313"/>
      <c r="E11" s="1313"/>
      <c r="F11" s="1313"/>
      <c r="G11" s="1313"/>
      <c r="H11" s="1313"/>
      <c r="I11" s="1313"/>
      <c r="J11" s="1313"/>
      <c r="K11" s="1293" t="s">
        <v>1726</v>
      </c>
      <c r="L11" s="1294"/>
      <c r="M11" s="1295"/>
      <c r="N11" s="1293" t="s">
        <v>2336</v>
      </c>
      <c r="O11" s="1294"/>
      <c r="P11" s="1295"/>
      <c r="Q11" s="1299" t="s">
        <v>49</v>
      </c>
      <c r="R11" s="1299"/>
      <c r="S11" s="1299"/>
    </row>
    <row r="12" spans="1:19" s="302" customFormat="1"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174" t="s">
        <v>54</v>
      </c>
      <c r="R13" s="172" t="s">
        <v>56</v>
      </c>
      <c r="S13" s="28" t="s">
        <v>58</v>
      </c>
    </row>
    <row r="14" spans="1:19" ht="44.25" customHeight="1" x14ac:dyDescent="0.3">
      <c r="A14" s="1315" t="s">
        <v>203</v>
      </c>
      <c r="B14" s="1314" t="s">
        <v>324</v>
      </c>
      <c r="C14" s="324" t="s">
        <v>81</v>
      </c>
      <c r="D14" s="323" t="s">
        <v>325</v>
      </c>
      <c r="E14" s="323">
        <v>0.35</v>
      </c>
      <c r="F14" s="192">
        <v>6755456</v>
      </c>
      <c r="G14" s="32">
        <f>+ROUND(F14*1.051,0)</f>
        <v>7099984</v>
      </c>
      <c r="H14" s="192">
        <f>ROUND((E14*F14),0)</f>
        <v>2364410</v>
      </c>
      <c r="I14" s="32">
        <f>+ROUND(G14*E14,0)</f>
        <v>2484994</v>
      </c>
      <c r="J14" s="1315" t="s">
        <v>843</v>
      </c>
      <c r="K14" s="433">
        <f>+E14*70%</f>
        <v>0.24499999999999997</v>
      </c>
      <c r="L14" s="396">
        <f>ROUND(K14*$F$14,0)</f>
        <v>1655087</v>
      </c>
      <c r="M14" s="397">
        <f>L14/$H$14</f>
        <v>0.7</v>
      </c>
      <c r="N14" s="432">
        <v>0</v>
      </c>
      <c r="O14" s="425">
        <f>ROUND(N14*G14,0)</f>
        <v>0</v>
      </c>
      <c r="P14" s="426">
        <f>O14/I14</f>
        <v>0</v>
      </c>
      <c r="Q14" s="149">
        <f>K14+N14</f>
        <v>0.24499999999999997</v>
      </c>
      <c r="R14" s="175">
        <f>L14+O14</f>
        <v>1655087</v>
      </c>
      <c r="S14" s="176">
        <f>R14/H14</f>
        <v>0.7</v>
      </c>
    </row>
    <row r="15" spans="1:19" ht="44.25" customHeight="1" x14ac:dyDescent="0.3">
      <c r="A15" s="1314"/>
      <c r="B15" s="1314"/>
      <c r="C15" s="324" t="s">
        <v>83</v>
      </c>
      <c r="D15" s="323" t="s">
        <v>326</v>
      </c>
      <c r="E15" s="323">
        <v>0</v>
      </c>
      <c r="F15" s="192">
        <v>4039345</v>
      </c>
      <c r="G15" s="32">
        <f t="shared" ref="G15:G16" si="0">+ROUND(F15*1.051,0)</f>
        <v>4245352</v>
      </c>
      <c r="H15" s="192">
        <f>ROUND((E15*F15),0)</f>
        <v>0</v>
      </c>
      <c r="I15" s="32">
        <f>+ROUND(G15*E15,0)</f>
        <v>0</v>
      </c>
      <c r="J15" s="1314"/>
      <c r="K15" s="158">
        <v>0</v>
      </c>
      <c r="L15" s="194">
        <f>ROUND(K15*$F$15,0)</f>
        <v>0</v>
      </c>
      <c r="M15" s="195">
        <v>0</v>
      </c>
      <c r="N15" s="432">
        <v>0</v>
      </c>
      <c r="O15" s="425">
        <f t="shared" ref="O15:O16" si="1">ROUND(N15*G15,0)</f>
        <v>0</v>
      </c>
      <c r="P15" s="426">
        <v>0</v>
      </c>
      <c r="Q15" s="416">
        <f t="shared" ref="Q15:Q16" si="2">K15+N15</f>
        <v>0</v>
      </c>
      <c r="R15" s="175">
        <f t="shared" ref="R15:R16" si="3">L15+O15</f>
        <v>0</v>
      </c>
      <c r="S15" s="176">
        <v>0</v>
      </c>
    </row>
    <row r="16" spans="1:19" ht="44.25" customHeight="1" x14ac:dyDescent="0.3">
      <c r="A16" s="1314"/>
      <c r="B16" s="1314"/>
      <c r="C16" s="324" t="s">
        <v>61</v>
      </c>
      <c r="D16" s="323" t="s">
        <v>327</v>
      </c>
      <c r="E16" s="323">
        <v>0</v>
      </c>
      <c r="F16" s="192">
        <v>2576823</v>
      </c>
      <c r="G16" s="32">
        <f t="shared" si="0"/>
        <v>2708241</v>
      </c>
      <c r="H16" s="192">
        <f>ROUND((E16*F16),0)</f>
        <v>0</v>
      </c>
      <c r="I16" s="32">
        <f>+ROUND(G16*E16,0)</f>
        <v>0</v>
      </c>
      <c r="J16" s="1314"/>
      <c r="K16" s="158">
        <v>0</v>
      </c>
      <c r="L16" s="194">
        <f>ROUND(K16*$F$16,0)</f>
        <v>0</v>
      </c>
      <c r="M16" s="195">
        <v>0</v>
      </c>
      <c r="N16" s="432">
        <v>0</v>
      </c>
      <c r="O16" s="425">
        <f t="shared" si="1"/>
        <v>0</v>
      </c>
      <c r="P16" s="426">
        <v>0</v>
      </c>
      <c r="Q16" s="416">
        <f t="shared" si="2"/>
        <v>0</v>
      </c>
      <c r="R16" s="175">
        <f t="shared" si="3"/>
        <v>0</v>
      </c>
      <c r="S16" s="176">
        <v>0</v>
      </c>
    </row>
    <row r="17" spans="1:19" x14ac:dyDescent="0.3">
      <c r="A17" s="1314"/>
      <c r="B17" s="1314"/>
      <c r="C17" s="196"/>
      <c r="D17" s="196" t="s">
        <v>328</v>
      </c>
      <c r="E17" s="198"/>
      <c r="F17" s="198"/>
      <c r="G17" s="198"/>
      <c r="H17" s="199">
        <f>SUM(H14:H16)</f>
        <v>2364410</v>
      </c>
      <c r="I17" s="199">
        <f>SUM(I14:I16)</f>
        <v>2484994</v>
      </c>
      <c r="J17" s="1314"/>
      <c r="K17" s="308"/>
      <c r="L17" s="179">
        <f>SUM(L14:L16)</f>
        <v>1655087</v>
      </c>
      <c r="M17" s="308">
        <f>L17/$H$17</f>
        <v>0.7</v>
      </c>
      <c r="N17" s="431"/>
      <c r="O17" s="179">
        <f>SUM(O14:O16)</f>
        <v>0</v>
      </c>
      <c r="P17" s="431">
        <f>O17/$H$17</f>
        <v>0</v>
      </c>
      <c r="Q17" s="306"/>
      <c r="R17" s="307">
        <f>L17+O17</f>
        <v>1655087</v>
      </c>
      <c r="S17" s="308">
        <f>R17/H17</f>
        <v>0.7</v>
      </c>
    </row>
    <row r="18" spans="1:19" x14ac:dyDescent="0.3">
      <c r="F18" s="151" t="s">
        <v>64</v>
      </c>
      <c r="G18" s="151"/>
      <c r="H18" s="181">
        <f>SUM(H14:H17)/2</f>
        <v>2364410</v>
      </c>
      <c r="I18" s="181">
        <f>SUM(I14:I17)/2</f>
        <v>2484994</v>
      </c>
      <c r="K18" s="480" t="s">
        <v>64</v>
      </c>
      <c r="L18" s="481">
        <f>SUM(L14:L17)/2</f>
        <v>1655087</v>
      </c>
      <c r="N18" s="480" t="s">
        <v>64</v>
      </c>
      <c r="O18" s="481">
        <f>SUM(O14:O17)/2</f>
        <v>0</v>
      </c>
      <c r="Q18" s="480" t="s">
        <v>64</v>
      </c>
      <c r="R18" s="481">
        <f>SUM(R14:R17)/2</f>
        <v>1655087</v>
      </c>
    </row>
    <row r="19" spans="1:19" x14ac:dyDescent="0.3">
      <c r="F19" s="153" t="s">
        <v>65</v>
      </c>
      <c r="G19" s="816"/>
      <c r="H19" s="182">
        <v>0</v>
      </c>
      <c r="I19" s="182">
        <v>0</v>
      </c>
      <c r="K19" s="482" t="s">
        <v>65</v>
      </c>
      <c r="L19" s="483">
        <v>0</v>
      </c>
      <c r="N19" s="482" t="s">
        <v>65</v>
      </c>
      <c r="O19" s="483">
        <v>0</v>
      </c>
      <c r="Q19" s="482" t="s">
        <v>65</v>
      </c>
      <c r="R19" s="483">
        <v>0</v>
      </c>
    </row>
    <row r="20" spans="1:19" x14ac:dyDescent="0.3">
      <c r="F20" s="152" t="s">
        <v>64</v>
      </c>
      <c r="G20" s="817"/>
      <c r="H20" s="182">
        <f>+H18+H19</f>
        <v>2364410</v>
      </c>
      <c r="I20" s="182">
        <f>+I18+I19</f>
        <v>2484994</v>
      </c>
      <c r="K20" s="484" t="s">
        <v>64</v>
      </c>
      <c r="L20" s="483">
        <f>+L18+L19</f>
        <v>1655087</v>
      </c>
      <c r="N20" s="484" t="s">
        <v>64</v>
      </c>
      <c r="O20" s="483">
        <f>+O18+O19</f>
        <v>0</v>
      </c>
      <c r="Q20" s="484" t="s">
        <v>64</v>
      </c>
      <c r="R20" s="483">
        <f>+R18+R19</f>
        <v>1655087</v>
      </c>
    </row>
    <row r="21" spans="1:19" ht="26.4" x14ac:dyDescent="0.3">
      <c r="F21" s="152"/>
      <c r="G21" s="817"/>
      <c r="H21" s="182"/>
      <c r="I21" s="182"/>
      <c r="K21" s="484" t="s">
        <v>1439</v>
      </c>
      <c r="L21" s="483">
        <f>ROUND(L20*0.015,0)</f>
        <v>24826</v>
      </c>
      <c r="N21" s="484" t="s">
        <v>1439</v>
      </c>
      <c r="O21" s="483">
        <f>ROUND(O20*0.015,0)</f>
        <v>0</v>
      </c>
      <c r="Q21" s="484" t="s">
        <v>1439</v>
      </c>
      <c r="R21" s="483">
        <f>L21+O21</f>
        <v>24826</v>
      </c>
    </row>
    <row r="22" spans="1:19" ht="26.4" x14ac:dyDescent="0.3">
      <c r="F22" s="152"/>
      <c r="G22" s="817"/>
      <c r="H22" s="182"/>
      <c r="I22" s="182"/>
      <c r="K22" s="152" t="s">
        <v>1440</v>
      </c>
      <c r="L22" s="182">
        <f>L20+L21</f>
        <v>1679913</v>
      </c>
      <c r="M22" s="573">
        <f>L22/$H$18</f>
        <v>0.71049987100375989</v>
      </c>
      <c r="N22" s="152" t="s">
        <v>1440</v>
      </c>
      <c r="O22" s="182">
        <f>O20+O21</f>
        <v>0</v>
      </c>
      <c r="P22" s="573">
        <f>O22/$H$18</f>
        <v>0</v>
      </c>
      <c r="Q22" s="152" t="s">
        <v>1440</v>
      </c>
      <c r="R22" s="182">
        <f>R20+R21</f>
        <v>1679913</v>
      </c>
      <c r="S22" s="573">
        <f>R22/H20</f>
        <v>0.71049987100375989</v>
      </c>
    </row>
    <row r="23" spans="1:19" x14ac:dyDescent="0.3">
      <c r="F23" s="154" t="s">
        <v>66</v>
      </c>
      <c r="G23" s="818"/>
      <c r="H23" s="182">
        <f>+H20*19%</f>
        <v>449237.9</v>
      </c>
      <c r="I23" s="182">
        <f>+I20*19%</f>
        <v>472148.86</v>
      </c>
      <c r="K23" s="485" t="s">
        <v>66</v>
      </c>
      <c r="L23" s="483">
        <f>+L20*19%</f>
        <v>314466.53000000003</v>
      </c>
      <c r="N23" s="485" t="s">
        <v>66</v>
      </c>
      <c r="O23" s="483">
        <f>+O20*19%</f>
        <v>0</v>
      </c>
      <c r="Q23" s="485" t="s">
        <v>66</v>
      </c>
      <c r="R23" s="483">
        <f>ROUND(R22*0.19,0)</f>
        <v>319183</v>
      </c>
    </row>
    <row r="24" spans="1:19" x14ac:dyDescent="0.3">
      <c r="F24" s="155" t="s">
        <v>69</v>
      </c>
      <c r="G24" s="155"/>
      <c r="H24" s="181">
        <f>+H20+H23</f>
        <v>2813647.9</v>
      </c>
      <c r="I24" s="181">
        <f>+I20+I23</f>
        <v>2957142.86</v>
      </c>
      <c r="K24" s="545" t="s">
        <v>69</v>
      </c>
      <c r="L24" s="481">
        <f>+L20+L23</f>
        <v>1969553.53</v>
      </c>
      <c r="N24" s="545" t="s">
        <v>69</v>
      </c>
      <c r="O24" s="481">
        <f>+O20+O23</f>
        <v>0</v>
      </c>
      <c r="Q24" s="545" t="s">
        <v>69</v>
      </c>
      <c r="R24" s="481">
        <f>R22+R23</f>
        <v>1999096</v>
      </c>
    </row>
    <row r="27" spans="1:19" x14ac:dyDescent="0.3">
      <c r="A27" s="183" t="s">
        <v>67</v>
      </c>
      <c r="B27" s="184"/>
      <c r="C27" s="184"/>
      <c r="D27" s="185" t="s">
        <v>68</v>
      </c>
      <c r="K27" s="186" t="s">
        <v>70</v>
      </c>
      <c r="L27" s="187" t="s">
        <v>71</v>
      </c>
      <c r="M27" s="186" t="s">
        <v>58</v>
      </c>
      <c r="N27" s="186" t="s">
        <v>70</v>
      </c>
      <c r="O27" s="187" t="s">
        <v>71</v>
      </c>
      <c r="P27" s="186" t="s">
        <v>58</v>
      </c>
    </row>
    <row r="28" spans="1:19" x14ac:dyDescent="0.3">
      <c r="A28" s="183"/>
      <c r="B28" s="184"/>
      <c r="C28" s="184"/>
      <c r="D28" s="185"/>
      <c r="K28" s="69" t="s">
        <v>72</v>
      </c>
      <c r="L28" s="70">
        <f>$L$22</f>
        <v>1679913</v>
      </c>
      <c r="M28" s="71">
        <f>$M$22</f>
        <v>0.71049987100375989</v>
      </c>
      <c r="N28" s="69" t="s">
        <v>72</v>
      </c>
      <c r="O28" s="70">
        <f>$L$22</f>
        <v>1679913</v>
      </c>
      <c r="P28" s="71">
        <f>$M$22</f>
        <v>0.71049987100375989</v>
      </c>
    </row>
    <row r="29" spans="1:19" x14ac:dyDescent="0.3">
      <c r="A29" s="183"/>
      <c r="B29" s="184"/>
      <c r="C29" s="184"/>
      <c r="D29" s="185"/>
      <c r="K29" s="69"/>
      <c r="L29" s="70"/>
      <c r="M29" s="71"/>
      <c r="N29" s="69" t="s">
        <v>73</v>
      </c>
      <c r="O29" s="70">
        <f>+O22</f>
        <v>0</v>
      </c>
      <c r="P29" s="71">
        <f>+P22</f>
        <v>0</v>
      </c>
    </row>
    <row r="30" spans="1:19" x14ac:dyDescent="0.3">
      <c r="A30" s="183"/>
      <c r="B30" s="184"/>
      <c r="C30" s="184"/>
      <c r="D30" s="185"/>
      <c r="K30" s="72" t="s">
        <v>1</v>
      </c>
      <c r="L30" s="105">
        <f>SUM(L28:L28)</f>
        <v>1679913</v>
      </c>
      <c r="M30" s="73">
        <f>SUM(M28:M28)</f>
        <v>0.71049987100375989</v>
      </c>
      <c r="N30" s="72" t="s">
        <v>1</v>
      </c>
      <c r="O30" s="105">
        <f>SUM(O28:O29)</f>
        <v>1679913</v>
      </c>
      <c r="P30" s="73">
        <f>SUM(P28:P29)</f>
        <v>0.71049987100375989</v>
      </c>
    </row>
    <row r="31" spans="1:19" x14ac:dyDescent="0.3">
      <c r="A31" s="183"/>
      <c r="B31" s="184"/>
      <c r="C31" s="184"/>
      <c r="D31" s="185"/>
      <c r="K31" s="72" t="s">
        <v>9</v>
      </c>
      <c r="L31" s="1285"/>
      <c r="M31" s="1286"/>
      <c r="N31" s="72" t="s">
        <v>9</v>
      </c>
      <c r="O31" s="1285"/>
      <c r="P31" s="1286"/>
    </row>
    <row r="32" spans="1:19" x14ac:dyDescent="0.3">
      <c r="A32" s="183"/>
      <c r="B32" s="184"/>
      <c r="C32" s="184"/>
      <c r="D32" s="185"/>
      <c r="K32" s="156" t="s">
        <v>78</v>
      </c>
      <c r="L32" s="1285" t="s">
        <v>848</v>
      </c>
      <c r="M32" s="1286"/>
      <c r="N32" s="156" t="s">
        <v>78</v>
      </c>
      <c r="O32" s="1285" t="s">
        <v>848</v>
      </c>
      <c r="P32" s="1286"/>
    </row>
    <row r="33" spans="1:16" x14ac:dyDescent="0.3">
      <c r="A33" s="183"/>
      <c r="B33" s="184"/>
      <c r="C33" s="184"/>
      <c r="D33" s="185"/>
      <c r="K33" s="157" t="s">
        <v>8</v>
      </c>
      <c r="L33" s="1285" t="s">
        <v>849</v>
      </c>
      <c r="M33" s="1286"/>
      <c r="N33" s="157" t="s">
        <v>8</v>
      </c>
      <c r="O33" s="1285" t="s">
        <v>849</v>
      </c>
      <c r="P33" s="1286"/>
    </row>
    <row r="34" spans="1:16" x14ac:dyDescent="0.3">
      <c r="A34" s="183"/>
      <c r="B34" s="184"/>
      <c r="C34" s="184"/>
      <c r="D34" s="185" t="s">
        <v>75</v>
      </c>
    </row>
    <row r="35" spans="1:16" x14ac:dyDescent="0.3">
      <c r="A35" s="183" t="s">
        <v>76</v>
      </c>
      <c r="B35" s="180"/>
      <c r="C35" s="180"/>
      <c r="D35" s="185" t="s">
        <v>77</v>
      </c>
    </row>
    <row r="36" spans="1:16" x14ac:dyDescent="0.3">
      <c r="A36" s="183" t="s">
        <v>79</v>
      </c>
      <c r="B36" s="180"/>
      <c r="C36" s="180"/>
      <c r="D36" s="185" t="s">
        <v>80</v>
      </c>
    </row>
  </sheetData>
  <sheetProtection formatCells="0" formatColumns="0" formatRows="0" insertColumns="0" insertRows="0" insertHyperlinks="0" deleteColumns="0" deleteRows="0" sort="0" autoFilter="0" pivotTables="0"/>
  <mergeCells count="25">
    <mergeCell ref="C1:M2"/>
    <mergeCell ref="Q11:S12"/>
    <mergeCell ref="B12:J12"/>
    <mergeCell ref="Q1:S1"/>
    <mergeCell ref="Q2:S2"/>
    <mergeCell ref="A3:S3"/>
    <mergeCell ref="A4:S4"/>
    <mergeCell ref="A5:S5"/>
    <mergeCell ref="A6:S6"/>
    <mergeCell ref="B11:J11"/>
    <mergeCell ref="K11:M12"/>
    <mergeCell ref="A7:S7"/>
    <mergeCell ref="A8:S8"/>
    <mergeCell ref="L33:M33"/>
    <mergeCell ref="A14:A17"/>
    <mergeCell ref="B14:B17"/>
    <mergeCell ref="J14:J17"/>
    <mergeCell ref="A9:S9"/>
    <mergeCell ref="A10:S10"/>
    <mergeCell ref="L31:M31"/>
    <mergeCell ref="L32:M32"/>
    <mergeCell ref="N11:P12"/>
    <mergeCell ref="O31:P31"/>
    <mergeCell ref="O32:P32"/>
    <mergeCell ref="O33:P33"/>
  </mergeCells>
  <pageMargins left="0.7" right="0.7" top="0.75" bottom="0.75" header="0.3" footer="0.3"/>
  <pageSetup scale="32" fitToHeight="0" orientation="landscape" r:id="rId1"/>
  <drawing r:id="rId2"/>
  <legacyDrawingHF r:id="rId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2">
    <tabColor theme="1"/>
  </sheetPr>
  <dimension ref="A1:G49"/>
  <sheetViews>
    <sheetView topLeftCell="A13" zoomScaleNormal="100" workbookViewId="0">
      <selection activeCell="G34" sqref="G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RESUMEN!G53</f>
        <v>Proyecto: LT Veraguas - Laguneta y la LT Conexión Nueva Esperanza - Compartir - Bosa a 115 kV</v>
      </c>
      <c r="C5" s="1281"/>
      <c r="D5" s="1281"/>
      <c r="E5" s="1281"/>
      <c r="F5" s="1281"/>
      <c r="G5" s="1282"/>
    </row>
    <row r="6" spans="1:7" x14ac:dyDescent="0.25">
      <c r="A6" s="1177"/>
      <c r="B6" s="1177"/>
      <c r="C6" s="1177"/>
      <c r="D6" s="1177"/>
      <c r="E6" s="1177"/>
      <c r="F6" s="1177"/>
      <c r="G6" s="1177"/>
    </row>
    <row r="7" spans="1:7" x14ac:dyDescent="0.25">
      <c r="A7" s="271" t="s">
        <v>0</v>
      </c>
      <c r="B7" s="1264" t="str">
        <f>RESUMEN!B53</f>
        <v>D00241780</v>
      </c>
      <c r="C7" s="1265"/>
      <c r="D7" s="1177"/>
      <c r="E7" s="1266" t="s">
        <v>627</v>
      </c>
      <c r="F7" s="1267"/>
      <c r="G7" s="280" t="str">
        <f>RESUMEN!E53</f>
        <v>17-260</v>
      </c>
    </row>
    <row r="8" spans="1:7" x14ac:dyDescent="0.25">
      <c r="A8" s="271" t="s">
        <v>628</v>
      </c>
      <c r="B8" s="1264" t="str">
        <f>RESUMEN!C53</f>
        <v>D00241780000</v>
      </c>
      <c r="C8" s="1265"/>
      <c r="D8" s="1177"/>
      <c r="E8" s="1266" t="s">
        <v>629</v>
      </c>
      <c r="F8" s="1267"/>
      <c r="G8" s="280" t="str">
        <f>RESUMEN!U53</f>
        <v>Acta N° 5: Marzo</v>
      </c>
    </row>
    <row r="9" spans="1:7" x14ac:dyDescent="0.25">
      <c r="A9" s="271" t="s">
        <v>630</v>
      </c>
      <c r="B9" s="1283" t="s">
        <v>631</v>
      </c>
      <c r="C9" s="1265"/>
      <c r="D9" s="1177"/>
      <c r="E9" s="1266" t="s">
        <v>632</v>
      </c>
      <c r="F9" s="1267"/>
      <c r="G9" s="1178">
        <f>RESUMEN!H53</f>
        <v>42576100</v>
      </c>
    </row>
    <row r="10" spans="1:7" x14ac:dyDescent="0.25">
      <c r="A10" s="271" t="s">
        <v>633</v>
      </c>
      <c r="B10" s="1283" t="str">
        <f>RESUMEN!D53</f>
        <v>LLTT COMPARTIR</v>
      </c>
      <c r="C10" s="1265"/>
      <c r="D10" s="1177"/>
      <c r="E10" s="1266" t="s">
        <v>634</v>
      </c>
      <c r="F10" s="1267"/>
      <c r="G10" s="1178">
        <f>RESUMEN!R53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",RESUMEN!G53)</f>
        <v>A los 14 días del mes de Marzo se reunieron en las instalaciones de CODENSA S.A. E.S.P., los ingenieros Ing. Jhon Casanova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LT Veraguas - Laguneta y la LT Conexión Nueva Esperanza - Compartir - Bosa a 115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RESUMEN!N53</f>
        <v>0</v>
      </c>
      <c r="F19" s="1248"/>
      <c r="G19" s="1177"/>
    </row>
    <row r="20" spans="1:7" ht="27" customHeight="1" x14ac:dyDescent="0.25">
      <c r="A20" s="1177"/>
      <c r="B20" s="1244" t="s">
        <v>1498</v>
      </c>
      <c r="C20" s="1245"/>
      <c r="D20" s="1246"/>
      <c r="E20" s="1247">
        <f>RESUMEN!P53</f>
        <v>0</v>
      </c>
      <c r="F20" s="1248"/>
      <c r="G20" s="1177"/>
    </row>
    <row r="21" spans="1:7" ht="27" customHeight="1" x14ac:dyDescent="0.25">
      <c r="A21" s="1177"/>
      <c r="B21" s="1244" t="s">
        <v>1499</v>
      </c>
      <c r="C21" s="1245"/>
      <c r="D21" s="1246"/>
      <c r="E21" s="1247">
        <f>RESUMEN!Q53</f>
        <v>0</v>
      </c>
      <c r="F21" s="1248"/>
      <c r="G21" s="1177"/>
    </row>
    <row r="22" spans="1:7" x14ac:dyDescent="0.25">
      <c r="A22" s="1177"/>
      <c r="B22" s="1254" t="s">
        <v>64</v>
      </c>
      <c r="C22" s="1254"/>
      <c r="D22" s="1254"/>
      <c r="E22" s="1255">
        <f>RESUMEN!R53</f>
        <v>0</v>
      </c>
      <c r="F22" s="1255"/>
      <c r="G22" s="1177"/>
    </row>
    <row r="23" spans="1:7" x14ac:dyDescent="0.25">
      <c r="A23" s="1177"/>
      <c r="B23" s="1256" t="s">
        <v>66</v>
      </c>
      <c r="C23" s="1256"/>
      <c r="D23" s="1256"/>
      <c r="E23" s="1257">
        <f>RESUMEN!S53</f>
        <v>0</v>
      </c>
      <c r="F23" s="1257"/>
      <c r="G23" s="1177"/>
    </row>
    <row r="24" spans="1:7" x14ac:dyDescent="0.25">
      <c r="A24" s="1177"/>
      <c r="B24" s="1258" t="s">
        <v>1</v>
      </c>
      <c r="C24" s="1258"/>
      <c r="D24" s="1258"/>
      <c r="E24" s="1259">
        <f>RESUMEN!T53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+'OT17-260 LT COMPARTIR'!W36</f>
        <v>ACTA 1</v>
      </c>
      <c r="C28" s="1253">
        <f>+'OT17-260 LT COMPARTIR'!X36</f>
        <v>2827542</v>
      </c>
      <c r="D28" s="1253"/>
      <c r="E28" s="267">
        <f>+'OT17-260 LT COMPARTIR'!Y36</f>
        <v>6.6411484377385435E-2</v>
      </c>
      <c r="F28" s="1177"/>
      <c r="G28" s="1177"/>
    </row>
    <row r="29" spans="1:7" x14ac:dyDescent="0.25">
      <c r="A29" s="1177"/>
      <c r="B29" s="280" t="str">
        <f>+'OT17-260 LT COMPARTIR'!W37</f>
        <v>ACTA 2</v>
      </c>
      <c r="C29" s="1253">
        <f>+'OT17-260 LT COMPARTIR'!X37</f>
        <v>1696525</v>
      </c>
      <c r="D29" s="1253"/>
      <c r="E29" s="267">
        <f>+'OT17-260 LT COMPARTIR'!Y37</f>
        <v>3.9846885928960143E-2</v>
      </c>
      <c r="F29" s="1177"/>
      <c r="G29" s="1177"/>
    </row>
    <row r="30" spans="1:7" x14ac:dyDescent="0.25">
      <c r="A30" s="1177"/>
      <c r="B30" s="280" t="str">
        <f>+'OT17-260 LT COMPARTIR'!W38</f>
        <v>ACTA 3</v>
      </c>
      <c r="C30" s="1253">
        <f>+'OT17-260 LT COMPARTIR'!X38</f>
        <v>15215012</v>
      </c>
      <c r="D30" s="1253"/>
      <c r="E30" s="267">
        <f>+'OT17-260 LT COMPARTIR'!Y38</f>
        <v>0.35736039703025874</v>
      </c>
      <c r="F30" s="1177"/>
      <c r="G30" s="1177"/>
    </row>
    <row r="31" spans="1:7" x14ac:dyDescent="0.25">
      <c r="A31" s="1177"/>
      <c r="B31" s="280" t="str">
        <f>+'OT17-260 LT COMPARTIR'!W39</f>
        <v>ACTA 4</v>
      </c>
      <c r="C31" s="1253">
        <f>+'OT17-260 LT COMPARTIR'!X39</f>
        <v>19808545</v>
      </c>
      <c r="D31" s="1253"/>
      <c r="E31" s="267">
        <f>+'OT17-260 LT COMPARTIR'!Y39</f>
        <v>0.46525033997947207</v>
      </c>
      <c r="F31" s="1177"/>
      <c r="G31" s="1177"/>
    </row>
    <row r="32" spans="1:7" x14ac:dyDescent="0.25">
      <c r="A32" s="1177"/>
      <c r="B32" s="280" t="str">
        <f>+'OT17-260 LT COMPARTIR'!W40</f>
        <v>ACTA 5</v>
      </c>
      <c r="C32" s="1253">
        <f>+'OT17-260 LT COMPARTIR'!X40</f>
        <v>0</v>
      </c>
      <c r="D32" s="1253"/>
      <c r="E32" s="267">
        <f>+'OT17-260 LT COMPARTIR'!Y40</f>
        <v>0</v>
      </c>
      <c r="F32" s="1177"/>
      <c r="G32" s="1177"/>
    </row>
    <row r="33" spans="1:7" x14ac:dyDescent="0.25">
      <c r="A33" s="1177"/>
      <c r="B33" s="280"/>
      <c r="C33" s="1253"/>
      <c r="D33" s="1253"/>
      <c r="E33" s="267"/>
      <c r="F33" s="1177"/>
      <c r="G33" s="1177"/>
    </row>
    <row r="34" spans="1:7" x14ac:dyDescent="0.25">
      <c r="A34" s="1177"/>
      <c r="B34" s="263" t="s">
        <v>1</v>
      </c>
      <c r="C34" s="1251">
        <f>SUM(C28:D33)</f>
        <v>39547624</v>
      </c>
      <c r="D34" s="1251"/>
      <c r="E34" s="264">
        <f>SUM(E28:E33)</f>
        <v>0.92886910731607641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RESUMEN!V53</f>
        <v>Ing. Jhon Casanova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3">
    <tabColor rgb="FF72104A"/>
  </sheetPr>
  <dimension ref="A1:AB47"/>
  <sheetViews>
    <sheetView topLeftCell="J7" zoomScale="70" zoomScaleNormal="70" workbookViewId="0">
      <selection activeCell="T24" sqref="T24"/>
    </sheetView>
  </sheetViews>
  <sheetFormatPr baseColWidth="10" defaultColWidth="11.44140625" defaultRowHeight="14.4" x14ac:dyDescent="0.3"/>
  <cols>
    <col min="1" max="1" width="15.5546875" style="437" customWidth="1"/>
    <col min="2" max="2" width="24.44140625" style="437" customWidth="1"/>
    <col min="3" max="3" width="26.5546875" style="437" customWidth="1"/>
    <col min="4" max="4" width="24.44140625" style="437" customWidth="1"/>
    <col min="5" max="5" width="16.33203125" style="464" customWidth="1"/>
    <col min="6" max="6" width="17.88671875" style="437" bestFit="1" customWidth="1"/>
    <col min="7" max="7" width="17.88671875" style="437" customWidth="1"/>
    <col min="8" max="8" width="17.5546875" style="437" bestFit="1" customWidth="1"/>
    <col min="9" max="9" width="17.5546875" style="437" customWidth="1"/>
    <col min="10" max="10" width="52" style="437" customWidth="1"/>
    <col min="11" max="11" width="17.88671875" style="437" hidden="1" customWidth="1"/>
    <col min="12" max="12" width="18" style="437" hidden="1" customWidth="1"/>
    <col min="13" max="13" width="11.44140625" style="437" hidden="1" customWidth="1"/>
    <col min="14" max="14" width="17.88671875" style="437" hidden="1" customWidth="1"/>
    <col min="15" max="15" width="18" style="437" hidden="1" customWidth="1"/>
    <col min="16" max="16" width="0" style="437" hidden="1" customWidth="1"/>
    <col min="17" max="17" width="17.88671875" style="437" hidden="1" customWidth="1"/>
    <col min="18" max="18" width="18" style="437" hidden="1" customWidth="1"/>
    <col min="19" max="19" width="0" style="437" hidden="1" customWidth="1"/>
    <col min="20" max="20" width="17.88671875" style="437" bestFit="1" customWidth="1"/>
    <col min="21" max="21" width="18" style="437" bestFit="1" customWidth="1"/>
    <col min="22" max="22" width="11.44140625" style="437"/>
    <col min="23" max="23" width="16.33203125" style="437" customWidth="1"/>
    <col min="24" max="24" width="15.88671875" style="437" customWidth="1"/>
    <col min="25" max="25" width="11.44140625" style="437"/>
    <col min="26" max="26" width="17.88671875" style="437" bestFit="1" customWidth="1"/>
    <col min="27" max="27" width="17.5546875" style="437" bestFit="1" customWidth="1"/>
    <col min="28" max="16384" width="11.44140625" style="437"/>
  </cols>
  <sheetData>
    <row r="1" spans="1:28" ht="44.25" customHeight="1" thickBot="1" x14ac:dyDescent="0.35">
      <c r="A1" s="169"/>
      <c r="B1" s="188"/>
      <c r="C1" s="1307" t="s">
        <v>40</v>
      </c>
      <c r="D1" s="1308"/>
      <c r="E1" s="1308"/>
      <c r="F1" s="1308"/>
      <c r="G1" s="1308"/>
      <c r="H1" s="1308"/>
      <c r="I1" s="1308"/>
      <c r="J1" s="1308"/>
      <c r="K1" s="1308"/>
      <c r="L1" s="1308"/>
      <c r="M1" s="1308"/>
      <c r="N1" s="1308"/>
      <c r="O1" s="1308"/>
      <c r="P1" s="1309"/>
      <c r="Q1" s="600"/>
      <c r="R1" s="600"/>
      <c r="S1" s="600"/>
      <c r="T1" s="846"/>
      <c r="U1" s="846"/>
      <c r="V1" s="846"/>
      <c r="W1" s="1052"/>
      <c r="X1" s="1052"/>
      <c r="Y1" s="1052"/>
      <c r="Z1" s="1328" t="s">
        <v>1339</v>
      </c>
      <c r="AA1" s="1303"/>
      <c r="AB1" s="1304"/>
    </row>
    <row r="2" spans="1:28" ht="13.5" customHeight="1" thickBot="1" x14ac:dyDescent="0.35">
      <c r="A2" s="170"/>
      <c r="B2" s="190"/>
      <c r="C2" s="1310"/>
      <c r="D2" s="1311"/>
      <c r="E2" s="1311"/>
      <c r="F2" s="1311"/>
      <c r="G2" s="1311"/>
      <c r="H2" s="1311"/>
      <c r="I2" s="1311"/>
      <c r="J2" s="1311"/>
      <c r="K2" s="1311"/>
      <c r="L2" s="1311"/>
      <c r="M2" s="1311"/>
      <c r="N2" s="1311"/>
      <c r="O2" s="1311"/>
      <c r="P2" s="1312"/>
      <c r="Q2" s="601"/>
      <c r="R2" s="601"/>
      <c r="S2" s="601"/>
      <c r="T2" s="847"/>
      <c r="U2" s="847"/>
      <c r="V2" s="847"/>
      <c r="W2" s="1053"/>
      <c r="X2" s="1053"/>
      <c r="Y2" s="1053"/>
      <c r="Z2" s="1329" t="s">
        <v>41</v>
      </c>
      <c r="AA2" s="1305"/>
      <c r="AB2" s="1306"/>
    </row>
    <row r="3" spans="1:28"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x14ac:dyDescent="0.3">
      <c r="A7" s="1291" t="s">
        <v>1338</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ht="13.5" customHeight="1" x14ac:dyDescent="0.3">
      <c r="A10" s="1292" t="s">
        <v>1337</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ht="13.5" customHeight="1" x14ac:dyDescent="0.3">
      <c r="A11" s="434"/>
      <c r="B11" s="1301"/>
      <c r="C11" s="1313"/>
      <c r="D11" s="1313"/>
      <c r="E11" s="1313"/>
      <c r="F11" s="1313"/>
      <c r="G11" s="1313"/>
      <c r="H11" s="1313"/>
      <c r="I11" s="1313"/>
      <c r="J11" s="1313"/>
      <c r="K11" s="1293" t="s">
        <v>1409</v>
      </c>
      <c r="L11" s="1294"/>
      <c r="M11" s="1295"/>
      <c r="N11" s="1293" t="s">
        <v>1430</v>
      </c>
      <c r="O11" s="1294"/>
      <c r="P11" s="1295"/>
      <c r="Q11" s="1293" t="s">
        <v>1719</v>
      </c>
      <c r="R11" s="1294"/>
      <c r="S11" s="1295"/>
      <c r="T11" s="1293" t="s">
        <v>2098</v>
      </c>
      <c r="U11" s="1294"/>
      <c r="V11" s="1295"/>
      <c r="W11" s="1293" t="s">
        <v>2330</v>
      </c>
      <c r="X11" s="1294"/>
      <c r="Y11" s="1295"/>
      <c r="Z11" s="1299" t="s">
        <v>49</v>
      </c>
      <c r="AA11" s="1299"/>
      <c r="AB11" s="1299"/>
    </row>
    <row r="12" spans="1:28"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25"/>
      <c r="X12" s="1326"/>
      <c r="Y12" s="1327"/>
      <c r="Z12" s="1300"/>
      <c r="AA12" s="1300"/>
      <c r="AB12" s="1300"/>
    </row>
    <row r="13" spans="1:28" ht="28.8" x14ac:dyDescent="0.3">
      <c r="A13" s="461" t="s">
        <v>50</v>
      </c>
      <c r="B13" s="461" t="s">
        <v>51</v>
      </c>
      <c r="C13" s="461" t="s">
        <v>52</v>
      </c>
      <c r="D13" s="461" t="s">
        <v>53</v>
      </c>
      <c r="E13" s="461" t="s">
        <v>54</v>
      </c>
      <c r="F13" s="462" t="s">
        <v>55</v>
      </c>
      <c r="G13" s="821" t="s">
        <v>2007</v>
      </c>
      <c r="H13" s="461" t="s">
        <v>56</v>
      </c>
      <c r="I13" s="822" t="s">
        <v>56</v>
      </c>
      <c r="J13" s="461" t="s">
        <v>57</v>
      </c>
      <c r="K13" s="460" t="s">
        <v>54</v>
      </c>
      <c r="L13" s="460" t="s">
        <v>56</v>
      </c>
      <c r="M13" s="460" t="s">
        <v>58</v>
      </c>
      <c r="N13" s="460" t="s">
        <v>54</v>
      </c>
      <c r="O13" s="460" t="s">
        <v>56</v>
      </c>
      <c r="P13" s="460" t="s">
        <v>58</v>
      </c>
      <c r="Q13" s="460" t="s">
        <v>54</v>
      </c>
      <c r="R13" s="460" t="s">
        <v>56</v>
      </c>
      <c r="S13" s="460" t="s">
        <v>58</v>
      </c>
      <c r="T13" s="460" t="s">
        <v>54</v>
      </c>
      <c r="U13" s="460" t="s">
        <v>56</v>
      </c>
      <c r="V13" s="460" t="s">
        <v>58</v>
      </c>
      <c r="W13" s="460" t="s">
        <v>54</v>
      </c>
      <c r="X13" s="460" t="s">
        <v>56</v>
      </c>
      <c r="Y13" s="460" t="s">
        <v>58</v>
      </c>
      <c r="Z13" s="174" t="s">
        <v>54</v>
      </c>
      <c r="AA13" s="172" t="s">
        <v>56</v>
      </c>
      <c r="AB13" s="460" t="s">
        <v>58</v>
      </c>
    </row>
    <row r="14" spans="1:28" ht="30" customHeight="1" x14ac:dyDescent="0.3">
      <c r="A14" s="1442" t="s">
        <v>1330</v>
      </c>
      <c r="B14" s="1442" t="s">
        <v>258</v>
      </c>
      <c r="C14" s="454" t="s">
        <v>259</v>
      </c>
      <c r="D14" s="454" t="s">
        <v>260</v>
      </c>
      <c r="E14" s="467">
        <v>2</v>
      </c>
      <c r="F14" s="466">
        <v>2019673</v>
      </c>
      <c r="G14" s="32">
        <f>+ROUND(F14*1.051,0)</f>
        <v>2122676</v>
      </c>
      <c r="H14" s="453">
        <f>ROUND((E14*F14),0)</f>
        <v>4039346</v>
      </c>
      <c r="I14" s="32">
        <f>+ROUND(G14*E14,0)</f>
        <v>4245352</v>
      </c>
      <c r="J14" s="1485" t="s">
        <v>1336</v>
      </c>
      <c r="K14" s="558">
        <v>1.4</v>
      </c>
      <c r="L14" s="429">
        <f>ROUND(K14*$F$14,0)</f>
        <v>2827542</v>
      </c>
      <c r="M14" s="430">
        <f>L14/$H$14</f>
        <v>0.69999995048703434</v>
      </c>
      <c r="N14" s="452">
        <v>0</v>
      </c>
      <c r="O14" s="425">
        <f>ROUND(N14*$F$14,0)</f>
        <v>0</v>
      </c>
      <c r="P14" s="426">
        <f>O14/$H$14</f>
        <v>0</v>
      </c>
      <c r="Q14" s="474">
        <v>0.6</v>
      </c>
      <c r="R14" s="429">
        <f>ROUND(Q14*F14,0)</f>
        <v>1211804</v>
      </c>
      <c r="S14" s="430">
        <f>R14/H14</f>
        <v>0.30000004951296572</v>
      </c>
      <c r="T14" s="452">
        <v>0</v>
      </c>
      <c r="U14" s="425">
        <f>ROUND(T14*G14,0)</f>
        <v>0</v>
      </c>
      <c r="V14" s="426">
        <f t="shared" ref="V14:V22" si="0">U14/H14</f>
        <v>0</v>
      </c>
      <c r="W14" s="452">
        <v>0</v>
      </c>
      <c r="X14" s="425">
        <f>ROUND(W14*G14,0)</f>
        <v>0</v>
      </c>
      <c r="Y14" s="426">
        <f>X14/I14</f>
        <v>0</v>
      </c>
      <c r="Z14" s="450">
        <f>K14+N14+Q14+T14+W14</f>
        <v>2</v>
      </c>
      <c r="AA14" s="175">
        <f>L14+O14+R14+U14+X14</f>
        <v>4039346</v>
      </c>
      <c r="AB14" s="176">
        <f t="shared" ref="AB14:AB25" si="1">AA14/H14</f>
        <v>1</v>
      </c>
    </row>
    <row r="15" spans="1:28" x14ac:dyDescent="0.3">
      <c r="A15" s="1441"/>
      <c r="B15" s="1441"/>
      <c r="C15" s="459"/>
      <c r="D15" s="459" t="s">
        <v>261</v>
      </c>
      <c r="E15" s="465"/>
      <c r="F15" s="468"/>
      <c r="G15" s="468"/>
      <c r="H15" s="457">
        <f>H14</f>
        <v>4039346</v>
      </c>
      <c r="I15" s="457">
        <f>SUM(I14)</f>
        <v>4245352</v>
      </c>
      <c r="J15" s="1485"/>
      <c r="K15" s="431"/>
      <c r="L15" s="179">
        <f>L14</f>
        <v>2827542</v>
      </c>
      <c r="M15" s="431">
        <f>L15/$H$15</f>
        <v>0.69999995048703434</v>
      </c>
      <c r="N15" s="431"/>
      <c r="O15" s="179">
        <f>O14</f>
        <v>0</v>
      </c>
      <c r="P15" s="431">
        <f>O15/$H$15</f>
        <v>0</v>
      </c>
      <c r="Q15" s="431"/>
      <c r="R15" s="179">
        <f>R14</f>
        <v>1211804</v>
      </c>
      <c r="S15" s="431">
        <f>R15/$H$15</f>
        <v>0.30000004951296572</v>
      </c>
      <c r="T15" s="431"/>
      <c r="U15" s="179">
        <f>U14</f>
        <v>0</v>
      </c>
      <c r="V15" s="431">
        <f t="shared" si="0"/>
        <v>0</v>
      </c>
      <c r="W15" s="431"/>
      <c r="X15" s="179">
        <f>X14</f>
        <v>0</v>
      </c>
      <c r="Y15" s="1091">
        <f t="shared" ref="Y15:Y25" si="2">X15/I15</f>
        <v>0</v>
      </c>
      <c r="Z15" s="1089"/>
      <c r="AA15" s="1078">
        <f t="shared" ref="AA15:AA25" si="3">L15+O15+R15+U15+X15</f>
        <v>4039346</v>
      </c>
      <c r="AB15" s="431">
        <f t="shared" si="1"/>
        <v>1</v>
      </c>
    </row>
    <row r="16" spans="1:28" ht="30" customHeight="1" x14ac:dyDescent="0.3">
      <c r="A16" s="1442" t="s">
        <v>1330</v>
      </c>
      <c r="B16" s="1442" t="s">
        <v>262</v>
      </c>
      <c r="C16" s="454" t="s">
        <v>263</v>
      </c>
      <c r="D16" s="454" t="s">
        <v>264</v>
      </c>
      <c r="E16" s="467">
        <v>2</v>
      </c>
      <c r="F16" s="466">
        <v>1532165</v>
      </c>
      <c r="G16" s="32">
        <f>+ROUND(F16*1.051,0)</f>
        <v>1610305</v>
      </c>
      <c r="H16" s="453">
        <f>ROUND((E16*F16),0)</f>
        <v>3064330</v>
      </c>
      <c r="I16" s="32">
        <f>+ROUND(G16*E16,0)</f>
        <v>3220610</v>
      </c>
      <c r="J16" s="1485" t="s">
        <v>1335</v>
      </c>
      <c r="K16" s="452">
        <v>0</v>
      </c>
      <c r="L16" s="425">
        <f>ROUND(K16*$F$16,0)</f>
        <v>0</v>
      </c>
      <c r="M16" s="426">
        <f>L16/$H$16</f>
        <v>0</v>
      </c>
      <c r="N16" s="452">
        <v>0</v>
      </c>
      <c r="O16" s="425">
        <f>ROUND(N16*$F$16,0)</f>
        <v>0</v>
      </c>
      <c r="P16" s="426">
        <f>O16/$H$16</f>
        <v>0</v>
      </c>
      <c r="Q16" s="474">
        <v>2</v>
      </c>
      <c r="R16" s="429">
        <f>ROUND(Q16*F16,0)</f>
        <v>3064330</v>
      </c>
      <c r="S16" s="430">
        <f>R16/H16</f>
        <v>1</v>
      </c>
      <c r="T16" s="452">
        <v>0</v>
      </c>
      <c r="U16" s="425">
        <f>ROUND(T16*G16,0)</f>
        <v>0</v>
      </c>
      <c r="V16" s="426">
        <f t="shared" si="0"/>
        <v>0</v>
      </c>
      <c r="W16" s="452">
        <v>0</v>
      </c>
      <c r="X16" s="425">
        <f>ROUND(W16*G16,0)</f>
        <v>0</v>
      </c>
      <c r="Y16" s="426">
        <f t="shared" si="2"/>
        <v>0</v>
      </c>
      <c r="Z16" s="450">
        <f t="shared" ref="Z16:Z24" si="4">K16+N16+Q16+T16+W16</f>
        <v>2</v>
      </c>
      <c r="AA16" s="175">
        <f t="shared" si="3"/>
        <v>3064330</v>
      </c>
      <c r="AB16" s="176">
        <f t="shared" si="1"/>
        <v>1</v>
      </c>
    </row>
    <row r="17" spans="1:28" x14ac:dyDescent="0.3">
      <c r="A17" s="1441"/>
      <c r="B17" s="1441"/>
      <c r="C17" s="459"/>
      <c r="D17" s="459" t="s">
        <v>265</v>
      </c>
      <c r="E17" s="465"/>
      <c r="F17" s="468"/>
      <c r="G17" s="468"/>
      <c r="H17" s="457">
        <f>H16</f>
        <v>3064330</v>
      </c>
      <c r="I17" s="457">
        <f>SUM(I16)</f>
        <v>3220610</v>
      </c>
      <c r="J17" s="1485"/>
      <c r="K17" s="431"/>
      <c r="L17" s="179">
        <f>L16</f>
        <v>0</v>
      </c>
      <c r="M17" s="431">
        <f>L17/$H$17</f>
        <v>0</v>
      </c>
      <c r="N17" s="431"/>
      <c r="O17" s="179">
        <f>O16</f>
        <v>0</v>
      </c>
      <c r="P17" s="431">
        <f>O17/$H$17</f>
        <v>0</v>
      </c>
      <c r="Q17" s="431"/>
      <c r="R17" s="179">
        <f>R16</f>
        <v>3064330</v>
      </c>
      <c r="S17" s="431">
        <f>R17/$H$17</f>
        <v>1</v>
      </c>
      <c r="T17" s="431"/>
      <c r="U17" s="179">
        <f>U16</f>
        <v>0</v>
      </c>
      <c r="V17" s="431">
        <f t="shared" si="0"/>
        <v>0</v>
      </c>
      <c r="W17" s="431"/>
      <c r="X17" s="179">
        <f>X16</f>
        <v>0</v>
      </c>
      <c r="Y17" s="1091">
        <f t="shared" si="2"/>
        <v>0</v>
      </c>
      <c r="Z17" s="1089"/>
      <c r="AA17" s="1078">
        <f t="shared" si="3"/>
        <v>3064330</v>
      </c>
      <c r="AB17" s="431">
        <f t="shared" si="1"/>
        <v>1</v>
      </c>
    </row>
    <row r="18" spans="1:28" ht="30" customHeight="1" x14ac:dyDescent="0.3">
      <c r="A18" s="1442" t="s">
        <v>1330</v>
      </c>
      <c r="B18" s="1442" t="s">
        <v>1334</v>
      </c>
      <c r="C18" s="454" t="s">
        <v>343</v>
      </c>
      <c r="D18" s="454" t="s">
        <v>344</v>
      </c>
      <c r="E18" s="470">
        <v>5</v>
      </c>
      <c r="F18" s="466">
        <v>940192</v>
      </c>
      <c r="G18" s="32">
        <f>+ROUND(F18*1.051,0)</f>
        <v>988142</v>
      </c>
      <c r="H18" s="453">
        <f>ROUND((E18*F18),0)</f>
        <v>4700960</v>
      </c>
      <c r="I18" s="32">
        <f>+ROUND(G18*E18,0)</f>
        <v>4940710</v>
      </c>
      <c r="J18" s="1485" t="s">
        <v>1333</v>
      </c>
      <c r="K18" s="452">
        <v>0</v>
      </c>
      <c r="L18" s="425">
        <f>ROUND(K18*$F$18,0)</f>
        <v>0</v>
      </c>
      <c r="M18" s="426">
        <f>L18/$H$18</f>
        <v>0</v>
      </c>
      <c r="N18" s="452">
        <v>0</v>
      </c>
      <c r="O18" s="425">
        <f>ROUND(N18*$F$18,0)</f>
        <v>0</v>
      </c>
      <c r="P18" s="426">
        <f>O18/$H$18</f>
        <v>0</v>
      </c>
      <c r="Q18" s="452">
        <v>0</v>
      </c>
      <c r="R18" s="425">
        <f>ROUND(Q18*F18,0)</f>
        <v>0</v>
      </c>
      <c r="S18" s="426">
        <f>R18/H18</f>
        <v>0</v>
      </c>
      <c r="T18" s="474">
        <f>5*75%</f>
        <v>3.75</v>
      </c>
      <c r="U18" s="429">
        <f>ROUND(T18*G18,0)</f>
        <v>3705533</v>
      </c>
      <c r="V18" s="430">
        <f t="shared" si="0"/>
        <v>0.78825027228480993</v>
      </c>
      <c r="W18" s="452">
        <v>0</v>
      </c>
      <c r="X18" s="425">
        <f>ROUND(W18*G18,0)</f>
        <v>0</v>
      </c>
      <c r="Y18" s="426">
        <f t="shared" si="2"/>
        <v>0</v>
      </c>
      <c r="Z18" s="450">
        <f t="shared" si="4"/>
        <v>3.75</v>
      </c>
      <c r="AA18" s="175">
        <f t="shared" si="3"/>
        <v>3705533</v>
      </c>
      <c r="AB18" s="176">
        <f t="shared" si="1"/>
        <v>0.78825027228480993</v>
      </c>
    </row>
    <row r="19" spans="1:28" x14ac:dyDescent="0.3">
      <c r="A19" s="1441"/>
      <c r="B19" s="1441"/>
      <c r="C19" s="459"/>
      <c r="D19" s="459" t="s">
        <v>346</v>
      </c>
      <c r="E19" s="465"/>
      <c r="F19" s="468"/>
      <c r="G19" s="468"/>
      <c r="H19" s="457">
        <f>H18</f>
        <v>4700960</v>
      </c>
      <c r="I19" s="457">
        <f>SUM(I18)</f>
        <v>4940710</v>
      </c>
      <c r="J19" s="1485"/>
      <c r="K19" s="431"/>
      <c r="L19" s="179">
        <f>L18</f>
        <v>0</v>
      </c>
      <c r="M19" s="431">
        <f>L19/$H$19</f>
        <v>0</v>
      </c>
      <c r="N19" s="431"/>
      <c r="O19" s="179">
        <f>O18</f>
        <v>0</v>
      </c>
      <c r="P19" s="431">
        <f>O19/$H$19</f>
        <v>0</v>
      </c>
      <c r="Q19" s="431"/>
      <c r="R19" s="179">
        <f>R18</f>
        <v>0</v>
      </c>
      <c r="S19" s="431">
        <f>R19/$H$19</f>
        <v>0</v>
      </c>
      <c r="T19" s="431"/>
      <c r="U19" s="179">
        <f>U18</f>
        <v>3705533</v>
      </c>
      <c r="V19" s="431">
        <f t="shared" si="0"/>
        <v>0.78825027228480993</v>
      </c>
      <c r="W19" s="431"/>
      <c r="X19" s="179">
        <f>X18</f>
        <v>0</v>
      </c>
      <c r="Y19" s="1091">
        <f t="shared" si="2"/>
        <v>0</v>
      </c>
      <c r="Z19" s="1089"/>
      <c r="AA19" s="1078">
        <f t="shared" si="3"/>
        <v>3705533</v>
      </c>
      <c r="AB19" s="431">
        <f t="shared" si="1"/>
        <v>0.78825027228480993</v>
      </c>
    </row>
    <row r="20" spans="1:28" ht="30" customHeight="1" x14ac:dyDescent="0.3">
      <c r="A20" s="1442" t="s">
        <v>1330</v>
      </c>
      <c r="B20" s="1441" t="s">
        <v>269</v>
      </c>
      <c r="C20" s="454" t="s">
        <v>270</v>
      </c>
      <c r="D20" s="454" t="s">
        <v>271</v>
      </c>
      <c r="E20" s="469">
        <v>2.5</v>
      </c>
      <c r="F20" s="466">
        <v>5571510</v>
      </c>
      <c r="G20" s="32">
        <f>+ROUND(F20*1.051,0)</f>
        <v>5855657</v>
      </c>
      <c r="H20" s="453">
        <f>ROUND((E20*F20),0)</f>
        <v>13928775</v>
      </c>
      <c r="I20" s="32">
        <f>+ROUND(G20*E20,0)</f>
        <v>14639143</v>
      </c>
      <c r="J20" s="1485" t="s">
        <v>1332</v>
      </c>
      <c r="K20" s="452">
        <v>0</v>
      </c>
      <c r="L20" s="425">
        <f>ROUND(K20*$F$20,0)</f>
        <v>0</v>
      </c>
      <c r="M20" s="426">
        <f>L20/$H$20</f>
        <v>0</v>
      </c>
      <c r="N20" s="474">
        <v>0.3</v>
      </c>
      <c r="O20" s="429">
        <f>ROUND(N20*$F$20,0)</f>
        <v>1671453</v>
      </c>
      <c r="P20" s="430">
        <f>O20/$H$20</f>
        <v>0.12</v>
      </c>
      <c r="Q20" s="474">
        <v>0.7</v>
      </c>
      <c r="R20" s="429">
        <f>ROUND(Q20*F20,0)</f>
        <v>3900057</v>
      </c>
      <c r="S20" s="430">
        <f>R20/H20</f>
        <v>0.28000000000000003</v>
      </c>
      <c r="T20" s="474">
        <f>(2.5-0.7)*75%</f>
        <v>1.35</v>
      </c>
      <c r="U20" s="429">
        <f>ROUND(T20*G20,0)</f>
        <v>7905137</v>
      </c>
      <c r="V20" s="430">
        <f t="shared" si="0"/>
        <v>0.56754000262047455</v>
      </c>
      <c r="W20" s="452">
        <v>0</v>
      </c>
      <c r="X20" s="425">
        <f>ROUND(W20*G20,0)</f>
        <v>0</v>
      </c>
      <c r="Y20" s="426">
        <f t="shared" si="2"/>
        <v>0</v>
      </c>
      <c r="Z20" s="450">
        <f t="shared" si="4"/>
        <v>2.35</v>
      </c>
      <c r="AA20" s="175">
        <f t="shared" si="3"/>
        <v>13476647</v>
      </c>
      <c r="AB20" s="176">
        <f t="shared" si="1"/>
        <v>0.96754000262047457</v>
      </c>
    </row>
    <row r="21" spans="1:28" x14ac:dyDescent="0.3">
      <c r="A21" s="1441"/>
      <c r="B21" s="1441"/>
      <c r="C21" s="459"/>
      <c r="D21" s="459" t="s">
        <v>215</v>
      </c>
      <c r="E21" s="465"/>
      <c r="F21" s="468"/>
      <c r="G21" s="468"/>
      <c r="H21" s="457">
        <f>H20</f>
        <v>13928775</v>
      </c>
      <c r="I21" s="457">
        <f>SUM(I20)</f>
        <v>14639143</v>
      </c>
      <c r="J21" s="1485"/>
      <c r="K21" s="431"/>
      <c r="L21" s="179">
        <f>L20</f>
        <v>0</v>
      </c>
      <c r="M21" s="431">
        <f>L21/$H$21</f>
        <v>0</v>
      </c>
      <c r="N21" s="431"/>
      <c r="O21" s="179">
        <f>O20</f>
        <v>1671453</v>
      </c>
      <c r="P21" s="431">
        <f>O21/$H$21</f>
        <v>0.12</v>
      </c>
      <c r="Q21" s="431"/>
      <c r="R21" s="179">
        <f>R20</f>
        <v>3900057</v>
      </c>
      <c r="S21" s="431">
        <f>R21/$H$21</f>
        <v>0.28000000000000003</v>
      </c>
      <c r="T21" s="431"/>
      <c r="U21" s="179">
        <f>U20</f>
        <v>7905137</v>
      </c>
      <c r="V21" s="431">
        <f t="shared" si="0"/>
        <v>0.56754000262047455</v>
      </c>
      <c r="W21" s="431"/>
      <c r="X21" s="179">
        <f>X20</f>
        <v>0</v>
      </c>
      <c r="Y21" s="1091">
        <f t="shared" si="2"/>
        <v>0</v>
      </c>
      <c r="Z21" s="1089"/>
      <c r="AA21" s="1078">
        <f t="shared" si="3"/>
        <v>13476647</v>
      </c>
      <c r="AB21" s="431">
        <f t="shared" si="1"/>
        <v>0.96754000262047457</v>
      </c>
    </row>
    <row r="22" spans="1:28" ht="30" customHeight="1" x14ac:dyDescent="0.3">
      <c r="A22" s="1442" t="s">
        <v>1330</v>
      </c>
      <c r="B22" s="1441" t="s">
        <v>272</v>
      </c>
      <c r="C22" s="454" t="s">
        <v>273</v>
      </c>
      <c r="D22" s="454" t="s">
        <v>274</v>
      </c>
      <c r="E22" s="467">
        <v>8</v>
      </c>
      <c r="F22" s="466">
        <v>1253590</v>
      </c>
      <c r="G22" s="32">
        <f>+ROUND(F22*1.051,0)</f>
        <v>1317523</v>
      </c>
      <c r="H22" s="453">
        <f>ROUND((E22*F22),0)</f>
        <v>10028720</v>
      </c>
      <c r="I22" s="32">
        <f>+ROUND(G22*E22,0)</f>
        <v>10540184</v>
      </c>
      <c r="J22" s="1485" t="s">
        <v>1331</v>
      </c>
      <c r="K22" s="452">
        <v>0</v>
      </c>
      <c r="L22" s="425">
        <f>ROUND(K22*$F$22,0)</f>
        <v>0</v>
      </c>
      <c r="M22" s="426">
        <f>L22/$H$22</f>
        <v>0</v>
      </c>
      <c r="N22" s="452">
        <v>0</v>
      </c>
      <c r="O22" s="425">
        <f>ROUND(N22*$F$22,0)</f>
        <v>0</v>
      </c>
      <c r="P22" s="426">
        <f>O22/$H$22</f>
        <v>0</v>
      </c>
      <c r="Q22" s="452">
        <v>0</v>
      </c>
      <c r="R22" s="425">
        <f>ROUND(Q22*F22,0)</f>
        <v>0</v>
      </c>
      <c r="S22" s="426">
        <f>R22/H22</f>
        <v>0</v>
      </c>
      <c r="T22" s="474">
        <f>8*75%</f>
        <v>6</v>
      </c>
      <c r="U22" s="429">
        <f>ROUND(T22*G22,0)</f>
        <v>7905138</v>
      </c>
      <c r="V22" s="430">
        <f t="shared" si="0"/>
        <v>0.78824994615464383</v>
      </c>
      <c r="W22" s="452">
        <v>0</v>
      </c>
      <c r="X22" s="425">
        <f>ROUND(W22*G22,0)</f>
        <v>0</v>
      </c>
      <c r="Y22" s="426">
        <f t="shared" si="2"/>
        <v>0</v>
      </c>
      <c r="Z22" s="450">
        <f t="shared" si="4"/>
        <v>6</v>
      </c>
      <c r="AA22" s="175">
        <f t="shared" si="3"/>
        <v>7905138</v>
      </c>
      <c r="AB22" s="176">
        <f t="shared" si="1"/>
        <v>0.78824994615464383</v>
      </c>
    </row>
    <row r="23" spans="1:28" x14ac:dyDescent="0.3">
      <c r="A23" s="1441"/>
      <c r="B23" s="1441"/>
      <c r="C23" s="459"/>
      <c r="D23" s="459" t="s">
        <v>136</v>
      </c>
      <c r="E23" s="465"/>
      <c r="F23" s="468"/>
      <c r="G23" s="468"/>
      <c r="H23" s="457">
        <f>H22</f>
        <v>10028720</v>
      </c>
      <c r="I23" s="457">
        <f>SUM(I22)</f>
        <v>10540184</v>
      </c>
      <c r="J23" s="1485"/>
      <c r="K23" s="431"/>
      <c r="L23" s="179">
        <f>L22</f>
        <v>0</v>
      </c>
      <c r="M23" s="431">
        <f>L23/$H$23</f>
        <v>0</v>
      </c>
      <c r="N23" s="431"/>
      <c r="O23" s="179">
        <f>O22</f>
        <v>0</v>
      </c>
      <c r="P23" s="431">
        <f>O23/$H$23</f>
        <v>0</v>
      </c>
      <c r="Q23" s="431"/>
      <c r="R23" s="179">
        <f>R22</f>
        <v>0</v>
      </c>
      <c r="S23" s="431">
        <f>R23/$H$23</f>
        <v>0</v>
      </c>
      <c r="T23" s="431"/>
      <c r="U23" s="179">
        <f>U22</f>
        <v>7905138</v>
      </c>
      <c r="V23" s="431">
        <f>U23/$I$23</f>
        <v>0.75</v>
      </c>
      <c r="W23" s="431"/>
      <c r="X23" s="179">
        <f>X22</f>
        <v>0</v>
      </c>
      <c r="Y23" s="1091">
        <f t="shared" si="2"/>
        <v>0</v>
      </c>
      <c r="Z23" s="1089"/>
      <c r="AA23" s="1078">
        <f t="shared" si="3"/>
        <v>7905138</v>
      </c>
      <c r="AB23" s="431">
        <f t="shared" si="1"/>
        <v>0.78824994615464383</v>
      </c>
    </row>
    <row r="24" spans="1:28" ht="30" customHeight="1" x14ac:dyDescent="0.3">
      <c r="A24" s="1442" t="s">
        <v>1330</v>
      </c>
      <c r="B24" s="1441" t="s">
        <v>275</v>
      </c>
      <c r="C24" s="454" t="s">
        <v>276</v>
      </c>
      <c r="D24" s="454" t="s">
        <v>277</v>
      </c>
      <c r="E24" s="467">
        <v>97.84</v>
      </c>
      <c r="F24" s="466">
        <v>69644</v>
      </c>
      <c r="G24" s="32">
        <f>+ROUND(F24*1.051,0)</f>
        <v>73196</v>
      </c>
      <c r="H24" s="453">
        <f>ROUND((E24*F24),0)</f>
        <v>6813969</v>
      </c>
      <c r="I24" s="32">
        <f>+ROUND(G24*E24,0)</f>
        <v>7161497</v>
      </c>
      <c r="J24" s="1485" t="s">
        <v>1329</v>
      </c>
      <c r="K24" s="452">
        <v>0</v>
      </c>
      <c r="L24" s="425">
        <f>ROUND(K24*$F$24,0)</f>
        <v>0</v>
      </c>
      <c r="M24" s="426">
        <f>L24/$H$24</f>
        <v>0</v>
      </c>
      <c r="N24" s="452">
        <v>0</v>
      </c>
      <c r="O24" s="425">
        <f>ROUND(N24*$F$24,0)</f>
        <v>0</v>
      </c>
      <c r="P24" s="426">
        <f>O24/$H$24</f>
        <v>0</v>
      </c>
      <c r="Q24" s="474">
        <v>97.84</v>
      </c>
      <c r="R24" s="429">
        <f>ROUND(Q24*F24,0)</f>
        <v>6813969</v>
      </c>
      <c r="S24" s="430">
        <f>R24/H24</f>
        <v>1</v>
      </c>
      <c r="T24" s="452">
        <v>0</v>
      </c>
      <c r="U24" s="425">
        <f>ROUND(T24*G24,0)</f>
        <v>0</v>
      </c>
      <c r="V24" s="426">
        <f>U24/H24</f>
        <v>0</v>
      </c>
      <c r="W24" s="452">
        <v>0</v>
      </c>
      <c r="X24" s="425">
        <f>ROUND(W24*G24,0)</f>
        <v>0</v>
      </c>
      <c r="Y24" s="426">
        <f t="shared" si="2"/>
        <v>0</v>
      </c>
      <c r="Z24" s="450">
        <f t="shared" si="4"/>
        <v>97.84</v>
      </c>
      <c r="AA24" s="175">
        <f t="shared" si="3"/>
        <v>6813969</v>
      </c>
      <c r="AB24" s="176">
        <f t="shared" si="1"/>
        <v>1</v>
      </c>
    </row>
    <row r="25" spans="1:28" x14ac:dyDescent="0.3">
      <c r="A25" s="1441"/>
      <c r="B25" s="1441"/>
      <c r="C25" s="459"/>
      <c r="D25" s="459" t="s">
        <v>278</v>
      </c>
      <c r="E25" s="465"/>
      <c r="F25" s="458"/>
      <c r="G25" s="458"/>
      <c r="H25" s="457">
        <f>H24</f>
        <v>6813969</v>
      </c>
      <c r="I25" s="457">
        <f>SUM(I24)</f>
        <v>7161497</v>
      </c>
      <c r="J25" s="1485"/>
      <c r="K25" s="431"/>
      <c r="L25" s="179">
        <f>L24</f>
        <v>0</v>
      </c>
      <c r="M25" s="431">
        <f>L25/$H$25</f>
        <v>0</v>
      </c>
      <c r="N25" s="431"/>
      <c r="O25" s="179">
        <f>O24</f>
        <v>0</v>
      </c>
      <c r="P25" s="431">
        <f>O25/$H$25</f>
        <v>0</v>
      </c>
      <c r="Q25" s="431"/>
      <c r="R25" s="179">
        <f>R24</f>
        <v>6813969</v>
      </c>
      <c r="S25" s="431">
        <f>R25/$H$25</f>
        <v>1</v>
      </c>
      <c r="T25" s="431"/>
      <c r="U25" s="179">
        <f>U24</f>
        <v>0</v>
      </c>
      <c r="V25" s="431">
        <f>U25/H25</f>
        <v>0</v>
      </c>
      <c r="W25" s="431"/>
      <c r="X25" s="179">
        <f>X24</f>
        <v>0</v>
      </c>
      <c r="Y25" s="1091">
        <f t="shared" si="2"/>
        <v>0</v>
      </c>
      <c r="Z25" s="1101"/>
      <c r="AA25" s="1078">
        <f t="shared" si="3"/>
        <v>6813969</v>
      </c>
      <c r="AB25" s="431">
        <f t="shared" si="1"/>
        <v>1</v>
      </c>
    </row>
    <row r="26" spans="1:28" x14ac:dyDescent="0.3">
      <c r="F26" s="445" t="s">
        <v>64</v>
      </c>
      <c r="G26" s="445"/>
      <c r="H26" s="181">
        <f>SUM(H14:H25)/2</f>
        <v>42576100</v>
      </c>
      <c r="I26" s="181">
        <f>SUM(I14:I25)/2</f>
        <v>44747496</v>
      </c>
      <c r="K26" s="445" t="s">
        <v>64</v>
      </c>
      <c r="L26" s="181">
        <f>SUM(L14:L25)/2</f>
        <v>2827542</v>
      </c>
      <c r="M26" s="463">
        <f>L26/H26</f>
        <v>6.6411484377385435E-2</v>
      </c>
      <c r="N26" s="547" t="s">
        <v>64</v>
      </c>
      <c r="O26" s="481">
        <f>SUM(O14:O25)/2</f>
        <v>1671453</v>
      </c>
      <c r="Q26" s="547" t="s">
        <v>64</v>
      </c>
      <c r="R26" s="481">
        <f>SUM(R14:R25)/2</f>
        <v>14990160</v>
      </c>
      <c r="T26" s="547" t="s">
        <v>64</v>
      </c>
      <c r="U26" s="481">
        <f>SUM(U14:U25)/2</f>
        <v>19515808</v>
      </c>
      <c r="W26" s="547" t="s">
        <v>64</v>
      </c>
      <c r="X26" s="481">
        <f>SUM(X14:X25)/2</f>
        <v>0</v>
      </c>
      <c r="Z26" s="547" t="s">
        <v>64</v>
      </c>
      <c r="AA26" s="481">
        <f>SUM(AA14:AA25)/2</f>
        <v>39004963</v>
      </c>
    </row>
    <row r="27" spans="1:28" x14ac:dyDescent="0.3">
      <c r="F27" s="444" t="s">
        <v>65</v>
      </c>
      <c r="G27" s="444"/>
      <c r="H27" s="181">
        <v>0</v>
      </c>
      <c r="I27" s="181">
        <v>0</v>
      </c>
      <c r="K27" s="444" t="s">
        <v>65</v>
      </c>
      <c r="L27" s="181">
        <v>0</v>
      </c>
      <c r="N27" s="548" t="s">
        <v>65</v>
      </c>
      <c r="O27" s="481">
        <v>0</v>
      </c>
      <c r="Q27" s="548" t="s">
        <v>65</v>
      </c>
      <c r="R27" s="481">
        <v>0</v>
      </c>
      <c r="T27" s="548" t="s">
        <v>65</v>
      </c>
      <c r="U27" s="481">
        <v>0</v>
      </c>
      <c r="W27" s="548" t="s">
        <v>65</v>
      </c>
      <c r="X27" s="481">
        <v>0</v>
      </c>
      <c r="Z27" s="548" t="s">
        <v>65</v>
      </c>
      <c r="AA27" s="481">
        <v>0</v>
      </c>
    </row>
    <row r="28" spans="1:28" x14ac:dyDescent="0.3">
      <c r="F28" s="443" t="s">
        <v>64</v>
      </c>
      <c r="G28" s="443"/>
      <c r="H28" s="340">
        <f>SUM(H26:H27)</f>
        <v>42576100</v>
      </c>
      <c r="I28" s="340">
        <f>SUM(I26:I27)</f>
        <v>44747496</v>
      </c>
      <c r="K28" s="443" t="s">
        <v>64</v>
      </c>
      <c r="L28" s="340">
        <f>SUM(L26:L27)</f>
        <v>2827542</v>
      </c>
      <c r="N28" s="549" t="s">
        <v>64</v>
      </c>
      <c r="O28" s="550">
        <f>SUM(O26:O27)</f>
        <v>1671453</v>
      </c>
      <c r="Q28" s="549" t="s">
        <v>64</v>
      </c>
      <c r="R28" s="550">
        <f>SUM(R26:R27)</f>
        <v>14990160</v>
      </c>
      <c r="T28" s="549" t="s">
        <v>64</v>
      </c>
      <c r="U28" s="550">
        <f>SUM(U26:U27)</f>
        <v>19515808</v>
      </c>
      <c r="W28" s="549" t="s">
        <v>64</v>
      </c>
      <c r="X28" s="550">
        <f>SUM(X26:X27)</f>
        <v>0</v>
      </c>
      <c r="Z28" s="549" t="s">
        <v>64</v>
      </c>
      <c r="AA28" s="550">
        <f>SUM(AA26:AA27)</f>
        <v>39004963</v>
      </c>
    </row>
    <row r="29" spans="1:28" ht="26.4" x14ac:dyDescent="0.3">
      <c r="F29" s="443"/>
      <c r="G29" s="443"/>
      <c r="H29" s="340"/>
      <c r="I29" s="340"/>
      <c r="K29" s="443"/>
      <c r="L29" s="340"/>
      <c r="N29" s="484" t="s">
        <v>1439</v>
      </c>
      <c r="O29" s="483">
        <f>ROUND(O28*0.015,0)</f>
        <v>25072</v>
      </c>
      <c r="Q29" s="484" t="s">
        <v>1439</v>
      </c>
      <c r="R29" s="483">
        <f>ROUND(R28*0.015,0)</f>
        <v>224852</v>
      </c>
      <c r="T29" s="484" t="s">
        <v>1439</v>
      </c>
      <c r="U29" s="483">
        <f>ROUND(U28*0.015,0)</f>
        <v>292737</v>
      </c>
      <c r="W29" s="484" t="s">
        <v>1439</v>
      </c>
      <c r="X29" s="483">
        <f>ROUND(X28*0.015,0)</f>
        <v>0</v>
      </c>
      <c r="Z29" s="484" t="s">
        <v>1439</v>
      </c>
      <c r="AA29" s="550">
        <f>L29+O29+R29+U29+X29</f>
        <v>542661</v>
      </c>
    </row>
    <row r="30" spans="1:28" ht="26.4" x14ac:dyDescent="0.3">
      <c r="F30" s="443"/>
      <c r="G30" s="443"/>
      <c r="H30" s="340"/>
      <c r="I30" s="340"/>
      <c r="K30" s="443"/>
      <c r="L30" s="340"/>
      <c r="N30" s="152" t="s">
        <v>1440</v>
      </c>
      <c r="O30" s="182">
        <f>O28+O29</f>
        <v>1696525</v>
      </c>
      <c r="P30" s="574">
        <f>O30/$H$26</f>
        <v>3.9846885928960143E-2</v>
      </c>
      <c r="Q30" s="152" t="s">
        <v>1440</v>
      </c>
      <c r="R30" s="182">
        <f>R28+R29</f>
        <v>15215012</v>
      </c>
      <c r="S30" s="574">
        <f>R30/$H$26</f>
        <v>0.35736039703025874</v>
      </c>
      <c r="T30" s="152" t="s">
        <v>1440</v>
      </c>
      <c r="U30" s="182">
        <f>U28+U29</f>
        <v>19808545</v>
      </c>
      <c r="V30" s="574">
        <f>U30/$H$26</f>
        <v>0.46525033997947207</v>
      </c>
      <c r="W30" s="152" t="s">
        <v>1440</v>
      </c>
      <c r="X30" s="182">
        <f>X28+X29</f>
        <v>0</v>
      </c>
      <c r="Y30" s="574">
        <f>X30/$H$26</f>
        <v>0</v>
      </c>
      <c r="Z30" s="152" t="s">
        <v>1440</v>
      </c>
      <c r="AA30" s="182">
        <f>AA28+AA29</f>
        <v>39547624</v>
      </c>
      <c r="AB30" s="616">
        <f>AA30/H28</f>
        <v>0.92886910731607641</v>
      </c>
    </row>
    <row r="31" spans="1:28" x14ac:dyDescent="0.3">
      <c r="F31" s="442" t="s">
        <v>66</v>
      </c>
      <c r="G31" s="442"/>
      <c r="H31" s="181">
        <f>+H28*19%</f>
        <v>8089459</v>
      </c>
      <c r="I31" s="181">
        <f>+I28*19%</f>
        <v>8502024.2400000002</v>
      </c>
      <c r="K31" s="442" t="s">
        <v>66</v>
      </c>
      <c r="L31" s="181">
        <f>+L28*19%</f>
        <v>537232.98</v>
      </c>
      <c r="N31" s="551" t="s">
        <v>66</v>
      </c>
      <c r="O31" s="483">
        <f>ROUND(O30*0.19,0)</f>
        <v>322340</v>
      </c>
      <c r="Q31" s="551" t="s">
        <v>66</v>
      </c>
      <c r="R31" s="483">
        <f>ROUND(R30*0.19,0)</f>
        <v>2890852</v>
      </c>
      <c r="T31" s="551" t="s">
        <v>66</v>
      </c>
      <c r="U31" s="483">
        <f>ROUND(U30*0.19,0)</f>
        <v>3763624</v>
      </c>
      <c r="W31" s="551" t="s">
        <v>66</v>
      </c>
      <c r="X31" s="483">
        <f>ROUND(X30*0.19,0)</f>
        <v>0</v>
      </c>
      <c r="Z31" s="551" t="s">
        <v>66</v>
      </c>
      <c r="AA31" s="483">
        <f>ROUND(AA30*0.19,0)</f>
        <v>7514049</v>
      </c>
    </row>
    <row r="32" spans="1:28" x14ac:dyDescent="0.3">
      <c r="F32" s="441" t="s">
        <v>69</v>
      </c>
      <c r="G32" s="441"/>
      <c r="H32" s="181">
        <f>+H28+H31</f>
        <v>50665559</v>
      </c>
      <c r="I32" s="181">
        <f>+I28+I31</f>
        <v>53249520.240000002</v>
      </c>
      <c r="K32" s="441" t="s">
        <v>69</v>
      </c>
      <c r="L32" s="181">
        <f>+L28+L31</f>
        <v>3364774.98</v>
      </c>
      <c r="N32" s="552" t="s">
        <v>69</v>
      </c>
      <c r="O32" s="481">
        <f>O30+O31</f>
        <v>2018865</v>
      </c>
      <c r="Q32" s="552" t="s">
        <v>69</v>
      </c>
      <c r="R32" s="481">
        <f>R30+R31</f>
        <v>18105864</v>
      </c>
      <c r="T32" s="552" t="s">
        <v>69</v>
      </c>
      <c r="U32" s="481">
        <f>U30+U31</f>
        <v>23572169</v>
      </c>
      <c r="W32" s="552" t="s">
        <v>69</v>
      </c>
      <c r="X32" s="481">
        <f>X30+X31</f>
        <v>0</v>
      </c>
      <c r="Z32" s="552" t="s">
        <v>69</v>
      </c>
      <c r="AA32" s="481">
        <f>AA30+AA31</f>
        <v>47061673</v>
      </c>
    </row>
    <row r="35" spans="1:28" s="189" customFormat="1" x14ac:dyDescent="0.3">
      <c r="A35" s="183" t="s">
        <v>67</v>
      </c>
      <c r="B35" s="184"/>
      <c r="C35" s="184"/>
      <c r="D35" s="185" t="s">
        <v>68</v>
      </c>
      <c r="G35" s="852"/>
      <c r="I35" s="852"/>
      <c r="K35" s="186" t="s">
        <v>70</v>
      </c>
      <c r="L35" s="187" t="s">
        <v>71</v>
      </c>
      <c r="M35" s="186" t="s">
        <v>58</v>
      </c>
      <c r="N35" s="186" t="s">
        <v>70</v>
      </c>
      <c r="O35" s="187" t="s">
        <v>71</v>
      </c>
      <c r="P35" s="186" t="s">
        <v>58</v>
      </c>
      <c r="Q35" s="186" t="s">
        <v>70</v>
      </c>
      <c r="R35" s="187" t="s">
        <v>71</v>
      </c>
      <c r="S35" s="186" t="s">
        <v>58</v>
      </c>
      <c r="T35" s="186" t="s">
        <v>70</v>
      </c>
      <c r="U35" s="187" t="s">
        <v>71</v>
      </c>
      <c r="V35" s="186" t="s">
        <v>58</v>
      </c>
      <c r="W35" s="186" t="s">
        <v>70</v>
      </c>
      <c r="X35" s="187" t="s">
        <v>71</v>
      </c>
      <c r="Y35" s="186" t="s">
        <v>58</v>
      </c>
      <c r="Z35" s="437"/>
      <c r="AA35" s="437"/>
      <c r="AB35" s="437"/>
    </row>
    <row r="36" spans="1:28" s="189" customFormat="1" x14ac:dyDescent="0.3">
      <c r="A36" s="183"/>
      <c r="B36" s="184"/>
      <c r="C36" s="184"/>
      <c r="D36" s="185"/>
      <c r="G36" s="852"/>
      <c r="I36" s="852"/>
      <c r="K36" s="69" t="s">
        <v>72</v>
      </c>
      <c r="L36" s="70">
        <f>$L$26</f>
        <v>2827542</v>
      </c>
      <c r="M36" s="71">
        <f>$M$26</f>
        <v>6.6411484377385435E-2</v>
      </c>
      <c r="N36" s="69" t="s">
        <v>72</v>
      </c>
      <c r="O36" s="70">
        <f>$L$26</f>
        <v>2827542</v>
      </c>
      <c r="P36" s="71">
        <f>$M$26</f>
        <v>6.6411484377385435E-2</v>
      </c>
      <c r="Q36" s="69" t="s">
        <v>72</v>
      </c>
      <c r="R36" s="70">
        <f>$L$26</f>
        <v>2827542</v>
      </c>
      <c r="S36" s="71">
        <f>$M$26</f>
        <v>6.6411484377385435E-2</v>
      </c>
      <c r="T36" s="69" t="s">
        <v>72</v>
      </c>
      <c r="U36" s="70">
        <f>$L$26</f>
        <v>2827542</v>
      </c>
      <c r="V36" s="71">
        <f>$M$26</f>
        <v>6.6411484377385435E-2</v>
      </c>
      <c r="W36" s="69" t="s">
        <v>72</v>
      </c>
      <c r="X36" s="70">
        <f>$L$26</f>
        <v>2827542</v>
      </c>
      <c r="Y36" s="71">
        <f>$M$26</f>
        <v>6.6411484377385435E-2</v>
      </c>
      <c r="Z36" s="437"/>
      <c r="AA36" s="437"/>
      <c r="AB36" s="437"/>
    </row>
    <row r="37" spans="1:28" s="189" customFormat="1" x14ac:dyDescent="0.3">
      <c r="A37" s="183"/>
      <c r="B37" s="184"/>
      <c r="C37" s="184"/>
      <c r="D37" s="185"/>
      <c r="G37" s="852"/>
      <c r="I37" s="852"/>
      <c r="K37" s="69"/>
      <c r="L37" s="70"/>
      <c r="M37" s="71"/>
      <c r="N37" s="69" t="s">
        <v>73</v>
      </c>
      <c r="O37" s="70">
        <f>$O$30</f>
        <v>1696525</v>
      </c>
      <c r="P37" s="71">
        <f>$P$30</f>
        <v>3.9846885928960143E-2</v>
      </c>
      <c r="Q37" s="69" t="s">
        <v>73</v>
      </c>
      <c r="R37" s="70">
        <f>$O$30</f>
        <v>1696525</v>
      </c>
      <c r="S37" s="71">
        <f>$P$30</f>
        <v>3.9846885928960143E-2</v>
      </c>
      <c r="T37" s="69" t="s">
        <v>73</v>
      </c>
      <c r="U37" s="70">
        <f>$O$30</f>
        <v>1696525</v>
      </c>
      <c r="V37" s="71">
        <f>$P$30</f>
        <v>3.9846885928960143E-2</v>
      </c>
      <c r="W37" s="69" t="s">
        <v>73</v>
      </c>
      <c r="X37" s="70">
        <f>$O$30</f>
        <v>1696525</v>
      </c>
      <c r="Y37" s="71">
        <f>$P$30</f>
        <v>3.9846885928960143E-2</v>
      </c>
      <c r="Z37" s="437"/>
      <c r="AA37" s="437"/>
      <c r="AB37" s="437"/>
    </row>
    <row r="38" spans="1:28" s="603" customFormat="1" x14ac:dyDescent="0.3">
      <c r="A38" s="183"/>
      <c r="B38" s="184"/>
      <c r="C38" s="184"/>
      <c r="D38" s="185"/>
      <c r="G38" s="852"/>
      <c r="I38" s="852"/>
      <c r="K38" s="69"/>
      <c r="L38" s="70"/>
      <c r="M38" s="71"/>
      <c r="N38" s="69"/>
      <c r="O38" s="70"/>
      <c r="P38" s="71"/>
      <c r="Q38" s="69" t="s">
        <v>74</v>
      </c>
      <c r="R38" s="70">
        <f>+R30</f>
        <v>15215012</v>
      </c>
      <c r="S38" s="71">
        <f>+S30</f>
        <v>0.35736039703025874</v>
      </c>
      <c r="T38" s="69" t="s">
        <v>74</v>
      </c>
      <c r="U38" s="70">
        <f>+R30</f>
        <v>15215012</v>
      </c>
      <c r="V38" s="71">
        <f>+S30</f>
        <v>0.35736039703025874</v>
      </c>
      <c r="W38" s="69" t="s">
        <v>74</v>
      </c>
      <c r="X38" s="70">
        <f>+R30</f>
        <v>15215012</v>
      </c>
      <c r="Y38" s="71">
        <f>+S30</f>
        <v>0.35736039703025874</v>
      </c>
      <c r="Z38" s="437"/>
      <c r="AA38" s="437"/>
      <c r="AB38" s="437"/>
    </row>
    <row r="39" spans="1:28" s="852" customFormat="1" x14ac:dyDescent="0.3">
      <c r="A39" s="183"/>
      <c r="B39" s="184"/>
      <c r="C39" s="184"/>
      <c r="D39" s="185"/>
      <c r="K39" s="69"/>
      <c r="L39" s="70"/>
      <c r="M39" s="71"/>
      <c r="N39" s="69"/>
      <c r="O39" s="70"/>
      <c r="P39" s="71"/>
      <c r="Q39" s="69"/>
      <c r="R39" s="70"/>
      <c r="S39" s="71"/>
      <c r="T39" s="69" t="s">
        <v>155</v>
      </c>
      <c r="U39" s="70">
        <f>+U30</f>
        <v>19808545</v>
      </c>
      <c r="V39" s="71">
        <f>+V30</f>
        <v>0.46525033997947207</v>
      </c>
      <c r="W39" s="69" t="s">
        <v>155</v>
      </c>
      <c r="X39" s="70">
        <f>+U30</f>
        <v>19808545</v>
      </c>
      <c r="Y39" s="71">
        <f>+V30</f>
        <v>0.46525033997947207</v>
      </c>
      <c r="Z39" s="437"/>
      <c r="AA39" s="437"/>
      <c r="AB39" s="437"/>
    </row>
    <row r="40" spans="1:28" s="189" customFormat="1" x14ac:dyDescent="0.3">
      <c r="A40" s="183"/>
      <c r="B40" s="184"/>
      <c r="C40" s="184"/>
      <c r="D40" s="185"/>
      <c r="G40" s="852"/>
      <c r="I40" s="852"/>
      <c r="K40" s="72" t="s">
        <v>1</v>
      </c>
      <c r="L40" s="105">
        <f>SUM(L36:L36)</f>
        <v>2827542</v>
      </c>
      <c r="M40" s="73">
        <f>SUM(M36:M36)</f>
        <v>6.6411484377385435E-2</v>
      </c>
      <c r="N40" s="72" t="s">
        <v>1</v>
      </c>
      <c r="O40" s="105">
        <f>SUM(O36:O37)</f>
        <v>4524067</v>
      </c>
      <c r="P40" s="73">
        <f>SUM(P36:P37)</f>
        <v>0.10625837030634558</v>
      </c>
      <c r="Q40" s="72" t="s">
        <v>1</v>
      </c>
      <c r="R40" s="105">
        <f>SUM(R36:R38)</f>
        <v>19739079</v>
      </c>
      <c r="S40" s="73">
        <f>SUM(S36:S38)</f>
        <v>0.46361876733660434</v>
      </c>
      <c r="T40" s="72" t="s">
        <v>1</v>
      </c>
      <c r="U40" s="105">
        <f>SUM(U36:U39)</f>
        <v>39547624</v>
      </c>
      <c r="V40" s="361">
        <f>SUM(V36:V39)</f>
        <v>0.92886910731607641</v>
      </c>
      <c r="W40" s="69" t="s">
        <v>352</v>
      </c>
      <c r="X40" s="70">
        <f>+X30</f>
        <v>0</v>
      </c>
      <c r="Y40" s="71">
        <f>+Y30</f>
        <v>0</v>
      </c>
      <c r="Z40" s="437"/>
      <c r="AA40" s="437"/>
      <c r="AB40" s="437"/>
    </row>
    <row r="41" spans="1:28" s="189" customFormat="1" x14ac:dyDescent="0.3">
      <c r="A41" s="183"/>
      <c r="B41" s="184"/>
      <c r="C41" s="184"/>
      <c r="D41" s="185"/>
      <c r="G41" s="852"/>
      <c r="I41" s="852"/>
      <c r="K41" s="72" t="s">
        <v>9</v>
      </c>
      <c r="L41" s="1423"/>
      <c r="M41" s="1424"/>
      <c r="N41" s="72" t="s">
        <v>9</v>
      </c>
      <c r="O41" s="1423"/>
      <c r="P41" s="1424"/>
      <c r="Q41" s="72" t="s">
        <v>9</v>
      </c>
      <c r="R41" s="1423"/>
      <c r="S41" s="1424"/>
      <c r="T41" s="72" t="s">
        <v>9</v>
      </c>
      <c r="U41" s="1423"/>
      <c r="V41" s="1424"/>
      <c r="W41" s="72" t="s">
        <v>1</v>
      </c>
      <c r="X41" s="105">
        <f>SUM(X36:X40)</f>
        <v>39547624</v>
      </c>
      <c r="Y41" s="361">
        <f>SUM(Y36:Y40)</f>
        <v>0.92886910731607641</v>
      </c>
      <c r="Z41" s="437"/>
      <c r="AA41" s="437"/>
      <c r="AB41" s="437"/>
    </row>
    <row r="42" spans="1:28" s="189" customFormat="1" x14ac:dyDescent="0.3">
      <c r="A42" s="183"/>
      <c r="B42" s="184"/>
      <c r="C42" s="184"/>
      <c r="D42" s="185"/>
      <c r="G42" s="852"/>
      <c r="I42" s="852"/>
      <c r="K42" s="440" t="s">
        <v>78</v>
      </c>
      <c r="L42" s="1423" t="s">
        <v>1082</v>
      </c>
      <c r="M42" s="1424"/>
      <c r="N42" s="440" t="s">
        <v>78</v>
      </c>
      <c r="O42" s="1423" t="s">
        <v>1082</v>
      </c>
      <c r="P42" s="1424"/>
      <c r="Q42" s="440" t="s">
        <v>78</v>
      </c>
      <c r="R42" s="1423" t="s">
        <v>1082</v>
      </c>
      <c r="S42" s="1424"/>
      <c r="T42" s="440" t="s">
        <v>78</v>
      </c>
      <c r="U42" s="1423" t="s">
        <v>1082</v>
      </c>
      <c r="V42" s="1424"/>
      <c r="W42" s="72" t="s">
        <v>9</v>
      </c>
      <c r="X42" s="1423"/>
      <c r="Y42" s="1424"/>
      <c r="Z42" s="437"/>
      <c r="AA42" s="437"/>
      <c r="AB42" s="437"/>
    </row>
    <row r="43" spans="1:28" s="189" customFormat="1" x14ac:dyDescent="0.3">
      <c r="A43" s="183"/>
      <c r="B43" s="184"/>
      <c r="C43" s="184"/>
      <c r="D43" s="185"/>
      <c r="G43" s="852"/>
      <c r="I43" s="852"/>
      <c r="K43" s="439" t="s">
        <v>8</v>
      </c>
      <c r="L43" s="1425" t="s">
        <v>1083</v>
      </c>
      <c r="M43" s="1426"/>
      <c r="N43" s="439" t="s">
        <v>8</v>
      </c>
      <c r="O43" s="1425" t="s">
        <v>1083</v>
      </c>
      <c r="P43" s="1426"/>
      <c r="Q43" s="439" t="s">
        <v>8</v>
      </c>
      <c r="R43" s="1425" t="s">
        <v>1083</v>
      </c>
      <c r="S43" s="1426"/>
      <c r="T43" s="439" t="s">
        <v>8</v>
      </c>
      <c r="U43" s="1425" t="s">
        <v>1083</v>
      </c>
      <c r="V43" s="1426"/>
      <c r="W43" s="440" t="s">
        <v>78</v>
      </c>
      <c r="X43" s="1423" t="s">
        <v>1082</v>
      </c>
      <c r="Y43" s="1424"/>
      <c r="Z43" s="437"/>
      <c r="AA43" s="437"/>
      <c r="AB43" s="437"/>
    </row>
    <row r="44" spans="1:28" s="189" customFormat="1" x14ac:dyDescent="0.3">
      <c r="A44" s="183"/>
      <c r="B44" s="184"/>
      <c r="C44" s="184"/>
      <c r="D44" s="185" t="s">
        <v>75</v>
      </c>
      <c r="G44" s="852"/>
      <c r="I44" s="852"/>
      <c r="Q44" s="603"/>
      <c r="R44" s="603"/>
      <c r="S44" s="603"/>
      <c r="T44" s="852"/>
      <c r="U44" s="852"/>
      <c r="V44" s="852"/>
      <c r="W44" s="439" t="s">
        <v>8</v>
      </c>
      <c r="X44" s="1425" t="s">
        <v>1083</v>
      </c>
      <c r="Y44" s="1426"/>
    </row>
    <row r="45" spans="1:28" s="189" customFormat="1" x14ac:dyDescent="0.3">
      <c r="A45" s="183" t="s">
        <v>76</v>
      </c>
      <c r="B45" s="180"/>
      <c r="C45" s="180"/>
      <c r="D45" s="185" t="s">
        <v>77</v>
      </c>
      <c r="G45" s="852"/>
      <c r="I45" s="852"/>
      <c r="Q45" s="603"/>
      <c r="R45" s="603"/>
      <c r="S45" s="603"/>
      <c r="T45" s="852"/>
      <c r="U45" s="852"/>
      <c r="V45" s="852"/>
      <c r="W45" s="1055"/>
      <c r="X45" s="1055"/>
      <c r="Y45" s="1055"/>
    </row>
    <row r="46" spans="1:28" s="189" customFormat="1" ht="26.4" x14ac:dyDescent="0.3">
      <c r="A46" s="183" t="s">
        <v>79</v>
      </c>
      <c r="B46" s="180"/>
      <c r="C46" s="180"/>
      <c r="D46" s="185" t="s">
        <v>80</v>
      </c>
      <c r="G46" s="852"/>
      <c r="I46" s="852"/>
      <c r="Q46" s="603"/>
      <c r="R46" s="603"/>
      <c r="S46" s="603"/>
      <c r="T46" s="852"/>
      <c r="U46" s="852"/>
      <c r="V46" s="852"/>
      <c r="W46" s="1055"/>
      <c r="X46" s="1055"/>
      <c r="Y46" s="1055"/>
    </row>
    <row r="47" spans="1:28" x14ac:dyDescent="0.3">
      <c r="W47" s="1055"/>
      <c r="X47" s="1055"/>
      <c r="Y47" s="1055"/>
    </row>
  </sheetData>
  <sheetProtection formatCells="0" formatColumns="0" formatRows="0" insertColumns="0" insertRows="0" insertHyperlinks="0" deleteColumns="0" deleteRows="0" sort="0" autoFilter="0" pivotTables="0"/>
  <mergeCells count="52">
    <mergeCell ref="N11:P12"/>
    <mergeCell ref="R41:S41"/>
    <mergeCell ref="R42:S42"/>
    <mergeCell ref="R43:S43"/>
    <mergeCell ref="O41:P41"/>
    <mergeCell ref="O42:P42"/>
    <mergeCell ref="O43:P43"/>
    <mergeCell ref="L41:M41"/>
    <mergeCell ref="L42:M42"/>
    <mergeCell ref="L43:M43"/>
    <mergeCell ref="A6:AB6"/>
    <mergeCell ref="A7:AB7"/>
    <mergeCell ref="A8:AB8"/>
    <mergeCell ref="A9:AB9"/>
    <mergeCell ref="A10:AB10"/>
    <mergeCell ref="B11:J11"/>
    <mergeCell ref="K11:M12"/>
    <mergeCell ref="Z11:AB12"/>
    <mergeCell ref="B12:J12"/>
    <mergeCell ref="A22:A23"/>
    <mergeCell ref="B22:B23"/>
    <mergeCell ref="A24:A25"/>
    <mergeCell ref="Q11:S12"/>
    <mergeCell ref="B24:B25"/>
    <mergeCell ref="J24:J25"/>
    <mergeCell ref="J22:J23"/>
    <mergeCell ref="A18:A19"/>
    <mergeCell ref="B18:B19"/>
    <mergeCell ref="J18:J19"/>
    <mergeCell ref="A20:A21"/>
    <mergeCell ref="B20:B21"/>
    <mergeCell ref="J20:J21"/>
    <mergeCell ref="A14:A15"/>
    <mergeCell ref="B14:B15"/>
    <mergeCell ref="J14:J15"/>
    <mergeCell ref="A16:A17"/>
    <mergeCell ref="B16:B17"/>
    <mergeCell ref="J16:J17"/>
    <mergeCell ref="Z1:AB1"/>
    <mergeCell ref="Z2:AB2"/>
    <mergeCell ref="A3:AB3"/>
    <mergeCell ref="A4:AB4"/>
    <mergeCell ref="A5:AB5"/>
    <mergeCell ref="C1:P2"/>
    <mergeCell ref="W11:Y12"/>
    <mergeCell ref="X42:Y42"/>
    <mergeCell ref="X43:Y43"/>
    <mergeCell ref="X44:Y44"/>
    <mergeCell ref="T11:V12"/>
    <mergeCell ref="U41:V41"/>
    <mergeCell ref="U42:V42"/>
    <mergeCell ref="U43:V43"/>
  </mergeCells>
  <pageMargins left="0.7" right="0.7" top="0.75" bottom="0.75" header="0.3" footer="0.3"/>
  <pageSetup scale="36" orientation="landscape" r:id="rId1"/>
  <drawing r:id="rId2"/>
  <legacyDrawing r:id="rId3"/>
  <legacyDrawingHF r:id="rId4"/>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4">
    <tabColor theme="1"/>
  </sheetPr>
  <dimension ref="A1:G49"/>
  <sheetViews>
    <sheetView topLeftCell="A16"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RESUMEN!G54</f>
        <v>Proyecto: CDIE_CBCCSM_R0178 REPOSICIÓN INTERRUPTORES</v>
      </c>
      <c r="C5" s="1281"/>
      <c r="D5" s="1281"/>
      <c r="E5" s="1281"/>
      <c r="F5" s="1281"/>
      <c r="G5" s="1282"/>
    </row>
    <row r="6" spans="1:7" x14ac:dyDescent="0.25">
      <c r="A6" s="1177"/>
      <c r="B6" s="1177"/>
      <c r="C6" s="1177"/>
      <c r="D6" s="1177"/>
      <c r="E6" s="1177"/>
      <c r="F6" s="1177"/>
      <c r="G6" s="1177"/>
    </row>
    <row r="7" spans="1:7" x14ac:dyDescent="0.25">
      <c r="A7" s="271" t="s">
        <v>0</v>
      </c>
      <c r="B7" s="1264">
        <f>RESUMEN!B54</f>
        <v>0</v>
      </c>
      <c r="C7" s="1265"/>
      <c r="D7" s="1177"/>
      <c r="E7" s="1266" t="s">
        <v>627</v>
      </c>
      <c r="F7" s="1267"/>
      <c r="G7" s="280" t="str">
        <f>RESUMEN!E54</f>
        <v xml:space="preserve">17-263 </v>
      </c>
    </row>
    <row r="8" spans="1:7" x14ac:dyDescent="0.25">
      <c r="A8" s="271" t="s">
        <v>628</v>
      </c>
      <c r="B8" s="1264">
        <f>RESUMEN!C54</f>
        <v>0</v>
      </c>
      <c r="C8" s="1265"/>
      <c r="D8" s="1177"/>
      <c r="E8" s="1266" t="s">
        <v>629</v>
      </c>
      <c r="F8" s="1267"/>
      <c r="G8" s="280" t="str">
        <f>RESUMEN!U54</f>
        <v xml:space="preserve">Acta N° 3: Marzo </v>
      </c>
    </row>
    <row r="9" spans="1:7" x14ac:dyDescent="0.25">
      <c r="A9" s="271" t="s">
        <v>630</v>
      </c>
      <c r="B9" s="1283" t="s">
        <v>631</v>
      </c>
      <c r="C9" s="1265"/>
      <c r="D9" s="1177"/>
      <c r="E9" s="1266" t="s">
        <v>632</v>
      </c>
      <c r="F9" s="1267"/>
      <c r="G9" s="1178">
        <f>RESUMEN!H54</f>
        <v>15419154</v>
      </c>
    </row>
    <row r="10" spans="1:7" x14ac:dyDescent="0.25">
      <c r="A10" s="271" t="s">
        <v>633</v>
      </c>
      <c r="B10" s="1283" t="str">
        <f>RESUMEN!D54</f>
        <v>CALLE 51</v>
      </c>
      <c r="C10" s="1265"/>
      <c r="D10" s="1177"/>
      <c r="E10" s="1266" t="s">
        <v>634</v>
      </c>
      <c r="F10" s="1267"/>
      <c r="G10" s="1178">
        <f>RESUMEN!R54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CDIE_CBCCSM_R0178 REPOSICIÓN INTERRUPTORES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RESUMEN!N54</f>
        <v>0</v>
      </c>
      <c r="F19" s="1248"/>
      <c r="G19" s="1177"/>
    </row>
    <row r="20" spans="1:7" ht="27" customHeight="1" x14ac:dyDescent="0.25">
      <c r="A20" s="1177"/>
      <c r="B20" s="1244" t="s">
        <v>1498</v>
      </c>
      <c r="C20" s="1245"/>
      <c r="D20" s="1246"/>
      <c r="E20" s="1247">
        <f>RESUMEN!P54</f>
        <v>0</v>
      </c>
      <c r="F20" s="1248"/>
      <c r="G20" s="1177"/>
    </row>
    <row r="21" spans="1:7" ht="27" customHeight="1" x14ac:dyDescent="0.25">
      <c r="A21" s="1177"/>
      <c r="B21" s="1244" t="s">
        <v>1499</v>
      </c>
      <c r="C21" s="1245"/>
      <c r="D21" s="1246"/>
      <c r="E21" s="1247">
        <f>RESUMEN!Q54</f>
        <v>0</v>
      </c>
      <c r="F21" s="1248"/>
      <c r="G21" s="1177"/>
    </row>
    <row r="22" spans="1:7" x14ac:dyDescent="0.25">
      <c r="A22" s="1177"/>
      <c r="B22" s="1254" t="s">
        <v>64</v>
      </c>
      <c r="C22" s="1254"/>
      <c r="D22" s="1254"/>
      <c r="E22" s="1255">
        <f>RESUMEN!R54</f>
        <v>0</v>
      </c>
      <c r="F22" s="1255"/>
      <c r="G22" s="1177"/>
    </row>
    <row r="23" spans="1:7" x14ac:dyDescent="0.25">
      <c r="A23" s="1177"/>
      <c r="B23" s="1256" t="s">
        <v>66</v>
      </c>
      <c r="C23" s="1256"/>
      <c r="D23" s="1256"/>
      <c r="E23" s="1257">
        <f>RESUMEN!S54</f>
        <v>0</v>
      </c>
      <c r="F23" s="1257"/>
      <c r="G23" s="1177"/>
    </row>
    <row r="24" spans="1:7" x14ac:dyDescent="0.25">
      <c r="A24" s="1177"/>
      <c r="B24" s="1258" t="s">
        <v>1</v>
      </c>
      <c r="C24" s="1258"/>
      <c r="D24" s="1258"/>
      <c r="E24" s="1259">
        <f>RESUMEN!T54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+'OT17-263 CALLE 51'!Q40</f>
        <v>ACTA 1</v>
      </c>
      <c r="C28" s="1253">
        <f>+'OT17-263 CALLE 51'!R40</f>
        <v>6017231</v>
      </c>
      <c r="D28" s="1253"/>
      <c r="E28" s="267">
        <f>+'OT17-263 CALLE 51'!S40</f>
        <v>0.39024391351172705</v>
      </c>
      <c r="F28" s="1177"/>
      <c r="G28" s="1177"/>
    </row>
    <row r="29" spans="1:7" x14ac:dyDescent="0.25">
      <c r="A29" s="1177"/>
      <c r="B29" s="280" t="str">
        <f>+'OT17-263 CALLE 51'!Q41</f>
        <v>ACTA 2</v>
      </c>
      <c r="C29" s="1253">
        <f>+'OT17-263 CALLE 51'!R41</f>
        <v>4909893</v>
      </c>
      <c r="D29" s="1253"/>
      <c r="E29" s="267">
        <f>+'OT17-263 CALLE 51'!S41</f>
        <v>0.32320456751388565</v>
      </c>
      <c r="F29" s="1177"/>
      <c r="G29" s="1177"/>
    </row>
    <row r="30" spans="1:7" x14ac:dyDescent="0.25">
      <c r="A30" s="1177"/>
      <c r="B30" s="280" t="str">
        <f>+'OT17-263 CALLE 51'!Q42</f>
        <v>ACTA 3</v>
      </c>
      <c r="C30" s="1253">
        <f>+'OT17-263 CALLE 51'!R42</f>
        <v>0</v>
      </c>
      <c r="D30" s="1253"/>
      <c r="E30" s="267">
        <f>+'OT17-263 CALLE 51'!S42</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10927124</v>
      </c>
      <c r="D34" s="1251"/>
      <c r="E34" s="264">
        <f>SUM(E28:E33)</f>
        <v>0.71344848102561276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RESUMEN!V54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4">
    <tabColor theme="7"/>
  </sheetPr>
  <dimension ref="A1:V49"/>
  <sheetViews>
    <sheetView topLeftCell="A13" zoomScale="60" zoomScaleNormal="60" workbookViewId="0">
      <selection activeCell="B42" sqref="B42"/>
    </sheetView>
  </sheetViews>
  <sheetFormatPr baseColWidth="10" defaultColWidth="11.44140625" defaultRowHeight="14.4" x14ac:dyDescent="0.3"/>
  <cols>
    <col min="1" max="1" width="17.5546875" style="189" customWidth="1"/>
    <col min="2" max="2" width="22.6640625" style="189" customWidth="1"/>
    <col min="3" max="3" width="31.6640625" style="189" customWidth="1"/>
    <col min="4" max="4" width="23" style="189" customWidth="1"/>
    <col min="5" max="5" width="17" style="189" customWidth="1"/>
    <col min="6" max="6" width="17.88671875" style="189" bestFit="1" customWidth="1"/>
    <col min="7" max="7" width="17.88671875" style="852" customWidth="1"/>
    <col min="8" max="8" width="17.5546875" style="189" customWidth="1"/>
    <col min="9" max="9" width="17.5546875" style="852" customWidth="1"/>
    <col min="10" max="10" width="36.6640625" style="189" customWidth="1"/>
    <col min="11" max="11" width="17.88671875" style="189" hidden="1" customWidth="1"/>
    <col min="12" max="12" width="17.44140625" style="189" hidden="1" customWidth="1"/>
    <col min="13" max="13" width="11.44140625" style="189" hidden="1" customWidth="1"/>
    <col min="14" max="14" width="17.88671875" style="189" hidden="1" customWidth="1"/>
    <col min="15" max="15" width="17.44140625" style="189" hidden="1" customWidth="1"/>
    <col min="16" max="16" width="11.44140625" style="189" hidden="1" customWidth="1"/>
    <col min="17" max="17" width="17.88671875" style="852" customWidth="1"/>
    <col min="18" max="18" width="17.44140625" style="852" customWidth="1"/>
    <col min="19" max="19" width="11.44140625" style="852" customWidth="1"/>
    <col min="20" max="20" width="17.88671875" style="189" bestFit="1" customWidth="1"/>
    <col min="21" max="21" width="17" style="189" bestFit="1" customWidth="1"/>
    <col min="22" max="16384" width="11.44140625" style="189"/>
  </cols>
  <sheetData>
    <row r="1" spans="1:22" s="302" customFormat="1" ht="21.75" customHeight="1" thickBot="1" x14ac:dyDescent="0.35">
      <c r="A1" s="169"/>
      <c r="B1" s="188"/>
      <c r="C1" s="1307" t="s">
        <v>40</v>
      </c>
      <c r="D1" s="1308"/>
      <c r="E1" s="1308"/>
      <c r="F1" s="1308"/>
      <c r="G1" s="1308"/>
      <c r="H1" s="1308"/>
      <c r="I1" s="1308"/>
      <c r="J1" s="1308"/>
      <c r="K1" s="1308"/>
      <c r="L1" s="1308"/>
      <c r="M1" s="1308"/>
      <c r="N1" s="1308"/>
      <c r="O1" s="1308"/>
      <c r="P1" s="1309"/>
      <c r="Q1" s="846"/>
      <c r="R1" s="846"/>
      <c r="S1" s="846"/>
      <c r="T1" s="1328" t="s">
        <v>1095</v>
      </c>
      <c r="U1" s="1303"/>
      <c r="V1" s="1304"/>
    </row>
    <row r="2" spans="1:22" s="302" customFormat="1" ht="13.5" customHeight="1" thickBot="1" x14ac:dyDescent="0.35">
      <c r="A2" s="170"/>
      <c r="B2" s="190"/>
      <c r="C2" s="1310"/>
      <c r="D2" s="1311"/>
      <c r="E2" s="1311"/>
      <c r="F2" s="1311"/>
      <c r="G2" s="1311"/>
      <c r="H2" s="1311"/>
      <c r="I2" s="1311"/>
      <c r="J2" s="1311"/>
      <c r="K2" s="1311"/>
      <c r="L2" s="1311"/>
      <c r="M2" s="1311"/>
      <c r="N2" s="1311"/>
      <c r="O2" s="1311"/>
      <c r="P2" s="1312"/>
      <c r="Q2" s="847"/>
      <c r="R2" s="847"/>
      <c r="S2" s="847"/>
      <c r="T2" s="1329" t="s">
        <v>41</v>
      </c>
      <c r="U2" s="1305"/>
      <c r="V2" s="1306"/>
    </row>
    <row r="3" spans="1:2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302" customFormat="1" ht="13.5" customHeight="1" x14ac:dyDescent="0.3">
      <c r="A7" s="1291" t="s">
        <v>1096</v>
      </c>
      <c r="B7" s="1292"/>
      <c r="C7" s="1292"/>
      <c r="D7" s="1292"/>
      <c r="E7" s="1292"/>
      <c r="F7" s="1292"/>
      <c r="G7" s="1292"/>
      <c r="H7" s="1292"/>
      <c r="I7" s="1292"/>
      <c r="J7" s="1292"/>
      <c r="K7" s="1292"/>
      <c r="L7" s="1292"/>
      <c r="M7" s="1292"/>
      <c r="N7" s="1292"/>
      <c r="O7" s="1292"/>
      <c r="P7" s="1292"/>
      <c r="Q7" s="1292"/>
      <c r="R7" s="1292"/>
      <c r="S7" s="1292"/>
      <c r="T7" s="1292"/>
      <c r="U7" s="1292"/>
      <c r="V7" s="1292"/>
    </row>
    <row r="8" spans="1:22" s="302" customFormat="1" ht="13.5" customHeight="1" x14ac:dyDescent="0.3">
      <c r="A8" s="1292" t="s">
        <v>2337</v>
      </c>
      <c r="B8" s="1292"/>
      <c r="C8" s="1292"/>
      <c r="D8" s="1292"/>
      <c r="E8" s="1292"/>
      <c r="F8" s="1292"/>
      <c r="G8" s="1292"/>
      <c r="H8" s="1292"/>
      <c r="I8" s="1292"/>
      <c r="J8" s="1292"/>
      <c r="K8" s="1292"/>
      <c r="L8" s="1292"/>
      <c r="M8" s="1292"/>
      <c r="N8" s="1292"/>
      <c r="O8" s="1292"/>
      <c r="P8" s="1292"/>
      <c r="Q8" s="1292"/>
      <c r="R8" s="1292"/>
      <c r="S8" s="1292"/>
      <c r="T8" s="1292"/>
      <c r="U8" s="1292"/>
      <c r="V8" s="1292"/>
    </row>
    <row r="9" spans="1:22"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s="302" customFormat="1" ht="13.5" customHeight="1" x14ac:dyDescent="0.3">
      <c r="A10" s="1292" t="s">
        <v>1097</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302" customFormat="1" ht="13.5" customHeight="1" x14ac:dyDescent="0.3">
      <c r="A11" s="382"/>
      <c r="B11" s="1301"/>
      <c r="C11" s="1313"/>
      <c r="D11" s="1313"/>
      <c r="E11" s="1313"/>
      <c r="F11" s="1313"/>
      <c r="G11" s="1313"/>
      <c r="H11" s="1313"/>
      <c r="I11" s="1313"/>
      <c r="J11" s="1313"/>
      <c r="K11" s="1293" t="s">
        <v>986</v>
      </c>
      <c r="L11" s="1294"/>
      <c r="M11" s="1295"/>
      <c r="N11" s="1293" t="s">
        <v>1977</v>
      </c>
      <c r="O11" s="1294"/>
      <c r="P11" s="1295"/>
      <c r="Q11" s="1293" t="s">
        <v>2318</v>
      </c>
      <c r="R11" s="1294"/>
      <c r="S11" s="1295"/>
      <c r="T11" s="1299" t="s">
        <v>49</v>
      </c>
      <c r="U11" s="1299"/>
      <c r="V11" s="1299"/>
    </row>
    <row r="12" spans="1:22"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174" t="s">
        <v>54</v>
      </c>
      <c r="U13" s="172" t="s">
        <v>56</v>
      </c>
      <c r="V13" s="28" t="s">
        <v>58</v>
      </c>
    </row>
    <row r="14" spans="1:22" ht="30" customHeight="1" x14ac:dyDescent="0.3">
      <c r="A14" s="1314" t="s">
        <v>151</v>
      </c>
      <c r="B14" s="1314" t="s">
        <v>1089</v>
      </c>
      <c r="C14" s="383" t="s">
        <v>81</v>
      </c>
      <c r="D14" s="383" t="s">
        <v>82</v>
      </c>
      <c r="E14" s="383">
        <v>0.45</v>
      </c>
      <c r="F14" s="192">
        <v>1880385</v>
      </c>
      <c r="G14" s="32">
        <f>+ROUND(F14*1.051,0)</f>
        <v>1976285</v>
      </c>
      <c r="H14" s="192">
        <f>ROUND((E14*F14),0)</f>
        <v>846173</v>
      </c>
      <c r="I14" s="32">
        <f>+ROUND(G14*E14,0)</f>
        <v>889328</v>
      </c>
      <c r="J14" s="1315" t="s">
        <v>1090</v>
      </c>
      <c r="K14" s="433">
        <v>0.45</v>
      </c>
      <c r="L14" s="429">
        <f>ROUND(K14*$F$14,0)</f>
        <v>846173</v>
      </c>
      <c r="M14" s="430">
        <f>L14/$H$14</f>
        <v>1</v>
      </c>
      <c r="N14" s="432">
        <v>0</v>
      </c>
      <c r="O14" s="425">
        <f>ROUND(N14*$F$14,0)</f>
        <v>0</v>
      </c>
      <c r="P14" s="426">
        <f>O14/$H$14</f>
        <v>0</v>
      </c>
      <c r="Q14" s="432">
        <v>0</v>
      </c>
      <c r="R14" s="425">
        <f>ROUND(Q14*G14,0)</f>
        <v>0</v>
      </c>
      <c r="S14" s="426">
        <f>R14/I14</f>
        <v>0</v>
      </c>
      <c r="T14" s="149">
        <f>K14+N14+Q14</f>
        <v>0.45</v>
      </c>
      <c r="U14" s="175">
        <f>L14+O14+R14</f>
        <v>846173</v>
      </c>
      <c r="V14" s="176">
        <f>U14/H14</f>
        <v>1</v>
      </c>
    </row>
    <row r="15" spans="1:22" ht="30" customHeight="1" x14ac:dyDescent="0.3">
      <c r="A15" s="1314"/>
      <c r="B15" s="1314"/>
      <c r="C15" s="383" t="s">
        <v>83</v>
      </c>
      <c r="D15" s="383" t="s">
        <v>84</v>
      </c>
      <c r="E15" s="383">
        <v>0.3</v>
      </c>
      <c r="F15" s="192">
        <v>1845563</v>
      </c>
      <c r="G15" s="32">
        <f>+ROUND(F15*1.051,0)</f>
        <v>1939687</v>
      </c>
      <c r="H15" s="192">
        <f>ROUND((E15*F15),0)</f>
        <v>553669</v>
      </c>
      <c r="I15" s="32">
        <f>+ROUND(G15*E15,0)</f>
        <v>581906</v>
      </c>
      <c r="J15" s="1314"/>
      <c r="K15" s="433">
        <v>0.3</v>
      </c>
      <c r="L15" s="429">
        <f>ROUND(K15*$F$15,0)</f>
        <v>553669</v>
      </c>
      <c r="M15" s="430">
        <f>L15/$H$15</f>
        <v>1</v>
      </c>
      <c r="N15" s="432">
        <v>0</v>
      </c>
      <c r="O15" s="425">
        <f>ROUND(N15*$F$15,0)</f>
        <v>0</v>
      </c>
      <c r="P15" s="426">
        <f>O15/$H$15</f>
        <v>0</v>
      </c>
      <c r="Q15" s="432">
        <v>0</v>
      </c>
      <c r="R15" s="425">
        <f t="shared" ref="R15:R16" si="0">ROUND(Q15*G15,0)</f>
        <v>0</v>
      </c>
      <c r="S15" s="426">
        <f t="shared" ref="S15:S29" si="1">R15/I15</f>
        <v>0</v>
      </c>
      <c r="T15" s="416">
        <f t="shared" ref="T15:T16" si="2">K15+N15+Q15</f>
        <v>0.3</v>
      </c>
      <c r="U15" s="175">
        <f t="shared" ref="U15:U28" si="3">L15+O15+R15</f>
        <v>553669</v>
      </c>
      <c r="V15" s="176">
        <f>U15/H15</f>
        <v>1</v>
      </c>
    </row>
    <row r="16" spans="1:22" ht="30" customHeight="1" x14ac:dyDescent="0.3">
      <c r="A16" s="1314"/>
      <c r="B16" s="1314"/>
      <c r="C16" s="383" t="s">
        <v>61</v>
      </c>
      <c r="D16" s="383" t="s">
        <v>85</v>
      </c>
      <c r="E16" s="383">
        <v>0.3</v>
      </c>
      <c r="F16" s="192">
        <v>7312607</v>
      </c>
      <c r="G16" s="32">
        <f>+ROUND(F16*1.051,0)</f>
        <v>7685550</v>
      </c>
      <c r="H16" s="192">
        <f>ROUND((E16*F16),0)</f>
        <v>2193782</v>
      </c>
      <c r="I16" s="32">
        <f>+ROUND(G16*E16,0)</f>
        <v>2305665</v>
      </c>
      <c r="J16" s="1314"/>
      <c r="K16" s="433">
        <v>0.3</v>
      </c>
      <c r="L16" s="429">
        <f>ROUND(K16*$F$16,0)</f>
        <v>2193782</v>
      </c>
      <c r="M16" s="430">
        <f>L16/$H$16</f>
        <v>1</v>
      </c>
      <c r="N16" s="432">
        <v>0</v>
      </c>
      <c r="O16" s="425">
        <f>ROUND(N16*$F$16,0)</f>
        <v>0</v>
      </c>
      <c r="P16" s="426">
        <f>O16/$H$16</f>
        <v>0</v>
      </c>
      <c r="Q16" s="432">
        <v>0</v>
      </c>
      <c r="R16" s="425">
        <f t="shared" si="0"/>
        <v>0</v>
      </c>
      <c r="S16" s="426">
        <f t="shared" si="1"/>
        <v>0</v>
      </c>
      <c r="T16" s="416">
        <f t="shared" si="2"/>
        <v>0.3</v>
      </c>
      <c r="U16" s="175">
        <f t="shared" si="3"/>
        <v>2193782</v>
      </c>
      <c r="V16" s="176">
        <f>U16/H16</f>
        <v>1</v>
      </c>
    </row>
    <row r="17" spans="1:22" x14ac:dyDescent="0.3">
      <c r="A17" s="1314"/>
      <c r="B17" s="1314"/>
      <c r="C17" s="196"/>
      <c r="D17" s="196" t="s">
        <v>86</v>
      </c>
      <c r="E17" s="198"/>
      <c r="F17" s="198"/>
      <c r="G17" s="198"/>
      <c r="H17" s="199">
        <f>SUM(H14:H16)</f>
        <v>3593624</v>
      </c>
      <c r="I17" s="199">
        <f>SUM(I14:I16)</f>
        <v>3776899</v>
      </c>
      <c r="J17" s="1314"/>
      <c r="K17" s="308"/>
      <c r="L17" s="179">
        <f>SUM(L14:L16)</f>
        <v>3593624</v>
      </c>
      <c r="M17" s="308">
        <f>L17/$H$17</f>
        <v>1</v>
      </c>
      <c r="N17" s="431"/>
      <c r="O17" s="179">
        <f>SUM(O14:O16)</f>
        <v>0</v>
      </c>
      <c r="P17" s="431">
        <f>O17/$H$17</f>
        <v>0</v>
      </c>
      <c r="Q17" s="431"/>
      <c r="R17" s="179">
        <f>SUM(R14:R16)</f>
        <v>0</v>
      </c>
      <c r="S17" s="1091">
        <f t="shared" si="1"/>
        <v>0</v>
      </c>
      <c r="T17" s="1096"/>
      <c r="U17" s="1078">
        <f t="shared" si="3"/>
        <v>3593624</v>
      </c>
      <c r="V17" s="308">
        <f>U17/H17</f>
        <v>1</v>
      </c>
    </row>
    <row r="18" spans="1:22" ht="30" customHeight="1" x14ac:dyDescent="0.3">
      <c r="A18" s="1314" t="s">
        <v>151</v>
      </c>
      <c r="B18" s="1314" t="s">
        <v>1091</v>
      </c>
      <c r="C18" s="383" t="s">
        <v>83</v>
      </c>
      <c r="D18" s="383" t="s">
        <v>91</v>
      </c>
      <c r="E18" s="383">
        <v>0</v>
      </c>
      <c r="F18" s="192">
        <v>1671452</v>
      </c>
      <c r="G18" s="32">
        <f t="shared" ref="G18:G19" si="4">+ROUND(F18*1.051,0)</f>
        <v>1756696</v>
      </c>
      <c r="H18" s="192">
        <f>ROUND((E18*F18),0)</f>
        <v>0</v>
      </c>
      <c r="I18" s="32">
        <f t="shared" ref="I18:I28" si="5">+ROUND(G18*E18,0)</f>
        <v>0</v>
      </c>
      <c r="J18" s="1314" t="s">
        <v>1092</v>
      </c>
      <c r="K18" s="158">
        <v>0</v>
      </c>
      <c r="L18" s="194">
        <f>ROUND(K18*$F$18,0)</f>
        <v>0</v>
      </c>
      <c r="M18" s="195">
        <v>0</v>
      </c>
      <c r="N18" s="432">
        <v>0</v>
      </c>
      <c r="O18" s="425">
        <f>ROUND(N18*$F$18,0)</f>
        <v>0</v>
      </c>
      <c r="P18" s="426">
        <v>0</v>
      </c>
      <c r="Q18" s="432">
        <v>0</v>
      </c>
      <c r="R18" s="425">
        <f t="shared" ref="R18:R19" si="6">ROUND(Q18*G18,0)</f>
        <v>0</v>
      </c>
      <c r="S18" s="426">
        <v>0</v>
      </c>
      <c r="T18" s="416">
        <f t="shared" ref="T18:T19" si="7">K18+N18+Q18</f>
        <v>0</v>
      </c>
      <c r="U18" s="175">
        <f t="shared" si="3"/>
        <v>0</v>
      </c>
      <c r="V18" s="176">
        <v>0</v>
      </c>
    </row>
    <row r="19" spans="1:22" ht="30" customHeight="1" x14ac:dyDescent="0.3">
      <c r="A19" s="1314"/>
      <c r="B19" s="1314"/>
      <c r="C19" s="383" t="s">
        <v>61</v>
      </c>
      <c r="D19" s="383" t="s">
        <v>92</v>
      </c>
      <c r="E19" s="383">
        <v>0.3</v>
      </c>
      <c r="F19" s="192">
        <v>6233126</v>
      </c>
      <c r="G19" s="32">
        <f t="shared" si="4"/>
        <v>6551015</v>
      </c>
      <c r="H19" s="192">
        <f>ROUND((E19*F19),0)</f>
        <v>1869938</v>
      </c>
      <c r="I19" s="32">
        <f t="shared" si="5"/>
        <v>1965305</v>
      </c>
      <c r="J19" s="1314"/>
      <c r="K19" s="433">
        <v>0.3</v>
      </c>
      <c r="L19" s="429">
        <f>ROUND(K19*$F$19,0)</f>
        <v>1869938</v>
      </c>
      <c r="M19" s="430">
        <f>L19/$H$19</f>
        <v>1</v>
      </c>
      <c r="N19" s="432">
        <v>0</v>
      </c>
      <c r="O19" s="425">
        <f>ROUND(N19*$F$19,0)</f>
        <v>0</v>
      </c>
      <c r="P19" s="426">
        <f>O19/$H$19</f>
        <v>0</v>
      </c>
      <c r="Q19" s="432">
        <v>0</v>
      </c>
      <c r="R19" s="425">
        <f t="shared" si="6"/>
        <v>0</v>
      </c>
      <c r="S19" s="426">
        <f t="shared" si="1"/>
        <v>0</v>
      </c>
      <c r="T19" s="416">
        <f t="shared" si="7"/>
        <v>0.3</v>
      </c>
      <c r="U19" s="175">
        <f t="shared" si="3"/>
        <v>1869938</v>
      </c>
      <c r="V19" s="176">
        <f t="shared" ref="V19:V24" si="8">U19/H19</f>
        <v>1</v>
      </c>
    </row>
    <row r="20" spans="1:22" x14ac:dyDescent="0.3">
      <c r="A20" s="1314"/>
      <c r="B20" s="1314"/>
      <c r="C20" s="196"/>
      <c r="D20" s="196" t="s">
        <v>63</v>
      </c>
      <c r="E20" s="198"/>
      <c r="F20" s="198"/>
      <c r="G20" s="198"/>
      <c r="H20" s="199">
        <f>SUM(H18:H19)</f>
        <v>1869938</v>
      </c>
      <c r="I20" s="199">
        <f>SUM(I18:I19)</f>
        <v>1965305</v>
      </c>
      <c r="J20" s="1314"/>
      <c r="K20" s="308"/>
      <c r="L20" s="179">
        <f>SUM(L18:L19)</f>
        <v>1869938</v>
      </c>
      <c r="M20" s="308">
        <f>L20/$H$20</f>
        <v>1</v>
      </c>
      <c r="N20" s="431"/>
      <c r="O20" s="179">
        <f>SUM(O18:O19)</f>
        <v>0</v>
      </c>
      <c r="P20" s="431">
        <f>O20/$H$20</f>
        <v>0</v>
      </c>
      <c r="Q20" s="431"/>
      <c r="R20" s="179">
        <f>SUM(R18:R19)</f>
        <v>0</v>
      </c>
      <c r="S20" s="1091">
        <f t="shared" si="1"/>
        <v>0</v>
      </c>
      <c r="T20" s="1096"/>
      <c r="U20" s="1078">
        <f t="shared" si="3"/>
        <v>1869938</v>
      </c>
      <c r="V20" s="308">
        <f t="shared" si="8"/>
        <v>1</v>
      </c>
    </row>
    <row r="21" spans="1:22" ht="30" customHeight="1" x14ac:dyDescent="0.3">
      <c r="A21" s="1314" t="s">
        <v>109</v>
      </c>
      <c r="B21" s="1314" t="s">
        <v>1089</v>
      </c>
      <c r="C21" s="383" t="s">
        <v>81</v>
      </c>
      <c r="D21" s="383" t="s">
        <v>82</v>
      </c>
      <c r="E21" s="383">
        <v>0.45</v>
      </c>
      <c r="F21" s="192">
        <v>1880385</v>
      </c>
      <c r="G21" s="32">
        <f t="shared" ref="G21:G23" si="9">+ROUND(F21*1.051,0)</f>
        <v>1976285</v>
      </c>
      <c r="H21" s="192">
        <f>ROUND((E21*F21),0)</f>
        <v>846173</v>
      </c>
      <c r="I21" s="32">
        <f t="shared" si="5"/>
        <v>889328</v>
      </c>
      <c r="J21" s="1315" t="s">
        <v>1090</v>
      </c>
      <c r="K21" s="158">
        <v>0</v>
      </c>
      <c r="L21" s="194">
        <f>ROUND(K21*$F$21,0)</f>
        <v>0</v>
      </c>
      <c r="M21" s="195">
        <f>L21/$H$21</f>
        <v>0</v>
      </c>
      <c r="N21" s="433">
        <v>0.45</v>
      </c>
      <c r="O21" s="429">
        <f>ROUND(N21*$F$21,0)</f>
        <v>846173</v>
      </c>
      <c r="P21" s="430">
        <f>O21/$H$21</f>
        <v>1</v>
      </c>
      <c r="Q21" s="432">
        <v>0</v>
      </c>
      <c r="R21" s="425">
        <f t="shared" ref="R21:R23" si="10">ROUND(Q21*G21,0)</f>
        <v>0</v>
      </c>
      <c r="S21" s="426">
        <f t="shared" si="1"/>
        <v>0</v>
      </c>
      <c r="T21" s="416">
        <f t="shared" ref="T21:T23" si="11">K21+N21+Q21</f>
        <v>0.45</v>
      </c>
      <c r="U21" s="175">
        <f t="shared" si="3"/>
        <v>846173</v>
      </c>
      <c r="V21" s="176">
        <f t="shared" si="8"/>
        <v>1</v>
      </c>
    </row>
    <row r="22" spans="1:22" ht="30" customHeight="1" x14ac:dyDescent="0.3">
      <c r="A22" s="1314"/>
      <c r="B22" s="1314"/>
      <c r="C22" s="383" t="s">
        <v>83</v>
      </c>
      <c r="D22" s="383" t="s">
        <v>84</v>
      </c>
      <c r="E22" s="383">
        <v>0.3</v>
      </c>
      <c r="F22" s="192">
        <v>1845563</v>
      </c>
      <c r="G22" s="32">
        <f t="shared" si="9"/>
        <v>1939687</v>
      </c>
      <c r="H22" s="192">
        <f>ROUND((E22*F22),0)</f>
        <v>553669</v>
      </c>
      <c r="I22" s="32">
        <f t="shared" si="5"/>
        <v>581906</v>
      </c>
      <c r="J22" s="1314"/>
      <c r="K22" s="433">
        <v>0.3</v>
      </c>
      <c r="L22" s="429">
        <f>ROUND(K22*$F$22,0)</f>
        <v>553669</v>
      </c>
      <c r="M22" s="430">
        <f>L22/$H$22</f>
        <v>1</v>
      </c>
      <c r="N22" s="432">
        <v>0</v>
      </c>
      <c r="O22" s="425">
        <f>ROUND(N22*$F$22,0)</f>
        <v>0</v>
      </c>
      <c r="P22" s="426">
        <f>O22/$H$22</f>
        <v>0</v>
      </c>
      <c r="Q22" s="432">
        <v>0</v>
      </c>
      <c r="R22" s="425">
        <f t="shared" si="10"/>
        <v>0</v>
      </c>
      <c r="S22" s="426">
        <f t="shared" si="1"/>
        <v>0</v>
      </c>
      <c r="T22" s="416">
        <f t="shared" si="11"/>
        <v>0.3</v>
      </c>
      <c r="U22" s="175">
        <f t="shared" si="3"/>
        <v>553669</v>
      </c>
      <c r="V22" s="176">
        <f t="shared" si="8"/>
        <v>1</v>
      </c>
    </row>
    <row r="23" spans="1:22" ht="30" customHeight="1" x14ac:dyDescent="0.3">
      <c r="A23" s="1314"/>
      <c r="B23" s="1314"/>
      <c r="C23" s="383" t="s">
        <v>61</v>
      </c>
      <c r="D23" s="383" t="s">
        <v>85</v>
      </c>
      <c r="E23" s="383">
        <v>0.3</v>
      </c>
      <c r="F23" s="192">
        <v>7312607</v>
      </c>
      <c r="G23" s="32">
        <f t="shared" si="9"/>
        <v>7685550</v>
      </c>
      <c r="H23" s="192">
        <f>ROUND((E23*F23),0)</f>
        <v>2193782</v>
      </c>
      <c r="I23" s="32">
        <f t="shared" si="5"/>
        <v>2305665</v>
      </c>
      <c r="J23" s="1314"/>
      <c r="K23" s="158">
        <v>0</v>
      </c>
      <c r="L23" s="194">
        <f>ROUND(K23*$F$23,0)</f>
        <v>0</v>
      </c>
      <c r="M23" s="195">
        <f>L23/$H$23</f>
        <v>0</v>
      </c>
      <c r="N23" s="433">
        <v>0.3</v>
      </c>
      <c r="O23" s="429">
        <f>ROUND(N23*$F$23,0)</f>
        <v>2193782</v>
      </c>
      <c r="P23" s="430">
        <f>O23/$H$23</f>
        <v>1</v>
      </c>
      <c r="Q23" s="432">
        <v>0</v>
      </c>
      <c r="R23" s="425">
        <f t="shared" si="10"/>
        <v>0</v>
      </c>
      <c r="S23" s="426">
        <f t="shared" si="1"/>
        <v>0</v>
      </c>
      <c r="T23" s="416">
        <f t="shared" si="11"/>
        <v>0.3</v>
      </c>
      <c r="U23" s="175">
        <f t="shared" si="3"/>
        <v>2193782</v>
      </c>
      <c r="V23" s="176">
        <f t="shared" si="8"/>
        <v>1</v>
      </c>
    </row>
    <row r="24" spans="1:22" x14ac:dyDescent="0.3">
      <c r="A24" s="1314"/>
      <c r="B24" s="1314"/>
      <c r="C24" s="196"/>
      <c r="D24" s="196" t="s">
        <v>86</v>
      </c>
      <c r="E24" s="198"/>
      <c r="F24" s="198"/>
      <c r="G24" s="198"/>
      <c r="H24" s="199">
        <f>SUM(H21:H23)</f>
        <v>3593624</v>
      </c>
      <c r="I24" s="199">
        <f>SUM(I21:I23)</f>
        <v>3776899</v>
      </c>
      <c r="J24" s="1314"/>
      <c r="K24" s="308"/>
      <c r="L24" s="179">
        <f>SUM(L21:L23)</f>
        <v>553669</v>
      </c>
      <c r="M24" s="308">
        <f>L24/$H$24</f>
        <v>0.15406981921313972</v>
      </c>
      <c r="N24" s="431"/>
      <c r="O24" s="179">
        <f>SUM(O21:O23)</f>
        <v>3039955</v>
      </c>
      <c r="P24" s="431">
        <f>O24/$H$24</f>
        <v>0.84593018078686033</v>
      </c>
      <c r="Q24" s="431"/>
      <c r="R24" s="179">
        <f>SUM(R21:R23)</f>
        <v>0</v>
      </c>
      <c r="S24" s="1091">
        <f t="shared" si="1"/>
        <v>0</v>
      </c>
      <c r="T24" s="1096"/>
      <c r="U24" s="1078">
        <f t="shared" si="3"/>
        <v>3593624</v>
      </c>
      <c r="V24" s="308">
        <f t="shared" si="8"/>
        <v>1</v>
      </c>
    </row>
    <row r="25" spans="1:22" ht="30" customHeight="1" x14ac:dyDescent="0.3">
      <c r="A25" s="1314" t="s">
        <v>109</v>
      </c>
      <c r="B25" s="1314" t="s">
        <v>1091</v>
      </c>
      <c r="C25" s="383" t="s">
        <v>83</v>
      </c>
      <c r="D25" s="383" t="s">
        <v>91</v>
      </c>
      <c r="E25" s="383">
        <v>0</v>
      </c>
      <c r="F25" s="192">
        <v>1671452</v>
      </c>
      <c r="G25" s="32">
        <f t="shared" ref="G25:G26" si="12">+ROUND(F25*1.051,0)</f>
        <v>1756696</v>
      </c>
      <c r="H25" s="192">
        <f>ROUND((E25*F25),0)</f>
        <v>0</v>
      </c>
      <c r="I25" s="32">
        <f t="shared" si="5"/>
        <v>0</v>
      </c>
      <c r="J25" s="1314" t="s">
        <v>1092</v>
      </c>
      <c r="K25" s="158">
        <v>0</v>
      </c>
      <c r="L25" s="194">
        <f>ROUND(K25*$F$25,0)</f>
        <v>0</v>
      </c>
      <c r="M25" s="195">
        <v>0</v>
      </c>
      <c r="N25" s="432">
        <v>0</v>
      </c>
      <c r="O25" s="425">
        <f>ROUND(N25*$F$25,0)</f>
        <v>0</v>
      </c>
      <c r="P25" s="426">
        <v>0</v>
      </c>
      <c r="Q25" s="432">
        <v>0</v>
      </c>
      <c r="R25" s="425">
        <f t="shared" ref="R25:R26" si="13">ROUND(Q25*G25,0)</f>
        <v>0</v>
      </c>
      <c r="S25" s="426">
        <v>0</v>
      </c>
      <c r="T25" s="416">
        <f t="shared" ref="T25:T26" si="14">K25+N25+Q25</f>
        <v>0</v>
      </c>
      <c r="U25" s="175">
        <f t="shared" si="3"/>
        <v>0</v>
      </c>
      <c r="V25" s="176">
        <v>0</v>
      </c>
    </row>
    <row r="26" spans="1:22" ht="30" customHeight="1" x14ac:dyDescent="0.3">
      <c r="A26" s="1314"/>
      <c r="B26" s="1314"/>
      <c r="C26" s="383" t="s">
        <v>61</v>
      </c>
      <c r="D26" s="383" t="s">
        <v>92</v>
      </c>
      <c r="E26" s="383">
        <v>0.3</v>
      </c>
      <c r="F26" s="192">
        <v>6233126</v>
      </c>
      <c r="G26" s="32">
        <f t="shared" si="12"/>
        <v>6551015</v>
      </c>
      <c r="H26" s="192">
        <f>ROUND((E26*F26),0)</f>
        <v>1869938</v>
      </c>
      <c r="I26" s="32">
        <f t="shared" si="5"/>
        <v>1965305</v>
      </c>
      <c r="J26" s="1314"/>
      <c r="K26" s="158">
        <v>0</v>
      </c>
      <c r="L26" s="194">
        <f>ROUND(K26*$F$26,0)</f>
        <v>0</v>
      </c>
      <c r="M26" s="195">
        <f>L26/$H$26</f>
        <v>0</v>
      </c>
      <c r="N26" s="433">
        <v>0.3</v>
      </c>
      <c r="O26" s="429">
        <f>ROUND(N26*$F$26,0)</f>
        <v>1869938</v>
      </c>
      <c r="P26" s="430">
        <f>O26/$H$26</f>
        <v>1</v>
      </c>
      <c r="Q26" s="432">
        <v>0</v>
      </c>
      <c r="R26" s="425">
        <f t="shared" si="13"/>
        <v>0</v>
      </c>
      <c r="S26" s="426">
        <f t="shared" si="1"/>
        <v>0</v>
      </c>
      <c r="T26" s="416">
        <f t="shared" si="14"/>
        <v>0.3</v>
      </c>
      <c r="U26" s="175">
        <f t="shared" si="3"/>
        <v>1869938</v>
      </c>
      <c r="V26" s="176">
        <f>U26/H26</f>
        <v>1</v>
      </c>
    </row>
    <row r="27" spans="1:22" x14ac:dyDescent="0.3">
      <c r="A27" s="1314"/>
      <c r="B27" s="1314"/>
      <c r="C27" s="196"/>
      <c r="D27" s="196" t="s">
        <v>63</v>
      </c>
      <c r="E27" s="198"/>
      <c r="F27" s="198"/>
      <c r="G27" s="198"/>
      <c r="H27" s="199">
        <f>SUM(H25:H26)</f>
        <v>1869938</v>
      </c>
      <c r="I27" s="199">
        <f>SUM(I25:I26)</f>
        <v>1965305</v>
      </c>
      <c r="J27" s="1314"/>
      <c r="K27" s="308"/>
      <c r="L27" s="179">
        <f>SUM(L25:L26)</f>
        <v>0</v>
      </c>
      <c r="M27" s="308">
        <f>L27/$H$27</f>
        <v>0</v>
      </c>
      <c r="N27" s="431"/>
      <c r="O27" s="179">
        <f>SUM(O25:O26)</f>
        <v>1869938</v>
      </c>
      <c r="P27" s="431">
        <f>O27/$H$27</f>
        <v>1</v>
      </c>
      <c r="Q27" s="431"/>
      <c r="R27" s="179">
        <f>SUM(R25:R26)</f>
        <v>0</v>
      </c>
      <c r="S27" s="1091">
        <f t="shared" si="1"/>
        <v>0</v>
      </c>
      <c r="T27" s="1096"/>
      <c r="U27" s="1078">
        <f t="shared" si="3"/>
        <v>1869938</v>
      </c>
      <c r="V27" s="308">
        <f>U27/H27</f>
        <v>1</v>
      </c>
    </row>
    <row r="28" spans="1:22" ht="30" customHeight="1" x14ac:dyDescent="0.3">
      <c r="A28" s="1314" t="s">
        <v>1093</v>
      </c>
      <c r="B28" s="1314" t="s">
        <v>323</v>
      </c>
      <c r="C28" s="383" t="s">
        <v>88</v>
      </c>
      <c r="D28" s="383" t="s">
        <v>89</v>
      </c>
      <c r="E28" s="383">
        <v>1</v>
      </c>
      <c r="F28" s="192">
        <v>4492030</v>
      </c>
      <c r="G28" s="32">
        <f>+ROUND(F28*1.051,0)</f>
        <v>4721124</v>
      </c>
      <c r="H28" s="192">
        <f>ROUND((E28*F28),0)</f>
        <v>4492030</v>
      </c>
      <c r="I28" s="32">
        <f t="shared" si="5"/>
        <v>4721124</v>
      </c>
      <c r="J28" s="1315" t="s">
        <v>1094</v>
      </c>
      <c r="K28" s="158">
        <v>0</v>
      </c>
      <c r="L28" s="194">
        <f>ROUND(K28*$F$28,0)</f>
        <v>0</v>
      </c>
      <c r="M28" s="195">
        <f>L28/$H$28</f>
        <v>0</v>
      </c>
      <c r="N28" s="432">
        <v>0</v>
      </c>
      <c r="O28" s="425">
        <f>ROUND(N28*$F$28,0)</f>
        <v>0</v>
      </c>
      <c r="P28" s="426">
        <f>O28/$H$28</f>
        <v>0</v>
      </c>
      <c r="Q28" s="432">
        <v>0</v>
      </c>
      <c r="R28" s="425">
        <f>ROUND(Q28*G28,0)</f>
        <v>0</v>
      </c>
      <c r="S28" s="426">
        <f t="shared" si="1"/>
        <v>0</v>
      </c>
      <c r="T28" s="416">
        <f>K28+N28+Q28</f>
        <v>0</v>
      </c>
      <c r="U28" s="175">
        <f t="shared" si="3"/>
        <v>0</v>
      </c>
      <c r="V28" s="176">
        <f>U28/H28</f>
        <v>0</v>
      </c>
    </row>
    <row r="29" spans="1:22" x14ac:dyDescent="0.3">
      <c r="A29" s="1314"/>
      <c r="B29" s="1314"/>
      <c r="C29" s="196"/>
      <c r="D29" s="196" t="s">
        <v>90</v>
      </c>
      <c r="E29" s="198"/>
      <c r="F29" s="199"/>
      <c r="G29" s="199"/>
      <c r="H29" s="199">
        <f>H28</f>
        <v>4492030</v>
      </c>
      <c r="I29" s="199">
        <f>SUM(I28)</f>
        <v>4721124</v>
      </c>
      <c r="J29" s="1314"/>
      <c r="K29" s="308"/>
      <c r="L29" s="179">
        <f>SUM(L28)</f>
        <v>0</v>
      </c>
      <c r="M29" s="308">
        <f>L29/$H$29</f>
        <v>0</v>
      </c>
      <c r="N29" s="431"/>
      <c r="O29" s="179">
        <f>SUM(O28)</f>
        <v>0</v>
      </c>
      <c r="P29" s="431">
        <f>O29/$H$29</f>
        <v>0</v>
      </c>
      <c r="Q29" s="431"/>
      <c r="R29" s="179">
        <f>SUM(R28)</f>
        <v>0</v>
      </c>
      <c r="S29" s="1091">
        <f t="shared" si="1"/>
        <v>0</v>
      </c>
      <c r="T29" s="1096"/>
      <c r="U29" s="1078">
        <f>L29+O29+R29</f>
        <v>0</v>
      </c>
      <c r="V29" s="308">
        <f>U29/H29</f>
        <v>0</v>
      </c>
    </row>
    <row r="30" spans="1:22" x14ac:dyDescent="0.3">
      <c r="F30" s="151" t="s">
        <v>64</v>
      </c>
      <c r="G30" s="151"/>
      <c r="H30" s="181">
        <f>SUM(H14:H29)/2</f>
        <v>15419154</v>
      </c>
      <c r="I30" s="181">
        <f>SUM(I14:I29)/2</f>
        <v>16205532</v>
      </c>
      <c r="K30" s="151" t="s">
        <v>64</v>
      </c>
      <c r="L30" s="181">
        <f>SUM(L14:L29)/2</f>
        <v>6017231</v>
      </c>
      <c r="M30" s="131">
        <f>L30/H30</f>
        <v>0.39024391351172705</v>
      </c>
      <c r="N30" s="151" t="s">
        <v>64</v>
      </c>
      <c r="O30" s="181">
        <f>SUM(O14:O29)/2</f>
        <v>4909893</v>
      </c>
      <c r="Q30" s="151" t="s">
        <v>64</v>
      </c>
      <c r="R30" s="181">
        <f>SUM(R14:R29)/2</f>
        <v>0</v>
      </c>
      <c r="T30" s="151" t="s">
        <v>64</v>
      </c>
      <c r="U30" s="181">
        <f>SUM(U14:U29)/2</f>
        <v>10927124</v>
      </c>
    </row>
    <row r="31" spans="1:22" x14ac:dyDescent="0.3">
      <c r="F31" s="153" t="s">
        <v>65</v>
      </c>
      <c r="G31" s="816"/>
      <c r="H31" s="182">
        <v>0</v>
      </c>
      <c r="I31" s="182">
        <v>0</v>
      </c>
      <c r="K31" s="153" t="s">
        <v>65</v>
      </c>
      <c r="L31" s="182">
        <v>0</v>
      </c>
      <c r="N31" s="153" t="s">
        <v>65</v>
      </c>
      <c r="O31" s="182">
        <v>0</v>
      </c>
      <c r="Q31" s="153" t="s">
        <v>65</v>
      </c>
      <c r="R31" s="182">
        <v>0</v>
      </c>
      <c r="T31" s="153" t="s">
        <v>65</v>
      </c>
      <c r="U31" s="182">
        <v>0</v>
      </c>
    </row>
    <row r="32" spans="1:22" x14ac:dyDescent="0.3">
      <c r="F32" s="152" t="s">
        <v>64</v>
      </c>
      <c r="G32" s="817"/>
      <c r="H32" s="182">
        <f>+H30+H31</f>
        <v>15419154</v>
      </c>
      <c r="I32" s="182">
        <f>+I30+I31</f>
        <v>16205532</v>
      </c>
      <c r="K32" s="152" t="s">
        <v>64</v>
      </c>
      <c r="L32" s="182">
        <f>+L30+L31</f>
        <v>6017231</v>
      </c>
      <c r="N32" s="152" t="s">
        <v>64</v>
      </c>
      <c r="O32" s="182">
        <f>+O30+O31</f>
        <v>4909893</v>
      </c>
      <c r="Q32" s="152" t="s">
        <v>64</v>
      </c>
      <c r="R32" s="182">
        <f>+R30+R31</f>
        <v>0</v>
      </c>
      <c r="T32" s="152" t="s">
        <v>64</v>
      </c>
      <c r="U32" s="182">
        <f>+U30+U31</f>
        <v>10927124</v>
      </c>
    </row>
    <row r="33" spans="1:22" ht="26.4" x14ac:dyDescent="0.3">
      <c r="F33" s="152"/>
      <c r="G33" s="817"/>
      <c r="H33" s="182"/>
      <c r="I33" s="182"/>
      <c r="K33" s="152"/>
      <c r="L33" s="182"/>
      <c r="N33" s="484" t="s">
        <v>1439</v>
      </c>
      <c r="O33" s="182">
        <f>ROUND(O32*0.015,0)</f>
        <v>73648</v>
      </c>
      <c r="Q33" s="484" t="s">
        <v>1439</v>
      </c>
      <c r="R33" s="182">
        <f>ROUND(R32*0.015,0)</f>
        <v>0</v>
      </c>
      <c r="T33" s="484" t="s">
        <v>1439</v>
      </c>
      <c r="U33" s="182">
        <f>L33+O33+R33</f>
        <v>73648</v>
      </c>
    </row>
    <row r="34" spans="1:22" ht="26.4" x14ac:dyDescent="0.3">
      <c r="F34" s="152"/>
      <c r="G34" s="817"/>
      <c r="H34" s="182"/>
      <c r="I34" s="182"/>
      <c r="K34" s="152"/>
      <c r="L34" s="182"/>
      <c r="N34" s="152" t="s">
        <v>1440</v>
      </c>
      <c r="O34" s="182">
        <f>O32+O33</f>
        <v>4983541</v>
      </c>
      <c r="P34" s="131">
        <f>O34/$H$30</f>
        <v>0.32320456751388565</v>
      </c>
      <c r="Q34" s="152" t="s">
        <v>1440</v>
      </c>
      <c r="R34" s="182">
        <f>R32+R33</f>
        <v>0</v>
      </c>
      <c r="S34" s="131">
        <f>R34/$H$30</f>
        <v>0</v>
      </c>
      <c r="T34" s="152" t="s">
        <v>1440</v>
      </c>
      <c r="U34" s="182">
        <f>U32+U33</f>
        <v>11000772</v>
      </c>
      <c r="V34" s="131">
        <f>U34/H30</f>
        <v>0.71344848102561265</v>
      </c>
    </row>
    <row r="35" spans="1:22" x14ac:dyDescent="0.3">
      <c r="F35" s="154" t="s">
        <v>66</v>
      </c>
      <c r="G35" s="818"/>
      <c r="H35" s="182">
        <f>+H32*19%</f>
        <v>2929639.2600000002</v>
      </c>
      <c r="I35" s="182">
        <f>+I32*19%</f>
        <v>3079051.08</v>
      </c>
      <c r="K35" s="154" t="s">
        <v>66</v>
      </c>
      <c r="L35" s="182">
        <f>+L32*19%</f>
        <v>1143273.8899999999</v>
      </c>
      <c r="N35" s="154" t="s">
        <v>66</v>
      </c>
      <c r="O35" s="182">
        <f>ROUND(O34*0.19,0)</f>
        <v>946873</v>
      </c>
      <c r="Q35" s="154" t="s">
        <v>66</v>
      </c>
      <c r="R35" s="182">
        <f>ROUND(R34*0.19,0)</f>
        <v>0</v>
      </c>
      <c r="T35" s="154" t="s">
        <v>66</v>
      </c>
      <c r="U35" s="182">
        <f>ROUND(U34*0.19,0)</f>
        <v>2090147</v>
      </c>
    </row>
    <row r="36" spans="1:22" x14ac:dyDescent="0.3">
      <c r="F36" s="155" t="s">
        <v>69</v>
      </c>
      <c r="G36" s="155"/>
      <c r="H36" s="181">
        <f>+H32+H35</f>
        <v>18348793.260000002</v>
      </c>
      <c r="I36" s="181">
        <f>+I32+I35</f>
        <v>19284583.079999998</v>
      </c>
      <c r="K36" s="155" t="s">
        <v>69</v>
      </c>
      <c r="L36" s="181">
        <f>+L32+L35</f>
        <v>7160504.8899999997</v>
      </c>
      <c r="N36" s="155" t="s">
        <v>69</v>
      </c>
      <c r="O36" s="181">
        <f>O34+O35</f>
        <v>5930414</v>
      </c>
      <c r="Q36" s="155" t="s">
        <v>69</v>
      </c>
      <c r="R36" s="181">
        <f>R34+R35</f>
        <v>0</v>
      </c>
      <c r="T36" s="155" t="s">
        <v>69</v>
      </c>
      <c r="U36" s="181">
        <f>U34+U35</f>
        <v>13090919</v>
      </c>
    </row>
    <row r="39" spans="1:22" x14ac:dyDescent="0.3">
      <c r="A39" s="183" t="s">
        <v>67</v>
      </c>
      <c r="B39" s="184"/>
      <c r="C39" s="184"/>
      <c r="D39" s="185" t="s">
        <v>68</v>
      </c>
      <c r="K39" s="186" t="s">
        <v>70</v>
      </c>
      <c r="L39" s="187" t="s">
        <v>71</v>
      </c>
      <c r="M39" s="186" t="s">
        <v>58</v>
      </c>
      <c r="N39" s="186" t="s">
        <v>70</v>
      </c>
      <c r="O39" s="187" t="s">
        <v>71</v>
      </c>
      <c r="P39" s="186" t="s">
        <v>58</v>
      </c>
      <c r="Q39" s="186" t="s">
        <v>70</v>
      </c>
      <c r="R39" s="187" t="s">
        <v>71</v>
      </c>
      <c r="S39" s="186" t="s">
        <v>58</v>
      </c>
    </row>
    <row r="40" spans="1:22" x14ac:dyDescent="0.3">
      <c r="A40" s="183"/>
      <c r="B40" s="184"/>
      <c r="C40" s="184"/>
      <c r="D40" s="185"/>
      <c r="K40" s="69" t="s">
        <v>72</v>
      </c>
      <c r="L40" s="70">
        <f>$L$30</f>
        <v>6017231</v>
      </c>
      <c r="M40" s="71">
        <f>$M$30</f>
        <v>0.39024391351172705</v>
      </c>
      <c r="N40" s="69" t="s">
        <v>72</v>
      </c>
      <c r="O40" s="70">
        <f>$L$30</f>
        <v>6017231</v>
      </c>
      <c r="P40" s="71">
        <f>$M$30</f>
        <v>0.39024391351172705</v>
      </c>
      <c r="Q40" s="69" t="s">
        <v>72</v>
      </c>
      <c r="R40" s="70">
        <f>$L$30</f>
        <v>6017231</v>
      </c>
      <c r="S40" s="71">
        <f>$M$30</f>
        <v>0.39024391351172705</v>
      </c>
    </row>
    <row r="41" spans="1:22" x14ac:dyDescent="0.3">
      <c r="A41" s="183"/>
      <c r="B41" s="184"/>
      <c r="C41" s="184"/>
      <c r="D41" s="185"/>
      <c r="K41" s="69"/>
      <c r="L41" s="70"/>
      <c r="M41" s="71"/>
      <c r="N41" s="69" t="s">
        <v>73</v>
      </c>
      <c r="O41" s="70">
        <f>$O$30</f>
        <v>4909893</v>
      </c>
      <c r="P41" s="71">
        <f>$P$34</f>
        <v>0.32320456751388565</v>
      </c>
      <c r="Q41" s="69" t="s">
        <v>73</v>
      </c>
      <c r="R41" s="70">
        <f>$O$30</f>
        <v>4909893</v>
      </c>
      <c r="S41" s="71">
        <f>$P$34</f>
        <v>0.32320456751388565</v>
      </c>
    </row>
    <row r="42" spans="1:22" s="852" customFormat="1" x14ac:dyDescent="0.3">
      <c r="A42" s="183"/>
      <c r="B42" s="184"/>
      <c r="C42" s="184"/>
      <c r="D42" s="185"/>
      <c r="K42" s="69"/>
      <c r="L42" s="70"/>
      <c r="M42" s="71"/>
      <c r="N42" s="69"/>
      <c r="O42" s="70"/>
      <c r="P42" s="71"/>
      <c r="Q42" s="69" t="s">
        <v>74</v>
      </c>
      <c r="R42" s="70">
        <f>+R34</f>
        <v>0</v>
      </c>
      <c r="S42" s="71">
        <f>+S34</f>
        <v>0</v>
      </c>
    </row>
    <row r="43" spans="1:22" x14ac:dyDescent="0.3">
      <c r="A43" s="183"/>
      <c r="B43" s="184"/>
      <c r="C43" s="184"/>
      <c r="D43" s="185"/>
      <c r="K43" s="72" t="s">
        <v>1</v>
      </c>
      <c r="L43" s="105">
        <f>SUM(L40:L40)</f>
        <v>6017231</v>
      </c>
      <c r="M43" s="73">
        <f>SUM(M40:M40)</f>
        <v>0.39024391351172705</v>
      </c>
      <c r="N43" s="72" t="s">
        <v>1</v>
      </c>
      <c r="O43" s="105">
        <f>SUM(O40:O41)</f>
        <v>10927124</v>
      </c>
      <c r="P43" s="73">
        <f>SUM(P40:P41)</f>
        <v>0.71344848102561276</v>
      </c>
      <c r="Q43" s="72" t="s">
        <v>1</v>
      </c>
      <c r="R43" s="105">
        <f>SUM(R40:R42)</f>
        <v>10927124</v>
      </c>
      <c r="S43" s="73">
        <f>SUM(S40:S42)</f>
        <v>0.71344848102561276</v>
      </c>
    </row>
    <row r="44" spans="1:22" x14ac:dyDescent="0.3">
      <c r="A44" s="183"/>
      <c r="B44" s="184"/>
      <c r="C44" s="184"/>
      <c r="D44" s="185"/>
      <c r="K44" s="72" t="s">
        <v>9</v>
      </c>
      <c r="L44" s="1285"/>
      <c r="M44" s="1286"/>
      <c r="N44" s="72" t="s">
        <v>9</v>
      </c>
      <c r="O44" s="1285"/>
      <c r="P44" s="1286"/>
      <c r="Q44" s="72" t="s">
        <v>9</v>
      </c>
      <c r="R44" s="1285"/>
      <c r="S44" s="1286"/>
    </row>
    <row r="45" spans="1:22" x14ac:dyDescent="0.3">
      <c r="A45" s="183"/>
      <c r="B45" s="184"/>
      <c r="C45" s="184"/>
      <c r="D45" s="185"/>
      <c r="K45" s="156" t="s">
        <v>78</v>
      </c>
      <c r="L45" s="1285"/>
      <c r="M45" s="1286"/>
      <c r="N45" s="156" t="s">
        <v>78</v>
      </c>
      <c r="O45" s="1285"/>
      <c r="P45" s="1286"/>
      <c r="Q45" s="156" t="s">
        <v>78</v>
      </c>
      <c r="R45" s="1285"/>
      <c r="S45" s="1286"/>
    </row>
    <row r="46" spans="1:22" x14ac:dyDescent="0.3">
      <c r="A46" s="183"/>
      <c r="B46" s="184"/>
      <c r="C46" s="184"/>
      <c r="D46" s="185"/>
      <c r="K46" s="157" t="s">
        <v>8</v>
      </c>
      <c r="L46" s="1285"/>
      <c r="M46" s="1286"/>
      <c r="N46" s="157" t="s">
        <v>8</v>
      </c>
      <c r="O46" s="1285"/>
      <c r="P46" s="1286"/>
      <c r="Q46" s="157" t="s">
        <v>8</v>
      </c>
      <c r="R46" s="1285"/>
      <c r="S46" s="1286"/>
    </row>
    <row r="47" spans="1:22" x14ac:dyDescent="0.3">
      <c r="A47" s="183"/>
      <c r="B47" s="184"/>
      <c r="C47" s="184"/>
      <c r="D47" s="185" t="s">
        <v>75</v>
      </c>
    </row>
    <row r="48" spans="1:22" x14ac:dyDescent="0.3">
      <c r="A48" s="183" t="s">
        <v>76</v>
      </c>
      <c r="B48" s="180"/>
      <c r="C48" s="180"/>
      <c r="D48" s="185" t="s">
        <v>77</v>
      </c>
    </row>
    <row r="49" spans="1:4" ht="26.4" x14ac:dyDescent="0.3">
      <c r="A49" s="183" t="s">
        <v>79</v>
      </c>
      <c r="B49" s="180"/>
      <c r="C49" s="180"/>
      <c r="D49" s="185" t="s">
        <v>80</v>
      </c>
    </row>
  </sheetData>
  <sheetProtection formatCells="0" formatColumns="0" formatRows="0" insertColumns="0" insertRows="0" insertHyperlinks="0" deleteColumns="0" deleteRows="0" sort="0" autoFilter="0" pivotTables="0"/>
  <mergeCells count="41">
    <mergeCell ref="A14:A17"/>
    <mergeCell ref="B14:B17"/>
    <mergeCell ref="J14:J17"/>
    <mergeCell ref="A18:A20"/>
    <mergeCell ref="T1:V1"/>
    <mergeCell ref="T2:V2"/>
    <mergeCell ref="A3:V3"/>
    <mergeCell ref="A4:V4"/>
    <mergeCell ref="A5:V5"/>
    <mergeCell ref="C1:P2"/>
    <mergeCell ref="A21:A24"/>
    <mergeCell ref="B21:B24"/>
    <mergeCell ref="J21:J24"/>
    <mergeCell ref="A6:V6"/>
    <mergeCell ref="A7:V7"/>
    <mergeCell ref="A8:V8"/>
    <mergeCell ref="B11:J11"/>
    <mergeCell ref="K11:M12"/>
    <mergeCell ref="T11:V12"/>
    <mergeCell ref="B12:J12"/>
    <mergeCell ref="A10:V10"/>
    <mergeCell ref="N11:P12"/>
    <mergeCell ref="A9:V9"/>
    <mergeCell ref="B18:B20"/>
    <mergeCell ref="J18:J20"/>
    <mergeCell ref="Q11:S12"/>
    <mergeCell ref="R44:S44"/>
    <mergeCell ref="R45:S45"/>
    <mergeCell ref="R46:S46"/>
    <mergeCell ref="A25:A27"/>
    <mergeCell ref="B25:B27"/>
    <mergeCell ref="J25:J27"/>
    <mergeCell ref="O46:P46"/>
    <mergeCell ref="L44:M44"/>
    <mergeCell ref="L45:M45"/>
    <mergeCell ref="L46:M46"/>
    <mergeCell ref="O44:P44"/>
    <mergeCell ref="O45:P45"/>
    <mergeCell ref="A28:A29"/>
    <mergeCell ref="B28:B29"/>
    <mergeCell ref="J28:J29"/>
  </mergeCells>
  <pageMargins left="0.7" right="0.7" top="0.75" bottom="0.75" header="0.3" footer="0.3"/>
  <pageSetup scale="57" orientation="landscape" r:id="rId1"/>
  <drawing r:id="rId2"/>
  <legacyDrawingHF r:id="rId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5">
    <tabColor theme="1"/>
  </sheetPr>
  <dimension ref="A1:G49"/>
  <sheetViews>
    <sheetView topLeftCell="A7" zoomScaleNormal="10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RESUMEN!G55</f>
        <v>Proyecto: CDIM_CBSGSM_R0171, REMODELACION SE MT-MT CHARQUITO</v>
      </c>
      <c r="C5" s="1281"/>
      <c r="D5" s="1281"/>
      <c r="E5" s="1281"/>
      <c r="F5" s="1281"/>
      <c r="G5" s="1282"/>
    </row>
    <row r="6" spans="1:7" x14ac:dyDescent="0.25">
      <c r="A6" s="1177"/>
      <c r="B6" s="1177"/>
      <c r="C6" s="1177"/>
      <c r="D6" s="1177"/>
      <c r="E6" s="1177"/>
      <c r="F6" s="1177"/>
      <c r="G6" s="1177"/>
    </row>
    <row r="7" spans="1:7" x14ac:dyDescent="0.25">
      <c r="A7" s="271" t="s">
        <v>0</v>
      </c>
      <c r="B7" s="1264" t="str">
        <f>RESUMEN!B55</f>
        <v>D00235268</v>
      </c>
      <c r="C7" s="1265"/>
      <c r="D7" s="1177"/>
      <c r="E7" s="1266" t="s">
        <v>627</v>
      </c>
      <c r="F7" s="1267"/>
      <c r="G7" s="280" t="str">
        <f>RESUMEN!E55</f>
        <v xml:space="preserve">17-265 </v>
      </c>
    </row>
    <row r="8" spans="1:7" x14ac:dyDescent="0.25">
      <c r="A8" s="271" t="s">
        <v>628</v>
      </c>
      <c r="B8" s="1264" t="str">
        <f>RESUMEN!C55</f>
        <v>D00235268000</v>
      </c>
      <c r="C8" s="1265"/>
      <c r="D8" s="1177"/>
      <c r="E8" s="1266" t="s">
        <v>629</v>
      </c>
      <c r="F8" s="1267"/>
      <c r="G8" s="280" t="str">
        <f>RESUMEN!U55</f>
        <v>Acta N° 3: Marzo</v>
      </c>
    </row>
    <row r="9" spans="1:7" x14ac:dyDescent="0.25">
      <c r="A9" s="271" t="s">
        <v>630</v>
      </c>
      <c r="B9" s="1283" t="s">
        <v>631</v>
      </c>
      <c r="C9" s="1265"/>
      <c r="D9" s="1177"/>
      <c r="E9" s="1266" t="s">
        <v>632</v>
      </c>
      <c r="F9" s="1267"/>
      <c r="G9" s="1178">
        <f>RESUMEN!H55</f>
        <v>24215177</v>
      </c>
    </row>
    <row r="10" spans="1:7" x14ac:dyDescent="0.25">
      <c r="A10" s="271" t="s">
        <v>633</v>
      </c>
      <c r="B10" s="1283" t="str">
        <f>RESUMEN!D55</f>
        <v>CHARQUITO ADIC</v>
      </c>
      <c r="C10" s="1265"/>
      <c r="D10" s="1177"/>
      <c r="E10" s="1266" t="s">
        <v>634</v>
      </c>
      <c r="F10" s="1267"/>
      <c r="G10" s="1178">
        <f>RESUMEN!R55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CDIM_CBSGSM_R0171, REMODELACION SE MT-MT CHARQUITO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RESUMEN!N55</f>
        <v>0</v>
      </c>
      <c r="F19" s="1248"/>
      <c r="G19" s="1177"/>
    </row>
    <row r="20" spans="1:7" ht="27" customHeight="1" x14ac:dyDescent="0.25">
      <c r="A20" s="1177"/>
      <c r="B20" s="1244" t="s">
        <v>1498</v>
      </c>
      <c r="C20" s="1245"/>
      <c r="D20" s="1246"/>
      <c r="E20" s="1247">
        <f>RESUMEN!P55</f>
        <v>0</v>
      </c>
      <c r="F20" s="1248"/>
      <c r="G20" s="1177"/>
    </row>
    <row r="21" spans="1:7" ht="27" customHeight="1" x14ac:dyDescent="0.25">
      <c r="A21" s="1177"/>
      <c r="B21" s="1244" t="s">
        <v>1499</v>
      </c>
      <c r="C21" s="1245"/>
      <c r="D21" s="1246"/>
      <c r="E21" s="1247">
        <f>RESUMEN!Q55</f>
        <v>0</v>
      </c>
      <c r="F21" s="1248"/>
      <c r="G21" s="1177"/>
    </row>
    <row r="22" spans="1:7" x14ac:dyDescent="0.25">
      <c r="A22" s="1177"/>
      <c r="B22" s="1254" t="s">
        <v>64</v>
      </c>
      <c r="C22" s="1254"/>
      <c r="D22" s="1254"/>
      <c r="E22" s="1255">
        <f>RESUMEN!R55</f>
        <v>0</v>
      </c>
      <c r="F22" s="1255"/>
      <c r="G22" s="1177"/>
    </row>
    <row r="23" spans="1:7" x14ac:dyDescent="0.25">
      <c r="A23" s="1177"/>
      <c r="B23" s="1256" t="s">
        <v>66</v>
      </c>
      <c r="C23" s="1256"/>
      <c r="D23" s="1256"/>
      <c r="E23" s="1257">
        <f>RESUMEN!S55</f>
        <v>0</v>
      </c>
      <c r="F23" s="1257"/>
      <c r="G23" s="1177"/>
    </row>
    <row r="24" spans="1:7" x14ac:dyDescent="0.25">
      <c r="A24" s="1177"/>
      <c r="B24" s="1258" t="s">
        <v>1</v>
      </c>
      <c r="C24" s="1258"/>
      <c r="D24" s="1258"/>
      <c r="E24" s="1259">
        <f>RESUMEN!T55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+'OT17-265 CHARQUITO ADIC'!R39</f>
        <v>ACTA 1</v>
      </c>
      <c r="C28" s="1253">
        <f>+'OT17-265 CHARQUITO ADIC'!S39</f>
        <v>8043868</v>
      </c>
      <c r="D28" s="1253"/>
      <c r="E28" s="267">
        <f>+'OT17-265 CHARQUITO ADIC'!T39</f>
        <v>0.33218291156822849</v>
      </c>
      <c r="F28" s="1177"/>
      <c r="G28" s="1177"/>
    </row>
    <row r="29" spans="1:7" x14ac:dyDescent="0.25">
      <c r="A29" s="1177"/>
      <c r="B29" s="280" t="str">
        <f>+'OT17-265 CHARQUITO ADIC'!R40</f>
        <v>ACTA 2</v>
      </c>
      <c r="C29" s="1253">
        <f>+'OT17-265 CHARQUITO ADIC'!S40</f>
        <v>11609633</v>
      </c>
      <c r="D29" s="1253"/>
      <c r="E29" s="267">
        <f>+'OT17-265 CHARQUITO ADIC'!T40</f>
        <v>0.47943622299353833</v>
      </c>
      <c r="F29" s="1177"/>
      <c r="G29" s="1177"/>
    </row>
    <row r="30" spans="1:7" x14ac:dyDescent="0.25">
      <c r="A30" s="1177"/>
      <c r="B30" s="280" t="str">
        <f>+'OT17-265 CHARQUITO ADIC'!R41</f>
        <v>ACTA 3</v>
      </c>
      <c r="C30" s="1253">
        <f>+'OT17-265 CHARQUITO ADIC'!S41</f>
        <v>3499083</v>
      </c>
      <c r="D30" s="1253"/>
      <c r="E30" s="267">
        <f>+'OT17-265 CHARQUITO ADIC'!T41</f>
        <v>0.14449958387667372</v>
      </c>
      <c r="F30" s="1177"/>
      <c r="G30" s="1177"/>
    </row>
    <row r="31" spans="1:7" x14ac:dyDescent="0.25">
      <c r="A31" s="1177"/>
      <c r="B31" s="280" t="str">
        <f>+'OT17-265 CHARQUITO ADIC'!R42</f>
        <v>ACTA 4</v>
      </c>
      <c r="C31" s="1253">
        <f>+'OT17-265 CHARQUITO ADIC'!S42</f>
        <v>0</v>
      </c>
      <c r="D31" s="1253"/>
      <c r="E31" s="267">
        <f>+'OT17-265 CHARQUITO ADIC'!T42</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23152584</v>
      </c>
      <c r="D34" s="1251"/>
      <c r="E34" s="264">
        <f>SUM(E28:E33)</f>
        <v>0.95611871843844054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RESUMEN!V55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90">
    <tabColor rgb="FFFFC000"/>
  </sheetPr>
  <dimension ref="A1:Y48"/>
  <sheetViews>
    <sheetView topLeftCell="A19" zoomScale="70" zoomScaleNormal="70" workbookViewId="0">
      <selection activeCell="C22" sqref="C22"/>
    </sheetView>
  </sheetViews>
  <sheetFormatPr baseColWidth="10" defaultColWidth="9.109375" defaultRowHeight="14.4" x14ac:dyDescent="0.3"/>
  <cols>
    <col min="1" max="1" width="15.5546875" style="189" customWidth="1"/>
    <col min="2" max="2" width="35.5546875" style="189" customWidth="1"/>
    <col min="3" max="3" width="25" style="189" customWidth="1"/>
    <col min="4" max="4" width="22.33203125" style="189" bestFit="1" customWidth="1"/>
    <col min="5" max="5" width="13" style="189" customWidth="1"/>
    <col min="6" max="6" width="17.88671875" style="189" customWidth="1"/>
    <col min="7" max="7" width="17.5546875" style="189" bestFit="1" customWidth="1"/>
    <col min="8" max="8" width="27.44140625" style="189" customWidth="1"/>
    <col min="9" max="9" width="17.88671875" style="189" hidden="1" customWidth="1"/>
    <col min="10" max="10" width="18" style="189" hidden="1" customWidth="1"/>
    <col min="11" max="11" width="11.44140625" style="189" hidden="1" customWidth="1"/>
    <col min="12" max="12" width="17.88671875" style="189" hidden="1" customWidth="1"/>
    <col min="13" max="13" width="18" style="189" hidden="1" customWidth="1"/>
    <col min="14" max="14" width="11.44140625" style="189" hidden="1" customWidth="1"/>
    <col min="15" max="15" width="16" style="189" customWidth="1"/>
    <col min="16" max="16" width="15" style="189" customWidth="1"/>
    <col min="17" max="17" width="11.44140625" style="189" customWidth="1"/>
    <col min="18" max="18" width="11.44140625" style="1055" customWidth="1"/>
    <col min="19" max="19" width="16.33203125" style="1055" customWidth="1"/>
    <col min="20" max="20" width="11.44140625" style="1055" customWidth="1"/>
    <col min="21" max="21" width="14" style="189" customWidth="1"/>
    <col min="22" max="22" width="16.44140625" style="189" customWidth="1"/>
    <col min="23" max="23" width="11.44140625" style="189" customWidth="1"/>
    <col min="24" max="24" width="9.109375" style="189"/>
    <col min="25" max="25" width="14.109375" style="189" bestFit="1" customWidth="1"/>
    <col min="26" max="16384" width="9.109375" style="189"/>
  </cols>
  <sheetData>
    <row r="1" spans="1:24" s="302" customFormat="1" ht="21.75" customHeight="1" thickBot="1" x14ac:dyDescent="0.35">
      <c r="A1" s="169"/>
      <c r="B1" s="188"/>
      <c r="C1" s="1307" t="s">
        <v>40</v>
      </c>
      <c r="D1" s="1308"/>
      <c r="E1" s="1308"/>
      <c r="F1" s="1308"/>
      <c r="G1" s="1308"/>
      <c r="H1" s="1308"/>
      <c r="I1" s="1308"/>
      <c r="J1" s="1308"/>
      <c r="K1" s="1308"/>
      <c r="L1" s="1308"/>
      <c r="M1" s="1308"/>
      <c r="N1" s="1308"/>
      <c r="O1" s="1308"/>
      <c r="P1" s="1308"/>
      <c r="Q1" s="1309"/>
      <c r="R1" s="1052"/>
      <c r="S1" s="1052"/>
      <c r="T1" s="1052"/>
      <c r="U1" s="1328" t="s">
        <v>928</v>
      </c>
      <c r="V1" s="1303"/>
      <c r="W1" s="1304"/>
    </row>
    <row r="2" spans="1:24" s="302" customFormat="1" ht="13.5" customHeight="1" thickBot="1" x14ac:dyDescent="0.35">
      <c r="A2" s="170"/>
      <c r="B2" s="190"/>
      <c r="C2" s="1310"/>
      <c r="D2" s="1311"/>
      <c r="E2" s="1311"/>
      <c r="F2" s="1311"/>
      <c r="G2" s="1311"/>
      <c r="H2" s="1311"/>
      <c r="I2" s="1311"/>
      <c r="J2" s="1311"/>
      <c r="K2" s="1311"/>
      <c r="L2" s="1311"/>
      <c r="M2" s="1311"/>
      <c r="N2" s="1311"/>
      <c r="O2" s="1311"/>
      <c r="P2" s="1311"/>
      <c r="Q2" s="1312"/>
      <c r="R2" s="1053"/>
      <c r="S2" s="1053"/>
      <c r="T2" s="1053"/>
      <c r="U2" s="1329" t="s">
        <v>41</v>
      </c>
      <c r="V2" s="1305"/>
      <c r="W2" s="1306"/>
    </row>
    <row r="3" spans="1:24"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row>
    <row r="4" spans="1:24"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row>
    <row r="5" spans="1:24"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row>
    <row r="6" spans="1:24"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row>
    <row r="7" spans="1:24" s="302" customFormat="1" ht="13.5" customHeight="1" x14ac:dyDescent="0.3">
      <c r="A7" s="1291" t="s">
        <v>1110</v>
      </c>
      <c r="B7" s="1292"/>
      <c r="C7" s="1292"/>
      <c r="D7" s="1292"/>
      <c r="E7" s="1292"/>
      <c r="F7" s="1292"/>
      <c r="G7" s="1292"/>
      <c r="H7" s="1292"/>
      <c r="I7" s="1292"/>
      <c r="J7" s="1292"/>
      <c r="K7" s="1292"/>
      <c r="L7" s="1292"/>
      <c r="M7" s="1292"/>
      <c r="N7" s="1292"/>
      <c r="O7" s="1292"/>
      <c r="P7" s="1292"/>
      <c r="Q7" s="1292"/>
      <c r="R7" s="1292"/>
      <c r="S7" s="1292"/>
      <c r="T7" s="1292"/>
      <c r="U7" s="1292"/>
      <c r="V7" s="1292"/>
      <c r="W7" s="1292"/>
    </row>
    <row r="8" spans="1:24" s="302" customFormat="1" ht="13.5" customHeight="1" x14ac:dyDescent="0.3">
      <c r="A8" s="1487" t="s">
        <v>2317</v>
      </c>
      <c r="B8" s="1487"/>
      <c r="C8" s="1487"/>
      <c r="D8" s="1487"/>
      <c r="E8" s="1487"/>
      <c r="F8" s="1487"/>
      <c r="G8" s="1487"/>
      <c r="H8" s="1487"/>
      <c r="I8" s="1487"/>
      <c r="J8" s="1487"/>
      <c r="K8" s="1487"/>
      <c r="L8" s="1487"/>
      <c r="M8" s="1487"/>
      <c r="N8" s="1487"/>
      <c r="O8" s="1487"/>
      <c r="P8" s="1487"/>
      <c r="Q8" s="1487"/>
      <c r="R8" s="1487"/>
      <c r="S8" s="1487"/>
      <c r="T8" s="1487"/>
      <c r="U8" s="1487"/>
      <c r="V8" s="1487"/>
      <c r="W8" s="1487"/>
    </row>
    <row r="9" spans="1:24" s="302" customFormat="1" ht="13.5" customHeight="1" x14ac:dyDescent="0.3">
      <c r="A9" s="1487" t="s">
        <v>2305</v>
      </c>
      <c r="B9" s="1487"/>
      <c r="C9" s="1487"/>
      <c r="D9" s="1487"/>
      <c r="E9" s="1487"/>
      <c r="F9" s="1487"/>
      <c r="G9" s="1487"/>
      <c r="H9" s="1487"/>
      <c r="I9" s="1487"/>
      <c r="J9" s="1487"/>
      <c r="K9" s="1487"/>
      <c r="L9" s="1487"/>
      <c r="M9" s="1487"/>
      <c r="N9" s="1487"/>
      <c r="O9" s="1487"/>
      <c r="P9" s="1487"/>
      <c r="Q9" s="1487"/>
      <c r="R9" s="1487"/>
      <c r="S9" s="1487"/>
      <c r="T9" s="1487"/>
      <c r="U9" s="1487"/>
      <c r="V9" s="1487"/>
      <c r="W9" s="1487"/>
    </row>
    <row r="10" spans="1:24" s="302" customFormat="1" ht="13.5" customHeight="1" x14ac:dyDescent="0.3">
      <c r="A10" s="1292" t="s">
        <v>1111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row>
    <row r="11" spans="1:24" s="302" customFormat="1" ht="13.5" customHeight="1" x14ac:dyDescent="0.3">
      <c r="A11" s="382"/>
      <c r="B11" s="1301"/>
      <c r="C11" s="1313"/>
      <c r="D11" s="1313"/>
      <c r="E11" s="1313"/>
      <c r="F11" s="1313"/>
      <c r="G11" s="1313"/>
      <c r="H11" s="1313"/>
      <c r="I11" s="1293" t="s">
        <v>986</v>
      </c>
      <c r="J11" s="1294"/>
      <c r="K11" s="1295"/>
      <c r="L11" s="1293" t="s">
        <v>1711</v>
      </c>
      <c r="M11" s="1294"/>
      <c r="N11" s="1295"/>
      <c r="O11" s="1433" t="s">
        <v>1719</v>
      </c>
      <c r="P11" s="1434"/>
      <c r="Q11" s="1435"/>
      <c r="R11" s="1433" t="s">
        <v>2319</v>
      </c>
      <c r="S11" s="1434"/>
      <c r="T11" s="1435"/>
      <c r="U11" s="1299" t="s">
        <v>49</v>
      </c>
      <c r="V11" s="1299"/>
      <c r="W11" s="1299"/>
      <c r="X11" s="872" t="s">
        <v>2158</v>
      </c>
    </row>
    <row r="12" spans="1:24" s="302" customFormat="1" ht="13.5" customHeight="1" x14ac:dyDescent="0.3">
      <c r="A12" s="171"/>
      <c r="B12" s="1301"/>
      <c r="C12" s="1302"/>
      <c r="D12" s="1302"/>
      <c r="E12" s="1302"/>
      <c r="F12" s="1302"/>
      <c r="G12" s="1302"/>
      <c r="H12" s="1302"/>
      <c r="I12" s="1325"/>
      <c r="J12" s="1326"/>
      <c r="K12" s="1327"/>
      <c r="L12" s="1325"/>
      <c r="M12" s="1326"/>
      <c r="N12" s="1327"/>
      <c r="O12" s="1436"/>
      <c r="P12" s="1437"/>
      <c r="Q12" s="1438"/>
      <c r="R12" s="1436"/>
      <c r="S12" s="1437"/>
      <c r="T12" s="1438"/>
      <c r="U12" s="1300"/>
      <c r="V12" s="1300"/>
      <c r="W12" s="1300"/>
    </row>
    <row r="13" spans="1:24" ht="28.8" x14ac:dyDescent="0.3">
      <c r="A13" s="209" t="s">
        <v>50</v>
      </c>
      <c r="B13" s="209" t="s">
        <v>51</v>
      </c>
      <c r="C13" s="209" t="s">
        <v>52</v>
      </c>
      <c r="D13" s="209" t="s">
        <v>164</v>
      </c>
      <c r="E13" s="209" t="s">
        <v>54</v>
      </c>
      <c r="F13" s="210" t="s">
        <v>55</v>
      </c>
      <c r="G13" s="209" t="s">
        <v>56</v>
      </c>
      <c r="H13" s="209" t="s">
        <v>57</v>
      </c>
      <c r="I13" s="28" t="s">
        <v>54</v>
      </c>
      <c r="J13" s="28" t="s">
        <v>56</v>
      </c>
      <c r="K13" s="28" t="s">
        <v>58</v>
      </c>
      <c r="L13" s="28" t="s">
        <v>54</v>
      </c>
      <c r="M13" s="28" t="s">
        <v>56</v>
      </c>
      <c r="N13" s="28" t="s">
        <v>58</v>
      </c>
      <c r="O13" s="28" t="s">
        <v>54</v>
      </c>
      <c r="P13" s="28" t="s">
        <v>56</v>
      </c>
      <c r="Q13" s="28" t="s">
        <v>58</v>
      </c>
      <c r="R13" s="28" t="s">
        <v>54</v>
      </c>
      <c r="S13" s="28" t="s">
        <v>56</v>
      </c>
      <c r="T13" s="28" t="s">
        <v>58</v>
      </c>
      <c r="U13" s="174" t="s">
        <v>54</v>
      </c>
      <c r="V13" s="172" t="s">
        <v>56</v>
      </c>
      <c r="W13" s="28" t="s">
        <v>58</v>
      </c>
    </row>
    <row r="14" spans="1:24" ht="30" customHeight="1" x14ac:dyDescent="0.3">
      <c r="A14" s="1314" t="s">
        <v>279</v>
      </c>
      <c r="B14" s="1486" t="s">
        <v>316</v>
      </c>
      <c r="C14" s="383" t="s">
        <v>81</v>
      </c>
      <c r="D14" s="383" t="s">
        <v>317</v>
      </c>
      <c r="E14" s="191">
        <v>0</v>
      </c>
      <c r="F14" s="192">
        <v>4596496</v>
      </c>
      <c r="G14" s="192">
        <f>ROUND((E14*F14),0)</f>
        <v>0</v>
      </c>
      <c r="H14" s="1314" t="s">
        <v>1098</v>
      </c>
      <c r="I14" s="158">
        <v>0</v>
      </c>
      <c r="J14" s="194">
        <f>ROUND(I14*$F$14,0)</f>
        <v>0</v>
      </c>
      <c r="K14" s="195">
        <v>0</v>
      </c>
      <c r="L14" s="432">
        <v>0</v>
      </c>
      <c r="M14" s="425">
        <f>ROUND(L14*$F$14,0)</f>
        <v>0</v>
      </c>
      <c r="N14" s="426">
        <v>0</v>
      </c>
      <c r="O14" s="432">
        <v>0</v>
      </c>
      <c r="P14" s="425">
        <f>ROUND(O14*$F$14,0)</f>
        <v>0</v>
      </c>
      <c r="Q14" s="426">
        <v>0</v>
      </c>
      <c r="R14" s="432">
        <v>0</v>
      </c>
      <c r="S14" s="425">
        <f>ROUND(R14*$F$14,0)</f>
        <v>0</v>
      </c>
      <c r="T14" s="426">
        <v>0</v>
      </c>
      <c r="U14" s="149">
        <f>I14+L14+O14+R14</f>
        <v>0</v>
      </c>
      <c r="V14" s="175">
        <f>J14+M14+P14+S14</f>
        <v>0</v>
      </c>
      <c r="W14" s="176">
        <v>0</v>
      </c>
    </row>
    <row r="15" spans="1:24" ht="30" customHeight="1" x14ac:dyDescent="0.3">
      <c r="A15" s="1314"/>
      <c r="B15" s="1486"/>
      <c r="C15" s="383" t="s">
        <v>83</v>
      </c>
      <c r="D15" s="383" t="s">
        <v>318</v>
      </c>
      <c r="E15" s="191">
        <v>0.4</v>
      </c>
      <c r="F15" s="192">
        <v>4387564</v>
      </c>
      <c r="G15" s="192">
        <f>ROUND((E15*F15),0)</f>
        <v>1755026</v>
      </c>
      <c r="H15" s="1314"/>
      <c r="I15" s="158">
        <v>0</v>
      </c>
      <c r="J15" s="194">
        <f>ROUND(I15*$F$15,0)</f>
        <v>0</v>
      </c>
      <c r="K15" s="195">
        <f>J15/$G$15</f>
        <v>0</v>
      </c>
      <c r="L15" s="432">
        <v>0.4</v>
      </c>
      <c r="M15" s="425">
        <f>ROUND(L15*$F$15,0)</f>
        <v>1755026</v>
      </c>
      <c r="N15" s="426">
        <f>M15/$G$15</f>
        <v>1</v>
      </c>
      <c r="O15" s="432">
        <v>0</v>
      </c>
      <c r="P15" s="425">
        <f>ROUND(O15*$F$15,0)</f>
        <v>0</v>
      </c>
      <c r="Q15" s="426">
        <f>P15/$G$15</f>
        <v>0</v>
      </c>
      <c r="R15" s="432">
        <v>0</v>
      </c>
      <c r="S15" s="425">
        <f>ROUND(R15*$F$15,0)</f>
        <v>0</v>
      </c>
      <c r="T15" s="426">
        <f>S15/$G$15</f>
        <v>0</v>
      </c>
      <c r="U15" s="416">
        <f t="shared" ref="U15:U28" si="0">I15+L15+O15+R15</f>
        <v>0.4</v>
      </c>
      <c r="V15" s="175">
        <f t="shared" ref="V15:V29" si="1">J15+M15+P15+S15</f>
        <v>1755026</v>
      </c>
      <c r="W15" s="176">
        <f>V15/G15</f>
        <v>1</v>
      </c>
    </row>
    <row r="16" spans="1:24" ht="15" customHeight="1" x14ac:dyDescent="0.3">
      <c r="A16" s="1314"/>
      <c r="B16" s="1486"/>
      <c r="C16" s="196"/>
      <c r="D16" s="196" t="s">
        <v>247</v>
      </c>
      <c r="E16" s="197"/>
      <c r="F16" s="198"/>
      <c r="G16" s="199">
        <f>SUM(G14:G15)</f>
        <v>1755026</v>
      </c>
      <c r="H16" s="1314"/>
      <c r="I16" s="308"/>
      <c r="J16" s="179">
        <f>SUM(J14:J15)</f>
        <v>0</v>
      </c>
      <c r="K16" s="308">
        <f>J16/$G$16</f>
        <v>0</v>
      </c>
      <c r="L16" s="431"/>
      <c r="M16" s="179">
        <f>SUM(M14:M15)</f>
        <v>1755026</v>
      </c>
      <c r="N16" s="431">
        <f>M16/$G$16</f>
        <v>1</v>
      </c>
      <c r="O16" s="431"/>
      <c r="P16" s="179">
        <f>SUM(P14:P15)</f>
        <v>0</v>
      </c>
      <c r="Q16" s="431">
        <f>P16/$G$16</f>
        <v>0</v>
      </c>
      <c r="R16" s="431"/>
      <c r="S16" s="179">
        <f>SUM(S14:S15)</f>
        <v>0</v>
      </c>
      <c r="T16" s="431">
        <f>S16/$G$16</f>
        <v>0</v>
      </c>
      <c r="U16" s="1093">
        <f t="shared" si="0"/>
        <v>0</v>
      </c>
      <c r="V16" s="1078">
        <f t="shared" si="1"/>
        <v>1755026</v>
      </c>
      <c r="W16" s="308">
        <f>V16/G16</f>
        <v>1</v>
      </c>
    </row>
    <row r="17" spans="1:25" ht="30" customHeight="1" x14ac:dyDescent="0.3">
      <c r="A17" s="1314" t="s">
        <v>929</v>
      </c>
      <c r="B17" s="1314" t="s">
        <v>282</v>
      </c>
      <c r="C17" s="383" t="s">
        <v>81</v>
      </c>
      <c r="D17" s="383" t="s">
        <v>105</v>
      </c>
      <c r="E17" s="191">
        <v>0</v>
      </c>
      <c r="F17" s="192">
        <v>417863</v>
      </c>
      <c r="G17" s="192">
        <f>ROUND((E17*F17),0)</f>
        <v>0</v>
      </c>
      <c r="H17" s="1314" t="s">
        <v>1099</v>
      </c>
      <c r="I17" s="158">
        <v>0</v>
      </c>
      <c r="J17" s="194">
        <f>ROUND(I17*$F$17,0)</f>
        <v>0</v>
      </c>
      <c r="K17" s="195">
        <v>0</v>
      </c>
      <c r="L17" s="432">
        <v>0</v>
      </c>
      <c r="M17" s="425">
        <f>ROUND(L17*$F$17,0)</f>
        <v>0</v>
      </c>
      <c r="N17" s="426">
        <v>0</v>
      </c>
      <c r="O17" s="432">
        <v>0</v>
      </c>
      <c r="P17" s="425">
        <f>ROUND(O17*$F$17,0)</f>
        <v>0</v>
      </c>
      <c r="Q17" s="426">
        <v>0</v>
      </c>
      <c r="R17" s="432">
        <v>0</v>
      </c>
      <c r="S17" s="425">
        <f>ROUND(R17*$F$17,0)</f>
        <v>0</v>
      </c>
      <c r="T17" s="426">
        <v>0</v>
      </c>
      <c r="U17" s="416">
        <f t="shared" si="0"/>
        <v>0</v>
      </c>
      <c r="V17" s="175">
        <f t="shared" si="1"/>
        <v>0</v>
      </c>
      <c r="W17" s="176">
        <v>0</v>
      </c>
    </row>
    <row r="18" spans="1:25" ht="30" customHeight="1" x14ac:dyDescent="0.3">
      <c r="A18" s="1314"/>
      <c r="B18" s="1314"/>
      <c r="C18" s="383" t="s">
        <v>83</v>
      </c>
      <c r="D18" s="383" t="s">
        <v>107</v>
      </c>
      <c r="E18" s="191">
        <v>1</v>
      </c>
      <c r="F18" s="192">
        <v>1845563</v>
      </c>
      <c r="G18" s="192">
        <f>ROUND((E18*F18),0)</f>
        <v>1845563</v>
      </c>
      <c r="H18" s="1314"/>
      <c r="I18" s="158">
        <v>0</v>
      </c>
      <c r="J18" s="194">
        <f>ROUND(I18*$F$18,0)</f>
        <v>0</v>
      </c>
      <c r="K18" s="195">
        <f>J18/$G$18</f>
        <v>0</v>
      </c>
      <c r="L18" s="432">
        <v>0</v>
      </c>
      <c r="M18" s="425">
        <f>ROUND(L18*$F$18,0)</f>
        <v>0</v>
      </c>
      <c r="N18" s="426">
        <f>M18/$G$18</f>
        <v>0</v>
      </c>
      <c r="O18" s="433">
        <v>1</v>
      </c>
      <c r="P18" s="429">
        <f>ROUND(O18*$F$18,0)</f>
        <v>1845563</v>
      </c>
      <c r="Q18" s="430">
        <f>P18/$G$18</f>
        <v>1</v>
      </c>
      <c r="R18" s="432">
        <v>0</v>
      </c>
      <c r="S18" s="425">
        <f>ROUND(R18*$F$18,0)</f>
        <v>0</v>
      </c>
      <c r="T18" s="426">
        <f>S18/$G$18</f>
        <v>0</v>
      </c>
      <c r="U18" s="416">
        <f t="shared" si="0"/>
        <v>1</v>
      </c>
      <c r="V18" s="175">
        <f t="shared" si="1"/>
        <v>1845563</v>
      </c>
      <c r="W18" s="176">
        <f t="shared" ref="W18:W29" si="2">V18/G18</f>
        <v>1</v>
      </c>
    </row>
    <row r="19" spans="1:25" ht="15" customHeight="1" x14ac:dyDescent="0.3">
      <c r="A19" s="1314"/>
      <c r="B19" s="1314"/>
      <c r="C19" s="196"/>
      <c r="D19" s="196" t="s">
        <v>108</v>
      </c>
      <c r="E19" s="197"/>
      <c r="F19" s="198"/>
      <c r="G19" s="199">
        <f>SUM(G17:G18)</f>
        <v>1845563</v>
      </c>
      <c r="H19" s="1314"/>
      <c r="I19" s="308"/>
      <c r="J19" s="179">
        <f>SUM(J17:J18)</f>
        <v>0</v>
      </c>
      <c r="K19" s="308">
        <f>J19/$G$19</f>
        <v>0</v>
      </c>
      <c r="L19" s="431"/>
      <c r="M19" s="179">
        <f>SUM(M17:M18)</f>
        <v>0</v>
      </c>
      <c r="N19" s="431">
        <f>M19/$G$19</f>
        <v>0</v>
      </c>
      <c r="O19" s="431"/>
      <c r="P19" s="179">
        <f>SUM(P17:P18)</f>
        <v>1845563</v>
      </c>
      <c r="Q19" s="431">
        <f>P19/$G$19</f>
        <v>1</v>
      </c>
      <c r="R19" s="431"/>
      <c r="S19" s="179">
        <f>SUM(S17:S18)</f>
        <v>0</v>
      </c>
      <c r="T19" s="431">
        <f>S19/$G$19</f>
        <v>0</v>
      </c>
      <c r="U19" s="1093">
        <f t="shared" si="0"/>
        <v>0</v>
      </c>
      <c r="V19" s="1078">
        <f t="shared" si="1"/>
        <v>1845563</v>
      </c>
      <c r="W19" s="308">
        <f t="shared" si="2"/>
        <v>1</v>
      </c>
    </row>
    <row r="20" spans="1:25" ht="30" customHeight="1" x14ac:dyDescent="0.3">
      <c r="A20" s="1314" t="s">
        <v>929</v>
      </c>
      <c r="B20" s="1486" t="s">
        <v>1100</v>
      </c>
      <c r="C20" s="383" t="s">
        <v>61</v>
      </c>
      <c r="D20" s="383" t="s">
        <v>1101</v>
      </c>
      <c r="E20" s="191">
        <v>0.5</v>
      </c>
      <c r="F20" s="192">
        <v>8009046</v>
      </c>
      <c r="G20" s="192">
        <f>ROUND((E20*F20),0)</f>
        <v>4004523</v>
      </c>
      <c r="H20" s="1314"/>
      <c r="I20" s="303">
        <v>0.5</v>
      </c>
      <c r="J20" s="304">
        <f>ROUND(I20*$F$20,0)</f>
        <v>4004523</v>
      </c>
      <c r="K20" s="305">
        <f>J20/$G$20</f>
        <v>1</v>
      </c>
      <c r="L20" s="433">
        <v>0.5</v>
      </c>
      <c r="M20" s="429">
        <f>ROUND(L20*$F$20,0)</f>
        <v>4004523</v>
      </c>
      <c r="N20" s="430">
        <f>M20/$G$20</f>
        <v>1</v>
      </c>
      <c r="O20" s="432">
        <v>0</v>
      </c>
      <c r="P20" s="425">
        <f>ROUND(O20*$F$20,0)</f>
        <v>0</v>
      </c>
      <c r="Q20" s="426">
        <f>P20/$G$20</f>
        <v>0</v>
      </c>
      <c r="R20" s="432">
        <v>0</v>
      </c>
      <c r="S20" s="425">
        <f>ROUND(R20*$F$20,0)</f>
        <v>0</v>
      </c>
      <c r="T20" s="426">
        <f>S20/$G$20</f>
        <v>0</v>
      </c>
      <c r="U20" s="416">
        <f t="shared" si="0"/>
        <v>1</v>
      </c>
      <c r="V20" s="175">
        <f t="shared" si="1"/>
        <v>8009046</v>
      </c>
      <c r="W20" s="430">
        <f t="shared" si="2"/>
        <v>2</v>
      </c>
    </row>
    <row r="21" spans="1:25" ht="15" customHeight="1" x14ac:dyDescent="0.3">
      <c r="A21" s="1314"/>
      <c r="B21" s="1486"/>
      <c r="C21" s="196"/>
      <c r="D21" s="196" t="s">
        <v>1102</v>
      </c>
      <c r="E21" s="197"/>
      <c r="F21" s="198"/>
      <c r="G21" s="199">
        <f>G20</f>
        <v>4004523</v>
      </c>
      <c r="H21" s="1314"/>
      <c r="I21" s="308"/>
      <c r="J21" s="179">
        <f>SUM(J20)</f>
        <v>4004523</v>
      </c>
      <c r="K21" s="308">
        <f>J21/$G$21</f>
        <v>1</v>
      </c>
      <c r="L21" s="431"/>
      <c r="M21" s="179">
        <f>SUM(M20)</f>
        <v>4004523</v>
      </c>
      <c r="N21" s="431">
        <f>M21/$G$21</f>
        <v>1</v>
      </c>
      <c r="O21" s="431"/>
      <c r="P21" s="179">
        <f>SUM(P20)</f>
        <v>0</v>
      </c>
      <c r="Q21" s="431">
        <f>P21/$G$21</f>
        <v>0</v>
      </c>
      <c r="R21" s="431"/>
      <c r="S21" s="179">
        <f>SUM(S20)</f>
        <v>0</v>
      </c>
      <c r="T21" s="431">
        <f>S21/$G$21</f>
        <v>0</v>
      </c>
      <c r="U21" s="1093">
        <f t="shared" si="0"/>
        <v>0</v>
      </c>
      <c r="V21" s="1078">
        <f t="shared" si="1"/>
        <v>8009046</v>
      </c>
      <c r="W21" s="308">
        <f t="shared" si="2"/>
        <v>2</v>
      </c>
    </row>
    <row r="22" spans="1:25" ht="30" customHeight="1" x14ac:dyDescent="0.3">
      <c r="A22" s="1314" t="s">
        <v>929</v>
      </c>
      <c r="B22" s="1314" t="s">
        <v>194</v>
      </c>
      <c r="C22" s="383" t="s">
        <v>160</v>
      </c>
      <c r="D22" s="383" t="s">
        <v>161</v>
      </c>
      <c r="E22" s="191">
        <v>16</v>
      </c>
      <c r="F22" s="192">
        <v>69644</v>
      </c>
      <c r="G22" s="192">
        <f>ROUND((E22*F22),0)</f>
        <v>1114304</v>
      </c>
      <c r="H22" s="1315" t="s">
        <v>1103</v>
      </c>
      <c r="I22" s="158">
        <v>0</v>
      </c>
      <c r="J22" s="194">
        <f>ROUND(I22*$F$22,0)</f>
        <v>0</v>
      </c>
      <c r="K22" s="195">
        <f>J22/$G$22</f>
        <v>0</v>
      </c>
      <c r="L22" s="432">
        <v>0</v>
      </c>
      <c r="M22" s="425">
        <f>ROUND(L22*$F$22,0)</f>
        <v>0</v>
      </c>
      <c r="N22" s="426">
        <f>M22/$G$22</f>
        <v>0</v>
      </c>
      <c r="O22" s="432">
        <v>0</v>
      </c>
      <c r="P22" s="425">
        <f>ROUND(O22*$F$22,0)</f>
        <v>0</v>
      </c>
      <c r="Q22" s="426">
        <f>P22/$G$22</f>
        <v>0</v>
      </c>
      <c r="R22" s="432">
        <v>0</v>
      </c>
      <c r="S22" s="425">
        <f>ROUND(R22*$F$22,0)</f>
        <v>0</v>
      </c>
      <c r="T22" s="426">
        <f>S22/$G$22</f>
        <v>0</v>
      </c>
      <c r="U22" s="416">
        <f t="shared" si="0"/>
        <v>0</v>
      </c>
      <c r="V22" s="175">
        <f t="shared" si="1"/>
        <v>0</v>
      </c>
      <c r="W22" s="176">
        <f t="shared" si="2"/>
        <v>0</v>
      </c>
    </row>
    <row r="23" spans="1:25" ht="15" customHeight="1" x14ac:dyDescent="0.3">
      <c r="A23" s="1314"/>
      <c r="B23" s="1314"/>
      <c r="C23" s="196"/>
      <c r="D23" s="196" t="s">
        <v>162</v>
      </c>
      <c r="E23" s="197"/>
      <c r="F23" s="198"/>
      <c r="G23" s="199">
        <f>G22</f>
        <v>1114304</v>
      </c>
      <c r="H23" s="1314"/>
      <c r="I23" s="308"/>
      <c r="J23" s="179">
        <f>SUM(J22)</f>
        <v>0</v>
      </c>
      <c r="K23" s="308">
        <f>J23/$G$23</f>
        <v>0</v>
      </c>
      <c r="L23" s="431"/>
      <c r="M23" s="179">
        <f>SUM(M22)</f>
        <v>0</v>
      </c>
      <c r="N23" s="431">
        <f>M23/$G$23</f>
        <v>0</v>
      </c>
      <c r="O23" s="431"/>
      <c r="P23" s="179">
        <f>SUM(P22)</f>
        <v>0</v>
      </c>
      <c r="Q23" s="431">
        <f>P23/$G$23</f>
        <v>0</v>
      </c>
      <c r="R23" s="431"/>
      <c r="S23" s="179">
        <f>SUM(S22)</f>
        <v>0</v>
      </c>
      <c r="T23" s="431">
        <f>S23/$G$23</f>
        <v>0</v>
      </c>
      <c r="U23" s="1093">
        <f t="shared" si="0"/>
        <v>0</v>
      </c>
      <c r="V23" s="1078">
        <f t="shared" si="1"/>
        <v>0</v>
      </c>
      <c r="W23" s="308">
        <f t="shared" si="2"/>
        <v>0</v>
      </c>
      <c r="Y23" s="140"/>
    </row>
    <row r="24" spans="1:25" ht="30" customHeight="1" x14ac:dyDescent="0.3">
      <c r="A24" s="1314" t="s">
        <v>929</v>
      </c>
      <c r="B24" s="1486" t="s">
        <v>893</v>
      </c>
      <c r="C24" s="383" t="s">
        <v>148</v>
      </c>
      <c r="D24" s="383" t="s">
        <v>894</v>
      </c>
      <c r="E24" s="191">
        <v>1</v>
      </c>
      <c r="F24" s="192">
        <v>4039345</v>
      </c>
      <c r="G24" s="192">
        <f>ROUND((E24*F24),0)</f>
        <v>4039345</v>
      </c>
      <c r="H24" s="1314" t="s">
        <v>1104</v>
      </c>
      <c r="I24" s="303">
        <v>1</v>
      </c>
      <c r="J24" s="304">
        <f>ROUND(I24*$F$24,0)</f>
        <v>4039345</v>
      </c>
      <c r="K24" s="305">
        <f>J24/$G$24</f>
        <v>1</v>
      </c>
      <c r="L24" s="432">
        <v>0</v>
      </c>
      <c r="M24" s="425">
        <f>ROUND(L24*$F$24,0)</f>
        <v>0</v>
      </c>
      <c r="N24" s="426">
        <f>M24/$G$24</f>
        <v>0</v>
      </c>
      <c r="O24" s="432">
        <v>0</v>
      </c>
      <c r="P24" s="425">
        <f>ROUND(O24*$F$24,0)</f>
        <v>0</v>
      </c>
      <c r="Q24" s="426">
        <f>P24/$G$24</f>
        <v>0</v>
      </c>
      <c r="R24" s="432">
        <v>0</v>
      </c>
      <c r="S24" s="425">
        <f>ROUND(R24*$F$24,0)</f>
        <v>0</v>
      </c>
      <c r="T24" s="426">
        <f>S24/$G$24</f>
        <v>0</v>
      </c>
      <c r="U24" s="416">
        <f t="shared" si="0"/>
        <v>1</v>
      </c>
      <c r="V24" s="175">
        <f t="shared" si="1"/>
        <v>4039345</v>
      </c>
      <c r="W24" s="176">
        <f t="shared" si="2"/>
        <v>1</v>
      </c>
      <c r="Y24" s="554"/>
    </row>
    <row r="25" spans="1:25" ht="15" customHeight="1" x14ac:dyDescent="0.3">
      <c r="A25" s="1314"/>
      <c r="B25" s="1486"/>
      <c r="C25" s="196"/>
      <c r="D25" s="196" t="s">
        <v>895</v>
      </c>
      <c r="E25" s="197"/>
      <c r="F25" s="198"/>
      <c r="G25" s="199">
        <f>G24</f>
        <v>4039345</v>
      </c>
      <c r="H25" s="1314"/>
      <c r="I25" s="308"/>
      <c r="J25" s="179">
        <f>SUM(J24)</f>
        <v>4039345</v>
      </c>
      <c r="K25" s="308">
        <f>J25/$G$25</f>
        <v>1</v>
      </c>
      <c r="L25" s="431"/>
      <c r="M25" s="179">
        <f>SUM(M24)</f>
        <v>0</v>
      </c>
      <c r="N25" s="431">
        <f>M25/$G$25</f>
        <v>0</v>
      </c>
      <c r="O25" s="431"/>
      <c r="P25" s="179">
        <f>SUM(P24)</f>
        <v>0</v>
      </c>
      <c r="Q25" s="431">
        <f>P25/$G$25</f>
        <v>0</v>
      </c>
      <c r="R25" s="431"/>
      <c r="S25" s="179">
        <f>SUM(S24)</f>
        <v>0</v>
      </c>
      <c r="T25" s="431">
        <f>S25/$G$25</f>
        <v>0</v>
      </c>
      <c r="U25" s="1093">
        <f t="shared" si="0"/>
        <v>0</v>
      </c>
      <c r="V25" s="1078">
        <f t="shared" si="1"/>
        <v>4039345</v>
      </c>
      <c r="W25" s="308">
        <f t="shared" si="2"/>
        <v>1</v>
      </c>
      <c r="Y25" s="554">
        <v>4004523</v>
      </c>
    </row>
    <row r="26" spans="1:25" ht="30" customHeight="1" x14ac:dyDescent="0.3">
      <c r="A26" s="1314" t="s">
        <v>929</v>
      </c>
      <c r="B26" s="1486" t="s">
        <v>1105</v>
      </c>
      <c r="C26" s="383" t="s">
        <v>148</v>
      </c>
      <c r="D26" s="383" t="s">
        <v>1106</v>
      </c>
      <c r="E26" s="191">
        <v>2</v>
      </c>
      <c r="F26" s="192">
        <v>2925042</v>
      </c>
      <c r="G26" s="192">
        <f>ROUND((E26*F26),0)</f>
        <v>5850084</v>
      </c>
      <c r="H26" s="1314" t="s">
        <v>1107</v>
      </c>
      <c r="I26" s="158">
        <v>0</v>
      </c>
      <c r="J26" s="194">
        <f>ROUND(I26*$F$26,0)</f>
        <v>0</v>
      </c>
      <c r="K26" s="195">
        <f>J26/$G$26</f>
        <v>0</v>
      </c>
      <c r="L26" s="433">
        <v>2</v>
      </c>
      <c r="M26" s="429">
        <f>ROUND(L26*$F$26,0)</f>
        <v>5850084</v>
      </c>
      <c r="N26" s="430">
        <f>M26/$G$26</f>
        <v>1</v>
      </c>
      <c r="O26" s="432">
        <v>0</v>
      </c>
      <c r="P26" s="425">
        <f>ROUND(O26*$F$26,0)</f>
        <v>0</v>
      </c>
      <c r="Q26" s="426">
        <f>P26/$G$26</f>
        <v>0</v>
      </c>
      <c r="R26" s="432">
        <v>0</v>
      </c>
      <c r="S26" s="425">
        <f>ROUND(R26*$F$26,0)</f>
        <v>0</v>
      </c>
      <c r="T26" s="426">
        <f>S26/$G$26</f>
        <v>0</v>
      </c>
      <c r="U26" s="416">
        <f t="shared" si="0"/>
        <v>2</v>
      </c>
      <c r="V26" s="175">
        <f t="shared" si="1"/>
        <v>5850084</v>
      </c>
      <c r="W26" s="176">
        <f t="shared" si="2"/>
        <v>1</v>
      </c>
      <c r="Y26" s="516">
        <v>5606332</v>
      </c>
    </row>
    <row r="27" spans="1:25" ht="15" customHeight="1" x14ac:dyDescent="0.3">
      <c r="A27" s="1314"/>
      <c r="B27" s="1486"/>
      <c r="C27" s="196"/>
      <c r="D27" s="196" t="s">
        <v>1108</v>
      </c>
      <c r="E27" s="197"/>
      <c r="F27" s="198"/>
      <c r="G27" s="199">
        <f>G26</f>
        <v>5850084</v>
      </c>
      <c r="H27" s="1314"/>
      <c r="I27" s="308"/>
      <c r="J27" s="179">
        <f>SUM(J26)</f>
        <v>0</v>
      </c>
      <c r="K27" s="308">
        <f>J27/$G$27</f>
        <v>0</v>
      </c>
      <c r="L27" s="431"/>
      <c r="M27" s="179">
        <f>SUM(M26)</f>
        <v>5850084</v>
      </c>
      <c r="N27" s="431">
        <f>M27/$G$27</f>
        <v>1</v>
      </c>
      <c r="O27" s="431"/>
      <c r="P27" s="179">
        <f>SUM(P26)</f>
        <v>0</v>
      </c>
      <c r="Q27" s="431">
        <f>P27/$G$27</f>
        <v>0</v>
      </c>
      <c r="R27" s="431"/>
      <c r="S27" s="179">
        <f>SUM(S26)</f>
        <v>0</v>
      </c>
      <c r="T27" s="431">
        <f>S27/$G$27</f>
        <v>0</v>
      </c>
      <c r="U27" s="1093">
        <f t="shared" si="0"/>
        <v>0</v>
      </c>
      <c r="V27" s="1078">
        <f t="shared" si="1"/>
        <v>5850084</v>
      </c>
      <c r="W27" s="308">
        <f t="shared" si="2"/>
        <v>1</v>
      </c>
      <c r="Y27" s="554">
        <f>+Y26-Y25</f>
        <v>1601809</v>
      </c>
    </row>
    <row r="28" spans="1:25" ht="30" customHeight="1" x14ac:dyDescent="0.3">
      <c r="A28" s="1314" t="s">
        <v>929</v>
      </c>
      <c r="B28" s="1314" t="s">
        <v>679</v>
      </c>
      <c r="C28" s="383" t="s">
        <v>680</v>
      </c>
      <c r="D28" s="383" t="s">
        <v>681</v>
      </c>
      <c r="E28" s="191">
        <v>1</v>
      </c>
      <c r="F28" s="192">
        <v>5606332</v>
      </c>
      <c r="G28" s="192">
        <f>ROUND((E28*F28),0)</f>
        <v>5606332</v>
      </c>
      <c r="H28" s="1315" t="s">
        <v>1109</v>
      </c>
      <c r="I28" s="158">
        <v>0</v>
      </c>
      <c r="J28" s="194">
        <f>ROUND(I28*$F$28,0)</f>
        <v>0</v>
      </c>
      <c r="K28" s="195">
        <f>J28/$G$28</f>
        <v>0</v>
      </c>
      <c r="L28" s="432">
        <v>0</v>
      </c>
      <c r="M28" s="425">
        <f>ROUND(L28*$F$28,0)</f>
        <v>0</v>
      </c>
      <c r="N28" s="426">
        <f>M28/$G$28</f>
        <v>0</v>
      </c>
      <c r="O28" s="415">
        <v>0.28571426023289381</v>
      </c>
      <c r="P28" s="429">
        <f>ROUND(O28*$F$28,0)</f>
        <v>1601809</v>
      </c>
      <c r="Q28" s="430">
        <f>P28/$G$28</f>
        <v>0.28571426023289381</v>
      </c>
      <c r="R28" s="432">
        <v>0</v>
      </c>
      <c r="S28" s="425">
        <f>ROUND(R28*$F$28,0)</f>
        <v>0</v>
      </c>
      <c r="T28" s="426">
        <f>S28/$G$28</f>
        <v>0</v>
      </c>
      <c r="U28" s="416">
        <f t="shared" si="0"/>
        <v>0.28571426023289381</v>
      </c>
      <c r="V28" s="175">
        <f t="shared" si="1"/>
        <v>1601809</v>
      </c>
      <c r="W28" s="176">
        <f t="shared" si="2"/>
        <v>0.28571426023289381</v>
      </c>
      <c r="Y28" s="555">
        <f>+Y27/Y26</f>
        <v>0.28571426023289381</v>
      </c>
    </row>
    <row r="29" spans="1:25" ht="15" customHeight="1" x14ac:dyDescent="0.3">
      <c r="A29" s="1314"/>
      <c r="B29" s="1314"/>
      <c r="C29" s="196"/>
      <c r="D29" s="196" t="s">
        <v>682</v>
      </c>
      <c r="E29" s="198"/>
      <c r="F29" s="198"/>
      <c r="G29" s="199">
        <f>G28</f>
        <v>5606332</v>
      </c>
      <c r="H29" s="1314"/>
      <c r="I29" s="308"/>
      <c r="J29" s="179">
        <f>SUM(J28)</f>
        <v>0</v>
      </c>
      <c r="K29" s="308">
        <f>J29/$G$29</f>
        <v>0</v>
      </c>
      <c r="L29" s="431"/>
      <c r="M29" s="179">
        <f>SUM(M28)</f>
        <v>0</v>
      </c>
      <c r="N29" s="431">
        <f>M29/$G$29</f>
        <v>0</v>
      </c>
      <c r="O29" s="431"/>
      <c r="P29" s="179">
        <f>SUM(P28)</f>
        <v>1601809</v>
      </c>
      <c r="Q29" s="431">
        <f>P29/$G$29</f>
        <v>0.28571426023289381</v>
      </c>
      <c r="R29" s="431"/>
      <c r="S29" s="179">
        <f>SUM(S28)</f>
        <v>0</v>
      </c>
      <c r="T29" s="431">
        <f>S29/$G$29</f>
        <v>0</v>
      </c>
      <c r="U29" s="306"/>
      <c r="V29" s="1078">
        <f t="shared" si="1"/>
        <v>1601809</v>
      </c>
      <c r="W29" s="308">
        <f t="shared" si="2"/>
        <v>0.28571426023289381</v>
      </c>
      <c r="Y29" s="554"/>
    </row>
    <row r="30" spans="1:25" x14ac:dyDescent="0.3">
      <c r="C30" s="386"/>
      <c r="F30" s="151" t="s">
        <v>64</v>
      </c>
      <c r="G30" s="181">
        <f>SUM(G14:G29)/2</f>
        <v>24215177</v>
      </c>
      <c r="I30" s="151" t="s">
        <v>64</v>
      </c>
      <c r="J30" s="181">
        <f>SUM(J14:J29)/2</f>
        <v>8043868</v>
      </c>
      <c r="K30" s="131">
        <f>J30/$G$30</f>
        <v>0.33218291156822849</v>
      </c>
      <c r="L30" s="480" t="s">
        <v>64</v>
      </c>
      <c r="M30" s="481">
        <f>SUM(M14:M29)/2</f>
        <v>11609633</v>
      </c>
      <c r="N30" s="131">
        <f>M30/$G$30</f>
        <v>0.47943622299353833</v>
      </c>
      <c r="O30" s="480" t="s">
        <v>64</v>
      </c>
      <c r="P30" s="481">
        <f>SUM(P14:P29)/2</f>
        <v>3447372</v>
      </c>
      <c r="R30" s="480" t="s">
        <v>64</v>
      </c>
      <c r="S30" s="481">
        <f>SUM(S14:S29)/2</f>
        <v>0</v>
      </c>
      <c r="U30" s="480" t="s">
        <v>64</v>
      </c>
      <c r="V30" s="481">
        <f>SUM(V14:V29)/2</f>
        <v>23100873</v>
      </c>
      <c r="Y30" s="338"/>
    </row>
    <row r="31" spans="1:25" ht="26.4" x14ac:dyDescent="0.3">
      <c r="C31" s="386"/>
      <c r="F31" s="153" t="s">
        <v>65</v>
      </c>
      <c r="G31" s="182">
        <v>0</v>
      </c>
      <c r="I31" s="153" t="s">
        <v>65</v>
      </c>
      <c r="J31" s="182">
        <v>0</v>
      </c>
      <c r="L31" s="482" t="s">
        <v>65</v>
      </c>
      <c r="M31" s="483">
        <v>0</v>
      </c>
      <c r="O31" s="482" t="s">
        <v>65</v>
      </c>
      <c r="P31" s="483">
        <v>0</v>
      </c>
      <c r="R31" s="482" t="s">
        <v>65</v>
      </c>
      <c r="S31" s="483">
        <v>0</v>
      </c>
      <c r="U31" s="482" t="s">
        <v>65</v>
      </c>
      <c r="V31" s="483">
        <v>0</v>
      </c>
      <c r="Y31" s="557">
        <f>+P28+Y25</f>
        <v>5606332</v>
      </c>
    </row>
    <row r="32" spans="1:25" x14ac:dyDescent="0.3">
      <c r="C32" s="386"/>
      <c r="F32" s="152" t="s">
        <v>64</v>
      </c>
      <c r="G32" s="182">
        <f>+G30+G31</f>
        <v>24215177</v>
      </c>
      <c r="I32" s="152" t="s">
        <v>64</v>
      </c>
      <c r="J32" s="182">
        <f>+J30+J31</f>
        <v>8043868</v>
      </c>
      <c r="L32" s="152" t="s">
        <v>64</v>
      </c>
      <c r="M32" s="182">
        <f>+M30+M31</f>
        <v>11609633</v>
      </c>
      <c r="O32" s="484" t="s">
        <v>64</v>
      </c>
      <c r="P32" s="483">
        <f>+P30+P31</f>
        <v>3447372</v>
      </c>
      <c r="R32" s="484" t="s">
        <v>64</v>
      </c>
      <c r="S32" s="483">
        <f>+S30+S31</f>
        <v>0</v>
      </c>
      <c r="U32" s="484" t="s">
        <v>64</v>
      </c>
      <c r="V32" s="483">
        <f>+V30+V31</f>
        <v>23100873</v>
      </c>
      <c r="Y32" s="556"/>
    </row>
    <row r="33" spans="1:23" ht="39.6" x14ac:dyDescent="0.3">
      <c r="C33" s="386"/>
      <c r="F33" s="152"/>
      <c r="G33" s="182"/>
      <c r="I33" s="152"/>
      <c r="J33" s="182"/>
      <c r="L33" s="484"/>
      <c r="M33" s="483"/>
      <c r="O33" s="484" t="s">
        <v>1439</v>
      </c>
      <c r="P33" s="483">
        <f>ROUND(P32*0.015,0)</f>
        <v>51711</v>
      </c>
      <c r="R33" s="484" t="s">
        <v>1439</v>
      </c>
      <c r="S33" s="483">
        <f>ROUND(S32*0.015,0)</f>
        <v>0</v>
      </c>
      <c r="U33" s="484" t="s">
        <v>1439</v>
      </c>
      <c r="V33" s="483">
        <f>+P33</f>
        <v>51711</v>
      </c>
    </row>
    <row r="34" spans="1:23" ht="39.6" x14ac:dyDescent="0.3">
      <c r="C34" s="386"/>
      <c r="F34" s="152"/>
      <c r="G34" s="182"/>
      <c r="I34" s="152"/>
      <c r="J34" s="182"/>
      <c r="L34" s="484"/>
      <c r="M34" s="483"/>
      <c r="O34" s="152" t="s">
        <v>1440</v>
      </c>
      <c r="P34" s="182">
        <f>P32+P33</f>
        <v>3499083</v>
      </c>
      <c r="Q34" s="546">
        <f>P34/$G$30</f>
        <v>0.14449958387667372</v>
      </c>
      <c r="R34" s="152" t="s">
        <v>1440</v>
      </c>
      <c r="S34" s="182">
        <f>S32+S33</f>
        <v>0</v>
      </c>
      <c r="T34" s="546">
        <f>S34/$G$30</f>
        <v>0</v>
      </c>
      <c r="U34" s="152" t="s">
        <v>1440</v>
      </c>
      <c r="V34" s="182">
        <f>V32+V33</f>
        <v>23152584</v>
      </c>
      <c r="W34" s="546">
        <f>V34/G30</f>
        <v>0.95611871843844054</v>
      </c>
    </row>
    <row r="35" spans="1:23" x14ac:dyDescent="0.3">
      <c r="C35" s="386"/>
      <c r="F35" s="154" t="s">
        <v>66</v>
      </c>
      <c r="G35" s="182">
        <f>+G32*19%</f>
        <v>4600883.63</v>
      </c>
      <c r="I35" s="154" t="s">
        <v>66</v>
      </c>
      <c r="J35" s="182">
        <f>+J32*19%</f>
        <v>1528334.92</v>
      </c>
      <c r="L35" s="485" t="s">
        <v>66</v>
      </c>
      <c r="M35" s="483">
        <f>+M32*19%</f>
        <v>2205830.27</v>
      </c>
      <c r="O35" s="485" t="s">
        <v>66</v>
      </c>
      <c r="P35" s="483">
        <f>ROUND(P34*0.19,0)</f>
        <v>664826</v>
      </c>
      <c r="R35" s="485" t="s">
        <v>66</v>
      </c>
      <c r="S35" s="483">
        <f>ROUND(S34*0.19,0)</f>
        <v>0</v>
      </c>
      <c r="U35" s="485" t="s">
        <v>66</v>
      </c>
      <c r="V35" s="483">
        <f>ROUND(V34*0.19,0)</f>
        <v>4398991</v>
      </c>
    </row>
    <row r="36" spans="1:23" x14ac:dyDescent="0.3">
      <c r="C36" s="386"/>
      <c r="F36" s="155" t="s">
        <v>69</v>
      </c>
      <c r="G36" s="181">
        <f>+G32+G35</f>
        <v>28816060.629999999</v>
      </c>
      <c r="I36" s="155" t="s">
        <v>69</v>
      </c>
      <c r="J36" s="181">
        <f>+J32+J35</f>
        <v>9572202.9199999999</v>
      </c>
      <c r="L36" s="545" t="s">
        <v>69</v>
      </c>
      <c r="M36" s="481">
        <f>+M32+M35</f>
        <v>13815463.27</v>
      </c>
      <c r="O36" s="545" t="s">
        <v>69</v>
      </c>
      <c r="P36" s="481">
        <f>P34+P35</f>
        <v>4163909</v>
      </c>
      <c r="R36" s="545" t="s">
        <v>69</v>
      </c>
      <c r="S36" s="481">
        <f>S34+S35</f>
        <v>0</v>
      </c>
      <c r="U36" s="545" t="s">
        <v>69</v>
      </c>
      <c r="V36" s="481">
        <f>V34+V35</f>
        <v>27551575</v>
      </c>
    </row>
    <row r="37" spans="1:23" x14ac:dyDescent="0.3">
      <c r="C37" s="386"/>
    </row>
    <row r="38" spans="1:23" x14ac:dyDescent="0.3">
      <c r="A38" s="183" t="s">
        <v>67</v>
      </c>
      <c r="B38" s="184"/>
      <c r="C38" s="184"/>
      <c r="D38" s="185" t="s">
        <v>68</v>
      </c>
      <c r="I38" s="186" t="s">
        <v>70</v>
      </c>
      <c r="J38" s="187" t="s">
        <v>71</v>
      </c>
      <c r="K38" s="186" t="s">
        <v>58</v>
      </c>
      <c r="L38" s="186" t="s">
        <v>70</v>
      </c>
      <c r="M38" s="187" t="s">
        <v>71</v>
      </c>
      <c r="N38" s="186" t="s">
        <v>58</v>
      </c>
      <c r="O38" s="186" t="s">
        <v>70</v>
      </c>
      <c r="P38" s="187" t="s">
        <v>71</v>
      </c>
      <c r="Q38" s="186" t="s">
        <v>58</v>
      </c>
      <c r="R38" s="186" t="s">
        <v>70</v>
      </c>
      <c r="S38" s="187" t="s">
        <v>71</v>
      </c>
      <c r="T38" s="186" t="s">
        <v>58</v>
      </c>
    </row>
    <row r="39" spans="1:23" x14ac:dyDescent="0.3">
      <c r="A39" s="183"/>
      <c r="B39" s="184"/>
      <c r="C39" s="184"/>
      <c r="D39" s="185"/>
      <c r="I39" s="69" t="s">
        <v>72</v>
      </c>
      <c r="J39" s="70">
        <f>$J$30</f>
        <v>8043868</v>
      </c>
      <c r="K39" s="71">
        <f>$K$30</f>
        <v>0.33218291156822849</v>
      </c>
      <c r="L39" s="69" t="s">
        <v>72</v>
      </c>
      <c r="M39" s="70">
        <f>$J$30</f>
        <v>8043868</v>
      </c>
      <c r="N39" s="71">
        <f>$K$30</f>
        <v>0.33218291156822849</v>
      </c>
      <c r="O39" s="69" t="s">
        <v>72</v>
      </c>
      <c r="P39" s="70">
        <f>$J$30</f>
        <v>8043868</v>
      </c>
      <c r="Q39" s="71">
        <f>$K$30</f>
        <v>0.33218291156822849</v>
      </c>
      <c r="R39" s="69" t="s">
        <v>72</v>
      </c>
      <c r="S39" s="70">
        <f>$J$30</f>
        <v>8043868</v>
      </c>
      <c r="T39" s="71">
        <f>$K$30</f>
        <v>0.33218291156822849</v>
      </c>
    </row>
    <row r="40" spans="1:23" x14ac:dyDescent="0.3">
      <c r="A40" s="183"/>
      <c r="B40" s="184"/>
      <c r="C40" s="184"/>
      <c r="D40" s="185"/>
      <c r="I40" s="69"/>
      <c r="J40" s="70"/>
      <c r="K40" s="71"/>
      <c r="L40" s="69" t="s">
        <v>73</v>
      </c>
      <c r="M40" s="70">
        <f>$M$30</f>
        <v>11609633</v>
      </c>
      <c r="N40" s="71">
        <f>$N$30</f>
        <v>0.47943622299353833</v>
      </c>
      <c r="O40" s="69" t="s">
        <v>73</v>
      </c>
      <c r="P40" s="70">
        <f>$M$30</f>
        <v>11609633</v>
      </c>
      <c r="Q40" s="71">
        <f>$N$30</f>
        <v>0.47943622299353833</v>
      </c>
      <c r="R40" s="69" t="s">
        <v>73</v>
      </c>
      <c r="S40" s="70">
        <f>$M$30</f>
        <v>11609633</v>
      </c>
      <c r="T40" s="71">
        <f>$N$30</f>
        <v>0.47943622299353833</v>
      </c>
    </row>
    <row r="41" spans="1:23" x14ac:dyDescent="0.3">
      <c r="A41" s="183"/>
      <c r="B41" s="184"/>
      <c r="C41" s="184"/>
      <c r="D41" s="185"/>
      <c r="I41" s="69"/>
      <c r="J41" s="70"/>
      <c r="K41" s="71"/>
      <c r="L41" s="69"/>
      <c r="M41" s="70"/>
      <c r="N41" s="71"/>
      <c r="O41" s="69" t="s">
        <v>74</v>
      </c>
      <c r="P41" s="70">
        <f>$P$34</f>
        <v>3499083</v>
      </c>
      <c r="Q41" s="71">
        <f>$Q$34</f>
        <v>0.14449958387667372</v>
      </c>
      <c r="R41" s="69" t="s">
        <v>74</v>
      </c>
      <c r="S41" s="70">
        <f>$P$34</f>
        <v>3499083</v>
      </c>
      <c r="T41" s="71">
        <f>$Q$34</f>
        <v>0.14449958387667372</v>
      </c>
    </row>
    <row r="42" spans="1:23" x14ac:dyDescent="0.3">
      <c r="A42" s="183"/>
      <c r="B42" s="184"/>
      <c r="C42" s="184"/>
      <c r="D42" s="185"/>
      <c r="I42" s="72" t="s">
        <v>1</v>
      </c>
      <c r="J42" s="105">
        <f>SUM(J39:J39)</f>
        <v>8043868</v>
      </c>
      <c r="K42" s="73">
        <f>SUM(K39:K39)</f>
        <v>0.33218291156822849</v>
      </c>
      <c r="L42" s="72" t="s">
        <v>1</v>
      </c>
      <c r="M42" s="105">
        <f>SUM(M39:M40)</f>
        <v>19653501</v>
      </c>
      <c r="N42" s="73">
        <f>SUM(N39:N40)</f>
        <v>0.81161913456176682</v>
      </c>
      <c r="O42" s="72" t="s">
        <v>1</v>
      </c>
      <c r="P42" s="105">
        <f>SUM(P39:P41)</f>
        <v>23152584</v>
      </c>
      <c r="Q42" s="73">
        <f>SUM(Q39:Q41)</f>
        <v>0.95611871843844054</v>
      </c>
      <c r="R42" s="69" t="s">
        <v>155</v>
      </c>
      <c r="S42" s="70">
        <f>$S$34</f>
        <v>0</v>
      </c>
      <c r="T42" s="71">
        <f>$T$34</f>
        <v>0</v>
      </c>
    </row>
    <row r="43" spans="1:23" x14ac:dyDescent="0.3">
      <c r="A43" s="183"/>
      <c r="B43" s="184"/>
      <c r="C43" s="184"/>
      <c r="D43" s="185"/>
      <c r="I43" s="72" t="s">
        <v>9</v>
      </c>
      <c r="J43" s="1285"/>
      <c r="K43" s="1286"/>
      <c r="L43" s="72" t="s">
        <v>9</v>
      </c>
      <c r="M43" s="1285"/>
      <c r="N43" s="1286"/>
      <c r="O43" s="72" t="s">
        <v>9</v>
      </c>
      <c r="P43" s="1285"/>
      <c r="Q43" s="1286"/>
      <c r="R43" s="72" t="s">
        <v>1</v>
      </c>
      <c r="S43" s="105">
        <f>SUM(S39:S42)</f>
        <v>23152584</v>
      </c>
      <c r="T43" s="73">
        <f>SUM(T39:T42)</f>
        <v>0.95611871843844054</v>
      </c>
    </row>
    <row r="44" spans="1:23" x14ac:dyDescent="0.3">
      <c r="A44" s="183"/>
      <c r="B44" s="184"/>
      <c r="C44" s="184"/>
      <c r="D44" s="185"/>
      <c r="I44" s="156" t="s">
        <v>78</v>
      </c>
      <c r="J44" s="1285" t="s">
        <v>930</v>
      </c>
      <c r="K44" s="1286"/>
      <c r="L44" s="156" t="s">
        <v>78</v>
      </c>
      <c r="M44" s="1285" t="s">
        <v>930</v>
      </c>
      <c r="N44" s="1286"/>
      <c r="O44" s="156" t="s">
        <v>78</v>
      </c>
      <c r="P44" s="1285" t="s">
        <v>930</v>
      </c>
      <c r="Q44" s="1286"/>
      <c r="R44" s="72" t="s">
        <v>9</v>
      </c>
      <c r="S44" s="1285"/>
      <c r="T44" s="1286"/>
    </row>
    <row r="45" spans="1:23" x14ac:dyDescent="0.3">
      <c r="A45" s="183"/>
      <c r="B45" s="184"/>
      <c r="C45" s="184"/>
      <c r="D45" s="185"/>
      <c r="I45" s="157" t="s">
        <v>8</v>
      </c>
      <c r="J45" s="1285" t="s">
        <v>931</v>
      </c>
      <c r="K45" s="1286"/>
      <c r="L45" s="157" t="s">
        <v>8</v>
      </c>
      <c r="M45" s="1285" t="s">
        <v>931</v>
      </c>
      <c r="N45" s="1286"/>
      <c r="O45" s="157" t="s">
        <v>8</v>
      </c>
      <c r="P45" s="1285" t="s">
        <v>931</v>
      </c>
      <c r="Q45" s="1286"/>
      <c r="R45" s="156" t="s">
        <v>78</v>
      </c>
      <c r="S45" s="1285" t="s">
        <v>930</v>
      </c>
      <c r="T45" s="1286"/>
    </row>
    <row r="46" spans="1:23" x14ac:dyDescent="0.3">
      <c r="A46" s="183"/>
      <c r="B46" s="184"/>
      <c r="C46" s="184"/>
      <c r="D46" s="185" t="s">
        <v>75</v>
      </c>
      <c r="R46" s="157" t="s">
        <v>8</v>
      </c>
      <c r="S46" s="1285" t="s">
        <v>931</v>
      </c>
      <c r="T46" s="1286"/>
    </row>
    <row r="47" spans="1:23" x14ac:dyDescent="0.3">
      <c r="A47" s="183" t="s">
        <v>76</v>
      </c>
      <c r="B47" s="180"/>
      <c r="C47" s="180"/>
      <c r="D47" s="185" t="s">
        <v>77</v>
      </c>
      <c r="I47" s="516"/>
    </row>
    <row r="48" spans="1:23" ht="26.4" x14ac:dyDescent="0.3">
      <c r="A48" s="183" t="s">
        <v>79</v>
      </c>
      <c r="B48" s="180"/>
      <c r="C48" s="180"/>
      <c r="D48" s="185" t="s">
        <v>80</v>
      </c>
    </row>
  </sheetData>
  <sheetProtection formatCells="0" formatColumns="0" formatRows="0" insertColumns="0" insertRows="0" insertHyperlinks="0" deleteColumns="0" deleteRows="0" sort="0" autoFilter="0" pivotTables="0"/>
  <mergeCells count="51">
    <mergeCell ref="P44:Q44"/>
    <mergeCell ref="P45:Q45"/>
    <mergeCell ref="C1:Q2"/>
    <mergeCell ref="J43:K43"/>
    <mergeCell ref="J44:K44"/>
    <mergeCell ref="J45:K45"/>
    <mergeCell ref="A9:W9"/>
    <mergeCell ref="A10:W10"/>
    <mergeCell ref="B11:H11"/>
    <mergeCell ref="I11:K12"/>
    <mergeCell ref="U11:W12"/>
    <mergeCell ref="B12:H12"/>
    <mergeCell ref="A14:A16"/>
    <mergeCell ref="B14:B16"/>
    <mergeCell ref="H14:H16"/>
    <mergeCell ref="A17:A19"/>
    <mergeCell ref="B17:B19"/>
    <mergeCell ref="H17:H19"/>
    <mergeCell ref="B22:B23"/>
    <mergeCell ref="A6:W6"/>
    <mergeCell ref="A20:A21"/>
    <mergeCell ref="B20:B21"/>
    <mergeCell ref="H20:H21"/>
    <mergeCell ref="A22:A23"/>
    <mergeCell ref="L11:N12"/>
    <mergeCell ref="O11:Q12"/>
    <mergeCell ref="H22:H23"/>
    <mergeCell ref="A7:W7"/>
    <mergeCell ref="A8:W8"/>
    <mergeCell ref="R11:T12"/>
    <mergeCell ref="U1:W1"/>
    <mergeCell ref="U2:W2"/>
    <mergeCell ref="A3:W3"/>
    <mergeCell ref="A4:W4"/>
    <mergeCell ref="A5:W5"/>
    <mergeCell ref="S44:T44"/>
    <mergeCell ref="S45:T45"/>
    <mergeCell ref="S46:T46"/>
    <mergeCell ref="A24:A25"/>
    <mergeCell ref="B24:B25"/>
    <mergeCell ref="H24:H25"/>
    <mergeCell ref="A26:A27"/>
    <mergeCell ref="B26:B27"/>
    <mergeCell ref="H26:H27"/>
    <mergeCell ref="M43:N43"/>
    <mergeCell ref="M44:N44"/>
    <mergeCell ref="M45:N45"/>
    <mergeCell ref="A28:A29"/>
    <mergeCell ref="B28:B29"/>
    <mergeCell ref="H28:H29"/>
    <mergeCell ref="P43:Q43"/>
  </mergeCells>
  <pageMargins left="0.7" right="0.7" top="0.75" bottom="0.75" header="0.3" footer="0.3"/>
  <pageSetup scale="63" orientation="landscape" r:id="rId1"/>
  <drawing r:id="rId2"/>
  <legacyDrawing r:id="rId3"/>
  <legacyDrawingHF r:id="rId4"/>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6">
    <tabColor theme="1"/>
  </sheetPr>
  <dimension ref="A1:G49"/>
  <sheetViews>
    <sheetView topLeftCell="A10"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RESUMEN!G56</f>
        <v>Proyecto: CDIE_CBCCSM_R0158, NORMALIZACIÓN SE MTMT Ingeniería Montaje Reconectador Subestación ESPERANZA para desarrollo de Ingeniería e implementación Reconectadores de entrada y Salida. Reconectador Transformador</v>
      </c>
      <c r="C5" s="1281"/>
      <c r="D5" s="1281"/>
      <c r="E5" s="1281"/>
      <c r="F5" s="1281"/>
      <c r="G5" s="1282"/>
    </row>
    <row r="6" spans="1:7" x14ac:dyDescent="0.25">
      <c r="A6" s="1177"/>
      <c r="B6" s="1177"/>
      <c r="C6" s="1177"/>
      <c r="D6" s="1177"/>
      <c r="E6" s="1177"/>
      <c r="F6" s="1177"/>
      <c r="G6" s="1177"/>
    </row>
    <row r="7" spans="1:7" x14ac:dyDescent="0.25">
      <c r="A7" s="271" t="s">
        <v>0</v>
      </c>
      <c r="B7" s="1264" t="str">
        <f>RESUMEN!B56</f>
        <v>D00249260</v>
      </c>
      <c r="C7" s="1265"/>
      <c r="D7" s="1177"/>
      <c r="E7" s="1266" t="s">
        <v>627</v>
      </c>
      <c r="F7" s="1267"/>
      <c r="G7" s="280" t="str">
        <f>RESUMEN!E56</f>
        <v>17-269</v>
      </c>
    </row>
    <row r="8" spans="1:7" x14ac:dyDescent="0.25">
      <c r="A8" s="271" t="s">
        <v>628</v>
      </c>
      <c r="B8" s="1264" t="str">
        <f>RESUMEN!C56</f>
        <v>D00249260000</v>
      </c>
      <c r="C8" s="1265"/>
      <c r="D8" s="1177"/>
      <c r="E8" s="1266" t="s">
        <v>629</v>
      </c>
      <c r="F8" s="1267"/>
      <c r="G8" s="280" t="str">
        <f>RESUMEN!U56</f>
        <v>Acta N° 2: Febrero</v>
      </c>
    </row>
    <row r="9" spans="1:7" x14ac:dyDescent="0.25">
      <c r="A9" s="271" t="s">
        <v>630</v>
      </c>
      <c r="B9" s="1283" t="s">
        <v>631</v>
      </c>
      <c r="C9" s="1265"/>
      <c r="D9" s="1177"/>
      <c r="E9" s="1266" t="s">
        <v>632</v>
      </c>
      <c r="F9" s="1267"/>
      <c r="G9" s="1178">
        <f>RESUMEN!H56</f>
        <v>8872631</v>
      </c>
    </row>
    <row r="10" spans="1:7" x14ac:dyDescent="0.25">
      <c r="A10" s="271" t="s">
        <v>633</v>
      </c>
      <c r="B10" s="1283" t="str">
        <f>RESUMEN!D56</f>
        <v>ESPERANZA</v>
      </c>
      <c r="C10" s="1265"/>
      <c r="D10" s="1177"/>
      <c r="E10" s="1266" t="s">
        <v>634</v>
      </c>
      <c r="F10" s="1267"/>
      <c r="G10" s="1178">
        <f>RESUMEN!R56</f>
        <v>2603994</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",RESUMEN!G56)</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 Ingeniería Montaje Reconectador Subestación ESPERANZA para desarrollo de Ingeniería e implementación Reconectadores de entrada y Salida. Reconectador Transformador</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RESUMEN!N56</f>
        <v>2565511</v>
      </c>
      <c r="F19" s="1248"/>
      <c r="G19" s="1177"/>
    </row>
    <row r="20" spans="1:7" ht="27" customHeight="1" x14ac:dyDescent="0.25">
      <c r="A20" s="1177"/>
      <c r="B20" s="1244" t="s">
        <v>1498</v>
      </c>
      <c r="C20" s="1245"/>
      <c r="D20" s="1246"/>
      <c r="E20" s="1247">
        <f>RESUMEN!P56</f>
        <v>0</v>
      </c>
      <c r="F20" s="1248"/>
      <c r="G20" s="1177"/>
    </row>
    <row r="21" spans="1:7" ht="27" customHeight="1" x14ac:dyDescent="0.25">
      <c r="A21" s="1177"/>
      <c r="B21" s="1244" t="s">
        <v>1499</v>
      </c>
      <c r="C21" s="1245"/>
      <c r="D21" s="1246"/>
      <c r="E21" s="1247">
        <f>RESUMEN!Q56</f>
        <v>38483</v>
      </c>
      <c r="F21" s="1248"/>
      <c r="G21" s="1177"/>
    </row>
    <row r="22" spans="1:7" x14ac:dyDescent="0.25">
      <c r="A22" s="1177"/>
      <c r="B22" s="1254" t="s">
        <v>64</v>
      </c>
      <c r="C22" s="1254"/>
      <c r="D22" s="1254"/>
      <c r="E22" s="1255">
        <f>RESUMEN!R56</f>
        <v>2603994</v>
      </c>
      <c r="F22" s="1255"/>
      <c r="G22" s="1177"/>
    </row>
    <row r="23" spans="1:7" x14ac:dyDescent="0.25">
      <c r="A23" s="1177"/>
      <c r="B23" s="1256" t="s">
        <v>66</v>
      </c>
      <c r="C23" s="1256"/>
      <c r="D23" s="1256"/>
      <c r="E23" s="1257">
        <f>RESUMEN!S56</f>
        <v>494759</v>
      </c>
      <c r="F23" s="1257"/>
      <c r="G23" s="1177"/>
    </row>
    <row r="24" spans="1:7" x14ac:dyDescent="0.25">
      <c r="A24" s="1177"/>
      <c r="B24" s="1258" t="s">
        <v>1</v>
      </c>
      <c r="C24" s="1258"/>
      <c r="D24" s="1258"/>
      <c r="E24" s="1259">
        <f>RESUMEN!T56</f>
        <v>3098753</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+'OT17-269 ESPERANZA'!N27</f>
        <v>ACTA 1</v>
      </c>
      <c r="C28" s="1253">
        <f>+'OT17-269 ESPERANZA'!O27</f>
        <v>6431613</v>
      </c>
      <c r="D28" s="1253"/>
      <c r="E28" s="267">
        <f>+'OT17-269 ESPERANZA'!P27</f>
        <v>0.72488228125344101</v>
      </c>
      <c r="F28" s="1177"/>
      <c r="G28" s="1177"/>
    </row>
    <row r="29" spans="1:7" x14ac:dyDescent="0.25">
      <c r="A29" s="1177"/>
      <c r="B29" s="280" t="str">
        <f>+'OT17-269 ESPERANZA'!N28</f>
        <v>ACTA 2</v>
      </c>
      <c r="C29" s="1253">
        <f>+'OT17-269 ESPERANZA'!O28</f>
        <v>2603994</v>
      </c>
      <c r="D29" s="1253"/>
      <c r="E29" s="267">
        <f>+'OT17-269 ESPERANZA'!P28</f>
        <v>0.29348611477249531</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9035607</v>
      </c>
      <c r="D34" s="1251"/>
      <c r="E34" s="264">
        <f>SUM(E28:E33)</f>
        <v>1.0183683960259362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RESUMEN!V56</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7">
    <tabColor rgb="FF72104A"/>
  </sheetPr>
  <dimension ref="A1:S35"/>
  <sheetViews>
    <sheetView view="pageBreakPreview" zoomScale="60" zoomScaleNormal="70" workbookViewId="0">
      <selection activeCell="O41" sqref="O41"/>
    </sheetView>
  </sheetViews>
  <sheetFormatPr baseColWidth="10" defaultColWidth="9.109375" defaultRowHeight="14.4" x14ac:dyDescent="0.3"/>
  <cols>
    <col min="1" max="1" width="14.109375" style="189" customWidth="1"/>
    <col min="2" max="2" width="24.109375" style="189" customWidth="1"/>
    <col min="3" max="3" width="22.5546875" style="189" customWidth="1"/>
    <col min="4" max="4" width="22.6640625" style="189" customWidth="1"/>
    <col min="5" max="5" width="13" style="189" customWidth="1"/>
    <col min="6" max="6" width="17.88671875" style="189" bestFit="1" customWidth="1"/>
    <col min="7" max="7" width="17.88671875" style="852" customWidth="1"/>
    <col min="8" max="8" width="17.5546875" style="189" bestFit="1" customWidth="1"/>
    <col min="9" max="9" width="17.5546875" style="852" customWidth="1"/>
    <col min="10" max="10" width="44.44140625" style="189" customWidth="1"/>
    <col min="11" max="11" width="17.88671875" style="189" hidden="1" customWidth="1"/>
    <col min="12" max="12" width="18" style="189" hidden="1" customWidth="1"/>
    <col min="13" max="13" width="9.109375" style="189" hidden="1" customWidth="1"/>
    <col min="14" max="14" width="17.88671875" style="189" bestFit="1" customWidth="1"/>
    <col min="15" max="15" width="18" style="189" customWidth="1"/>
    <col min="16" max="16" width="9.109375" style="189"/>
    <col min="17" max="17" width="17.88671875" style="189" bestFit="1" customWidth="1"/>
    <col min="18" max="18" width="17" style="189" bestFit="1" customWidth="1"/>
    <col min="19" max="16384" width="9.109375" style="189"/>
  </cols>
  <sheetData>
    <row r="1" spans="1:19" s="302" customFormat="1" ht="22.5" customHeight="1" thickBot="1" x14ac:dyDescent="0.35">
      <c r="A1" s="169"/>
      <c r="B1" s="188"/>
      <c r="C1" s="1307" t="s">
        <v>40</v>
      </c>
      <c r="D1" s="1308"/>
      <c r="E1" s="1308"/>
      <c r="F1" s="1308"/>
      <c r="G1" s="1308"/>
      <c r="H1" s="1308"/>
      <c r="I1" s="1308"/>
      <c r="J1" s="1308"/>
      <c r="K1" s="1308"/>
      <c r="L1" s="1308"/>
      <c r="M1" s="1308"/>
      <c r="N1" s="1308"/>
      <c r="O1" s="1308"/>
      <c r="P1" s="1309"/>
      <c r="Q1" s="1328" t="s">
        <v>1117</v>
      </c>
      <c r="R1" s="1303"/>
      <c r="S1" s="1304"/>
    </row>
    <row r="2" spans="1:19" s="302" customFormat="1"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ht="13.5" customHeight="1" x14ac:dyDescent="0.3">
      <c r="A7" s="1291" t="s">
        <v>1118</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1119</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82"/>
      <c r="B11" s="1301"/>
      <c r="C11" s="1313"/>
      <c r="D11" s="1313"/>
      <c r="E11" s="1313"/>
      <c r="F11" s="1313"/>
      <c r="G11" s="1313"/>
      <c r="H11" s="1313"/>
      <c r="I11" s="1313"/>
      <c r="J11" s="1313"/>
      <c r="K11" s="1293" t="s">
        <v>986</v>
      </c>
      <c r="L11" s="1294"/>
      <c r="M11" s="1295"/>
      <c r="N11" s="1293" t="s">
        <v>2094</v>
      </c>
      <c r="O11" s="1294"/>
      <c r="P11" s="1295"/>
      <c r="Q11" s="1299" t="s">
        <v>49</v>
      </c>
      <c r="R11" s="1299"/>
      <c r="S11" s="1299"/>
    </row>
    <row r="12" spans="1:19" s="302" customFormat="1"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7.75" customHeight="1"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174" t="s">
        <v>54</v>
      </c>
      <c r="R13" s="172" t="s">
        <v>56</v>
      </c>
      <c r="S13" s="28" t="s">
        <v>58</v>
      </c>
    </row>
    <row r="14" spans="1:19" ht="43.2" x14ac:dyDescent="0.3">
      <c r="A14" s="1314" t="s">
        <v>1115</v>
      </c>
      <c r="B14" s="1314" t="s">
        <v>320</v>
      </c>
      <c r="C14" s="383" t="s">
        <v>59</v>
      </c>
      <c r="D14" s="383" t="s">
        <v>321</v>
      </c>
      <c r="E14" s="383">
        <v>0.7</v>
      </c>
      <c r="F14" s="192">
        <v>6024196</v>
      </c>
      <c r="G14" s="32">
        <f>+ROUND(F14*1.051,0)</f>
        <v>6331430</v>
      </c>
      <c r="H14" s="192">
        <f>ROUND((E14*F14),0)</f>
        <v>4216937</v>
      </c>
      <c r="I14" s="32">
        <f>+ROUND(G14*E14,0)</f>
        <v>4432001</v>
      </c>
      <c r="J14" s="1314" t="s">
        <v>1116</v>
      </c>
      <c r="K14" s="303">
        <v>0.35</v>
      </c>
      <c r="L14" s="304">
        <f>ROUND(K14*$F$14,0)</f>
        <v>2108469</v>
      </c>
      <c r="M14" s="305">
        <f>L14/$H$14</f>
        <v>0.50000011856947357</v>
      </c>
      <c r="N14" s="758">
        <v>0.35</v>
      </c>
      <c r="O14" s="759">
        <f>ROUND(N14*$G$14,0)</f>
        <v>2216001</v>
      </c>
      <c r="P14" s="760">
        <f>O14/H14</f>
        <v>0.52550014382477139</v>
      </c>
      <c r="Q14" s="149">
        <f>K14+N14</f>
        <v>0.7</v>
      </c>
      <c r="R14" s="175">
        <f>L14+O14</f>
        <v>4324470</v>
      </c>
      <c r="S14" s="873">
        <f>+R14/H14</f>
        <v>1.0255002623942449</v>
      </c>
    </row>
    <row r="15" spans="1:19" ht="43.2" x14ac:dyDescent="0.3">
      <c r="A15" s="1314"/>
      <c r="B15" s="1314"/>
      <c r="C15" s="383" t="s">
        <v>61</v>
      </c>
      <c r="D15" s="383" t="s">
        <v>322</v>
      </c>
      <c r="E15" s="383">
        <v>0.7</v>
      </c>
      <c r="F15" s="192">
        <v>6650991</v>
      </c>
      <c r="G15" s="32">
        <f>+ROUND(F15*1.051,0)</f>
        <v>6990192</v>
      </c>
      <c r="H15" s="192">
        <f>ROUND((E15*F15),0)</f>
        <v>4655694</v>
      </c>
      <c r="I15" s="32">
        <f>+ROUND(G15*E15,0)</f>
        <v>4893134</v>
      </c>
      <c r="J15" s="1314"/>
      <c r="K15" s="303">
        <v>0.65</v>
      </c>
      <c r="L15" s="304">
        <f>ROUND(K15*$F$15,0)</f>
        <v>4323144</v>
      </c>
      <c r="M15" s="305">
        <f>L15/$H$15</f>
        <v>0.92857133651825052</v>
      </c>
      <c r="N15" s="758">
        <v>0.05</v>
      </c>
      <c r="O15" s="759">
        <f>ROUND(N15*G15,0)</f>
        <v>349510</v>
      </c>
      <c r="P15" s="760">
        <f>O15/H15</f>
        <v>7.5071514579781229E-2</v>
      </c>
      <c r="Q15" s="416">
        <f>K15+N15</f>
        <v>0.70000000000000007</v>
      </c>
      <c r="R15" s="175">
        <f>L15+O15</f>
        <v>4672654</v>
      </c>
      <c r="S15" s="873">
        <f>+R15/H15</f>
        <v>1.0036428510980318</v>
      </c>
    </row>
    <row r="16" spans="1:19" x14ac:dyDescent="0.3">
      <c r="A16" s="1314"/>
      <c r="B16" s="1314"/>
      <c r="C16" s="196"/>
      <c r="D16" s="196" t="s">
        <v>143</v>
      </c>
      <c r="E16" s="198"/>
      <c r="F16" s="198"/>
      <c r="G16" s="198"/>
      <c r="H16" s="199">
        <f>SUM(H14:H15)</f>
        <v>8872631</v>
      </c>
      <c r="I16" s="199">
        <f>SUM(I14:I15)</f>
        <v>9325135</v>
      </c>
      <c r="J16" s="1314"/>
      <c r="K16" s="308"/>
      <c r="L16" s="179">
        <f>SUM(L14:L15)</f>
        <v>6431613</v>
      </c>
      <c r="M16" s="308">
        <f>L16/H16</f>
        <v>0.72488228125344101</v>
      </c>
      <c r="N16" s="431"/>
      <c r="O16" s="179">
        <f>SUM(O14:O15)</f>
        <v>2565511</v>
      </c>
      <c r="P16" s="431">
        <f>O16/H16</f>
        <v>0.28914884435067795</v>
      </c>
      <c r="Q16" s="306"/>
      <c r="R16" s="307">
        <f>L16+O16</f>
        <v>8997124</v>
      </c>
      <c r="S16" s="308">
        <f>+R16/H16</f>
        <v>1.014031125604119</v>
      </c>
    </row>
    <row r="17" spans="1:19" x14ac:dyDescent="0.3">
      <c r="F17" s="151" t="s">
        <v>64</v>
      </c>
      <c r="G17" s="151"/>
      <c r="H17" s="181">
        <f>SUM(H1:H16)/2</f>
        <v>8872631</v>
      </c>
      <c r="I17" s="181">
        <f>SUM(I1:I16)/2</f>
        <v>9325135</v>
      </c>
      <c r="K17" s="151" t="s">
        <v>64</v>
      </c>
      <c r="L17" s="181">
        <f>SUM(L1:L16)/2</f>
        <v>6431613</v>
      </c>
      <c r="M17" s="131">
        <f>L17/H17</f>
        <v>0.72488228125344101</v>
      </c>
      <c r="N17" s="480" t="s">
        <v>64</v>
      </c>
      <c r="O17" s="481">
        <f>SUM(O14:O16)/2</f>
        <v>2565511</v>
      </c>
      <c r="Q17" s="480" t="s">
        <v>64</v>
      </c>
      <c r="R17" s="481">
        <f>SUM(R1:R16)/2</f>
        <v>8997124</v>
      </c>
    </row>
    <row r="18" spans="1:19" x14ac:dyDescent="0.3">
      <c r="F18" s="153" t="s">
        <v>65</v>
      </c>
      <c r="G18" s="816"/>
      <c r="H18" s="182">
        <v>0</v>
      </c>
      <c r="I18" s="182">
        <v>0</v>
      </c>
      <c r="K18" s="153" t="s">
        <v>65</v>
      </c>
      <c r="L18" s="182">
        <v>0</v>
      </c>
      <c r="N18" s="482" t="s">
        <v>65</v>
      </c>
      <c r="O18" s="483">
        <v>0</v>
      </c>
      <c r="Q18" s="482" t="s">
        <v>65</v>
      </c>
      <c r="R18" s="483">
        <v>0</v>
      </c>
    </row>
    <row r="19" spans="1:19" x14ac:dyDescent="0.3">
      <c r="F19" s="152" t="s">
        <v>64</v>
      </c>
      <c r="G19" s="817"/>
      <c r="H19" s="182">
        <f>+H17+H18</f>
        <v>8872631</v>
      </c>
      <c r="I19" s="182">
        <f>+I17+I18</f>
        <v>9325135</v>
      </c>
      <c r="K19" s="152" t="s">
        <v>64</v>
      </c>
      <c r="L19" s="182">
        <f>+L17+L18</f>
        <v>6431613</v>
      </c>
      <c r="N19" s="484" t="s">
        <v>64</v>
      </c>
      <c r="O19" s="483">
        <f>+O17+O18</f>
        <v>2565511</v>
      </c>
      <c r="Q19" s="484" t="s">
        <v>64</v>
      </c>
      <c r="R19" s="483">
        <f>+R17+R18</f>
        <v>8997124</v>
      </c>
    </row>
    <row r="20" spans="1:19" ht="26.4" x14ac:dyDescent="0.3">
      <c r="F20" s="152"/>
      <c r="G20" s="817"/>
      <c r="H20" s="182"/>
      <c r="I20" s="182"/>
      <c r="K20" s="152"/>
      <c r="L20" s="182"/>
      <c r="N20" s="484" t="s">
        <v>1439</v>
      </c>
      <c r="O20" s="483">
        <f>ROUND(O19*0.015,0)</f>
        <v>38483</v>
      </c>
      <c r="Q20" s="484" t="s">
        <v>1439</v>
      </c>
      <c r="R20" s="483">
        <f>L20+O20</f>
        <v>38483</v>
      </c>
    </row>
    <row r="21" spans="1:19" ht="26.4" x14ac:dyDescent="0.3">
      <c r="F21" s="152"/>
      <c r="G21" s="817"/>
      <c r="H21" s="182"/>
      <c r="I21" s="182"/>
      <c r="K21" s="152"/>
      <c r="L21" s="182"/>
      <c r="N21" s="152" t="s">
        <v>1440</v>
      </c>
      <c r="O21" s="182">
        <f>O19+O20</f>
        <v>2603994</v>
      </c>
      <c r="P21" s="131">
        <f>O21/H19</f>
        <v>0.29348611477249531</v>
      </c>
      <c r="Q21" s="152" t="s">
        <v>1440</v>
      </c>
      <c r="R21" s="182">
        <f>R19+R20</f>
        <v>9035607</v>
      </c>
      <c r="S21" s="131">
        <f>R21/H19</f>
        <v>1.0183683960259364</v>
      </c>
    </row>
    <row r="22" spans="1:19" x14ac:dyDescent="0.3">
      <c r="F22" s="154" t="s">
        <v>66</v>
      </c>
      <c r="G22" s="818"/>
      <c r="H22" s="182">
        <f>+H19*19%</f>
        <v>1685799.8900000001</v>
      </c>
      <c r="I22" s="182">
        <f>+I19*19%</f>
        <v>1771775.65</v>
      </c>
      <c r="K22" s="154" t="s">
        <v>66</v>
      </c>
      <c r="L22" s="182">
        <f>+L19*19%</f>
        <v>1222006.47</v>
      </c>
      <c r="N22" s="485" t="s">
        <v>66</v>
      </c>
      <c r="O22" s="483">
        <f>ROUND(O21*0.19,0)</f>
        <v>494759</v>
      </c>
      <c r="Q22" s="485" t="s">
        <v>66</v>
      </c>
      <c r="R22" s="483">
        <f>ROUND(R21*0.19,0)</f>
        <v>1716765</v>
      </c>
    </row>
    <row r="23" spans="1:19" x14ac:dyDescent="0.3">
      <c r="F23" s="155" t="s">
        <v>69</v>
      </c>
      <c r="G23" s="155"/>
      <c r="H23" s="181">
        <f>+H19+H22</f>
        <v>10558430.890000001</v>
      </c>
      <c r="I23" s="181">
        <f>+I19+I22</f>
        <v>11096910.65</v>
      </c>
      <c r="K23" s="155" t="s">
        <v>69</v>
      </c>
      <c r="L23" s="181">
        <f>+L19+L22</f>
        <v>7653619.4699999997</v>
      </c>
      <c r="N23" s="545" t="s">
        <v>69</v>
      </c>
      <c r="O23" s="481">
        <f>O21+O22</f>
        <v>3098753</v>
      </c>
      <c r="Q23" s="545" t="s">
        <v>69</v>
      </c>
      <c r="R23" s="481">
        <f>R21+R22</f>
        <v>10752372</v>
      </c>
    </row>
    <row r="24" spans="1:19" x14ac:dyDescent="0.3">
      <c r="Q24" s="370"/>
      <c r="R24" s="370"/>
    </row>
    <row r="26" spans="1:19" x14ac:dyDescent="0.3">
      <c r="A26" s="183" t="s">
        <v>67</v>
      </c>
      <c r="B26" s="184"/>
      <c r="C26" s="184"/>
      <c r="D26" s="185" t="s">
        <v>68</v>
      </c>
      <c r="K26" s="186" t="s">
        <v>70</v>
      </c>
      <c r="L26" s="187" t="s">
        <v>71</v>
      </c>
      <c r="M26" s="186" t="s">
        <v>58</v>
      </c>
      <c r="N26" s="186" t="s">
        <v>70</v>
      </c>
      <c r="O26" s="187" t="s">
        <v>71</v>
      </c>
      <c r="P26" s="186" t="s">
        <v>58</v>
      </c>
    </row>
    <row r="27" spans="1:19" x14ac:dyDescent="0.3">
      <c r="A27" s="183"/>
      <c r="B27" s="184"/>
      <c r="C27" s="184"/>
      <c r="D27" s="185"/>
      <c r="K27" s="69" t="s">
        <v>72</v>
      </c>
      <c r="L27" s="70">
        <f>$L$17</f>
        <v>6431613</v>
      </c>
      <c r="M27" s="71">
        <f>$M$17</f>
        <v>0.72488228125344101</v>
      </c>
      <c r="N27" s="69" t="s">
        <v>72</v>
      </c>
      <c r="O27" s="70">
        <f>$L$17</f>
        <v>6431613</v>
      </c>
      <c r="P27" s="71">
        <f>$M$17</f>
        <v>0.72488228125344101</v>
      </c>
    </row>
    <row r="28" spans="1:19" x14ac:dyDescent="0.3">
      <c r="A28" s="183"/>
      <c r="B28" s="184"/>
      <c r="C28" s="184"/>
      <c r="D28" s="185"/>
      <c r="K28" s="69"/>
      <c r="L28" s="70"/>
      <c r="M28" s="71"/>
      <c r="N28" s="69" t="s">
        <v>73</v>
      </c>
      <c r="O28" s="70">
        <f>$O$21</f>
        <v>2603994</v>
      </c>
      <c r="P28" s="71">
        <f>$P$21</f>
        <v>0.29348611477249531</v>
      </c>
    </row>
    <row r="29" spans="1:19" x14ac:dyDescent="0.3">
      <c r="A29" s="183"/>
      <c r="B29" s="184"/>
      <c r="C29" s="184"/>
      <c r="D29" s="185"/>
      <c r="K29" s="72" t="s">
        <v>1</v>
      </c>
      <c r="L29" s="105">
        <f>SUM(L27:L27)</f>
        <v>6431613</v>
      </c>
      <c r="M29" s="73">
        <f>SUM(M27:M27)</f>
        <v>0.72488228125344101</v>
      </c>
      <c r="N29" s="72" t="s">
        <v>1</v>
      </c>
      <c r="O29" s="105">
        <f>SUM(O27:O28)</f>
        <v>9035607</v>
      </c>
      <c r="P29" s="73">
        <f>SUM(P27:P28)</f>
        <v>1.0183683960259362</v>
      </c>
    </row>
    <row r="30" spans="1:19" x14ac:dyDescent="0.3">
      <c r="A30" s="183"/>
      <c r="B30" s="184"/>
      <c r="C30" s="184"/>
      <c r="D30" s="185"/>
      <c r="K30" s="72" t="s">
        <v>9</v>
      </c>
      <c r="L30" s="1285"/>
      <c r="M30" s="1286"/>
      <c r="N30" s="72" t="s">
        <v>9</v>
      </c>
      <c r="O30" s="1285"/>
      <c r="P30" s="1286"/>
    </row>
    <row r="31" spans="1:19" x14ac:dyDescent="0.3">
      <c r="A31" s="183"/>
      <c r="B31" s="184"/>
      <c r="C31" s="184"/>
      <c r="D31" s="185"/>
      <c r="K31" s="156" t="s">
        <v>78</v>
      </c>
      <c r="L31" s="1285" t="s">
        <v>393</v>
      </c>
      <c r="M31" s="1286"/>
      <c r="N31" s="156" t="s">
        <v>78</v>
      </c>
      <c r="O31" s="1285" t="s">
        <v>1999</v>
      </c>
      <c r="P31" s="1286"/>
    </row>
    <row r="32" spans="1:19" x14ac:dyDescent="0.3">
      <c r="A32" s="183"/>
      <c r="B32" s="184"/>
      <c r="C32" s="184"/>
      <c r="D32" s="185"/>
      <c r="K32" s="157" t="s">
        <v>8</v>
      </c>
      <c r="L32" s="1285"/>
      <c r="M32" s="1286"/>
      <c r="N32" s="157" t="s">
        <v>8</v>
      </c>
      <c r="O32" s="1285" t="s">
        <v>2000</v>
      </c>
      <c r="P32" s="1286"/>
    </row>
    <row r="33" spans="1:4" x14ac:dyDescent="0.3">
      <c r="A33" s="183"/>
      <c r="B33" s="184"/>
      <c r="C33" s="184"/>
      <c r="D33" s="185" t="s">
        <v>75</v>
      </c>
    </row>
    <row r="34" spans="1:4" x14ac:dyDescent="0.3">
      <c r="A34" s="183" t="s">
        <v>76</v>
      </c>
      <c r="B34" s="180"/>
      <c r="C34" s="180"/>
      <c r="D34" s="185" t="s">
        <v>77</v>
      </c>
    </row>
    <row r="35" spans="1:4" ht="26.4" x14ac:dyDescent="0.3">
      <c r="A35" s="183" t="s">
        <v>79</v>
      </c>
      <c r="B35" s="180"/>
      <c r="C35" s="180"/>
      <c r="D35" s="185" t="s">
        <v>80</v>
      </c>
    </row>
  </sheetData>
  <sheetProtection formatCells="0" formatColumns="0" formatRows="0" insertColumns="0" insertRows="0" insertHyperlinks="0" deleteColumns="0" deleteRows="0" sort="0" autoFilter="0" pivotTables="0"/>
  <mergeCells count="25">
    <mergeCell ref="L32:M32"/>
    <mergeCell ref="B11:J11"/>
    <mergeCell ref="K11:M12"/>
    <mergeCell ref="Q11:S12"/>
    <mergeCell ref="B12:J12"/>
    <mergeCell ref="L30:M30"/>
    <mergeCell ref="L31:M31"/>
    <mergeCell ref="O30:P30"/>
    <mergeCell ref="O31:P31"/>
    <mergeCell ref="O32:P32"/>
    <mergeCell ref="Q1:S1"/>
    <mergeCell ref="Q2:S2"/>
    <mergeCell ref="A3:S3"/>
    <mergeCell ref="A4:S4"/>
    <mergeCell ref="A5:S5"/>
    <mergeCell ref="C1:P2"/>
    <mergeCell ref="A6:S6"/>
    <mergeCell ref="A14:A16"/>
    <mergeCell ref="B14:B16"/>
    <mergeCell ref="J14:J16"/>
    <mergeCell ref="A7:S7"/>
    <mergeCell ref="A8:S8"/>
    <mergeCell ref="A9:S9"/>
    <mergeCell ref="A10:S10"/>
    <mergeCell ref="N11:P12"/>
  </mergeCells>
  <pageMargins left="0.7" right="0.7" top="0.75" bottom="0.75" header="0.3" footer="0.3"/>
  <pageSetup scale="39" orientation="landscape" r:id="rId1"/>
  <drawing r:id="rId2"/>
  <legacyDrawingHF r:id="rId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7">
    <tabColor theme="1"/>
  </sheetPr>
  <dimension ref="A1:G49"/>
  <sheetViews>
    <sheetView topLeftCell="A19"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RESUMEN!G57</f>
        <v>Proyecto: CDIE_CBCCSM_R0158, NORMALIZACIÓN SE MT-MT Ingeniería Montaje Reconectador Subestación JURATENA para desarrollo de Ingeniería e implementación Reconectadores de entrada y Salida. Reconectador Transformador</v>
      </c>
      <c r="C5" s="1281"/>
      <c r="D5" s="1281"/>
      <c r="E5" s="1281"/>
      <c r="F5" s="1281"/>
      <c r="G5" s="1282"/>
    </row>
    <row r="6" spans="1:7" x14ac:dyDescent="0.25">
      <c r="A6" s="1177"/>
      <c r="B6" s="1177"/>
      <c r="C6" s="1177"/>
      <c r="D6" s="1177"/>
      <c r="E6" s="1177"/>
      <c r="F6" s="1177"/>
      <c r="G6" s="1177"/>
    </row>
    <row r="7" spans="1:7" x14ac:dyDescent="0.25">
      <c r="A7" s="271" t="s">
        <v>0</v>
      </c>
      <c r="B7" s="1264" t="str">
        <f>RESUMEN!B57</f>
        <v>D00249258</v>
      </c>
      <c r="C7" s="1265"/>
      <c r="D7" s="1177"/>
      <c r="E7" s="1266" t="s">
        <v>627</v>
      </c>
      <c r="F7" s="1267"/>
      <c r="G7" s="280" t="str">
        <f>RESUMEN!E57</f>
        <v>17-270</v>
      </c>
    </row>
    <row r="8" spans="1:7" x14ac:dyDescent="0.25">
      <c r="A8" s="271" t="s">
        <v>628</v>
      </c>
      <c r="B8" s="1264" t="str">
        <f>RESUMEN!C57</f>
        <v>D00249258000</v>
      </c>
      <c r="C8" s="1265"/>
      <c r="D8" s="1177"/>
      <c r="E8" s="1266" t="s">
        <v>629</v>
      </c>
      <c r="F8" s="1267"/>
      <c r="G8" s="280" t="str">
        <f>RESUMEN!U57</f>
        <v>Acta N° 2: Febrero</v>
      </c>
    </row>
    <row r="9" spans="1:7" x14ac:dyDescent="0.25">
      <c r="A9" s="271" t="s">
        <v>630</v>
      </c>
      <c r="B9" s="1283" t="s">
        <v>631</v>
      </c>
      <c r="C9" s="1265"/>
      <c r="D9" s="1177"/>
      <c r="E9" s="1266" t="s">
        <v>632</v>
      </c>
      <c r="F9" s="1267"/>
      <c r="G9" s="1178">
        <f>RESUMEN!H57</f>
        <v>8872631</v>
      </c>
    </row>
    <row r="10" spans="1:7" x14ac:dyDescent="0.25">
      <c r="A10" s="271" t="s">
        <v>633</v>
      </c>
      <c r="B10" s="1283" t="str">
        <f>RESUMEN!D57</f>
        <v>JURATENA</v>
      </c>
      <c r="C10" s="1265"/>
      <c r="D10" s="1177"/>
      <c r="E10" s="1266" t="s">
        <v>634</v>
      </c>
      <c r="F10" s="1267"/>
      <c r="G10" s="1178">
        <f>RESUMEN!R57</f>
        <v>2603994</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",RESUMEN!G57)</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 Ingeniería Montaje Reconectador Subestación JURATENA para desarrollo de Ingeniería e implementación Reconectadores de entrada y Salida. Reconectador Transformador</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RESUMEN!N57</f>
        <v>2565511</v>
      </c>
      <c r="F19" s="1248"/>
      <c r="G19" s="1177"/>
    </row>
    <row r="20" spans="1:7" ht="27" customHeight="1" x14ac:dyDescent="0.25">
      <c r="A20" s="1177"/>
      <c r="B20" s="1244" t="s">
        <v>1498</v>
      </c>
      <c r="C20" s="1245"/>
      <c r="D20" s="1246"/>
      <c r="E20" s="1247">
        <f>RESUMEN!P57</f>
        <v>0</v>
      </c>
      <c r="F20" s="1248"/>
      <c r="G20" s="1177"/>
    </row>
    <row r="21" spans="1:7" ht="27" customHeight="1" x14ac:dyDescent="0.25">
      <c r="A21" s="1177"/>
      <c r="B21" s="1244" t="s">
        <v>1499</v>
      </c>
      <c r="C21" s="1245"/>
      <c r="D21" s="1246"/>
      <c r="E21" s="1247">
        <f>RESUMEN!Q57</f>
        <v>38483</v>
      </c>
      <c r="F21" s="1248"/>
      <c r="G21" s="1177"/>
    </row>
    <row r="22" spans="1:7" x14ac:dyDescent="0.25">
      <c r="A22" s="1177"/>
      <c r="B22" s="1254" t="s">
        <v>64</v>
      </c>
      <c r="C22" s="1254"/>
      <c r="D22" s="1254"/>
      <c r="E22" s="1255">
        <f>RESUMEN!R57</f>
        <v>2603994</v>
      </c>
      <c r="F22" s="1255"/>
      <c r="G22" s="1177"/>
    </row>
    <row r="23" spans="1:7" x14ac:dyDescent="0.25">
      <c r="A23" s="1177"/>
      <c r="B23" s="1256" t="s">
        <v>66</v>
      </c>
      <c r="C23" s="1256"/>
      <c r="D23" s="1256"/>
      <c r="E23" s="1257">
        <f>RESUMEN!S57</f>
        <v>494759</v>
      </c>
      <c r="F23" s="1257"/>
      <c r="G23" s="1177"/>
    </row>
    <row r="24" spans="1:7" x14ac:dyDescent="0.25">
      <c r="A24" s="1177"/>
      <c r="B24" s="1258" t="s">
        <v>1</v>
      </c>
      <c r="C24" s="1258"/>
      <c r="D24" s="1258"/>
      <c r="E24" s="1259">
        <f>RESUMEN!T57</f>
        <v>3098753</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+'OT17-270 JURATENA'!N27</f>
        <v>ACTA 1</v>
      </c>
      <c r="C28" s="1253">
        <f>+'OT17-270 JURATENA'!O27</f>
        <v>6431613</v>
      </c>
      <c r="D28" s="1253"/>
      <c r="E28" s="267">
        <f>+'OT17-270 JURATENA'!P27</f>
        <v>0.72488228125344101</v>
      </c>
      <c r="F28" s="1177"/>
      <c r="G28" s="1177"/>
    </row>
    <row r="29" spans="1:7" x14ac:dyDescent="0.25">
      <c r="A29" s="1177"/>
      <c r="B29" s="280" t="str">
        <f>+'OT17-270 JURATENA'!N28</f>
        <v>ACTA 2</v>
      </c>
      <c r="C29" s="1253">
        <f>+'OT17-270 JURATENA'!O28</f>
        <v>2603994</v>
      </c>
      <c r="D29" s="1253"/>
      <c r="E29" s="267">
        <f>+'OT17-270 JURATENA'!P28</f>
        <v>0.29348611477249531</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9035607</v>
      </c>
      <c r="D34" s="1251"/>
      <c r="E34" s="264">
        <f>SUM(E28:E33)</f>
        <v>1.0183683960259362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RESUMEN!V57</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9">
    <tabColor rgb="FF72104A"/>
  </sheetPr>
  <dimension ref="A1:S35"/>
  <sheetViews>
    <sheetView view="pageBreakPreview" topLeftCell="A4" zoomScale="60" zoomScaleNormal="70" workbookViewId="0">
      <selection activeCell="F56" sqref="F56"/>
    </sheetView>
  </sheetViews>
  <sheetFormatPr baseColWidth="10" defaultColWidth="9.109375" defaultRowHeight="14.4" x14ac:dyDescent="0.3"/>
  <cols>
    <col min="1" max="1" width="13.6640625" style="189" customWidth="1"/>
    <col min="2" max="2" width="15" style="189" customWidth="1"/>
    <col min="3" max="3" width="25.6640625" style="189" customWidth="1"/>
    <col min="4" max="4" width="22.6640625" style="189" customWidth="1"/>
    <col min="5" max="5" width="10.5546875" style="189" bestFit="1" customWidth="1"/>
    <col min="6" max="6" width="17.44140625" style="189" customWidth="1"/>
    <col min="7" max="7" width="17.44140625" style="852" customWidth="1"/>
    <col min="8" max="8" width="17.5546875" style="189" bestFit="1" customWidth="1"/>
    <col min="9" max="9" width="17.5546875" style="852" customWidth="1"/>
    <col min="10" max="10" width="37.44140625" style="189" customWidth="1"/>
    <col min="11" max="11" width="17.88671875" style="189" hidden="1" customWidth="1"/>
    <col min="12" max="12" width="18" style="189" hidden="1" customWidth="1"/>
    <col min="13" max="13" width="9.109375" style="189" hidden="1" customWidth="1"/>
    <col min="14" max="14" width="17.88671875" style="189" bestFit="1" customWidth="1"/>
    <col min="15" max="15" width="18" style="189" bestFit="1" customWidth="1"/>
    <col min="16" max="16" width="9.109375" style="189"/>
    <col min="17" max="17" width="17.88671875" style="189" bestFit="1" customWidth="1"/>
    <col min="18" max="18" width="17" style="189" bestFit="1" customWidth="1"/>
    <col min="19" max="16384" width="9.109375" style="189"/>
  </cols>
  <sheetData>
    <row r="1" spans="1:19" s="302" customFormat="1" ht="22.5" customHeight="1" thickBot="1" x14ac:dyDescent="0.35">
      <c r="A1" s="169"/>
      <c r="B1" s="188"/>
      <c r="C1" s="1307" t="s">
        <v>40</v>
      </c>
      <c r="D1" s="1308"/>
      <c r="E1" s="1308"/>
      <c r="F1" s="1308"/>
      <c r="G1" s="1308"/>
      <c r="H1" s="1308"/>
      <c r="I1" s="1308"/>
      <c r="J1" s="1308"/>
      <c r="K1" s="1308"/>
      <c r="L1" s="1308"/>
      <c r="M1" s="1308"/>
      <c r="N1" s="1308"/>
      <c r="O1" s="1308"/>
      <c r="P1" s="1309"/>
      <c r="Q1" s="1328" t="s">
        <v>1117</v>
      </c>
      <c r="R1" s="1303"/>
      <c r="S1" s="1304"/>
    </row>
    <row r="2" spans="1:19" s="302" customFormat="1"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302" customFormat="1" x14ac:dyDescent="0.3">
      <c r="A7" s="1291" t="s">
        <v>1120</v>
      </c>
      <c r="B7" s="1292"/>
      <c r="C7" s="1292"/>
      <c r="D7" s="1292"/>
      <c r="E7" s="1292"/>
      <c r="F7" s="1292"/>
      <c r="G7" s="1292"/>
      <c r="H7" s="1292"/>
      <c r="I7" s="1292"/>
      <c r="J7" s="1292"/>
      <c r="K7" s="1292"/>
      <c r="L7" s="1292"/>
      <c r="M7" s="1292"/>
      <c r="N7" s="1292"/>
      <c r="O7" s="1292"/>
      <c r="P7" s="1292"/>
      <c r="Q7" s="1292"/>
      <c r="R7" s="1292"/>
      <c r="S7" s="1292"/>
    </row>
    <row r="8" spans="1:19" s="302" customFormat="1"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s="302" customFormat="1"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s="302" customFormat="1" ht="13.5" customHeight="1" x14ac:dyDescent="0.3">
      <c r="A10" s="1292" t="s">
        <v>1121</v>
      </c>
      <c r="B10" s="1292"/>
      <c r="C10" s="1292"/>
      <c r="D10" s="1292"/>
      <c r="E10" s="1292"/>
      <c r="F10" s="1292"/>
      <c r="G10" s="1292"/>
      <c r="H10" s="1292"/>
      <c r="I10" s="1292"/>
      <c r="J10" s="1292"/>
      <c r="K10" s="1292"/>
      <c r="L10" s="1292"/>
      <c r="M10" s="1292"/>
      <c r="N10" s="1292"/>
      <c r="O10" s="1292"/>
      <c r="P10" s="1292"/>
      <c r="Q10" s="1292"/>
      <c r="R10" s="1292"/>
      <c r="S10" s="1292"/>
    </row>
    <row r="11" spans="1:19" s="302" customFormat="1" ht="13.5" customHeight="1" x14ac:dyDescent="0.3">
      <c r="A11" s="382"/>
      <c r="B11" s="1301"/>
      <c r="C11" s="1313"/>
      <c r="D11" s="1313"/>
      <c r="E11" s="1313"/>
      <c r="F11" s="1313"/>
      <c r="G11" s="1313"/>
      <c r="H11" s="1313"/>
      <c r="I11" s="1313"/>
      <c r="J11" s="1313"/>
      <c r="K11" s="1293" t="s">
        <v>986</v>
      </c>
      <c r="L11" s="1294"/>
      <c r="M11" s="1295"/>
      <c r="N11" s="1488" t="s">
        <v>2094</v>
      </c>
      <c r="O11" s="1489"/>
      <c r="P11" s="1490"/>
      <c r="Q11" s="1299" t="s">
        <v>49</v>
      </c>
      <c r="R11" s="1299"/>
      <c r="S11" s="1299"/>
    </row>
    <row r="12" spans="1:19" s="302" customFormat="1" ht="13.5" customHeight="1" x14ac:dyDescent="0.3">
      <c r="A12" s="171"/>
      <c r="B12" s="1301"/>
      <c r="C12" s="1302"/>
      <c r="D12" s="1302"/>
      <c r="E12" s="1302"/>
      <c r="F12" s="1302"/>
      <c r="G12" s="1302"/>
      <c r="H12" s="1302"/>
      <c r="I12" s="1302"/>
      <c r="J12" s="1302"/>
      <c r="K12" s="1325"/>
      <c r="L12" s="1326"/>
      <c r="M12" s="1327"/>
      <c r="N12" s="1491"/>
      <c r="O12" s="1492"/>
      <c r="P12" s="1493"/>
      <c r="Q12" s="1300"/>
      <c r="R12" s="1300"/>
      <c r="S12" s="1300"/>
    </row>
    <row r="13" spans="1:19"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174" t="s">
        <v>54</v>
      </c>
      <c r="R13" s="172" t="s">
        <v>56</v>
      </c>
      <c r="S13" s="28" t="s">
        <v>58</v>
      </c>
    </row>
    <row r="14" spans="1:19" ht="43.2" x14ac:dyDescent="0.3">
      <c r="A14" s="1314" t="s">
        <v>1115</v>
      </c>
      <c r="B14" s="1314" t="s">
        <v>320</v>
      </c>
      <c r="C14" s="383" t="s">
        <v>59</v>
      </c>
      <c r="D14" s="383" t="s">
        <v>321</v>
      </c>
      <c r="E14" s="191">
        <v>0.7</v>
      </c>
      <c r="F14" s="192">
        <v>6024196</v>
      </c>
      <c r="G14" s="32">
        <f>+ROUND(F14*1.051,0)</f>
        <v>6331430</v>
      </c>
      <c r="H14" s="192">
        <f>ROUND((E14*F14),0)</f>
        <v>4216937</v>
      </c>
      <c r="I14" s="32">
        <f>+ROUND(G14*E14,0)</f>
        <v>4432001</v>
      </c>
      <c r="J14" s="1314" t="s">
        <v>1116</v>
      </c>
      <c r="K14" s="303">
        <v>0.35</v>
      </c>
      <c r="L14" s="304">
        <f>ROUND(K14*$F$14,0)</f>
        <v>2108469</v>
      </c>
      <c r="M14" s="305">
        <f>L14/$H$14</f>
        <v>0.50000011856947357</v>
      </c>
      <c r="N14" s="758">
        <v>0.35</v>
      </c>
      <c r="O14" s="759">
        <f>ROUND(N14*G14,0)</f>
        <v>2216001</v>
      </c>
      <c r="P14" s="760">
        <f>O14/H14</f>
        <v>0.52550014382477139</v>
      </c>
      <c r="Q14" s="149">
        <f>K14+N14</f>
        <v>0.7</v>
      </c>
      <c r="R14" s="175">
        <f>L14+O14</f>
        <v>4324470</v>
      </c>
      <c r="S14" s="176">
        <f>+P14+M14</f>
        <v>1.0255002623942451</v>
      </c>
    </row>
    <row r="15" spans="1:19" ht="43.2" x14ac:dyDescent="0.3">
      <c r="A15" s="1314"/>
      <c r="B15" s="1314"/>
      <c r="C15" s="383" t="s">
        <v>61</v>
      </c>
      <c r="D15" s="383" t="s">
        <v>322</v>
      </c>
      <c r="E15" s="191">
        <v>0.7</v>
      </c>
      <c r="F15" s="192">
        <v>6650991</v>
      </c>
      <c r="G15" s="32">
        <f>+ROUND(F15*1.051,0)</f>
        <v>6990192</v>
      </c>
      <c r="H15" s="192">
        <f>ROUND((E15*F15),0)</f>
        <v>4655694</v>
      </c>
      <c r="I15" s="32">
        <f>+ROUND(G15*E15,0)</f>
        <v>4893134</v>
      </c>
      <c r="J15" s="1314"/>
      <c r="K15" s="303">
        <v>0.65</v>
      </c>
      <c r="L15" s="304">
        <f>ROUND(K15*$F$15,0)</f>
        <v>4323144</v>
      </c>
      <c r="M15" s="305">
        <f>L15/$H$15</f>
        <v>0.92857133651825052</v>
      </c>
      <c r="N15" s="433">
        <v>0.05</v>
      </c>
      <c r="O15" s="759">
        <f>ROUND(N15*G15,0)</f>
        <v>349510</v>
      </c>
      <c r="P15" s="760">
        <f>O15/H15</f>
        <v>7.5071514579781229E-2</v>
      </c>
      <c r="Q15" s="416">
        <f>K15+N15</f>
        <v>0.70000000000000007</v>
      </c>
      <c r="R15" s="175">
        <f>L15+O15</f>
        <v>4672654</v>
      </c>
      <c r="S15" s="176">
        <f>+P15+M15</f>
        <v>1.0036428510980318</v>
      </c>
    </row>
    <row r="16" spans="1:19" x14ac:dyDescent="0.3">
      <c r="A16" s="1314"/>
      <c r="B16" s="1314"/>
      <c r="C16" s="196"/>
      <c r="D16" s="196" t="s">
        <v>143</v>
      </c>
      <c r="E16" s="198"/>
      <c r="F16" s="198"/>
      <c r="G16" s="198"/>
      <c r="H16" s="199">
        <f>SUM(H14:H15)</f>
        <v>8872631</v>
      </c>
      <c r="I16" s="199">
        <f>SUM(I14:I15)</f>
        <v>9325135</v>
      </c>
      <c r="J16" s="1314"/>
      <c r="K16" s="308"/>
      <c r="L16" s="179">
        <f>SUM(L14:L15)</f>
        <v>6431613</v>
      </c>
      <c r="M16" s="308">
        <f>L16/H16</f>
        <v>0.72488228125344101</v>
      </c>
      <c r="N16" s="431"/>
      <c r="O16" s="179">
        <f>SUM(O14:O15)</f>
        <v>2565511</v>
      </c>
      <c r="P16" s="431">
        <f>O16/L16</f>
        <v>0.39889076037379739</v>
      </c>
      <c r="Q16" s="306"/>
      <c r="R16" s="307">
        <f>L16+O16</f>
        <v>8997124</v>
      </c>
      <c r="S16" s="308">
        <f>+R16/H16</f>
        <v>1.014031125604119</v>
      </c>
    </row>
    <row r="17" spans="1:19" x14ac:dyDescent="0.3">
      <c r="F17" s="151" t="s">
        <v>64</v>
      </c>
      <c r="G17" s="151"/>
      <c r="H17" s="181">
        <f>SUM(H1:H16)/2</f>
        <v>8872631</v>
      </c>
      <c r="I17" s="181">
        <f>SUM(I1:I16)/2</f>
        <v>9325135</v>
      </c>
      <c r="K17" s="151" t="s">
        <v>64</v>
      </c>
      <c r="L17" s="181">
        <f>SUM(L1:L16)/2</f>
        <v>6431613</v>
      </c>
      <c r="M17" s="131">
        <f>L17/H17</f>
        <v>0.72488228125344101</v>
      </c>
      <c r="N17" s="480" t="s">
        <v>64</v>
      </c>
      <c r="O17" s="481">
        <f>SUM(O1:O16)/2</f>
        <v>2565511</v>
      </c>
      <c r="Q17" s="480" t="s">
        <v>64</v>
      </c>
      <c r="R17" s="481">
        <f>SUM(R1:R16)/2</f>
        <v>8997124</v>
      </c>
    </row>
    <row r="18" spans="1:19" x14ac:dyDescent="0.3">
      <c r="F18" s="153" t="s">
        <v>65</v>
      </c>
      <c r="G18" s="816"/>
      <c r="H18" s="182">
        <v>0</v>
      </c>
      <c r="I18" s="182">
        <v>0</v>
      </c>
      <c r="K18" s="153" t="s">
        <v>65</v>
      </c>
      <c r="L18" s="182">
        <v>0</v>
      </c>
      <c r="N18" s="482" t="s">
        <v>65</v>
      </c>
      <c r="O18" s="483">
        <v>0</v>
      </c>
      <c r="Q18" s="482" t="s">
        <v>65</v>
      </c>
      <c r="R18" s="483">
        <v>0</v>
      </c>
    </row>
    <row r="19" spans="1:19" x14ac:dyDescent="0.3">
      <c r="F19" s="152" t="s">
        <v>64</v>
      </c>
      <c r="G19" s="817"/>
      <c r="H19" s="182">
        <f>+H17+H18</f>
        <v>8872631</v>
      </c>
      <c r="I19" s="182">
        <f>+I17+I18</f>
        <v>9325135</v>
      </c>
      <c r="K19" s="152" t="s">
        <v>64</v>
      </c>
      <c r="L19" s="182">
        <f>+L17+L18</f>
        <v>6431613</v>
      </c>
      <c r="N19" s="484" t="s">
        <v>64</v>
      </c>
      <c r="O19" s="483">
        <f>+O17+O18</f>
        <v>2565511</v>
      </c>
      <c r="Q19" s="484" t="s">
        <v>64</v>
      </c>
      <c r="R19" s="483">
        <f>+R17+R18</f>
        <v>8997124</v>
      </c>
    </row>
    <row r="20" spans="1:19" ht="26.4" x14ac:dyDescent="0.3">
      <c r="F20" s="152"/>
      <c r="G20" s="817"/>
      <c r="H20" s="182"/>
      <c r="I20" s="182"/>
      <c r="K20" s="152"/>
      <c r="L20" s="182"/>
      <c r="N20" s="484" t="s">
        <v>1439</v>
      </c>
      <c r="O20" s="483">
        <f>ROUND(O19*0.015,0)</f>
        <v>38483</v>
      </c>
      <c r="Q20" s="484" t="s">
        <v>1439</v>
      </c>
      <c r="R20" s="483">
        <f>L20+O20</f>
        <v>38483</v>
      </c>
    </row>
    <row r="21" spans="1:19" ht="26.4" x14ac:dyDescent="0.3">
      <c r="F21" s="152"/>
      <c r="G21" s="817"/>
      <c r="H21" s="182"/>
      <c r="I21" s="182"/>
      <c r="K21" s="152"/>
      <c r="L21" s="182"/>
      <c r="N21" s="152" t="s">
        <v>1440</v>
      </c>
      <c r="O21" s="182">
        <f>O19+O20</f>
        <v>2603994</v>
      </c>
      <c r="P21" s="131">
        <f>O21/$H$19</f>
        <v>0.29348611477249531</v>
      </c>
      <c r="Q21" s="152" t="s">
        <v>1440</v>
      </c>
      <c r="R21" s="182">
        <f>R19+R20</f>
        <v>9035607</v>
      </c>
      <c r="S21" s="131">
        <f>+R21/H19</f>
        <v>1.0183683960259364</v>
      </c>
    </row>
    <row r="22" spans="1:19" x14ac:dyDescent="0.3">
      <c r="F22" s="154" t="s">
        <v>66</v>
      </c>
      <c r="G22" s="818"/>
      <c r="H22" s="182">
        <f>+H19*19%</f>
        <v>1685799.8900000001</v>
      </c>
      <c r="I22" s="182">
        <f>+I19*19%</f>
        <v>1771775.65</v>
      </c>
      <c r="K22" s="154" t="s">
        <v>66</v>
      </c>
      <c r="L22" s="182">
        <f>+L19*19%</f>
        <v>1222006.47</v>
      </c>
      <c r="N22" s="485" t="s">
        <v>66</v>
      </c>
      <c r="O22" s="483">
        <f>ROUND(O21*0.19,0)</f>
        <v>494759</v>
      </c>
      <c r="Q22" s="485" t="s">
        <v>66</v>
      </c>
      <c r="R22" s="483">
        <f>ROUND(R21*0.19,0)</f>
        <v>1716765</v>
      </c>
    </row>
    <row r="23" spans="1:19" x14ac:dyDescent="0.3">
      <c r="F23" s="155" t="s">
        <v>69</v>
      </c>
      <c r="G23" s="155"/>
      <c r="H23" s="181">
        <f>+H19+H22</f>
        <v>10558430.890000001</v>
      </c>
      <c r="I23" s="181">
        <f>+I19+I22</f>
        <v>11096910.65</v>
      </c>
      <c r="K23" s="155" t="s">
        <v>69</v>
      </c>
      <c r="L23" s="181">
        <f>+L19+L22</f>
        <v>7653619.4699999997</v>
      </c>
      <c r="N23" s="545" t="s">
        <v>69</v>
      </c>
      <c r="O23" s="481">
        <f>O21+O22</f>
        <v>3098753</v>
      </c>
      <c r="Q23" s="545" t="s">
        <v>69</v>
      </c>
      <c r="R23" s="481">
        <f>R21+R22</f>
        <v>10752372</v>
      </c>
    </row>
    <row r="24" spans="1:19" x14ac:dyDescent="0.3">
      <c r="Q24" s="370"/>
      <c r="R24" s="370"/>
    </row>
    <row r="25" spans="1:19" x14ac:dyDescent="0.3">
      <c r="Q25" s="370"/>
      <c r="R25" s="370"/>
    </row>
    <row r="26" spans="1:19" x14ac:dyDescent="0.3">
      <c r="A26" s="183" t="s">
        <v>67</v>
      </c>
      <c r="B26" s="184"/>
      <c r="C26" s="184"/>
      <c r="D26" s="185" t="s">
        <v>68</v>
      </c>
      <c r="K26" s="186" t="s">
        <v>70</v>
      </c>
      <c r="L26" s="187" t="s">
        <v>71</v>
      </c>
      <c r="M26" s="186" t="s">
        <v>58</v>
      </c>
      <c r="N26" s="186" t="s">
        <v>70</v>
      </c>
      <c r="O26" s="187" t="s">
        <v>71</v>
      </c>
      <c r="P26" s="186" t="s">
        <v>58</v>
      </c>
      <c r="Q26" s="370"/>
      <c r="R26" s="370"/>
    </row>
    <row r="27" spans="1:19" x14ac:dyDescent="0.3">
      <c r="A27" s="183"/>
      <c r="B27" s="184"/>
      <c r="C27" s="184"/>
      <c r="D27" s="185"/>
      <c r="K27" s="69" t="s">
        <v>72</v>
      </c>
      <c r="L27" s="70">
        <f>$L$17</f>
        <v>6431613</v>
      </c>
      <c r="M27" s="71">
        <f>$M$17</f>
        <v>0.72488228125344101</v>
      </c>
      <c r="N27" s="69" t="s">
        <v>72</v>
      </c>
      <c r="O27" s="70">
        <f>$L$17</f>
        <v>6431613</v>
      </c>
      <c r="P27" s="71">
        <f>$M$17</f>
        <v>0.72488228125344101</v>
      </c>
      <c r="Q27" s="370"/>
      <c r="R27" s="370"/>
    </row>
    <row r="28" spans="1:19" x14ac:dyDescent="0.3">
      <c r="A28" s="183"/>
      <c r="B28" s="184"/>
      <c r="C28" s="184"/>
      <c r="D28" s="185"/>
      <c r="K28" s="69"/>
      <c r="L28" s="70"/>
      <c r="M28" s="71"/>
      <c r="N28" s="69" t="s">
        <v>73</v>
      </c>
      <c r="O28" s="70">
        <f>$O$21</f>
        <v>2603994</v>
      </c>
      <c r="P28" s="71">
        <f>$P$21</f>
        <v>0.29348611477249531</v>
      </c>
    </row>
    <row r="29" spans="1:19" x14ac:dyDescent="0.3">
      <c r="A29" s="183"/>
      <c r="B29" s="184"/>
      <c r="C29" s="184"/>
      <c r="D29" s="185"/>
      <c r="K29" s="72" t="s">
        <v>1</v>
      </c>
      <c r="L29" s="105">
        <f>SUM(L27:L27)</f>
        <v>6431613</v>
      </c>
      <c r="M29" s="73">
        <f>SUM(M27:M27)</f>
        <v>0.72488228125344101</v>
      </c>
      <c r="N29" s="72" t="s">
        <v>1</v>
      </c>
      <c r="O29" s="105">
        <f>SUM(O27:O28)</f>
        <v>9035607</v>
      </c>
      <c r="P29" s="73">
        <f>SUM(P27:P28)</f>
        <v>1.0183683960259362</v>
      </c>
    </row>
    <row r="30" spans="1:19" x14ac:dyDescent="0.3">
      <c r="A30" s="183"/>
      <c r="B30" s="184"/>
      <c r="C30" s="184"/>
      <c r="D30" s="185"/>
      <c r="K30" s="72" t="s">
        <v>9</v>
      </c>
      <c r="L30" s="1285"/>
      <c r="M30" s="1286"/>
      <c r="N30" s="72" t="s">
        <v>9</v>
      </c>
      <c r="O30" s="1285"/>
      <c r="P30" s="1286"/>
    </row>
    <row r="31" spans="1:19" x14ac:dyDescent="0.3">
      <c r="A31" s="183"/>
      <c r="B31" s="184"/>
      <c r="C31" s="184"/>
      <c r="D31" s="185"/>
      <c r="K31" s="156" t="s">
        <v>78</v>
      </c>
      <c r="L31" s="1285" t="s">
        <v>394</v>
      </c>
      <c r="M31" s="1286"/>
      <c r="N31" s="156" t="s">
        <v>78</v>
      </c>
      <c r="O31" s="1285" t="s">
        <v>1997</v>
      </c>
      <c r="P31" s="1286"/>
    </row>
    <row r="32" spans="1:19" x14ac:dyDescent="0.3">
      <c r="A32" s="183"/>
      <c r="B32" s="184"/>
      <c r="C32" s="184"/>
      <c r="D32" s="185"/>
      <c r="K32" s="157" t="s">
        <v>8</v>
      </c>
      <c r="L32" s="1285"/>
      <c r="M32" s="1286"/>
      <c r="N32" s="157" t="s">
        <v>8</v>
      </c>
      <c r="O32" s="1285" t="s">
        <v>1998</v>
      </c>
      <c r="P32" s="1286"/>
    </row>
    <row r="33" spans="1:4" x14ac:dyDescent="0.3">
      <c r="A33" s="183"/>
      <c r="B33" s="184"/>
      <c r="C33" s="184"/>
      <c r="D33" s="185" t="s">
        <v>75</v>
      </c>
    </row>
    <row r="34" spans="1:4" x14ac:dyDescent="0.3">
      <c r="A34" s="183" t="s">
        <v>76</v>
      </c>
      <c r="B34" s="180"/>
      <c r="C34" s="180"/>
      <c r="D34" s="185" t="s">
        <v>77</v>
      </c>
    </row>
    <row r="35" spans="1:4" ht="26.4" x14ac:dyDescent="0.3">
      <c r="A35" s="183" t="s">
        <v>79</v>
      </c>
      <c r="B35" s="180"/>
      <c r="C35" s="180"/>
      <c r="D35" s="185" t="s">
        <v>80</v>
      </c>
    </row>
  </sheetData>
  <sheetProtection formatCells="0" formatColumns="0" formatRows="0" insertColumns="0" insertRows="0" insertHyperlinks="0" deleteColumns="0" deleteRows="0" sort="0" autoFilter="0" pivotTables="0"/>
  <mergeCells count="25">
    <mergeCell ref="L32:M32"/>
    <mergeCell ref="B11:J11"/>
    <mergeCell ref="K11:M12"/>
    <mergeCell ref="Q11:S12"/>
    <mergeCell ref="B12:J12"/>
    <mergeCell ref="L30:M30"/>
    <mergeCell ref="L31:M31"/>
    <mergeCell ref="O30:P30"/>
    <mergeCell ref="O31:P31"/>
    <mergeCell ref="O32:P32"/>
    <mergeCell ref="Q1:S1"/>
    <mergeCell ref="Q2:S2"/>
    <mergeCell ref="A3:S3"/>
    <mergeCell ref="A4:S4"/>
    <mergeCell ref="A5:S5"/>
    <mergeCell ref="C1:P2"/>
    <mergeCell ref="A6:S6"/>
    <mergeCell ref="A14:A16"/>
    <mergeCell ref="B14:B16"/>
    <mergeCell ref="J14:J16"/>
    <mergeCell ref="A7:S7"/>
    <mergeCell ref="A8:S8"/>
    <mergeCell ref="A9:S9"/>
    <mergeCell ref="A10:S10"/>
    <mergeCell ref="N11:P12"/>
  </mergeCells>
  <pageMargins left="0.7" right="0.7" top="0.75" bottom="0.75" header="0.3" footer="0.3"/>
  <pageSetup scale="41" orientation="landscape" r:id="rId1"/>
  <drawing r:id="rId2"/>
  <legacyDrawingHF r:id="rId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8">
    <tabColor theme="1"/>
  </sheetPr>
  <dimension ref="A1:G49"/>
  <sheetViews>
    <sheetView topLeftCell="A7"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1525</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RESUMEN!G58</f>
        <v>Proyecto: EXPANSIÓN ZONAS PERIFÉRICAS MT</v>
      </c>
      <c r="C5" s="1281"/>
      <c r="D5" s="1281"/>
      <c r="E5" s="1281"/>
      <c r="F5" s="1281"/>
      <c r="G5" s="1282"/>
    </row>
    <row r="6" spans="1:7" x14ac:dyDescent="0.25">
      <c r="A6" s="1177"/>
      <c r="B6" s="1177"/>
      <c r="C6" s="1177"/>
      <c r="D6" s="1177"/>
      <c r="E6" s="1177"/>
      <c r="F6" s="1177"/>
      <c r="G6" s="1177"/>
    </row>
    <row r="7" spans="1:7" x14ac:dyDescent="0.25">
      <c r="A7" s="271" t="s">
        <v>0</v>
      </c>
      <c r="B7" s="1264">
        <f>RESUMEN!B58</f>
        <v>0</v>
      </c>
      <c r="C7" s="1265"/>
      <c r="D7" s="1177"/>
      <c r="E7" s="1266" t="s">
        <v>627</v>
      </c>
      <c r="F7" s="1267"/>
      <c r="G7" s="280" t="str">
        <f>RESUMEN!E58</f>
        <v>17-279</v>
      </c>
    </row>
    <row r="8" spans="1:7" x14ac:dyDescent="0.25">
      <c r="A8" s="271" t="s">
        <v>628</v>
      </c>
      <c r="B8" s="1264">
        <f>RESUMEN!C58</f>
        <v>0</v>
      </c>
      <c r="C8" s="1265"/>
      <c r="D8" s="1177"/>
      <c r="E8" s="1266" t="s">
        <v>629</v>
      </c>
      <c r="F8" s="1267"/>
      <c r="G8" s="280" t="str">
        <f>RESUMEN!U58</f>
        <v>Acta N° 5: Marzo</v>
      </c>
    </row>
    <row r="9" spans="1:7" x14ac:dyDescent="0.25">
      <c r="A9" s="271" t="s">
        <v>630</v>
      </c>
      <c r="B9" s="1283" t="s">
        <v>631</v>
      </c>
      <c r="C9" s="1265"/>
      <c r="D9" s="1177"/>
      <c r="E9" s="1266" t="s">
        <v>632</v>
      </c>
      <c r="F9" s="1267"/>
      <c r="G9" s="1178">
        <f>RESUMEN!H58</f>
        <v>13039080</v>
      </c>
    </row>
    <row r="10" spans="1:7" x14ac:dyDescent="0.25">
      <c r="A10" s="271" t="s">
        <v>633</v>
      </c>
      <c r="B10" s="1283" t="str">
        <f>RESUMEN!D58</f>
        <v>SANTANDERCITO</v>
      </c>
      <c r="C10" s="1265"/>
      <c r="D10" s="1177"/>
      <c r="E10" s="1266" t="s">
        <v>634</v>
      </c>
      <c r="F10" s="1267"/>
      <c r="G10" s="1178">
        <f>RESUMEN!R58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",RESUMEN!G58)</f>
        <v>A los 14 días del mes de Marzo se reunieron en las instalaciones de CODENSA S.A. E.S.P., los ingenieros Ing. Hernán Giraldo /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EXPANSIÓN ZONAS PERIFÉRICAS 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RESUMEN!N58</f>
        <v>0</v>
      </c>
      <c r="F19" s="1248"/>
      <c r="G19" s="1177"/>
    </row>
    <row r="20" spans="1:7" ht="27" customHeight="1" x14ac:dyDescent="0.25">
      <c r="A20" s="1177"/>
      <c r="B20" s="1244" t="s">
        <v>1498</v>
      </c>
      <c r="C20" s="1245"/>
      <c r="D20" s="1246"/>
      <c r="E20" s="1247">
        <f>RESUMEN!P58</f>
        <v>0</v>
      </c>
      <c r="F20" s="1248"/>
      <c r="G20" s="1177"/>
    </row>
    <row r="21" spans="1:7" ht="27" customHeight="1" x14ac:dyDescent="0.25">
      <c r="A21" s="1177"/>
      <c r="B21" s="1244" t="s">
        <v>1499</v>
      </c>
      <c r="C21" s="1245"/>
      <c r="D21" s="1246"/>
      <c r="E21" s="1247">
        <f>RESUMEN!Q58</f>
        <v>0</v>
      </c>
      <c r="F21" s="1248"/>
      <c r="G21" s="1177"/>
    </row>
    <row r="22" spans="1:7" x14ac:dyDescent="0.25">
      <c r="A22" s="1177"/>
      <c r="B22" s="1254" t="s">
        <v>64</v>
      </c>
      <c r="C22" s="1254"/>
      <c r="D22" s="1254"/>
      <c r="E22" s="1255">
        <f>RESUMEN!R58</f>
        <v>0</v>
      </c>
      <c r="F22" s="1255"/>
      <c r="G22" s="1177"/>
    </row>
    <row r="23" spans="1:7" x14ac:dyDescent="0.25">
      <c r="A23" s="1177"/>
      <c r="B23" s="1256" t="s">
        <v>66</v>
      </c>
      <c r="C23" s="1256"/>
      <c r="D23" s="1256"/>
      <c r="E23" s="1257">
        <f>RESUMEN!S58</f>
        <v>0</v>
      </c>
      <c r="F23" s="1257"/>
      <c r="G23" s="1177"/>
    </row>
    <row r="24" spans="1:7" x14ac:dyDescent="0.25">
      <c r="A24" s="1177"/>
      <c r="B24" s="1258" t="s">
        <v>1</v>
      </c>
      <c r="C24" s="1258"/>
      <c r="D24" s="1258"/>
      <c r="E24" s="1259">
        <f>RESUMEN!T58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+'OT17-279 SANTANDERCITO'!W39</f>
        <v>ACTA 1</v>
      </c>
      <c r="C28" s="1253">
        <f>+'OT17-279 SANTANDERCITO'!X39</f>
        <v>1382657.58</v>
      </c>
      <c r="D28" s="1253"/>
      <c r="E28" s="267">
        <f>+'OT17-279 SANTANDERCITO'!Y39</f>
        <v>0.10372552184878049</v>
      </c>
      <c r="F28" s="1177"/>
      <c r="G28" s="1177"/>
    </row>
    <row r="29" spans="1:7" x14ac:dyDescent="0.25">
      <c r="A29" s="1177"/>
      <c r="B29" s="280" t="str">
        <f>+'OT17-279 SANTANDERCITO'!W40</f>
        <v>ACTA 2</v>
      </c>
      <c r="C29" s="1253">
        <f>+'OT17-279 SANTANDERCITO'!X40</f>
        <v>6420120.8099999996</v>
      </c>
      <c r="D29" s="1253"/>
      <c r="E29" s="267">
        <f>+'OT17-279 SANTANDERCITO'!Y40</f>
        <v>0.48163073126859451</v>
      </c>
      <c r="F29" s="1177"/>
      <c r="G29" s="1177"/>
    </row>
    <row r="30" spans="1:7" x14ac:dyDescent="0.25">
      <c r="A30" s="1177"/>
      <c r="B30" s="280" t="str">
        <f>+'OT17-279 SANTANDERCITO'!W41</f>
        <v>ACTA 3</v>
      </c>
      <c r="C30" s="1253">
        <f>+'OT17-279 SANTANDERCITO'!X41</f>
        <v>3913566.65</v>
      </c>
      <c r="D30" s="1253"/>
      <c r="E30" s="267">
        <f>+'OT17-279 SANTANDERCITO'!Y41</f>
        <v>0.29359166646396545</v>
      </c>
      <c r="F30" s="1177"/>
      <c r="G30" s="1177"/>
    </row>
    <row r="31" spans="1:7" x14ac:dyDescent="0.25">
      <c r="A31" s="1177"/>
      <c r="B31" s="280" t="str">
        <f>+'OT17-279 SANTANDERCITO'!W42</f>
        <v>ACTA 4</v>
      </c>
      <c r="C31" s="1253">
        <f>+'OT17-279 SANTANDERCITO'!X42</f>
        <v>1248138</v>
      </c>
      <c r="D31" s="1253"/>
      <c r="E31" s="267">
        <f>+'OT17-279 SANTANDERCITO'!Y42</f>
        <v>9.3634004009360852E-2</v>
      </c>
      <c r="F31" s="1177"/>
      <c r="G31" s="1177"/>
    </row>
    <row r="32" spans="1:7" x14ac:dyDescent="0.25">
      <c r="A32" s="1177"/>
      <c r="B32" s="280" t="str">
        <f>+'OT17-279 SANTANDERCITO'!W43</f>
        <v>ACTA 5</v>
      </c>
      <c r="C32" s="1253">
        <f>+'OT17-279 SANTANDERCITO'!X43</f>
        <v>0</v>
      </c>
      <c r="D32" s="1253"/>
      <c r="E32" s="267">
        <f>+'OT17-279 SANTANDERCITO'!Y43</f>
        <v>0</v>
      </c>
      <c r="F32" s="1177"/>
      <c r="G32" s="1177"/>
    </row>
    <row r="33" spans="1:7" x14ac:dyDescent="0.25">
      <c r="A33" s="1177"/>
      <c r="B33" s="280"/>
      <c r="C33" s="1253"/>
      <c r="D33" s="1253"/>
      <c r="E33" s="267"/>
      <c r="F33" s="1177"/>
      <c r="G33" s="1177"/>
    </row>
    <row r="34" spans="1:7" x14ac:dyDescent="0.25">
      <c r="A34" s="1177"/>
      <c r="B34" s="263" t="s">
        <v>1</v>
      </c>
      <c r="C34" s="1251">
        <f>SUM(C28:D33)</f>
        <v>12964483.039999999</v>
      </c>
      <c r="D34" s="1251"/>
      <c r="E34" s="264">
        <f>SUM(E28:E33)</f>
        <v>0.97258192359070139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RESUMEN!V58</f>
        <v>Ing. Hernán Giraldo /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0:C40"/>
    <mergeCell ref="E40:G40"/>
    <mergeCell ref="A41:C41"/>
    <mergeCell ref="E41:G41"/>
    <mergeCell ref="A47:C47"/>
    <mergeCell ref="E47:G47"/>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 ref="A42:C42"/>
    <mergeCell ref="E42:G42"/>
    <mergeCell ref="A48:C48"/>
    <mergeCell ref="E48:G48"/>
    <mergeCell ref="A49:C49"/>
    <mergeCell ref="E49:G49"/>
  </mergeCells>
  <pageMargins left="0.70866141732283472" right="0.70866141732283472" top="1.3130314960629921" bottom="0.74803149606299213" header="0.31496062992125984" footer="0.31496062992125984"/>
  <pageSetup paperSize="9" scale="75" orientation="portrait" r:id="rId1"/>
  <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6">
    <tabColor rgb="FF72104A"/>
    <pageSetUpPr fitToPage="1"/>
  </sheetPr>
  <dimension ref="A1:AB49"/>
  <sheetViews>
    <sheetView topLeftCell="E22" zoomScale="70" zoomScaleNormal="70" workbookViewId="0">
      <selection activeCell="X31" sqref="X31"/>
    </sheetView>
  </sheetViews>
  <sheetFormatPr baseColWidth="10" defaultColWidth="9.109375" defaultRowHeight="14.4" x14ac:dyDescent="0.3"/>
  <cols>
    <col min="1" max="1" width="17.88671875" style="189" customWidth="1"/>
    <col min="2" max="2" width="22.33203125" style="189" customWidth="1"/>
    <col min="3" max="3" width="32.88671875" style="189" customWidth="1"/>
    <col min="4" max="4" width="22.88671875" style="189" customWidth="1"/>
    <col min="5" max="5" width="13" style="189" customWidth="1"/>
    <col min="6" max="6" width="17.88671875" style="189" bestFit="1" customWidth="1"/>
    <col min="7" max="7" width="17.88671875" style="852" customWidth="1"/>
    <col min="8" max="8" width="17.88671875" style="189" bestFit="1" customWidth="1"/>
    <col min="9" max="9" width="17.88671875" style="852" customWidth="1"/>
    <col min="10" max="10" width="40.33203125" style="189" customWidth="1"/>
    <col min="11" max="11" width="17.88671875" style="189" hidden="1" customWidth="1"/>
    <col min="12" max="12" width="18" style="189" hidden="1" customWidth="1"/>
    <col min="13" max="13" width="10" style="189" hidden="1" customWidth="1"/>
    <col min="14" max="14" width="17.88671875" style="189" hidden="1" customWidth="1"/>
    <col min="15" max="15" width="18" style="189" hidden="1" customWidth="1"/>
    <col min="16" max="16" width="10" style="189" hidden="1" customWidth="1"/>
    <col min="17" max="17" width="17.88671875" style="189" hidden="1" customWidth="1"/>
    <col min="18" max="18" width="18" style="189" hidden="1" customWidth="1"/>
    <col min="19" max="19" width="10" style="189" hidden="1" customWidth="1"/>
    <col min="20" max="20" width="17.88671875" style="852" bestFit="1" customWidth="1"/>
    <col min="21" max="21" width="18" style="852" bestFit="1" customWidth="1"/>
    <col min="22" max="22" width="10" style="852" bestFit="1" customWidth="1"/>
    <col min="23" max="23" width="15.109375" style="1055" customWidth="1"/>
    <col min="24" max="24" width="15.44140625" style="1055" customWidth="1"/>
    <col min="25" max="25" width="13.77734375" style="1055" customWidth="1"/>
    <col min="26" max="26" width="17.88671875" style="189" bestFit="1" customWidth="1"/>
    <col min="27" max="27" width="16.5546875" style="189" bestFit="1" customWidth="1"/>
    <col min="28" max="28" width="10" style="189" bestFit="1" customWidth="1"/>
    <col min="29" max="16384" width="9.109375" style="189"/>
  </cols>
  <sheetData>
    <row r="1" spans="1:28" s="302" customFormat="1" ht="25.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846"/>
      <c r="U1" s="846"/>
      <c r="V1" s="846"/>
      <c r="W1" s="1052"/>
      <c r="X1" s="1052"/>
      <c r="Y1" s="1052"/>
      <c r="Z1" s="1328" t="s">
        <v>841</v>
      </c>
      <c r="AA1" s="1303"/>
      <c r="AB1" s="1304"/>
    </row>
    <row r="2" spans="1:28" s="302" customFormat="1"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847"/>
      <c r="U2" s="847"/>
      <c r="V2" s="847"/>
      <c r="W2" s="1053"/>
      <c r="X2" s="1053"/>
      <c r="Y2" s="1053"/>
      <c r="Z2" s="1329" t="s">
        <v>41</v>
      </c>
      <c r="AA2" s="1305"/>
      <c r="AB2" s="1306"/>
    </row>
    <row r="3" spans="1:28"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s="302" customFormat="1" x14ac:dyDescent="0.3">
      <c r="A7" s="1291" t="s">
        <v>842</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s="302" customFormat="1"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s="302" customFormat="1" ht="13.5" customHeight="1" x14ac:dyDescent="0.3">
      <c r="A10" s="1292" t="s">
        <v>1125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s="302" customFormat="1" ht="13.5" customHeight="1" x14ac:dyDescent="0.3">
      <c r="A11" s="384"/>
      <c r="B11" s="1301"/>
      <c r="C11" s="1313"/>
      <c r="D11" s="1313"/>
      <c r="E11" s="1313"/>
      <c r="F11" s="1313"/>
      <c r="G11" s="1313"/>
      <c r="H11" s="1313"/>
      <c r="I11" s="1313"/>
      <c r="J11" s="1313"/>
      <c r="K11" s="1293" t="s">
        <v>986</v>
      </c>
      <c r="L11" s="1294"/>
      <c r="M11" s="1295"/>
      <c r="N11" s="1293" t="s">
        <v>986</v>
      </c>
      <c r="O11" s="1294"/>
      <c r="P11" s="1295"/>
      <c r="Q11" s="1293" t="s">
        <v>1719</v>
      </c>
      <c r="R11" s="1294"/>
      <c r="S11" s="1295"/>
      <c r="T11" s="1293" t="s">
        <v>2091</v>
      </c>
      <c r="U11" s="1294"/>
      <c r="V11" s="1295"/>
      <c r="W11" s="1293" t="s">
        <v>2328</v>
      </c>
      <c r="X11" s="1294"/>
      <c r="Y11" s="1295"/>
      <c r="Z11" s="1299" t="s">
        <v>49</v>
      </c>
      <c r="AA11" s="1299"/>
      <c r="AB11" s="1299"/>
    </row>
    <row r="12" spans="1:28"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25"/>
      <c r="X12" s="1326"/>
      <c r="Y12" s="1327"/>
      <c r="Z12" s="1300"/>
      <c r="AA12" s="1300"/>
      <c r="AB12" s="1300"/>
    </row>
    <row r="13" spans="1:28"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28" t="s">
        <v>54</v>
      </c>
      <c r="X13" s="28" t="s">
        <v>56</v>
      </c>
      <c r="Y13" s="28" t="s">
        <v>58</v>
      </c>
      <c r="Z13" s="174" t="s">
        <v>54</v>
      </c>
      <c r="AA13" s="172" t="s">
        <v>56</v>
      </c>
      <c r="AB13" s="28" t="s">
        <v>58</v>
      </c>
    </row>
    <row r="14" spans="1:28" ht="30" customHeight="1" x14ac:dyDescent="0.3">
      <c r="A14" s="1315" t="s">
        <v>1122</v>
      </c>
      <c r="B14" s="1314" t="s">
        <v>170</v>
      </c>
      <c r="C14" s="385" t="s">
        <v>83</v>
      </c>
      <c r="D14" s="385" t="s">
        <v>123</v>
      </c>
      <c r="E14" s="385">
        <v>0</v>
      </c>
      <c r="F14" s="192">
        <v>1044658</v>
      </c>
      <c r="G14" s="32">
        <f>+ROUND(F14*1.051,0)</f>
        <v>1097936</v>
      </c>
      <c r="H14" s="192">
        <f>ROUND((E14*F14),0)</f>
        <v>0</v>
      </c>
      <c r="I14" s="32">
        <f>+ROUND(G14*E14,0)</f>
        <v>0</v>
      </c>
      <c r="J14" s="1314" t="s">
        <v>834</v>
      </c>
      <c r="K14" s="158">
        <v>0</v>
      </c>
      <c r="L14" s="194">
        <f>ROUND(K14*$F$14,0)</f>
        <v>0</v>
      </c>
      <c r="M14" s="195">
        <v>0</v>
      </c>
      <c r="N14" s="432">
        <v>0</v>
      </c>
      <c r="O14" s="425">
        <f>ROUND(N14*$F$14,0)</f>
        <v>0</v>
      </c>
      <c r="P14" s="426">
        <v>0</v>
      </c>
      <c r="Q14" s="432">
        <v>0</v>
      </c>
      <c r="R14" s="425">
        <f>ROUND(Q14*$F$14,0)</f>
        <v>0</v>
      </c>
      <c r="S14" s="426">
        <v>0</v>
      </c>
      <c r="T14" s="432">
        <v>0</v>
      </c>
      <c r="U14" s="425">
        <f>ROUND(T14*G14,0)</f>
        <v>0</v>
      </c>
      <c r="V14" s="426">
        <f>+U14/G14</f>
        <v>0</v>
      </c>
      <c r="W14" s="432">
        <v>0</v>
      </c>
      <c r="X14" s="425">
        <f>ROUND(W14*G14,0)</f>
        <v>0</v>
      </c>
      <c r="Y14" s="1087">
        <v>0</v>
      </c>
      <c r="Z14" s="149">
        <f>K14+N14+Q14+T14+W14</f>
        <v>0</v>
      </c>
      <c r="AA14" s="175">
        <f>L14+O14+R14+U14+X14</f>
        <v>0</v>
      </c>
      <c r="AB14" s="176">
        <v>0</v>
      </c>
    </row>
    <row r="15" spans="1:28" ht="30" customHeight="1" x14ac:dyDescent="0.3">
      <c r="A15" s="1314"/>
      <c r="B15" s="1314"/>
      <c r="C15" s="385" t="s">
        <v>61</v>
      </c>
      <c r="D15" s="385" t="s">
        <v>125</v>
      </c>
      <c r="E15" s="385">
        <v>1</v>
      </c>
      <c r="F15" s="192">
        <v>1009836</v>
      </c>
      <c r="G15" s="32">
        <f>+ROUND(F15*1.051,0)</f>
        <v>1061338</v>
      </c>
      <c r="H15" s="192">
        <f>ROUND((E15*F15),0)</f>
        <v>1009836</v>
      </c>
      <c r="I15" s="32">
        <f>+ROUND(G15*E15,0)</f>
        <v>1061338</v>
      </c>
      <c r="J15" s="1314"/>
      <c r="K15" s="303">
        <v>0.3</v>
      </c>
      <c r="L15" s="304">
        <f>ROUND(K15*$F$15,0)</f>
        <v>302951</v>
      </c>
      <c r="M15" s="305">
        <f>L15/$H$15</f>
        <v>0.30000019805196093</v>
      </c>
      <c r="N15" s="432">
        <v>0</v>
      </c>
      <c r="O15" s="425">
        <f>ROUND(N15*$F$15,0)</f>
        <v>0</v>
      </c>
      <c r="P15" s="426">
        <f>O15/$H$15</f>
        <v>0</v>
      </c>
      <c r="Q15" s="433">
        <v>0.7</v>
      </c>
      <c r="R15" s="429">
        <f>ROUND(Q15*$F$15,0)</f>
        <v>706885</v>
      </c>
      <c r="S15" s="430">
        <f>R15/$H$15</f>
        <v>0.69999980194803912</v>
      </c>
      <c r="T15" s="432">
        <v>0</v>
      </c>
      <c r="U15" s="425">
        <f>ROUND(T15*G15,0)</f>
        <v>0</v>
      </c>
      <c r="V15" s="426">
        <f>+U15/G15</f>
        <v>0</v>
      </c>
      <c r="W15" s="432">
        <v>0</v>
      </c>
      <c r="X15" s="425">
        <f>ROUND(W15*G15,0)</f>
        <v>0</v>
      </c>
      <c r="Y15" s="451">
        <f t="shared" ref="Y15:Y29" si="0">+X15/I15</f>
        <v>0</v>
      </c>
      <c r="Z15" s="416">
        <f t="shared" ref="Z15:Z28" si="1">K15+N15+Q15+T15+W15</f>
        <v>1</v>
      </c>
      <c r="AA15" s="175">
        <f t="shared" ref="AA15:AA29" si="2">L15+O15+R15+U15+X15</f>
        <v>1009836</v>
      </c>
      <c r="AB15" s="176">
        <f>AA15/H15</f>
        <v>1</v>
      </c>
    </row>
    <row r="16" spans="1:28" x14ac:dyDescent="0.3">
      <c r="A16" s="1314"/>
      <c r="B16" s="1314"/>
      <c r="C16" s="196"/>
      <c r="D16" s="196" t="s">
        <v>126</v>
      </c>
      <c r="E16" s="198"/>
      <c r="F16" s="198"/>
      <c r="G16" s="198"/>
      <c r="H16" s="199">
        <f>SUM(H14:H15)</f>
        <v>1009836</v>
      </c>
      <c r="I16" s="199">
        <f>SUM(I14:I15)</f>
        <v>1061338</v>
      </c>
      <c r="J16" s="1314"/>
      <c r="K16" s="308"/>
      <c r="L16" s="179">
        <f>SUM(L14:L15)</f>
        <v>302951</v>
      </c>
      <c r="M16" s="308">
        <f>L16/$H$16</f>
        <v>0.30000019805196093</v>
      </c>
      <c r="N16" s="431"/>
      <c r="O16" s="179">
        <f>SUM(O14:O15)</f>
        <v>0</v>
      </c>
      <c r="P16" s="431">
        <f>O16/$H$16</f>
        <v>0</v>
      </c>
      <c r="Q16" s="431"/>
      <c r="R16" s="179">
        <f>SUM(R14:R15)</f>
        <v>706885</v>
      </c>
      <c r="S16" s="431">
        <f>R16/$H$16</f>
        <v>0.69999980194803912</v>
      </c>
      <c r="T16" s="431"/>
      <c r="U16" s="179">
        <f>SUM(U14:U15)</f>
        <v>0</v>
      </c>
      <c r="V16" s="431">
        <f>U16/$H$16</f>
        <v>0</v>
      </c>
      <c r="W16" s="431"/>
      <c r="X16" s="179">
        <f>SUM(X14:X15)</f>
        <v>0</v>
      </c>
      <c r="Y16" s="1102">
        <f t="shared" si="0"/>
        <v>0</v>
      </c>
      <c r="Z16" s="1093">
        <f t="shared" si="1"/>
        <v>0</v>
      </c>
      <c r="AA16" s="1078">
        <f t="shared" si="2"/>
        <v>1009836</v>
      </c>
      <c r="AB16" s="308">
        <f>AA16/H16</f>
        <v>1</v>
      </c>
    </row>
    <row r="17" spans="1:28" ht="30" customHeight="1" x14ac:dyDescent="0.3">
      <c r="A17" s="1315" t="s">
        <v>1123</v>
      </c>
      <c r="B17" s="1314" t="s">
        <v>170</v>
      </c>
      <c r="C17" s="385" t="s">
        <v>83</v>
      </c>
      <c r="D17" s="385" t="s">
        <v>123</v>
      </c>
      <c r="E17" s="385">
        <v>0</v>
      </c>
      <c r="F17" s="192">
        <v>1044658</v>
      </c>
      <c r="G17" s="32">
        <f t="shared" ref="G17:G18" si="3">+ROUND(F17*1.051,0)</f>
        <v>1097936</v>
      </c>
      <c r="H17" s="192">
        <f>ROUND((E17*F17),0)</f>
        <v>0</v>
      </c>
      <c r="I17" s="32">
        <f t="shared" ref="I17:I18" si="4">+ROUND(G17*E17,0)</f>
        <v>0</v>
      </c>
      <c r="J17" s="1314" t="s">
        <v>834</v>
      </c>
      <c r="K17" s="158">
        <v>0</v>
      </c>
      <c r="L17" s="194">
        <f>ROUND(K17*$F$17,0)</f>
        <v>0</v>
      </c>
      <c r="M17" s="195">
        <v>0</v>
      </c>
      <c r="N17" s="432">
        <v>0</v>
      </c>
      <c r="O17" s="425">
        <f>ROUND(N17*$F$17,0)</f>
        <v>0</v>
      </c>
      <c r="P17" s="426">
        <v>0</v>
      </c>
      <c r="Q17" s="432">
        <v>0</v>
      </c>
      <c r="R17" s="425">
        <f>ROUND(Q17*$F$17,0)</f>
        <v>0</v>
      </c>
      <c r="S17" s="426">
        <v>0</v>
      </c>
      <c r="T17" s="432">
        <v>0</v>
      </c>
      <c r="U17" s="425">
        <f t="shared" ref="U17:U18" si="5">ROUND(T17*G17,0)</f>
        <v>0</v>
      </c>
      <c r="V17" s="426">
        <f t="shared" ref="V17:V18" si="6">+U17/G17</f>
        <v>0</v>
      </c>
      <c r="W17" s="432">
        <v>0</v>
      </c>
      <c r="X17" s="425">
        <f>ROUND(W17*G17,0)</f>
        <v>0</v>
      </c>
      <c r="Y17" s="1087">
        <v>0</v>
      </c>
      <c r="Z17" s="416">
        <f t="shared" si="1"/>
        <v>0</v>
      </c>
      <c r="AA17" s="175">
        <f t="shared" si="2"/>
        <v>0</v>
      </c>
      <c r="AB17" s="176">
        <v>0</v>
      </c>
    </row>
    <row r="18" spans="1:28" ht="30" customHeight="1" x14ac:dyDescent="0.3">
      <c r="A18" s="1314"/>
      <c r="B18" s="1314"/>
      <c r="C18" s="385" t="s">
        <v>61</v>
      </c>
      <c r="D18" s="385" t="s">
        <v>125</v>
      </c>
      <c r="E18" s="385">
        <v>1</v>
      </c>
      <c r="F18" s="192">
        <v>1009836</v>
      </c>
      <c r="G18" s="32">
        <f t="shared" si="3"/>
        <v>1061338</v>
      </c>
      <c r="H18" s="192">
        <f>ROUND((E18*F18),0)</f>
        <v>1009836</v>
      </c>
      <c r="I18" s="32">
        <f t="shared" si="4"/>
        <v>1061338</v>
      </c>
      <c r="J18" s="1314"/>
      <c r="K18" s="303">
        <v>0.3</v>
      </c>
      <c r="L18" s="304">
        <f>ROUND(K18*$F$18,0)</f>
        <v>302951</v>
      </c>
      <c r="M18" s="305">
        <f>L18/$H$18</f>
        <v>0.30000019805196093</v>
      </c>
      <c r="N18" s="432">
        <v>0</v>
      </c>
      <c r="O18" s="425">
        <f>ROUND(N18*$F$18,0)</f>
        <v>0</v>
      </c>
      <c r="P18" s="426">
        <f>O18/$H$18</f>
        <v>0</v>
      </c>
      <c r="Q18" s="433">
        <v>0.7</v>
      </c>
      <c r="R18" s="429">
        <f>ROUND(Q18*$F$18,0)</f>
        <v>706885</v>
      </c>
      <c r="S18" s="430">
        <f>R18/$H$18</f>
        <v>0.69999980194803912</v>
      </c>
      <c r="T18" s="432">
        <v>0</v>
      </c>
      <c r="U18" s="425">
        <f t="shared" si="5"/>
        <v>0</v>
      </c>
      <c r="V18" s="426">
        <f t="shared" si="6"/>
        <v>0</v>
      </c>
      <c r="W18" s="432">
        <v>0</v>
      </c>
      <c r="X18" s="425">
        <f>ROUND(W18*G18,0)</f>
        <v>0</v>
      </c>
      <c r="Y18" s="451">
        <f t="shared" si="0"/>
        <v>0</v>
      </c>
      <c r="Z18" s="416">
        <f t="shared" si="1"/>
        <v>1</v>
      </c>
      <c r="AA18" s="175">
        <f t="shared" si="2"/>
        <v>1009836</v>
      </c>
      <c r="AB18" s="176">
        <f>AA18/H18</f>
        <v>1</v>
      </c>
    </row>
    <row r="19" spans="1:28" x14ac:dyDescent="0.3">
      <c r="A19" s="1314"/>
      <c r="B19" s="1314"/>
      <c r="C19" s="196"/>
      <c r="D19" s="196" t="s">
        <v>126</v>
      </c>
      <c r="E19" s="198"/>
      <c r="F19" s="198"/>
      <c r="G19" s="198"/>
      <c r="H19" s="199">
        <f>SUM(H17:H18)</f>
        <v>1009836</v>
      </c>
      <c r="I19" s="199">
        <f>SUM(I17:I18)</f>
        <v>1061338</v>
      </c>
      <c r="J19" s="1314"/>
      <c r="K19" s="308"/>
      <c r="L19" s="179">
        <f>SUM(L17:L18)</f>
        <v>302951</v>
      </c>
      <c r="M19" s="308">
        <f>L19/$H$19</f>
        <v>0.30000019805196093</v>
      </c>
      <c r="N19" s="431"/>
      <c r="O19" s="179">
        <f>SUM(O17:O18)</f>
        <v>0</v>
      </c>
      <c r="P19" s="431">
        <f>O19/$H$19</f>
        <v>0</v>
      </c>
      <c r="Q19" s="431"/>
      <c r="R19" s="179">
        <f>SUM(R17:R18)</f>
        <v>706885</v>
      </c>
      <c r="S19" s="431">
        <f>R19/$H$19</f>
        <v>0.69999980194803912</v>
      </c>
      <c r="T19" s="431"/>
      <c r="U19" s="179">
        <f>SUM(U17:U18)</f>
        <v>0</v>
      </c>
      <c r="V19" s="431">
        <f>U19/$H$19</f>
        <v>0</v>
      </c>
      <c r="W19" s="431"/>
      <c r="X19" s="179">
        <f>SUM(X17:X18)</f>
        <v>0</v>
      </c>
      <c r="Y19" s="1102">
        <f t="shared" si="0"/>
        <v>0</v>
      </c>
      <c r="Z19" s="1093">
        <f t="shared" si="1"/>
        <v>0</v>
      </c>
      <c r="AA19" s="1078">
        <f t="shared" si="2"/>
        <v>1009836</v>
      </c>
      <c r="AB19" s="308">
        <f>AA19/H19</f>
        <v>1</v>
      </c>
    </row>
    <row r="20" spans="1:28" ht="30" customHeight="1" x14ac:dyDescent="0.3">
      <c r="A20" s="1315" t="s">
        <v>1124</v>
      </c>
      <c r="B20" s="1314" t="s">
        <v>170</v>
      </c>
      <c r="C20" s="385" t="s">
        <v>83</v>
      </c>
      <c r="D20" s="385" t="s">
        <v>123</v>
      </c>
      <c r="E20" s="385">
        <v>0</v>
      </c>
      <c r="F20" s="192">
        <v>1044658</v>
      </c>
      <c r="G20" s="32">
        <f t="shared" ref="G20:G21" si="7">+ROUND(F20*1.051,0)</f>
        <v>1097936</v>
      </c>
      <c r="H20" s="192">
        <f>ROUND((E20*F20),0)</f>
        <v>0</v>
      </c>
      <c r="I20" s="32">
        <f t="shared" ref="I20:I21" si="8">+ROUND(G20*E20,0)</f>
        <v>0</v>
      </c>
      <c r="J20" s="1314" t="s">
        <v>834</v>
      </c>
      <c r="K20" s="158">
        <v>0</v>
      </c>
      <c r="L20" s="194">
        <f>ROUND(K20*$F$20,0)</f>
        <v>0</v>
      </c>
      <c r="M20" s="195">
        <v>0</v>
      </c>
      <c r="N20" s="432">
        <v>0</v>
      </c>
      <c r="O20" s="425">
        <f>ROUND(N20*$F$20,0)</f>
        <v>0</v>
      </c>
      <c r="P20" s="426">
        <v>0</v>
      </c>
      <c r="Q20" s="432">
        <v>0</v>
      </c>
      <c r="R20" s="425">
        <f>ROUND(Q20*$F$20,0)</f>
        <v>0</v>
      </c>
      <c r="S20" s="426">
        <v>0</v>
      </c>
      <c r="T20" s="432">
        <v>0</v>
      </c>
      <c r="U20" s="425">
        <f t="shared" ref="U20:U21" si="9">ROUND(T20*G20,0)</f>
        <v>0</v>
      </c>
      <c r="V20" s="426">
        <f t="shared" ref="V20:V21" si="10">+U20/G20</f>
        <v>0</v>
      </c>
      <c r="W20" s="432">
        <v>0</v>
      </c>
      <c r="X20" s="425">
        <f>ROUND(W20*G20,0)</f>
        <v>0</v>
      </c>
      <c r="Y20" s="1087">
        <v>0</v>
      </c>
      <c r="Z20" s="416">
        <f t="shared" si="1"/>
        <v>0</v>
      </c>
      <c r="AA20" s="175">
        <f t="shared" si="2"/>
        <v>0</v>
      </c>
      <c r="AB20" s="176">
        <v>0</v>
      </c>
    </row>
    <row r="21" spans="1:28" ht="30" customHeight="1" x14ac:dyDescent="0.3">
      <c r="A21" s="1314"/>
      <c r="B21" s="1314"/>
      <c r="C21" s="385" t="s">
        <v>61</v>
      </c>
      <c r="D21" s="385" t="s">
        <v>125</v>
      </c>
      <c r="E21" s="385">
        <v>1</v>
      </c>
      <c r="F21" s="192">
        <v>1009836</v>
      </c>
      <c r="G21" s="32">
        <f t="shared" si="7"/>
        <v>1061338</v>
      </c>
      <c r="H21" s="192">
        <f>ROUND((E21*F21),0)</f>
        <v>1009836</v>
      </c>
      <c r="I21" s="32">
        <f t="shared" si="8"/>
        <v>1061338</v>
      </c>
      <c r="J21" s="1314"/>
      <c r="K21" s="303">
        <v>0.3</v>
      </c>
      <c r="L21" s="304">
        <f>ROUND(K21*$F$21,0)</f>
        <v>302951</v>
      </c>
      <c r="M21" s="305">
        <f>L21/$H$21</f>
        <v>0.30000019805196093</v>
      </c>
      <c r="N21" s="432">
        <v>0</v>
      </c>
      <c r="O21" s="425">
        <f>ROUND(N21*$F$21,0)</f>
        <v>0</v>
      </c>
      <c r="P21" s="426">
        <f>O21/$H$21</f>
        <v>0</v>
      </c>
      <c r="Q21" s="433">
        <v>0.7</v>
      </c>
      <c r="R21" s="429">
        <f>ROUND(Q21*$F$21,0)</f>
        <v>706885</v>
      </c>
      <c r="S21" s="430">
        <f>R21/$H$21</f>
        <v>0.69999980194803912</v>
      </c>
      <c r="T21" s="432">
        <v>0</v>
      </c>
      <c r="U21" s="425">
        <f t="shared" si="9"/>
        <v>0</v>
      </c>
      <c r="V21" s="426">
        <f t="shared" si="10"/>
        <v>0</v>
      </c>
      <c r="W21" s="432">
        <v>0</v>
      </c>
      <c r="X21" s="425">
        <f>ROUND(W21*G21,0)</f>
        <v>0</v>
      </c>
      <c r="Y21" s="451">
        <f t="shared" si="0"/>
        <v>0</v>
      </c>
      <c r="Z21" s="416">
        <f t="shared" si="1"/>
        <v>1</v>
      </c>
      <c r="AA21" s="175">
        <f t="shared" si="2"/>
        <v>1009836</v>
      </c>
      <c r="AB21" s="176">
        <f>AA21/H21</f>
        <v>1</v>
      </c>
    </row>
    <row r="22" spans="1:28" x14ac:dyDescent="0.3">
      <c r="A22" s="1314"/>
      <c r="B22" s="1314"/>
      <c r="C22" s="196"/>
      <c r="D22" s="196" t="s">
        <v>126</v>
      </c>
      <c r="E22" s="198"/>
      <c r="F22" s="198"/>
      <c r="G22" s="198"/>
      <c r="H22" s="199">
        <f>SUM(H20:H21)</f>
        <v>1009836</v>
      </c>
      <c r="I22" s="199">
        <f>SUM(I20:I21)</f>
        <v>1061338</v>
      </c>
      <c r="J22" s="1314"/>
      <c r="K22" s="308"/>
      <c r="L22" s="179">
        <f>SUM(L20:L21)</f>
        <v>302951</v>
      </c>
      <c r="M22" s="308">
        <f>L22/$H$22</f>
        <v>0.30000019805196093</v>
      </c>
      <c r="N22" s="431"/>
      <c r="O22" s="179">
        <f>SUM(O20:O21)</f>
        <v>0</v>
      </c>
      <c r="P22" s="431">
        <f>O22/$H$22</f>
        <v>0</v>
      </c>
      <c r="Q22" s="431"/>
      <c r="R22" s="179">
        <f>SUM(R20:R21)</f>
        <v>706885</v>
      </c>
      <c r="S22" s="431">
        <f>R22/$H$22</f>
        <v>0.69999980194803912</v>
      </c>
      <c r="T22" s="431"/>
      <c r="U22" s="179">
        <f>SUM(U20:U21)</f>
        <v>0</v>
      </c>
      <c r="V22" s="431">
        <f>U22/$H$22</f>
        <v>0</v>
      </c>
      <c r="W22" s="431"/>
      <c r="X22" s="179">
        <f>SUM(X20:X21)</f>
        <v>0</v>
      </c>
      <c r="Y22" s="1102">
        <f t="shared" si="0"/>
        <v>0</v>
      </c>
      <c r="Z22" s="1093">
        <f t="shared" si="1"/>
        <v>0</v>
      </c>
      <c r="AA22" s="1078">
        <f t="shared" si="2"/>
        <v>1009836</v>
      </c>
      <c r="AB22" s="308">
        <f>AA22/H22</f>
        <v>1</v>
      </c>
    </row>
    <row r="23" spans="1:28" ht="30" customHeight="1" x14ac:dyDescent="0.3">
      <c r="A23" s="1315" t="s">
        <v>280</v>
      </c>
      <c r="B23" s="1314" t="s">
        <v>243</v>
      </c>
      <c r="C23" s="385" t="s">
        <v>59</v>
      </c>
      <c r="D23" s="385" t="s">
        <v>141</v>
      </c>
      <c r="E23" s="385">
        <v>0</v>
      </c>
      <c r="F23" s="192">
        <v>940192</v>
      </c>
      <c r="G23" s="32">
        <f t="shared" ref="G23:G24" si="11">+ROUND(F23*1.051,0)</f>
        <v>988142</v>
      </c>
      <c r="H23" s="192">
        <f>ROUND((E23*F23),0)</f>
        <v>0</v>
      </c>
      <c r="I23" s="32">
        <f t="shared" ref="I23:I24" si="12">+ROUND(G23*E23,0)</f>
        <v>0</v>
      </c>
      <c r="J23" s="1315" t="s">
        <v>427</v>
      </c>
      <c r="K23" s="158">
        <v>0</v>
      </c>
      <c r="L23" s="194">
        <f>ROUND(K23*$F$23,0)</f>
        <v>0</v>
      </c>
      <c r="M23" s="195">
        <v>0</v>
      </c>
      <c r="N23" s="432">
        <v>0</v>
      </c>
      <c r="O23" s="425">
        <f>ROUND(N23*$F$23,0)</f>
        <v>0</v>
      </c>
      <c r="P23" s="426">
        <v>0</v>
      </c>
      <c r="Q23" s="432">
        <v>0</v>
      </c>
      <c r="R23" s="425">
        <f>ROUND(Q23*$F$23,0)</f>
        <v>0</v>
      </c>
      <c r="S23" s="426">
        <v>0</v>
      </c>
      <c r="T23" s="432">
        <v>0</v>
      </c>
      <c r="U23" s="425">
        <f t="shared" ref="U23:U24" si="13">ROUND(T23*G23,0)</f>
        <v>0</v>
      </c>
      <c r="V23" s="426">
        <f t="shared" ref="V23:V24" si="14">+U23/G23</f>
        <v>0</v>
      </c>
      <c r="W23" s="432">
        <v>0</v>
      </c>
      <c r="X23" s="425">
        <f>ROUND(W23*G23,0)</f>
        <v>0</v>
      </c>
      <c r="Y23" s="1087">
        <v>0</v>
      </c>
      <c r="Z23" s="416">
        <f t="shared" si="1"/>
        <v>0</v>
      </c>
      <c r="AA23" s="175">
        <f t="shared" si="2"/>
        <v>0</v>
      </c>
      <c r="AB23" s="176">
        <v>0</v>
      </c>
    </row>
    <row r="24" spans="1:28" ht="30" customHeight="1" x14ac:dyDescent="0.3">
      <c r="A24" s="1314"/>
      <c r="B24" s="1314"/>
      <c r="C24" s="385" t="s">
        <v>61</v>
      </c>
      <c r="D24" s="385" t="s">
        <v>142</v>
      </c>
      <c r="E24" s="385">
        <v>0.15</v>
      </c>
      <c r="F24" s="192">
        <v>2890220</v>
      </c>
      <c r="G24" s="32">
        <f t="shared" si="11"/>
        <v>3037621</v>
      </c>
      <c r="H24" s="192">
        <f>ROUND((E24*F24),0)</f>
        <v>433533</v>
      </c>
      <c r="I24" s="32">
        <f t="shared" si="12"/>
        <v>455643</v>
      </c>
      <c r="J24" s="1314"/>
      <c r="K24" s="303">
        <v>0.15</v>
      </c>
      <c r="L24" s="304">
        <f>ROUND(K24*$F$24,0)</f>
        <v>433533</v>
      </c>
      <c r="M24" s="305">
        <f>L24/$H$24</f>
        <v>1</v>
      </c>
      <c r="N24" s="432">
        <v>0</v>
      </c>
      <c r="O24" s="425">
        <f>ROUND(N24*$F$24,0)</f>
        <v>0</v>
      </c>
      <c r="P24" s="426">
        <f>O24/$H$24</f>
        <v>0</v>
      </c>
      <c r="Q24" s="432">
        <v>0</v>
      </c>
      <c r="R24" s="425">
        <f>ROUND(Q24*$F$24,0)</f>
        <v>0</v>
      </c>
      <c r="S24" s="426">
        <f>R24/$H$24</f>
        <v>0</v>
      </c>
      <c r="T24" s="432">
        <v>0</v>
      </c>
      <c r="U24" s="425">
        <f t="shared" si="13"/>
        <v>0</v>
      </c>
      <c r="V24" s="426">
        <f t="shared" si="14"/>
        <v>0</v>
      </c>
      <c r="W24" s="432">
        <v>0</v>
      </c>
      <c r="X24" s="425">
        <f>ROUND(W24*G24,0)</f>
        <v>0</v>
      </c>
      <c r="Y24" s="1087">
        <f t="shared" si="0"/>
        <v>0</v>
      </c>
      <c r="Z24" s="416">
        <f>K24+N24+Q24+T24+W24</f>
        <v>0.15</v>
      </c>
      <c r="AA24" s="175">
        <f t="shared" si="2"/>
        <v>433533</v>
      </c>
      <c r="AB24" s="176">
        <f t="shared" ref="AB24:AB29" si="15">AA24/H24</f>
        <v>1</v>
      </c>
    </row>
    <row r="25" spans="1:28" x14ac:dyDescent="0.3">
      <c r="A25" s="1314"/>
      <c r="B25" s="1314"/>
      <c r="C25" s="196"/>
      <c r="D25" s="196" t="s">
        <v>143</v>
      </c>
      <c r="E25" s="198"/>
      <c r="F25" s="198"/>
      <c r="G25" s="198"/>
      <c r="H25" s="199">
        <f>SUM(H23:H24)</f>
        <v>433533</v>
      </c>
      <c r="I25" s="199">
        <f>SUM(I23:I24)</f>
        <v>455643</v>
      </c>
      <c r="J25" s="1314"/>
      <c r="K25" s="308"/>
      <c r="L25" s="179">
        <f>SUM(L23:L24)</f>
        <v>433533</v>
      </c>
      <c r="M25" s="308">
        <f>L25/$H$25</f>
        <v>1</v>
      </c>
      <c r="N25" s="431"/>
      <c r="O25" s="179">
        <f>SUM(O23:O24)</f>
        <v>0</v>
      </c>
      <c r="P25" s="431">
        <f>O25/$H$25</f>
        <v>0</v>
      </c>
      <c r="Q25" s="431"/>
      <c r="R25" s="179">
        <f>SUM(R23:R24)</f>
        <v>0</v>
      </c>
      <c r="S25" s="431">
        <f>R25/$H$25</f>
        <v>0</v>
      </c>
      <c r="T25" s="431"/>
      <c r="U25" s="179">
        <f>SUM(U23:U24)</f>
        <v>0</v>
      </c>
      <c r="V25" s="431">
        <f>U25/$H$25</f>
        <v>0</v>
      </c>
      <c r="W25" s="431"/>
      <c r="X25" s="179">
        <f>SUM(X23:X24)</f>
        <v>0</v>
      </c>
      <c r="Y25" s="1088">
        <f t="shared" si="0"/>
        <v>0</v>
      </c>
      <c r="Z25" s="1093">
        <f t="shared" si="1"/>
        <v>0</v>
      </c>
      <c r="AA25" s="1078">
        <f t="shared" si="2"/>
        <v>433533</v>
      </c>
      <c r="AB25" s="308">
        <f t="shared" si="15"/>
        <v>1</v>
      </c>
    </row>
    <row r="26" spans="1:28" ht="30" customHeight="1" x14ac:dyDescent="0.3">
      <c r="A26" s="1315" t="s">
        <v>897</v>
      </c>
      <c r="B26" s="1314" t="s">
        <v>194</v>
      </c>
      <c r="C26" s="385" t="s">
        <v>160</v>
      </c>
      <c r="D26" s="385" t="s">
        <v>161</v>
      </c>
      <c r="E26" s="385">
        <v>48</v>
      </c>
      <c r="F26" s="192">
        <v>69644</v>
      </c>
      <c r="G26" s="32">
        <f>+ROUND(F26*1.051,0)</f>
        <v>73196</v>
      </c>
      <c r="H26" s="192">
        <f>ROUND((E26*F26),0)</f>
        <v>3342912</v>
      </c>
      <c r="I26" s="32">
        <f>+ROUND(G26*E26,0)</f>
        <v>3513408</v>
      </c>
      <c r="J26" s="1314" t="s">
        <v>840</v>
      </c>
      <c r="K26" s="158">
        <v>0</v>
      </c>
      <c r="L26" s="194">
        <f>ROUND(K26*$F$26,0)</f>
        <v>0</v>
      </c>
      <c r="M26" s="195">
        <f>L26/$H$26</f>
        <v>0</v>
      </c>
      <c r="N26" s="432">
        <v>0</v>
      </c>
      <c r="O26" s="425">
        <f>ROUND(N26*$F$26,0)</f>
        <v>0</v>
      </c>
      <c r="P26" s="426">
        <f>O26/$H$26</f>
        <v>0</v>
      </c>
      <c r="Q26" s="433">
        <v>24</v>
      </c>
      <c r="R26" s="429">
        <f>ROUND(Q26*$F$26,0)</f>
        <v>1671456</v>
      </c>
      <c r="S26" s="430">
        <f>R26/$H$26</f>
        <v>0.5</v>
      </c>
      <c r="T26" s="433">
        <f>24*70%</f>
        <v>16.799999999999997</v>
      </c>
      <c r="U26" s="429">
        <f>ROUND(T26*G26,0)</f>
        <v>1229693</v>
      </c>
      <c r="V26" s="430">
        <f>+U26/H26</f>
        <v>0.3678508438152126</v>
      </c>
      <c r="W26" s="432">
        <v>0</v>
      </c>
      <c r="X26" s="425">
        <f>ROUND(W26*G26,0)</f>
        <v>0</v>
      </c>
      <c r="Y26" s="451">
        <f t="shared" si="0"/>
        <v>0</v>
      </c>
      <c r="Z26" s="416">
        <f t="shared" si="1"/>
        <v>40.799999999999997</v>
      </c>
      <c r="AA26" s="175">
        <f t="shared" si="2"/>
        <v>2901149</v>
      </c>
      <c r="AB26" s="176">
        <f t="shared" si="15"/>
        <v>0.8678508438152126</v>
      </c>
    </row>
    <row r="27" spans="1:28" x14ac:dyDescent="0.3">
      <c r="A27" s="1314"/>
      <c r="B27" s="1314"/>
      <c r="C27" s="196"/>
      <c r="D27" s="196" t="s">
        <v>162</v>
      </c>
      <c r="E27" s="198"/>
      <c r="F27" s="198"/>
      <c r="G27" s="198"/>
      <c r="H27" s="199">
        <f>H26</f>
        <v>3342912</v>
      </c>
      <c r="I27" s="199">
        <f>SUM(I26)</f>
        <v>3513408</v>
      </c>
      <c r="J27" s="1314"/>
      <c r="K27" s="308"/>
      <c r="L27" s="179">
        <f>SUM(L26)</f>
        <v>0</v>
      </c>
      <c r="M27" s="308">
        <f>L27/$H$27</f>
        <v>0</v>
      </c>
      <c r="N27" s="431"/>
      <c r="O27" s="179">
        <f>SUM(O26)</f>
        <v>0</v>
      </c>
      <c r="P27" s="431">
        <f>O27/$H$27</f>
        <v>0</v>
      </c>
      <c r="Q27" s="431"/>
      <c r="R27" s="179">
        <f>SUM(R26)</f>
        <v>1671456</v>
      </c>
      <c r="S27" s="431">
        <f>R27/$H$27</f>
        <v>0.5</v>
      </c>
      <c r="T27" s="431"/>
      <c r="U27" s="179">
        <f>SUM(U26)</f>
        <v>1229693</v>
      </c>
      <c r="V27" s="431">
        <f>U27/$H$27</f>
        <v>0.3678508438152126</v>
      </c>
      <c r="W27" s="431"/>
      <c r="X27" s="179">
        <f>SUM(X26)</f>
        <v>0</v>
      </c>
      <c r="Y27" s="1102">
        <f t="shared" si="0"/>
        <v>0</v>
      </c>
      <c r="Z27" s="1093">
        <f t="shared" si="1"/>
        <v>0</v>
      </c>
      <c r="AA27" s="1078">
        <f t="shared" si="2"/>
        <v>2901149</v>
      </c>
      <c r="AB27" s="1090">
        <f t="shared" si="15"/>
        <v>0.8678508438152126</v>
      </c>
    </row>
    <row r="28" spans="1:28" ht="30" customHeight="1" x14ac:dyDescent="0.3">
      <c r="A28" s="1315" t="s">
        <v>897</v>
      </c>
      <c r="B28" s="1314" t="s">
        <v>284</v>
      </c>
      <c r="C28" s="385" t="s">
        <v>148</v>
      </c>
      <c r="D28" s="385" t="s">
        <v>181</v>
      </c>
      <c r="E28" s="385">
        <v>1</v>
      </c>
      <c r="F28" s="192">
        <v>6233127</v>
      </c>
      <c r="G28" s="32">
        <f>+ROUND(F28*1.051,0)</f>
        <v>6551016</v>
      </c>
      <c r="H28" s="192">
        <f>ROUND((E28*F28),0)</f>
        <v>6233127</v>
      </c>
      <c r="I28" s="32">
        <f>+ROUND(G28*E28,0)</f>
        <v>6551016</v>
      </c>
      <c r="J28" s="1314" t="s">
        <v>430</v>
      </c>
      <c r="K28" s="158">
        <v>0</v>
      </c>
      <c r="L28" s="194">
        <f>ROUND(K28*$F$28,0)</f>
        <v>0</v>
      </c>
      <c r="M28" s="195">
        <f>L28/$H$28</f>
        <v>0</v>
      </c>
      <c r="N28" s="433">
        <v>1</v>
      </c>
      <c r="O28" s="429">
        <f>ROUND(N28*$F$28,0)</f>
        <v>6233127</v>
      </c>
      <c r="P28" s="430">
        <f>O28/$H$28</f>
        <v>1</v>
      </c>
      <c r="Q28" s="432">
        <v>0</v>
      </c>
      <c r="R28" s="425">
        <f>ROUND(Q28*$F$28,0)</f>
        <v>0</v>
      </c>
      <c r="S28" s="426">
        <f>R28/$H$28</f>
        <v>0</v>
      </c>
      <c r="T28" s="432">
        <v>0</v>
      </c>
      <c r="U28" s="425">
        <f>ROUND(T28*G28,0)</f>
        <v>0</v>
      </c>
      <c r="V28" s="426">
        <f>+U28/G28</f>
        <v>0</v>
      </c>
      <c r="W28" s="432">
        <v>0</v>
      </c>
      <c r="X28" s="425">
        <f>ROUND(W28*G28,0)</f>
        <v>0</v>
      </c>
      <c r="Y28" s="451">
        <f t="shared" si="0"/>
        <v>0</v>
      </c>
      <c r="Z28" s="416">
        <f t="shared" si="1"/>
        <v>1</v>
      </c>
      <c r="AA28" s="175">
        <f t="shared" si="2"/>
        <v>6233127</v>
      </c>
      <c r="AB28" s="176">
        <f t="shared" si="15"/>
        <v>1</v>
      </c>
    </row>
    <row r="29" spans="1:28" x14ac:dyDescent="0.3">
      <c r="A29" s="1314"/>
      <c r="B29" s="1314"/>
      <c r="C29" s="196"/>
      <c r="D29" s="196" t="s">
        <v>183</v>
      </c>
      <c r="E29" s="198"/>
      <c r="F29" s="198"/>
      <c r="G29" s="198"/>
      <c r="H29" s="199">
        <f>H28</f>
        <v>6233127</v>
      </c>
      <c r="I29" s="199">
        <f>SUM(I28)</f>
        <v>6551016</v>
      </c>
      <c r="J29" s="1314"/>
      <c r="K29" s="308"/>
      <c r="L29" s="179">
        <f>SUM(L28)</f>
        <v>0</v>
      </c>
      <c r="M29" s="308">
        <f>L29/$H$29</f>
        <v>0</v>
      </c>
      <c r="N29" s="431"/>
      <c r="O29" s="179">
        <f>SUM(O28)</f>
        <v>6233127</v>
      </c>
      <c r="P29" s="431">
        <f>O29/$H$29</f>
        <v>1</v>
      </c>
      <c r="Q29" s="431"/>
      <c r="R29" s="179">
        <f>SUM(R28)</f>
        <v>0</v>
      </c>
      <c r="S29" s="431">
        <f>R29/$H$29</f>
        <v>0</v>
      </c>
      <c r="T29" s="431"/>
      <c r="U29" s="179">
        <f>SUM(U28)</f>
        <v>0</v>
      </c>
      <c r="V29" s="431">
        <f>U29/$H$29</f>
        <v>0</v>
      </c>
      <c r="W29" s="431"/>
      <c r="X29" s="179">
        <f>SUM(X28)</f>
        <v>0</v>
      </c>
      <c r="Y29" s="1102">
        <f t="shared" si="0"/>
        <v>0</v>
      </c>
      <c r="Z29" s="1096"/>
      <c r="AA29" s="1078">
        <f t="shared" si="2"/>
        <v>6233127</v>
      </c>
      <c r="AB29" s="308">
        <f t="shared" si="15"/>
        <v>1</v>
      </c>
    </row>
    <row r="30" spans="1:28" x14ac:dyDescent="0.3">
      <c r="F30" s="151" t="s">
        <v>64</v>
      </c>
      <c r="G30" s="151"/>
      <c r="H30" s="181">
        <f>SUM(H14:H29)/2</f>
        <v>13039080</v>
      </c>
      <c r="I30" s="181">
        <f>SUM(I14:I29)/2</f>
        <v>13704081</v>
      </c>
      <c r="K30" s="151" t="s">
        <v>64</v>
      </c>
      <c r="L30" s="181">
        <f>SUM(L14:L29)/2</f>
        <v>1342386</v>
      </c>
      <c r="N30" s="151" t="s">
        <v>64</v>
      </c>
      <c r="O30" s="181">
        <f>SUM(O14:O29)/2</f>
        <v>6233127</v>
      </c>
      <c r="Q30" s="480" t="s">
        <v>64</v>
      </c>
      <c r="R30" s="481">
        <f>SUM(R14:R29)/2</f>
        <v>3792111</v>
      </c>
      <c r="T30" s="480" t="s">
        <v>64</v>
      </c>
      <c r="U30" s="481">
        <f>SUM(U14:U29)/2</f>
        <v>1229693</v>
      </c>
      <c r="W30" s="480" t="s">
        <v>64</v>
      </c>
      <c r="X30" s="481">
        <f>SUM(X14:X29)/2</f>
        <v>0</v>
      </c>
      <c r="Z30" s="480" t="s">
        <v>64</v>
      </c>
      <c r="AA30" s="481">
        <f>SUM(AA14:AA29)/2</f>
        <v>12597317</v>
      </c>
    </row>
    <row r="31" spans="1:28" x14ac:dyDescent="0.3">
      <c r="F31" s="153" t="s">
        <v>65</v>
      </c>
      <c r="G31" s="153"/>
      <c r="H31" s="181">
        <f>((H16*0.03)+(H19*0.03)+(H22*0.03)+(H25*0.03)+(H29*0.03))</f>
        <v>290885.03999999998</v>
      </c>
      <c r="I31" s="181">
        <f>((I16*0.03)+(I19*0.03)+(I22*0.03)+(I25*0.03)+(I29*0.03))</f>
        <v>305720.18999999994</v>
      </c>
      <c r="K31" s="153" t="s">
        <v>65</v>
      </c>
      <c r="L31" s="181">
        <f>((L16*0.03)+(L19*0.03)+(L22*0.03)+(L25*0.03)+(L29*0.03))</f>
        <v>40271.579999999994</v>
      </c>
      <c r="N31" s="153" t="s">
        <v>65</v>
      </c>
      <c r="O31" s="181">
        <f>((O16*0.03)+(O19*0.03)+(O22*0.03)+(O25*0.03)+(O29*0.03))</f>
        <v>186993.81</v>
      </c>
      <c r="Q31" s="482" t="s">
        <v>65</v>
      </c>
      <c r="R31" s="481">
        <f>((R16*0.03)+(R19*0.03)+(R22*0.03)+(R25*0.03)+(R29*0.03))</f>
        <v>63619.649999999994</v>
      </c>
      <c r="T31" s="482" t="s">
        <v>65</v>
      </c>
      <c r="U31" s="481">
        <f>((U16*0.03)+(U19*0.03)+(U22*0.03)+(U25*0.03)+(U29*0.03))</f>
        <v>0</v>
      </c>
      <c r="W31" s="482" t="s">
        <v>65</v>
      </c>
      <c r="X31" s="481">
        <f>((X16*0.03)+(X19*0.03)+(X22*0.03)+(X25*0.03)+(X29*0.03))</f>
        <v>0</v>
      </c>
      <c r="Z31" s="482" t="s">
        <v>65</v>
      </c>
      <c r="AA31" s="481">
        <f>+U31+R31+O31+L31</f>
        <v>290885.03999999998</v>
      </c>
    </row>
    <row r="32" spans="1:28" x14ac:dyDescent="0.3">
      <c r="F32" s="152" t="s">
        <v>64</v>
      </c>
      <c r="G32" s="152"/>
      <c r="H32" s="340">
        <f>SUM(H30:H31)</f>
        <v>13329965.039999999</v>
      </c>
      <c r="I32" s="340">
        <f>SUM(I30:I31)</f>
        <v>14009801.189999999</v>
      </c>
      <c r="K32" s="152" t="s">
        <v>64</v>
      </c>
      <c r="L32" s="340">
        <f>SUM(L30:L31)</f>
        <v>1382657.58</v>
      </c>
      <c r="M32" s="131">
        <f>L32/$H$32</f>
        <v>0.10372552184878049</v>
      </c>
      <c r="N32" s="152" t="s">
        <v>64</v>
      </c>
      <c r="O32" s="340">
        <f>SUM(O30:O31)</f>
        <v>6420120.8099999996</v>
      </c>
      <c r="P32" s="131">
        <f>O32/$H$32</f>
        <v>0.48163073126859451</v>
      </c>
      <c r="Q32" s="484" t="s">
        <v>64</v>
      </c>
      <c r="R32" s="550">
        <f>SUM(R30:R31)</f>
        <v>3855730.65</v>
      </c>
      <c r="T32" s="484" t="s">
        <v>64</v>
      </c>
      <c r="U32" s="550">
        <f>SUM(U30:U31)</f>
        <v>1229693</v>
      </c>
      <c r="W32" s="484" t="s">
        <v>64</v>
      </c>
      <c r="X32" s="550">
        <f>SUM(X30:X31)</f>
        <v>0</v>
      </c>
      <c r="Z32" s="484" t="s">
        <v>64</v>
      </c>
      <c r="AA32" s="550">
        <f>SUM(AA30:AA31)</f>
        <v>12888202.039999999</v>
      </c>
    </row>
    <row r="33" spans="1:28" ht="26.4" x14ac:dyDescent="0.3">
      <c r="F33" s="152"/>
      <c r="G33" s="152"/>
      <c r="H33" s="340"/>
      <c r="I33" s="340"/>
      <c r="K33" s="152"/>
      <c r="L33" s="340"/>
      <c r="M33" s="131"/>
      <c r="N33" s="152"/>
      <c r="O33" s="340"/>
      <c r="P33" s="131"/>
      <c r="Q33" s="484" t="s">
        <v>1439</v>
      </c>
      <c r="R33" s="483">
        <f>ROUND(R32*0.015,0)</f>
        <v>57836</v>
      </c>
      <c r="S33" s="131"/>
      <c r="T33" s="484" t="s">
        <v>1439</v>
      </c>
      <c r="U33" s="483">
        <f>ROUND(U32*0.015,0)</f>
        <v>18445</v>
      </c>
      <c r="V33" s="131"/>
      <c r="W33" s="484" t="s">
        <v>1439</v>
      </c>
      <c r="X33" s="483">
        <f>ROUND(X32*0.015,0)</f>
        <v>0</v>
      </c>
      <c r="Y33" s="131"/>
      <c r="Z33" s="484" t="s">
        <v>1439</v>
      </c>
      <c r="AA33" s="550">
        <f>L33+O33+R33+U33++X33</f>
        <v>76281</v>
      </c>
      <c r="AB33" s="131"/>
    </row>
    <row r="34" spans="1:28" ht="39.6" x14ac:dyDescent="0.3">
      <c r="F34" s="152"/>
      <c r="G34" s="152"/>
      <c r="H34" s="340"/>
      <c r="I34" s="340"/>
      <c r="K34" s="152"/>
      <c r="L34" s="340"/>
      <c r="M34" s="131"/>
      <c r="N34" s="152"/>
      <c r="O34" s="340"/>
      <c r="P34" s="131"/>
      <c r="Q34" s="152" t="s">
        <v>1440</v>
      </c>
      <c r="R34" s="182">
        <f>R32+R33</f>
        <v>3913566.65</v>
      </c>
      <c r="S34" s="131">
        <f>R34/$H$32</f>
        <v>0.29359166646396545</v>
      </c>
      <c r="T34" s="152" t="s">
        <v>1440</v>
      </c>
      <c r="U34" s="182">
        <f>U32+U33</f>
        <v>1248138</v>
      </c>
      <c r="V34" s="131">
        <f>U34/$H$32</f>
        <v>9.3634004009360852E-2</v>
      </c>
      <c r="W34" s="152" t="s">
        <v>1440</v>
      </c>
      <c r="X34" s="182">
        <f>X32+X33</f>
        <v>0</v>
      </c>
      <c r="Y34" s="131">
        <f>X34/$H$32</f>
        <v>0</v>
      </c>
      <c r="Z34" s="152" t="s">
        <v>1440</v>
      </c>
      <c r="AA34" s="182">
        <f>AA32+AA33</f>
        <v>12964483.039999999</v>
      </c>
      <c r="AB34" s="131">
        <f>AA34/H32</f>
        <v>0.97258192359070128</v>
      </c>
    </row>
    <row r="35" spans="1:28" x14ac:dyDescent="0.3">
      <c r="F35" s="154" t="s">
        <v>66</v>
      </c>
      <c r="G35" s="154"/>
      <c r="H35" s="181">
        <f>+H32*19%</f>
        <v>2532693.3575999998</v>
      </c>
      <c r="I35" s="181">
        <f>+I32*19%</f>
        <v>2661862.2261000001</v>
      </c>
      <c r="K35" s="154" t="s">
        <v>66</v>
      </c>
      <c r="L35" s="181">
        <f>+L32*19%</f>
        <v>262704.94020000001</v>
      </c>
      <c r="N35" s="154" t="s">
        <v>66</v>
      </c>
      <c r="O35" s="181">
        <f>+O32*19%</f>
        <v>1219822.9538999998</v>
      </c>
      <c r="Q35" s="485" t="s">
        <v>66</v>
      </c>
      <c r="R35" s="483">
        <f>ROUND(R34*0.19,0)</f>
        <v>743578</v>
      </c>
      <c r="T35" s="485" t="s">
        <v>66</v>
      </c>
      <c r="U35" s="483">
        <f>ROUND(U34*0.19,0)</f>
        <v>237146</v>
      </c>
      <c r="W35" s="485" t="s">
        <v>66</v>
      </c>
      <c r="X35" s="483">
        <f>ROUND(X34*0.19,0)</f>
        <v>0</v>
      </c>
      <c r="Z35" s="485" t="s">
        <v>66</v>
      </c>
      <c r="AA35" s="483">
        <f>ROUND(AA34*0.19,0)</f>
        <v>2463252</v>
      </c>
    </row>
    <row r="36" spans="1:28" x14ac:dyDescent="0.3">
      <c r="F36" s="155" t="s">
        <v>69</v>
      </c>
      <c r="G36" s="155"/>
      <c r="H36" s="181">
        <f>+H32+H35</f>
        <v>15862658.397599999</v>
      </c>
      <c r="I36" s="181">
        <f>+I32+I35</f>
        <v>16671663.416099999</v>
      </c>
      <c r="K36" s="155" t="s">
        <v>69</v>
      </c>
      <c r="L36" s="181">
        <f>+L32+L35</f>
        <v>1645362.5202000001</v>
      </c>
      <c r="N36" s="155" t="s">
        <v>69</v>
      </c>
      <c r="O36" s="181">
        <f>+O32+O35</f>
        <v>7639943.7638999997</v>
      </c>
      <c r="Q36" s="545" t="s">
        <v>69</v>
      </c>
      <c r="R36" s="481">
        <f>R34+R35</f>
        <v>4657144.6500000004</v>
      </c>
      <c r="T36" s="545" t="s">
        <v>69</v>
      </c>
      <c r="U36" s="481">
        <f>U34+U35</f>
        <v>1485284</v>
      </c>
      <c r="W36" s="545" t="s">
        <v>69</v>
      </c>
      <c r="X36" s="481">
        <f>X34+X35</f>
        <v>0</v>
      </c>
      <c r="Z36" s="545" t="s">
        <v>69</v>
      </c>
      <c r="AA36" s="481">
        <f>AA34+AA35</f>
        <v>15427735.039999999</v>
      </c>
    </row>
    <row r="38" spans="1:28" x14ac:dyDescent="0.3">
      <c r="A38" s="183" t="s">
        <v>67</v>
      </c>
      <c r="B38" s="184"/>
      <c r="C38" s="184"/>
      <c r="D38" s="185" t="s">
        <v>68</v>
      </c>
      <c r="K38" s="186" t="s">
        <v>70</v>
      </c>
      <c r="L38" s="187" t="s">
        <v>71</v>
      </c>
      <c r="M38" s="186" t="s">
        <v>58</v>
      </c>
      <c r="N38" s="186" t="s">
        <v>70</v>
      </c>
      <c r="O38" s="187" t="s">
        <v>71</v>
      </c>
      <c r="P38" s="186" t="s">
        <v>58</v>
      </c>
      <c r="Q38" s="186" t="s">
        <v>70</v>
      </c>
      <c r="R38" s="187" t="s">
        <v>71</v>
      </c>
      <c r="S38" s="186" t="s">
        <v>58</v>
      </c>
      <c r="T38" s="186" t="s">
        <v>70</v>
      </c>
      <c r="U38" s="187" t="s">
        <v>71</v>
      </c>
      <c r="V38" s="186" t="s">
        <v>58</v>
      </c>
      <c r="W38" s="186" t="s">
        <v>70</v>
      </c>
      <c r="X38" s="187" t="s">
        <v>71</v>
      </c>
      <c r="Y38" s="186" t="s">
        <v>58</v>
      </c>
      <c r="Z38" s="302"/>
      <c r="AA38" s="302"/>
      <c r="AB38" s="302"/>
    </row>
    <row r="39" spans="1:28" x14ac:dyDescent="0.3">
      <c r="A39" s="183"/>
      <c r="B39" s="184"/>
      <c r="C39" s="184"/>
      <c r="D39" s="185"/>
      <c r="K39" s="69" t="s">
        <v>72</v>
      </c>
      <c r="L39" s="70">
        <f>$L$32</f>
        <v>1382657.58</v>
      </c>
      <c r="M39" s="71">
        <f>M32</f>
        <v>0.10372552184878049</v>
      </c>
      <c r="N39" s="69" t="s">
        <v>72</v>
      </c>
      <c r="O39" s="70">
        <f>$L$32</f>
        <v>1382657.58</v>
      </c>
      <c r="P39" s="71">
        <f>$P$32</f>
        <v>0.48163073126859451</v>
      </c>
      <c r="Q39" s="69" t="s">
        <v>72</v>
      </c>
      <c r="R39" s="70">
        <f>$L$32</f>
        <v>1382657.58</v>
      </c>
      <c r="S39" s="71">
        <f>$M$32</f>
        <v>0.10372552184878049</v>
      </c>
      <c r="T39" s="69" t="s">
        <v>72</v>
      </c>
      <c r="U39" s="70">
        <f>$L$32</f>
        <v>1382657.58</v>
      </c>
      <c r="V39" s="71">
        <f>$M$32</f>
        <v>0.10372552184878049</v>
      </c>
      <c r="W39" s="69" t="s">
        <v>72</v>
      </c>
      <c r="X39" s="70">
        <f>$L$32</f>
        <v>1382657.58</v>
      </c>
      <c r="Y39" s="71">
        <f>$M$32</f>
        <v>0.10372552184878049</v>
      </c>
      <c r="Z39" s="302"/>
      <c r="AA39" s="302"/>
      <c r="AB39" s="302"/>
    </row>
    <row r="40" spans="1:28" x14ac:dyDescent="0.3">
      <c r="A40" s="183"/>
      <c r="B40" s="184"/>
      <c r="C40" s="184"/>
      <c r="D40" s="185"/>
      <c r="K40" s="69"/>
      <c r="L40" s="70"/>
      <c r="M40" s="71"/>
      <c r="N40" s="69" t="s">
        <v>73</v>
      </c>
      <c r="O40" s="70">
        <f>$O$32</f>
        <v>6420120.8099999996</v>
      </c>
      <c r="P40" s="71">
        <f>$P$32</f>
        <v>0.48163073126859451</v>
      </c>
      <c r="Q40" s="69" t="s">
        <v>73</v>
      </c>
      <c r="R40" s="70">
        <f>$O$32</f>
        <v>6420120.8099999996</v>
      </c>
      <c r="S40" s="71">
        <f>$P$32</f>
        <v>0.48163073126859451</v>
      </c>
      <c r="T40" s="69" t="s">
        <v>73</v>
      </c>
      <c r="U40" s="70">
        <f>$O$32</f>
        <v>6420120.8099999996</v>
      </c>
      <c r="V40" s="71">
        <f>$P$32</f>
        <v>0.48163073126859451</v>
      </c>
      <c r="W40" s="69" t="s">
        <v>73</v>
      </c>
      <c r="X40" s="70">
        <f>$O$32</f>
        <v>6420120.8099999996</v>
      </c>
      <c r="Y40" s="71">
        <f>$P$32</f>
        <v>0.48163073126859451</v>
      </c>
      <c r="Z40" s="302"/>
      <c r="AA40" s="302"/>
      <c r="AB40" s="302"/>
    </row>
    <row r="41" spans="1:28" x14ac:dyDescent="0.3">
      <c r="A41" s="183"/>
      <c r="B41" s="184"/>
      <c r="C41" s="184"/>
      <c r="D41" s="185"/>
      <c r="K41" s="69"/>
      <c r="L41" s="70"/>
      <c r="M41" s="71"/>
      <c r="N41" s="69"/>
      <c r="O41" s="70"/>
      <c r="P41" s="71"/>
      <c r="Q41" s="69" t="s">
        <v>74</v>
      </c>
      <c r="R41" s="70">
        <f>$R$34</f>
        <v>3913566.65</v>
      </c>
      <c r="S41" s="71">
        <f>$S$34</f>
        <v>0.29359166646396545</v>
      </c>
      <c r="T41" s="69" t="s">
        <v>74</v>
      </c>
      <c r="U41" s="70">
        <f>$R$34</f>
        <v>3913566.65</v>
      </c>
      <c r="V41" s="71">
        <f>$S$34</f>
        <v>0.29359166646396545</v>
      </c>
      <c r="W41" s="69" t="s">
        <v>74</v>
      </c>
      <c r="X41" s="70">
        <f>$R$34</f>
        <v>3913566.65</v>
      </c>
      <c r="Y41" s="71">
        <f>$S$34</f>
        <v>0.29359166646396545</v>
      </c>
      <c r="Z41" s="302"/>
      <c r="AA41" s="302"/>
      <c r="AB41" s="302"/>
    </row>
    <row r="42" spans="1:28" s="852" customFormat="1" x14ac:dyDescent="0.3">
      <c r="A42" s="183"/>
      <c r="B42" s="184"/>
      <c r="C42" s="184"/>
      <c r="D42" s="185"/>
      <c r="K42" s="69"/>
      <c r="L42" s="70"/>
      <c r="M42" s="71"/>
      <c r="N42" s="69"/>
      <c r="O42" s="70"/>
      <c r="P42" s="71"/>
      <c r="Q42" s="69"/>
      <c r="R42" s="70"/>
      <c r="S42" s="71"/>
      <c r="T42" s="69" t="s">
        <v>155</v>
      </c>
      <c r="U42" s="70">
        <f>+U34</f>
        <v>1248138</v>
      </c>
      <c r="V42" s="71">
        <f>+V34</f>
        <v>9.3634004009360852E-2</v>
      </c>
      <c r="W42" s="69" t="s">
        <v>155</v>
      </c>
      <c r="X42" s="70">
        <f>+U34</f>
        <v>1248138</v>
      </c>
      <c r="Y42" s="71">
        <f>+V34</f>
        <v>9.3634004009360852E-2</v>
      </c>
      <c r="Z42" s="849"/>
      <c r="AA42" s="849"/>
      <c r="AB42" s="849"/>
    </row>
    <row r="43" spans="1:28" x14ac:dyDescent="0.3">
      <c r="A43" s="183"/>
      <c r="B43" s="184"/>
      <c r="C43" s="184"/>
      <c r="D43" s="185"/>
      <c r="K43" s="72" t="s">
        <v>1</v>
      </c>
      <c r="L43" s="105">
        <f>SUM(L39:L39)</f>
        <v>1382657.58</v>
      </c>
      <c r="M43" s="73">
        <f>SUM(M39:M39)</f>
        <v>0.10372552184878049</v>
      </c>
      <c r="N43" s="72" t="s">
        <v>1</v>
      </c>
      <c r="O43" s="105">
        <f>SUM(O39:O40)</f>
        <v>7802778.3899999997</v>
      </c>
      <c r="P43" s="73">
        <f>SUM(P39:P40)</f>
        <v>0.96326146253718903</v>
      </c>
      <c r="Q43" s="72" t="s">
        <v>1</v>
      </c>
      <c r="R43" s="105">
        <f>SUM(R39:R41)</f>
        <v>11716345.039999999</v>
      </c>
      <c r="S43" s="73">
        <f>SUM(S39:S41)</f>
        <v>0.87894791958134055</v>
      </c>
      <c r="T43" s="72" t="s">
        <v>1</v>
      </c>
      <c r="U43" s="105">
        <f>SUM(U39:U42)</f>
        <v>12964483.039999999</v>
      </c>
      <c r="V43" s="73">
        <f>SUM(V39:V42)</f>
        <v>0.97258192359070139</v>
      </c>
      <c r="W43" s="69" t="s">
        <v>352</v>
      </c>
      <c r="X43" s="70">
        <f>$X$34</f>
        <v>0</v>
      </c>
      <c r="Y43" s="71">
        <f>$Y$34</f>
        <v>0</v>
      </c>
      <c r="Z43" s="302"/>
      <c r="AA43" s="302"/>
      <c r="AB43" s="302"/>
    </row>
    <row r="44" spans="1:28" x14ac:dyDescent="0.3">
      <c r="A44" s="183"/>
      <c r="B44" s="184"/>
      <c r="C44" s="184"/>
      <c r="D44" s="185"/>
      <c r="K44" s="72" t="s">
        <v>9</v>
      </c>
      <c r="L44" s="1285"/>
      <c r="M44" s="1286"/>
      <c r="N44" s="72" t="s">
        <v>9</v>
      </c>
      <c r="O44" s="1285"/>
      <c r="P44" s="1286"/>
      <c r="Q44" s="72" t="s">
        <v>9</v>
      </c>
      <c r="R44" s="1285"/>
      <c r="S44" s="1286"/>
      <c r="T44" s="72" t="s">
        <v>9</v>
      </c>
      <c r="U44" s="1285"/>
      <c r="V44" s="1286"/>
      <c r="W44" s="72" t="s">
        <v>1</v>
      </c>
      <c r="X44" s="105">
        <f>SUM(X39:X43)</f>
        <v>12964483.039999999</v>
      </c>
      <c r="Y44" s="73">
        <f>SUM(Y39:Y43)</f>
        <v>0.97258192359070139</v>
      </c>
      <c r="Z44" s="302"/>
      <c r="AA44" s="302"/>
      <c r="AB44" s="302"/>
    </row>
    <row r="45" spans="1:28" x14ac:dyDescent="0.3">
      <c r="A45" s="183"/>
      <c r="B45" s="184"/>
      <c r="C45" s="184"/>
      <c r="D45" s="185"/>
      <c r="K45" s="156" t="s">
        <v>78</v>
      </c>
      <c r="L45" s="1285" t="s">
        <v>854</v>
      </c>
      <c r="M45" s="1286"/>
      <c r="N45" s="156" t="s">
        <v>78</v>
      </c>
      <c r="O45" s="1285" t="s">
        <v>854</v>
      </c>
      <c r="P45" s="1286"/>
      <c r="Q45" s="156" t="s">
        <v>78</v>
      </c>
      <c r="R45" s="1285" t="s">
        <v>854</v>
      </c>
      <c r="S45" s="1286"/>
      <c r="T45" s="156" t="s">
        <v>78</v>
      </c>
      <c r="U45" s="1285"/>
      <c r="V45" s="1286"/>
      <c r="W45" s="72" t="s">
        <v>9</v>
      </c>
      <c r="X45" s="1285"/>
      <c r="Y45" s="1286"/>
      <c r="Z45" s="302"/>
      <c r="AA45" s="302"/>
      <c r="AB45" s="302"/>
    </row>
    <row r="46" spans="1:28" x14ac:dyDescent="0.3">
      <c r="A46" s="183"/>
      <c r="B46" s="184"/>
      <c r="C46" s="184"/>
      <c r="D46" s="185"/>
      <c r="K46" s="157" t="s">
        <v>8</v>
      </c>
      <c r="L46" s="1287">
        <v>500000764260</v>
      </c>
      <c r="M46" s="1288"/>
      <c r="N46" s="157" t="s">
        <v>8</v>
      </c>
      <c r="O46" s="1287">
        <v>500000764260</v>
      </c>
      <c r="P46" s="1288"/>
      <c r="Q46" s="157" t="s">
        <v>8</v>
      </c>
      <c r="R46" s="1287">
        <v>500000764260</v>
      </c>
      <c r="S46" s="1288"/>
      <c r="T46" s="157" t="s">
        <v>8</v>
      </c>
      <c r="U46" s="1287"/>
      <c r="V46" s="1288"/>
      <c r="W46" s="156" t="s">
        <v>78</v>
      </c>
      <c r="X46" s="1285"/>
      <c r="Y46" s="1286"/>
      <c r="Z46" s="302"/>
      <c r="AA46" s="302"/>
      <c r="AB46" s="302"/>
    </row>
    <row r="47" spans="1:28" x14ac:dyDescent="0.3">
      <c r="A47" s="183"/>
      <c r="B47" s="184"/>
      <c r="C47" s="184"/>
      <c r="D47" s="185" t="s">
        <v>75</v>
      </c>
      <c r="W47" s="157" t="s">
        <v>8</v>
      </c>
      <c r="X47" s="1287"/>
      <c r="Y47" s="1288"/>
    </row>
    <row r="48" spans="1:28" x14ac:dyDescent="0.3">
      <c r="A48" s="183" t="s">
        <v>76</v>
      </c>
      <c r="B48" s="180"/>
      <c r="C48" s="180"/>
      <c r="D48" s="185" t="s">
        <v>77</v>
      </c>
    </row>
    <row r="49" spans="1:4" x14ac:dyDescent="0.3">
      <c r="A49" s="183" t="s">
        <v>79</v>
      </c>
      <c r="B49" s="180"/>
      <c r="C49" s="180"/>
      <c r="D49" s="185" t="s">
        <v>80</v>
      </c>
    </row>
  </sheetData>
  <sheetProtection formatCells="0" formatColumns="0" formatRows="0" insertColumns="0" insertRows="0" insertHyperlinks="0" deleteColumns="0" deleteRows="0" sort="0" autoFilter="0" pivotTables="0"/>
  <mergeCells count="52">
    <mergeCell ref="B28:B29"/>
    <mergeCell ref="J28:J29"/>
    <mergeCell ref="C1:S2"/>
    <mergeCell ref="A28:A29"/>
    <mergeCell ref="A20:A22"/>
    <mergeCell ref="B20:B22"/>
    <mergeCell ref="J20:J22"/>
    <mergeCell ref="A23:A25"/>
    <mergeCell ref="B23:B25"/>
    <mergeCell ref="J23:J25"/>
    <mergeCell ref="A8:AB8"/>
    <mergeCell ref="A9:AB9"/>
    <mergeCell ref="A10:AB10"/>
    <mergeCell ref="A26:A27"/>
    <mergeCell ref="B26:B27"/>
    <mergeCell ref="B14:B16"/>
    <mergeCell ref="J14:J16"/>
    <mergeCell ref="B17:B19"/>
    <mergeCell ref="J17:J19"/>
    <mergeCell ref="B12:J12"/>
    <mergeCell ref="X47:Y47"/>
    <mergeCell ref="O46:P46"/>
    <mergeCell ref="K11:M12"/>
    <mergeCell ref="Z11:AB12"/>
    <mergeCell ref="Q11:S12"/>
    <mergeCell ref="R44:S44"/>
    <mergeCell ref="R45:S45"/>
    <mergeCell ref="R46:S46"/>
    <mergeCell ref="O44:P44"/>
    <mergeCell ref="O45:P45"/>
    <mergeCell ref="L46:M46"/>
    <mergeCell ref="L44:M44"/>
    <mergeCell ref="L45:M45"/>
    <mergeCell ref="N11:P12"/>
    <mergeCell ref="T11:V12"/>
    <mergeCell ref="U44:V44"/>
    <mergeCell ref="U45:V45"/>
    <mergeCell ref="U46:V46"/>
    <mergeCell ref="Z1:AB1"/>
    <mergeCell ref="Z2:AB2"/>
    <mergeCell ref="W11:Y12"/>
    <mergeCell ref="X45:Y45"/>
    <mergeCell ref="X46:Y46"/>
    <mergeCell ref="A3:AB3"/>
    <mergeCell ref="A4:AB4"/>
    <mergeCell ref="A5:AB5"/>
    <mergeCell ref="A6:AB6"/>
    <mergeCell ref="A7:AB7"/>
    <mergeCell ref="A14:A16"/>
    <mergeCell ref="A17:A19"/>
    <mergeCell ref="B11:J11"/>
    <mergeCell ref="J26:J27"/>
  </mergeCells>
  <pageMargins left="0.7" right="0.7" top="0.75" bottom="0.75" header="0.3" footer="0.3"/>
  <pageSetup paperSize="9" scale="42" fitToHeight="0" orientation="landscape" r:id="rId1"/>
  <drawing r:id="rId2"/>
  <legacyDrawing r:id="rId3"/>
  <legacyDrawingHF r:id="rId4"/>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0">
    <tabColor theme="1"/>
  </sheetPr>
  <dimension ref="A1:G49"/>
  <sheetViews>
    <sheetView zoomScaleNormal="10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RESUMEN!G59</f>
        <v>Proyecto: AT NORMALIZACIÓN SE CÁQUEZA CDIM_CBSGSM_R0017</v>
      </c>
      <c r="C5" s="1281"/>
      <c r="D5" s="1281"/>
      <c r="E5" s="1281"/>
      <c r="F5" s="1281"/>
      <c r="G5" s="1282"/>
    </row>
    <row r="6" spans="1:7" x14ac:dyDescent="0.25">
      <c r="A6" s="1177"/>
      <c r="B6" s="1177"/>
      <c r="C6" s="1177"/>
      <c r="D6" s="1177"/>
      <c r="E6" s="1177"/>
      <c r="F6" s="1177"/>
      <c r="G6" s="1177"/>
    </row>
    <row r="7" spans="1:7" x14ac:dyDescent="0.25">
      <c r="A7" s="271" t="s">
        <v>0</v>
      </c>
      <c r="B7" s="1264" t="str">
        <f>RESUMEN!B59</f>
        <v>D00235096</v>
      </c>
      <c r="C7" s="1265"/>
      <c r="D7" s="1177"/>
      <c r="E7" s="1266" t="s">
        <v>627</v>
      </c>
      <c r="F7" s="1267"/>
      <c r="G7" s="280" t="str">
        <f>RESUMEN!E59</f>
        <v xml:space="preserve">17-280 </v>
      </c>
    </row>
    <row r="8" spans="1:7" x14ac:dyDescent="0.25">
      <c r="A8" s="271" t="s">
        <v>628</v>
      </c>
      <c r="B8" s="1264" t="str">
        <f>RESUMEN!C59</f>
        <v>D00235096000</v>
      </c>
      <c r="C8" s="1265"/>
      <c r="D8" s="1177"/>
      <c r="E8" s="1266" t="s">
        <v>629</v>
      </c>
      <c r="F8" s="1267"/>
      <c r="G8" s="280" t="str">
        <f>RESUMEN!U59</f>
        <v>Acta N° 1: Noviembre</v>
      </c>
    </row>
    <row r="9" spans="1:7" x14ac:dyDescent="0.25">
      <c r="A9" s="271" t="s">
        <v>630</v>
      </c>
      <c r="B9" s="1283" t="s">
        <v>631</v>
      </c>
      <c r="C9" s="1265"/>
      <c r="D9" s="1177"/>
      <c r="E9" s="1266" t="s">
        <v>632</v>
      </c>
      <c r="F9" s="1267"/>
      <c r="G9" s="1178">
        <f>RESUMEN!H59</f>
        <v>1724556</v>
      </c>
    </row>
    <row r="10" spans="1:7" x14ac:dyDescent="0.25">
      <c r="A10" s="271" t="s">
        <v>633</v>
      </c>
      <c r="B10" s="1283" t="str">
        <f>RESUMEN!D59</f>
        <v>CÁQUEZA ILUMINA INTER</v>
      </c>
      <c r="C10" s="1265"/>
      <c r="D10" s="1177"/>
      <c r="E10" s="1266" t="s">
        <v>634</v>
      </c>
      <c r="F10" s="1267"/>
      <c r="G10" s="1178">
        <f>RESUMEN!R59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RESUMEN!V59,"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",RESUMEN!G59)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AT NORMALIZACIÓN SE CÁQUEZA CDIM_CBSGSM_R0017</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RESUMEN!N59</f>
        <v>0</v>
      </c>
      <c r="F19" s="1248"/>
      <c r="G19" s="1177"/>
    </row>
    <row r="20" spans="1:7" ht="27" customHeight="1" x14ac:dyDescent="0.25">
      <c r="A20" s="1177"/>
      <c r="B20" s="1244" t="s">
        <v>1498</v>
      </c>
      <c r="C20" s="1245"/>
      <c r="D20" s="1246"/>
      <c r="E20" s="1247">
        <f>RESUMEN!P59</f>
        <v>0</v>
      </c>
      <c r="F20" s="1248"/>
      <c r="G20" s="1177"/>
    </row>
    <row r="21" spans="1:7" ht="27" customHeight="1" x14ac:dyDescent="0.25">
      <c r="A21" s="1177"/>
      <c r="B21" s="1244" t="s">
        <v>1499</v>
      </c>
      <c r="C21" s="1245"/>
      <c r="D21" s="1246"/>
      <c r="E21" s="1247">
        <f>RESUMEN!Q59</f>
        <v>0</v>
      </c>
      <c r="F21" s="1248"/>
      <c r="G21" s="1177"/>
    </row>
    <row r="22" spans="1:7" x14ac:dyDescent="0.25">
      <c r="A22" s="1177"/>
      <c r="B22" s="1254" t="s">
        <v>64</v>
      </c>
      <c r="C22" s="1254"/>
      <c r="D22" s="1254"/>
      <c r="E22" s="1255">
        <f>RESUMEN!R59</f>
        <v>0</v>
      </c>
      <c r="F22" s="1255"/>
      <c r="G22" s="1177"/>
    </row>
    <row r="23" spans="1:7" x14ac:dyDescent="0.25">
      <c r="A23" s="1177"/>
      <c r="B23" s="1256" t="s">
        <v>66</v>
      </c>
      <c r="C23" s="1256"/>
      <c r="D23" s="1256"/>
      <c r="E23" s="1257">
        <f>RESUMEN!S59</f>
        <v>0</v>
      </c>
      <c r="F23" s="1257"/>
      <c r="G23" s="1177"/>
    </row>
    <row r="24" spans="1:7" x14ac:dyDescent="0.25">
      <c r="A24" s="1177"/>
      <c r="B24" s="1258" t="s">
        <v>1</v>
      </c>
      <c r="C24" s="1258"/>
      <c r="D24" s="1258"/>
      <c r="E24" s="1259">
        <f>RESUMEN!T59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+'OT17-280 CÁQUEZA ILUMINA INTER'!I26</f>
        <v>ACTA 1</v>
      </c>
      <c r="C28" s="1253">
        <f>+'OT17-280 CÁQUEZA ILUMINA INTER'!J26</f>
        <v>0</v>
      </c>
      <c r="D28" s="1253"/>
      <c r="E28" s="267">
        <f>+'OT17-280 CÁQUEZA ILUMINA INTER'!K26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RESUMEN!V59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6">
    <tabColor theme="7"/>
  </sheetPr>
  <dimension ref="A1:N33"/>
  <sheetViews>
    <sheetView zoomScale="55" zoomScaleNormal="55" workbookViewId="0">
      <selection activeCell="C44" sqref="C44"/>
    </sheetView>
  </sheetViews>
  <sheetFormatPr baseColWidth="10" defaultColWidth="9.109375" defaultRowHeight="14.4" x14ac:dyDescent="0.3"/>
  <cols>
    <col min="1" max="1" width="13.6640625" style="189" customWidth="1"/>
    <col min="2" max="2" width="23.5546875" style="189" customWidth="1"/>
    <col min="3" max="3" width="28.44140625" style="189" customWidth="1"/>
    <col min="4" max="4" width="22.33203125" style="189" bestFit="1" customWidth="1"/>
    <col min="5" max="5" width="13" style="189" customWidth="1"/>
    <col min="6" max="6" width="17.88671875" style="189" bestFit="1" customWidth="1"/>
    <col min="7" max="7" width="16.33203125" style="189" bestFit="1" customWidth="1"/>
    <col min="8" max="8" width="48.88671875" style="189" customWidth="1"/>
    <col min="9" max="9" width="17.88671875" style="189" customWidth="1"/>
    <col min="10" max="10" width="18" style="189" bestFit="1" customWidth="1"/>
    <col min="11" max="11" width="9.109375" style="189"/>
    <col min="12" max="12" width="17.88671875" style="189" bestFit="1" customWidth="1"/>
    <col min="13" max="13" width="12.88671875" style="189" bestFit="1" customWidth="1"/>
    <col min="14" max="16384" width="9.109375" style="189"/>
  </cols>
  <sheetData>
    <row r="1" spans="1:14" s="302" customFormat="1" ht="25.5" customHeight="1" thickBot="1" x14ac:dyDescent="0.35">
      <c r="A1" s="169"/>
      <c r="B1" s="188"/>
      <c r="C1" s="1307" t="s">
        <v>40</v>
      </c>
      <c r="D1" s="1308"/>
      <c r="E1" s="1308"/>
      <c r="F1" s="1308"/>
      <c r="G1" s="1308"/>
      <c r="H1" s="1308"/>
      <c r="I1" s="1308"/>
      <c r="J1" s="1308"/>
      <c r="K1" s="1308"/>
      <c r="L1" s="1328" t="s">
        <v>1130</v>
      </c>
      <c r="M1" s="1303"/>
      <c r="N1" s="1304"/>
    </row>
    <row r="2" spans="1:14" s="302" customFormat="1" ht="13.5" customHeight="1" thickBot="1" x14ac:dyDescent="0.35">
      <c r="A2" s="170"/>
      <c r="B2" s="190"/>
      <c r="C2" s="1310"/>
      <c r="D2" s="1311"/>
      <c r="E2" s="1311"/>
      <c r="F2" s="1311"/>
      <c r="G2" s="1311"/>
      <c r="H2" s="1311"/>
      <c r="I2" s="1311"/>
      <c r="J2" s="1311"/>
      <c r="K2" s="1311"/>
      <c r="L2" s="1329" t="s">
        <v>41</v>
      </c>
      <c r="M2" s="1305"/>
      <c r="N2" s="1306"/>
    </row>
    <row r="3" spans="1:14" s="302" customFormat="1" ht="13.5" customHeight="1" x14ac:dyDescent="0.3">
      <c r="A3" s="1292" t="s">
        <v>42</v>
      </c>
      <c r="B3" s="1292"/>
      <c r="C3" s="1292"/>
      <c r="D3" s="1292"/>
      <c r="E3" s="1292"/>
      <c r="F3" s="1292"/>
      <c r="G3" s="1292"/>
      <c r="H3" s="1292"/>
      <c r="I3" s="1292"/>
      <c r="J3" s="1292"/>
      <c r="K3" s="1292"/>
      <c r="L3" s="1292"/>
      <c r="M3" s="1292"/>
      <c r="N3" s="1292"/>
    </row>
    <row r="4" spans="1:14" s="302" customFormat="1" ht="13.5" customHeight="1" x14ac:dyDescent="0.3">
      <c r="A4" s="1292" t="s">
        <v>43</v>
      </c>
      <c r="B4" s="1292"/>
      <c r="C4" s="1292"/>
      <c r="D4" s="1292"/>
      <c r="E4" s="1292"/>
      <c r="F4" s="1292"/>
      <c r="G4" s="1292"/>
      <c r="H4" s="1292"/>
      <c r="I4" s="1292"/>
      <c r="J4" s="1292"/>
      <c r="K4" s="1292"/>
      <c r="L4" s="1292"/>
      <c r="M4" s="1292"/>
      <c r="N4" s="1292"/>
    </row>
    <row r="5" spans="1:14" s="302" customFormat="1" ht="13.5" customHeight="1" x14ac:dyDescent="0.3">
      <c r="A5" s="1292" t="s">
        <v>44</v>
      </c>
      <c r="B5" s="1292"/>
      <c r="C5" s="1292"/>
      <c r="D5" s="1292"/>
      <c r="E5" s="1292"/>
      <c r="F5" s="1292"/>
      <c r="G5" s="1292"/>
      <c r="H5" s="1292"/>
      <c r="I5" s="1292"/>
      <c r="J5" s="1292"/>
      <c r="K5" s="1292"/>
      <c r="L5" s="1292"/>
      <c r="M5" s="1292"/>
      <c r="N5" s="1292"/>
    </row>
    <row r="6" spans="1:14" s="302" customFormat="1" ht="13.5" customHeight="1" x14ac:dyDescent="0.3">
      <c r="A6" s="1292" t="s">
        <v>45</v>
      </c>
      <c r="B6" s="1292"/>
      <c r="C6" s="1292"/>
      <c r="D6" s="1292"/>
      <c r="E6" s="1292"/>
      <c r="F6" s="1292"/>
      <c r="G6" s="1292"/>
      <c r="H6" s="1292"/>
      <c r="I6" s="1292"/>
      <c r="J6" s="1292"/>
      <c r="K6" s="1292"/>
      <c r="L6" s="1292"/>
      <c r="M6" s="1292"/>
      <c r="N6" s="1292"/>
    </row>
    <row r="7" spans="1:14" s="302" customFormat="1" x14ac:dyDescent="0.3">
      <c r="A7" s="1291" t="s">
        <v>1131</v>
      </c>
      <c r="B7" s="1292"/>
      <c r="C7" s="1292"/>
      <c r="D7" s="1292"/>
      <c r="E7" s="1292"/>
      <c r="F7" s="1292"/>
      <c r="G7" s="1292"/>
      <c r="H7" s="1292"/>
      <c r="I7" s="1292"/>
      <c r="J7" s="1292"/>
      <c r="K7" s="1292"/>
      <c r="L7" s="1292"/>
      <c r="M7" s="1292"/>
      <c r="N7" s="1292"/>
    </row>
    <row r="8" spans="1:14" s="302" customFormat="1" ht="13.5" customHeight="1" x14ac:dyDescent="0.3">
      <c r="A8" s="1292" t="s">
        <v>1432</v>
      </c>
      <c r="B8" s="1292"/>
      <c r="C8" s="1292"/>
      <c r="D8" s="1292"/>
      <c r="E8" s="1292"/>
      <c r="F8" s="1292"/>
      <c r="G8" s="1292"/>
      <c r="H8" s="1292"/>
      <c r="I8" s="1292"/>
      <c r="J8" s="1292"/>
      <c r="K8" s="1292"/>
      <c r="L8" s="1292"/>
      <c r="M8" s="1292"/>
      <c r="N8" s="1292"/>
    </row>
    <row r="9" spans="1:14" s="302" customFormat="1" ht="13.5" customHeight="1" x14ac:dyDescent="0.3">
      <c r="A9" s="1292" t="s">
        <v>985</v>
      </c>
      <c r="B9" s="1292"/>
      <c r="C9" s="1292"/>
      <c r="D9" s="1292"/>
      <c r="E9" s="1292"/>
      <c r="F9" s="1292"/>
      <c r="G9" s="1292"/>
      <c r="H9" s="1292"/>
      <c r="I9" s="1292"/>
      <c r="J9" s="1292"/>
      <c r="K9" s="1292"/>
      <c r="L9" s="1292"/>
      <c r="M9" s="1292"/>
      <c r="N9" s="1292"/>
    </row>
    <row r="10" spans="1:14" s="302" customFormat="1" ht="13.5" customHeight="1" x14ac:dyDescent="0.3">
      <c r="A10" s="1292" t="s">
        <v>1132</v>
      </c>
      <c r="B10" s="1292"/>
      <c r="C10" s="1292"/>
      <c r="D10" s="1292"/>
      <c r="E10" s="1292"/>
      <c r="F10" s="1292"/>
      <c r="G10" s="1292"/>
      <c r="H10" s="1292"/>
      <c r="I10" s="1292"/>
      <c r="J10" s="1292"/>
      <c r="K10" s="1292"/>
      <c r="L10" s="1292"/>
      <c r="M10" s="1292"/>
      <c r="N10" s="1292"/>
    </row>
    <row r="11" spans="1:14" s="302" customFormat="1" ht="13.5" customHeight="1" x14ac:dyDescent="0.3">
      <c r="A11" s="384"/>
      <c r="B11" s="1301"/>
      <c r="C11" s="1313"/>
      <c r="D11" s="1313"/>
      <c r="E11" s="1313"/>
      <c r="F11" s="1313"/>
      <c r="G11" s="1313"/>
      <c r="H11" s="1313"/>
      <c r="I11" s="1293" t="s">
        <v>986</v>
      </c>
      <c r="J11" s="1294"/>
      <c r="K11" s="1295"/>
      <c r="L11" s="1299" t="s">
        <v>49</v>
      </c>
      <c r="M11" s="1299"/>
      <c r="N11" s="1299"/>
    </row>
    <row r="12" spans="1:14" s="302" customFormat="1" ht="13.5" customHeight="1" x14ac:dyDescent="0.3">
      <c r="A12" s="171"/>
      <c r="B12" s="1301"/>
      <c r="C12" s="1302"/>
      <c r="D12" s="1302"/>
      <c r="E12" s="1302"/>
      <c r="F12" s="1302"/>
      <c r="G12" s="1302"/>
      <c r="H12" s="1302"/>
      <c r="I12" s="1325"/>
      <c r="J12" s="1326"/>
      <c r="K12" s="1327"/>
      <c r="L12" s="1300"/>
      <c r="M12" s="1300"/>
      <c r="N12" s="1300"/>
    </row>
    <row r="13" spans="1:14" ht="28.8" x14ac:dyDescent="0.3">
      <c r="A13" s="209" t="s">
        <v>50</v>
      </c>
      <c r="B13" s="209" t="s">
        <v>51</v>
      </c>
      <c r="C13" s="209" t="s">
        <v>52</v>
      </c>
      <c r="D13" s="209" t="s">
        <v>164</v>
      </c>
      <c r="E13" s="209" t="s">
        <v>54</v>
      </c>
      <c r="F13" s="210" t="s">
        <v>55</v>
      </c>
      <c r="G13" s="209" t="s">
        <v>56</v>
      </c>
      <c r="H13" s="209" t="s">
        <v>57</v>
      </c>
      <c r="I13" s="28" t="s">
        <v>54</v>
      </c>
      <c r="J13" s="28" t="s">
        <v>56</v>
      </c>
      <c r="K13" s="28" t="s">
        <v>58</v>
      </c>
      <c r="L13" s="174" t="s">
        <v>54</v>
      </c>
      <c r="M13" s="172" t="s">
        <v>56</v>
      </c>
      <c r="N13" s="28" t="s">
        <v>58</v>
      </c>
    </row>
    <row r="14" spans="1:14" ht="60" customHeight="1" x14ac:dyDescent="0.3">
      <c r="A14" s="1314" t="s">
        <v>1126</v>
      </c>
      <c r="B14" s="1314" t="s">
        <v>226</v>
      </c>
      <c r="C14" s="385" t="s">
        <v>148</v>
      </c>
      <c r="D14" s="385" t="s">
        <v>149</v>
      </c>
      <c r="E14" s="385">
        <v>0.17499999999999999</v>
      </c>
      <c r="F14" s="192">
        <v>9854608</v>
      </c>
      <c r="G14" s="192">
        <f>ROUND((E14*F14),0)</f>
        <v>1724556</v>
      </c>
      <c r="H14" s="1315" t="s">
        <v>1127</v>
      </c>
      <c r="I14" s="158">
        <v>0</v>
      </c>
      <c r="J14" s="194">
        <f>ROUND(I14*$F$14,0)</f>
        <v>0</v>
      </c>
      <c r="K14" s="195">
        <f>J14/G14</f>
        <v>0</v>
      </c>
      <c r="L14" s="149">
        <f t="shared" ref="L14:M14" si="0">I14</f>
        <v>0</v>
      </c>
      <c r="M14" s="175">
        <f t="shared" si="0"/>
        <v>0</v>
      </c>
      <c r="N14" s="176">
        <f>M14/G14</f>
        <v>0</v>
      </c>
    </row>
    <row r="15" spans="1:14" ht="15" customHeight="1" x14ac:dyDescent="0.3">
      <c r="A15" s="1314"/>
      <c r="B15" s="1314"/>
      <c r="C15" s="196"/>
      <c r="D15" s="196" t="s">
        <v>150</v>
      </c>
      <c r="E15" s="198"/>
      <c r="F15" s="198"/>
      <c r="G15" s="199">
        <f>G14</f>
        <v>1724556</v>
      </c>
      <c r="H15" s="1314"/>
      <c r="I15" s="308"/>
      <c r="J15" s="179">
        <f>J14</f>
        <v>0</v>
      </c>
      <c r="K15" s="308">
        <f>J15/G15</f>
        <v>0</v>
      </c>
      <c r="L15" s="306"/>
      <c r="M15" s="307">
        <f>J15</f>
        <v>0</v>
      </c>
      <c r="N15" s="308">
        <f>M15/G15</f>
        <v>0</v>
      </c>
    </row>
    <row r="16" spans="1:14" x14ac:dyDescent="0.3">
      <c r="F16" s="151" t="s">
        <v>64</v>
      </c>
      <c r="G16" s="181">
        <f>SUM(G14:G15)/2</f>
        <v>1724556</v>
      </c>
      <c r="I16" s="151" t="s">
        <v>64</v>
      </c>
      <c r="J16" s="181">
        <f>SUM(J14:J15)/2</f>
        <v>0</v>
      </c>
      <c r="K16" s="131">
        <f>J16/G16</f>
        <v>0</v>
      </c>
      <c r="L16" s="151" t="s">
        <v>64</v>
      </c>
      <c r="M16" s="181">
        <f>SUM(M14:M15)/2</f>
        <v>0</v>
      </c>
      <c r="N16" s="131">
        <f>M16/G16</f>
        <v>0</v>
      </c>
    </row>
    <row r="17" spans="1:14" x14ac:dyDescent="0.3">
      <c r="F17" s="153" t="s">
        <v>65</v>
      </c>
      <c r="G17" s="181">
        <v>0</v>
      </c>
      <c r="I17" s="153" t="s">
        <v>65</v>
      </c>
      <c r="J17" s="181">
        <v>0</v>
      </c>
      <c r="L17" s="153" t="s">
        <v>65</v>
      </c>
      <c r="M17" s="181">
        <v>0</v>
      </c>
    </row>
    <row r="18" spans="1:14" x14ac:dyDescent="0.3">
      <c r="F18" s="152" t="s">
        <v>64</v>
      </c>
      <c r="G18" s="340">
        <f>SUM(G16:G17)</f>
        <v>1724556</v>
      </c>
      <c r="I18" s="152" t="s">
        <v>64</v>
      </c>
      <c r="J18" s="340">
        <f>SUM(J16:J17)</f>
        <v>0</v>
      </c>
      <c r="L18" s="152" t="s">
        <v>64</v>
      </c>
      <c r="M18" s="340">
        <f>SUM(M16:M17)</f>
        <v>0</v>
      </c>
    </row>
    <row r="19" spans="1:14" ht="26.4" x14ac:dyDescent="0.3">
      <c r="F19" s="152"/>
      <c r="G19" s="340"/>
      <c r="I19" s="484" t="s">
        <v>1439</v>
      </c>
      <c r="J19" s="182">
        <f>ROUND(J18*0.015,0)</f>
        <v>0</v>
      </c>
      <c r="L19" s="484" t="s">
        <v>1439</v>
      </c>
      <c r="M19" s="340">
        <f>J19</f>
        <v>0</v>
      </c>
    </row>
    <row r="20" spans="1:14" ht="26.4" x14ac:dyDescent="0.3">
      <c r="F20" s="152"/>
      <c r="G20" s="340"/>
      <c r="I20" s="152" t="s">
        <v>1440</v>
      </c>
      <c r="J20" s="182">
        <f>J18+J19</f>
        <v>0</v>
      </c>
      <c r="L20" s="152" t="s">
        <v>1440</v>
      </c>
      <c r="M20" s="182">
        <f>M18+M19</f>
        <v>0</v>
      </c>
    </row>
    <row r="21" spans="1:14" x14ac:dyDescent="0.3">
      <c r="F21" s="154" t="s">
        <v>66</v>
      </c>
      <c r="G21" s="181">
        <f>+G18*19%</f>
        <v>327665.64</v>
      </c>
      <c r="I21" s="154" t="s">
        <v>66</v>
      </c>
      <c r="J21" s="182">
        <f>ROUND(J20*0.19,0)</f>
        <v>0</v>
      </c>
      <c r="L21" s="154" t="s">
        <v>66</v>
      </c>
      <c r="M21" s="182">
        <f>ROUND(M20*0.19,0)</f>
        <v>0</v>
      </c>
    </row>
    <row r="22" spans="1:14" x14ac:dyDescent="0.3">
      <c r="F22" s="155" t="s">
        <v>69</v>
      </c>
      <c r="G22" s="181">
        <f>+G18+G21</f>
        <v>2052221.6400000001</v>
      </c>
      <c r="I22" s="155" t="s">
        <v>69</v>
      </c>
      <c r="J22" s="181">
        <f>J20+J21</f>
        <v>0</v>
      </c>
      <c r="L22" s="155" t="s">
        <v>69</v>
      </c>
      <c r="M22" s="181">
        <f>M20+M21</f>
        <v>0</v>
      </c>
    </row>
    <row r="25" spans="1:14" x14ac:dyDescent="0.3">
      <c r="A25" s="183" t="s">
        <v>67</v>
      </c>
      <c r="B25" s="184"/>
      <c r="C25" s="184"/>
      <c r="D25" s="185" t="s">
        <v>68</v>
      </c>
      <c r="I25" s="186" t="s">
        <v>70</v>
      </c>
      <c r="J25" s="187" t="s">
        <v>71</v>
      </c>
      <c r="K25" s="186" t="s">
        <v>58</v>
      </c>
      <c r="L25" s="302"/>
      <c r="M25" s="302"/>
      <c r="N25" s="302"/>
    </row>
    <row r="26" spans="1:14" x14ac:dyDescent="0.3">
      <c r="A26" s="183"/>
      <c r="B26" s="184"/>
      <c r="C26" s="184"/>
      <c r="D26" s="185"/>
      <c r="I26" s="69" t="s">
        <v>72</v>
      </c>
      <c r="J26" s="70">
        <f>$J$16</f>
        <v>0</v>
      </c>
      <c r="K26" s="71">
        <f>K16</f>
        <v>0</v>
      </c>
      <c r="L26" s="302"/>
      <c r="M26" s="302"/>
      <c r="N26" s="302"/>
    </row>
    <row r="27" spans="1:14" x14ac:dyDescent="0.3">
      <c r="A27" s="183"/>
      <c r="B27" s="184"/>
      <c r="C27" s="184"/>
      <c r="D27" s="185"/>
      <c r="I27" s="72" t="s">
        <v>1</v>
      </c>
      <c r="J27" s="105">
        <f>SUM(J26:J26)</f>
        <v>0</v>
      </c>
      <c r="K27" s="73">
        <f>SUM(K26:K26)</f>
        <v>0</v>
      </c>
      <c r="L27" s="302"/>
      <c r="M27" s="302"/>
      <c r="N27" s="302"/>
    </row>
    <row r="28" spans="1:14" x14ac:dyDescent="0.3">
      <c r="A28" s="183"/>
      <c r="B28" s="184"/>
      <c r="C28" s="184"/>
      <c r="D28" s="185"/>
      <c r="I28" s="72" t="s">
        <v>9</v>
      </c>
      <c r="J28" s="1285"/>
      <c r="K28" s="1286"/>
      <c r="L28" s="302"/>
      <c r="M28" s="302"/>
      <c r="N28" s="302"/>
    </row>
    <row r="29" spans="1:14" x14ac:dyDescent="0.3">
      <c r="A29" s="183"/>
      <c r="B29" s="184"/>
      <c r="C29" s="184"/>
      <c r="D29" s="185"/>
      <c r="I29" s="156" t="s">
        <v>78</v>
      </c>
      <c r="J29" s="1285" t="s">
        <v>1128</v>
      </c>
      <c r="K29" s="1286"/>
      <c r="L29" s="302"/>
      <c r="M29" s="302"/>
      <c r="N29" s="302"/>
    </row>
    <row r="30" spans="1:14" x14ac:dyDescent="0.3">
      <c r="A30" s="183"/>
      <c r="B30" s="184"/>
      <c r="C30" s="184"/>
      <c r="D30" s="185"/>
      <c r="I30" s="157" t="s">
        <v>8</v>
      </c>
      <c r="J30" s="1287" t="s">
        <v>1129</v>
      </c>
      <c r="K30" s="1288"/>
      <c r="L30" s="302"/>
      <c r="M30" s="302"/>
      <c r="N30" s="302"/>
    </row>
    <row r="31" spans="1:14" x14ac:dyDescent="0.3">
      <c r="A31" s="183"/>
      <c r="B31" s="184"/>
      <c r="C31" s="184"/>
      <c r="D31" s="185" t="s">
        <v>75</v>
      </c>
    </row>
    <row r="32" spans="1:14" x14ac:dyDescent="0.3">
      <c r="A32" s="183" t="s">
        <v>76</v>
      </c>
      <c r="B32" s="180"/>
      <c r="C32" s="180"/>
      <c r="D32" s="185" t="s">
        <v>77</v>
      </c>
    </row>
    <row r="33" spans="1:6" ht="36.6" x14ac:dyDescent="0.3">
      <c r="A33" s="183" t="s">
        <v>79</v>
      </c>
      <c r="B33" s="180"/>
      <c r="C33" s="180"/>
      <c r="D33" s="185" t="s">
        <v>80</v>
      </c>
      <c r="F33" s="874" t="s">
        <v>2159</v>
      </c>
    </row>
  </sheetData>
  <sheetProtection formatCells="0" formatColumns="0" formatRows="0" insertColumns="0" insertRows="0" insertHyperlinks="0" deleteColumns="0" deleteRows="0" sort="0" autoFilter="0" pivotTables="0"/>
  <mergeCells count="21">
    <mergeCell ref="A6:N6"/>
    <mergeCell ref="A14:A15"/>
    <mergeCell ref="B14:B15"/>
    <mergeCell ref="H14:H15"/>
    <mergeCell ref="C1:K2"/>
    <mergeCell ref="A7:N7"/>
    <mergeCell ref="A8:N8"/>
    <mergeCell ref="A9:N9"/>
    <mergeCell ref="L1:N1"/>
    <mergeCell ref="L2:N2"/>
    <mergeCell ref="A3:N3"/>
    <mergeCell ref="A4:N4"/>
    <mergeCell ref="A5:N5"/>
    <mergeCell ref="J29:K29"/>
    <mergeCell ref="J30:K30"/>
    <mergeCell ref="A10:N10"/>
    <mergeCell ref="B11:H11"/>
    <mergeCell ref="I11:K12"/>
    <mergeCell ref="L11:N12"/>
    <mergeCell ref="B12:H12"/>
    <mergeCell ref="J28:K28"/>
  </mergeCells>
  <pageMargins left="0.7" right="0.7" top="0.75" bottom="0.75" header="0.3" footer="0.3"/>
  <pageSetup scale="70" orientation="landscape" r:id="rId1"/>
  <colBreaks count="1" manualBreakCount="1">
    <brk id="8" max="1048575" man="1"/>
  </colBreaks>
  <drawing r:id="rId2"/>
  <legacyDrawingHF r:id="rId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2">
    <tabColor theme="1"/>
  </sheetPr>
  <dimension ref="A1:G49"/>
  <sheetViews>
    <sheetView topLeftCell="A10" zoomScaleNormal="100" workbookViewId="0">
      <selection activeCell="G26" sqref="G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RESUMEN!G60</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RESUMEN!B60</f>
        <v>D00249258</v>
      </c>
      <c r="C7" s="1265"/>
      <c r="D7" s="1177"/>
      <c r="E7" s="1266" t="s">
        <v>627</v>
      </c>
      <c r="F7" s="1267"/>
      <c r="G7" s="280" t="str">
        <f>RESUMEN!E60</f>
        <v>17-282</v>
      </c>
    </row>
    <row r="8" spans="1:7" x14ac:dyDescent="0.25">
      <c r="A8" s="271" t="s">
        <v>628</v>
      </c>
      <c r="B8" s="1264" t="str">
        <f>RESUMEN!C60</f>
        <v>D00249258000</v>
      </c>
      <c r="C8" s="1265"/>
      <c r="D8" s="1177"/>
      <c r="E8" s="1266" t="s">
        <v>629</v>
      </c>
      <c r="F8" s="1267"/>
      <c r="G8" s="280" t="str">
        <f>RESUMEN!U60</f>
        <v>Acta N° 4: Marzo</v>
      </c>
    </row>
    <row r="9" spans="1:7" x14ac:dyDescent="0.25">
      <c r="A9" s="271" t="s">
        <v>630</v>
      </c>
      <c r="B9" s="1283" t="s">
        <v>631</v>
      </c>
      <c r="C9" s="1265"/>
      <c r="D9" s="1177"/>
      <c r="E9" s="1266" t="s">
        <v>632</v>
      </c>
      <c r="F9" s="1267"/>
      <c r="G9" s="1178">
        <f>RESUMEN!H60</f>
        <v>25350374</v>
      </c>
    </row>
    <row r="10" spans="1:7" x14ac:dyDescent="0.25">
      <c r="A10" s="271" t="s">
        <v>633</v>
      </c>
      <c r="B10" s="1283" t="str">
        <f>RESUMEN!D60</f>
        <v>LA DORADA</v>
      </c>
      <c r="C10" s="1265"/>
      <c r="D10" s="1177"/>
      <c r="E10" s="1266" t="s">
        <v>634</v>
      </c>
      <c r="F10" s="1267"/>
      <c r="G10" s="1178">
        <f>RESUMEN!R60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",RESUMEN!G60)</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RESUMEN!N60</f>
        <v>0</v>
      </c>
      <c r="F19" s="1248"/>
      <c r="G19" s="1177"/>
    </row>
    <row r="20" spans="1:7" ht="27" customHeight="1" x14ac:dyDescent="0.25">
      <c r="A20" s="1177"/>
      <c r="B20" s="1244" t="s">
        <v>1498</v>
      </c>
      <c r="C20" s="1245"/>
      <c r="D20" s="1246"/>
      <c r="E20" s="1247">
        <f>RESUMEN!P60</f>
        <v>0</v>
      </c>
      <c r="F20" s="1248"/>
      <c r="G20" s="1177"/>
    </row>
    <row r="21" spans="1:7" ht="27" customHeight="1" x14ac:dyDescent="0.25">
      <c r="A21" s="1177"/>
      <c r="B21" s="1244" t="s">
        <v>1499</v>
      </c>
      <c r="C21" s="1245"/>
      <c r="D21" s="1246"/>
      <c r="E21" s="1247">
        <f>RESUMEN!Q60</f>
        <v>0</v>
      </c>
      <c r="F21" s="1248"/>
      <c r="G21" s="1177"/>
    </row>
    <row r="22" spans="1:7" x14ac:dyDescent="0.25">
      <c r="A22" s="1177"/>
      <c r="B22" s="1254" t="s">
        <v>64</v>
      </c>
      <c r="C22" s="1254"/>
      <c r="D22" s="1254"/>
      <c r="E22" s="1255">
        <f>RESUMEN!R60</f>
        <v>0</v>
      </c>
      <c r="F22" s="1255"/>
      <c r="G22" s="1177"/>
    </row>
    <row r="23" spans="1:7" x14ac:dyDescent="0.25">
      <c r="A23" s="1177"/>
      <c r="B23" s="1256" t="s">
        <v>66</v>
      </c>
      <c r="C23" s="1256"/>
      <c r="D23" s="1256"/>
      <c r="E23" s="1257">
        <f>RESUMEN!S60</f>
        <v>0</v>
      </c>
      <c r="F23" s="1257"/>
      <c r="G23" s="1177"/>
    </row>
    <row r="24" spans="1:7" x14ac:dyDescent="0.25">
      <c r="A24" s="1177"/>
      <c r="B24" s="1258" t="s">
        <v>1</v>
      </c>
      <c r="C24" s="1258"/>
      <c r="D24" s="1258"/>
      <c r="E24" s="1259">
        <f>RESUMEN!T60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+'OT17-282 LA DORADA IN-OUT'!T29</f>
        <v>ACTA 1</v>
      </c>
      <c r="C28" s="1253">
        <f>+'OT17-282 LA DORADA IN-OUT'!U29</f>
        <v>22258812.940000001</v>
      </c>
      <c r="D28" s="1253"/>
      <c r="E28" s="267">
        <f>+'OT17-282 LA DORADA IN-OUT'!V29</f>
        <v>0.85247255129253718</v>
      </c>
      <c r="F28" s="1177"/>
      <c r="G28" s="1177"/>
    </row>
    <row r="29" spans="1:7" x14ac:dyDescent="0.25">
      <c r="A29" s="1177"/>
      <c r="B29" s="280" t="str">
        <f>+'OT17-282 LA DORADA IN-OUT'!T30</f>
        <v>ACTA 2</v>
      </c>
      <c r="C29" s="1253">
        <f>+'OT17-282 LA DORADA IN-OUT'!U30</f>
        <v>1390655.94</v>
      </c>
      <c r="D29" s="1253"/>
      <c r="E29" s="267">
        <f>+'OT17-282 LA DORADA IN-OUT'!V30</f>
        <v>5.3259624416517583E-2</v>
      </c>
      <c r="F29" s="1177"/>
      <c r="G29" s="1177"/>
    </row>
    <row r="30" spans="1:7" x14ac:dyDescent="0.25">
      <c r="A30" s="1177"/>
      <c r="B30" s="280" t="str">
        <f>+'OT17-282 LA DORADA IN-OUT'!T31</f>
        <v>ACTA 3</v>
      </c>
      <c r="C30" s="1253">
        <f>+'OT17-282 LA DORADA IN-OUT'!U31</f>
        <v>1358655.34</v>
      </c>
      <c r="D30" s="1253"/>
      <c r="E30" s="267">
        <f>+'OT17-282 LA DORADA IN-OUT'!V31</f>
        <v>5.2034058920350929E-2</v>
      </c>
      <c r="F30" s="1177"/>
      <c r="G30" s="1177"/>
    </row>
    <row r="31" spans="1:7" x14ac:dyDescent="0.25">
      <c r="A31" s="1177"/>
      <c r="B31" s="280" t="str">
        <f>+'OT17-282 LA DORADA IN-OUT'!T32</f>
        <v>ACTA 4</v>
      </c>
      <c r="C31" s="1253">
        <f>+'OT17-282 LA DORADA IN-OUT'!U32</f>
        <v>0</v>
      </c>
      <c r="D31" s="1253"/>
      <c r="E31" s="267">
        <f>+'OT17-282 LA DORADA IN-OUT'!V32</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25008124.220000003</v>
      </c>
      <c r="D34" s="1251"/>
      <c r="E34" s="264">
        <f>SUM(E28:E33)</f>
        <v>0.95776623462940569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RESUMEN!V60</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9">
    <tabColor rgb="FF72104A"/>
  </sheetPr>
  <dimension ref="A1:Y38"/>
  <sheetViews>
    <sheetView topLeftCell="I4" zoomScale="70" zoomScaleNormal="70" workbookViewId="0">
      <selection activeCell="T37" sqref="T37"/>
    </sheetView>
  </sheetViews>
  <sheetFormatPr baseColWidth="10" defaultColWidth="11.44140625" defaultRowHeight="14.4" x14ac:dyDescent="0.3"/>
  <cols>
    <col min="1" max="1" width="17.5546875" style="189" customWidth="1"/>
    <col min="2" max="2" width="24.88671875" style="189" customWidth="1"/>
    <col min="3" max="3" width="30.5546875" style="189" customWidth="1"/>
    <col min="4" max="4" width="23.6640625" style="189" customWidth="1"/>
    <col min="5" max="5" width="12" style="212" customWidth="1"/>
    <col min="6" max="6" width="17.88671875" style="189" bestFit="1" customWidth="1"/>
    <col min="7" max="7" width="17.88671875" style="852" customWidth="1"/>
    <col min="8" max="8" width="18" style="189" bestFit="1" customWidth="1"/>
    <col min="9" max="9" width="18" style="852" customWidth="1"/>
    <col min="10" max="10" width="36" style="189" customWidth="1"/>
    <col min="11" max="11" width="17.88671875" style="389" hidden="1" customWidth="1"/>
    <col min="12" max="12" width="17.5546875" style="189" hidden="1" customWidth="1"/>
    <col min="13" max="13" width="11.44140625" style="189" hidden="1" customWidth="1"/>
    <col min="14" max="14" width="17.88671875" style="389" hidden="1" customWidth="1"/>
    <col min="15" max="15" width="17.5546875" style="189" hidden="1" customWidth="1"/>
    <col min="16" max="16" width="11.44140625" style="189" hidden="1" customWidth="1"/>
    <col min="17" max="17" width="17.88671875" style="389" bestFit="1" customWidth="1"/>
    <col min="18" max="18" width="17.5546875" style="852" customWidth="1"/>
    <col min="19" max="19" width="11.44140625" style="852"/>
    <col min="20" max="20" width="17.44140625" style="1055" customWidth="1"/>
    <col min="21" max="21" width="17" style="1055" customWidth="1"/>
    <col min="22" max="22" width="21" style="1055" customWidth="1"/>
    <col min="23" max="23" width="17.88671875" style="189" bestFit="1" customWidth="1"/>
    <col min="24" max="24" width="18" style="189" bestFit="1" customWidth="1"/>
    <col min="25" max="16384" width="11.44140625" style="189"/>
  </cols>
  <sheetData>
    <row r="1" spans="1:25" s="302" customFormat="1" ht="25.5" customHeight="1" thickBot="1" x14ac:dyDescent="0.35">
      <c r="A1" s="169"/>
      <c r="B1" s="188"/>
      <c r="C1" s="1307" t="s">
        <v>40</v>
      </c>
      <c r="D1" s="1308"/>
      <c r="E1" s="1308"/>
      <c r="F1" s="1308"/>
      <c r="G1" s="1308"/>
      <c r="H1" s="1308"/>
      <c r="I1" s="1308"/>
      <c r="J1" s="1308"/>
      <c r="K1" s="1308"/>
      <c r="L1" s="1308"/>
      <c r="M1" s="1308"/>
      <c r="N1" s="1308"/>
      <c r="O1" s="1308"/>
      <c r="P1" s="1309"/>
      <c r="Q1" s="846"/>
      <c r="R1" s="846"/>
      <c r="S1" s="846"/>
      <c r="T1" s="1052"/>
      <c r="U1" s="1052"/>
      <c r="V1" s="1052"/>
      <c r="W1" s="1328" t="s">
        <v>1139</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2"/>
      <c r="Q2" s="847"/>
      <c r="R2" s="847"/>
      <c r="S2" s="847"/>
      <c r="T2" s="1053"/>
      <c r="U2" s="1053"/>
      <c r="V2" s="1053"/>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1141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84"/>
      <c r="B11" s="1301"/>
      <c r="C11" s="1313"/>
      <c r="D11" s="1313"/>
      <c r="E11" s="1313"/>
      <c r="F11" s="1313"/>
      <c r="G11" s="1313"/>
      <c r="H11" s="1313"/>
      <c r="I11" s="1313"/>
      <c r="J11" s="1313"/>
      <c r="K11" s="1293" t="s">
        <v>986</v>
      </c>
      <c r="L11" s="1294"/>
      <c r="M11" s="1295"/>
      <c r="N11" s="1293" t="s">
        <v>1977</v>
      </c>
      <c r="O11" s="1294"/>
      <c r="P11" s="1295"/>
      <c r="Q11" s="1293" t="s">
        <v>2101</v>
      </c>
      <c r="R11" s="1294"/>
      <c r="S11" s="1295"/>
      <c r="T11" s="1293" t="s">
        <v>2329</v>
      </c>
      <c r="U11" s="1294"/>
      <c r="V11" s="1295"/>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26.25" customHeight="1" x14ac:dyDescent="0.3">
      <c r="A14" s="1314" t="s">
        <v>1133</v>
      </c>
      <c r="B14" s="1314" t="s">
        <v>320</v>
      </c>
      <c r="C14" s="385" t="s">
        <v>59</v>
      </c>
      <c r="D14" s="385" t="s">
        <v>321</v>
      </c>
      <c r="E14" s="191">
        <v>1</v>
      </c>
      <c r="F14" s="192">
        <v>6024196</v>
      </c>
      <c r="G14" s="32">
        <f>+ROUND(F14*1.051,0)</f>
        <v>6331430</v>
      </c>
      <c r="H14" s="192">
        <f>ROUND((E14*F14),0)</f>
        <v>6024196</v>
      </c>
      <c r="I14" s="32">
        <f>+ROUND(G14*E14,0)</f>
        <v>6331430</v>
      </c>
      <c r="J14" s="1314" t="s">
        <v>1134</v>
      </c>
      <c r="K14" s="433">
        <v>0.8</v>
      </c>
      <c r="L14" s="429">
        <f>ROUND(K14*$F$14,0)</f>
        <v>4819357</v>
      </c>
      <c r="M14" s="430">
        <f>L14/$H$14</f>
        <v>0.80000003319945101</v>
      </c>
      <c r="N14" s="432">
        <v>0</v>
      </c>
      <c r="O14" s="425">
        <f>ROUND(N14*$F$14,0)</f>
        <v>0</v>
      </c>
      <c r="P14" s="426">
        <f>O14/$H$14</f>
        <v>0</v>
      </c>
      <c r="Q14" s="433">
        <v>0.2</v>
      </c>
      <c r="R14" s="429">
        <f>ROUND(Q14*G14,0)</f>
        <v>1266286</v>
      </c>
      <c r="S14" s="430">
        <f>R14/H14</f>
        <v>0.2102000001327978</v>
      </c>
      <c r="T14" s="432">
        <v>0</v>
      </c>
      <c r="U14" s="425">
        <f>ROUND(T14*G14,0)</f>
        <v>0</v>
      </c>
      <c r="V14" s="426">
        <f>U14/I14</f>
        <v>0</v>
      </c>
      <c r="W14" s="149">
        <f>K14+N14+Q14+T14</f>
        <v>1</v>
      </c>
      <c r="X14" s="175">
        <f>L14+O14+R14+U14</f>
        <v>6085643</v>
      </c>
      <c r="Y14" s="176">
        <f t="shared" ref="Y14:Y19" si="0">X14/H14</f>
        <v>1.0102000333322487</v>
      </c>
    </row>
    <row r="15" spans="1:25" ht="30.75" customHeight="1" x14ac:dyDescent="0.3">
      <c r="A15" s="1314"/>
      <c r="B15" s="1314"/>
      <c r="C15" s="385" t="s">
        <v>61</v>
      </c>
      <c r="D15" s="385" t="s">
        <v>322</v>
      </c>
      <c r="E15" s="191">
        <v>1</v>
      </c>
      <c r="F15" s="192">
        <v>6650991</v>
      </c>
      <c r="G15" s="32">
        <f>+ROUND(F15*1.051,0)</f>
        <v>6990192</v>
      </c>
      <c r="H15" s="192">
        <f>ROUND((E15*F15),0)</f>
        <v>6650991</v>
      </c>
      <c r="I15" s="32">
        <f>+ROUND(G15*E15,0)</f>
        <v>6990192</v>
      </c>
      <c r="J15" s="1314"/>
      <c r="K15" s="433">
        <v>0.9</v>
      </c>
      <c r="L15" s="429">
        <f>ROUND(K15*$F$15,0)</f>
        <v>5985892</v>
      </c>
      <c r="M15" s="430">
        <f>L15/$H$14</f>
        <v>0.99364164114182207</v>
      </c>
      <c r="N15" s="433">
        <v>0.1</v>
      </c>
      <c r="O15" s="429">
        <f>ROUND(N15*$F$15,0)</f>
        <v>665099</v>
      </c>
      <c r="P15" s="430">
        <f>O15/$H$14</f>
        <v>0.11040460834939633</v>
      </c>
      <c r="Q15" s="432">
        <v>0</v>
      </c>
      <c r="R15" s="425">
        <f>ROUND(Q15*G15,0)</f>
        <v>0</v>
      </c>
      <c r="S15" s="426">
        <f t="shared" ref="S15:S19" si="1">R15/H15</f>
        <v>0</v>
      </c>
      <c r="T15" s="432">
        <v>0</v>
      </c>
      <c r="U15" s="425">
        <f>ROUND(T15*G15,0)</f>
        <v>0</v>
      </c>
      <c r="V15" s="426">
        <f t="shared" ref="V15:V19" si="2">U15/I15</f>
        <v>0</v>
      </c>
      <c r="W15" s="416">
        <f t="shared" ref="W15:W18" si="3">K15+N15+Q15+T15</f>
        <v>1</v>
      </c>
      <c r="X15" s="175">
        <f t="shared" ref="X15:X18" si="4">L15+O15+R15+U15</f>
        <v>6650991</v>
      </c>
      <c r="Y15" s="176">
        <f t="shared" si="0"/>
        <v>1</v>
      </c>
    </row>
    <row r="16" spans="1:25" x14ac:dyDescent="0.3">
      <c r="A16" s="1314"/>
      <c r="B16" s="1314"/>
      <c r="C16" s="196"/>
      <c r="D16" s="196" t="s">
        <v>143</v>
      </c>
      <c r="E16" s="197"/>
      <c r="F16" s="198"/>
      <c r="G16" s="198"/>
      <c r="H16" s="199">
        <f>SUM(H14:H15)</f>
        <v>12675187</v>
      </c>
      <c r="I16" s="199">
        <f>SUM(I14:I15)</f>
        <v>13321622</v>
      </c>
      <c r="J16" s="1314"/>
      <c r="K16" s="308"/>
      <c r="L16" s="179">
        <f>SUM(L14:L15)</f>
        <v>10805249</v>
      </c>
      <c r="M16" s="308">
        <f>L16/H16</f>
        <v>0.85247255129253718</v>
      </c>
      <c r="N16" s="431"/>
      <c r="O16" s="179">
        <f>SUM(O14:O15)</f>
        <v>665099</v>
      </c>
      <c r="P16" s="431">
        <f>O16/H16</f>
        <v>5.2472519734817327E-2</v>
      </c>
      <c r="Q16" s="431"/>
      <c r="R16" s="179">
        <f>SUM(R14:R15)</f>
        <v>1266286</v>
      </c>
      <c r="S16" s="431">
        <f t="shared" si="1"/>
        <v>9.9902746996947664E-2</v>
      </c>
      <c r="T16" s="431"/>
      <c r="U16" s="179">
        <f>SUM(U14:U15)</f>
        <v>0</v>
      </c>
      <c r="V16" s="1091">
        <f t="shared" si="2"/>
        <v>0</v>
      </c>
      <c r="W16" s="1093"/>
      <c r="X16" s="1078">
        <f t="shared" si="4"/>
        <v>12736634</v>
      </c>
      <c r="Y16" s="308">
        <f t="shared" si="0"/>
        <v>1.0048478180243021</v>
      </c>
    </row>
    <row r="17" spans="1:25" ht="32.25" customHeight="1" x14ac:dyDescent="0.3">
      <c r="A17" s="1314" t="s">
        <v>1135</v>
      </c>
      <c r="B17" s="1314" t="s">
        <v>320</v>
      </c>
      <c r="C17" s="385" t="s">
        <v>81</v>
      </c>
      <c r="D17" s="385" t="s">
        <v>907</v>
      </c>
      <c r="E17" s="191">
        <v>1</v>
      </c>
      <c r="F17" s="192">
        <v>6024196</v>
      </c>
      <c r="G17" s="32">
        <f t="shared" ref="G17:G18" si="5">+ROUND(F17*1.051,0)</f>
        <v>6331430</v>
      </c>
      <c r="H17" s="192">
        <f>ROUND((E17*F17),0)</f>
        <v>6024196</v>
      </c>
      <c r="I17" s="32">
        <f t="shared" ref="I17:I18" si="6">+ROUND(G17*E17,0)</f>
        <v>6331430</v>
      </c>
      <c r="J17" s="1314" t="s">
        <v>1136</v>
      </c>
      <c r="K17" s="433">
        <v>0.8</v>
      </c>
      <c r="L17" s="429">
        <f>ROUND(K17*$F$17,0)</f>
        <v>4819357</v>
      </c>
      <c r="M17" s="430">
        <f>L17/$H$14</f>
        <v>0.80000003319945101</v>
      </c>
      <c r="N17" s="432">
        <v>0</v>
      </c>
      <c r="O17" s="425">
        <f>ROUND(N17*$F$14,0)</f>
        <v>0</v>
      </c>
      <c r="P17" s="426">
        <f>O17/$H$14</f>
        <v>0</v>
      </c>
      <c r="Q17" s="432">
        <v>0</v>
      </c>
      <c r="R17" s="425">
        <f>ROUND(Q17*G17,0)</f>
        <v>0</v>
      </c>
      <c r="S17" s="426">
        <f t="shared" si="1"/>
        <v>0</v>
      </c>
      <c r="T17" s="432">
        <v>0</v>
      </c>
      <c r="U17" s="425">
        <f>ROUND(T17*G17,0)</f>
        <v>0</v>
      </c>
      <c r="V17" s="426">
        <f t="shared" si="2"/>
        <v>0</v>
      </c>
      <c r="W17" s="416">
        <f t="shared" si="3"/>
        <v>0.8</v>
      </c>
      <c r="X17" s="175">
        <f t="shared" si="4"/>
        <v>4819357</v>
      </c>
      <c r="Y17" s="176">
        <f t="shared" si="0"/>
        <v>0.80000003319945101</v>
      </c>
    </row>
    <row r="18" spans="1:25" ht="22.5" customHeight="1" x14ac:dyDescent="0.3">
      <c r="A18" s="1314"/>
      <c r="B18" s="1314"/>
      <c r="C18" s="385" t="s">
        <v>83</v>
      </c>
      <c r="D18" s="385" t="s">
        <v>909</v>
      </c>
      <c r="E18" s="191">
        <v>1</v>
      </c>
      <c r="F18" s="192">
        <v>6650991</v>
      </c>
      <c r="G18" s="32">
        <f t="shared" si="5"/>
        <v>6990192</v>
      </c>
      <c r="H18" s="192">
        <f>ROUND((E18*F18),0)</f>
        <v>6650991</v>
      </c>
      <c r="I18" s="32">
        <f t="shared" si="6"/>
        <v>6990192</v>
      </c>
      <c r="J18" s="1314"/>
      <c r="K18" s="433">
        <v>0.9</v>
      </c>
      <c r="L18" s="429">
        <f>ROUND(K18*$F$18,0)</f>
        <v>5985892</v>
      </c>
      <c r="M18" s="430">
        <f>L18/$H$14</f>
        <v>0.99364164114182207</v>
      </c>
      <c r="N18" s="433">
        <v>0.1</v>
      </c>
      <c r="O18" s="429">
        <f>ROUND(N18*$F$18,0)</f>
        <v>665099</v>
      </c>
      <c r="P18" s="430">
        <f>O18/$H$14</f>
        <v>0.11040460834939633</v>
      </c>
      <c r="Q18" s="432">
        <v>0</v>
      </c>
      <c r="R18" s="425">
        <f>ROUND(Q18*G18,0)</f>
        <v>0</v>
      </c>
      <c r="S18" s="426">
        <f t="shared" si="1"/>
        <v>0</v>
      </c>
      <c r="T18" s="432">
        <v>0</v>
      </c>
      <c r="U18" s="425">
        <f>ROUND(T18*G18,0)</f>
        <v>0</v>
      </c>
      <c r="V18" s="426">
        <f t="shared" si="2"/>
        <v>0</v>
      </c>
      <c r="W18" s="416">
        <f t="shared" si="3"/>
        <v>1</v>
      </c>
      <c r="X18" s="175">
        <f t="shared" si="4"/>
        <v>6650991</v>
      </c>
      <c r="Y18" s="176">
        <f t="shared" si="0"/>
        <v>1</v>
      </c>
    </row>
    <row r="19" spans="1:25" ht="15" customHeight="1" x14ac:dyDescent="0.3">
      <c r="A19" s="1314"/>
      <c r="B19" s="1314"/>
      <c r="C19" s="196"/>
      <c r="D19" s="196" t="s">
        <v>265</v>
      </c>
      <c r="E19" s="197"/>
      <c r="F19" s="198"/>
      <c r="G19" s="198"/>
      <c r="H19" s="199">
        <f>SUM(H17:H18)</f>
        <v>12675187</v>
      </c>
      <c r="I19" s="199">
        <f>SUM(I17:I18)</f>
        <v>13321622</v>
      </c>
      <c r="J19" s="1314"/>
      <c r="K19" s="308"/>
      <c r="L19" s="179">
        <f>SUM(L17:L18)</f>
        <v>10805249</v>
      </c>
      <c r="M19" s="308">
        <f>L19/H19</f>
        <v>0.85247255129253718</v>
      </c>
      <c r="N19" s="431"/>
      <c r="O19" s="179">
        <f>SUM(O17:O18)</f>
        <v>665099</v>
      </c>
      <c r="P19" s="431">
        <f>O19/H19</f>
        <v>5.2472519734817327E-2</v>
      </c>
      <c r="Q19" s="431"/>
      <c r="R19" s="179">
        <f>SUM(R17:R18)</f>
        <v>0</v>
      </c>
      <c r="S19" s="431">
        <f t="shared" si="1"/>
        <v>0</v>
      </c>
      <c r="T19" s="431"/>
      <c r="U19" s="179">
        <f>SUM(U17:U18)</f>
        <v>0</v>
      </c>
      <c r="V19" s="1091">
        <f t="shared" si="2"/>
        <v>0</v>
      </c>
      <c r="W19" s="306"/>
      <c r="X19" s="307">
        <f>SUM(X17:X18)</f>
        <v>11470348</v>
      </c>
      <c r="Y19" s="308">
        <f t="shared" si="0"/>
        <v>0.90494507102735444</v>
      </c>
    </row>
    <row r="20" spans="1:25" x14ac:dyDescent="0.3">
      <c r="F20" s="151" t="s">
        <v>64</v>
      </c>
      <c r="G20" s="151"/>
      <c r="H20" s="181">
        <f>SUM(H5:H19)/2</f>
        <v>25350374</v>
      </c>
      <c r="I20" s="181">
        <f>SUM(I5:I19)/2</f>
        <v>26643244</v>
      </c>
      <c r="K20" s="151" t="s">
        <v>64</v>
      </c>
      <c r="L20" s="181">
        <f>SUM(L5:L19)/2</f>
        <v>21610498</v>
      </c>
      <c r="M20" s="131">
        <f>L20/H20</f>
        <v>0.85247255129253718</v>
      </c>
      <c r="N20" s="151" t="s">
        <v>64</v>
      </c>
      <c r="O20" s="181">
        <f>SUM(O5:O19)/2</f>
        <v>1330198</v>
      </c>
      <c r="Q20" s="480" t="s">
        <v>64</v>
      </c>
      <c r="R20" s="481">
        <f>SUM(R5:R19)/2</f>
        <v>1266286</v>
      </c>
      <c r="T20" s="480" t="s">
        <v>64</v>
      </c>
      <c r="U20" s="481">
        <f>SUM(U14:U19)/2</f>
        <v>0</v>
      </c>
      <c r="W20" s="151" t="s">
        <v>64</v>
      </c>
      <c r="X20" s="181">
        <f>SUM(X5:X19)/2</f>
        <v>24206982</v>
      </c>
    </row>
    <row r="21" spans="1:25" x14ac:dyDescent="0.3">
      <c r="F21" s="153" t="s">
        <v>65</v>
      </c>
      <c r="G21" s="153"/>
      <c r="H21" s="181">
        <f>((H16*0.03)+(H19*0.03))</f>
        <v>760511.22</v>
      </c>
      <c r="I21" s="181">
        <f>((I16*0.03)+(I19*0.03))</f>
        <v>799297.32</v>
      </c>
      <c r="K21" s="153" t="s">
        <v>65</v>
      </c>
      <c r="L21" s="181">
        <f>((L16*0.03)+(L19*0.03))</f>
        <v>648314.93999999994</v>
      </c>
      <c r="N21" s="153" t="s">
        <v>65</v>
      </c>
      <c r="O21" s="181">
        <f>((O16*0.03)+(O19*0.03))</f>
        <v>39905.939999999995</v>
      </c>
      <c r="Q21" s="482" t="s">
        <v>65</v>
      </c>
      <c r="R21" s="481">
        <f>+H21-L21-O21</f>
        <v>72290.340000000026</v>
      </c>
      <c r="T21" s="482" t="s">
        <v>65</v>
      </c>
      <c r="U21" s="481"/>
      <c r="W21" s="153" t="s">
        <v>65</v>
      </c>
      <c r="X21" s="181">
        <f>+R21+O21+L21</f>
        <v>760511.22</v>
      </c>
    </row>
    <row r="22" spans="1:25" x14ac:dyDescent="0.3">
      <c r="F22" s="152" t="s">
        <v>64</v>
      </c>
      <c r="G22" s="152"/>
      <c r="H22" s="340">
        <f>SUM(H20:H21)</f>
        <v>26110885.219999999</v>
      </c>
      <c r="I22" s="340">
        <f>SUM(I20:I21)</f>
        <v>27442541.32</v>
      </c>
      <c r="K22" s="152" t="s">
        <v>64</v>
      </c>
      <c r="L22" s="340">
        <f>SUM(L20:L21)</f>
        <v>22258812.940000001</v>
      </c>
      <c r="N22" s="152" t="s">
        <v>64</v>
      </c>
      <c r="O22" s="340">
        <f>SUM(O20:O21)</f>
        <v>1370103.94</v>
      </c>
      <c r="Q22" s="484" t="s">
        <v>64</v>
      </c>
      <c r="R22" s="550">
        <f>SUM(R20:R21)</f>
        <v>1338576.3400000001</v>
      </c>
      <c r="T22" s="484" t="s">
        <v>64</v>
      </c>
      <c r="U22" s="550">
        <f>SUM(U20:U21)</f>
        <v>0</v>
      </c>
      <c r="W22" s="152" t="s">
        <v>64</v>
      </c>
      <c r="X22" s="340">
        <f>SUM(X20:X21)</f>
        <v>24967493.219999999</v>
      </c>
    </row>
    <row r="23" spans="1:25" ht="26.4" x14ac:dyDescent="0.3">
      <c r="F23" s="152"/>
      <c r="G23" s="152"/>
      <c r="H23" s="340"/>
      <c r="I23" s="340"/>
      <c r="K23" s="152"/>
      <c r="L23" s="340"/>
      <c r="N23" s="484" t="s">
        <v>1439</v>
      </c>
      <c r="O23" s="182">
        <f>ROUND(O22*0.015,0)</f>
        <v>20552</v>
      </c>
      <c r="Q23" s="484" t="s">
        <v>1439</v>
      </c>
      <c r="R23" s="483">
        <f>ROUND(R22*0.015,0)</f>
        <v>20079</v>
      </c>
      <c r="T23" s="484" t="s">
        <v>1439</v>
      </c>
      <c r="U23" s="483">
        <f>ROUND(U22*0.015,0)</f>
        <v>0</v>
      </c>
      <c r="W23" s="484" t="s">
        <v>1439</v>
      </c>
      <c r="X23" s="340">
        <f>L23+O23+R23+U23</f>
        <v>40631</v>
      </c>
    </row>
    <row r="24" spans="1:25" ht="26.4" x14ac:dyDescent="0.3">
      <c r="F24" s="152"/>
      <c r="G24" s="152"/>
      <c r="H24" s="340"/>
      <c r="I24" s="340"/>
      <c r="K24" s="152"/>
      <c r="L24" s="340"/>
      <c r="N24" s="152" t="s">
        <v>1440</v>
      </c>
      <c r="O24" s="182">
        <f>O22+O23</f>
        <v>1390655.94</v>
      </c>
      <c r="P24" s="131">
        <f>O24/$H$22</f>
        <v>5.3259624416517583E-2</v>
      </c>
      <c r="Q24" s="152" t="s">
        <v>1440</v>
      </c>
      <c r="R24" s="182">
        <f>R22+R23</f>
        <v>1358655.34</v>
      </c>
      <c r="S24" s="131">
        <f>R24/$H$22</f>
        <v>5.2034058920350929E-2</v>
      </c>
      <c r="T24" s="152" t="s">
        <v>1440</v>
      </c>
      <c r="U24" s="182">
        <f>U22+U23</f>
        <v>0</v>
      </c>
      <c r="V24" s="131">
        <f>U24/$H$22</f>
        <v>0</v>
      </c>
      <c r="W24" s="152" t="s">
        <v>1440</v>
      </c>
      <c r="X24" s="182">
        <f>X22+X23</f>
        <v>25008124.219999999</v>
      </c>
      <c r="Y24" s="131">
        <f>X24/H22</f>
        <v>0.95776623462940569</v>
      </c>
    </row>
    <row r="25" spans="1:25" x14ac:dyDescent="0.3">
      <c r="F25" s="154" t="s">
        <v>66</v>
      </c>
      <c r="G25" s="154"/>
      <c r="H25" s="181">
        <f>+H22*19%</f>
        <v>4961068.1918000001</v>
      </c>
      <c r="I25" s="181">
        <f>+I22*19%</f>
        <v>5214082.8508000001</v>
      </c>
      <c r="K25" s="154" t="s">
        <v>66</v>
      </c>
      <c r="L25" s="181">
        <f>+L22*19%</f>
        <v>4229174.4586000005</v>
      </c>
      <c r="N25" s="154" t="s">
        <v>66</v>
      </c>
      <c r="O25" s="182">
        <f>ROUND(O24*0.19,0)</f>
        <v>264225</v>
      </c>
      <c r="Q25" s="485" t="s">
        <v>66</v>
      </c>
      <c r="R25" s="483">
        <f>ROUND(R24*0.19,0)</f>
        <v>258145</v>
      </c>
      <c r="T25" s="485" t="s">
        <v>66</v>
      </c>
      <c r="U25" s="483">
        <f>ROUND(U24*0.19,0)</f>
        <v>0</v>
      </c>
      <c r="W25" s="154" t="s">
        <v>66</v>
      </c>
      <c r="X25" s="182">
        <f>ROUND(X24*0.19,0)</f>
        <v>4751544</v>
      </c>
    </row>
    <row r="26" spans="1:25" x14ac:dyDescent="0.3">
      <c r="F26" s="155" t="s">
        <v>69</v>
      </c>
      <c r="G26" s="155"/>
      <c r="H26" s="181">
        <f>+H22+H25</f>
        <v>31071953.411799997</v>
      </c>
      <c r="I26" s="181">
        <f>+I22+I25</f>
        <v>32656624.1708</v>
      </c>
      <c r="K26" s="155" t="s">
        <v>69</v>
      </c>
      <c r="L26" s="181">
        <f>+L22+L25</f>
        <v>26487987.398600001</v>
      </c>
      <c r="N26" s="155" t="s">
        <v>69</v>
      </c>
      <c r="O26" s="181">
        <f>O24+O25</f>
        <v>1654880.94</v>
      </c>
      <c r="Q26" s="545" t="s">
        <v>69</v>
      </c>
      <c r="R26" s="481">
        <f>R24+R25</f>
        <v>1616800.34</v>
      </c>
      <c r="T26" s="545" t="s">
        <v>69</v>
      </c>
      <c r="U26" s="481">
        <f>U24+U25</f>
        <v>0</v>
      </c>
      <c r="W26" s="155" t="s">
        <v>69</v>
      </c>
      <c r="X26" s="181">
        <f>X24+X25</f>
        <v>29759668.219999999</v>
      </c>
    </row>
    <row r="27" spans="1:25" x14ac:dyDescent="0.3">
      <c r="T27" s="389"/>
    </row>
    <row r="28" spans="1:25" x14ac:dyDescent="0.3">
      <c r="A28" s="183" t="s">
        <v>67</v>
      </c>
      <c r="B28" s="184"/>
      <c r="C28" s="184"/>
      <c r="D28" s="185" t="s">
        <v>68</v>
      </c>
      <c r="E28" s="189"/>
      <c r="K28" s="186" t="s">
        <v>70</v>
      </c>
      <c r="L28" s="187" t="s">
        <v>71</v>
      </c>
      <c r="M28" s="186" t="s">
        <v>58</v>
      </c>
      <c r="N28" s="186" t="s">
        <v>70</v>
      </c>
      <c r="O28" s="187" t="s">
        <v>71</v>
      </c>
      <c r="P28" s="186" t="s">
        <v>58</v>
      </c>
      <c r="Q28" s="186" t="s">
        <v>70</v>
      </c>
      <c r="R28" s="187" t="s">
        <v>71</v>
      </c>
      <c r="S28" s="186" t="s">
        <v>58</v>
      </c>
      <c r="T28" s="186" t="s">
        <v>70</v>
      </c>
      <c r="U28" s="187" t="s">
        <v>71</v>
      </c>
      <c r="V28" s="186" t="s">
        <v>58</v>
      </c>
      <c r="W28" s="302"/>
      <c r="X28" s="302"/>
      <c r="Y28" s="302"/>
    </row>
    <row r="29" spans="1:25" x14ac:dyDescent="0.3">
      <c r="A29" s="183"/>
      <c r="B29" s="184"/>
      <c r="C29" s="184"/>
      <c r="D29" s="185"/>
      <c r="E29" s="189"/>
      <c r="K29" s="69" t="s">
        <v>72</v>
      </c>
      <c r="L29" s="70">
        <f>$L$20</f>
        <v>21610498</v>
      </c>
      <c r="M29" s="71">
        <f>M20</f>
        <v>0.85247255129253718</v>
      </c>
      <c r="N29" s="69" t="s">
        <v>72</v>
      </c>
      <c r="O29" s="70">
        <f>$L$22</f>
        <v>22258812.940000001</v>
      </c>
      <c r="P29" s="71">
        <f>$M$20</f>
        <v>0.85247255129253718</v>
      </c>
      <c r="Q29" s="69" t="s">
        <v>72</v>
      </c>
      <c r="R29" s="70">
        <f>$L$22</f>
        <v>22258812.940000001</v>
      </c>
      <c r="S29" s="71">
        <f>$M$20</f>
        <v>0.85247255129253718</v>
      </c>
      <c r="T29" s="69" t="s">
        <v>72</v>
      </c>
      <c r="U29" s="70">
        <f>$L$22</f>
        <v>22258812.940000001</v>
      </c>
      <c r="V29" s="71">
        <f>$M$20</f>
        <v>0.85247255129253718</v>
      </c>
      <c r="W29" s="302"/>
      <c r="X29" s="302"/>
      <c r="Y29" s="302"/>
    </row>
    <row r="30" spans="1:25" x14ac:dyDescent="0.3">
      <c r="A30" s="183"/>
      <c r="B30" s="184"/>
      <c r="C30" s="184"/>
      <c r="D30" s="185"/>
      <c r="E30" s="189"/>
      <c r="K30" s="69"/>
      <c r="L30" s="70"/>
      <c r="M30" s="71"/>
      <c r="N30" s="69" t="s">
        <v>73</v>
      </c>
      <c r="O30" s="70">
        <f>$O$24</f>
        <v>1390655.94</v>
      </c>
      <c r="P30" s="71">
        <f>$P$24</f>
        <v>5.3259624416517583E-2</v>
      </c>
      <c r="Q30" s="69" t="s">
        <v>73</v>
      </c>
      <c r="R30" s="70">
        <f>$O$24</f>
        <v>1390655.94</v>
      </c>
      <c r="S30" s="71">
        <f>$P$24</f>
        <v>5.3259624416517583E-2</v>
      </c>
      <c r="T30" s="69" t="s">
        <v>73</v>
      </c>
      <c r="U30" s="70">
        <f>$O$24</f>
        <v>1390655.94</v>
      </c>
      <c r="V30" s="71">
        <f>$P$24</f>
        <v>5.3259624416517583E-2</v>
      </c>
      <c r="W30" s="302"/>
      <c r="X30" s="302"/>
      <c r="Y30" s="302"/>
    </row>
    <row r="31" spans="1:25" s="852" customFormat="1" x14ac:dyDescent="0.3">
      <c r="A31" s="183"/>
      <c r="B31" s="184"/>
      <c r="C31" s="184"/>
      <c r="D31" s="185"/>
      <c r="K31" s="69"/>
      <c r="L31" s="70"/>
      <c r="M31" s="71"/>
      <c r="N31" s="69"/>
      <c r="O31" s="70"/>
      <c r="P31" s="71"/>
      <c r="Q31" s="69" t="s">
        <v>74</v>
      </c>
      <c r="R31" s="70">
        <f>+R24</f>
        <v>1358655.34</v>
      </c>
      <c r="S31" s="71">
        <f>+S24</f>
        <v>5.2034058920350929E-2</v>
      </c>
      <c r="T31" s="69" t="s">
        <v>74</v>
      </c>
      <c r="U31" s="70">
        <f>+R24</f>
        <v>1358655.34</v>
      </c>
      <c r="V31" s="71">
        <f>+S24</f>
        <v>5.2034058920350929E-2</v>
      </c>
      <c r="W31" s="849"/>
      <c r="X31" s="849"/>
      <c r="Y31" s="849"/>
    </row>
    <row r="32" spans="1:25" x14ac:dyDescent="0.3">
      <c r="A32" s="183"/>
      <c r="B32" s="184"/>
      <c r="C32" s="184"/>
      <c r="D32" s="185"/>
      <c r="E32" s="189"/>
      <c r="K32" s="72" t="s">
        <v>1</v>
      </c>
      <c r="L32" s="105">
        <f>SUM(L29:L29)</f>
        <v>21610498</v>
      </c>
      <c r="M32" s="73">
        <f>SUM(M29:M29)</f>
        <v>0.85247255129253718</v>
      </c>
      <c r="N32" s="72" t="s">
        <v>1</v>
      </c>
      <c r="O32" s="105">
        <f>SUM(O29:O30)</f>
        <v>23649468.880000003</v>
      </c>
      <c r="P32" s="73">
        <f>SUM(P29:P30)</f>
        <v>0.90573217570905473</v>
      </c>
      <c r="Q32" s="72" t="s">
        <v>1</v>
      </c>
      <c r="R32" s="105">
        <f>SUM(R29:R31)</f>
        <v>25008124.220000003</v>
      </c>
      <c r="S32" s="73">
        <f>SUM(S29:S31)</f>
        <v>0.95776623462940569</v>
      </c>
      <c r="T32" s="69" t="s">
        <v>155</v>
      </c>
      <c r="U32" s="70">
        <f>$U$24</f>
        <v>0</v>
      </c>
      <c r="V32" s="71">
        <f>$V$24</f>
        <v>0</v>
      </c>
      <c r="W32" s="302"/>
      <c r="X32" s="302"/>
      <c r="Y32" s="302"/>
    </row>
    <row r="33" spans="1:25" x14ac:dyDescent="0.3">
      <c r="A33" s="183"/>
      <c r="B33" s="184"/>
      <c r="C33" s="184"/>
      <c r="D33" s="185"/>
      <c r="E33" s="189"/>
      <c r="K33" s="72" t="s">
        <v>9</v>
      </c>
      <c r="L33" s="1285"/>
      <c r="M33" s="1286"/>
      <c r="N33" s="72" t="s">
        <v>9</v>
      </c>
      <c r="O33" s="1285"/>
      <c r="P33" s="1286"/>
      <c r="Q33" s="72" t="s">
        <v>9</v>
      </c>
      <c r="R33" s="1285"/>
      <c r="S33" s="1286"/>
      <c r="T33" s="72" t="s">
        <v>1</v>
      </c>
      <c r="U33" s="105">
        <f>SUM(U29:U32)</f>
        <v>25008124.220000003</v>
      </c>
      <c r="V33" s="73">
        <f>SUM(V29:V32)</f>
        <v>0.95776623462940569</v>
      </c>
      <c r="W33" s="302"/>
      <c r="X33" s="302"/>
      <c r="Y33" s="302"/>
    </row>
    <row r="34" spans="1:25" x14ac:dyDescent="0.3">
      <c r="A34" s="183"/>
      <c r="B34" s="184"/>
      <c r="C34" s="184"/>
      <c r="D34" s="185"/>
      <c r="E34" s="189"/>
      <c r="K34" s="156" t="s">
        <v>78</v>
      </c>
      <c r="L34" s="1285" t="s">
        <v>1137</v>
      </c>
      <c r="M34" s="1286"/>
      <c r="N34" s="156" t="s">
        <v>78</v>
      </c>
      <c r="O34" s="1285" t="s">
        <v>1997</v>
      </c>
      <c r="P34" s="1286"/>
      <c r="Q34" s="156" t="s">
        <v>78</v>
      </c>
      <c r="R34" s="1285" t="s">
        <v>1997</v>
      </c>
      <c r="S34" s="1286"/>
      <c r="T34" s="72" t="s">
        <v>9</v>
      </c>
      <c r="U34" s="1285"/>
      <c r="V34" s="1286"/>
      <c r="W34" s="302"/>
      <c r="X34" s="302"/>
      <c r="Y34" s="302"/>
    </row>
    <row r="35" spans="1:25" x14ac:dyDescent="0.3">
      <c r="A35" s="183"/>
      <c r="B35" s="184"/>
      <c r="C35" s="184"/>
      <c r="D35" s="185"/>
      <c r="E35" s="189"/>
      <c r="K35" s="157" t="s">
        <v>8</v>
      </c>
      <c r="L35" s="1287" t="s">
        <v>1138</v>
      </c>
      <c r="M35" s="1288"/>
      <c r="N35" s="157" t="s">
        <v>8</v>
      </c>
      <c r="O35" s="1285" t="s">
        <v>1998</v>
      </c>
      <c r="P35" s="1286"/>
      <c r="Q35" s="157" t="s">
        <v>8</v>
      </c>
      <c r="R35" s="1285" t="s">
        <v>1998</v>
      </c>
      <c r="S35" s="1286"/>
      <c r="T35" s="156" t="s">
        <v>78</v>
      </c>
      <c r="U35" s="1285" t="s">
        <v>1997</v>
      </c>
      <c r="V35" s="1286"/>
      <c r="W35" s="302"/>
      <c r="X35" s="302"/>
      <c r="Y35" s="302"/>
    </row>
    <row r="36" spans="1:25" x14ac:dyDescent="0.3">
      <c r="A36" s="183"/>
      <c r="B36" s="184"/>
      <c r="C36" s="184"/>
      <c r="D36" s="185" t="s">
        <v>75</v>
      </c>
      <c r="E36" s="189"/>
      <c r="K36" s="189"/>
      <c r="N36" s="189"/>
      <c r="Q36" s="852"/>
      <c r="T36" s="157" t="s">
        <v>8</v>
      </c>
      <c r="U36" s="1285" t="s">
        <v>1998</v>
      </c>
      <c r="V36" s="1286"/>
    </row>
    <row r="37" spans="1:25" x14ac:dyDescent="0.3">
      <c r="A37" s="183" t="s">
        <v>76</v>
      </c>
      <c r="B37" s="180"/>
      <c r="C37" s="180"/>
      <c r="D37" s="185" t="s">
        <v>77</v>
      </c>
      <c r="E37" s="189"/>
      <c r="K37" s="189"/>
      <c r="N37" s="189"/>
      <c r="Q37" s="852"/>
    </row>
    <row r="38" spans="1:25" ht="26.4" x14ac:dyDescent="0.3">
      <c r="A38" s="183" t="s">
        <v>79</v>
      </c>
      <c r="B38" s="180"/>
      <c r="C38" s="180"/>
      <c r="D38" s="185" t="s">
        <v>80</v>
      </c>
      <c r="E38" s="189"/>
      <c r="K38" s="189"/>
      <c r="N38" s="189"/>
      <c r="Q38" s="852"/>
    </row>
  </sheetData>
  <sheetProtection formatCells="0" formatColumns="0" formatRows="0" insertColumns="0" insertRows="0" insertHyperlinks="0" deleteColumns="0" deleteRows="0" sort="0" autoFilter="0" pivotTables="0"/>
  <mergeCells count="36">
    <mergeCell ref="C1:P2"/>
    <mergeCell ref="L35:M35"/>
    <mergeCell ref="W1:Y1"/>
    <mergeCell ref="W2:Y2"/>
    <mergeCell ref="A3:Y3"/>
    <mergeCell ref="A4:Y4"/>
    <mergeCell ref="A5:Y5"/>
    <mergeCell ref="A6:Y6"/>
    <mergeCell ref="A7:Y7"/>
    <mergeCell ref="A8:Y8"/>
    <mergeCell ref="A9:Y9"/>
    <mergeCell ref="A10:Y10"/>
    <mergeCell ref="A14:A16"/>
    <mergeCell ref="B14:B16"/>
    <mergeCell ref="J14:J16"/>
    <mergeCell ref="W11:Y12"/>
    <mergeCell ref="A17:A19"/>
    <mergeCell ref="K11:M12"/>
    <mergeCell ref="R34:S34"/>
    <mergeCell ref="R35:S35"/>
    <mergeCell ref="L34:M34"/>
    <mergeCell ref="B17:B19"/>
    <mergeCell ref="J17:J19"/>
    <mergeCell ref="O35:P35"/>
    <mergeCell ref="B12:J12"/>
    <mergeCell ref="L33:M33"/>
    <mergeCell ref="Q11:S12"/>
    <mergeCell ref="R33:S33"/>
    <mergeCell ref="B11:J11"/>
    <mergeCell ref="N11:P12"/>
    <mergeCell ref="O33:P33"/>
    <mergeCell ref="T11:V12"/>
    <mergeCell ref="U34:V34"/>
    <mergeCell ref="U35:V35"/>
    <mergeCell ref="U36:V36"/>
    <mergeCell ref="O34:P34"/>
  </mergeCells>
  <pageMargins left="0.7" right="0.7" top="0.75" bottom="0.75" header="0.3" footer="0.3"/>
  <pageSetup scale="38" orientation="landscape" r:id="rId1"/>
  <drawing r:id="rId2"/>
  <legacyDrawingHF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3">
    <tabColor theme="1"/>
  </sheetPr>
  <dimension ref="A1:G49"/>
  <sheetViews>
    <sheetView topLeftCell="A16" zoomScaleNormal="100"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RESUMEN!G61</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RESUMEN!B61</f>
        <v>D00249260</v>
      </c>
      <c r="C7" s="1265"/>
      <c r="D7" s="1177"/>
      <c r="E7" s="1266" t="s">
        <v>627</v>
      </c>
      <c r="F7" s="1267"/>
      <c r="G7" s="280" t="str">
        <f>RESUMEN!E61</f>
        <v>17-283</v>
      </c>
    </row>
    <row r="8" spans="1:7" x14ac:dyDescent="0.25">
      <c r="A8" s="271" t="s">
        <v>628</v>
      </c>
      <c r="B8" s="1264" t="str">
        <f>RESUMEN!C61</f>
        <v>D00249260000</v>
      </c>
      <c r="C8" s="1265"/>
      <c r="D8" s="1177"/>
      <c r="E8" s="1266" t="s">
        <v>629</v>
      </c>
      <c r="F8" s="1267"/>
      <c r="G8" s="280" t="str">
        <f>RESUMEN!U61</f>
        <v>Acta N° 3: Febrero</v>
      </c>
    </row>
    <row r="9" spans="1:7" x14ac:dyDescent="0.25">
      <c r="A9" s="271" t="s">
        <v>630</v>
      </c>
      <c r="B9" s="1283" t="s">
        <v>631</v>
      </c>
      <c r="C9" s="1265"/>
      <c r="D9" s="1177"/>
      <c r="E9" s="1266" t="s">
        <v>632</v>
      </c>
      <c r="F9" s="1267"/>
      <c r="G9" s="1178">
        <f>RESUMEN!H61</f>
        <v>25350374</v>
      </c>
    </row>
    <row r="10" spans="1:7" x14ac:dyDescent="0.25">
      <c r="A10" s="271" t="s">
        <v>633</v>
      </c>
      <c r="B10" s="1283" t="str">
        <f>RESUMEN!D61</f>
        <v>NAMAY</v>
      </c>
      <c r="C10" s="1265"/>
      <c r="D10" s="1177"/>
      <c r="E10" s="1266" t="s">
        <v>634</v>
      </c>
      <c r="F10" s="1267"/>
      <c r="G10" s="1178">
        <f>RESUMEN!R61</f>
        <v>6554929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",RESUMEN!G61)</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RESUMEN!N61</f>
        <v>6458058</v>
      </c>
      <c r="F19" s="1248"/>
      <c r="G19" s="1177"/>
    </row>
    <row r="20" spans="1:7" ht="27" customHeight="1" x14ac:dyDescent="0.25">
      <c r="A20" s="1177"/>
      <c r="B20" s="1244" t="s">
        <v>1498</v>
      </c>
      <c r="C20" s="1245"/>
      <c r="D20" s="1246"/>
      <c r="E20" s="1247">
        <f>RESUMEN!P61</f>
        <v>0</v>
      </c>
      <c r="F20" s="1248"/>
      <c r="G20" s="1177"/>
    </row>
    <row r="21" spans="1:7" ht="27" customHeight="1" x14ac:dyDescent="0.25">
      <c r="A21" s="1177"/>
      <c r="B21" s="1244" t="s">
        <v>1499</v>
      </c>
      <c r="C21" s="1245"/>
      <c r="D21" s="1246"/>
      <c r="E21" s="1247">
        <f>RESUMEN!Q61</f>
        <v>96871</v>
      </c>
      <c r="F21" s="1248"/>
      <c r="G21" s="1177"/>
    </row>
    <row r="22" spans="1:7" x14ac:dyDescent="0.25">
      <c r="A22" s="1177"/>
      <c r="B22" s="1254" t="s">
        <v>64</v>
      </c>
      <c r="C22" s="1254"/>
      <c r="D22" s="1254"/>
      <c r="E22" s="1255">
        <f>RESUMEN!R61</f>
        <v>6554929</v>
      </c>
      <c r="F22" s="1255"/>
      <c r="G22" s="1177"/>
    </row>
    <row r="23" spans="1:7" x14ac:dyDescent="0.25">
      <c r="A23" s="1177"/>
      <c r="B23" s="1256" t="s">
        <v>66</v>
      </c>
      <c r="C23" s="1256"/>
      <c r="D23" s="1256"/>
      <c r="E23" s="1257">
        <f>RESUMEN!S61</f>
        <v>1245437</v>
      </c>
      <c r="F23" s="1257"/>
      <c r="G23" s="1177"/>
    </row>
    <row r="24" spans="1:7" x14ac:dyDescent="0.25">
      <c r="A24" s="1177"/>
      <c r="B24" s="1258" t="s">
        <v>1</v>
      </c>
      <c r="C24" s="1258"/>
      <c r="D24" s="1258"/>
      <c r="E24" s="1259">
        <f>RESUMEN!T61</f>
        <v>7800366</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+'OT17-283 NAMAY ENTRADA SALID'!Q30</f>
        <v>ACTA 1</v>
      </c>
      <c r="C28" s="1253">
        <f>+'OT17-283 NAMAY ENTRADA SALID'!R30</f>
        <v>17983242</v>
      </c>
      <c r="D28" s="1253"/>
      <c r="E28" s="267">
        <f>+'OT17-283 NAMAY ENTRADA SALID'!S30</f>
        <v>0.70306009969534222</v>
      </c>
      <c r="F28" s="1177"/>
      <c r="G28" s="1177"/>
    </row>
    <row r="29" spans="1:7" x14ac:dyDescent="0.25">
      <c r="A29" s="1177"/>
      <c r="B29" s="280" t="str">
        <f>+'OT17-283 NAMAY ENTRADA SALID'!Q31</f>
        <v>ACTA 2</v>
      </c>
      <c r="C29" s="1253">
        <f>+'OT17-283 NAMAY ENTRADA SALID'!R31</f>
        <v>1472364.3659999999</v>
      </c>
      <c r="D29" s="1253"/>
      <c r="E29" s="267">
        <f>+'OT17-283 NAMAY ENTRADA SALID'!S31</f>
        <v>5.756251503192969E-2</v>
      </c>
      <c r="F29" s="1177"/>
      <c r="G29" s="1177"/>
    </row>
    <row r="30" spans="1:7" x14ac:dyDescent="0.25">
      <c r="A30" s="1177"/>
      <c r="B30" s="280" t="str">
        <f>+'OT17-283 NAMAY ENTRADA SALID'!Q32</f>
        <v>ACTA 3</v>
      </c>
      <c r="C30" s="1253">
        <f>+'OT17-283 NAMAY ENTRADA SALID'!R32</f>
        <v>6554929</v>
      </c>
      <c r="D30" s="1253"/>
      <c r="E30" s="267">
        <f>+'OT17-283 NAMAY ENTRADA SALID'!S32</f>
        <v>0.25626686424149159</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26010535.366</v>
      </c>
      <c r="D34" s="1251"/>
      <c r="E34" s="264">
        <f>SUM(E28:E33)</f>
        <v>1.0168894789687635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RESUMEN!V61</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0">
    <tabColor rgb="FF72104A"/>
  </sheetPr>
  <dimension ref="A1:V39"/>
  <sheetViews>
    <sheetView view="pageBreakPreview" topLeftCell="G1" zoomScale="60" zoomScaleNormal="70" workbookViewId="0">
      <selection activeCell="L60" sqref="L60"/>
    </sheetView>
  </sheetViews>
  <sheetFormatPr baseColWidth="10" defaultColWidth="11.44140625" defaultRowHeight="14.4" x14ac:dyDescent="0.3"/>
  <cols>
    <col min="1" max="1" width="13.33203125" style="189" customWidth="1"/>
    <col min="2" max="2" width="21.88671875" style="189" customWidth="1"/>
    <col min="3" max="3" width="25.5546875" style="189" customWidth="1"/>
    <col min="4" max="4" width="22.88671875" style="189" customWidth="1"/>
    <col min="5" max="5" width="16.5546875" style="212" customWidth="1"/>
    <col min="6" max="6" width="17.88671875" style="189" bestFit="1" customWidth="1"/>
    <col min="7" max="7" width="17.88671875" style="852" customWidth="1"/>
    <col min="8" max="8" width="18" style="189" bestFit="1" customWidth="1"/>
    <col min="9" max="9" width="18" style="852" customWidth="1"/>
    <col min="10" max="10" width="30.33203125" style="189" customWidth="1"/>
    <col min="11" max="11" width="17.88671875" style="389" hidden="1" customWidth="1"/>
    <col min="12" max="12" width="18" style="189" hidden="1" customWidth="1"/>
    <col min="13" max="13" width="11.44140625" style="189" hidden="1" customWidth="1"/>
    <col min="14" max="14" width="17.88671875" style="389" hidden="1" customWidth="1"/>
    <col min="15" max="15" width="18" style="189" hidden="1" customWidth="1"/>
    <col min="16" max="16" width="0" style="189" hidden="1" customWidth="1"/>
    <col min="17" max="17" width="17.88671875" style="389" customWidth="1"/>
    <col min="18" max="18" width="18" style="852" customWidth="1"/>
    <col min="19" max="19" width="11.44140625" style="852"/>
    <col min="20" max="20" width="17.88671875" style="189" bestFit="1" customWidth="1"/>
    <col min="21" max="21" width="18.44140625" style="189" customWidth="1"/>
    <col min="22" max="16384" width="11.44140625" style="189"/>
  </cols>
  <sheetData>
    <row r="1" spans="1:22" s="302" customFormat="1" ht="15" thickBot="1" x14ac:dyDescent="0.35">
      <c r="A1" s="169"/>
      <c r="B1" s="188"/>
      <c r="C1" s="1307" t="s">
        <v>40</v>
      </c>
      <c r="D1" s="1308"/>
      <c r="E1" s="1308"/>
      <c r="F1" s="1308"/>
      <c r="G1" s="1308"/>
      <c r="H1" s="1308"/>
      <c r="I1" s="1308"/>
      <c r="J1" s="1308"/>
      <c r="K1" s="1308"/>
      <c r="L1" s="1308"/>
      <c r="M1" s="1308"/>
      <c r="N1" s="1308"/>
      <c r="O1" s="1308"/>
      <c r="P1" s="1309"/>
      <c r="Q1" s="846"/>
      <c r="R1" s="846"/>
      <c r="S1" s="846"/>
      <c r="T1" s="1328" t="s">
        <v>1117</v>
      </c>
      <c r="U1" s="1303"/>
      <c r="V1" s="1304"/>
    </row>
    <row r="2" spans="1:22" s="302" customFormat="1" ht="13.5" customHeight="1" thickBot="1" x14ac:dyDescent="0.35">
      <c r="A2" s="170"/>
      <c r="B2" s="190"/>
      <c r="C2" s="1310"/>
      <c r="D2" s="1311"/>
      <c r="E2" s="1311"/>
      <c r="F2" s="1311"/>
      <c r="G2" s="1311"/>
      <c r="H2" s="1311"/>
      <c r="I2" s="1311"/>
      <c r="J2" s="1311"/>
      <c r="K2" s="1311"/>
      <c r="L2" s="1311"/>
      <c r="M2" s="1311"/>
      <c r="N2" s="1311"/>
      <c r="O2" s="1311"/>
      <c r="P2" s="1312"/>
      <c r="Q2" s="847"/>
      <c r="R2" s="847"/>
      <c r="S2" s="847"/>
      <c r="T2" s="1329" t="s">
        <v>41</v>
      </c>
      <c r="U2" s="1305"/>
      <c r="V2" s="1306"/>
    </row>
    <row r="3" spans="1:2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row>
    <row r="8" spans="1:22" s="302" customFormat="1" ht="13.5" customHeight="1" x14ac:dyDescent="0.3">
      <c r="A8" s="1292" t="s">
        <v>2089</v>
      </c>
      <c r="B8" s="1292"/>
      <c r="C8" s="1292"/>
      <c r="D8" s="1292"/>
      <c r="E8" s="1292"/>
      <c r="F8" s="1292"/>
      <c r="G8" s="1292"/>
      <c r="H8" s="1292"/>
      <c r="I8" s="1292"/>
      <c r="J8" s="1292"/>
      <c r="K8" s="1292"/>
      <c r="L8" s="1292"/>
      <c r="M8" s="1292"/>
      <c r="N8" s="1292"/>
      <c r="O8" s="1292"/>
      <c r="P8" s="1292"/>
      <c r="Q8" s="1292"/>
      <c r="R8" s="1292"/>
      <c r="S8" s="1292"/>
      <c r="T8" s="1292"/>
      <c r="U8" s="1292"/>
      <c r="V8" s="1292"/>
    </row>
    <row r="9" spans="1:22" s="302" customFormat="1" ht="13.5" customHeight="1" x14ac:dyDescent="0.3">
      <c r="A9" s="1292" t="s">
        <v>2087</v>
      </c>
      <c r="B9" s="1292"/>
      <c r="C9" s="1292"/>
      <c r="D9" s="1292"/>
      <c r="E9" s="1292"/>
      <c r="F9" s="1292"/>
      <c r="G9" s="1292"/>
      <c r="H9" s="1292"/>
      <c r="I9" s="1292"/>
      <c r="J9" s="1292"/>
      <c r="K9" s="1292"/>
      <c r="L9" s="1292"/>
      <c r="M9" s="1292"/>
      <c r="N9" s="1292"/>
      <c r="O9" s="1292"/>
      <c r="P9" s="1292"/>
      <c r="Q9" s="1292"/>
      <c r="R9" s="1292"/>
      <c r="S9" s="1292"/>
      <c r="T9" s="1292"/>
      <c r="U9" s="1292"/>
      <c r="V9" s="1292"/>
    </row>
    <row r="10" spans="1:22" s="302" customFormat="1" ht="13.5" customHeight="1" x14ac:dyDescent="0.3">
      <c r="A10" s="1292" t="s">
        <v>1146</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302" customFormat="1" ht="13.5" customHeight="1" x14ac:dyDescent="0.3">
      <c r="A11" s="384"/>
      <c r="B11" s="1301"/>
      <c r="C11" s="1313"/>
      <c r="D11" s="1313"/>
      <c r="E11" s="1313"/>
      <c r="F11" s="1313"/>
      <c r="G11" s="1313"/>
      <c r="H11" s="1313"/>
      <c r="I11" s="1313"/>
      <c r="J11" s="1313"/>
      <c r="K11" s="1293" t="s">
        <v>986</v>
      </c>
      <c r="L11" s="1294"/>
      <c r="M11" s="1295"/>
      <c r="N11" s="1293" t="s">
        <v>1977</v>
      </c>
      <c r="O11" s="1294"/>
      <c r="P11" s="1295"/>
      <c r="Q11" s="1293" t="s">
        <v>2088</v>
      </c>
      <c r="R11" s="1294"/>
      <c r="S11" s="1295"/>
      <c r="T11" s="1299" t="s">
        <v>49</v>
      </c>
      <c r="U11" s="1299"/>
      <c r="V11" s="1299"/>
    </row>
    <row r="12" spans="1:22"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s="389" customFormat="1"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174" t="s">
        <v>54</v>
      </c>
      <c r="U13" s="172" t="s">
        <v>56</v>
      </c>
      <c r="V13" s="28" t="s">
        <v>58</v>
      </c>
    </row>
    <row r="14" spans="1:22" s="389" customFormat="1" ht="30" customHeight="1" x14ac:dyDescent="0.3">
      <c r="A14" s="1314" t="s">
        <v>1142</v>
      </c>
      <c r="B14" s="1314" t="s">
        <v>320</v>
      </c>
      <c r="C14" s="385" t="s">
        <v>59</v>
      </c>
      <c r="D14" s="385" t="s">
        <v>321</v>
      </c>
      <c r="E14" s="191">
        <v>1</v>
      </c>
      <c r="F14" s="192">
        <v>6024196</v>
      </c>
      <c r="G14" s="32">
        <f>+ROUND(F14*1.051,0)</f>
        <v>6331430</v>
      </c>
      <c r="H14" s="192">
        <f>ROUND((E14*F14),0)</f>
        <v>6024196</v>
      </c>
      <c r="I14" s="32">
        <f>+ROUND(G14*E14,0)</f>
        <v>6331430</v>
      </c>
      <c r="J14" s="1314" t="s">
        <v>1143</v>
      </c>
      <c r="K14" s="433">
        <v>0.49</v>
      </c>
      <c r="L14" s="429">
        <f>ROUND(K14*$F$14,0)</f>
        <v>2951856</v>
      </c>
      <c r="M14" s="430">
        <f>L14/$H$14</f>
        <v>0.4899999933601098</v>
      </c>
      <c r="N14" s="432">
        <v>0</v>
      </c>
      <c r="O14" s="425">
        <f>ROUND(N14*$F$14,0)</f>
        <v>0</v>
      </c>
      <c r="P14" s="426">
        <f>O14/$H$14</f>
        <v>0</v>
      </c>
      <c r="Q14" s="433">
        <f>+E14-K14</f>
        <v>0.51</v>
      </c>
      <c r="R14" s="429">
        <f>ROUND(Q14*G14,0)</f>
        <v>3229029</v>
      </c>
      <c r="S14" s="430">
        <f>R14/H14</f>
        <v>0.53600995053945788</v>
      </c>
      <c r="T14" s="149">
        <f>K14+N14+Q14</f>
        <v>1</v>
      </c>
      <c r="U14" s="175">
        <f>L14+O14+R14</f>
        <v>6180885</v>
      </c>
      <c r="V14" s="176">
        <f t="shared" ref="V14:V19" si="0">U14/H14</f>
        <v>1.0260099438995676</v>
      </c>
    </row>
    <row r="15" spans="1:22" s="389" customFormat="1" ht="30" customHeight="1" x14ac:dyDescent="0.3">
      <c r="A15" s="1314"/>
      <c r="B15" s="1314"/>
      <c r="C15" s="385" t="s">
        <v>61</v>
      </c>
      <c r="D15" s="385" t="s">
        <v>322</v>
      </c>
      <c r="E15" s="191">
        <v>1</v>
      </c>
      <c r="F15" s="192">
        <v>6650991</v>
      </c>
      <c r="G15" s="32">
        <f>+ROUND(F15*1.051,0)</f>
        <v>6990192</v>
      </c>
      <c r="H15" s="192">
        <f>ROUND((E15*F15),0)</f>
        <v>6650991</v>
      </c>
      <c r="I15" s="32">
        <f>+ROUND(G15*E15,0)</f>
        <v>6990192</v>
      </c>
      <c r="J15" s="1314"/>
      <c r="K15" s="433">
        <v>0.9</v>
      </c>
      <c r="L15" s="429">
        <f>ROUND(K15*$F$15,0)</f>
        <v>5985892</v>
      </c>
      <c r="M15" s="430">
        <f>L15/$H$15</f>
        <v>0.90000001503535343</v>
      </c>
      <c r="N15" s="433">
        <v>0.1</v>
      </c>
      <c r="O15" s="429">
        <f>ROUND(N15*$F$15,0)</f>
        <v>665099</v>
      </c>
      <c r="P15" s="430">
        <f>O15/$H$15</f>
        <v>9.9999984964646627E-2</v>
      </c>
      <c r="Q15" s="432">
        <v>0</v>
      </c>
      <c r="R15" s="425">
        <f>ROUND(Q15*G15,0)</f>
        <v>0</v>
      </c>
      <c r="S15" s="426">
        <f>R15/H15</f>
        <v>0</v>
      </c>
      <c r="T15" s="416">
        <f>K15+N15+Q15</f>
        <v>1</v>
      </c>
      <c r="U15" s="175">
        <f>L15+O15+R15</f>
        <v>6650991</v>
      </c>
      <c r="V15" s="176">
        <f t="shared" si="0"/>
        <v>1</v>
      </c>
    </row>
    <row r="16" spans="1:22" s="389" customFormat="1" ht="15" customHeight="1" x14ac:dyDescent="0.3">
      <c r="A16" s="1314"/>
      <c r="B16" s="1314"/>
      <c r="C16" s="196"/>
      <c r="D16" s="196" t="s">
        <v>143</v>
      </c>
      <c r="E16" s="197"/>
      <c r="F16" s="198"/>
      <c r="G16" s="198"/>
      <c r="H16" s="199">
        <f>SUM(H14:H15)</f>
        <v>12675187</v>
      </c>
      <c r="I16" s="199">
        <f>SUM(I14:I15)</f>
        <v>13321622</v>
      </c>
      <c r="J16" s="1314"/>
      <c r="K16" s="308"/>
      <c r="L16" s="179">
        <f>SUM(L14:L15)</f>
        <v>8937748</v>
      </c>
      <c r="M16" s="308">
        <f>L16/$H$16</f>
        <v>0.70513736799307181</v>
      </c>
      <c r="N16" s="431"/>
      <c r="O16" s="179">
        <f>SUM(O14:O15)</f>
        <v>665099</v>
      </c>
      <c r="P16" s="431">
        <f>O16/$H$16</f>
        <v>5.2472519734817327E-2</v>
      </c>
      <c r="Q16" s="431"/>
      <c r="R16" s="179">
        <f>SUM(R14:R15)</f>
        <v>3229029</v>
      </c>
      <c r="S16" s="431">
        <f>R16/$H$16</f>
        <v>0.25475198117392667</v>
      </c>
      <c r="T16" s="306"/>
      <c r="U16" s="307">
        <f>SUM(U14:U15)</f>
        <v>12831876</v>
      </c>
      <c r="V16" s="308">
        <f t="shared" si="0"/>
        <v>1.0123618689018159</v>
      </c>
    </row>
    <row r="17" spans="1:22" s="389" customFormat="1" ht="30" customHeight="1" x14ac:dyDescent="0.3">
      <c r="A17" s="1314" t="s">
        <v>1133</v>
      </c>
      <c r="B17" s="1314" t="s">
        <v>320</v>
      </c>
      <c r="C17" s="385" t="s">
        <v>59</v>
      </c>
      <c r="D17" s="385" t="s">
        <v>321</v>
      </c>
      <c r="E17" s="191">
        <v>1</v>
      </c>
      <c r="F17" s="192">
        <v>6024196</v>
      </c>
      <c r="G17" s="32">
        <f t="shared" ref="G17:G18" si="1">+ROUND(F17*1.051,0)</f>
        <v>6331430</v>
      </c>
      <c r="H17" s="192">
        <f>ROUND((E17*F17),0)</f>
        <v>6024196</v>
      </c>
      <c r="I17" s="32">
        <f t="shared" ref="I17:I18" si="2">+ROUND(G17*E17,0)</f>
        <v>6331430</v>
      </c>
      <c r="J17" s="1314" t="s">
        <v>1134</v>
      </c>
      <c r="K17" s="433">
        <v>0.49</v>
      </c>
      <c r="L17" s="429">
        <f>ROUND(K17*$F$17,0)</f>
        <v>2951856</v>
      </c>
      <c r="M17" s="430">
        <f>L17/$H$17</f>
        <v>0.4899999933601098</v>
      </c>
      <c r="N17" s="432">
        <v>0</v>
      </c>
      <c r="O17" s="425">
        <f>ROUND(N17*$F$14,0)</f>
        <v>0</v>
      </c>
      <c r="P17" s="426">
        <f>O17/$H$14</f>
        <v>0</v>
      </c>
      <c r="Q17" s="433">
        <f>+E17-K17</f>
        <v>0.51</v>
      </c>
      <c r="R17" s="429">
        <f>ROUND(Q17*G17,0)</f>
        <v>3229029</v>
      </c>
      <c r="S17" s="430">
        <f>R17/H17</f>
        <v>0.53600995053945788</v>
      </c>
      <c r="T17" s="416">
        <f t="shared" ref="T17:T18" si="3">K17+N17+Q17</f>
        <v>1</v>
      </c>
      <c r="U17" s="175">
        <f t="shared" ref="U17:U18" si="4">L17+O17+R17</f>
        <v>6180885</v>
      </c>
      <c r="V17" s="176">
        <f t="shared" si="0"/>
        <v>1.0260099438995676</v>
      </c>
    </row>
    <row r="18" spans="1:22" s="389" customFormat="1" ht="30" customHeight="1" x14ac:dyDescent="0.3">
      <c r="A18" s="1314"/>
      <c r="B18" s="1314"/>
      <c r="C18" s="385" t="s">
        <v>61</v>
      </c>
      <c r="D18" s="385" t="s">
        <v>322</v>
      </c>
      <c r="E18" s="191">
        <v>1</v>
      </c>
      <c r="F18" s="192">
        <v>6650991</v>
      </c>
      <c r="G18" s="32">
        <f t="shared" si="1"/>
        <v>6990192</v>
      </c>
      <c r="H18" s="192">
        <f>ROUND((E18*F18),0)</f>
        <v>6650991</v>
      </c>
      <c r="I18" s="32">
        <f t="shared" si="2"/>
        <v>6990192</v>
      </c>
      <c r="J18" s="1314"/>
      <c r="K18" s="433">
        <v>0.9</v>
      </c>
      <c r="L18" s="429">
        <f>ROUND(K18*$F$18,0)</f>
        <v>5985892</v>
      </c>
      <c r="M18" s="430">
        <f>L18/$H$18</f>
        <v>0.90000001503535343</v>
      </c>
      <c r="N18" s="433">
        <v>0.1</v>
      </c>
      <c r="O18" s="429">
        <f>ROUND(N18*$F$18,0)</f>
        <v>665099</v>
      </c>
      <c r="P18" s="430">
        <f>O18/$H$18</f>
        <v>9.9999984964646627E-2</v>
      </c>
      <c r="Q18" s="432">
        <v>0</v>
      </c>
      <c r="R18" s="425">
        <f>ROUND(Q18*G18,0)</f>
        <v>0</v>
      </c>
      <c r="S18" s="426">
        <f>R18/H18</f>
        <v>0</v>
      </c>
      <c r="T18" s="416">
        <f t="shared" si="3"/>
        <v>1</v>
      </c>
      <c r="U18" s="175">
        <f t="shared" si="4"/>
        <v>6650991</v>
      </c>
      <c r="V18" s="176">
        <f t="shared" si="0"/>
        <v>1</v>
      </c>
    </row>
    <row r="19" spans="1:22" s="389" customFormat="1" ht="15" customHeight="1" x14ac:dyDescent="0.3">
      <c r="A19" s="1314"/>
      <c r="B19" s="1314"/>
      <c r="C19" s="196"/>
      <c r="D19" s="196" t="s">
        <v>143</v>
      </c>
      <c r="E19" s="197"/>
      <c r="F19" s="198"/>
      <c r="G19" s="198"/>
      <c r="H19" s="199">
        <f>SUM(H17:H18)</f>
        <v>12675187</v>
      </c>
      <c r="I19" s="199">
        <f>SUM(I17:I18)</f>
        <v>13321622</v>
      </c>
      <c r="J19" s="1314"/>
      <c r="K19" s="308"/>
      <c r="L19" s="179">
        <f>SUM(L17:L18)</f>
        <v>8937748</v>
      </c>
      <c r="M19" s="308">
        <f>L19/$H$19</f>
        <v>0.70513736799307181</v>
      </c>
      <c r="N19" s="431"/>
      <c r="O19" s="179">
        <f>SUM(O17:O18)</f>
        <v>665099</v>
      </c>
      <c r="P19" s="431">
        <f>O19/$H$19</f>
        <v>5.2472519734817327E-2</v>
      </c>
      <c r="Q19" s="431"/>
      <c r="R19" s="179">
        <f>SUM(R17:R18)</f>
        <v>3229029</v>
      </c>
      <c r="S19" s="431">
        <f>R19/$H$19</f>
        <v>0.25475198117392667</v>
      </c>
      <c r="T19" s="306"/>
      <c r="U19" s="307">
        <f>SUM(U17:U18)</f>
        <v>12831876</v>
      </c>
      <c r="V19" s="308">
        <f t="shared" si="0"/>
        <v>1.0123618689018159</v>
      </c>
    </row>
    <row r="20" spans="1:22" x14ac:dyDescent="0.3">
      <c r="F20" s="151" t="s">
        <v>64</v>
      </c>
      <c r="G20" s="151"/>
      <c r="H20" s="181">
        <f>SUM(H5:H19)/2</f>
        <v>25350374</v>
      </c>
      <c r="I20" s="181">
        <f>SUM(I5:I19)/2</f>
        <v>26643244</v>
      </c>
      <c r="K20" s="151" t="s">
        <v>64</v>
      </c>
      <c r="L20" s="181">
        <f>SUM(L5:L19)/2</f>
        <v>17875496</v>
      </c>
      <c r="M20" s="614">
        <f>L22/H22</f>
        <v>0.70306009969534222</v>
      </c>
      <c r="N20" s="151" t="s">
        <v>64</v>
      </c>
      <c r="O20" s="181">
        <f>SUM(O5:O19)/2</f>
        <v>1330198</v>
      </c>
      <c r="Q20" s="480" t="s">
        <v>64</v>
      </c>
      <c r="R20" s="481">
        <f>SUM(R5:R19)/2</f>
        <v>6458058</v>
      </c>
      <c r="T20" s="480" t="s">
        <v>64</v>
      </c>
      <c r="U20" s="481">
        <f>SUM(U5:U19)/2</f>
        <v>25663752</v>
      </c>
    </row>
    <row r="21" spans="1:22" x14ac:dyDescent="0.3">
      <c r="F21" s="153" t="s">
        <v>65</v>
      </c>
      <c r="G21" s="153"/>
      <c r="H21" s="181">
        <f>((H16*0.3)+(H19*0.3))*0.03</f>
        <v>228153.36599999998</v>
      </c>
      <c r="I21" s="181">
        <f>((I16*0.3)+(I19*0.3))*0.03</f>
        <v>239789.19599999997</v>
      </c>
      <c r="K21" s="153" t="s">
        <v>65</v>
      </c>
      <c r="L21" s="181">
        <v>107746</v>
      </c>
      <c r="N21" s="153" t="s">
        <v>65</v>
      </c>
      <c r="O21" s="181">
        <f>H21-L21</f>
        <v>120407.36599999998</v>
      </c>
      <c r="Q21" s="482" t="s">
        <v>65</v>
      </c>
      <c r="R21" s="481">
        <v>0</v>
      </c>
      <c r="T21" s="482" t="s">
        <v>65</v>
      </c>
      <c r="U21" s="481">
        <f>L21+O21</f>
        <v>228153.36599999998</v>
      </c>
    </row>
    <row r="22" spans="1:22" x14ac:dyDescent="0.3">
      <c r="F22" s="152" t="s">
        <v>64</v>
      </c>
      <c r="G22" s="152"/>
      <c r="H22" s="340">
        <f>SUM(H20:H21)</f>
        <v>25578527.366</v>
      </c>
      <c r="I22" s="340">
        <f>SUM(I20:I21)</f>
        <v>26883033.195999999</v>
      </c>
      <c r="K22" s="152" t="s">
        <v>64</v>
      </c>
      <c r="L22" s="340">
        <f>SUM(L20:L21)</f>
        <v>17983242</v>
      </c>
      <c r="N22" s="152" t="s">
        <v>64</v>
      </c>
      <c r="O22" s="340">
        <f>SUM(O20:O21)</f>
        <v>1450605.3659999999</v>
      </c>
      <c r="Q22" s="484" t="s">
        <v>64</v>
      </c>
      <c r="R22" s="550">
        <f>SUM(R20:R21)</f>
        <v>6458058</v>
      </c>
      <c r="T22" s="484" t="s">
        <v>64</v>
      </c>
      <c r="U22" s="550">
        <f>SUM(U20:U21)</f>
        <v>25891905.366</v>
      </c>
    </row>
    <row r="23" spans="1:22" ht="26.4" x14ac:dyDescent="0.3">
      <c r="F23" s="152"/>
      <c r="G23" s="152"/>
      <c r="H23" s="340"/>
      <c r="I23" s="340"/>
      <c r="K23" s="152"/>
      <c r="L23" s="340"/>
      <c r="N23" s="484" t="s">
        <v>1439</v>
      </c>
      <c r="O23" s="182">
        <f>ROUND(O22*0.015,0)</f>
        <v>21759</v>
      </c>
      <c r="Q23" s="484" t="s">
        <v>1439</v>
      </c>
      <c r="R23" s="483">
        <f>ROUND(R22*0.015,0)</f>
        <v>96871</v>
      </c>
      <c r="T23" s="484" t="s">
        <v>1439</v>
      </c>
      <c r="U23" s="550">
        <f>L23+O23+R23</f>
        <v>118630</v>
      </c>
    </row>
    <row r="24" spans="1:22" ht="26.4" x14ac:dyDescent="0.3">
      <c r="F24" s="152"/>
      <c r="G24" s="152"/>
      <c r="H24" s="340"/>
      <c r="I24" s="340"/>
      <c r="K24" s="152"/>
      <c r="L24" s="340"/>
      <c r="N24" s="152" t="s">
        <v>1440</v>
      </c>
      <c r="O24" s="182">
        <f>O22+O23</f>
        <v>1472364.3659999999</v>
      </c>
      <c r="P24" s="614">
        <f>O24/$H$22</f>
        <v>5.756251503192969E-2</v>
      </c>
      <c r="Q24" s="152" t="s">
        <v>1440</v>
      </c>
      <c r="R24" s="182">
        <f>R22+R23</f>
        <v>6554929</v>
      </c>
      <c r="S24" s="614">
        <f>R24/$H$22</f>
        <v>0.25626686424149159</v>
      </c>
      <c r="T24" s="152" t="s">
        <v>1440</v>
      </c>
      <c r="U24" s="182">
        <f>U22+U23</f>
        <v>26010535.366</v>
      </c>
      <c r="V24" s="614">
        <f>U24/H22</f>
        <v>1.0168894789687635</v>
      </c>
    </row>
    <row r="25" spans="1:22" x14ac:dyDescent="0.3">
      <c r="F25" s="154" t="s">
        <v>66</v>
      </c>
      <c r="G25" s="154"/>
      <c r="H25" s="181">
        <f>+H22*19%</f>
        <v>4859920.1995400004</v>
      </c>
      <c r="I25" s="181">
        <f>+I22*19%</f>
        <v>5107776.30724</v>
      </c>
      <c r="K25" s="154" t="s">
        <v>66</v>
      </c>
      <c r="L25" s="181">
        <f>+L22*19%</f>
        <v>3416815.98</v>
      </c>
      <c r="N25" s="154" t="s">
        <v>66</v>
      </c>
      <c r="O25" s="182">
        <f>ROUND(O24*0.19,0)</f>
        <v>279749</v>
      </c>
      <c r="Q25" s="485" t="s">
        <v>66</v>
      </c>
      <c r="R25" s="483">
        <f>ROUND(R24*0.19,0)</f>
        <v>1245437</v>
      </c>
      <c r="T25" s="485" t="s">
        <v>66</v>
      </c>
      <c r="U25" s="483">
        <f>ROUND(U24*0.19,0)</f>
        <v>4942002</v>
      </c>
    </row>
    <row r="26" spans="1:22" x14ac:dyDescent="0.3">
      <c r="F26" s="155" t="s">
        <v>69</v>
      </c>
      <c r="G26" s="155"/>
      <c r="H26" s="181">
        <f>+H22+H25</f>
        <v>30438447.565540001</v>
      </c>
      <c r="I26" s="181">
        <f>+I22+I25</f>
        <v>31990809.503239997</v>
      </c>
      <c r="K26" s="155" t="s">
        <v>69</v>
      </c>
      <c r="L26" s="181">
        <f>+L22+L25</f>
        <v>21400057.98</v>
      </c>
      <c r="N26" s="155" t="s">
        <v>69</v>
      </c>
      <c r="O26" s="181">
        <f>O24+O25</f>
        <v>1752113.3659999999</v>
      </c>
      <c r="Q26" s="545" t="s">
        <v>69</v>
      </c>
      <c r="R26" s="481">
        <f>R24+R25</f>
        <v>7800366</v>
      </c>
      <c r="T26" s="545" t="s">
        <v>69</v>
      </c>
      <c r="U26" s="481">
        <f>U24+U25</f>
        <v>30952537.366</v>
      </c>
    </row>
    <row r="29" spans="1:22" x14ac:dyDescent="0.3">
      <c r="A29" s="183" t="s">
        <v>67</v>
      </c>
      <c r="B29" s="184"/>
      <c r="C29" s="184"/>
      <c r="D29" s="185" t="s">
        <v>68</v>
      </c>
      <c r="E29" s="189"/>
      <c r="K29" s="186" t="s">
        <v>70</v>
      </c>
      <c r="L29" s="187" t="s">
        <v>71</v>
      </c>
      <c r="M29" s="186" t="s">
        <v>58</v>
      </c>
      <c r="N29" s="186" t="s">
        <v>70</v>
      </c>
      <c r="O29" s="187" t="s">
        <v>71</v>
      </c>
      <c r="P29" s="186" t="s">
        <v>58</v>
      </c>
      <c r="Q29" s="186" t="s">
        <v>70</v>
      </c>
      <c r="R29" s="187" t="s">
        <v>71</v>
      </c>
      <c r="S29" s="186" t="s">
        <v>58</v>
      </c>
      <c r="T29" s="302"/>
      <c r="U29" s="302"/>
      <c r="V29" s="302"/>
    </row>
    <row r="30" spans="1:22" x14ac:dyDescent="0.3">
      <c r="A30" s="183"/>
      <c r="B30" s="184"/>
      <c r="C30" s="184"/>
      <c r="D30" s="185"/>
      <c r="E30" s="189"/>
      <c r="K30" s="69" t="s">
        <v>72</v>
      </c>
      <c r="L30" s="70">
        <f>$L$22</f>
        <v>17983242</v>
      </c>
      <c r="M30" s="71">
        <f>M20</f>
        <v>0.70306009969534222</v>
      </c>
      <c r="N30" s="69" t="s">
        <v>72</v>
      </c>
      <c r="O30" s="70">
        <f>$L$22</f>
        <v>17983242</v>
      </c>
      <c r="P30" s="360">
        <f>$M$20</f>
        <v>0.70306009969534222</v>
      </c>
      <c r="Q30" s="69" t="s">
        <v>72</v>
      </c>
      <c r="R30" s="70">
        <f>$L$22</f>
        <v>17983242</v>
      </c>
      <c r="S30" s="360">
        <f>$M$20</f>
        <v>0.70306009969534222</v>
      </c>
      <c r="T30" s="302"/>
      <c r="U30" s="302"/>
      <c r="V30" s="302"/>
    </row>
    <row r="31" spans="1:22" x14ac:dyDescent="0.3">
      <c r="A31" s="183"/>
      <c r="B31" s="184"/>
      <c r="C31" s="184"/>
      <c r="D31" s="185"/>
      <c r="E31" s="189"/>
      <c r="K31" s="69"/>
      <c r="L31" s="70"/>
      <c r="M31" s="71"/>
      <c r="N31" s="69" t="s">
        <v>73</v>
      </c>
      <c r="O31" s="70">
        <f>$O$24</f>
        <v>1472364.3659999999</v>
      </c>
      <c r="P31" s="360">
        <f>$P$24</f>
        <v>5.756251503192969E-2</v>
      </c>
      <c r="Q31" s="69" t="s">
        <v>73</v>
      </c>
      <c r="R31" s="70">
        <f>$O$24</f>
        <v>1472364.3659999999</v>
      </c>
      <c r="S31" s="360">
        <f>$P$24</f>
        <v>5.756251503192969E-2</v>
      </c>
      <c r="T31" s="302"/>
      <c r="U31" s="302"/>
      <c r="V31" s="302"/>
    </row>
    <row r="32" spans="1:22" s="852" customFormat="1" x14ac:dyDescent="0.3">
      <c r="A32" s="183"/>
      <c r="B32" s="184"/>
      <c r="C32" s="184"/>
      <c r="D32" s="185"/>
      <c r="K32" s="69"/>
      <c r="L32" s="70"/>
      <c r="M32" s="71"/>
      <c r="N32" s="69"/>
      <c r="O32" s="70"/>
      <c r="P32" s="360"/>
      <c r="Q32" s="69" t="s">
        <v>74</v>
      </c>
      <c r="R32" s="70">
        <f>+R24</f>
        <v>6554929</v>
      </c>
      <c r="S32" s="360">
        <f>+S24</f>
        <v>0.25626686424149159</v>
      </c>
      <c r="T32" s="849"/>
      <c r="U32" s="849"/>
      <c r="V32" s="849"/>
    </row>
    <row r="33" spans="1:22" x14ac:dyDescent="0.3">
      <c r="A33" s="183"/>
      <c r="B33" s="184"/>
      <c r="C33" s="184"/>
      <c r="D33" s="185"/>
      <c r="E33" s="189"/>
      <c r="K33" s="72" t="s">
        <v>1</v>
      </c>
      <c r="L33" s="105">
        <f>SUM(L30:L30)</f>
        <v>17983242</v>
      </c>
      <c r="M33" s="73">
        <f>SUM(M30:M30)</f>
        <v>0.70306009969534222</v>
      </c>
      <c r="N33" s="72" t="s">
        <v>1</v>
      </c>
      <c r="O33" s="105">
        <f>SUM(O30:O31)</f>
        <v>19455606.366</v>
      </c>
      <c r="P33" s="361">
        <f>SUM(P30:P31)</f>
        <v>0.76062261472727188</v>
      </c>
      <c r="Q33" s="72" t="s">
        <v>1</v>
      </c>
      <c r="R33" s="105">
        <f>SUM(R30:R32)</f>
        <v>26010535.366</v>
      </c>
      <c r="S33" s="361">
        <f>SUM(S30:S32)</f>
        <v>1.0168894789687635</v>
      </c>
      <c r="T33" s="302"/>
      <c r="U33" s="302"/>
      <c r="V33" s="302"/>
    </row>
    <row r="34" spans="1:22" x14ac:dyDescent="0.3">
      <c r="A34" s="183"/>
      <c r="B34" s="184"/>
      <c r="C34" s="184"/>
      <c r="D34" s="185"/>
      <c r="E34" s="189"/>
      <c r="K34" s="72" t="s">
        <v>9</v>
      </c>
      <c r="L34" s="1285"/>
      <c r="M34" s="1286"/>
      <c r="N34" s="72" t="s">
        <v>9</v>
      </c>
      <c r="O34" s="1285"/>
      <c r="P34" s="1286"/>
      <c r="Q34" s="72" t="s">
        <v>9</v>
      </c>
      <c r="R34" s="1285"/>
      <c r="S34" s="1286"/>
      <c r="T34" s="302"/>
      <c r="U34" s="302"/>
      <c r="V34" s="302"/>
    </row>
    <row r="35" spans="1:22" x14ac:dyDescent="0.3">
      <c r="A35" s="183"/>
      <c r="B35" s="184"/>
      <c r="C35" s="184"/>
      <c r="D35" s="185"/>
      <c r="E35" s="189"/>
      <c r="K35" s="156" t="s">
        <v>78</v>
      </c>
      <c r="L35" s="1285" t="s">
        <v>1144</v>
      </c>
      <c r="M35" s="1286"/>
      <c r="N35" s="156" t="s">
        <v>78</v>
      </c>
      <c r="O35" s="1285" t="s">
        <v>1999</v>
      </c>
      <c r="P35" s="1286"/>
      <c r="Q35" s="156" t="s">
        <v>78</v>
      </c>
      <c r="R35" s="1285" t="s">
        <v>1999</v>
      </c>
      <c r="S35" s="1286"/>
      <c r="T35" s="302"/>
      <c r="U35" s="302"/>
      <c r="V35" s="302"/>
    </row>
    <row r="36" spans="1:22" x14ac:dyDescent="0.3">
      <c r="A36" s="183"/>
      <c r="B36" s="184"/>
      <c r="C36" s="184"/>
      <c r="D36" s="185"/>
      <c r="E36" s="189"/>
      <c r="K36" s="157" t="s">
        <v>8</v>
      </c>
      <c r="L36" s="1287" t="s">
        <v>1145</v>
      </c>
      <c r="M36" s="1288"/>
      <c r="N36" s="157" t="s">
        <v>8</v>
      </c>
      <c r="O36" s="1285" t="s">
        <v>2000</v>
      </c>
      <c r="P36" s="1286"/>
      <c r="Q36" s="157" t="s">
        <v>8</v>
      </c>
      <c r="R36" s="1285" t="s">
        <v>2000</v>
      </c>
      <c r="S36" s="1286"/>
      <c r="T36" s="302"/>
      <c r="U36" s="302"/>
      <c r="V36" s="302"/>
    </row>
    <row r="37" spans="1:22" x14ac:dyDescent="0.3">
      <c r="A37" s="183"/>
      <c r="B37" s="184"/>
      <c r="C37" s="184"/>
      <c r="D37" s="185" t="s">
        <v>75</v>
      </c>
      <c r="E37" s="189"/>
      <c r="K37" s="189"/>
      <c r="N37" s="189"/>
      <c r="Q37" s="852"/>
    </row>
    <row r="38" spans="1:22" x14ac:dyDescent="0.3">
      <c r="A38" s="183" t="s">
        <v>76</v>
      </c>
      <c r="B38" s="180"/>
      <c r="C38" s="180"/>
      <c r="D38" s="185" t="s">
        <v>77</v>
      </c>
      <c r="E38" s="189"/>
      <c r="K38" s="189"/>
      <c r="N38" s="189"/>
      <c r="Q38" s="852"/>
    </row>
    <row r="39" spans="1:22" ht="26.4" x14ac:dyDescent="0.3">
      <c r="A39" s="183" t="s">
        <v>79</v>
      </c>
      <c r="B39" s="180"/>
      <c r="C39" s="180"/>
      <c r="D39" s="185" t="s">
        <v>80</v>
      </c>
      <c r="E39" s="189"/>
      <c r="K39" s="189"/>
      <c r="N39" s="189"/>
      <c r="Q39" s="852"/>
    </row>
  </sheetData>
  <sheetProtection formatCells="0" formatColumns="0" formatRows="0" insertColumns="0" insertRows="0" insertHyperlinks="0" deleteColumns="0" deleteRows="0" sort="0" autoFilter="0" pivotTables="0"/>
  <mergeCells count="32">
    <mergeCell ref="A10:V10"/>
    <mergeCell ref="A14:A16"/>
    <mergeCell ref="B14:B16"/>
    <mergeCell ref="J14:J16"/>
    <mergeCell ref="A17:A19"/>
    <mergeCell ref="B17:B19"/>
    <mergeCell ref="J17:J19"/>
    <mergeCell ref="N11:P12"/>
    <mergeCell ref="A6:V6"/>
    <mergeCell ref="A7:V7"/>
    <mergeCell ref="A8:V8"/>
    <mergeCell ref="A9:V9"/>
    <mergeCell ref="T1:V1"/>
    <mergeCell ref="T2:V2"/>
    <mergeCell ref="A3:V3"/>
    <mergeCell ref="A4:V4"/>
    <mergeCell ref="A5:V5"/>
    <mergeCell ref="C1:P2"/>
    <mergeCell ref="L36:M36"/>
    <mergeCell ref="B11:J11"/>
    <mergeCell ref="K11:M12"/>
    <mergeCell ref="T11:V12"/>
    <mergeCell ref="B12:J12"/>
    <mergeCell ref="L34:M34"/>
    <mergeCell ref="L35:M35"/>
    <mergeCell ref="O34:P34"/>
    <mergeCell ref="O35:P35"/>
    <mergeCell ref="O36:P36"/>
    <mergeCell ref="Q11:S12"/>
    <mergeCell ref="R34:S34"/>
    <mergeCell ref="R35:S35"/>
    <mergeCell ref="R36:S36"/>
  </mergeCells>
  <pageMargins left="0.7" right="0.7" top="0.75" bottom="0.75" header="0.3" footer="0.3"/>
  <pageSetup scale="39" orientation="landscape" r:id="rId1"/>
  <drawing r:id="rId2"/>
  <legacyDrawingHF r:id="rId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5">
    <tabColor theme="1"/>
  </sheetPr>
  <dimension ref="A1:G49"/>
  <sheetViews>
    <sheetView topLeftCell="A10" zoomScaleNormal="100" workbookViewId="0">
      <selection activeCell="G26" sqref="G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RESUMEN!G62</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RESUMEN!B62</f>
        <v>D00235283</v>
      </c>
      <c r="C7" s="1265"/>
      <c r="D7" s="1177"/>
      <c r="E7" s="1266" t="s">
        <v>627</v>
      </c>
      <c r="F7" s="1267"/>
      <c r="G7" s="280" t="str">
        <f>RESUMEN!E62</f>
        <v>17-284</v>
      </c>
    </row>
    <row r="8" spans="1:7" x14ac:dyDescent="0.25">
      <c r="A8" s="271" t="s">
        <v>628</v>
      </c>
      <c r="B8" s="1264" t="str">
        <f>RESUMEN!C62</f>
        <v>D00235283000</v>
      </c>
      <c r="C8" s="1265"/>
      <c r="D8" s="1177"/>
      <c r="E8" s="1266" t="s">
        <v>629</v>
      </c>
      <c r="F8" s="1267"/>
      <c r="G8" s="280" t="str">
        <f>RESUMEN!U62</f>
        <v>Acta N° 4: Marzo</v>
      </c>
    </row>
    <row r="9" spans="1:7" x14ac:dyDescent="0.25">
      <c r="A9" s="271" t="s">
        <v>630</v>
      </c>
      <c r="B9" s="1283" t="s">
        <v>631</v>
      </c>
      <c r="C9" s="1265"/>
      <c r="D9" s="1177"/>
      <c r="E9" s="1266" t="s">
        <v>632</v>
      </c>
      <c r="F9" s="1267"/>
      <c r="G9" s="1178">
        <f>RESUMEN!H62</f>
        <v>47009621</v>
      </c>
    </row>
    <row r="10" spans="1:7" x14ac:dyDescent="0.25">
      <c r="A10" s="271" t="s">
        <v>633</v>
      </c>
      <c r="B10" s="1283" t="str">
        <f>RESUMEN!D62</f>
        <v>PARAMO ALTO</v>
      </c>
      <c r="C10" s="1265"/>
      <c r="D10" s="1177"/>
      <c r="E10" s="1266" t="s">
        <v>634</v>
      </c>
      <c r="F10" s="1267"/>
      <c r="G10" s="1178">
        <f>RESUMEN!R62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",RESUMEN!G62)</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RESUMEN!N62</f>
        <v>0</v>
      </c>
      <c r="F19" s="1248"/>
      <c r="G19" s="1177"/>
    </row>
    <row r="20" spans="1:7" ht="27" customHeight="1" x14ac:dyDescent="0.25">
      <c r="A20" s="1177"/>
      <c r="B20" s="1244" t="s">
        <v>1498</v>
      </c>
      <c r="C20" s="1245"/>
      <c r="D20" s="1246"/>
      <c r="E20" s="1247">
        <f>RESUMEN!P62</f>
        <v>0</v>
      </c>
      <c r="F20" s="1248"/>
      <c r="G20" s="1177"/>
    </row>
    <row r="21" spans="1:7" ht="27" customHeight="1" x14ac:dyDescent="0.25">
      <c r="A21" s="1177"/>
      <c r="B21" s="1244" t="s">
        <v>1499</v>
      </c>
      <c r="C21" s="1245"/>
      <c r="D21" s="1246"/>
      <c r="E21" s="1247">
        <f>RESUMEN!Q62</f>
        <v>0</v>
      </c>
      <c r="F21" s="1248"/>
      <c r="G21" s="1177"/>
    </row>
    <row r="22" spans="1:7" x14ac:dyDescent="0.25">
      <c r="A22" s="1177"/>
      <c r="B22" s="1254" t="s">
        <v>64</v>
      </c>
      <c r="C22" s="1254"/>
      <c r="D22" s="1254"/>
      <c r="E22" s="1255">
        <f>RESUMEN!R62</f>
        <v>0</v>
      </c>
      <c r="F22" s="1255"/>
      <c r="G22" s="1177"/>
    </row>
    <row r="23" spans="1:7" x14ac:dyDescent="0.25">
      <c r="A23" s="1177"/>
      <c r="B23" s="1256" t="s">
        <v>66</v>
      </c>
      <c r="C23" s="1256"/>
      <c r="D23" s="1256"/>
      <c r="E23" s="1257">
        <f>RESUMEN!S62</f>
        <v>0</v>
      </c>
      <c r="F23" s="1257"/>
      <c r="G23" s="1177"/>
    </row>
    <row r="24" spans="1:7" x14ac:dyDescent="0.25">
      <c r="A24" s="1177"/>
      <c r="B24" s="1258" t="s">
        <v>1</v>
      </c>
      <c r="C24" s="1258"/>
      <c r="D24" s="1258"/>
      <c r="E24" s="1259">
        <f>RESUMEN!T62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+'OT17-284 PARAMO ALTO ENTRA SALI'!T35</f>
        <v>ACTA 1</v>
      </c>
      <c r="C28" s="1253">
        <f>+'OT17-284 PARAMO ALTO ENTRA SALI'!U35</f>
        <v>22453290.588</v>
      </c>
      <c r="D28" s="1253"/>
      <c r="E28" s="267">
        <f>+'OT17-284 PARAMO ALTO ENTRA SALI'!V35</f>
        <v>0.47337147148663056</v>
      </c>
      <c r="F28" s="1177"/>
      <c r="G28" s="1177"/>
    </row>
    <row r="29" spans="1:7" x14ac:dyDescent="0.25">
      <c r="A29" s="1177"/>
      <c r="B29" s="280" t="str">
        <f>+'OT17-284 PARAMO ALTO ENTRA SALI'!T36</f>
        <v>ACTA 2</v>
      </c>
      <c r="C29" s="1253">
        <f>+'OT17-284 PARAMO ALTO ENTRA SALI'!U36</f>
        <v>19586984.000999998</v>
      </c>
      <c r="D29" s="1253"/>
      <c r="E29" s="267">
        <f>+'OT17-284 PARAMO ALTO ENTRA SALI'!V36</f>
        <v>0.41294256635567578</v>
      </c>
      <c r="F29" s="1177"/>
      <c r="G29" s="1177"/>
    </row>
    <row r="30" spans="1:7" x14ac:dyDescent="0.25">
      <c r="A30" s="1177"/>
      <c r="B30" s="280" t="str">
        <f>+'OT17-284 PARAMO ALTO ENTRA SALI'!T37</f>
        <v>ACTA 3</v>
      </c>
      <c r="C30" s="1253">
        <f>+'OT17-284 PARAMO ALTO ENTRA SALI'!U37</f>
        <v>4040831</v>
      </c>
      <c r="D30" s="1253"/>
      <c r="E30" s="267">
        <f>+'OT17-284 PARAMO ALTO ENTRA SALI'!V37</f>
        <v>8.5190814638148524E-2</v>
      </c>
      <c r="F30" s="1177"/>
      <c r="G30" s="1177"/>
    </row>
    <row r="31" spans="1:7" x14ac:dyDescent="0.25">
      <c r="A31" s="1177"/>
      <c r="B31" s="280" t="str">
        <f>+'OT17-284 PARAMO ALTO ENTRA SALI'!T38</f>
        <v>ACTA 4</v>
      </c>
      <c r="C31" s="1253">
        <f>+'OT17-284 PARAMO ALTO ENTRA SALI'!U38</f>
        <v>0</v>
      </c>
      <c r="D31" s="1253"/>
      <c r="E31" s="267">
        <f>+'OT17-284 PARAMO ALTO ENTRA SALI'!V38</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46081105.589000002</v>
      </c>
      <c r="D34" s="1251"/>
      <c r="E34" s="264">
        <f>SUM(E28:E33)</f>
        <v>0.97150485248045482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RESUMEN!V62</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1">
    <tabColor rgb="FF72104A"/>
  </sheetPr>
  <dimension ref="A1:Y43"/>
  <sheetViews>
    <sheetView topLeftCell="I10" zoomScale="70" zoomScaleNormal="70" workbookViewId="0">
      <selection activeCell="Q24" sqref="Q24"/>
    </sheetView>
  </sheetViews>
  <sheetFormatPr baseColWidth="10" defaultColWidth="9.109375" defaultRowHeight="14.4" x14ac:dyDescent="0.3"/>
  <cols>
    <col min="1" max="1" width="13.6640625" style="189" customWidth="1"/>
    <col min="2" max="2" width="21.6640625" style="189" customWidth="1"/>
    <col min="3" max="3" width="30.109375" style="189" customWidth="1"/>
    <col min="4" max="4" width="22.33203125" style="189" bestFit="1" customWidth="1"/>
    <col min="5" max="5" width="12.88671875" style="212" customWidth="1"/>
    <col min="6" max="6" width="17.88671875" style="189" bestFit="1" customWidth="1"/>
    <col min="7" max="7" width="17.88671875" style="852" customWidth="1"/>
    <col min="8" max="8" width="18.88671875" style="189" bestFit="1" customWidth="1"/>
    <col min="9" max="9" width="18.88671875" style="852" customWidth="1"/>
    <col min="10" max="10" width="39.109375" style="189" customWidth="1"/>
    <col min="11" max="11" width="17.88671875" style="189" hidden="1" customWidth="1"/>
    <col min="12" max="12" width="18" style="189" hidden="1" customWidth="1"/>
    <col min="13" max="13" width="9.109375" style="189" hidden="1" customWidth="1"/>
    <col min="14" max="14" width="17.88671875" style="189" hidden="1" customWidth="1"/>
    <col min="15" max="15" width="18" style="189" hidden="1" customWidth="1"/>
    <col min="16" max="16" width="9.109375" style="189" hidden="1" customWidth="1"/>
    <col min="17" max="17" width="17.88671875" style="738" bestFit="1" customWidth="1"/>
    <col min="18" max="18" width="18" style="738" customWidth="1"/>
    <col min="19" max="19" width="9.109375" style="738"/>
    <col min="20" max="20" width="14.77734375" style="1055" customWidth="1"/>
    <col min="21" max="21" width="17.6640625" style="1055" customWidth="1"/>
    <col min="22" max="22" width="14" style="1055" customWidth="1"/>
    <col min="23" max="23" width="17.88671875" style="189" bestFit="1" customWidth="1"/>
    <col min="24" max="24" width="18.33203125" style="189" customWidth="1"/>
    <col min="25" max="25" width="11.109375" style="189" customWidth="1"/>
    <col min="26" max="16384" width="9.109375" style="189"/>
  </cols>
  <sheetData>
    <row r="1" spans="1:25" s="302" customFormat="1" ht="15" thickBot="1" x14ac:dyDescent="0.35">
      <c r="A1" s="169"/>
      <c r="B1" s="188"/>
      <c r="C1" s="1307" t="s">
        <v>40</v>
      </c>
      <c r="D1" s="1308"/>
      <c r="E1" s="1308"/>
      <c r="F1" s="1308"/>
      <c r="G1" s="1308"/>
      <c r="H1" s="1308"/>
      <c r="I1" s="1308"/>
      <c r="J1" s="1308"/>
      <c r="K1" s="1308"/>
      <c r="L1" s="1308"/>
      <c r="M1" s="1308"/>
      <c r="N1" s="1308"/>
      <c r="O1" s="1308"/>
      <c r="P1" s="1309"/>
      <c r="Q1" s="733"/>
      <c r="R1" s="733"/>
      <c r="S1" s="733"/>
      <c r="T1" s="1052"/>
      <c r="U1" s="1052"/>
      <c r="V1" s="1052"/>
      <c r="W1" s="1328" t="s">
        <v>1117</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2"/>
      <c r="Q2" s="734"/>
      <c r="R2" s="734"/>
      <c r="S2" s="734"/>
      <c r="T2" s="1053"/>
      <c r="U2" s="1053"/>
      <c r="V2" s="1053"/>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1155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84"/>
      <c r="B11" s="1301"/>
      <c r="C11" s="1313"/>
      <c r="D11" s="1313"/>
      <c r="E11" s="1313"/>
      <c r="F11" s="1313"/>
      <c r="G11" s="1313"/>
      <c r="H11" s="1313"/>
      <c r="I11" s="1313"/>
      <c r="J11" s="1313"/>
      <c r="K11" s="1293" t="s">
        <v>1409</v>
      </c>
      <c r="L11" s="1294"/>
      <c r="M11" s="1295"/>
      <c r="N11" s="1470" t="s">
        <v>1430</v>
      </c>
      <c r="O11" s="1471"/>
      <c r="P11" s="1472"/>
      <c r="Q11" s="1470" t="s">
        <v>2088</v>
      </c>
      <c r="R11" s="1471"/>
      <c r="S11" s="1472"/>
      <c r="T11" s="1470" t="s">
        <v>2319</v>
      </c>
      <c r="U11" s="1471"/>
      <c r="V11" s="1472"/>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473"/>
      <c r="O12" s="1474"/>
      <c r="P12" s="1475"/>
      <c r="Q12" s="1473"/>
      <c r="R12" s="1474"/>
      <c r="S12" s="1475"/>
      <c r="T12" s="1473"/>
      <c r="U12" s="1474"/>
      <c r="V12" s="1475"/>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30" customHeight="1" x14ac:dyDescent="0.3">
      <c r="A14" s="1314" t="s">
        <v>507</v>
      </c>
      <c r="B14" s="1314" t="s">
        <v>316</v>
      </c>
      <c r="C14" s="385" t="s">
        <v>81</v>
      </c>
      <c r="D14" s="385" t="s">
        <v>317</v>
      </c>
      <c r="E14" s="191">
        <v>1</v>
      </c>
      <c r="F14" s="192">
        <v>4596496</v>
      </c>
      <c r="G14" s="32">
        <f>+ROUND(F14*1.051,0)</f>
        <v>4830917</v>
      </c>
      <c r="H14" s="192">
        <f>ROUND((E14*F14),0)</f>
        <v>4596496</v>
      </c>
      <c r="I14" s="32">
        <f>+ROUND(G14*E14,0)</f>
        <v>4830917</v>
      </c>
      <c r="J14" s="1315" t="s">
        <v>1147</v>
      </c>
      <c r="K14" s="433">
        <v>0.3</v>
      </c>
      <c r="L14" s="429">
        <f>ROUND(K14*$F$14,0)</f>
        <v>1378949</v>
      </c>
      <c r="M14" s="430">
        <f>L14/$H$14</f>
        <v>0.30000004351140519</v>
      </c>
      <c r="N14" s="433">
        <f>0.7*70%</f>
        <v>0.48999999999999994</v>
      </c>
      <c r="O14" s="429">
        <f>ROUND(N14*$F$14,0)</f>
        <v>2252283</v>
      </c>
      <c r="P14" s="430">
        <f>O14/$H$14</f>
        <v>0.48999999129771898</v>
      </c>
      <c r="Q14" s="433">
        <f>0.7*20%</f>
        <v>0.13999999999999999</v>
      </c>
      <c r="R14" s="429">
        <f>ROUND(Q14*G14,0)</f>
        <v>676328</v>
      </c>
      <c r="S14" s="430">
        <f>R14/H14</f>
        <v>0.14713990831276694</v>
      </c>
      <c r="T14" s="432">
        <v>0</v>
      </c>
      <c r="U14" s="425">
        <f>ROUND(T14*G14,0)</f>
        <v>0</v>
      </c>
      <c r="V14" s="426">
        <f>U14/I14</f>
        <v>0</v>
      </c>
      <c r="W14" s="149">
        <f>K14+N14+Q14+T14</f>
        <v>0.92999999999999994</v>
      </c>
      <c r="X14" s="175">
        <f>L14+O14+R14+U14</f>
        <v>4307560</v>
      </c>
      <c r="Y14" s="176">
        <f>X14/H14</f>
        <v>0.93713994312189108</v>
      </c>
    </row>
    <row r="15" spans="1:25" ht="30" customHeight="1" x14ac:dyDescent="0.3">
      <c r="A15" s="1314"/>
      <c r="B15" s="1314"/>
      <c r="C15" s="385" t="s">
        <v>83</v>
      </c>
      <c r="D15" s="385" t="s">
        <v>318</v>
      </c>
      <c r="E15" s="191">
        <v>1</v>
      </c>
      <c r="F15" s="192">
        <v>4387564</v>
      </c>
      <c r="G15" s="32">
        <f>+ROUND(F15*1.051,0)</f>
        <v>4611330</v>
      </c>
      <c r="H15" s="192">
        <f>ROUND((E15*F15),0)</f>
        <v>4387564</v>
      </c>
      <c r="I15" s="32">
        <f>+ROUND(G15*E15,0)</f>
        <v>4611330</v>
      </c>
      <c r="J15" s="1314"/>
      <c r="K15" s="433">
        <v>0.3</v>
      </c>
      <c r="L15" s="429">
        <f>ROUND(K15*$F$15,0)</f>
        <v>1316269</v>
      </c>
      <c r="M15" s="430">
        <f>L15/$H$15</f>
        <v>0.29999995441661936</v>
      </c>
      <c r="N15" s="433">
        <f>0.7*70%</f>
        <v>0.48999999999999994</v>
      </c>
      <c r="O15" s="429">
        <f>ROUND(N15*$F$15,0)</f>
        <v>2149906</v>
      </c>
      <c r="P15" s="430">
        <f>O15/$H$15</f>
        <v>0.48999991794991482</v>
      </c>
      <c r="Q15" s="433">
        <f>0.7*20%</f>
        <v>0.13999999999999999</v>
      </c>
      <c r="R15" s="429">
        <f>ROUND(Q15*G15,0)</f>
        <v>645586</v>
      </c>
      <c r="S15" s="430">
        <f>R15/H15</f>
        <v>0.14713996194699383</v>
      </c>
      <c r="T15" s="432">
        <v>0</v>
      </c>
      <c r="U15" s="425">
        <f>ROUND(T15*G15,0)</f>
        <v>0</v>
      </c>
      <c r="V15" s="426">
        <f t="shared" ref="V15:V25" si="0">U15/I15</f>
        <v>0</v>
      </c>
      <c r="W15" s="416">
        <f t="shared" ref="W15:W24" si="1">K15+N15+Q15+T15</f>
        <v>0.92999999999999994</v>
      </c>
      <c r="X15" s="175">
        <f t="shared" ref="X15:X25" si="2">L15+O15+R15+U15</f>
        <v>4111761</v>
      </c>
      <c r="Y15" s="176">
        <f t="shared" ref="Y15:Y25" si="3">X15/H15</f>
        <v>0.93713983431352799</v>
      </c>
    </row>
    <row r="16" spans="1:25" ht="15" customHeight="1" x14ac:dyDescent="0.3">
      <c r="A16" s="1314"/>
      <c r="B16" s="1314"/>
      <c r="C16" s="196"/>
      <c r="D16" s="196" t="s">
        <v>247</v>
      </c>
      <c r="E16" s="197"/>
      <c r="F16" s="198"/>
      <c r="G16" s="198"/>
      <c r="H16" s="199">
        <f>SUM(H14:H15)</f>
        <v>8984060</v>
      </c>
      <c r="I16" s="199">
        <f>SUM(I14:I15)</f>
        <v>9442247</v>
      </c>
      <c r="J16" s="1314"/>
      <c r="K16" s="308"/>
      <c r="L16" s="179">
        <f>SUM(L14:L15)</f>
        <v>2695218</v>
      </c>
      <c r="M16" s="308">
        <f>L16/H16</f>
        <v>0.3</v>
      </c>
      <c r="N16" s="431"/>
      <c r="O16" s="179">
        <f>SUM(O14:O15)</f>
        <v>4402189</v>
      </c>
      <c r="P16" s="431">
        <f>O16/L16</f>
        <v>1.6333331849223327</v>
      </c>
      <c r="Q16" s="431"/>
      <c r="R16" s="179">
        <f>SUM(R14:R15)</f>
        <v>1321914</v>
      </c>
      <c r="S16" s="431">
        <f t="shared" ref="S16:S25" si="4">R16/H16</f>
        <v>0.14713993450622548</v>
      </c>
      <c r="T16" s="431"/>
      <c r="U16" s="179">
        <f>SUM(U14:U15)</f>
        <v>0</v>
      </c>
      <c r="V16" s="1091">
        <f t="shared" si="0"/>
        <v>0</v>
      </c>
      <c r="W16" s="1093"/>
      <c r="X16" s="1078">
        <f t="shared" si="2"/>
        <v>8419321</v>
      </c>
      <c r="Y16" s="308">
        <f t="shared" si="3"/>
        <v>0.9371398899829253</v>
      </c>
    </row>
    <row r="17" spans="1:25" ht="30" customHeight="1" x14ac:dyDescent="0.3">
      <c r="A17" s="1314" t="s">
        <v>1148</v>
      </c>
      <c r="B17" s="1314" t="s">
        <v>320</v>
      </c>
      <c r="C17" s="385" t="s">
        <v>59</v>
      </c>
      <c r="D17" s="385" t="s">
        <v>321</v>
      </c>
      <c r="E17" s="191">
        <v>1</v>
      </c>
      <c r="F17" s="192">
        <v>6024196</v>
      </c>
      <c r="G17" s="32">
        <f t="shared" ref="G17:G18" si="5">+ROUND(F17*1.051,0)</f>
        <v>6331430</v>
      </c>
      <c r="H17" s="192">
        <f>ROUND((E17*F17),0)</f>
        <v>6024196</v>
      </c>
      <c r="I17" s="32">
        <f t="shared" ref="I17:I18" si="6">+ROUND(G17*E17,0)</f>
        <v>6331430</v>
      </c>
      <c r="J17" s="1314" t="s">
        <v>1149</v>
      </c>
      <c r="K17" s="433">
        <v>0.3</v>
      </c>
      <c r="L17" s="429">
        <f>ROUND(K17*$F$17,0)</f>
        <v>1807259</v>
      </c>
      <c r="M17" s="430">
        <f>L17/$H$17</f>
        <v>0.30000003319945101</v>
      </c>
      <c r="N17" s="433">
        <f>0.7*70%</f>
        <v>0.48999999999999994</v>
      </c>
      <c r="O17" s="429">
        <f>ROUND(N17*$F$17,0)</f>
        <v>2951856</v>
      </c>
      <c r="P17" s="430">
        <f>O17/$H$17</f>
        <v>0.4899999933601098</v>
      </c>
      <c r="Q17" s="433">
        <f>0.7*20%</f>
        <v>0.13999999999999999</v>
      </c>
      <c r="R17" s="429">
        <f t="shared" ref="R17:R18" si="7">ROUND(Q17*G17,0)</f>
        <v>886400</v>
      </c>
      <c r="S17" s="430">
        <f>R17/H17</f>
        <v>0.14713996689350745</v>
      </c>
      <c r="T17" s="432">
        <v>0</v>
      </c>
      <c r="U17" s="425">
        <f>ROUND(T17*G17,0)</f>
        <v>0</v>
      </c>
      <c r="V17" s="426">
        <f t="shared" si="0"/>
        <v>0</v>
      </c>
      <c r="W17" s="416">
        <f t="shared" si="1"/>
        <v>0.92999999999999994</v>
      </c>
      <c r="X17" s="175">
        <f t="shared" si="2"/>
        <v>5645515</v>
      </c>
      <c r="Y17" s="176">
        <f t="shared" si="3"/>
        <v>0.93713999345306831</v>
      </c>
    </row>
    <row r="18" spans="1:25" ht="30" customHeight="1" x14ac:dyDescent="0.3">
      <c r="A18" s="1314"/>
      <c r="B18" s="1314"/>
      <c r="C18" s="385" t="s">
        <v>61</v>
      </c>
      <c r="D18" s="385" t="s">
        <v>322</v>
      </c>
      <c r="E18" s="191">
        <v>1</v>
      </c>
      <c r="F18" s="192">
        <v>6650991</v>
      </c>
      <c r="G18" s="32">
        <f t="shared" si="5"/>
        <v>6990192</v>
      </c>
      <c r="H18" s="192">
        <f>ROUND((E18*F18),0)</f>
        <v>6650991</v>
      </c>
      <c r="I18" s="32">
        <f t="shared" si="6"/>
        <v>6990192</v>
      </c>
      <c r="J18" s="1314"/>
      <c r="K18" s="433">
        <v>0.7</v>
      </c>
      <c r="L18" s="429">
        <f>ROUND(K18*$F$18,0)</f>
        <v>4655694</v>
      </c>
      <c r="M18" s="430">
        <f>L18/$H$18</f>
        <v>0.70000004510606018</v>
      </c>
      <c r="N18" s="433">
        <v>0.3</v>
      </c>
      <c r="O18" s="429">
        <f>ROUND(N18*$F$18,0)</f>
        <v>1995297</v>
      </c>
      <c r="P18" s="430">
        <f>O18/$H$18</f>
        <v>0.29999995489393988</v>
      </c>
      <c r="Q18" s="432">
        <f t="shared" ref="Q18" si="8">+E18-K18-N18</f>
        <v>0</v>
      </c>
      <c r="R18" s="425">
        <f t="shared" si="7"/>
        <v>0</v>
      </c>
      <c r="S18" s="426">
        <f t="shared" si="4"/>
        <v>0</v>
      </c>
      <c r="T18" s="432">
        <v>0</v>
      </c>
      <c r="U18" s="425">
        <f>ROUND(T18*G18,0)</f>
        <v>0</v>
      </c>
      <c r="V18" s="426">
        <f t="shared" si="0"/>
        <v>0</v>
      </c>
      <c r="W18" s="416">
        <f t="shared" si="1"/>
        <v>1</v>
      </c>
      <c r="X18" s="175">
        <f t="shared" si="2"/>
        <v>6650991</v>
      </c>
      <c r="Y18" s="176">
        <f t="shared" si="3"/>
        <v>1</v>
      </c>
    </row>
    <row r="19" spans="1:25" ht="15" customHeight="1" x14ac:dyDescent="0.3">
      <c r="A19" s="1314"/>
      <c r="B19" s="1314"/>
      <c r="C19" s="196"/>
      <c r="D19" s="196" t="s">
        <v>143</v>
      </c>
      <c r="E19" s="197"/>
      <c r="F19" s="198"/>
      <c r="G19" s="198"/>
      <c r="H19" s="199">
        <f>SUM(H17:H18)</f>
        <v>12675187</v>
      </c>
      <c r="I19" s="199">
        <f>SUM(I17:I18)</f>
        <v>13321622</v>
      </c>
      <c r="J19" s="1314"/>
      <c r="K19" s="308"/>
      <c r="L19" s="179">
        <f>SUM(L17:L18)</f>
        <v>6462953</v>
      </c>
      <c r="M19" s="308">
        <f>L19/H19</f>
        <v>0.50989014994413884</v>
      </c>
      <c r="N19" s="431"/>
      <c r="O19" s="179">
        <f>SUM(O17:O18)</f>
        <v>4947153</v>
      </c>
      <c r="P19" s="431">
        <f>O19/L19</f>
        <v>0.76546324876569583</v>
      </c>
      <c r="Q19" s="431"/>
      <c r="R19" s="179">
        <f>SUM(R17:R18)</f>
        <v>886400</v>
      </c>
      <c r="S19" s="431">
        <f t="shared" si="4"/>
        <v>6.9931907119003447E-2</v>
      </c>
      <c r="T19" s="431"/>
      <c r="U19" s="179">
        <f>SUM(U17:U18)</f>
        <v>0</v>
      </c>
      <c r="V19" s="1091">
        <f t="shared" si="0"/>
        <v>0</v>
      </c>
      <c r="W19" s="1093"/>
      <c r="X19" s="1078">
        <f t="shared" si="2"/>
        <v>12296506</v>
      </c>
      <c r="Y19" s="308">
        <f t="shared" si="3"/>
        <v>0.97012422775301066</v>
      </c>
    </row>
    <row r="20" spans="1:25" ht="30" customHeight="1" x14ac:dyDescent="0.3">
      <c r="A20" s="1314" t="s">
        <v>1150</v>
      </c>
      <c r="B20" s="1314" t="s">
        <v>320</v>
      </c>
      <c r="C20" s="385" t="s">
        <v>59</v>
      </c>
      <c r="D20" s="385" t="s">
        <v>321</v>
      </c>
      <c r="E20" s="191">
        <v>1</v>
      </c>
      <c r="F20" s="192">
        <v>6024196</v>
      </c>
      <c r="G20" s="32">
        <f t="shared" ref="G20:G21" si="9">+ROUND(F20*1.051,0)</f>
        <v>6331430</v>
      </c>
      <c r="H20" s="192">
        <f>ROUND((E20*F20),0)</f>
        <v>6024196</v>
      </c>
      <c r="I20" s="32">
        <f t="shared" ref="I20:I21" si="10">+ROUND(G20*E20,0)</f>
        <v>6331430</v>
      </c>
      <c r="J20" s="1314" t="s">
        <v>1151</v>
      </c>
      <c r="K20" s="433">
        <v>0.3</v>
      </c>
      <c r="L20" s="429">
        <f>ROUND(K20*$F$20,0)</f>
        <v>1807259</v>
      </c>
      <c r="M20" s="430">
        <f>L20/$H$20</f>
        <v>0.30000003319945101</v>
      </c>
      <c r="N20" s="433">
        <f>0.7*70%</f>
        <v>0.48999999999999994</v>
      </c>
      <c r="O20" s="429">
        <f>ROUND(N20*$F$20,0)</f>
        <v>2951856</v>
      </c>
      <c r="P20" s="430">
        <f>O20/$H$20</f>
        <v>0.4899999933601098</v>
      </c>
      <c r="Q20" s="433">
        <f>0.7*20%</f>
        <v>0.13999999999999999</v>
      </c>
      <c r="R20" s="429">
        <f t="shared" ref="R20:R21" si="11">ROUND(Q20*G20,0)</f>
        <v>886400</v>
      </c>
      <c r="S20" s="430">
        <f>R20/H20</f>
        <v>0.14713996689350745</v>
      </c>
      <c r="T20" s="432">
        <v>0</v>
      </c>
      <c r="U20" s="425">
        <f>ROUND(T20*G20,0)</f>
        <v>0</v>
      </c>
      <c r="V20" s="426">
        <f t="shared" si="0"/>
        <v>0</v>
      </c>
      <c r="W20" s="416">
        <f t="shared" si="1"/>
        <v>0.92999999999999994</v>
      </c>
      <c r="X20" s="175">
        <f t="shared" si="2"/>
        <v>5645515</v>
      </c>
      <c r="Y20" s="176">
        <f t="shared" si="3"/>
        <v>0.93713999345306831</v>
      </c>
    </row>
    <row r="21" spans="1:25" ht="30" customHeight="1" x14ac:dyDescent="0.3">
      <c r="A21" s="1314"/>
      <c r="B21" s="1314"/>
      <c r="C21" s="385" t="s">
        <v>61</v>
      </c>
      <c r="D21" s="385" t="s">
        <v>322</v>
      </c>
      <c r="E21" s="191">
        <v>1</v>
      </c>
      <c r="F21" s="192">
        <v>6650991</v>
      </c>
      <c r="G21" s="32">
        <f t="shared" si="9"/>
        <v>6990192</v>
      </c>
      <c r="H21" s="192">
        <f>ROUND((E21*F21),0)</f>
        <v>6650991</v>
      </c>
      <c r="I21" s="32">
        <f t="shared" si="10"/>
        <v>6990192</v>
      </c>
      <c r="J21" s="1314"/>
      <c r="K21" s="433">
        <v>0.7</v>
      </c>
      <c r="L21" s="429">
        <f>ROUND(K21*$F$21,0)</f>
        <v>4655694</v>
      </c>
      <c r="M21" s="430">
        <f>L21/$H$21</f>
        <v>0.70000004510606018</v>
      </c>
      <c r="N21" s="433">
        <v>0.3</v>
      </c>
      <c r="O21" s="429">
        <f>ROUND(N21*$F$21,0)</f>
        <v>1995297</v>
      </c>
      <c r="P21" s="430">
        <f>O21/$H$21</f>
        <v>0.29999995489393988</v>
      </c>
      <c r="Q21" s="432">
        <f t="shared" ref="Q21" si="12">+E21-K21-N21</f>
        <v>0</v>
      </c>
      <c r="R21" s="425">
        <f t="shared" si="11"/>
        <v>0</v>
      </c>
      <c r="S21" s="426">
        <f t="shared" si="4"/>
        <v>0</v>
      </c>
      <c r="T21" s="432">
        <v>0</v>
      </c>
      <c r="U21" s="425">
        <f>ROUND(T21*G21,0)</f>
        <v>0</v>
      </c>
      <c r="V21" s="426">
        <f t="shared" si="0"/>
        <v>0</v>
      </c>
      <c r="W21" s="416">
        <f t="shared" si="1"/>
        <v>1</v>
      </c>
      <c r="X21" s="175">
        <f t="shared" si="2"/>
        <v>6650991</v>
      </c>
      <c r="Y21" s="176">
        <f t="shared" si="3"/>
        <v>1</v>
      </c>
    </row>
    <row r="22" spans="1:25" ht="15" customHeight="1" x14ac:dyDescent="0.3">
      <c r="A22" s="1314"/>
      <c r="B22" s="1314"/>
      <c r="C22" s="196"/>
      <c r="D22" s="196" t="s">
        <v>143</v>
      </c>
      <c r="E22" s="197"/>
      <c r="F22" s="198"/>
      <c r="G22" s="198"/>
      <c r="H22" s="199">
        <f>SUM(H20:H21)</f>
        <v>12675187</v>
      </c>
      <c r="I22" s="199">
        <f>SUM(I20:I21)</f>
        <v>13321622</v>
      </c>
      <c r="J22" s="1314"/>
      <c r="K22" s="308"/>
      <c r="L22" s="179">
        <f>SUM(L20:L21)</f>
        <v>6462953</v>
      </c>
      <c r="M22" s="308">
        <f>L22/H22</f>
        <v>0.50989014994413884</v>
      </c>
      <c r="N22" s="431"/>
      <c r="O22" s="179">
        <f>SUM(O20:O21)</f>
        <v>4947153</v>
      </c>
      <c r="P22" s="431">
        <f>O22/L22</f>
        <v>0.76546324876569583</v>
      </c>
      <c r="Q22" s="431"/>
      <c r="R22" s="179">
        <f>SUM(R20:R21)</f>
        <v>886400</v>
      </c>
      <c r="S22" s="431">
        <f t="shared" si="4"/>
        <v>6.9931907119003447E-2</v>
      </c>
      <c r="T22" s="431"/>
      <c r="U22" s="179">
        <f>SUM(U20:U21)</f>
        <v>0</v>
      </c>
      <c r="V22" s="1091">
        <f t="shared" si="0"/>
        <v>0</v>
      </c>
      <c r="W22" s="1093"/>
      <c r="X22" s="1078">
        <f t="shared" si="2"/>
        <v>12296506</v>
      </c>
      <c r="Y22" s="308">
        <f t="shared" si="3"/>
        <v>0.97012422775301066</v>
      </c>
    </row>
    <row r="23" spans="1:25" ht="30" customHeight="1" x14ac:dyDescent="0.3">
      <c r="A23" s="1314" t="s">
        <v>1135</v>
      </c>
      <c r="B23" s="1314" t="s">
        <v>320</v>
      </c>
      <c r="C23" s="385" t="s">
        <v>59</v>
      </c>
      <c r="D23" s="385" t="s">
        <v>321</v>
      </c>
      <c r="E23" s="191">
        <v>1</v>
      </c>
      <c r="F23" s="192">
        <v>6024196</v>
      </c>
      <c r="G23" s="32">
        <f t="shared" ref="G23:G24" si="13">+ROUND(F23*1.051,0)</f>
        <v>6331430</v>
      </c>
      <c r="H23" s="192">
        <f>ROUND((E23*F23),0)</f>
        <v>6024196</v>
      </c>
      <c r="I23" s="32">
        <f t="shared" ref="I23:I24" si="14">+ROUND(G23*E23,0)</f>
        <v>6331430</v>
      </c>
      <c r="J23" s="1314" t="s">
        <v>1152</v>
      </c>
      <c r="K23" s="433">
        <v>0.3</v>
      </c>
      <c r="L23" s="429">
        <f>ROUND(K23*$F$23,0)</f>
        <v>1807259</v>
      </c>
      <c r="M23" s="430">
        <f>L23/$H$23</f>
        <v>0.30000003319945101</v>
      </c>
      <c r="N23" s="433">
        <f>0.7*70%</f>
        <v>0.48999999999999994</v>
      </c>
      <c r="O23" s="429">
        <f>ROUND(N23*$F$23,0)</f>
        <v>2951856</v>
      </c>
      <c r="P23" s="430">
        <f>O23/$H$23</f>
        <v>0.4899999933601098</v>
      </c>
      <c r="Q23" s="433">
        <f>0.7*20%</f>
        <v>0.13999999999999999</v>
      </c>
      <c r="R23" s="429">
        <f t="shared" ref="R23:R24" si="15">ROUND(Q23*G23,0)</f>
        <v>886400</v>
      </c>
      <c r="S23" s="430">
        <f>R23/H23</f>
        <v>0.14713996689350745</v>
      </c>
      <c r="T23" s="432">
        <v>0</v>
      </c>
      <c r="U23" s="425">
        <f>ROUND(T23*G23,0)</f>
        <v>0</v>
      </c>
      <c r="V23" s="426">
        <f t="shared" si="0"/>
        <v>0</v>
      </c>
      <c r="W23" s="416">
        <f t="shared" si="1"/>
        <v>0.92999999999999994</v>
      </c>
      <c r="X23" s="175">
        <f t="shared" si="2"/>
        <v>5645515</v>
      </c>
      <c r="Y23" s="176">
        <f t="shared" si="3"/>
        <v>0.93713999345306831</v>
      </c>
    </row>
    <row r="24" spans="1:25" ht="30" customHeight="1" x14ac:dyDescent="0.3">
      <c r="A24" s="1314"/>
      <c r="B24" s="1314"/>
      <c r="C24" s="385" t="s">
        <v>61</v>
      </c>
      <c r="D24" s="385" t="s">
        <v>322</v>
      </c>
      <c r="E24" s="191">
        <v>1</v>
      </c>
      <c r="F24" s="192">
        <v>6650991</v>
      </c>
      <c r="G24" s="32">
        <f t="shared" si="13"/>
        <v>6990192</v>
      </c>
      <c r="H24" s="192">
        <f>ROUND((E24*F24),0)</f>
        <v>6650991</v>
      </c>
      <c r="I24" s="32">
        <f t="shared" si="14"/>
        <v>6990192</v>
      </c>
      <c r="J24" s="1314"/>
      <c r="K24" s="433">
        <v>0.7</v>
      </c>
      <c r="L24" s="429">
        <f>ROUND(K24*$F$24,0)</f>
        <v>4655694</v>
      </c>
      <c r="M24" s="430">
        <f>L24/$H$24</f>
        <v>0.70000004510606018</v>
      </c>
      <c r="N24" s="433">
        <v>0.3</v>
      </c>
      <c r="O24" s="429">
        <f>ROUND(N24*$F$24,0)</f>
        <v>1995297</v>
      </c>
      <c r="P24" s="430">
        <f>O24/$H$24</f>
        <v>0.29999995489393988</v>
      </c>
      <c r="Q24" s="432">
        <f t="shared" ref="Q24" si="16">+E24-K24-N24</f>
        <v>0</v>
      </c>
      <c r="R24" s="425">
        <f t="shared" si="15"/>
        <v>0</v>
      </c>
      <c r="S24" s="426">
        <f t="shared" si="4"/>
        <v>0</v>
      </c>
      <c r="T24" s="432">
        <v>0</v>
      </c>
      <c r="U24" s="425">
        <f>ROUND(T24*G24,0)</f>
        <v>0</v>
      </c>
      <c r="V24" s="426">
        <f t="shared" si="0"/>
        <v>0</v>
      </c>
      <c r="W24" s="416">
        <f t="shared" si="1"/>
        <v>1</v>
      </c>
      <c r="X24" s="175">
        <f t="shared" si="2"/>
        <v>6650991</v>
      </c>
      <c r="Y24" s="176">
        <f t="shared" si="3"/>
        <v>1</v>
      </c>
    </row>
    <row r="25" spans="1:25" ht="15" customHeight="1" x14ac:dyDescent="0.3">
      <c r="A25" s="1314"/>
      <c r="B25" s="1314"/>
      <c r="C25" s="196"/>
      <c r="D25" s="196" t="s">
        <v>143</v>
      </c>
      <c r="E25" s="197"/>
      <c r="F25" s="198"/>
      <c r="G25" s="198"/>
      <c r="H25" s="199">
        <f>SUM(H23:H24)</f>
        <v>12675187</v>
      </c>
      <c r="I25" s="199">
        <f>SUM(I23:I24)</f>
        <v>13321622</v>
      </c>
      <c r="J25" s="1314"/>
      <c r="K25" s="308"/>
      <c r="L25" s="179">
        <f>SUM(L23:L24)</f>
        <v>6462953</v>
      </c>
      <c r="M25" s="308">
        <f>L25/H25</f>
        <v>0.50989014994413884</v>
      </c>
      <c r="N25" s="431"/>
      <c r="O25" s="179">
        <f>SUM(O23:O24)</f>
        <v>4947153</v>
      </c>
      <c r="P25" s="431">
        <f>O25/L25</f>
        <v>0.76546324876569583</v>
      </c>
      <c r="Q25" s="431"/>
      <c r="R25" s="179">
        <f>SUM(R23:R24)</f>
        <v>886400</v>
      </c>
      <c r="S25" s="431">
        <f t="shared" si="4"/>
        <v>6.9931907119003447E-2</v>
      </c>
      <c r="T25" s="431"/>
      <c r="U25" s="179">
        <f>SUM(U23:U24)</f>
        <v>0</v>
      </c>
      <c r="V25" s="1091">
        <f t="shared" si="0"/>
        <v>0</v>
      </c>
      <c r="W25" s="1096"/>
      <c r="X25" s="1078">
        <f t="shared" si="2"/>
        <v>12296506</v>
      </c>
      <c r="Y25" s="308">
        <f t="shared" si="3"/>
        <v>0.97012422775301066</v>
      </c>
    </row>
    <row r="26" spans="1:25" x14ac:dyDescent="0.3">
      <c r="F26" s="151" t="s">
        <v>64</v>
      </c>
      <c r="G26" s="151"/>
      <c r="H26" s="181">
        <f>SUM(H11:H25)/2</f>
        <v>47009621</v>
      </c>
      <c r="I26" s="181">
        <f>SUM(I11:I25)/2</f>
        <v>49407113</v>
      </c>
      <c r="K26" s="151" t="s">
        <v>64</v>
      </c>
      <c r="L26" s="181">
        <f>SUM(L11:L25)/2</f>
        <v>22084077</v>
      </c>
      <c r="M26" s="131">
        <f>L28/H28</f>
        <v>0.47337147148663056</v>
      </c>
      <c r="N26" s="480" t="s">
        <v>64</v>
      </c>
      <c r="O26" s="481">
        <f>SUM(O11:O25)/2</f>
        <v>19243648</v>
      </c>
      <c r="Q26" s="480" t="s">
        <v>64</v>
      </c>
      <c r="R26" s="481">
        <f>SUM(R11:R25)/2</f>
        <v>3981114</v>
      </c>
      <c r="T26" s="480" t="s">
        <v>64</v>
      </c>
      <c r="U26" s="481">
        <f>SUM(U11:U25)/2</f>
        <v>0</v>
      </c>
      <c r="W26" s="480" t="s">
        <v>64</v>
      </c>
      <c r="X26" s="481">
        <f>SUM(X11:X25)/2</f>
        <v>45308839</v>
      </c>
    </row>
    <row r="27" spans="1:25" x14ac:dyDescent="0.3">
      <c r="F27" s="153" t="s">
        <v>65</v>
      </c>
      <c r="G27" s="153"/>
      <c r="H27" s="340">
        <f>(((H16+H19+H22+H25)*0.3))*0.03</f>
        <v>423086.58899999998</v>
      </c>
      <c r="I27" s="340">
        <f>(((I16+I19+I22+I25)*0.3))*0.03</f>
        <v>444664.01699999999</v>
      </c>
      <c r="K27" s="153" t="s">
        <v>65</v>
      </c>
      <c r="L27" s="181">
        <f>(((L14+L15+L17+L20+L23)*0.03)+((L18+L21+L24)*0.3)*0.03)</f>
        <v>369213.58799999999</v>
      </c>
      <c r="N27" s="482" t="s">
        <v>65</v>
      </c>
      <c r="O27" s="481">
        <f>+H27-L27</f>
        <v>53873.000999999989</v>
      </c>
      <c r="Q27" s="482" t="s">
        <v>65</v>
      </c>
      <c r="R27" s="481"/>
      <c r="T27" s="482" t="s">
        <v>65</v>
      </c>
      <c r="U27" s="481"/>
      <c r="W27" s="482" t="s">
        <v>65</v>
      </c>
      <c r="X27" s="481">
        <f>+L27+O27</f>
        <v>423086.58899999998</v>
      </c>
    </row>
    <row r="28" spans="1:25" x14ac:dyDescent="0.3">
      <c r="F28" s="152" t="s">
        <v>64</v>
      </c>
      <c r="G28" s="152"/>
      <c r="H28" s="340">
        <f>SUM(H26:H27)</f>
        <v>47432707.589000002</v>
      </c>
      <c r="I28" s="340">
        <f>SUM(I26:I27)</f>
        <v>49851777.016999997</v>
      </c>
      <c r="K28" s="152" t="s">
        <v>64</v>
      </c>
      <c r="L28" s="340">
        <f>SUM(L26:L27)</f>
        <v>22453290.588</v>
      </c>
      <c r="N28" s="484" t="s">
        <v>64</v>
      </c>
      <c r="O28" s="550">
        <f>SUM(O26:O27)</f>
        <v>19297521.000999998</v>
      </c>
      <c r="Q28" s="484" t="s">
        <v>64</v>
      </c>
      <c r="R28" s="550">
        <f>SUM(R26:R27)</f>
        <v>3981114</v>
      </c>
      <c r="T28" s="484" t="s">
        <v>64</v>
      </c>
      <c r="U28" s="550">
        <f>SUM(U26:U27)</f>
        <v>0</v>
      </c>
      <c r="W28" s="484" t="s">
        <v>64</v>
      </c>
      <c r="X28" s="550">
        <f>SUM(X26:X27)</f>
        <v>45731925.589000002</v>
      </c>
    </row>
    <row r="29" spans="1:25" ht="26.4" x14ac:dyDescent="0.3">
      <c r="F29" s="152"/>
      <c r="G29" s="152"/>
      <c r="H29" s="340"/>
      <c r="I29" s="340"/>
      <c r="K29" s="484"/>
      <c r="L29" s="182"/>
      <c r="N29" s="484" t="s">
        <v>1439</v>
      </c>
      <c r="O29" s="483">
        <f>ROUND(O28*0.015,0)</f>
        <v>289463</v>
      </c>
      <c r="Q29" s="484" t="s">
        <v>1439</v>
      </c>
      <c r="R29" s="483">
        <f>ROUND(R28*0.015,0)</f>
        <v>59717</v>
      </c>
      <c r="T29" s="484" t="s">
        <v>1439</v>
      </c>
      <c r="U29" s="483">
        <f>ROUND(U28*0.015,0)</f>
        <v>0</v>
      </c>
      <c r="W29" s="484" t="s">
        <v>1439</v>
      </c>
      <c r="X29" s="550">
        <f>L29+O29+R29+U29</f>
        <v>349180</v>
      </c>
    </row>
    <row r="30" spans="1:25" ht="39.6" x14ac:dyDescent="0.3">
      <c r="F30" s="152"/>
      <c r="G30" s="152"/>
      <c r="H30" s="340"/>
      <c r="I30" s="340"/>
      <c r="K30" s="152"/>
      <c r="L30" s="182"/>
      <c r="N30" s="152" t="s">
        <v>1440</v>
      </c>
      <c r="O30" s="182">
        <f>O28+O29</f>
        <v>19586984.000999998</v>
      </c>
      <c r="P30" s="628">
        <f>O30/$H$28</f>
        <v>0.41294256635567578</v>
      </c>
      <c r="Q30" s="152" t="s">
        <v>1440</v>
      </c>
      <c r="R30" s="182">
        <f>R28+R29</f>
        <v>4040831</v>
      </c>
      <c r="S30" s="628">
        <f>R30/$H$28</f>
        <v>8.5190814638148524E-2</v>
      </c>
      <c r="T30" s="152" t="s">
        <v>1440</v>
      </c>
      <c r="U30" s="182">
        <f>U28+U29</f>
        <v>0</v>
      </c>
      <c r="V30" s="628">
        <f>U30/$H$28</f>
        <v>0</v>
      </c>
      <c r="W30" s="152" t="s">
        <v>1440</v>
      </c>
      <c r="X30" s="182">
        <f>X28+X29</f>
        <v>46081105.589000002</v>
      </c>
      <c r="Y30" s="628">
        <f>X30/H28</f>
        <v>0.97150485248045493</v>
      </c>
    </row>
    <row r="31" spans="1:25" x14ac:dyDescent="0.3">
      <c r="F31" s="154" t="s">
        <v>66</v>
      </c>
      <c r="G31" s="154"/>
      <c r="H31" s="181">
        <f>+H28*19%</f>
        <v>9012214.4419100005</v>
      </c>
      <c r="I31" s="181">
        <f>+I28*19%</f>
        <v>9471837.6332299989</v>
      </c>
      <c r="K31" s="154" t="s">
        <v>66</v>
      </c>
      <c r="L31" s="182">
        <f>+L28*19%</f>
        <v>4266125.21172</v>
      </c>
      <c r="N31" s="485" t="s">
        <v>66</v>
      </c>
      <c r="O31" s="483">
        <f>ROUND(O30*0.19,0)</f>
        <v>3721527</v>
      </c>
      <c r="Q31" s="485" t="s">
        <v>66</v>
      </c>
      <c r="R31" s="483">
        <f>ROUND(R30*0.19,0)</f>
        <v>767758</v>
      </c>
      <c r="T31" s="485" t="s">
        <v>66</v>
      </c>
      <c r="U31" s="483">
        <f>ROUND(U30*0.19,0)</f>
        <v>0</v>
      </c>
      <c r="W31" s="485" t="s">
        <v>66</v>
      </c>
      <c r="X31" s="483">
        <f>ROUND(X30*0.19,0)</f>
        <v>8755410</v>
      </c>
    </row>
    <row r="32" spans="1:25" x14ac:dyDescent="0.3">
      <c r="F32" s="155" t="s">
        <v>69</v>
      </c>
      <c r="G32" s="155"/>
      <c r="H32" s="181">
        <f>+H28+H31</f>
        <v>56444922.03091</v>
      </c>
      <c r="I32" s="181">
        <f>+I28+I31</f>
        <v>59323614.650229998</v>
      </c>
      <c r="K32" s="155" t="s">
        <v>69</v>
      </c>
      <c r="L32" s="181">
        <f>+L28+L31</f>
        <v>26719415.79972</v>
      </c>
      <c r="N32" s="545" t="s">
        <v>69</v>
      </c>
      <c r="O32" s="481">
        <f>O30+O31</f>
        <v>23308511.000999998</v>
      </c>
      <c r="Q32" s="545" t="s">
        <v>69</v>
      </c>
      <c r="R32" s="481">
        <f>R30+R31</f>
        <v>4808589</v>
      </c>
      <c r="T32" s="545" t="s">
        <v>69</v>
      </c>
      <c r="U32" s="481">
        <f>U30+U31</f>
        <v>0</v>
      </c>
      <c r="W32" s="545" t="s">
        <v>69</v>
      </c>
      <c r="X32" s="481">
        <f>X30+X31</f>
        <v>54836515.589000002</v>
      </c>
    </row>
    <row r="34" spans="1:25" x14ac:dyDescent="0.3">
      <c r="A34" s="183" t="s">
        <v>67</v>
      </c>
      <c r="B34" s="184"/>
      <c r="C34" s="184"/>
      <c r="D34" s="185" t="s">
        <v>68</v>
      </c>
      <c r="K34" s="186" t="s">
        <v>70</v>
      </c>
      <c r="L34" s="187" t="s">
        <v>71</v>
      </c>
      <c r="M34" s="186" t="s">
        <v>58</v>
      </c>
      <c r="N34" s="186" t="s">
        <v>70</v>
      </c>
      <c r="O34" s="187" t="s">
        <v>71</v>
      </c>
      <c r="P34" s="186" t="s">
        <v>58</v>
      </c>
      <c r="Q34" s="186" t="s">
        <v>70</v>
      </c>
      <c r="R34" s="187" t="s">
        <v>71</v>
      </c>
      <c r="S34" s="186" t="s">
        <v>58</v>
      </c>
      <c r="T34" s="186" t="s">
        <v>70</v>
      </c>
      <c r="U34" s="187" t="s">
        <v>71</v>
      </c>
      <c r="V34" s="186" t="s">
        <v>58</v>
      </c>
      <c r="W34" s="302"/>
      <c r="X34" s="302"/>
      <c r="Y34" s="302"/>
    </row>
    <row r="35" spans="1:25" x14ac:dyDescent="0.3">
      <c r="A35" s="183"/>
      <c r="B35" s="184"/>
      <c r="C35" s="184"/>
      <c r="D35" s="185"/>
      <c r="K35" s="69" t="s">
        <v>72</v>
      </c>
      <c r="L35" s="70">
        <f>$L$26</f>
        <v>22084077</v>
      </c>
      <c r="M35" s="71">
        <f>M26</f>
        <v>0.47337147148663056</v>
      </c>
      <c r="N35" s="69" t="s">
        <v>72</v>
      </c>
      <c r="O35" s="70">
        <f>$L$26</f>
        <v>22084077</v>
      </c>
      <c r="P35" s="71">
        <f>$M$26</f>
        <v>0.47337147148663056</v>
      </c>
      <c r="Q35" s="69" t="s">
        <v>72</v>
      </c>
      <c r="R35" s="70">
        <f>$L$28</f>
        <v>22453290.588</v>
      </c>
      <c r="S35" s="360">
        <f>$M$26</f>
        <v>0.47337147148663056</v>
      </c>
      <c r="T35" s="69" t="s">
        <v>72</v>
      </c>
      <c r="U35" s="70">
        <f>$L$28</f>
        <v>22453290.588</v>
      </c>
      <c r="V35" s="360">
        <f>$M$26</f>
        <v>0.47337147148663056</v>
      </c>
      <c r="W35" s="302"/>
      <c r="X35" s="302"/>
      <c r="Y35" s="302"/>
    </row>
    <row r="36" spans="1:25" x14ac:dyDescent="0.3">
      <c r="A36" s="183"/>
      <c r="B36" s="184"/>
      <c r="C36" s="184"/>
      <c r="D36" s="185"/>
      <c r="K36" s="69"/>
      <c r="L36" s="70"/>
      <c r="M36" s="71"/>
      <c r="N36" s="69" t="s">
        <v>73</v>
      </c>
      <c r="O36" s="70">
        <f>$O$30</f>
        <v>19586984.000999998</v>
      </c>
      <c r="P36" s="71">
        <f>$P$30</f>
        <v>0.41294256635567578</v>
      </c>
      <c r="Q36" s="69" t="s">
        <v>73</v>
      </c>
      <c r="R36" s="70">
        <f>$O$30</f>
        <v>19586984.000999998</v>
      </c>
      <c r="S36" s="360">
        <f>$P$30</f>
        <v>0.41294256635567578</v>
      </c>
      <c r="T36" s="69" t="s">
        <v>73</v>
      </c>
      <c r="U36" s="70">
        <f>$O$30</f>
        <v>19586984.000999998</v>
      </c>
      <c r="V36" s="360">
        <f>$P$30</f>
        <v>0.41294256635567578</v>
      </c>
      <c r="W36" s="302"/>
      <c r="X36" s="302"/>
      <c r="Y36" s="302"/>
    </row>
    <row r="37" spans="1:25" x14ac:dyDescent="0.3">
      <c r="A37" s="183"/>
      <c r="B37" s="184"/>
      <c r="C37" s="184"/>
      <c r="D37" s="185"/>
      <c r="K37" s="72" t="s">
        <v>1</v>
      </c>
      <c r="L37" s="105">
        <f>SUM(L35:L35)</f>
        <v>22084077</v>
      </c>
      <c r="M37" s="73">
        <f>SUM(M35:M35)</f>
        <v>0.47337147148663056</v>
      </c>
      <c r="N37" s="72" t="s">
        <v>1</v>
      </c>
      <c r="O37" s="105">
        <f>SUM(O35:O36)</f>
        <v>41671061.001000002</v>
      </c>
      <c r="P37" s="73">
        <f>SUM(P35:P36)</f>
        <v>0.88631403784230633</v>
      </c>
      <c r="Q37" s="69" t="s">
        <v>74</v>
      </c>
      <c r="R37" s="70">
        <f>R30</f>
        <v>4040831</v>
      </c>
      <c r="S37" s="360">
        <f>S30</f>
        <v>8.5190814638148524E-2</v>
      </c>
      <c r="T37" s="69" t="s">
        <v>74</v>
      </c>
      <c r="U37" s="70">
        <f>R30</f>
        <v>4040831</v>
      </c>
      <c r="V37" s="360">
        <f>S30</f>
        <v>8.5190814638148524E-2</v>
      </c>
      <c r="W37" s="302"/>
      <c r="X37" s="302"/>
      <c r="Y37" s="302"/>
    </row>
    <row r="38" spans="1:25" x14ac:dyDescent="0.3">
      <c r="A38" s="183"/>
      <c r="B38" s="184"/>
      <c r="C38" s="184"/>
      <c r="D38" s="185"/>
      <c r="K38" s="72" t="s">
        <v>9</v>
      </c>
      <c r="L38" s="1285"/>
      <c r="M38" s="1286"/>
      <c r="N38" s="72" t="s">
        <v>9</v>
      </c>
      <c r="O38" s="1285"/>
      <c r="P38" s="1286"/>
      <c r="Q38" s="72" t="s">
        <v>1</v>
      </c>
      <c r="R38" s="875">
        <f>SUM(R35:R37)</f>
        <v>46081105.589000002</v>
      </c>
      <c r="S38" s="361">
        <f>SUM(S35:S37)</f>
        <v>0.97150485248045482</v>
      </c>
      <c r="T38" s="69" t="s">
        <v>155</v>
      </c>
      <c r="U38" s="70">
        <f>$U$30</f>
        <v>0</v>
      </c>
      <c r="V38" s="360">
        <f>$V$30</f>
        <v>0</v>
      </c>
      <c r="W38" s="302"/>
      <c r="X38" s="302"/>
      <c r="Y38" s="302"/>
    </row>
    <row r="39" spans="1:25" x14ac:dyDescent="0.3">
      <c r="A39" s="183"/>
      <c r="B39" s="184"/>
      <c r="C39" s="184"/>
      <c r="D39" s="185"/>
      <c r="K39" s="156" t="s">
        <v>78</v>
      </c>
      <c r="L39" s="1285" t="s">
        <v>1153</v>
      </c>
      <c r="M39" s="1286"/>
      <c r="N39" s="156" t="s">
        <v>78</v>
      </c>
      <c r="O39" s="1285" t="s">
        <v>1153</v>
      </c>
      <c r="P39" s="1286"/>
      <c r="Q39" s="72" t="s">
        <v>9</v>
      </c>
      <c r="R39" s="731"/>
      <c r="S39" s="732"/>
      <c r="T39" s="72" t="s">
        <v>1</v>
      </c>
      <c r="U39" s="875">
        <f>SUM(U35:U38)</f>
        <v>46081105.589000002</v>
      </c>
      <c r="V39" s="361">
        <f>SUM(V35:V38)</f>
        <v>0.97150485248045482</v>
      </c>
      <c r="W39" s="302"/>
      <c r="X39" s="302"/>
      <c r="Y39" s="302"/>
    </row>
    <row r="40" spans="1:25" x14ac:dyDescent="0.3">
      <c r="A40" s="183"/>
      <c r="B40" s="184"/>
      <c r="C40" s="184"/>
      <c r="D40" s="185"/>
      <c r="K40" s="157" t="s">
        <v>8</v>
      </c>
      <c r="L40" s="1287" t="s">
        <v>1154</v>
      </c>
      <c r="M40" s="1288"/>
      <c r="N40" s="157" t="s">
        <v>8</v>
      </c>
      <c r="O40" s="1287" t="s">
        <v>1154</v>
      </c>
      <c r="P40" s="1288"/>
      <c r="Q40" s="156" t="s">
        <v>78</v>
      </c>
      <c r="R40" s="731"/>
      <c r="S40" s="732"/>
      <c r="T40" s="72" t="s">
        <v>9</v>
      </c>
      <c r="U40" s="1047"/>
      <c r="V40" s="1048"/>
      <c r="W40" s="302"/>
      <c r="X40" s="302"/>
      <c r="Y40" s="302"/>
    </row>
    <row r="41" spans="1:25" x14ac:dyDescent="0.3">
      <c r="A41" s="183"/>
      <c r="B41" s="184"/>
      <c r="C41" s="184"/>
      <c r="D41" s="185" t="s">
        <v>75</v>
      </c>
      <c r="Q41" s="157" t="s">
        <v>8</v>
      </c>
      <c r="R41" s="728"/>
      <c r="S41" s="729"/>
      <c r="T41" s="156" t="s">
        <v>78</v>
      </c>
      <c r="U41" s="1047"/>
      <c r="V41" s="1048"/>
    </row>
    <row r="42" spans="1:25" x14ac:dyDescent="0.3">
      <c r="A42" s="183" t="s">
        <v>76</v>
      </c>
      <c r="B42" s="180"/>
      <c r="C42" s="180"/>
      <c r="D42" s="185" t="s">
        <v>77</v>
      </c>
      <c r="T42" s="157" t="s">
        <v>8</v>
      </c>
      <c r="U42" s="1049"/>
      <c r="V42" s="1050"/>
    </row>
    <row r="43" spans="1:25" ht="26.4" x14ac:dyDescent="0.3">
      <c r="A43" s="183" t="s">
        <v>79</v>
      </c>
      <c r="B43" s="180"/>
      <c r="C43" s="180"/>
      <c r="D43" s="185" t="s">
        <v>80</v>
      </c>
    </row>
  </sheetData>
  <sheetProtection formatCells="0" formatColumns="0" formatRows="0" insertColumns="0" insertRows="0" insertHyperlinks="0" deleteColumns="0" deleteRows="0" sort="0" autoFilter="0" pivotTables="0"/>
  <mergeCells count="36">
    <mergeCell ref="O40:P40"/>
    <mergeCell ref="C1:P2"/>
    <mergeCell ref="A14:A16"/>
    <mergeCell ref="B14:B16"/>
    <mergeCell ref="J14:J16"/>
    <mergeCell ref="A17:A19"/>
    <mergeCell ref="B17:B19"/>
    <mergeCell ref="J17:J19"/>
    <mergeCell ref="L40:M40"/>
    <mergeCell ref="A6:Y6"/>
    <mergeCell ref="A7:Y7"/>
    <mergeCell ref="A8:Y8"/>
    <mergeCell ref="A9:Y9"/>
    <mergeCell ref="A10:Y10"/>
    <mergeCell ref="A20:A22"/>
    <mergeCell ref="B20:B22"/>
    <mergeCell ref="W1:Y1"/>
    <mergeCell ref="W2:Y2"/>
    <mergeCell ref="A3:Y3"/>
    <mergeCell ref="A4:Y4"/>
    <mergeCell ref="A5:Y5"/>
    <mergeCell ref="B11:J11"/>
    <mergeCell ref="J20:J22"/>
    <mergeCell ref="A23:A25"/>
    <mergeCell ref="K11:M12"/>
    <mergeCell ref="W11:Y12"/>
    <mergeCell ref="B12:J12"/>
    <mergeCell ref="N11:P12"/>
    <mergeCell ref="Q11:S12"/>
    <mergeCell ref="T11:V12"/>
    <mergeCell ref="O38:P38"/>
    <mergeCell ref="O39:P39"/>
    <mergeCell ref="L38:M38"/>
    <mergeCell ref="L39:M39"/>
    <mergeCell ref="B23:B25"/>
    <mergeCell ref="J23:J25"/>
  </mergeCells>
  <pageMargins left="0.7" right="0.7" top="0.75" bottom="0.75" header="0.3" footer="0.3"/>
  <pageSetup scale="38" orientation="landscape" r:id="rId1"/>
  <drawing r:id="rId2"/>
  <legacyDrawing r:id="rId3"/>
  <legacyDrawingHF r:id="rId4"/>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6">
    <tabColor theme="1"/>
  </sheetPr>
  <dimension ref="A1:G49"/>
  <sheetViews>
    <sheetView topLeftCell="A13"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RESUMEN!G63</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RESUMEN!B63</f>
        <v>D00249258</v>
      </c>
      <c r="C7" s="1265"/>
      <c r="D7" s="1177"/>
      <c r="E7" s="1266" t="s">
        <v>627</v>
      </c>
      <c r="F7" s="1267"/>
      <c r="G7" s="280" t="str">
        <f>RESUMEN!E63</f>
        <v>17-285</v>
      </c>
    </row>
    <row r="8" spans="1:7" x14ac:dyDescent="0.25">
      <c r="A8" s="271" t="s">
        <v>628</v>
      </c>
      <c r="B8" s="1264" t="str">
        <f>RESUMEN!C63</f>
        <v>D00249258000</v>
      </c>
      <c r="C8" s="1265"/>
      <c r="D8" s="1177"/>
      <c r="E8" s="1266" t="s">
        <v>629</v>
      </c>
      <c r="F8" s="1267"/>
      <c r="G8" s="280" t="str">
        <f>RESUMEN!U63</f>
        <v>Acta N° 4: Marzo</v>
      </c>
    </row>
    <row r="9" spans="1:7" x14ac:dyDescent="0.25">
      <c r="A9" s="271" t="s">
        <v>630</v>
      </c>
      <c r="B9" s="1283" t="s">
        <v>631</v>
      </c>
      <c r="C9" s="1265"/>
      <c r="D9" s="1177"/>
      <c r="E9" s="1266" t="s">
        <v>632</v>
      </c>
      <c r="F9" s="1267"/>
      <c r="G9" s="1178">
        <f>RESUMEN!H63</f>
        <v>25350374</v>
      </c>
    </row>
    <row r="10" spans="1:7" x14ac:dyDescent="0.25">
      <c r="A10" s="271" t="s">
        <v>633</v>
      </c>
      <c r="B10" s="1283" t="str">
        <f>RESUMEN!D63</f>
        <v>TRES ESQUINAS</v>
      </c>
      <c r="C10" s="1265"/>
      <c r="D10" s="1177"/>
      <c r="E10" s="1266" t="s">
        <v>634</v>
      </c>
      <c r="F10" s="1267"/>
      <c r="G10" s="1178">
        <f>RESUMEN!R63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",RESUMEN!G63)</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RESUMEN!N63</f>
        <v>0</v>
      </c>
      <c r="F19" s="1248"/>
      <c r="G19" s="1177"/>
    </row>
    <row r="20" spans="1:7" ht="27" customHeight="1" x14ac:dyDescent="0.25">
      <c r="A20" s="1177"/>
      <c r="B20" s="1244" t="s">
        <v>1498</v>
      </c>
      <c r="C20" s="1245"/>
      <c r="D20" s="1246"/>
      <c r="E20" s="1247">
        <f>RESUMEN!P63</f>
        <v>0</v>
      </c>
      <c r="F20" s="1248"/>
      <c r="G20" s="1177"/>
    </row>
    <row r="21" spans="1:7" ht="27" customHeight="1" x14ac:dyDescent="0.25">
      <c r="A21" s="1177"/>
      <c r="B21" s="1244" t="s">
        <v>1499</v>
      </c>
      <c r="C21" s="1245"/>
      <c r="D21" s="1246"/>
      <c r="E21" s="1247">
        <f>RESUMEN!Q63</f>
        <v>0</v>
      </c>
      <c r="F21" s="1248"/>
      <c r="G21" s="1177"/>
    </row>
    <row r="22" spans="1:7" x14ac:dyDescent="0.25">
      <c r="A22" s="1177"/>
      <c r="B22" s="1254" t="s">
        <v>64</v>
      </c>
      <c r="C22" s="1254"/>
      <c r="D22" s="1254"/>
      <c r="E22" s="1255">
        <f>RESUMEN!R63</f>
        <v>0</v>
      </c>
      <c r="F22" s="1255"/>
      <c r="G22" s="1177"/>
    </row>
    <row r="23" spans="1:7" x14ac:dyDescent="0.25">
      <c r="A23" s="1177"/>
      <c r="B23" s="1256" t="s">
        <v>66</v>
      </c>
      <c r="C23" s="1256"/>
      <c r="D23" s="1256"/>
      <c r="E23" s="1257">
        <f>RESUMEN!S63</f>
        <v>0</v>
      </c>
      <c r="F23" s="1257"/>
      <c r="G23" s="1177"/>
    </row>
    <row r="24" spans="1:7" x14ac:dyDescent="0.25">
      <c r="A24" s="1177"/>
      <c r="B24" s="1258" t="s">
        <v>1</v>
      </c>
      <c r="C24" s="1258"/>
      <c r="D24" s="1258"/>
      <c r="E24" s="1259">
        <f>RESUMEN!T63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+'OT17-285 TRES ESQUINAS'!T30</f>
        <v>ACTA 1</v>
      </c>
      <c r="C28" s="1253">
        <f>+'OT17-285 TRES ESQUINAS'!U30</f>
        <v>15802484</v>
      </c>
      <c r="D28" s="1253"/>
      <c r="E28" s="267">
        <f>+'OT17-285 TRES ESQUINAS'!V30</f>
        <v>0.61780272858887464</v>
      </c>
      <c r="F28" s="1177"/>
      <c r="G28" s="1177"/>
    </row>
    <row r="29" spans="1:7" x14ac:dyDescent="0.25">
      <c r="A29" s="1177"/>
      <c r="B29" s="280" t="str">
        <f>+'OT17-285 TRES ESQUINAS'!T31</f>
        <v>ACTA 2</v>
      </c>
      <c r="C29" s="1253">
        <f>+'OT17-285 TRES ESQUINAS'!U31</f>
        <v>1362302.3659999999</v>
      </c>
      <c r="D29" s="1253"/>
      <c r="E29" s="267">
        <f>+'OT17-285 TRES ESQUINAS'!V31</f>
        <v>5.325960898792112E-2</v>
      </c>
      <c r="F29" s="1177"/>
      <c r="G29" s="1177"/>
    </row>
    <row r="30" spans="1:7" x14ac:dyDescent="0.25">
      <c r="A30" s="1177"/>
      <c r="B30" s="280" t="str">
        <f>+'OT17-285 TRES ESQUINAS'!T32</f>
        <v>ACTA 3</v>
      </c>
      <c r="C30" s="1253">
        <f>+'OT17-285 TRES ESQUINAS'!U32</f>
        <v>6297874</v>
      </c>
      <c r="D30" s="1253"/>
      <c r="E30" s="267">
        <f>+'OT17-285 TRES ESQUINAS'!V32</f>
        <v>0.24621722391928574</v>
      </c>
      <c r="F30" s="1177"/>
      <c r="G30" s="1177"/>
    </row>
    <row r="31" spans="1:7" x14ac:dyDescent="0.25">
      <c r="A31" s="1177"/>
      <c r="B31" s="280" t="str">
        <f>+'OT17-285 TRES ESQUINAS'!T33</f>
        <v>ACTA 4</v>
      </c>
      <c r="C31" s="1253">
        <f>+'OT17-285 TRES ESQUINAS'!U33</f>
        <v>0</v>
      </c>
      <c r="D31" s="1253"/>
      <c r="E31" s="267">
        <f>+'OT17-285 TRES ESQUINAS'!V33</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23462660.366</v>
      </c>
      <c r="D34" s="1251"/>
      <c r="E34" s="264">
        <f>SUM(E28:E33)</f>
        <v>0.91727956149608159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RESUMEN!V63</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2">
    <tabColor rgb="FF72104A"/>
  </sheetPr>
  <dimension ref="A1:Y39"/>
  <sheetViews>
    <sheetView zoomScale="60" zoomScaleNormal="60" workbookViewId="0">
      <selection activeCell="U33" sqref="U33"/>
    </sheetView>
  </sheetViews>
  <sheetFormatPr baseColWidth="10" defaultColWidth="9.109375" defaultRowHeight="14.4" x14ac:dyDescent="0.3"/>
  <cols>
    <col min="1" max="1" width="22" style="189" bestFit="1" customWidth="1"/>
    <col min="2" max="2" width="29.6640625" style="189" customWidth="1"/>
    <col min="3" max="3" width="30.5546875" style="189" customWidth="1"/>
    <col min="4" max="4" width="23" style="189" customWidth="1"/>
    <col min="5" max="5" width="11.5546875" style="189" bestFit="1" customWidth="1"/>
    <col min="6" max="6" width="17.88671875" style="189" customWidth="1"/>
    <col min="7" max="7" width="17.88671875" style="852" customWidth="1"/>
    <col min="8" max="8" width="18" style="189" bestFit="1" customWidth="1"/>
    <col min="9" max="9" width="18" style="852" customWidth="1"/>
    <col min="10" max="10" width="36.44140625" style="189" customWidth="1"/>
    <col min="11" max="11" width="17.88671875" style="189" hidden="1" customWidth="1"/>
    <col min="12" max="12" width="19.33203125" style="189" hidden="1" customWidth="1"/>
    <col min="13" max="13" width="9.109375" style="189" hidden="1" customWidth="1"/>
    <col min="14" max="14" width="21.6640625" style="189" hidden="1" customWidth="1"/>
    <col min="15" max="15" width="19.33203125" style="189" hidden="1" customWidth="1"/>
    <col min="16" max="16" width="0" style="189" hidden="1" customWidth="1"/>
    <col min="17" max="17" width="21.6640625" style="852" customWidth="1"/>
    <col min="18" max="18" width="19.33203125" style="852" customWidth="1"/>
    <col min="19" max="19" width="9.109375" style="852"/>
    <col min="20" max="20" width="18.5546875" style="1055" customWidth="1"/>
    <col min="21" max="21" width="18" style="1055" customWidth="1"/>
    <col min="22" max="22" width="15" style="1055" customWidth="1"/>
    <col min="23" max="23" width="17.88671875" style="189" bestFit="1" customWidth="1"/>
    <col min="24" max="24" width="18.109375" style="189" customWidth="1"/>
    <col min="25" max="16384" width="9.109375" style="189"/>
  </cols>
  <sheetData>
    <row r="1" spans="1:25" s="302" customFormat="1" ht="15" thickBot="1" x14ac:dyDescent="0.35">
      <c r="A1" s="169"/>
      <c r="B1" s="188"/>
      <c r="C1" s="1307" t="s">
        <v>40</v>
      </c>
      <c r="D1" s="1308"/>
      <c r="E1" s="1308"/>
      <c r="F1" s="1308"/>
      <c r="G1" s="1308"/>
      <c r="H1" s="1308"/>
      <c r="I1" s="1308"/>
      <c r="J1" s="1308"/>
      <c r="K1" s="1308"/>
      <c r="L1" s="1308"/>
      <c r="M1" s="1308"/>
      <c r="N1" s="1308"/>
      <c r="O1" s="1308"/>
      <c r="P1" s="1309"/>
      <c r="Q1" s="846"/>
      <c r="R1" s="846"/>
      <c r="S1" s="846"/>
      <c r="T1" s="1052"/>
      <c r="U1" s="1052"/>
      <c r="V1" s="1052"/>
      <c r="W1" s="1328" t="s">
        <v>1117</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2"/>
      <c r="Q2" s="847"/>
      <c r="R2" s="847"/>
      <c r="S2" s="847"/>
      <c r="T2" s="1053"/>
      <c r="U2" s="1053"/>
      <c r="V2" s="1053"/>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1158</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84"/>
      <c r="B11" s="1301"/>
      <c r="C11" s="1313"/>
      <c r="D11" s="1313"/>
      <c r="E11" s="1313"/>
      <c r="F11" s="1313"/>
      <c r="G11" s="1313"/>
      <c r="H11" s="1313"/>
      <c r="I11" s="1313"/>
      <c r="J11" s="1313"/>
      <c r="K11" s="1293" t="s">
        <v>986</v>
      </c>
      <c r="L11" s="1294"/>
      <c r="M11" s="1295"/>
      <c r="N11" s="1293" t="s">
        <v>1977</v>
      </c>
      <c r="O11" s="1294"/>
      <c r="P11" s="1295"/>
      <c r="Q11" s="1293" t="s">
        <v>2088</v>
      </c>
      <c r="R11" s="1294"/>
      <c r="S11" s="1295"/>
      <c r="T11" s="1293" t="s">
        <v>2319</v>
      </c>
      <c r="U11" s="1294"/>
      <c r="V11" s="1295"/>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30" customHeight="1" x14ac:dyDescent="0.3">
      <c r="A14" s="1314" t="s">
        <v>1133</v>
      </c>
      <c r="B14" s="1314" t="s">
        <v>320</v>
      </c>
      <c r="C14" s="385" t="s">
        <v>59</v>
      </c>
      <c r="D14" s="385" t="s">
        <v>321</v>
      </c>
      <c r="E14" s="385">
        <v>1</v>
      </c>
      <c r="F14" s="192">
        <v>6024196</v>
      </c>
      <c r="G14" s="32">
        <f>+ROUND(F14*1.051,0)</f>
        <v>6331430</v>
      </c>
      <c r="H14" s="192">
        <f>ROUND((E14*F14),0)</f>
        <v>6024196</v>
      </c>
      <c r="I14" s="32">
        <f>+ROUND(G14*E14,0)</f>
        <v>6331430</v>
      </c>
      <c r="J14" s="1314" t="s">
        <v>1134</v>
      </c>
      <c r="K14" s="433">
        <v>0.3</v>
      </c>
      <c r="L14" s="429">
        <f>ROUND(K14*$F$14,0)</f>
        <v>1807259</v>
      </c>
      <c r="M14" s="430">
        <f>L14/$H$14</f>
        <v>0.30000003319945101</v>
      </c>
      <c r="N14" s="432">
        <v>0</v>
      </c>
      <c r="O14" s="425">
        <f>ROUND(N14*$F$14,0)</f>
        <v>0</v>
      </c>
      <c r="P14" s="426">
        <f>O14/$H$14</f>
        <v>0</v>
      </c>
      <c r="Q14" s="433">
        <f>0.7*70%</f>
        <v>0.48999999999999994</v>
      </c>
      <c r="R14" s="429">
        <f>ROUND(Q14*G14,0)</f>
        <v>3102401</v>
      </c>
      <c r="S14" s="430">
        <f>R14/H14</f>
        <v>0.51499005012453114</v>
      </c>
      <c r="T14" s="432">
        <v>0</v>
      </c>
      <c r="U14" s="425">
        <f>ROUND(T14*G14,0)</f>
        <v>0</v>
      </c>
      <c r="V14" s="426">
        <f>U14/I14</f>
        <v>0</v>
      </c>
      <c r="W14" s="149">
        <f>K14+N14+Q14+T14</f>
        <v>0.78999999999999992</v>
      </c>
      <c r="X14" s="175">
        <f>L14+O14+R14+U14</f>
        <v>4909660</v>
      </c>
      <c r="Y14" s="176">
        <f t="shared" ref="Y14" si="0">X14/H14</f>
        <v>0.81499008332398215</v>
      </c>
    </row>
    <row r="15" spans="1:25" ht="30" customHeight="1" x14ac:dyDescent="0.3">
      <c r="A15" s="1314"/>
      <c r="B15" s="1314"/>
      <c r="C15" s="385" t="s">
        <v>61</v>
      </c>
      <c r="D15" s="385" t="s">
        <v>322</v>
      </c>
      <c r="E15" s="385">
        <v>1</v>
      </c>
      <c r="F15" s="192">
        <v>6650991</v>
      </c>
      <c r="G15" s="32">
        <f>+ROUND(F15*1.051,0)</f>
        <v>6990192</v>
      </c>
      <c r="H15" s="192">
        <f>ROUND((E15*F15),0)</f>
        <v>6650991</v>
      </c>
      <c r="I15" s="32">
        <f>+ROUND(G15*E15,0)</f>
        <v>6990192</v>
      </c>
      <c r="J15" s="1314"/>
      <c r="K15" s="433">
        <v>0.9</v>
      </c>
      <c r="L15" s="429">
        <f>ROUND(K15*$F$15,0)</f>
        <v>5985892</v>
      </c>
      <c r="M15" s="430">
        <f>L15/$H$15</f>
        <v>0.90000001503535343</v>
      </c>
      <c r="N15" s="433">
        <v>0.1</v>
      </c>
      <c r="O15" s="429">
        <f>ROUND(N15*$F$15,0)</f>
        <v>665099</v>
      </c>
      <c r="P15" s="430">
        <f>O15/$H$15</f>
        <v>9.9999984964646627E-2</v>
      </c>
      <c r="Q15" s="432">
        <v>0</v>
      </c>
      <c r="R15" s="425">
        <f>ROUND(Q15*G15,0)</f>
        <v>0</v>
      </c>
      <c r="S15" s="426">
        <f>R15/H15</f>
        <v>0</v>
      </c>
      <c r="T15" s="432">
        <v>0</v>
      </c>
      <c r="U15" s="425">
        <f>ROUND(T15*G15,0)</f>
        <v>0</v>
      </c>
      <c r="V15" s="426">
        <f t="shared" ref="V15:V19" si="1">U15/I15</f>
        <v>0</v>
      </c>
      <c r="W15" s="416">
        <f t="shared" ref="W15:W18" si="2">K15+N15+Q15+T15</f>
        <v>1</v>
      </c>
      <c r="X15" s="175">
        <f t="shared" ref="X15:X19" si="3">L15+O15+R15+U15</f>
        <v>6650991</v>
      </c>
      <c r="Y15" s="176">
        <f t="shared" ref="Y15" si="4">X15/H15</f>
        <v>1</v>
      </c>
    </row>
    <row r="16" spans="1:25" x14ac:dyDescent="0.3">
      <c r="A16" s="1314"/>
      <c r="B16" s="1314"/>
      <c r="C16" s="196"/>
      <c r="D16" s="196" t="s">
        <v>143</v>
      </c>
      <c r="E16" s="198"/>
      <c r="F16" s="198"/>
      <c r="G16" s="198"/>
      <c r="H16" s="199">
        <f>SUM(H14:H15)</f>
        <v>12675187</v>
      </c>
      <c r="I16" s="199">
        <f>SUM(I14:I15)</f>
        <v>13321622</v>
      </c>
      <c r="J16" s="1314"/>
      <c r="K16" s="308"/>
      <c r="L16" s="179">
        <f>SUM(L14:L15)</f>
        <v>7793151</v>
      </c>
      <c r="M16" s="308">
        <f>L16/$H$16</f>
        <v>0.61483518941377358</v>
      </c>
      <c r="N16" s="431"/>
      <c r="O16" s="179">
        <f>SUM(O14:O15)</f>
        <v>665099</v>
      </c>
      <c r="P16" s="431">
        <f>O16/$H$16</f>
        <v>5.2472519734817327E-2</v>
      </c>
      <c r="Q16" s="431"/>
      <c r="R16" s="179">
        <f>SUM(R14:R15)</f>
        <v>3102401</v>
      </c>
      <c r="S16" s="431">
        <f>R16/$H$16</f>
        <v>0.24476175381081164</v>
      </c>
      <c r="T16" s="431"/>
      <c r="U16" s="179">
        <f>SUM(U14:U15)</f>
        <v>0</v>
      </c>
      <c r="V16" s="1091">
        <f t="shared" si="1"/>
        <v>0</v>
      </c>
      <c r="W16" s="1093"/>
      <c r="X16" s="1078">
        <f t="shared" si="3"/>
        <v>11560651</v>
      </c>
      <c r="Y16" s="308">
        <f>X16/H16</f>
        <v>0.9120694629594025</v>
      </c>
    </row>
    <row r="17" spans="1:25" ht="30" customHeight="1" x14ac:dyDescent="0.3">
      <c r="A17" s="1314" t="s">
        <v>1156</v>
      </c>
      <c r="B17" s="1314" t="s">
        <v>320</v>
      </c>
      <c r="C17" s="385" t="s">
        <v>81</v>
      </c>
      <c r="D17" s="385" t="s">
        <v>907</v>
      </c>
      <c r="E17" s="385">
        <v>1</v>
      </c>
      <c r="F17" s="192">
        <v>6024196</v>
      </c>
      <c r="G17" s="32">
        <f t="shared" ref="G17:G18" si="5">+ROUND(F17*1.051,0)</f>
        <v>6331430</v>
      </c>
      <c r="H17" s="192">
        <f>ROUND((E17*F17),0)</f>
        <v>6024196</v>
      </c>
      <c r="I17" s="32">
        <f t="shared" ref="I17:I18" si="6">+ROUND(G17*E17,0)</f>
        <v>6331430</v>
      </c>
      <c r="J17" s="1314" t="s">
        <v>1157</v>
      </c>
      <c r="K17" s="433">
        <v>0.3</v>
      </c>
      <c r="L17" s="429">
        <f>ROUND(K17*$F$17,0)</f>
        <v>1807259</v>
      </c>
      <c r="M17" s="430">
        <f>L17/$H$17</f>
        <v>0.30000003319945101</v>
      </c>
      <c r="N17" s="432">
        <v>0</v>
      </c>
      <c r="O17" s="425">
        <f>ROUND(N17*$F$14,0)</f>
        <v>0</v>
      </c>
      <c r="P17" s="426">
        <f>O17/$H$14</f>
        <v>0</v>
      </c>
      <c r="Q17" s="433">
        <f>0.7*70%</f>
        <v>0.48999999999999994</v>
      </c>
      <c r="R17" s="429">
        <f t="shared" ref="R17:R18" si="7">ROUND(Q17*G17,0)</f>
        <v>3102401</v>
      </c>
      <c r="S17" s="430">
        <f>R17/H17</f>
        <v>0.51499005012453114</v>
      </c>
      <c r="T17" s="432">
        <v>0</v>
      </c>
      <c r="U17" s="425">
        <f>ROUND(T17*G17,0)</f>
        <v>0</v>
      </c>
      <c r="V17" s="426">
        <f t="shared" si="1"/>
        <v>0</v>
      </c>
      <c r="W17" s="416">
        <f t="shared" si="2"/>
        <v>0.78999999999999992</v>
      </c>
      <c r="X17" s="175">
        <f t="shared" si="3"/>
        <v>4909660</v>
      </c>
      <c r="Y17" s="176">
        <f t="shared" ref="Y17:Y18" si="8">X17/H17</f>
        <v>0.81499008332398215</v>
      </c>
    </row>
    <row r="18" spans="1:25" ht="30" customHeight="1" x14ac:dyDescent="0.3">
      <c r="A18" s="1314"/>
      <c r="B18" s="1314"/>
      <c r="C18" s="385" t="s">
        <v>83</v>
      </c>
      <c r="D18" s="385" t="s">
        <v>909</v>
      </c>
      <c r="E18" s="385">
        <v>1</v>
      </c>
      <c r="F18" s="192">
        <v>6650991</v>
      </c>
      <c r="G18" s="32">
        <f t="shared" si="5"/>
        <v>6990192</v>
      </c>
      <c r="H18" s="192">
        <f>ROUND((E18*F18),0)</f>
        <v>6650991</v>
      </c>
      <c r="I18" s="32">
        <f t="shared" si="6"/>
        <v>6990192</v>
      </c>
      <c r="J18" s="1314"/>
      <c r="K18" s="433">
        <v>0.9</v>
      </c>
      <c r="L18" s="429">
        <f>ROUND(K18*$F$18,0)</f>
        <v>5985892</v>
      </c>
      <c r="M18" s="430">
        <f>L18/$H$18</f>
        <v>0.90000001503535343</v>
      </c>
      <c r="N18" s="433">
        <v>0.1</v>
      </c>
      <c r="O18" s="429">
        <f>ROUND(N18*$F$18,0)</f>
        <v>665099</v>
      </c>
      <c r="P18" s="430">
        <f>O18/$H$18</f>
        <v>9.9999984964646627E-2</v>
      </c>
      <c r="Q18" s="432">
        <v>0</v>
      </c>
      <c r="R18" s="425">
        <f t="shared" si="7"/>
        <v>0</v>
      </c>
      <c r="S18" s="426">
        <f>R18/H18</f>
        <v>0</v>
      </c>
      <c r="T18" s="432">
        <v>0</v>
      </c>
      <c r="U18" s="425">
        <f>ROUND(T18*G18,0)</f>
        <v>0</v>
      </c>
      <c r="V18" s="426">
        <f t="shared" si="1"/>
        <v>0</v>
      </c>
      <c r="W18" s="416">
        <f t="shared" si="2"/>
        <v>1</v>
      </c>
      <c r="X18" s="175">
        <f t="shared" si="3"/>
        <v>6650991</v>
      </c>
      <c r="Y18" s="176">
        <f t="shared" si="8"/>
        <v>1</v>
      </c>
    </row>
    <row r="19" spans="1:25" ht="15" customHeight="1" x14ac:dyDescent="0.3">
      <c r="A19" s="1314"/>
      <c r="B19" s="1314"/>
      <c r="C19" s="196"/>
      <c r="D19" s="196" t="s">
        <v>265</v>
      </c>
      <c r="E19" s="198"/>
      <c r="F19" s="198"/>
      <c r="G19" s="198"/>
      <c r="H19" s="199">
        <f>SUM(H17:H18)</f>
        <v>12675187</v>
      </c>
      <c r="I19" s="199">
        <f>SUM(I17:I18)</f>
        <v>13321622</v>
      </c>
      <c r="J19" s="1314"/>
      <c r="K19" s="308"/>
      <c r="L19" s="179">
        <f>SUM(L17:L18)</f>
        <v>7793151</v>
      </c>
      <c r="M19" s="308">
        <f>L19/$H$19</f>
        <v>0.61483518941377358</v>
      </c>
      <c r="N19" s="431"/>
      <c r="O19" s="179">
        <f>SUM(O17:O18)</f>
        <v>665099</v>
      </c>
      <c r="P19" s="431">
        <f>O19/$H$19</f>
        <v>5.2472519734817327E-2</v>
      </c>
      <c r="Q19" s="431"/>
      <c r="R19" s="179">
        <f>SUM(R17:R18)</f>
        <v>3102401</v>
      </c>
      <c r="S19" s="431">
        <f>R19/$H$19</f>
        <v>0.24476175381081164</v>
      </c>
      <c r="T19" s="431"/>
      <c r="U19" s="179">
        <f>SUM(U17:U18)</f>
        <v>0</v>
      </c>
      <c r="V19" s="1091">
        <f t="shared" si="1"/>
        <v>0</v>
      </c>
      <c r="W19" s="1096"/>
      <c r="X19" s="1078">
        <f t="shared" si="3"/>
        <v>11560651</v>
      </c>
      <c r="Y19" s="308">
        <f>X19/H19</f>
        <v>0.9120694629594025</v>
      </c>
    </row>
    <row r="20" spans="1:25" x14ac:dyDescent="0.3">
      <c r="F20" s="151" t="s">
        <v>64</v>
      </c>
      <c r="G20" s="151"/>
      <c r="H20" s="181">
        <f>SUM(H5:H19)/2</f>
        <v>25350374</v>
      </c>
      <c r="I20" s="181">
        <f>SUM(I5:I19)/2</f>
        <v>26643244</v>
      </c>
      <c r="K20" s="151" t="s">
        <v>64</v>
      </c>
      <c r="L20" s="181">
        <f>SUM(L5:L19)/2</f>
        <v>15586302</v>
      </c>
      <c r="N20" s="151" t="s">
        <v>64</v>
      </c>
      <c r="O20" s="181">
        <f>SUM(O5:O19)/2</f>
        <v>1330198</v>
      </c>
      <c r="Q20" s="480" t="s">
        <v>64</v>
      </c>
      <c r="R20" s="481">
        <f>SUM(R5:R19)/2</f>
        <v>6204802</v>
      </c>
      <c r="T20" s="480" t="s">
        <v>64</v>
      </c>
      <c r="U20" s="481">
        <f>SUM(U5:U19)/2</f>
        <v>0</v>
      </c>
      <c r="W20" s="151" t="s">
        <v>64</v>
      </c>
      <c r="X20" s="181">
        <f>SUM(X14:X19)/2</f>
        <v>23121302</v>
      </c>
    </row>
    <row r="21" spans="1:25" x14ac:dyDescent="0.3">
      <c r="F21" s="153" t="s">
        <v>65</v>
      </c>
      <c r="G21" s="153"/>
      <c r="H21" s="749">
        <f>(((H16+H19)*0.3))*3%</f>
        <v>228153.36599999998</v>
      </c>
      <c r="I21" s="749">
        <f>(((I16+I19)*0.3))*3%</f>
        <v>239789.19599999997</v>
      </c>
      <c r="K21" s="153" t="s">
        <v>65</v>
      </c>
      <c r="L21" s="749">
        <v>216182</v>
      </c>
      <c r="N21" s="153" t="s">
        <v>65</v>
      </c>
      <c r="O21" s="181">
        <f>H21-L21</f>
        <v>11971.36599999998</v>
      </c>
      <c r="Q21" s="482" t="s">
        <v>65</v>
      </c>
      <c r="R21" s="481">
        <v>0</v>
      </c>
      <c r="T21" s="482" t="s">
        <v>65</v>
      </c>
      <c r="U21" s="481">
        <v>0</v>
      </c>
      <c r="W21" s="153" t="s">
        <v>65</v>
      </c>
      <c r="X21" s="181">
        <f>+L21+O21</f>
        <v>228153.36599999998</v>
      </c>
    </row>
    <row r="22" spans="1:25" x14ac:dyDescent="0.3">
      <c r="F22" s="152" t="s">
        <v>64</v>
      </c>
      <c r="G22" s="152"/>
      <c r="H22" s="340">
        <f>SUM(H20:H21)</f>
        <v>25578527.366</v>
      </c>
      <c r="I22" s="340">
        <f>SUM(I20:I21)</f>
        <v>26883033.195999999</v>
      </c>
      <c r="K22" s="152" t="s">
        <v>64</v>
      </c>
      <c r="L22" s="340">
        <f>SUM(L20:L21)</f>
        <v>15802484</v>
      </c>
      <c r="M22" s="614">
        <f>L22/H22</f>
        <v>0.61780272858887464</v>
      </c>
      <c r="N22" s="152" t="s">
        <v>64</v>
      </c>
      <c r="O22" s="340">
        <f>SUM(O20:O21)</f>
        <v>1342169.3659999999</v>
      </c>
      <c r="Q22" s="484" t="s">
        <v>64</v>
      </c>
      <c r="R22" s="550">
        <f>SUM(R20:R21)</f>
        <v>6204802</v>
      </c>
      <c r="T22" s="484" t="s">
        <v>64</v>
      </c>
      <c r="U22" s="550">
        <f>SUM(U20:U21)</f>
        <v>0</v>
      </c>
      <c r="W22" s="152" t="s">
        <v>64</v>
      </c>
      <c r="X22" s="340">
        <f>SUM(X20:X21)</f>
        <v>23349455.366</v>
      </c>
    </row>
    <row r="23" spans="1:25" ht="26.4" x14ac:dyDescent="0.3">
      <c r="F23" s="152"/>
      <c r="G23" s="152"/>
      <c r="H23" s="340"/>
      <c r="I23" s="340"/>
      <c r="K23" s="152"/>
      <c r="L23" s="340"/>
      <c r="N23" s="484" t="s">
        <v>1439</v>
      </c>
      <c r="O23" s="182">
        <f>ROUND(O22*0.015,0)</f>
        <v>20133</v>
      </c>
      <c r="Q23" s="484" t="s">
        <v>1439</v>
      </c>
      <c r="R23" s="483">
        <f>ROUND(R22*0.015,0)</f>
        <v>93072</v>
      </c>
      <c r="T23" s="484" t="s">
        <v>1439</v>
      </c>
      <c r="U23" s="483">
        <f>ROUND(U22*0.015,0)</f>
        <v>0</v>
      </c>
      <c r="W23" s="484" t="s">
        <v>1439</v>
      </c>
      <c r="X23" s="340">
        <f>L23+O23+R23+U23</f>
        <v>113205</v>
      </c>
    </row>
    <row r="24" spans="1:25" ht="26.4" x14ac:dyDescent="0.3">
      <c r="F24" s="152"/>
      <c r="G24" s="152"/>
      <c r="H24" s="340"/>
      <c r="I24" s="340"/>
      <c r="K24" s="152"/>
      <c r="L24" s="340"/>
      <c r="N24" s="152" t="s">
        <v>1440</v>
      </c>
      <c r="O24" s="182">
        <f>O22+O23</f>
        <v>1362302.3659999999</v>
      </c>
      <c r="P24" s="614">
        <f>O24/$H$22</f>
        <v>5.325960898792112E-2</v>
      </c>
      <c r="Q24" s="152" t="s">
        <v>1440</v>
      </c>
      <c r="R24" s="182">
        <f>R22+R23</f>
        <v>6297874</v>
      </c>
      <c r="S24" s="782">
        <f>R24/$H$22</f>
        <v>0.24621722391928574</v>
      </c>
      <c r="T24" s="152" t="s">
        <v>1440</v>
      </c>
      <c r="U24" s="182">
        <f>U22+U23</f>
        <v>0</v>
      </c>
      <c r="V24" s="782">
        <f>U24/$H$22</f>
        <v>0</v>
      </c>
      <c r="W24" s="152" t="s">
        <v>1440</v>
      </c>
      <c r="X24" s="182">
        <f>X22+X23</f>
        <v>23462660.366</v>
      </c>
      <c r="Y24" s="614">
        <f>X24/H22</f>
        <v>0.91727956149608147</v>
      </c>
    </row>
    <row r="25" spans="1:25" x14ac:dyDescent="0.3">
      <c r="F25" s="154" t="s">
        <v>66</v>
      </c>
      <c r="G25" s="154"/>
      <c r="H25" s="181">
        <f>+H22*19%</f>
        <v>4859920.1995400004</v>
      </c>
      <c r="I25" s="181">
        <f>+I22*19%</f>
        <v>5107776.30724</v>
      </c>
      <c r="K25" s="154" t="s">
        <v>66</v>
      </c>
      <c r="L25" s="181">
        <f>+L22*19%</f>
        <v>3002471.96</v>
      </c>
      <c r="N25" s="154" t="s">
        <v>66</v>
      </c>
      <c r="O25" s="182">
        <f>ROUND(O24*0.19,0)</f>
        <v>258837</v>
      </c>
      <c r="Q25" s="485" t="s">
        <v>66</v>
      </c>
      <c r="R25" s="483">
        <f>ROUND(R24*0.19,0)</f>
        <v>1196596</v>
      </c>
      <c r="T25" s="485" t="s">
        <v>66</v>
      </c>
      <c r="U25" s="483">
        <f>ROUND(U24*0.19,0)</f>
        <v>0</v>
      </c>
      <c r="W25" s="154" t="s">
        <v>66</v>
      </c>
      <c r="X25" s="182">
        <f>ROUND(X24*0.19,0)</f>
        <v>4457905</v>
      </c>
    </row>
    <row r="26" spans="1:25" x14ac:dyDescent="0.3">
      <c r="F26" s="155" t="s">
        <v>69</v>
      </c>
      <c r="G26" s="155"/>
      <c r="H26" s="181">
        <f>+H22+H25</f>
        <v>30438447.565540001</v>
      </c>
      <c r="I26" s="181">
        <f>+I22+I25</f>
        <v>31990809.503239997</v>
      </c>
      <c r="K26" s="155" t="s">
        <v>69</v>
      </c>
      <c r="L26" s="181">
        <f>+L22+L25</f>
        <v>18804955.960000001</v>
      </c>
      <c r="N26" s="155" t="s">
        <v>69</v>
      </c>
      <c r="O26" s="181">
        <f>O24+O25</f>
        <v>1621139.3659999999</v>
      </c>
      <c r="Q26" s="545" t="s">
        <v>69</v>
      </c>
      <c r="R26" s="481">
        <f>R24+R25</f>
        <v>7494470</v>
      </c>
      <c r="T26" s="545" t="s">
        <v>69</v>
      </c>
      <c r="U26" s="481">
        <f>U24+U25</f>
        <v>0</v>
      </c>
      <c r="W26" s="155" t="s">
        <v>69</v>
      </c>
      <c r="X26" s="181">
        <f>X24+X25</f>
        <v>27920565.366</v>
      </c>
    </row>
    <row r="29" spans="1:25" x14ac:dyDescent="0.3">
      <c r="A29" s="183" t="s">
        <v>67</v>
      </c>
      <c r="B29" s="184"/>
      <c r="C29" s="184"/>
      <c r="D29" s="185" t="s">
        <v>68</v>
      </c>
      <c r="K29" s="186" t="s">
        <v>70</v>
      </c>
      <c r="L29" s="187" t="s">
        <v>71</v>
      </c>
      <c r="M29" s="186" t="s">
        <v>58</v>
      </c>
      <c r="N29" s="186" t="s">
        <v>70</v>
      </c>
      <c r="O29" s="187" t="s">
        <v>71</v>
      </c>
      <c r="P29" s="186" t="s">
        <v>58</v>
      </c>
      <c r="Q29" s="186" t="s">
        <v>70</v>
      </c>
      <c r="R29" s="187" t="s">
        <v>71</v>
      </c>
      <c r="S29" s="186" t="s">
        <v>58</v>
      </c>
      <c r="T29" s="186" t="s">
        <v>70</v>
      </c>
      <c r="U29" s="187" t="s">
        <v>71</v>
      </c>
      <c r="V29" s="186" t="s">
        <v>58</v>
      </c>
      <c r="W29" s="302"/>
      <c r="X29" s="302"/>
      <c r="Y29" s="302"/>
    </row>
    <row r="30" spans="1:25" x14ac:dyDescent="0.3">
      <c r="A30" s="183"/>
      <c r="B30" s="184"/>
      <c r="C30" s="184"/>
      <c r="D30" s="185"/>
      <c r="K30" s="69" t="s">
        <v>72</v>
      </c>
      <c r="L30" s="70">
        <f>L22</f>
        <v>15802484</v>
      </c>
      <c r="M30" s="71">
        <f>M22</f>
        <v>0.61780272858887464</v>
      </c>
      <c r="N30" s="69" t="s">
        <v>72</v>
      </c>
      <c r="O30" s="70">
        <f>$L$22</f>
        <v>15802484</v>
      </c>
      <c r="P30" s="360">
        <f>M22</f>
        <v>0.61780272858887464</v>
      </c>
      <c r="Q30" s="69" t="s">
        <v>72</v>
      </c>
      <c r="R30" s="70">
        <f>$L$22</f>
        <v>15802484</v>
      </c>
      <c r="S30" s="360">
        <f>M22</f>
        <v>0.61780272858887464</v>
      </c>
      <c r="T30" s="69" t="s">
        <v>72</v>
      </c>
      <c r="U30" s="70">
        <f>$L$22</f>
        <v>15802484</v>
      </c>
      <c r="V30" s="360">
        <f>M22</f>
        <v>0.61780272858887464</v>
      </c>
      <c r="W30" s="302"/>
      <c r="X30" s="302"/>
      <c r="Y30" s="302"/>
    </row>
    <row r="31" spans="1:25" x14ac:dyDescent="0.3">
      <c r="A31" s="183"/>
      <c r="B31" s="184"/>
      <c r="C31" s="184"/>
      <c r="D31" s="185"/>
      <c r="K31" s="69"/>
      <c r="L31" s="70"/>
      <c r="M31" s="71"/>
      <c r="N31" s="69" t="s">
        <v>73</v>
      </c>
      <c r="O31" s="70">
        <f>$O$24</f>
        <v>1362302.3659999999</v>
      </c>
      <c r="P31" s="360">
        <f>$P$24</f>
        <v>5.325960898792112E-2</v>
      </c>
      <c r="Q31" s="69" t="s">
        <v>73</v>
      </c>
      <c r="R31" s="70">
        <f>$O$24</f>
        <v>1362302.3659999999</v>
      </c>
      <c r="S31" s="360">
        <f>$P$24</f>
        <v>5.325960898792112E-2</v>
      </c>
      <c r="T31" s="69" t="s">
        <v>73</v>
      </c>
      <c r="U31" s="70">
        <f>$O$24</f>
        <v>1362302.3659999999</v>
      </c>
      <c r="V31" s="360">
        <f>$P$24</f>
        <v>5.325960898792112E-2</v>
      </c>
      <c r="W31" s="302"/>
      <c r="X31" s="302"/>
      <c r="Y31" s="302"/>
    </row>
    <row r="32" spans="1:25" s="852" customFormat="1" x14ac:dyDescent="0.3">
      <c r="A32" s="183"/>
      <c r="B32" s="184"/>
      <c r="C32" s="184"/>
      <c r="D32" s="185"/>
      <c r="K32" s="69"/>
      <c r="L32" s="70"/>
      <c r="M32" s="71"/>
      <c r="N32" s="69"/>
      <c r="O32" s="70"/>
      <c r="P32" s="360"/>
      <c r="Q32" s="69" t="s">
        <v>74</v>
      </c>
      <c r="R32" s="70">
        <f>+R24</f>
        <v>6297874</v>
      </c>
      <c r="S32" s="360">
        <f>+S24</f>
        <v>0.24621722391928574</v>
      </c>
      <c r="T32" s="69" t="s">
        <v>74</v>
      </c>
      <c r="U32" s="70">
        <f>+R24</f>
        <v>6297874</v>
      </c>
      <c r="V32" s="360">
        <f>+S24</f>
        <v>0.24621722391928574</v>
      </c>
      <c r="W32" s="849"/>
      <c r="X32" s="849"/>
      <c r="Y32" s="849"/>
    </row>
    <row r="33" spans="1:25" x14ac:dyDescent="0.3">
      <c r="A33" s="183"/>
      <c r="B33" s="184"/>
      <c r="C33" s="184"/>
      <c r="D33" s="185"/>
      <c r="K33" s="72" t="s">
        <v>1</v>
      </c>
      <c r="L33" s="105">
        <f>SUM(L30:L30)</f>
        <v>15802484</v>
      </c>
      <c r="M33" s="73">
        <f>SUM(M30:M30)</f>
        <v>0.61780272858887464</v>
      </c>
      <c r="N33" s="72" t="s">
        <v>1</v>
      </c>
      <c r="O33" s="105">
        <f>SUM(O30:O31)</f>
        <v>17164786.366</v>
      </c>
      <c r="P33" s="361">
        <f>SUM(P30:P31)</f>
        <v>0.67106233757679579</v>
      </c>
      <c r="Q33" s="72" t="s">
        <v>1</v>
      </c>
      <c r="R33" s="105">
        <f>SUM(R30:R32)</f>
        <v>23462660.366</v>
      </c>
      <c r="S33" s="361">
        <f>SUM(S30:S32)</f>
        <v>0.91727956149608159</v>
      </c>
      <c r="T33" s="69" t="s">
        <v>155</v>
      </c>
      <c r="U33" s="70">
        <f>$U$24</f>
        <v>0</v>
      </c>
      <c r="V33" s="360">
        <f>$V$24</f>
        <v>0</v>
      </c>
      <c r="W33" s="302"/>
      <c r="X33" s="302"/>
      <c r="Y33" s="302"/>
    </row>
    <row r="34" spans="1:25" x14ac:dyDescent="0.3">
      <c r="A34" s="183"/>
      <c r="B34" s="184"/>
      <c r="C34" s="184"/>
      <c r="D34" s="185"/>
      <c r="K34" s="72" t="s">
        <v>9</v>
      </c>
      <c r="L34" s="1285"/>
      <c r="M34" s="1286"/>
      <c r="N34" s="72" t="s">
        <v>9</v>
      </c>
      <c r="O34" s="1285"/>
      <c r="P34" s="1286"/>
      <c r="Q34" s="72" t="s">
        <v>9</v>
      </c>
      <c r="R34" s="1285"/>
      <c r="S34" s="1286"/>
      <c r="T34" s="72" t="s">
        <v>1</v>
      </c>
      <c r="U34" s="105">
        <f>SUM(U30:U33)</f>
        <v>23462660.366</v>
      </c>
      <c r="V34" s="361">
        <f>SUM(V30:V33)</f>
        <v>0.91727956149608159</v>
      </c>
      <c r="W34" s="302"/>
      <c r="X34" s="302"/>
      <c r="Y34" s="302"/>
    </row>
    <row r="35" spans="1:25" x14ac:dyDescent="0.3">
      <c r="A35" s="183"/>
      <c r="B35" s="184"/>
      <c r="C35" s="184"/>
      <c r="D35" s="185"/>
      <c r="K35" s="156" t="s">
        <v>78</v>
      </c>
      <c r="L35" s="1285" t="s">
        <v>1159</v>
      </c>
      <c r="M35" s="1286"/>
      <c r="N35" s="156" t="s">
        <v>78</v>
      </c>
      <c r="O35" s="1285" t="s">
        <v>1997</v>
      </c>
      <c r="P35" s="1286"/>
      <c r="Q35" s="156" t="s">
        <v>78</v>
      </c>
      <c r="R35" s="1285" t="s">
        <v>1997</v>
      </c>
      <c r="S35" s="1286"/>
      <c r="T35" s="72" t="s">
        <v>9</v>
      </c>
      <c r="U35" s="1285"/>
      <c r="V35" s="1286"/>
      <c r="W35" s="302"/>
      <c r="X35" s="302"/>
      <c r="Y35" s="302"/>
    </row>
    <row r="36" spans="1:25" x14ac:dyDescent="0.3">
      <c r="A36" s="183"/>
      <c r="B36" s="184"/>
      <c r="C36" s="184"/>
      <c r="D36" s="185"/>
      <c r="K36" s="157" t="s">
        <v>8</v>
      </c>
      <c r="L36" s="1287" t="s">
        <v>1160</v>
      </c>
      <c r="M36" s="1288"/>
      <c r="N36" s="157" t="s">
        <v>8</v>
      </c>
      <c r="O36" s="1285" t="s">
        <v>1998</v>
      </c>
      <c r="P36" s="1286"/>
      <c r="Q36" s="157" t="s">
        <v>8</v>
      </c>
      <c r="R36" s="1285" t="s">
        <v>1998</v>
      </c>
      <c r="S36" s="1286"/>
      <c r="T36" s="156" t="s">
        <v>78</v>
      </c>
      <c r="U36" s="1285" t="s">
        <v>1997</v>
      </c>
      <c r="V36" s="1286"/>
      <c r="W36" s="302"/>
      <c r="X36" s="302"/>
      <c r="Y36" s="302"/>
    </row>
    <row r="37" spans="1:25" x14ac:dyDescent="0.3">
      <c r="A37" s="183"/>
      <c r="B37" s="184"/>
      <c r="C37" s="184"/>
      <c r="D37" s="185" t="s">
        <v>75</v>
      </c>
      <c r="T37" s="157" t="s">
        <v>8</v>
      </c>
      <c r="U37" s="1285" t="s">
        <v>1998</v>
      </c>
      <c r="V37" s="1286"/>
    </row>
    <row r="38" spans="1:25" x14ac:dyDescent="0.3">
      <c r="A38" s="183" t="s">
        <v>76</v>
      </c>
      <c r="B38" s="180"/>
      <c r="C38" s="180"/>
      <c r="D38" s="185" t="s">
        <v>77</v>
      </c>
    </row>
    <row r="39" spans="1:25" x14ac:dyDescent="0.3">
      <c r="A39" s="183" t="s">
        <v>79</v>
      </c>
      <c r="B39" s="180"/>
      <c r="C39" s="180"/>
      <c r="D39" s="185" t="s">
        <v>80</v>
      </c>
    </row>
  </sheetData>
  <sheetProtection formatCells="0" formatColumns="0" formatRows="0" insertColumns="0" insertRows="0" insertHyperlinks="0" deleteColumns="0" deleteRows="0" sort="0" autoFilter="0" pivotTables="0"/>
  <mergeCells count="36">
    <mergeCell ref="A14:A16"/>
    <mergeCell ref="B14:B16"/>
    <mergeCell ref="J14:J16"/>
    <mergeCell ref="A17:A19"/>
    <mergeCell ref="B17:B19"/>
    <mergeCell ref="J17:J19"/>
    <mergeCell ref="A6:Y6"/>
    <mergeCell ref="A7:Y7"/>
    <mergeCell ref="A8:Y8"/>
    <mergeCell ref="A9:Y9"/>
    <mergeCell ref="A10:Y10"/>
    <mergeCell ref="W1:Y1"/>
    <mergeCell ref="W2:Y2"/>
    <mergeCell ref="A3:Y3"/>
    <mergeCell ref="A4:Y4"/>
    <mergeCell ref="A5:Y5"/>
    <mergeCell ref="C1:P2"/>
    <mergeCell ref="O34:P34"/>
    <mergeCell ref="O35:P35"/>
    <mergeCell ref="O36:P36"/>
    <mergeCell ref="L34:M34"/>
    <mergeCell ref="L35:M35"/>
    <mergeCell ref="L36:M36"/>
    <mergeCell ref="W11:Y12"/>
    <mergeCell ref="B12:J12"/>
    <mergeCell ref="B11:J11"/>
    <mergeCell ref="N11:P12"/>
    <mergeCell ref="Q11:S12"/>
    <mergeCell ref="K11:M12"/>
    <mergeCell ref="T11:V12"/>
    <mergeCell ref="U35:V35"/>
    <mergeCell ref="U36:V36"/>
    <mergeCell ref="U37:V37"/>
    <mergeCell ref="R34:S34"/>
    <mergeCell ref="R35:S35"/>
    <mergeCell ref="R36:S36"/>
  </mergeCells>
  <pageMargins left="0.7" right="0.7" top="0.75" bottom="0.75" header="0.3" footer="0.3"/>
  <pageSetup scale="38" orientation="landscape" r:id="rId1"/>
  <drawing r:id="rId2"/>
  <legacyDrawingHF r:id="rId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7">
    <tabColor theme="1"/>
  </sheetPr>
  <dimension ref="A1:G49"/>
  <sheetViews>
    <sheetView topLeftCell="A13" zoomScaleNormal="100" workbookViewId="0">
      <selection activeCell="G37" sqref="G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RESUMEN!G64</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RESUMEN!B64</f>
        <v>D00235291</v>
      </c>
      <c r="C7" s="1265"/>
      <c r="D7" s="1177"/>
      <c r="E7" s="1266" t="s">
        <v>627</v>
      </c>
      <c r="F7" s="1267"/>
      <c r="G7" s="280" t="str">
        <f>RESUMEN!E64</f>
        <v>17-286</v>
      </c>
    </row>
    <row r="8" spans="1:7" x14ac:dyDescent="0.25">
      <c r="A8" s="271" t="s">
        <v>628</v>
      </c>
      <c r="B8" s="1264" t="str">
        <f>RESUMEN!C64</f>
        <v>D00235291000</v>
      </c>
      <c r="C8" s="1265"/>
      <c r="D8" s="1177"/>
      <c r="E8" s="1266" t="s">
        <v>629</v>
      </c>
      <c r="F8" s="1267"/>
      <c r="G8" s="280" t="str">
        <f>RESUMEN!U64</f>
        <v>Acta N° 5: Marzo</v>
      </c>
    </row>
    <row r="9" spans="1:7" x14ac:dyDescent="0.25">
      <c r="A9" s="271" t="s">
        <v>630</v>
      </c>
      <c r="B9" s="1283" t="s">
        <v>631</v>
      </c>
      <c r="C9" s="1265"/>
      <c r="D9" s="1177"/>
      <c r="E9" s="1266" t="s">
        <v>632</v>
      </c>
      <c r="F9" s="1267"/>
      <c r="G9" s="1178">
        <f>RESUMEN!H64</f>
        <v>25350374</v>
      </c>
    </row>
    <row r="10" spans="1:7" x14ac:dyDescent="0.25">
      <c r="A10" s="271" t="s">
        <v>633</v>
      </c>
      <c r="B10" s="1283" t="str">
        <f>RESUMEN!D64</f>
        <v>VIANI</v>
      </c>
      <c r="C10" s="1265"/>
      <c r="D10" s="1177"/>
      <c r="E10" s="1266" t="s">
        <v>634</v>
      </c>
      <c r="F10" s="1267"/>
      <c r="G10" s="1178">
        <f>RESUMEN!R64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",RESUMEN!G64)</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RESUMEN!N64</f>
        <v>0</v>
      </c>
      <c r="F19" s="1248"/>
      <c r="G19" s="1177"/>
    </row>
    <row r="20" spans="1:7" ht="27" customHeight="1" x14ac:dyDescent="0.25">
      <c r="A20" s="1177"/>
      <c r="B20" s="1244" t="s">
        <v>1498</v>
      </c>
      <c r="C20" s="1245"/>
      <c r="D20" s="1246"/>
      <c r="E20" s="1247">
        <f>RESUMEN!P64</f>
        <v>0</v>
      </c>
      <c r="F20" s="1248"/>
      <c r="G20" s="1177"/>
    </row>
    <row r="21" spans="1:7" ht="27" customHeight="1" x14ac:dyDescent="0.25">
      <c r="A21" s="1177"/>
      <c r="B21" s="1244" t="s">
        <v>1499</v>
      </c>
      <c r="C21" s="1245"/>
      <c r="D21" s="1246"/>
      <c r="E21" s="1247">
        <f>RESUMEN!Q64</f>
        <v>0</v>
      </c>
      <c r="F21" s="1248"/>
      <c r="G21" s="1177"/>
    </row>
    <row r="22" spans="1:7" x14ac:dyDescent="0.25">
      <c r="A22" s="1177"/>
      <c r="B22" s="1254" t="s">
        <v>64</v>
      </c>
      <c r="C22" s="1254"/>
      <c r="D22" s="1254"/>
      <c r="E22" s="1255">
        <f>RESUMEN!R64</f>
        <v>0</v>
      </c>
      <c r="F22" s="1255"/>
      <c r="G22" s="1177"/>
    </row>
    <row r="23" spans="1:7" x14ac:dyDescent="0.25">
      <c r="A23" s="1177"/>
      <c r="B23" s="1256" t="s">
        <v>66</v>
      </c>
      <c r="C23" s="1256"/>
      <c r="D23" s="1256"/>
      <c r="E23" s="1257">
        <f>RESUMEN!S64</f>
        <v>0</v>
      </c>
      <c r="F23" s="1257"/>
      <c r="G23" s="1177"/>
    </row>
    <row r="24" spans="1:7" x14ac:dyDescent="0.25">
      <c r="A24" s="1177"/>
      <c r="B24" s="1258" t="s">
        <v>1</v>
      </c>
      <c r="C24" s="1258"/>
      <c r="D24" s="1258"/>
      <c r="E24" s="1259">
        <f>RESUMEN!T64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+'OT17-286 VIANÍ ENTRADA SALID'!W30</f>
        <v>ACTA 1</v>
      </c>
      <c r="C28" s="1253">
        <f>+'OT17-286 VIANÍ ENTRADA SALID'!X30</f>
        <v>9828563.3690000009</v>
      </c>
      <c r="D28" s="1253"/>
      <c r="E28" s="267">
        <f>+'OT17-286 VIANÍ ENTRADA SALID'!Y30</f>
        <v>0.38425055627184074</v>
      </c>
      <c r="F28" s="1177"/>
      <c r="G28" s="1177"/>
    </row>
    <row r="29" spans="1:7" x14ac:dyDescent="0.25">
      <c r="A29" s="1177"/>
      <c r="B29" s="280" t="str">
        <f>+'OT17-286 VIANÍ ENTRADA SALID'!W31</f>
        <v>ACTA 2</v>
      </c>
      <c r="C29" s="1253">
        <f>+'OT17-286 VIANÍ ENTRADA SALID'!X31</f>
        <v>2835317</v>
      </c>
      <c r="D29" s="1253"/>
      <c r="E29" s="267">
        <f>+'OT17-286 VIANÍ ENTRADA SALID'!Y31</f>
        <v>0.11084754643728303</v>
      </c>
      <c r="F29" s="1177"/>
      <c r="G29" s="1177"/>
    </row>
    <row r="30" spans="1:7" x14ac:dyDescent="0.25">
      <c r="A30" s="1177"/>
      <c r="B30" s="280" t="str">
        <f>+'OT17-286 VIANÍ ENTRADA SALID'!W32</f>
        <v>ACTA 3</v>
      </c>
      <c r="C30" s="1253">
        <f>+'OT17-286 VIANÍ ENTRADA SALID'!X32</f>
        <v>8870705</v>
      </c>
      <c r="D30" s="1253"/>
      <c r="E30" s="267">
        <f>+'OT17-286 VIANÍ ENTRADA SALID'!Y32</f>
        <v>0.34680280350272608</v>
      </c>
      <c r="F30" s="1177"/>
      <c r="G30" s="1177"/>
    </row>
    <row r="31" spans="1:7" x14ac:dyDescent="0.25">
      <c r="A31" s="1177"/>
      <c r="B31" s="280" t="str">
        <f>+'OT17-286 VIANÍ ENTRADA SALID'!W33</f>
        <v>ACTA 4</v>
      </c>
      <c r="C31" s="1253">
        <f>+'OT17-286 VIANÍ ENTRADA SALID'!X33</f>
        <v>3148936</v>
      </c>
      <c r="D31" s="1253"/>
      <c r="E31" s="267">
        <f>+'OT17-286 VIANÍ ENTRADA SALID'!Y33</f>
        <v>0.12310857286435072</v>
      </c>
      <c r="F31" s="1177"/>
      <c r="G31" s="1177"/>
    </row>
    <row r="32" spans="1:7" x14ac:dyDescent="0.25">
      <c r="A32" s="1177"/>
      <c r="B32" s="280" t="str">
        <f>+'OT17-286 VIANÍ ENTRADA SALID'!W34</f>
        <v>ACTA 5</v>
      </c>
      <c r="C32" s="1253">
        <f>+'OT17-286 VIANÍ ENTRADA SALID'!X34</f>
        <v>0</v>
      </c>
      <c r="D32" s="1253"/>
      <c r="E32" s="267">
        <f>+'OT17-286 VIANÍ ENTRADA SALID'!Y34</f>
        <v>0</v>
      </c>
      <c r="F32" s="1177"/>
      <c r="G32" s="1177"/>
    </row>
    <row r="33" spans="1:7" x14ac:dyDescent="0.25">
      <c r="A33" s="1177"/>
      <c r="B33" s="280"/>
      <c r="C33" s="1253"/>
      <c r="D33" s="1253"/>
      <c r="E33" s="267"/>
      <c r="F33" s="1177"/>
      <c r="G33" s="1177"/>
    </row>
    <row r="34" spans="1:7" x14ac:dyDescent="0.25">
      <c r="A34" s="1177"/>
      <c r="B34" s="263" t="s">
        <v>1</v>
      </c>
      <c r="C34" s="1251">
        <f>SUM(C28:D33)</f>
        <v>24683521.369000003</v>
      </c>
      <c r="D34" s="1251"/>
      <c r="E34" s="264">
        <f>SUM(E28:E33)</f>
        <v>0.9650094790762006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RESUMEN!V64</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3">
    <tabColor rgb="FF72104A"/>
  </sheetPr>
  <dimension ref="A1:AB39"/>
  <sheetViews>
    <sheetView topLeftCell="D1" zoomScale="70" zoomScaleNormal="70" workbookViewId="0">
      <selection activeCell="F17" sqref="F17"/>
    </sheetView>
  </sheetViews>
  <sheetFormatPr baseColWidth="10" defaultColWidth="9.109375" defaultRowHeight="14.4" x14ac:dyDescent="0.3"/>
  <cols>
    <col min="1" max="1" width="13.6640625" style="189" customWidth="1"/>
    <col min="2" max="2" width="20.109375" style="189" customWidth="1"/>
    <col min="3" max="3" width="24.88671875" style="189" customWidth="1"/>
    <col min="4" max="4" width="24.44140625" style="189" customWidth="1"/>
    <col min="5" max="5" width="18.44140625" style="189" customWidth="1"/>
    <col min="6" max="6" width="17.88671875" style="189" bestFit="1" customWidth="1"/>
    <col min="7" max="7" width="17.88671875" style="852" customWidth="1"/>
    <col min="8" max="8" width="18" style="189" bestFit="1" customWidth="1"/>
    <col min="9" max="9" width="18" style="852" customWidth="1"/>
    <col min="10" max="10" width="37.5546875" style="189" customWidth="1"/>
    <col min="11" max="11" width="17.88671875" style="189" hidden="1" customWidth="1"/>
    <col min="12" max="12" width="18" style="189" hidden="1" customWidth="1"/>
    <col min="13" max="13" width="9.109375" style="189" hidden="1" customWidth="1"/>
    <col min="14" max="14" width="17.88671875" style="189" hidden="1" customWidth="1"/>
    <col min="15" max="15" width="18" style="189" hidden="1" customWidth="1"/>
    <col min="16" max="16" width="9.109375" style="189" hidden="1" customWidth="1"/>
    <col min="17" max="17" width="17.88671875" style="738" hidden="1" customWidth="1"/>
    <col min="18" max="18" width="18" style="738" hidden="1" customWidth="1"/>
    <col min="19" max="19" width="0" style="738" hidden="1" customWidth="1"/>
    <col min="20" max="20" width="17.88671875" style="852" bestFit="1" customWidth="1"/>
    <col min="21" max="21" width="18" style="852" customWidth="1"/>
    <col min="22" max="22" width="9.109375" style="852"/>
    <col min="23" max="23" width="15.77734375" style="1055" customWidth="1"/>
    <col min="24" max="24" width="14" style="1055" customWidth="1"/>
    <col min="25" max="25" width="13.6640625" style="1055" customWidth="1"/>
    <col min="26" max="27" width="17.88671875" style="189" bestFit="1" customWidth="1"/>
    <col min="28" max="16384" width="9.109375" style="189"/>
  </cols>
  <sheetData>
    <row r="1" spans="1:28" s="302" customFormat="1" ht="15" thickBot="1" x14ac:dyDescent="0.35">
      <c r="A1" s="169"/>
      <c r="B1" s="188"/>
      <c r="C1" s="1307" t="s">
        <v>40</v>
      </c>
      <c r="D1" s="1308"/>
      <c r="E1" s="1308"/>
      <c r="F1" s="1308"/>
      <c r="G1" s="1308"/>
      <c r="H1" s="1308"/>
      <c r="I1" s="1308"/>
      <c r="J1" s="1308"/>
      <c r="K1" s="1308"/>
      <c r="L1" s="1308"/>
      <c r="M1" s="1308"/>
      <c r="N1" s="1308"/>
      <c r="O1" s="1308"/>
      <c r="P1" s="1309"/>
      <c r="Q1" s="733"/>
      <c r="R1" s="733"/>
      <c r="S1" s="733"/>
      <c r="T1" s="846"/>
      <c r="U1" s="846"/>
      <c r="V1" s="846"/>
      <c r="W1" s="1052"/>
      <c r="X1" s="1052"/>
      <c r="Y1" s="1052"/>
      <c r="Z1" s="1328" t="s">
        <v>1117</v>
      </c>
      <c r="AA1" s="1303"/>
      <c r="AB1" s="1304"/>
    </row>
    <row r="2" spans="1:28" s="302" customFormat="1" ht="13.5" customHeight="1" thickBot="1" x14ac:dyDescent="0.35">
      <c r="A2" s="170"/>
      <c r="B2" s="190"/>
      <c r="C2" s="1310"/>
      <c r="D2" s="1311"/>
      <c r="E2" s="1311"/>
      <c r="F2" s="1311"/>
      <c r="G2" s="1311"/>
      <c r="H2" s="1311"/>
      <c r="I2" s="1311"/>
      <c r="J2" s="1311"/>
      <c r="K2" s="1311"/>
      <c r="L2" s="1311"/>
      <c r="M2" s="1311"/>
      <c r="N2" s="1311"/>
      <c r="O2" s="1311"/>
      <c r="P2" s="1312"/>
      <c r="Q2" s="734"/>
      <c r="R2" s="734"/>
      <c r="S2" s="734"/>
      <c r="T2" s="847"/>
      <c r="U2" s="847"/>
      <c r="V2" s="847"/>
      <c r="W2" s="1053"/>
      <c r="X2" s="1053"/>
      <c r="Y2" s="1053"/>
      <c r="Z2" s="1329" t="s">
        <v>41</v>
      </c>
      <c r="AA2" s="1305"/>
      <c r="AB2" s="1306"/>
    </row>
    <row r="3" spans="1:28"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s="302" customFormat="1"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s="302" customFormat="1" ht="13.5" customHeight="1" x14ac:dyDescent="0.3">
      <c r="A10" s="1292" t="s">
        <v>1163</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s="302" customFormat="1" ht="23.25" customHeight="1" x14ac:dyDescent="0.3">
      <c r="A11" s="387"/>
      <c r="B11" s="1301"/>
      <c r="C11" s="1313"/>
      <c r="D11" s="1313"/>
      <c r="E11" s="1313"/>
      <c r="F11" s="1313"/>
      <c r="G11" s="1313"/>
      <c r="H11" s="1313"/>
      <c r="I11" s="1313"/>
      <c r="J11" s="1313"/>
      <c r="K11" s="1293" t="s">
        <v>1712</v>
      </c>
      <c r="L11" s="1294"/>
      <c r="M11" s="1295"/>
      <c r="N11" s="1470" t="s">
        <v>1430</v>
      </c>
      <c r="O11" s="1471"/>
      <c r="P11" s="1472"/>
      <c r="Q11" s="1470" t="s">
        <v>1978</v>
      </c>
      <c r="R11" s="1471"/>
      <c r="S11" s="1472"/>
      <c r="T11" s="1470" t="s">
        <v>2160</v>
      </c>
      <c r="U11" s="1471"/>
      <c r="V11" s="1472"/>
      <c r="W11" s="1470" t="s">
        <v>2328</v>
      </c>
      <c r="X11" s="1471"/>
      <c r="Y11" s="1472"/>
      <c r="Z11" s="1299" t="s">
        <v>49</v>
      </c>
      <c r="AA11" s="1299"/>
      <c r="AB11" s="1299"/>
    </row>
    <row r="12" spans="1:28" s="302" customFormat="1" ht="13.5" customHeight="1" x14ac:dyDescent="0.3">
      <c r="A12" s="171"/>
      <c r="B12" s="1301"/>
      <c r="C12" s="1302"/>
      <c r="D12" s="1302"/>
      <c r="E12" s="1302"/>
      <c r="F12" s="1302"/>
      <c r="G12" s="1302"/>
      <c r="H12" s="1302"/>
      <c r="I12" s="1302"/>
      <c r="J12" s="1302"/>
      <c r="K12" s="1325"/>
      <c r="L12" s="1326"/>
      <c r="M12" s="1327"/>
      <c r="N12" s="1473"/>
      <c r="O12" s="1474"/>
      <c r="P12" s="1475"/>
      <c r="Q12" s="1473"/>
      <c r="R12" s="1474"/>
      <c r="S12" s="1475"/>
      <c r="T12" s="1473"/>
      <c r="U12" s="1474"/>
      <c r="V12" s="1475"/>
      <c r="W12" s="1473"/>
      <c r="X12" s="1474"/>
      <c r="Y12" s="1475"/>
      <c r="Z12" s="1300"/>
      <c r="AA12" s="1300"/>
      <c r="AB12" s="1300"/>
    </row>
    <row r="13" spans="1:28"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28" t="s">
        <v>54</v>
      </c>
      <c r="X13" s="28" t="s">
        <v>56</v>
      </c>
      <c r="Y13" s="28" t="s">
        <v>58</v>
      </c>
      <c r="Z13" s="174" t="s">
        <v>54</v>
      </c>
      <c r="AA13" s="172" t="s">
        <v>56</v>
      </c>
      <c r="AB13" s="28" t="s">
        <v>58</v>
      </c>
    </row>
    <row r="14" spans="1:28" ht="30" customHeight="1" x14ac:dyDescent="0.3">
      <c r="A14" s="1315" t="s">
        <v>1142</v>
      </c>
      <c r="B14" s="1314" t="s">
        <v>320</v>
      </c>
      <c r="C14" s="388" t="s">
        <v>59</v>
      </c>
      <c r="D14" s="388" t="s">
        <v>321</v>
      </c>
      <c r="E14" s="191">
        <v>1</v>
      </c>
      <c r="F14" s="192">
        <v>6024196</v>
      </c>
      <c r="G14" s="32">
        <f>+ROUND(F14*1.051,0)</f>
        <v>6331430</v>
      </c>
      <c r="H14" s="192">
        <f>ROUND((E14*F14),0)</f>
        <v>6024196</v>
      </c>
      <c r="I14" s="32">
        <f>+ROUND(G14*E14,0)</f>
        <v>6331430</v>
      </c>
      <c r="J14" s="1314" t="s">
        <v>1143</v>
      </c>
      <c r="K14" s="433">
        <v>0.3</v>
      </c>
      <c r="L14" s="429">
        <f>ROUND(K14*$F$14,0)</f>
        <v>1807259</v>
      </c>
      <c r="M14" s="430">
        <f>L14/$H$14</f>
        <v>0.30000003319945101</v>
      </c>
      <c r="N14" s="432">
        <v>0</v>
      </c>
      <c r="O14" s="425">
        <f>ROUND(N14*$F$14,0)</f>
        <v>0</v>
      </c>
      <c r="P14" s="426">
        <f>O14/$H$14</f>
        <v>0</v>
      </c>
      <c r="Q14" s="433">
        <v>0.35</v>
      </c>
      <c r="R14" s="429">
        <f>ROUND(Q14*$F$14,0)</f>
        <v>2108469</v>
      </c>
      <c r="S14" s="430">
        <f>R14/$H$14</f>
        <v>0.35000006639890202</v>
      </c>
      <c r="T14" s="433">
        <f>0.7*35%</f>
        <v>0.24499999999999997</v>
      </c>
      <c r="U14" s="429">
        <f>ROUND(T14*G14,0)</f>
        <v>1551200</v>
      </c>
      <c r="V14" s="430">
        <f>U14/H14</f>
        <v>0.25749494206363804</v>
      </c>
      <c r="W14" s="432">
        <v>0</v>
      </c>
      <c r="X14" s="425">
        <f>ROUND(W14*G14,0)</f>
        <v>0</v>
      </c>
      <c r="Y14" s="426">
        <f>X14/I14</f>
        <v>0</v>
      </c>
      <c r="Z14" s="149">
        <f>K14+N14+Q14+T14+W14</f>
        <v>0.89499999999999991</v>
      </c>
      <c r="AA14" s="175">
        <f>L14+O14+R14+U14+X14</f>
        <v>5466928</v>
      </c>
      <c r="AB14" s="176">
        <f t="shared" ref="AB14" si="0">AA14/H14</f>
        <v>0.90749504166199113</v>
      </c>
    </row>
    <row r="15" spans="1:28" ht="30" customHeight="1" x14ac:dyDescent="0.3">
      <c r="A15" s="1314"/>
      <c r="B15" s="1314"/>
      <c r="C15" s="388" t="s">
        <v>61</v>
      </c>
      <c r="D15" s="388" t="s">
        <v>322</v>
      </c>
      <c r="E15" s="191">
        <v>1</v>
      </c>
      <c r="F15" s="192">
        <v>6650991</v>
      </c>
      <c r="G15" s="32">
        <f>+ROUND(F15*1.051,0)</f>
        <v>6990192</v>
      </c>
      <c r="H15" s="192">
        <f>ROUND((E15*F15),0)</f>
        <v>6650991</v>
      </c>
      <c r="I15" s="32">
        <f>+ROUND(G15*E15,0)</f>
        <v>6990192</v>
      </c>
      <c r="J15" s="1314"/>
      <c r="K15" s="433">
        <v>0.3</v>
      </c>
      <c r="L15" s="429">
        <f>ROUND(K15*$F$15,0)</f>
        <v>1995297</v>
      </c>
      <c r="M15" s="430">
        <f>L15/$H$15</f>
        <v>0.29999995489393988</v>
      </c>
      <c r="N15" s="433">
        <f>0.7*60%</f>
        <v>0.42</v>
      </c>
      <c r="O15" s="429">
        <f>ROUND(N15*$F$15,0)</f>
        <v>2793416</v>
      </c>
      <c r="P15" s="430">
        <f>O15/$H$15</f>
        <v>0.41999996692222258</v>
      </c>
      <c r="Q15" s="433">
        <f>0.7*40%</f>
        <v>0.27999999999999997</v>
      </c>
      <c r="R15" s="429">
        <f>ROUND(Q15*$F$15,0)</f>
        <v>1862277</v>
      </c>
      <c r="S15" s="430">
        <f>R15/$H$15</f>
        <v>0.27999992783030381</v>
      </c>
      <c r="T15" s="432">
        <f>+E15-K15-N15-Q15</f>
        <v>0</v>
      </c>
      <c r="U15" s="425">
        <f>ROUND(T15*G15,0)</f>
        <v>0</v>
      </c>
      <c r="V15" s="426">
        <f>U15/H15</f>
        <v>0</v>
      </c>
      <c r="W15" s="432">
        <v>0</v>
      </c>
      <c r="X15" s="425">
        <f>ROUND(W15*G15,0)</f>
        <v>0</v>
      </c>
      <c r="Y15" s="426">
        <f t="shared" ref="Y15:Y19" si="1">X15/I15</f>
        <v>0</v>
      </c>
      <c r="Z15" s="416">
        <f t="shared" ref="Z15:Z18" si="2">K15+N15+Q15+T15+W15</f>
        <v>1</v>
      </c>
      <c r="AA15" s="175">
        <f t="shared" ref="AA15:AA19" si="3">L15+O15+R15+U15+X15</f>
        <v>6650990</v>
      </c>
      <c r="AB15" s="176">
        <f t="shared" ref="AB15" si="4">AA15/H15</f>
        <v>0.99999984964646627</v>
      </c>
    </row>
    <row r="16" spans="1:28" x14ac:dyDescent="0.3">
      <c r="A16" s="1314"/>
      <c r="B16" s="1314"/>
      <c r="C16" s="196"/>
      <c r="D16" s="196" t="s">
        <v>143</v>
      </c>
      <c r="E16" s="197"/>
      <c r="F16" s="198"/>
      <c r="G16" s="198"/>
      <c r="H16" s="199">
        <f>SUM(H14:H15)</f>
        <v>12675187</v>
      </c>
      <c r="I16" s="199">
        <f>SUM(I14:I15)</f>
        <v>13321622</v>
      </c>
      <c r="J16" s="1314"/>
      <c r="K16" s="308"/>
      <c r="L16" s="179">
        <f>SUM(L14:L15)</f>
        <v>3802556</v>
      </c>
      <c r="M16" s="308">
        <f>L16/$H$16</f>
        <v>0.29999999211057005</v>
      </c>
      <c r="N16" s="431"/>
      <c r="O16" s="179">
        <f>SUM(O14:O15)</f>
        <v>2793416</v>
      </c>
      <c r="P16" s="431">
        <f>O16/$H$16</f>
        <v>0.22038459866509266</v>
      </c>
      <c r="Q16" s="431"/>
      <c r="R16" s="179">
        <f>SUM(R14:R15)</f>
        <v>3970746</v>
      </c>
      <c r="S16" s="431">
        <f>R16/$H$16</f>
        <v>0.31326922435148297</v>
      </c>
      <c r="T16" s="431"/>
      <c r="U16" s="179">
        <f>SUM(U14:U15)</f>
        <v>1551200</v>
      </c>
      <c r="V16" s="431">
        <f>U16/$H$16</f>
        <v>0.12238083745825604</v>
      </c>
      <c r="W16" s="431"/>
      <c r="X16" s="179">
        <f>SUM(X14:X15)</f>
        <v>0</v>
      </c>
      <c r="Y16" s="1091">
        <f t="shared" si="1"/>
        <v>0</v>
      </c>
      <c r="Z16" s="1093"/>
      <c r="AA16" s="1078">
        <f t="shared" si="3"/>
        <v>12117918</v>
      </c>
      <c r="AB16" s="308">
        <f>AA16/H16</f>
        <v>0.95603465258540166</v>
      </c>
    </row>
    <row r="17" spans="1:28" ht="30" customHeight="1" x14ac:dyDescent="0.3">
      <c r="A17" s="1314" t="s">
        <v>1133</v>
      </c>
      <c r="B17" s="1314" t="s">
        <v>320</v>
      </c>
      <c r="C17" s="388" t="s">
        <v>59</v>
      </c>
      <c r="D17" s="388" t="s">
        <v>321</v>
      </c>
      <c r="E17" s="191">
        <v>1</v>
      </c>
      <c r="F17" s="192">
        <v>6024196</v>
      </c>
      <c r="G17" s="32">
        <f t="shared" ref="G17" si="5">+ROUND(F17*1.051,0)</f>
        <v>6331430</v>
      </c>
      <c r="H17" s="192">
        <f>ROUND((E17*F17),0)</f>
        <v>6024196</v>
      </c>
      <c r="I17" s="32">
        <f t="shared" ref="I17:I18" si="6">+ROUND(G17*E17,0)</f>
        <v>6331430</v>
      </c>
      <c r="J17" s="1314" t="s">
        <v>1134</v>
      </c>
      <c r="K17" s="433">
        <v>0.3</v>
      </c>
      <c r="L17" s="429">
        <f>ROUND(K17*$F$17,0)</f>
        <v>1807259</v>
      </c>
      <c r="M17" s="430">
        <f>L17/$H$17</f>
        <v>0.30000003319945101</v>
      </c>
      <c r="N17" s="432">
        <v>0</v>
      </c>
      <c r="O17" s="425">
        <f>ROUND(N17*$F$17,0)</f>
        <v>0</v>
      </c>
      <c r="P17" s="426">
        <f>O17/$H$17</f>
        <v>0</v>
      </c>
      <c r="Q17" s="433">
        <v>0.35</v>
      </c>
      <c r="R17" s="429">
        <f>ROUND(Q17*$F$14,0)</f>
        <v>2108469</v>
      </c>
      <c r="S17" s="430">
        <f>R17/$H$14</f>
        <v>0.35000006639890202</v>
      </c>
      <c r="T17" s="433">
        <f>0.7*35%</f>
        <v>0.24499999999999997</v>
      </c>
      <c r="U17" s="429">
        <f t="shared" ref="U17:U18" si="7">ROUND(T17*G17,0)</f>
        <v>1551200</v>
      </c>
      <c r="V17" s="430">
        <f>U17/H17</f>
        <v>0.25749494206363804</v>
      </c>
      <c r="W17" s="432">
        <v>0</v>
      </c>
      <c r="X17" s="425">
        <f>ROUND(W17*G17,0)</f>
        <v>0</v>
      </c>
      <c r="Y17" s="426">
        <f t="shared" si="1"/>
        <v>0</v>
      </c>
      <c r="Z17" s="416">
        <f t="shared" si="2"/>
        <v>0.89499999999999991</v>
      </c>
      <c r="AA17" s="175">
        <f t="shared" si="3"/>
        <v>5466928</v>
      </c>
      <c r="AB17" s="176">
        <f t="shared" ref="AB17:AB18" si="8">AA17/H17</f>
        <v>0.90749504166199113</v>
      </c>
    </row>
    <row r="18" spans="1:28" ht="30" customHeight="1" x14ac:dyDescent="0.3">
      <c r="A18" s="1314"/>
      <c r="B18" s="1314"/>
      <c r="C18" s="388" t="s">
        <v>61</v>
      </c>
      <c r="D18" s="388" t="s">
        <v>322</v>
      </c>
      <c r="E18" s="191">
        <v>1</v>
      </c>
      <c r="F18" s="192">
        <v>6650991</v>
      </c>
      <c r="G18" s="32">
        <f>+ROUND(F18*1.051,0)</f>
        <v>6990192</v>
      </c>
      <c r="H18" s="192">
        <f>ROUND((E18*F18),0)</f>
        <v>6650991</v>
      </c>
      <c r="I18" s="32">
        <f t="shared" si="6"/>
        <v>6990192</v>
      </c>
      <c r="J18" s="1314"/>
      <c r="K18" s="558">
        <f>1*60%</f>
        <v>0.6</v>
      </c>
      <c r="L18" s="429">
        <f>ROUND(K18*$F$18,0)</f>
        <v>3990595</v>
      </c>
      <c r="M18" s="430">
        <f>L18/$H$18</f>
        <v>0.60000006014141349</v>
      </c>
      <c r="N18" s="432">
        <v>0</v>
      </c>
      <c r="O18" s="425">
        <f>ROUND(N18*$F$18,0)</f>
        <v>0</v>
      </c>
      <c r="P18" s="426">
        <f>O18/$H$18</f>
        <v>0</v>
      </c>
      <c r="Q18" s="433">
        <v>0.4</v>
      </c>
      <c r="R18" s="429">
        <f>ROUND(Q18*$F$18,0)</f>
        <v>2660396</v>
      </c>
      <c r="S18" s="430">
        <f>R18/$H$18</f>
        <v>0.39999993985858651</v>
      </c>
      <c r="T18" s="432">
        <f t="shared" ref="T18" si="9">+E18-K18-N18-Q18</f>
        <v>0</v>
      </c>
      <c r="U18" s="425">
        <f t="shared" si="7"/>
        <v>0</v>
      </c>
      <c r="V18" s="426">
        <f>U18/H18</f>
        <v>0</v>
      </c>
      <c r="W18" s="432">
        <v>0</v>
      </c>
      <c r="X18" s="425">
        <f>ROUND(W18*G18,0)</f>
        <v>0</v>
      </c>
      <c r="Y18" s="426">
        <f t="shared" si="1"/>
        <v>0</v>
      </c>
      <c r="Z18" s="416">
        <f t="shared" si="2"/>
        <v>1</v>
      </c>
      <c r="AA18" s="175">
        <f t="shared" si="3"/>
        <v>6650991</v>
      </c>
      <c r="AB18" s="176">
        <f t="shared" si="8"/>
        <v>1</v>
      </c>
    </row>
    <row r="19" spans="1:28" x14ac:dyDescent="0.3">
      <c r="A19" s="1314"/>
      <c r="B19" s="1314"/>
      <c r="C19" s="196"/>
      <c r="D19" s="196" t="s">
        <v>143</v>
      </c>
      <c r="E19" s="198"/>
      <c r="F19" s="198"/>
      <c r="G19" s="198"/>
      <c r="H19" s="199">
        <f>SUM(H17:H18)</f>
        <v>12675187</v>
      </c>
      <c r="I19" s="199">
        <f>SUM(I17:I18)</f>
        <v>13321622</v>
      </c>
      <c r="J19" s="1314"/>
      <c r="K19" s="308"/>
      <c r="L19" s="179">
        <f>SUM(L17:L18)</f>
        <v>5797854</v>
      </c>
      <c r="M19" s="308">
        <f>L19/$H$19</f>
        <v>0.45741763020932158</v>
      </c>
      <c r="N19" s="431"/>
      <c r="O19" s="179">
        <f>SUM(O17:O18)</f>
        <v>0</v>
      </c>
      <c r="P19" s="431">
        <f>O19/$H$19</f>
        <v>0</v>
      </c>
      <c r="Q19" s="431"/>
      <c r="R19" s="179">
        <f>SUM(R17:R18)</f>
        <v>4768865</v>
      </c>
      <c r="S19" s="431">
        <f>R19/$H$19</f>
        <v>0.37623626381212366</v>
      </c>
      <c r="T19" s="431"/>
      <c r="U19" s="179">
        <f>SUM(U17:U18)</f>
        <v>1551200</v>
      </c>
      <c r="V19" s="431">
        <f>U19/$H$19</f>
        <v>0.12238083745825604</v>
      </c>
      <c r="W19" s="431"/>
      <c r="X19" s="179">
        <f>SUM(X17:X18)</f>
        <v>0</v>
      </c>
      <c r="Y19" s="1091">
        <f t="shared" si="1"/>
        <v>0</v>
      </c>
      <c r="Z19" s="1096"/>
      <c r="AA19" s="1078">
        <f t="shared" si="3"/>
        <v>12117919</v>
      </c>
      <c r="AB19" s="308">
        <f>AA19/H19</f>
        <v>0.95603473147970119</v>
      </c>
    </row>
    <row r="20" spans="1:28" x14ac:dyDescent="0.3">
      <c r="F20" s="151" t="s">
        <v>64</v>
      </c>
      <c r="G20" s="151"/>
      <c r="H20" s="181">
        <f>SUM(H5:H19)/2</f>
        <v>25350374</v>
      </c>
      <c r="I20" s="181">
        <f>SUM(I5:I19)/2</f>
        <v>26643244</v>
      </c>
      <c r="K20" s="151" t="s">
        <v>64</v>
      </c>
      <c r="L20" s="181">
        <f>SUM(L5:L19)/2</f>
        <v>9600410</v>
      </c>
      <c r="N20" s="480" t="s">
        <v>64</v>
      </c>
      <c r="O20" s="481">
        <f>SUM(O5:O19)/2</f>
        <v>2793416</v>
      </c>
      <c r="Q20" s="480" t="s">
        <v>64</v>
      </c>
      <c r="R20" s="481">
        <f>SUM(R5:R19)/2</f>
        <v>8739611</v>
      </c>
      <c r="T20" s="480" t="s">
        <v>64</v>
      </c>
      <c r="U20" s="481">
        <f>SUM(U5:U19)/2</f>
        <v>3102400</v>
      </c>
      <c r="W20" s="480" t="s">
        <v>64</v>
      </c>
      <c r="X20" s="481">
        <f>SUM(X5:X19)/2</f>
        <v>0</v>
      </c>
      <c r="Z20" s="480" t="s">
        <v>64</v>
      </c>
      <c r="AA20" s="481">
        <f>SUM(AA14:AA19)/2</f>
        <v>24235837</v>
      </c>
    </row>
    <row r="21" spans="1:28" x14ac:dyDescent="0.3">
      <c r="F21" s="153" t="s">
        <v>65</v>
      </c>
      <c r="G21" s="153"/>
      <c r="H21" s="550">
        <f>(((H16+H19)*0.3))*3%</f>
        <v>228153.36599999998</v>
      </c>
      <c r="I21" s="550">
        <f>(((I16+I19)*0.3))*3%</f>
        <v>239789.19599999997</v>
      </c>
      <c r="K21" s="153" t="s">
        <v>65</v>
      </c>
      <c r="L21" s="559">
        <f>(((L14+L15+L17)*0.03)+(H18*0.3*0.03))</f>
        <v>228153.36899999998</v>
      </c>
      <c r="N21" s="482" t="s">
        <v>65</v>
      </c>
      <c r="O21" s="481">
        <v>0</v>
      </c>
      <c r="Q21" s="482" t="s">
        <v>65</v>
      </c>
      <c r="R21" s="481">
        <v>0</v>
      </c>
      <c r="T21" s="482" t="s">
        <v>65</v>
      </c>
      <c r="U21" s="481">
        <v>0</v>
      </c>
      <c r="W21" s="482" t="s">
        <v>65</v>
      </c>
      <c r="X21" s="481">
        <v>0</v>
      </c>
      <c r="Z21" s="482" t="s">
        <v>65</v>
      </c>
      <c r="AA21" s="481">
        <f>+L21+O21+R21+U21</f>
        <v>228153.36899999998</v>
      </c>
    </row>
    <row r="22" spans="1:28" x14ac:dyDescent="0.3">
      <c r="F22" s="152" t="s">
        <v>64</v>
      </c>
      <c r="G22" s="152"/>
      <c r="H22" s="340">
        <f>SUM(H20:H21)</f>
        <v>25578527.366</v>
      </c>
      <c r="I22" s="340">
        <f>SUM(I20:I21)</f>
        <v>26883033.195999999</v>
      </c>
      <c r="K22" s="152" t="s">
        <v>64</v>
      </c>
      <c r="L22" s="340">
        <f>SUM(L20:L21)</f>
        <v>9828563.3690000009</v>
      </c>
      <c r="N22" s="484" t="s">
        <v>64</v>
      </c>
      <c r="O22" s="550">
        <f>SUM(O20:O21)</f>
        <v>2793416</v>
      </c>
      <c r="Q22" s="484" t="s">
        <v>64</v>
      </c>
      <c r="R22" s="550">
        <f>SUM(R20:R21)</f>
        <v>8739611</v>
      </c>
      <c r="T22" s="484" t="s">
        <v>64</v>
      </c>
      <c r="U22" s="550">
        <f>SUM(U20:U21)</f>
        <v>3102400</v>
      </c>
      <c r="W22" s="484" t="s">
        <v>64</v>
      </c>
      <c r="X22" s="550">
        <f>SUM(X20:X21)</f>
        <v>0</v>
      </c>
      <c r="Z22" s="484" t="s">
        <v>64</v>
      </c>
      <c r="AA22" s="550">
        <f>SUM(AA20:AA21)</f>
        <v>24463990.368999999</v>
      </c>
    </row>
    <row r="23" spans="1:28" ht="26.4" x14ac:dyDescent="0.3">
      <c r="F23" s="152"/>
      <c r="G23" s="152"/>
      <c r="H23" s="340"/>
      <c r="I23" s="340"/>
      <c r="K23" s="152"/>
      <c r="L23" s="340"/>
      <c r="N23" s="484" t="s">
        <v>1439</v>
      </c>
      <c r="O23" s="483">
        <f>ROUND(O22*0.015,0)</f>
        <v>41901</v>
      </c>
      <c r="Q23" s="484" t="s">
        <v>1439</v>
      </c>
      <c r="R23" s="483">
        <f>ROUND(R22*0.015,0)</f>
        <v>131094</v>
      </c>
      <c r="T23" s="484" t="s">
        <v>1439</v>
      </c>
      <c r="U23" s="483">
        <f>ROUND(U22*0.015,0)</f>
        <v>46536</v>
      </c>
      <c r="W23" s="484" t="s">
        <v>1439</v>
      </c>
      <c r="X23" s="483">
        <f>ROUND(X22*0.015,0)</f>
        <v>0</v>
      </c>
      <c r="Z23" s="484" t="s">
        <v>1439</v>
      </c>
      <c r="AA23" s="550">
        <f>L23+O23+R23+U23+X23</f>
        <v>219531</v>
      </c>
    </row>
    <row r="24" spans="1:28" ht="26.4" x14ac:dyDescent="0.3">
      <c r="F24" s="152"/>
      <c r="G24" s="152"/>
      <c r="H24" s="340"/>
      <c r="I24" s="340"/>
      <c r="K24" s="152"/>
      <c r="L24" s="340"/>
      <c r="M24" s="584">
        <f>L22/H22</f>
        <v>0.38425055627184074</v>
      </c>
      <c r="N24" s="152" t="s">
        <v>1440</v>
      </c>
      <c r="O24" s="182">
        <f>O22+O23</f>
        <v>2835317</v>
      </c>
      <c r="P24" s="584">
        <f>O24/$H$22</f>
        <v>0.11084754643728303</v>
      </c>
      <c r="Q24" s="152" t="s">
        <v>1440</v>
      </c>
      <c r="R24" s="182">
        <f>R22+R23</f>
        <v>8870705</v>
      </c>
      <c r="S24" s="584">
        <f>R24/$H$22</f>
        <v>0.34680280350272608</v>
      </c>
      <c r="T24" s="152" t="s">
        <v>1440</v>
      </c>
      <c r="U24" s="182">
        <f>U22+U23</f>
        <v>3148936</v>
      </c>
      <c r="V24" s="584">
        <f>U24/$H$22</f>
        <v>0.12310857286435072</v>
      </c>
      <c r="W24" s="152" t="s">
        <v>1440</v>
      </c>
      <c r="X24" s="182">
        <f>X22+X23</f>
        <v>0</v>
      </c>
      <c r="Y24" s="584">
        <f>X24/$H$22</f>
        <v>0</v>
      </c>
      <c r="Z24" s="152" t="s">
        <v>1440</v>
      </c>
      <c r="AA24" s="182">
        <f>AA22+AA23</f>
        <v>24683521.368999999</v>
      </c>
      <c r="AB24" s="584">
        <f>AA24/H22</f>
        <v>0.96500947907620049</v>
      </c>
    </row>
    <row r="25" spans="1:28" x14ac:dyDescent="0.3">
      <c r="F25" s="154" t="s">
        <v>66</v>
      </c>
      <c r="G25" s="154"/>
      <c r="H25" s="181">
        <f>+H22*19%</f>
        <v>4859920.1995400004</v>
      </c>
      <c r="I25" s="181">
        <f>+I22*19%</f>
        <v>5107776.30724</v>
      </c>
      <c r="K25" s="154" t="s">
        <v>66</v>
      </c>
      <c r="L25" s="181">
        <f>+L22*19%</f>
        <v>1867427.0401100002</v>
      </c>
      <c r="N25" s="485" t="s">
        <v>66</v>
      </c>
      <c r="O25" s="483">
        <f>ROUND(O24*0.19,0)</f>
        <v>538710</v>
      </c>
      <c r="Q25" s="485" t="s">
        <v>66</v>
      </c>
      <c r="R25" s="483">
        <f>ROUND(R24*0.19,0)</f>
        <v>1685434</v>
      </c>
      <c r="T25" s="485" t="s">
        <v>66</v>
      </c>
      <c r="U25" s="483">
        <f>ROUND(U24*0.19,0)</f>
        <v>598298</v>
      </c>
      <c r="W25" s="485" t="s">
        <v>66</v>
      </c>
      <c r="X25" s="483">
        <f>ROUND(X24*0.19,0)</f>
        <v>0</v>
      </c>
      <c r="Z25" s="485" t="s">
        <v>66</v>
      </c>
      <c r="AA25" s="483">
        <f>ROUND(AA24*0.19,0)</f>
        <v>4689869</v>
      </c>
    </row>
    <row r="26" spans="1:28" x14ac:dyDescent="0.3">
      <c r="F26" s="155" t="s">
        <v>69</v>
      </c>
      <c r="G26" s="155"/>
      <c r="H26" s="181">
        <f>+H22+H25</f>
        <v>30438447.565540001</v>
      </c>
      <c r="I26" s="181">
        <f>+I22+I25</f>
        <v>31990809.503239997</v>
      </c>
      <c r="K26" s="155" t="s">
        <v>69</v>
      </c>
      <c r="L26" s="181">
        <f>+L22+L25</f>
        <v>11695990.40911</v>
      </c>
      <c r="N26" s="545" t="s">
        <v>69</v>
      </c>
      <c r="O26" s="481">
        <f>O24+O25</f>
        <v>3374027</v>
      </c>
      <c r="Q26" s="545" t="s">
        <v>69</v>
      </c>
      <c r="R26" s="481">
        <f>R24+R25</f>
        <v>10556139</v>
      </c>
      <c r="T26" s="545" t="s">
        <v>69</v>
      </c>
      <c r="U26" s="481">
        <f>U24+U25</f>
        <v>3747234</v>
      </c>
      <c r="W26" s="545" t="s">
        <v>69</v>
      </c>
      <c r="X26" s="481">
        <f>X24+X25</f>
        <v>0</v>
      </c>
      <c r="Z26" s="545" t="s">
        <v>69</v>
      </c>
      <c r="AA26" s="481">
        <f>AA24+AA25</f>
        <v>29373390.368999999</v>
      </c>
    </row>
    <row r="29" spans="1:28" ht="26.4" x14ac:dyDescent="0.3">
      <c r="A29" s="183" t="s">
        <v>67</v>
      </c>
      <c r="B29" s="184"/>
      <c r="C29" s="184"/>
      <c r="D29" s="185" t="s">
        <v>68</v>
      </c>
      <c r="K29" s="186" t="s">
        <v>70</v>
      </c>
      <c r="L29" s="187" t="s">
        <v>71</v>
      </c>
      <c r="M29" s="186" t="s">
        <v>58</v>
      </c>
      <c r="N29" s="186" t="s">
        <v>70</v>
      </c>
      <c r="O29" s="187" t="s">
        <v>71</v>
      </c>
      <c r="P29" s="186" t="s">
        <v>58</v>
      </c>
      <c r="Q29" s="186" t="s">
        <v>70</v>
      </c>
      <c r="R29" s="187" t="s">
        <v>71</v>
      </c>
      <c r="S29" s="186" t="s">
        <v>58</v>
      </c>
      <c r="T29" s="186" t="s">
        <v>70</v>
      </c>
      <c r="U29" s="187" t="s">
        <v>71</v>
      </c>
      <c r="V29" s="186" t="s">
        <v>58</v>
      </c>
      <c r="W29" s="186" t="s">
        <v>70</v>
      </c>
      <c r="X29" s="187" t="s">
        <v>71</v>
      </c>
      <c r="Y29" s="186" t="s">
        <v>58</v>
      </c>
      <c r="Z29" s="302"/>
      <c r="AA29" s="302"/>
      <c r="AB29" s="302"/>
    </row>
    <row r="30" spans="1:28" x14ac:dyDescent="0.3">
      <c r="A30" s="183"/>
      <c r="B30" s="184"/>
      <c r="C30" s="184"/>
      <c r="D30" s="185"/>
      <c r="K30" s="69" t="s">
        <v>72</v>
      </c>
      <c r="L30" s="70">
        <f>$L$20</f>
        <v>9600410</v>
      </c>
      <c r="M30" s="71">
        <f>M24</f>
        <v>0.38425055627184074</v>
      </c>
      <c r="N30" s="69" t="s">
        <v>72</v>
      </c>
      <c r="O30" s="70">
        <f>$L$20</f>
        <v>9600410</v>
      </c>
      <c r="P30" s="71">
        <f>M24</f>
        <v>0.38425055627184074</v>
      </c>
      <c r="Q30" s="69" t="s">
        <v>72</v>
      </c>
      <c r="R30" s="70">
        <f>L22</f>
        <v>9828563.3690000009</v>
      </c>
      <c r="S30" s="360">
        <f>M24</f>
        <v>0.38425055627184074</v>
      </c>
      <c r="T30" s="69" t="s">
        <v>72</v>
      </c>
      <c r="U30" s="70">
        <f>L22</f>
        <v>9828563.3690000009</v>
      </c>
      <c r="V30" s="360">
        <f>M24</f>
        <v>0.38425055627184074</v>
      </c>
      <c r="W30" s="69" t="s">
        <v>72</v>
      </c>
      <c r="X30" s="70">
        <f>L22</f>
        <v>9828563.3690000009</v>
      </c>
      <c r="Y30" s="360">
        <f>M24</f>
        <v>0.38425055627184074</v>
      </c>
      <c r="Z30" s="302"/>
      <c r="AA30" s="302"/>
      <c r="AB30" s="302"/>
    </row>
    <row r="31" spans="1:28" x14ac:dyDescent="0.3">
      <c r="A31" s="183"/>
      <c r="B31" s="184"/>
      <c r="C31" s="184"/>
      <c r="D31" s="185"/>
      <c r="K31" s="69"/>
      <c r="L31" s="70"/>
      <c r="M31" s="71"/>
      <c r="N31" s="69" t="s">
        <v>73</v>
      </c>
      <c r="O31" s="70">
        <f>$O$24</f>
        <v>2835317</v>
      </c>
      <c r="P31" s="71">
        <f>$P$24</f>
        <v>0.11084754643728303</v>
      </c>
      <c r="Q31" s="69" t="s">
        <v>73</v>
      </c>
      <c r="R31" s="70">
        <f>O24</f>
        <v>2835317</v>
      </c>
      <c r="S31" s="360">
        <f>$P$24</f>
        <v>0.11084754643728303</v>
      </c>
      <c r="T31" s="69" t="s">
        <v>73</v>
      </c>
      <c r="U31" s="70">
        <f>O24</f>
        <v>2835317</v>
      </c>
      <c r="V31" s="360">
        <f>$P$24</f>
        <v>0.11084754643728303</v>
      </c>
      <c r="W31" s="69" t="s">
        <v>73</v>
      </c>
      <c r="X31" s="70">
        <f>O24</f>
        <v>2835317</v>
      </c>
      <c r="Y31" s="360">
        <f>$P$24</f>
        <v>0.11084754643728303</v>
      </c>
      <c r="Z31" s="302"/>
      <c r="AA31" s="302"/>
      <c r="AB31" s="302"/>
    </row>
    <row r="32" spans="1:28" x14ac:dyDescent="0.3">
      <c r="A32" s="183"/>
      <c r="B32" s="184"/>
      <c r="C32" s="184"/>
      <c r="D32" s="185"/>
      <c r="J32" s="516"/>
      <c r="K32" s="72" t="s">
        <v>1</v>
      </c>
      <c r="L32" s="105">
        <f>SUM(L30:L30)</f>
        <v>9600410</v>
      </c>
      <c r="M32" s="73">
        <f>SUM(M30:M30)</f>
        <v>0.38425055627184074</v>
      </c>
      <c r="N32" s="72" t="s">
        <v>1</v>
      </c>
      <c r="O32" s="105">
        <f>SUM(O30:O31)</f>
        <v>12435727</v>
      </c>
      <c r="P32" s="73">
        <f>SUM(P30:P31)</f>
        <v>0.4950981027091238</v>
      </c>
      <c r="Q32" s="69" t="s">
        <v>74</v>
      </c>
      <c r="R32" s="70">
        <f>R24</f>
        <v>8870705</v>
      </c>
      <c r="S32" s="360">
        <f>S24</f>
        <v>0.34680280350272608</v>
      </c>
      <c r="T32" s="69" t="s">
        <v>74</v>
      </c>
      <c r="U32" s="70">
        <f>R24</f>
        <v>8870705</v>
      </c>
      <c r="V32" s="360">
        <f>S24</f>
        <v>0.34680280350272608</v>
      </c>
      <c r="W32" s="69" t="s">
        <v>74</v>
      </c>
      <c r="X32" s="70">
        <f>R24</f>
        <v>8870705</v>
      </c>
      <c r="Y32" s="360">
        <f>S24</f>
        <v>0.34680280350272608</v>
      </c>
      <c r="Z32" s="302"/>
      <c r="AA32" s="302"/>
      <c r="AB32" s="302"/>
    </row>
    <row r="33" spans="1:28" s="852" customFormat="1" x14ac:dyDescent="0.3">
      <c r="A33" s="183"/>
      <c r="B33" s="184"/>
      <c r="C33" s="184"/>
      <c r="D33" s="185"/>
      <c r="J33" s="516"/>
      <c r="K33" s="72"/>
      <c r="L33" s="869"/>
      <c r="M33" s="870"/>
      <c r="N33" s="72"/>
      <c r="O33" s="869"/>
      <c r="P33" s="870"/>
      <c r="Q33" s="69"/>
      <c r="R33" s="70"/>
      <c r="S33" s="360"/>
      <c r="T33" s="69" t="s">
        <v>155</v>
      </c>
      <c r="U33" s="70">
        <f>+U24</f>
        <v>3148936</v>
      </c>
      <c r="V33" s="360">
        <f>+V24</f>
        <v>0.12310857286435072</v>
      </c>
      <c r="W33" s="69" t="s">
        <v>155</v>
      </c>
      <c r="X33" s="70">
        <f>+U24</f>
        <v>3148936</v>
      </c>
      <c r="Y33" s="360">
        <f>+V24</f>
        <v>0.12310857286435072</v>
      </c>
      <c r="Z33" s="849"/>
      <c r="AA33" s="849"/>
      <c r="AB33" s="849"/>
    </row>
    <row r="34" spans="1:28" x14ac:dyDescent="0.3">
      <c r="A34" s="183"/>
      <c r="B34" s="184"/>
      <c r="C34" s="184"/>
      <c r="D34" s="185"/>
      <c r="K34" s="72" t="s">
        <v>9</v>
      </c>
      <c r="L34" s="1285"/>
      <c r="M34" s="1286"/>
      <c r="N34" s="72" t="s">
        <v>9</v>
      </c>
      <c r="O34" s="1285"/>
      <c r="P34" s="1286"/>
      <c r="Q34" s="72" t="s">
        <v>1</v>
      </c>
      <c r="R34" s="70">
        <f>SUM(R30:R31)</f>
        <v>12663880.369000001</v>
      </c>
      <c r="S34" s="360">
        <f>SUM(S30:S32)</f>
        <v>0.84190090621184988</v>
      </c>
      <c r="T34" s="72" t="s">
        <v>1</v>
      </c>
      <c r="U34" s="105">
        <f>SUM(U30:U33)</f>
        <v>24683521.369000003</v>
      </c>
      <c r="V34" s="361">
        <f>SUM(V30:V33)</f>
        <v>0.9650094790762006</v>
      </c>
      <c r="W34" s="69" t="s">
        <v>352</v>
      </c>
      <c r="X34" s="70">
        <f>$X$24</f>
        <v>0</v>
      </c>
      <c r="Y34" s="360">
        <f>$Y$24</f>
        <v>0</v>
      </c>
      <c r="Z34" s="302"/>
      <c r="AA34" s="302"/>
      <c r="AB34" s="302"/>
    </row>
    <row r="35" spans="1:28" x14ac:dyDescent="0.3">
      <c r="A35" s="183"/>
      <c r="B35" s="184"/>
      <c r="C35" s="184"/>
      <c r="D35" s="185"/>
      <c r="K35" s="156" t="s">
        <v>78</v>
      </c>
      <c r="L35" s="1285" t="s">
        <v>1161</v>
      </c>
      <c r="M35" s="1286"/>
      <c r="N35" s="156" t="s">
        <v>78</v>
      </c>
      <c r="O35" s="1285" t="s">
        <v>1161</v>
      </c>
      <c r="P35" s="1286"/>
      <c r="Q35" s="72" t="s">
        <v>9</v>
      </c>
      <c r="R35" s="731"/>
      <c r="S35" s="732"/>
      <c r="T35" s="72" t="s">
        <v>9</v>
      </c>
      <c r="U35" s="841"/>
      <c r="V35" s="842"/>
      <c r="W35" s="72" t="s">
        <v>1</v>
      </c>
      <c r="X35" s="105">
        <f>SUM(X30:X34)</f>
        <v>24683521.369000003</v>
      </c>
      <c r="Y35" s="361">
        <f>SUM(Y30:Y34)</f>
        <v>0.9650094790762006</v>
      </c>
      <c r="Z35" s="302"/>
      <c r="AA35" s="302"/>
      <c r="AB35" s="302"/>
    </row>
    <row r="36" spans="1:28" x14ac:dyDescent="0.3">
      <c r="A36" s="183"/>
      <c r="B36" s="184"/>
      <c r="C36" s="184"/>
      <c r="D36" s="185"/>
      <c r="K36" s="157" t="s">
        <v>8</v>
      </c>
      <c r="L36" s="1287" t="s">
        <v>1162</v>
      </c>
      <c r="M36" s="1288"/>
      <c r="N36" s="157" t="s">
        <v>8</v>
      </c>
      <c r="O36" s="1287" t="s">
        <v>1162</v>
      </c>
      <c r="P36" s="1288"/>
      <c r="Q36" s="156" t="s">
        <v>78</v>
      </c>
      <c r="R36" s="1285" t="s">
        <v>1999</v>
      </c>
      <c r="S36" s="1286"/>
      <c r="T36" s="156" t="s">
        <v>78</v>
      </c>
      <c r="U36" s="1285" t="s">
        <v>1999</v>
      </c>
      <c r="V36" s="1286"/>
      <c r="W36" s="72" t="s">
        <v>9</v>
      </c>
      <c r="X36" s="1047"/>
      <c r="Y36" s="1048"/>
      <c r="Z36" s="302"/>
      <c r="AA36" s="302"/>
      <c r="AB36" s="302"/>
    </row>
    <row r="37" spans="1:28" x14ac:dyDescent="0.3">
      <c r="A37" s="183"/>
      <c r="B37" s="184"/>
      <c r="C37" s="184"/>
      <c r="D37" s="185" t="s">
        <v>75</v>
      </c>
      <c r="Q37" s="157" t="s">
        <v>8</v>
      </c>
      <c r="R37" s="1285" t="s">
        <v>2000</v>
      </c>
      <c r="S37" s="1286"/>
      <c r="T37" s="157" t="s">
        <v>8</v>
      </c>
      <c r="U37" s="1285" t="s">
        <v>2000</v>
      </c>
      <c r="V37" s="1286"/>
      <c r="W37" s="156" t="s">
        <v>78</v>
      </c>
      <c r="X37" s="1285" t="s">
        <v>1999</v>
      </c>
      <c r="Y37" s="1286"/>
    </row>
    <row r="38" spans="1:28" x14ac:dyDescent="0.3">
      <c r="A38" s="183" t="s">
        <v>76</v>
      </c>
      <c r="B38" s="180"/>
      <c r="C38" s="180"/>
      <c r="D38" s="185" t="s">
        <v>77</v>
      </c>
      <c r="W38" s="157" t="s">
        <v>8</v>
      </c>
      <c r="X38" s="1285" t="s">
        <v>2000</v>
      </c>
      <c r="Y38" s="1286"/>
    </row>
    <row r="39" spans="1:28" ht="26.4" x14ac:dyDescent="0.3">
      <c r="A39" s="183" t="s">
        <v>79</v>
      </c>
      <c r="B39" s="180"/>
      <c r="C39" s="180"/>
      <c r="D39" s="185" t="s">
        <v>80</v>
      </c>
    </row>
  </sheetData>
  <sheetProtection formatCells="0" formatColumns="0" formatRows="0" insertColumns="0" insertRows="0" insertHyperlinks="0" deleteColumns="0" deleteRows="0" sort="0" autoFilter="0" pivotTables="0"/>
  <mergeCells count="37">
    <mergeCell ref="Z1:AB1"/>
    <mergeCell ref="Z2:AB2"/>
    <mergeCell ref="O36:P36"/>
    <mergeCell ref="L36:M36"/>
    <mergeCell ref="T11:V12"/>
    <mergeCell ref="L35:M35"/>
    <mergeCell ref="C1:P2"/>
    <mergeCell ref="K11:M12"/>
    <mergeCell ref="B12:J12"/>
    <mergeCell ref="L34:M34"/>
    <mergeCell ref="B17:B19"/>
    <mergeCell ref="J17:J19"/>
    <mergeCell ref="B11:J11"/>
    <mergeCell ref="N11:P12"/>
    <mergeCell ref="O34:P34"/>
    <mergeCell ref="A10:AB10"/>
    <mergeCell ref="A14:A16"/>
    <mergeCell ref="B14:B16"/>
    <mergeCell ref="J14:J16"/>
    <mergeCell ref="Q11:S12"/>
    <mergeCell ref="Z11:AB12"/>
    <mergeCell ref="X38:Y38"/>
    <mergeCell ref="O35:P35"/>
    <mergeCell ref="A3:AB3"/>
    <mergeCell ref="A4:AB4"/>
    <mergeCell ref="U36:V36"/>
    <mergeCell ref="A5:AB5"/>
    <mergeCell ref="A6:AB6"/>
    <mergeCell ref="W11:Y12"/>
    <mergeCell ref="X37:Y37"/>
    <mergeCell ref="U37:V37"/>
    <mergeCell ref="A7:AB7"/>
    <mergeCell ref="R36:S36"/>
    <mergeCell ref="R37:S37"/>
    <mergeCell ref="A17:A19"/>
    <mergeCell ref="A8:AB8"/>
    <mergeCell ref="A9:AB9"/>
  </mergeCells>
  <pageMargins left="0.7" right="0.7" top="0.75" bottom="0.75" header="0.3" footer="0.3"/>
  <pageSetup scale="39" orientation="landscape" r:id="rId1"/>
  <drawing r:id="rId2"/>
  <legacyDrawing r:id="rId3"/>
  <legacyDrawingHF r:id="rId4"/>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8">
    <tabColor theme="1"/>
  </sheetPr>
  <dimension ref="A1:G49"/>
  <sheetViews>
    <sheetView topLeftCell="A13"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RESUMEN!G65</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RESUMEN!B65</f>
        <v>D00249258</v>
      </c>
      <c r="C7" s="1265"/>
      <c r="D7" s="1177"/>
      <c r="E7" s="1266" t="s">
        <v>627</v>
      </c>
      <c r="F7" s="1267"/>
      <c r="G7" s="280" t="str">
        <f>RESUMEN!E65</f>
        <v xml:space="preserve">17-287 </v>
      </c>
    </row>
    <row r="8" spans="1:7" x14ac:dyDescent="0.25">
      <c r="A8" s="271" t="s">
        <v>628</v>
      </c>
      <c r="B8" s="1264" t="str">
        <f>RESUMEN!C65</f>
        <v>D00249258000</v>
      </c>
      <c r="C8" s="1265"/>
      <c r="D8" s="1177"/>
      <c r="E8" s="1266" t="s">
        <v>629</v>
      </c>
      <c r="F8" s="1267"/>
      <c r="G8" s="280" t="str">
        <f>RESUMEN!U65</f>
        <v>Acta N° 4: Marzo</v>
      </c>
    </row>
    <row r="9" spans="1:7" x14ac:dyDescent="0.25">
      <c r="A9" s="271" t="s">
        <v>630</v>
      </c>
      <c r="B9" s="1283" t="s">
        <v>631</v>
      </c>
      <c r="C9" s="1265"/>
      <c r="D9" s="1177"/>
      <c r="E9" s="1266" t="s">
        <v>632</v>
      </c>
      <c r="F9" s="1267"/>
      <c r="G9" s="1178">
        <f>RESUMEN!H65</f>
        <v>30573666</v>
      </c>
    </row>
    <row r="10" spans="1:7" x14ac:dyDescent="0.25">
      <c r="A10" s="271" t="s">
        <v>633</v>
      </c>
      <c r="B10" s="1283" t="str">
        <f>RESUMEN!D65</f>
        <v>EL PEÑON IN-OUT</v>
      </c>
      <c r="C10" s="1265"/>
      <c r="D10" s="1177"/>
      <c r="E10" s="1266" t="s">
        <v>634</v>
      </c>
      <c r="F10" s="1267"/>
      <c r="G10" s="1178">
        <f>RESUMEN!R65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RESUMEN!N65</f>
        <v>0</v>
      </c>
      <c r="F19" s="1248"/>
      <c r="G19" s="1177"/>
    </row>
    <row r="20" spans="1:7" ht="27" customHeight="1" x14ac:dyDescent="0.25">
      <c r="A20" s="1177"/>
      <c r="B20" s="1244" t="s">
        <v>1498</v>
      </c>
      <c r="C20" s="1245"/>
      <c r="D20" s="1246"/>
      <c r="E20" s="1247">
        <f>RESUMEN!P65</f>
        <v>0</v>
      </c>
      <c r="F20" s="1248"/>
      <c r="G20" s="1177"/>
    </row>
    <row r="21" spans="1:7" ht="27" customHeight="1" x14ac:dyDescent="0.25">
      <c r="A21" s="1177"/>
      <c r="B21" s="1244" t="s">
        <v>1499</v>
      </c>
      <c r="C21" s="1245"/>
      <c r="D21" s="1246"/>
      <c r="E21" s="1247">
        <f>RESUMEN!Q65</f>
        <v>0</v>
      </c>
      <c r="F21" s="1248"/>
      <c r="G21" s="1177"/>
    </row>
    <row r="22" spans="1:7" x14ac:dyDescent="0.25">
      <c r="A22" s="1177"/>
      <c r="B22" s="1254" t="s">
        <v>64</v>
      </c>
      <c r="C22" s="1254"/>
      <c r="D22" s="1254"/>
      <c r="E22" s="1255">
        <f>RESUMEN!R65</f>
        <v>0</v>
      </c>
      <c r="F22" s="1255"/>
      <c r="G22" s="1177"/>
    </row>
    <row r="23" spans="1:7" x14ac:dyDescent="0.25">
      <c r="A23" s="1177"/>
      <c r="B23" s="1256" t="s">
        <v>66</v>
      </c>
      <c r="C23" s="1256"/>
      <c r="D23" s="1256"/>
      <c r="E23" s="1257">
        <f>RESUMEN!S65</f>
        <v>0</v>
      </c>
      <c r="F23" s="1257"/>
      <c r="G23" s="1177"/>
    </row>
    <row r="24" spans="1:7" x14ac:dyDescent="0.25">
      <c r="A24" s="1177"/>
      <c r="B24" s="1258" t="s">
        <v>1</v>
      </c>
      <c r="C24" s="1258"/>
      <c r="D24" s="1258"/>
      <c r="E24" s="1259">
        <f>RESUMEN!T65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+'OT17-287 EL PEÑON IN-OUT'!T34</f>
        <v>ACTA 1</v>
      </c>
      <c r="C28" s="1253">
        <f>+'OT17-287 EL PEÑON IN-OUT'!U34</f>
        <v>9172100</v>
      </c>
      <c r="D28" s="1253"/>
      <c r="E28" s="267">
        <f>+'OT17-287 EL PEÑON IN-OUT'!V34</f>
        <v>0.30000000654157732</v>
      </c>
      <c r="F28" s="1177"/>
      <c r="G28" s="1177"/>
    </row>
    <row r="29" spans="1:7" x14ac:dyDescent="0.25">
      <c r="A29" s="1177"/>
      <c r="B29" s="280" t="str">
        <f>+'OT17-287 EL PEÑON IN-OUT'!T35</f>
        <v>ACTA 2</v>
      </c>
      <c r="C29" s="1253">
        <f>+'OT17-287 EL PEÑON IN-OUT'!U35</f>
        <v>6427709</v>
      </c>
      <c r="D29" s="1253"/>
      <c r="E29" s="267">
        <f>+'OT17-287 EL PEÑON IN-OUT'!V35</f>
        <v>0.20836152326074256</v>
      </c>
      <c r="F29" s="1177"/>
      <c r="G29" s="1177"/>
    </row>
    <row r="30" spans="1:7" x14ac:dyDescent="0.25">
      <c r="A30" s="1177"/>
      <c r="B30" s="280" t="str">
        <f>+'OT17-287 EL PEÑON IN-OUT'!T36</f>
        <v>ACTA 3</v>
      </c>
      <c r="C30" s="1253">
        <f>+'OT17-287 EL PEÑON IN-OUT'!U36</f>
        <v>9790010</v>
      </c>
      <c r="D30" s="1253"/>
      <c r="E30" s="267">
        <f>+'OT17-287 EL PEÑON IN-OUT'!V36</f>
        <v>0.3173543476124856</v>
      </c>
      <c r="F30" s="1177"/>
      <c r="G30" s="1177"/>
    </row>
    <row r="31" spans="1:7" x14ac:dyDescent="0.25">
      <c r="A31" s="1177"/>
      <c r="B31" s="280" t="str">
        <f>+'OT17-287 EL PEÑON IN-OUT'!T37</f>
        <v>ACTA 4</v>
      </c>
      <c r="C31" s="1253">
        <f>+'OT17-287 EL PEÑON IN-OUT'!U37</f>
        <v>0</v>
      </c>
      <c r="D31" s="1253"/>
      <c r="E31" s="267">
        <f>+'OT17-287 EL PEÑON IN-OUT'!V37</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25389819</v>
      </c>
      <c r="D34" s="1251"/>
      <c r="E34" s="264">
        <f>SUM(E28:E33)</f>
        <v>0.82571587741480545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RESUMEN!V65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4"/>
  <dimension ref="A1:Y43"/>
  <sheetViews>
    <sheetView topLeftCell="H10" zoomScale="70" zoomScaleNormal="70" workbookViewId="0">
      <selection activeCell="X23" sqref="X23"/>
    </sheetView>
  </sheetViews>
  <sheetFormatPr baseColWidth="10" defaultColWidth="11.44140625" defaultRowHeight="14.4" x14ac:dyDescent="0.3"/>
  <cols>
    <col min="1" max="1" width="15.5546875" style="189" customWidth="1"/>
    <col min="2" max="2" width="25.33203125" style="189" customWidth="1"/>
    <col min="3" max="3" width="30.44140625" style="189" customWidth="1"/>
    <col min="4" max="4" width="22.5546875" style="189" customWidth="1"/>
    <col min="5" max="5" width="13" style="189" customWidth="1"/>
    <col min="6" max="6" width="17.88671875" style="189" bestFit="1" customWidth="1"/>
    <col min="7" max="7" width="17.88671875" style="852" customWidth="1"/>
    <col min="8" max="8" width="17.5546875" style="189" bestFit="1" customWidth="1"/>
    <col min="9" max="9" width="17.5546875" style="852" customWidth="1"/>
    <col min="10" max="10" width="47.21875" style="189" bestFit="1" customWidth="1"/>
    <col min="11" max="11" width="16.109375" style="189" bestFit="1" customWidth="1"/>
    <col min="12" max="12" width="16.88671875" style="189" bestFit="1" customWidth="1"/>
    <col min="13" max="13" width="5.33203125" style="189" bestFit="1" customWidth="1"/>
    <col min="14" max="14" width="23.77734375" style="189" bestFit="1" customWidth="1"/>
    <col min="15" max="15" width="16.88671875" style="189" bestFit="1" customWidth="1"/>
    <col min="16" max="16" width="6" style="189" bestFit="1" customWidth="1"/>
    <col min="17" max="17" width="23.77734375" style="738" bestFit="1" customWidth="1"/>
    <col min="18" max="18" width="16.88671875" style="738" bestFit="1" customWidth="1"/>
    <col min="19" max="19" width="7.109375" style="738" bestFit="1" customWidth="1"/>
    <col min="20" max="20" width="17.88671875" style="852" bestFit="1" customWidth="1"/>
    <col min="21" max="21" width="18" style="852" customWidth="1"/>
    <col min="22" max="22" width="13.21875" style="852" bestFit="1" customWidth="1"/>
    <col min="23" max="23" width="17.88671875" style="189" bestFit="1" customWidth="1"/>
    <col min="24" max="24" width="17.5546875" style="189" customWidth="1"/>
    <col min="25" max="25" width="14" style="189" bestFit="1" customWidth="1"/>
    <col min="26" max="16384" width="11.44140625" style="189"/>
  </cols>
  <sheetData>
    <row r="1" spans="1:25" s="302" customFormat="1" ht="15" thickBot="1" x14ac:dyDescent="0.35">
      <c r="A1" s="169"/>
      <c r="B1" s="188"/>
      <c r="C1" s="1307" t="s">
        <v>40</v>
      </c>
      <c r="D1" s="1308"/>
      <c r="E1" s="1308"/>
      <c r="F1" s="1308"/>
      <c r="G1" s="1308"/>
      <c r="H1" s="1308"/>
      <c r="I1" s="1308"/>
      <c r="J1" s="1308"/>
      <c r="K1" s="1308"/>
      <c r="L1" s="1308"/>
      <c r="M1" s="1308"/>
      <c r="N1" s="1308"/>
      <c r="O1" s="1308"/>
      <c r="P1" s="1309"/>
      <c r="Q1" s="733"/>
      <c r="R1" s="733"/>
      <c r="S1" s="733"/>
      <c r="T1" s="846"/>
      <c r="U1" s="846"/>
      <c r="V1" s="846"/>
      <c r="W1" s="1328" t="s">
        <v>1117</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2"/>
      <c r="Q2" s="734"/>
      <c r="R2" s="734"/>
      <c r="S2" s="734"/>
      <c r="T2" s="847"/>
      <c r="U2" s="847"/>
      <c r="V2" s="847"/>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2338</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1171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87"/>
      <c r="B11" s="1301"/>
      <c r="C11" s="1313"/>
      <c r="D11" s="1313"/>
      <c r="E11" s="1313"/>
      <c r="F11" s="1313"/>
      <c r="G11" s="1313"/>
      <c r="H11" s="1313"/>
      <c r="I11" s="1313"/>
      <c r="J11" s="1313"/>
      <c r="K11" s="1293" t="s">
        <v>986</v>
      </c>
      <c r="L11" s="1294"/>
      <c r="M11" s="1295"/>
      <c r="N11" s="1293" t="s">
        <v>1430</v>
      </c>
      <c r="O11" s="1294"/>
      <c r="P11" s="1295"/>
      <c r="Q11" s="1293" t="s">
        <v>1978</v>
      </c>
      <c r="R11" s="1294"/>
      <c r="S11" s="1295"/>
      <c r="T11" s="1293" t="s">
        <v>2319</v>
      </c>
      <c r="U11" s="1294"/>
      <c r="V11" s="1295"/>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30" customHeight="1" x14ac:dyDescent="0.3">
      <c r="A14" s="1314" t="s">
        <v>279</v>
      </c>
      <c r="B14" s="1314" t="s">
        <v>210</v>
      </c>
      <c r="C14" s="388" t="s">
        <v>81</v>
      </c>
      <c r="D14" s="388" t="s">
        <v>207</v>
      </c>
      <c r="E14" s="191">
        <v>1</v>
      </c>
      <c r="F14" s="192">
        <v>800905</v>
      </c>
      <c r="G14" s="32">
        <f>+ROUND(F14*1.051,0)</f>
        <v>841751</v>
      </c>
      <c r="H14" s="192">
        <f>ROUND((E14*F14),0)</f>
        <v>800905</v>
      </c>
      <c r="I14" s="32">
        <f>+ROUND(G14*E14,0)</f>
        <v>841751</v>
      </c>
      <c r="J14" s="1314" t="s">
        <v>1164</v>
      </c>
      <c r="K14" s="433">
        <v>0.3</v>
      </c>
      <c r="L14" s="429">
        <f>ROUND(K14*F14,0)</f>
        <v>240272</v>
      </c>
      <c r="M14" s="430">
        <f t="shared" ref="M14:M23" si="0">L14/H14</f>
        <v>0.30000062429376767</v>
      </c>
      <c r="N14" s="432">
        <v>0</v>
      </c>
      <c r="O14" s="425">
        <f>ROUND(N14*F14,0)</f>
        <v>0</v>
      </c>
      <c r="P14" s="426">
        <f t="shared" ref="P14:P21" si="1">O14/L14</f>
        <v>0</v>
      </c>
      <c r="Q14" s="433">
        <v>0.35</v>
      </c>
      <c r="R14" s="429">
        <f>ROUND(Q14*F14,0)</f>
        <v>280317</v>
      </c>
      <c r="S14" s="430">
        <f t="shared" ref="S14:S23" si="2">R14/H14</f>
        <v>0.35000031214688382</v>
      </c>
      <c r="T14" s="432">
        <v>0</v>
      </c>
      <c r="U14" s="425">
        <f>ROUND(T14*G14,0)</f>
        <v>0</v>
      </c>
      <c r="V14" s="426">
        <f>U14/I14</f>
        <v>0</v>
      </c>
      <c r="W14" s="149">
        <f>K14+N14+Q14+T14</f>
        <v>0.64999999999999991</v>
      </c>
      <c r="X14" s="175">
        <f>L14+O14+R14+U14</f>
        <v>520589</v>
      </c>
      <c r="Y14" s="176">
        <f t="shared" ref="Y14" si="3">X14/H14</f>
        <v>0.65000093644065149</v>
      </c>
    </row>
    <row r="15" spans="1:25" ht="30" customHeight="1" x14ac:dyDescent="0.3">
      <c r="A15" s="1314"/>
      <c r="B15" s="1314"/>
      <c r="C15" s="388" t="s">
        <v>83</v>
      </c>
      <c r="D15" s="388" t="s">
        <v>208</v>
      </c>
      <c r="E15" s="191">
        <v>1</v>
      </c>
      <c r="F15" s="192">
        <v>2646468</v>
      </c>
      <c r="G15" s="32">
        <f t="shared" ref="G15:G22" si="4">+ROUND(F15*1.051,0)</f>
        <v>2781438</v>
      </c>
      <c r="H15" s="192">
        <f>ROUND((E15*F15),0)</f>
        <v>2646468</v>
      </c>
      <c r="I15" s="32">
        <f t="shared" ref="I15:I16" si="5">+ROUND(G15*E15,0)</f>
        <v>2781438</v>
      </c>
      <c r="J15" s="1314"/>
      <c r="K15" s="433">
        <v>0.3</v>
      </c>
      <c r="L15" s="429">
        <f>ROUND(K15*F15,0)</f>
        <v>793940</v>
      </c>
      <c r="M15" s="430">
        <f t="shared" si="0"/>
        <v>0.29999984885515335</v>
      </c>
      <c r="N15" s="432">
        <v>0</v>
      </c>
      <c r="O15" s="425">
        <f t="shared" ref="O15:O22" si="6">ROUND(N15*F15,0)</f>
        <v>0</v>
      </c>
      <c r="P15" s="426">
        <f t="shared" si="1"/>
        <v>0</v>
      </c>
      <c r="Q15" s="433">
        <v>0.35</v>
      </c>
      <c r="R15" s="429">
        <f>ROUND(Q15*F15,0)</f>
        <v>926264</v>
      </c>
      <c r="S15" s="430">
        <f t="shared" si="2"/>
        <v>0.3500000755724233</v>
      </c>
      <c r="T15" s="432">
        <v>0</v>
      </c>
      <c r="U15" s="425">
        <f>ROUND(T15*G15,0)</f>
        <v>0</v>
      </c>
      <c r="V15" s="426">
        <f>U15/I15</f>
        <v>0</v>
      </c>
      <c r="W15" s="416">
        <f t="shared" ref="W15:W16" si="7">K15+N15+Q15+T15</f>
        <v>0.64999999999999991</v>
      </c>
      <c r="X15" s="175">
        <f t="shared" ref="X15:X22" si="8">L15+O15+R15+U15</f>
        <v>1720204</v>
      </c>
      <c r="Y15" s="176">
        <f t="shared" ref="Y15:Y16" si="9">X15/H15</f>
        <v>0.6499999244275767</v>
      </c>
    </row>
    <row r="16" spans="1:25" ht="30" customHeight="1" x14ac:dyDescent="0.3">
      <c r="A16" s="1314"/>
      <c r="B16" s="1314"/>
      <c r="C16" s="388" t="s">
        <v>61</v>
      </c>
      <c r="D16" s="388" t="s">
        <v>209</v>
      </c>
      <c r="E16" s="191">
        <v>1</v>
      </c>
      <c r="F16" s="192">
        <v>1775919</v>
      </c>
      <c r="G16" s="32">
        <f t="shared" si="4"/>
        <v>1866491</v>
      </c>
      <c r="H16" s="192">
        <f>ROUND((E16*F16),0)</f>
        <v>1775919</v>
      </c>
      <c r="I16" s="32">
        <f t="shared" si="5"/>
        <v>1866491</v>
      </c>
      <c r="J16" s="1314"/>
      <c r="K16" s="433">
        <v>0.3</v>
      </c>
      <c r="L16" s="429">
        <f>ROUND(K16*F16,0)</f>
        <v>532776</v>
      </c>
      <c r="M16" s="430">
        <f t="shared" si="0"/>
        <v>0.30000016892662335</v>
      </c>
      <c r="N16" s="433">
        <f>0.7*60%</f>
        <v>0.42</v>
      </c>
      <c r="O16" s="429">
        <f>ROUND(N16*F16,0)</f>
        <v>745886</v>
      </c>
      <c r="P16" s="430">
        <f>O16/H16</f>
        <v>0.42000001126177489</v>
      </c>
      <c r="Q16" s="433">
        <f>0.7*40%</f>
        <v>0.27999999999999997</v>
      </c>
      <c r="R16" s="429">
        <f>ROUND(Q16*F16,0)</f>
        <v>497257</v>
      </c>
      <c r="S16" s="430">
        <f t="shared" si="2"/>
        <v>0.27999981981160177</v>
      </c>
      <c r="T16" s="432">
        <v>0</v>
      </c>
      <c r="U16" s="425">
        <f>ROUND(T16*G16,0)</f>
        <v>0</v>
      </c>
      <c r="V16" s="426">
        <f>U16/I16</f>
        <v>0</v>
      </c>
      <c r="W16" s="416">
        <f t="shared" si="7"/>
        <v>1</v>
      </c>
      <c r="X16" s="175">
        <f t="shared" si="8"/>
        <v>1775919</v>
      </c>
      <c r="Y16" s="176">
        <f t="shared" si="9"/>
        <v>1</v>
      </c>
    </row>
    <row r="17" spans="1:25" ht="15" customHeight="1" x14ac:dyDescent="0.3">
      <c r="A17" s="1314"/>
      <c r="B17" s="1314"/>
      <c r="C17" s="196"/>
      <c r="D17" s="196" t="s">
        <v>136</v>
      </c>
      <c r="E17" s="197"/>
      <c r="F17" s="198"/>
      <c r="G17" s="198"/>
      <c r="H17" s="199">
        <f>SUM(H14:H16)</f>
        <v>5223292</v>
      </c>
      <c r="I17" s="199">
        <f>SUM(I14:I16)</f>
        <v>5489680</v>
      </c>
      <c r="J17" s="1314"/>
      <c r="K17" s="308"/>
      <c r="L17" s="179">
        <f>SUM(L14:L16)</f>
        <v>1566988</v>
      </c>
      <c r="M17" s="308">
        <f t="shared" si="0"/>
        <v>0.30000007658005717</v>
      </c>
      <c r="N17" s="431"/>
      <c r="O17" s="179">
        <f>SUM(O14:O16)</f>
        <v>745886</v>
      </c>
      <c r="P17" s="431">
        <f>O17/H17</f>
        <v>0.14279998131446606</v>
      </c>
      <c r="Q17" s="431"/>
      <c r="R17" s="179">
        <f>SUM(R14:R16)</f>
        <v>1703838</v>
      </c>
      <c r="S17" s="431">
        <f t="shared" si="2"/>
        <v>0.32620002864094139</v>
      </c>
      <c r="T17" s="431"/>
      <c r="U17" s="179">
        <f>SUM(U14:U16)</f>
        <v>0</v>
      </c>
      <c r="V17" s="431">
        <f t="shared" ref="V17:V23" si="10">U17/L17</f>
        <v>0</v>
      </c>
      <c r="W17" s="306"/>
      <c r="X17" s="1078">
        <f>L17+O17+R17+U17</f>
        <v>4016712</v>
      </c>
      <c r="Y17" s="308">
        <f>X17/H17</f>
        <v>0.76900008653546459</v>
      </c>
    </row>
    <row r="18" spans="1:25" ht="30" customHeight="1" x14ac:dyDescent="0.3">
      <c r="A18" s="1314" t="s">
        <v>1165</v>
      </c>
      <c r="B18" s="1314" t="s">
        <v>320</v>
      </c>
      <c r="C18" s="388" t="s">
        <v>59</v>
      </c>
      <c r="D18" s="388" t="s">
        <v>321</v>
      </c>
      <c r="E18" s="191">
        <v>1</v>
      </c>
      <c r="F18" s="192">
        <v>6024196</v>
      </c>
      <c r="G18" s="32">
        <f t="shared" si="4"/>
        <v>6331430</v>
      </c>
      <c r="H18" s="192">
        <f>ROUND((E18*F18),0)</f>
        <v>6024196</v>
      </c>
      <c r="I18" s="32">
        <f t="shared" ref="I18:I19" si="11">+ROUND(G18*E18,0)</f>
        <v>6331430</v>
      </c>
      <c r="J18" s="1314" t="s">
        <v>1166</v>
      </c>
      <c r="K18" s="433">
        <v>0.3</v>
      </c>
      <c r="L18" s="429">
        <f>ROUND(K18*F18,0)</f>
        <v>1807259</v>
      </c>
      <c r="M18" s="430">
        <f t="shared" si="0"/>
        <v>0.30000003319945101</v>
      </c>
      <c r="N18" s="432">
        <v>0</v>
      </c>
      <c r="O18" s="425">
        <f t="shared" si="6"/>
        <v>0</v>
      </c>
      <c r="P18" s="426">
        <f t="shared" si="1"/>
        <v>0</v>
      </c>
      <c r="Q18" s="433">
        <v>0.35</v>
      </c>
      <c r="R18" s="429">
        <f>ROUND(Q18*F18,0)</f>
        <v>2108469</v>
      </c>
      <c r="S18" s="430">
        <f t="shared" si="2"/>
        <v>0.35000006639890202</v>
      </c>
      <c r="T18" s="432">
        <v>0</v>
      </c>
      <c r="U18" s="425">
        <f>ROUND(T18*G18,0)</f>
        <v>0</v>
      </c>
      <c r="V18" s="426">
        <f>U18/I18</f>
        <v>0</v>
      </c>
      <c r="W18" s="416">
        <f t="shared" ref="W18:W19" si="12">K18+N18+Q18+T18</f>
        <v>0.64999999999999991</v>
      </c>
      <c r="X18" s="175">
        <f t="shared" si="8"/>
        <v>3915728</v>
      </c>
      <c r="Y18" s="176">
        <f t="shared" ref="Y18:Y19" si="13">X18/H18</f>
        <v>0.65000009959835303</v>
      </c>
    </row>
    <row r="19" spans="1:25" ht="30" customHeight="1" x14ac:dyDescent="0.3">
      <c r="A19" s="1314"/>
      <c r="B19" s="1314"/>
      <c r="C19" s="388" t="s">
        <v>61</v>
      </c>
      <c r="D19" s="388" t="s">
        <v>322</v>
      </c>
      <c r="E19" s="191">
        <v>1</v>
      </c>
      <c r="F19" s="192">
        <v>6650991</v>
      </c>
      <c r="G19" s="32">
        <f t="shared" si="4"/>
        <v>6990192</v>
      </c>
      <c r="H19" s="192">
        <f>ROUND((E19*F19),0)</f>
        <v>6650991</v>
      </c>
      <c r="I19" s="32">
        <f t="shared" si="11"/>
        <v>6990192</v>
      </c>
      <c r="J19" s="1314"/>
      <c r="K19" s="433">
        <v>0.3</v>
      </c>
      <c r="L19" s="429">
        <f>ROUND(K19*F19,0)</f>
        <v>1995297</v>
      </c>
      <c r="M19" s="430">
        <f t="shared" si="0"/>
        <v>0.29999995489393988</v>
      </c>
      <c r="N19" s="433">
        <f>0.7*60%</f>
        <v>0.42</v>
      </c>
      <c r="O19" s="429">
        <f t="shared" si="6"/>
        <v>2793416</v>
      </c>
      <c r="P19" s="430">
        <f>O19/H19</f>
        <v>0.41999996692222258</v>
      </c>
      <c r="Q19" s="433">
        <f>0.7*40%</f>
        <v>0.27999999999999997</v>
      </c>
      <c r="R19" s="429">
        <f>ROUND(Q19*F19,0)</f>
        <v>1862277</v>
      </c>
      <c r="S19" s="430">
        <f t="shared" si="2"/>
        <v>0.27999992783030381</v>
      </c>
      <c r="T19" s="432">
        <v>0</v>
      </c>
      <c r="U19" s="425">
        <f>ROUND(T19*G19,0)</f>
        <v>0</v>
      </c>
      <c r="V19" s="426">
        <f>U19/I19</f>
        <v>0</v>
      </c>
      <c r="W19" s="416">
        <f t="shared" si="12"/>
        <v>1</v>
      </c>
      <c r="X19" s="175">
        <f t="shared" si="8"/>
        <v>6650990</v>
      </c>
      <c r="Y19" s="176">
        <f t="shared" si="13"/>
        <v>0.99999984964646627</v>
      </c>
    </row>
    <row r="20" spans="1:25" ht="15" customHeight="1" x14ac:dyDescent="0.3">
      <c r="A20" s="1314"/>
      <c r="B20" s="1314"/>
      <c r="C20" s="196"/>
      <c r="D20" s="196" t="s">
        <v>143</v>
      </c>
      <c r="E20" s="197"/>
      <c r="F20" s="198"/>
      <c r="G20" s="198"/>
      <c r="H20" s="199">
        <f>SUM(H18:H19)</f>
        <v>12675187</v>
      </c>
      <c r="I20" s="199">
        <f>SUM(I18:I19)</f>
        <v>13321622</v>
      </c>
      <c r="J20" s="1314"/>
      <c r="K20" s="308"/>
      <c r="L20" s="179">
        <f>SUM(L18:L19)</f>
        <v>3802556</v>
      </c>
      <c r="M20" s="308">
        <f t="shared" si="0"/>
        <v>0.29999999211057005</v>
      </c>
      <c r="N20" s="431"/>
      <c r="O20" s="179">
        <f>SUM(O18:O19)</f>
        <v>2793416</v>
      </c>
      <c r="P20" s="431">
        <f>O20/H20</f>
        <v>0.22038459866509266</v>
      </c>
      <c r="Q20" s="431"/>
      <c r="R20" s="179">
        <f>SUM(R18:R19)</f>
        <v>3970746</v>
      </c>
      <c r="S20" s="431">
        <f t="shared" si="2"/>
        <v>0.31326922435148297</v>
      </c>
      <c r="T20" s="431"/>
      <c r="U20" s="179">
        <f>SUM(U18:U19)</f>
        <v>0</v>
      </c>
      <c r="V20" s="431">
        <f t="shared" si="10"/>
        <v>0</v>
      </c>
      <c r="W20" s="306"/>
      <c r="X20" s="1078">
        <f>L20+O20+R20+U20</f>
        <v>10566718</v>
      </c>
      <c r="Y20" s="308">
        <f>X20/H20</f>
        <v>0.83365381512714565</v>
      </c>
    </row>
    <row r="21" spans="1:25" ht="30" customHeight="1" x14ac:dyDescent="0.3">
      <c r="A21" s="1314" t="s">
        <v>1167</v>
      </c>
      <c r="B21" s="1314" t="s">
        <v>320</v>
      </c>
      <c r="C21" s="388" t="s">
        <v>59</v>
      </c>
      <c r="D21" s="388" t="s">
        <v>321</v>
      </c>
      <c r="E21" s="191">
        <v>1</v>
      </c>
      <c r="F21" s="192">
        <v>6024196</v>
      </c>
      <c r="G21" s="32">
        <f t="shared" si="4"/>
        <v>6331430</v>
      </c>
      <c r="H21" s="192">
        <f>ROUND((E21*F21),0)</f>
        <v>6024196</v>
      </c>
      <c r="I21" s="32">
        <f t="shared" ref="I21:I22" si="14">+ROUND(G21*E21,0)</f>
        <v>6331430</v>
      </c>
      <c r="J21" s="1314" t="s">
        <v>1168</v>
      </c>
      <c r="K21" s="433">
        <v>0.3</v>
      </c>
      <c r="L21" s="429">
        <f>ROUND(K21*F21,0)</f>
        <v>1807259</v>
      </c>
      <c r="M21" s="430">
        <f t="shared" si="0"/>
        <v>0.30000003319945101</v>
      </c>
      <c r="N21" s="432">
        <v>0</v>
      </c>
      <c r="O21" s="425">
        <f t="shared" si="6"/>
        <v>0</v>
      </c>
      <c r="P21" s="426">
        <f t="shared" si="1"/>
        <v>0</v>
      </c>
      <c r="Q21" s="433">
        <v>0.35</v>
      </c>
      <c r="R21" s="429">
        <f>ROUND(Q21*F21,0)</f>
        <v>2108469</v>
      </c>
      <c r="S21" s="430">
        <f t="shared" si="2"/>
        <v>0.35000006639890202</v>
      </c>
      <c r="T21" s="432">
        <v>0</v>
      </c>
      <c r="U21" s="425">
        <f>ROUND(T21*G21,0)</f>
        <v>0</v>
      </c>
      <c r="V21" s="426">
        <f>U21/I21</f>
        <v>0</v>
      </c>
      <c r="W21" s="416">
        <f t="shared" ref="W21:W22" si="15">K21+N21+Q21+T21</f>
        <v>0.64999999999999991</v>
      </c>
      <c r="X21" s="175">
        <f t="shared" si="8"/>
        <v>3915728</v>
      </c>
      <c r="Y21" s="176">
        <f t="shared" ref="Y21:Y22" si="16">X21/H21</f>
        <v>0.65000009959835303</v>
      </c>
    </row>
    <row r="22" spans="1:25" ht="30" customHeight="1" x14ac:dyDescent="0.3">
      <c r="A22" s="1314"/>
      <c r="B22" s="1314"/>
      <c r="C22" s="388" t="s">
        <v>61</v>
      </c>
      <c r="D22" s="388" t="s">
        <v>322</v>
      </c>
      <c r="E22" s="191">
        <v>1</v>
      </c>
      <c r="F22" s="192">
        <v>6650991</v>
      </c>
      <c r="G22" s="32">
        <f t="shared" si="4"/>
        <v>6990192</v>
      </c>
      <c r="H22" s="192">
        <f>ROUND((E22*F22),0)</f>
        <v>6650991</v>
      </c>
      <c r="I22" s="32">
        <f t="shared" si="14"/>
        <v>6990192</v>
      </c>
      <c r="J22" s="1314"/>
      <c r="K22" s="433">
        <v>0.3</v>
      </c>
      <c r="L22" s="429">
        <f>ROUND(K22*F22,0)</f>
        <v>1995297</v>
      </c>
      <c r="M22" s="430">
        <f t="shared" si="0"/>
        <v>0.29999995489393988</v>
      </c>
      <c r="N22" s="433">
        <f>0.7*60%</f>
        <v>0.42</v>
      </c>
      <c r="O22" s="429">
        <f t="shared" si="6"/>
        <v>2793416</v>
      </c>
      <c r="P22" s="430">
        <f>O22/H22</f>
        <v>0.41999996692222258</v>
      </c>
      <c r="Q22" s="433">
        <f>0.7*40%</f>
        <v>0.27999999999999997</v>
      </c>
      <c r="R22" s="429">
        <f>ROUND(Q22*F22,0)</f>
        <v>1862277</v>
      </c>
      <c r="S22" s="430">
        <f t="shared" si="2"/>
        <v>0.27999992783030381</v>
      </c>
      <c r="T22" s="432">
        <v>0</v>
      </c>
      <c r="U22" s="425">
        <f>ROUND(T22*G22,0)</f>
        <v>0</v>
      </c>
      <c r="V22" s="426">
        <f>U22/I22</f>
        <v>0</v>
      </c>
      <c r="W22" s="416">
        <f t="shared" si="15"/>
        <v>1</v>
      </c>
      <c r="X22" s="175">
        <f t="shared" si="8"/>
        <v>6650990</v>
      </c>
      <c r="Y22" s="176">
        <f t="shared" si="16"/>
        <v>0.99999984964646627</v>
      </c>
    </row>
    <row r="23" spans="1:25" ht="15" customHeight="1" x14ac:dyDescent="0.3">
      <c r="A23" s="1314"/>
      <c r="B23" s="1314"/>
      <c r="C23" s="196"/>
      <c r="D23" s="196" t="s">
        <v>143</v>
      </c>
      <c r="E23" s="198"/>
      <c r="F23" s="198"/>
      <c r="G23" s="198"/>
      <c r="H23" s="199">
        <f>SUM(H21:H22)</f>
        <v>12675187</v>
      </c>
      <c r="I23" s="199">
        <f>SUM(I21:I22)</f>
        <v>13321622</v>
      </c>
      <c r="J23" s="1314"/>
      <c r="K23" s="308"/>
      <c r="L23" s="179">
        <f>SUM(L21:L22)</f>
        <v>3802556</v>
      </c>
      <c r="M23" s="308">
        <f t="shared" si="0"/>
        <v>0.29999999211057005</v>
      </c>
      <c r="N23" s="431"/>
      <c r="O23" s="179">
        <f>SUM(O21:O22)</f>
        <v>2793416</v>
      </c>
      <c r="P23" s="431">
        <f>O23/H23</f>
        <v>0.22038459866509266</v>
      </c>
      <c r="Q23" s="431"/>
      <c r="R23" s="179">
        <f>SUM(R21:R22)</f>
        <v>3970746</v>
      </c>
      <c r="S23" s="431">
        <f t="shared" si="2"/>
        <v>0.31326922435148297</v>
      </c>
      <c r="T23" s="431"/>
      <c r="U23" s="179">
        <f>SUM(U21:U22)</f>
        <v>0</v>
      </c>
      <c r="V23" s="431">
        <f t="shared" si="10"/>
        <v>0</v>
      </c>
      <c r="W23" s="306"/>
      <c r="X23" s="1078">
        <f>L23+O23+R23+U23</f>
        <v>10566718</v>
      </c>
      <c r="Y23" s="308">
        <f>X23/H23</f>
        <v>0.83365381512714565</v>
      </c>
    </row>
    <row r="24" spans="1:25" x14ac:dyDescent="0.3">
      <c r="F24" s="151" t="s">
        <v>64</v>
      </c>
      <c r="G24" s="151"/>
      <c r="H24" s="181">
        <f>SUM(H9:H23)/2</f>
        <v>30573666</v>
      </c>
      <c r="I24" s="181">
        <f>SUM(I9:I23)/2</f>
        <v>32132924</v>
      </c>
      <c r="K24" s="151" t="s">
        <v>64</v>
      </c>
      <c r="L24" s="181">
        <f>SUM(L9:L23)/2</f>
        <v>9172100</v>
      </c>
      <c r="M24" s="131">
        <f>L24/H24</f>
        <v>0.30000000654157732</v>
      </c>
      <c r="N24" s="480" t="s">
        <v>64</v>
      </c>
      <c r="O24" s="481">
        <f>SUM(O14:O23)/2</f>
        <v>6332718</v>
      </c>
      <c r="Q24" s="480" t="s">
        <v>64</v>
      </c>
      <c r="R24" s="481">
        <f>SUM(R14:R23)/2</f>
        <v>9645330</v>
      </c>
      <c r="T24" s="480" t="s">
        <v>64</v>
      </c>
      <c r="U24" s="481">
        <f>SUM(U14:U23)/2</f>
        <v>0</v>
      </c>
      <c r="W24" s="480" t="s">
        <v>64</v>
      </c>
      <c r="X24" s="481">
        <f>SUM(X9:X23)/2</f>
        <v>25150148</v>
      </c>
    </row>
    <row r="25" spans="1:25" x14ac:dyDescent="0.3">
      <c r="F25" s="153" t="s">
        <v>65</v>
      </c>
      <c r="G25" s="153"/>
      <c r="H25" s="550">
        <f>(((H17+H20+H23)*0.3))*0.03</f>
        <v>275162.99399999995</v>
      </c>
      <c r="I25" s="550">
        <f>(((I17+I20+I23)*0.3))*0.03</f>
        <v>289196.31599999999</v>
      </c>
      <c r="K25" s="153" t="s">
        <v>65</v>
      </c>
      <c r="L25" s="181">
        <f>((L17*0.03)+(L20*0.03)+(L23*0.03))</f>
        <v>275163</v>
      </c>
      <c r="N25" s="482" t="s">
        <v>65</v>
      </c>
      <c r="O25" s="481">
        <v>0</v>
      </c>
      <c r="Q25" s="482" t="s">
        <v>65</v>
      </c>
      <c r="R25" s="481">
        <v>0</v>
      </c>
      <c r="T25" s="482" t="s">
        <v>65</v>
      </c>
      <c r="U25" s="481">
        <v>0</v>
      </c>
      <c r="W25" s="482" t="s">
        <v>65</v>
      </c>
      <c r="X25" s="481">
        <f>+L25+O25</f>
        <v>275163</v>
      </c>
    </row>
    <row r="26" spans="1:25" x14ac:dyDescent="0.3">
      <c r="F26" s="152" t="s">
        <v>64</v>
      </c>
      <c r="G26" s="152"/>
      <c r="H26" s="340">
        <f>SUM(H24:H25)</f>
        <v>30848828.993999999</v>
      </c>
      <c r="I26" s="340">
        <f>SUM(I24:I25)</f>
        <v>32422120.316</v>
      </c>
      <c r="K26" s="152" t="s">
        <v>64</v>
      </c>
      <c r="L26" s="340">
        <f>SUM(L24:L25)</f>
        <v>9447263</v>
      </c>
      <c r="N26" s="484" t="s">
        <v>64</v>
      </c>
      <c r="O26" s="550">
        <f>SUM(O24:O25)</f>
        <v>6332718</v>
      </c>
      <c r="Q26" s="484" t="s">
        <v>64</v>
      </c>
      <c r="R26" s="550">
        <f>SUM(R24:R25)</f>
        <v>9645330</v>
      </c>
      <c r="T26" s="484" t="s">
        <v>64</v>
      </c>
      <c r="U26" s="550">
        <f>SUM(U24:U25)</f>
        <v>0</v>
      </c>
      <c r="W26" s="484" t="s">
        <v>64</v>
      </c>
      <c r="X26" s="550">
        <f>SUM(X24:X25)</f>
        <v>25425311</v>
      </c>
    </row>
    <row r="27" spans="1:25" ht="26.4" x14ac:dyDescent="0.3">
      <c r="F27" s="152"/>
      <c r="G27" s="152"/>
      <c r="H27" s="340"/>
      <c r="I27" s="340"/>
      <c r="K27" s="152"/>
      <c r="L27" s="340"/>
      <c r="N27" s="484" t="s">
        <v>1439</v>
      </c>
      <c r="O27" s="483">
        <f>ROUND(O26*0.015,0)</f>
        <v>94991</v>
      </c>
      <c r="Q27" s="484" t="s">
        <v>1439</v>
      </c>
      <c r="R27" s="483">
        <f>ROUND(R26*0.015,0)</f>
        <v>144680</v>
      </c>
      <c r="T27" s="484" t="s">
        <v>1439</v>
      </c>
      <c r="U27" s="483">
        <f>ROUND(U26*0.015,0)</f>
        <v>0</v>
      </c>
      <c r="W27" s="484" t="s">
        <v>1439</v>
      </c>
      <c r="X27" s="550">
        <f>L27+O27+R27+U27</f>
        <v>239671</v>
      </c>
    </row>
    <row r="28" spans="1:25" ht="26.4" x14ac:dyDescent="0.3">
      <c r="F28" s="152"/>
      <c r="G28" s="152"/>
      <c r="H28" s="340"/>
      <c r="I28" s="340"/>
      <c r="K28" s="152"/>
      <c r="L28" s="340"/>
      <c r="N28" s="152" t="s">
        <v>1440</v>
      </c>
      <c r="O28" s="182">
        <f>O26+O27</f>
        <v>6427709</v>
      </c>
      <c r="P28" s="584">
        <f>O28/H26</f>
        <v>0.20836152326074256</v>
      </c>
      <c r="Q28" s="152" t="s">
        <v>1440</v>
      </c>
      <c r="R28" s="182">
        <f>R26+R27</f>
        <v>9790010</v>
      </c>
      <c r="S28" s="584">
        <f>R28/H26</f>
        <v>0.3173543476124856</v>
      </c>
      <c r="T28" s="152" t="s">
        <v>1440</v>
      </c>
      <c r="U28" s="182">
        <f>U26+U27</f>
        <v>0</v>
      </c>
      <c r="V28" s="584">
        <f>U28/H26</f>
        <v>0</v>
      </c>
      <c r="W28" s="152" t="s">
        <v>1440</v>
      </c>
      <c r="X28" s="182">
        <f>X26+X27</f>
        <v>25664982</v>
      </c>
      <c r="Y28" s="584">
        <f>X28/H24</f>
        <v>0.83944732044891179</v>
      </c>
    </row>
    <row r="29" spans="1:25" x14ac:dyDescent="0.3">
      <c r="F29" s="154" t="s">
        <v>66</v>
      </c>
      <c r="G29" s="154"/>
      <c r="H29" s="181">
        <f>+H26*19%</f>
        <v>5861277.5088599995</v>
      </c>
      <c r="I29" s="181">
        <f>+I26*19%</f>
        <v>6160202.8600399997</v>
      </c>
      <c r="K29" s="154" t="s">
        <v>66</v>
      </c>
      <c r="L29" s="181">
        <f>+L26*19%</f>
        <v>1794979.97</v>
      </c>
      <c r="N29" s="485" t="s">
        <v>66</v>
      </c>
      <c r="O29" s="483">
        <f>ROUND(O28*0.19,0)</f>
        <v>1221265</v>
      </c>
      <c r="Q29" s="485" t="s">
        <v>66</v>
      </c>
      <c r="R29" s="483">
        <f>ROUND(R28*0.19,0)</f>
        <v>1860102</v>
      </c>
      <c r="T29" s="485" t="s">
        <v>66</v>
      </c>
      <c r="U29" s="483">
        <f>ROUND(U28*0.19,0)</f>
        <v>0</v>
      </c>
      <c r="W29" s="485" t="s">
        <v>66</v>
      </c>
      <c r="X29" s="483">
        <f>ROUND(X28*0.19,0)</f>
        <v>4876347</v>
      </c>
    </row>
    <row r="30" spans="1:25" x14ac:dyDescent="0.3">
      <c r="F30" s="155" t="s">
        <v>69</v>
      </c>
      <c r="G30" s="155"/>
      <c r="H30" s="181">
        <f>+H26+H29</f>
        <v>36710106.502859995</v>
      </c>
      <c r="I30" s="181">
        <f>+I26+I29</f>
        <v>38582323.176040001</v>
      </c>
      <c r="K30" s="155" t="s">
        <v>69</v>
      </c>
      <c r="L30" s="181">
        <f>+L26+L29</f>
        <v>11242242.970000001</v>
      </c>
      <c r="N30" s="545" t="s">
        <v>69</v>
      </c>
      <c r="O30" s="481">
        <f>O28+O29</f>
        <v>7648974</v>
      </c>
      <c r="Q30" s="545" t="s">
        <v>69</v>
      </c>
      <c r="R30" s="481">
        <f>R28+R29</f>
        <v>11650112</v>
      </c>
      <c r="T30" s="545" t="s">
        <v>69</v>
      </c>
      <c r="U30" s="481">
        <f>U28+U29</f>
        <v>0</v>
      </c>
      <c r="W30" s="545" t="s">
        <v>69</v>
      </c>
      <c r="X30" s="481">
        <f>X28+X29</f>
        <v>30541329</v>
      </c>
    </row>
    <row r="33" spans="1:25" x14ac:dyDescent="0.3">
      <c r="A33" s="183" t="s">
        <v>67</v>
      </c>
      <c r="B33" s="184"/>
      <c r="C33" s="184"/>
      <c r="D33" s="185" t="s">
        <v>68</v>
      </c>
      <c r="K33" s="186" t="s">
        <v>70</v>
      </c>
      <c r="L33" s="187" t="s">
        <v>71</v>
      </c>
      <c r="M33" s="186" t="s">
        <v>58</v>
      </c>
      <c r="N33" s="186" t="s">
        <v>70</v>
      </c>
      <c r="O33" s="187" t="s">
        <v>71</v>
      </c>
      <c r="P33" s="186" t="s">
        <v>58</v>
      </c>
      <c r="Q33" s="186" t="s">
        <v>70</v>
      </c>
      <c r="R33" s="187" t="s">
        <v>71</v>
      </c>
      <c r="S33" s="186" t="s">
        <v>58</v>
      </c>
      <c r="T33" s="186" t="s">
        <v>70</v>
      </c>
      <c r="U33" s="187" t="s">
        <v>71</v>
      </c>
      <c r="V33" s="186" t="s">
        <v>58</v>
      </c>
      <c r="W33" s="302"/>
      <c r="X33" s="302"/>
      <c r="Y33" s="302"/>
    </row>
    <row r="34" spans="1:25" x14ac:dyDescent="0.3">
      <c r="A34" s="183"/>
      <c r="B34" s="184"/>
      <c r="C34" s="184"/>
      <c r="D34" s="185"/>
      <c r="K34" s="69" t="s">
        <v>72</v>
      </c>
      <c r="L34" s="70">
        <f>$L$24</f>
        <v>9172100</v>
      </c>
      <c r="M34" s="71">
        <f>M24</f>
        <v>0.30000000654157732</v>
      </c>
      <c r="N34" s="69" t="s">
        <v>72</v>
      </c>
      <c r="O34" s="70">
        <f>$L$24</f>
        <v>9172100</v>
      </c>
      <c r="P34" s="71">
        <f>M24</f>
        <v>0.30000000654157732</v>
      </c>
      <c r="Q34" s="69" t="s">
        <v>72</v>
      </c>
      <c r="R34" s="70">
        <f>$L$24</f>
        <v>9172100</v>
      </c>
      <c r="S34" s="360">
        <f>M24</f>
        <v>0.30000000654157732</v>
      </c>
      <c r="T34" s="69" t="s">
        <v>72</v>
      </c>
      <c r="U34" s="70">
        <f>$L$24</f>
        <v>9172100</v>
      </c>
      <c r="V34" s="360">
        <f>M24</f>
        <v>0.30000000654157732</v>
      </c>
      <c r="W34" s="302"/>
      <c r="X34" s="302"/>
      <c r="Y34" s="302"/>
    </row>
    <row r="35" spans="1:25" x14ac:dyDescent="0.3">
      <c r="A35" s="183"/>
      <c r="B35" s="184"/>
      <c r="C35" s="184"/>
      <c r="D35" s="185"/>
      <c r="K35" s="69"/>
      <c r="L35" s="70"/>
      <c r="M35" s="71"/>
      <c r="N35" s="69" t="s">
        <v>73</v>
      </c>
      <c r="O35" s="70">
        <f>$O$28</f>
        <v>6427709</v>
      </c>
      <c r="P35" s="71">
        <f>$P$28</f>
        <v>0.20836152326074256</v>
      </c>
      <c r="Q35" s="69" t="s">
        <v>73</v>
      </c>
      <c r="R35" s="70">
        <f>$O$28</f>
        <v>6427709</v>
      </c>
      <c r="S35" s="360">
        <f>P28</f>
        <v>0.20836152326074256</v>
      </c>
      <c r="T35" s="69" t="s">
        <v>73</v>
      </c>
      <c r="U35" s="70">
        <f>$O$28</f>
        <v>6427709</v>
      </c>
      <c r="V35" s="360">
        <f>$P$28</f>
        <v>0.20836152326074256</v>
      </c>
      <c r="W35" s="302"/>
      <c r="X35" s="302"/>
      <c r="Y35" s="302"/>
    </row>
    <row r="36" spans="1:25" x14ac:dyDescent="0.3">
      <c r="A36" s="183"/>
      <c r="B36" s="184"/>
      <c r="C36" s="184"/>
      <c r="D36" s="185"/>
      <c r="K36" s="72" t="s">
        <v>1</v>
      </c>
      <c r="L36" s="105">
        <f>SUM(L34:L34)</f>
        <v>9172100</v>
      </c>
      <c r="M36" s="73">
        <f>SUM(M34:M34)</f>
        <v>0.30000000654157732</v>
      </c>
      <c r="N36" s="72" t="s">
        <v>1</v>
      </c>
      <c r="O36" s="105">
        <f>SUM(O34:O35)</f>
        <v>15599809</v>
      </c>
      <c r="P36" s="73">
        <f>SUM(P34:P35)</f>
        <v>0.50836152980231986</v>
      </c>
      <c r="Q36" s="69" t="s">
        <v>74</v>
      </c>
      <c r="R36" s="70">
        <f>R28</f>
        <v>9790010</v>
      </c>
      <c r="S36" s="360">
        <f>S28</f>
        <v>0.3173543476124856</v>
      </c>
      <c r="T36" s="69" t="s">
        <v>74</v>
      </c>
      <c r="U36" s="70">
        <f>R28</f>
        <v>9790010</v>
      </c>
      <c r="V36" s="360">
        <f>$S$28</f>
        <v>0.3173543476124856</v>
      </c>
      <c r="W36" s="302"/>
      <c r="X36" s="302"/>
      <c r="Y36" s="302"/>
    </row>
    <row r="37" spans="1:25" s="852" customFormat="1" x14ac:dyDescent="0.3">
      <c r="A37" s="183"/>
      <c r="B37" s="184"/>
      <c r="C37" s="184"/>
      <c r="D37" s="185"/>
      <c r="K37" s="72"/>
      <c r="L37" s="869"/>
      <c r="M37" s="870"/>
      <c r="N37" s="72"/>
      <c r="O37" s="869"/>
      <c r="P37" s="870"/>
      <c r="Q37" s="69" t="s">
        <v>155</v>
      </c>
      <c r="R37" s="70"/>
      <c r="S37" s="360"/>
      <c r="T37" s="69" t="s">
        <v>155</v>
      </c>
      <c r="U37" s="70">
        <f>+U28</f>
        <v>0</v>
      </c>
      <c r="V37" s="360">
        <f>+V28</f>
        <v>0</v>
      </c>
      <c r="W37" s="849"/>
      <c r="X37" s="849"/>
      <c r="Y37" s="849"/>
    </row>
    <row r="38" spans="1:25" x14ac:dyDescent="0.3">
      <c r="A38" s="183"/>
      <c r="B38" s="184"/>
      <c r="C38" s="184"/>
      <c r="D38" s="185"/>
      <c r="K38" s="72" t="s">
        <v>9</v>
      </c>
      <c r="L38" s="1285"/>
      <c r="M38" s="1286"/>
      <c r="N38" s="72" t="s">
        <v>9</v>
      </c>
      <c r="O38" s="1285"/>
      <c r="P38" s="1286"/>
      <c r="Q38" s="72" t="s">
        <v>1</v>
      </c>
      <c r="R38" s="105">
        <f>SUM(R34:R36)</f>
        <v>25389819</v>
      </c>
      <c r="S38" s="361">
        <f>SUM(S34:S36)</f>
        <v>0.82571587741480545</v>
      </c>
      <c r="T38" s="72" t="s">
        <v>1</v>
      </c>
      <c r="U38" s="105">
        <f>SUM(U34:U37)</f>
        <v>25389819</v>
      </c>
      <c r="V38" s="361">
        <f>SUM(V34:V37)</f>
        <v>0.82571587741480545</v>
      </c>
      <c r="W38" s="302"/>
      <c r="X38" s="302"/>
      <c r="Y38" s="302"/>
    </row>
    <row r="39" spans="1:25" x14ac:dyDescent="0.3">
      <c r="A39" s="183"/>
      <c r="B39" s="184"/>
      <c r="C39" s="184"/>
      <c r="D39" s="185"/>
      <c r="K39" s="156" t="s">
        <v>78</v>
      </c>
      <c r="L39" s="1285" t="s">
        <v>1169</v>
      </c>
      <c r="M39" s="1286"/>
      <c r="N39" s="156" t="s">
        <v>78</v>
      </c>
      <c r="O39" s="1285" t="s">
        <v>1169</v>
      </c>
      <c r="P39" s="1286"/>
      <c r="Q39" s="72" t="s">
        <v>9</v>
      </c>
      <c r="R39" s="731"/>
      <c r="S39" s="732"/>
      <c r="T39" s="72" t="s">
        <v>9</v>
      </c>
      <c r="U39" s="841"/>
      <c r="V39" s="842"/>
      <c r="W39" s="302"/>
      <c r="X39" s="302"/>
      <c r="Y39" s="302"/>
    </row>
    <row r="40" spans="1:25" x14ac:dyDescent="0.3">
      <c r="A40" s="183"/>
      <c r="B40" s="184"/>
      <c r="C40" s="184"/>
      <c r="D40" s="185"/>
      <c r="K40" s="157" t="s">
        <v>8</v>
      </c>
      <c r="L40" s="1287" t="s">
        <v>1170</v>
      </c>
      <c r="M40" s="1288"/>
      <c r="N40" s="157" t="s">
        <v>8</v>
      </c>
      <c r="O40" s="1287" t="s">
        <v>1170</v>
      </c>
      <c r="P40" s="1288"/>
      <c r="Q40" s="156" t="s">
        <v>78</v>
      </c>
      <c r="R40" s="1285" t="s">
        <v>1997</v>
      </c>
      <c r="S40" s="1286"/>
      <c r="T40" s="156" t="s">
        <v>78</v>
      </c>
      <c r="U40" s="1285" t="s">
        <v>1997</v>
      </c>
      <c r="V40" s="1286"/>
      <c r="W40" s="302"/>
      <c r="X40" s="302"/>
      <c r="Y40" s="302"/>
    </row>
    <row r="41" spans="1:25" x14ac:dyDescent="0.3">
      <c r="A41" s="183"/>
      <c r="B41" s="184"/>
      <c r="C41" s="184"/>
      <c r="D41" s="185" t="s">
        <v>75</v>
      </c>
      <c r="Q41" s="157" t="s">
        <v>8</v>
      </c>
      <c r="R41" s="1285" t="s">
        <v>1998</v>
      </c>
      <c r="S41" s="1286"/>
      <c r="T41" s="157" t="s">
        <v>8</v>
      </c>
      <c r="U41" s="1285" t="s">
        <v>1998</v>
      </c>
      <c r="V41" s="1286"/>
    </row>
    <row r="42" spans="1:25" x14ac:dyDescent="0.3">
      <c r="A42" s="183" t="s">
        <v>76</v>
      </c>
      <c r="B42" s="180"/>
      <c r="C42" s="180"/>
      <c r="D42" s="185" t="s">
        <v>77</v>
      </c>
    </row>
    <row r="43" spans="1:25" ht="26.4" x14ac:dyDescent="0.3">
      <c r="A43" s="183" t="s">
        <v>79</v>
      </c>
      <c r="B43" s="180"/>
      <c r="C43" s="180"/>
      <c r="D43" s="185" t="s">
        <v>80</v>
      </c>
    </row>
  </sheetData>
  <sheetProtection formatCells="0" formatColumns="0" formatRows="0" insertColumns="0" insertRows="0" insertHyperlinks="0" deleteColumns="0" deleteRows="0" sort="0" autoFilter="0" pivotTables="0"/>
  <mergeCells count="37">
    <mergeCell ref="L40:M40"/>
    <mergeCell ref="A8:Y8"/>
    <mergeCell ref="A9:Y9"/>
    <mergeCell ref="A10:Y10"/>
    <mergeCell ref="B11:J11"/>
    <mergeCell ref="K11:M12"/>
    <mergeCell ref="W11:Y12"/>
    <mergeCell ref="B12:J12"/>
    <mergeCell ref="N11:P12"/>
    <mergeCell ref="O38:P38"/>
    <mergeCell ref="O39:P39"/>
    <mergeCell ref="O40:P40"/>
    <mergeCell ref="R40:S40"/>
    <mergeCell ref="T11:V12"/>
    <mergeCell ref="U40:V40"/>
    <mergeCell ref="L39:M39"/>
    <mergeCell ref="W1:Y1"/>
    <mergeCell ref="W2:Y2"/>
    <mergeCell ref="A3:Y3"/>
    <mergeCell ref="A4:Y4"/>
    <mergeCell ref="C1:P2"/>
    <mergeCell ref="U41:V41"/>
    <mergeCell ref="R41:S41"/>
    <mergeCell ref="A5:Y5"/>
    <mergeCell ref="A6:Y6"/>
    <mergeCell ref="A7:Y7"/>
    <mergeCell ref="A21:A23"/>
    <mergeCell ref="B21:B23"/>
    <mergeCell ref="J21:J23"/>
    <mergeCell ref="A14:A17"/>
    <mergeCell ref="B14:B17"/>
    <mergeCell ref="J14:J17"/>
    <mergeCell ref="A18:A20"/>
    <mergeCell ref="B18:B20"/>
    <mergeCell ref="J18:J20"/>
    <mergeCell ref="Q11:S12"/>
    <mergeCell ref="L38:M38"/>
  </mergeCells>
  <pageMargins left="0.7" right="0.7" top="0.75" bottom="0.75" header="0.3" footer="0.3"/>
  <pageSetup scale="74" orientation="landscape" r:id="rId1"/>
  <drawing r:id="rId2"/>
  <legacyDrawing r:id="rId3"/>
  <legacyDrawingHF r:id="rId4"/>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9">
    <tabColor theme="1"/>
  </sheetPr>
  <dimension ref="A1:G49"/>
  <sheetViews>
    <sheetView topLeftCell="A7" zoomScaleNormal="100" workbookViewId="0">
      <selection activeCell="F28" sqref="F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RESUMEN!G66</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RESUMEN!B66</f>
        <v>D00235291</v>
      </c>
      <c r="C7" s="1265"/>
      <c r="D7" s="1177"/>
      <c r="E7" s="1266" t="s">
        <v>627</v>
      </c>
      <c r="F7" s="1267"/>
      <c r="G7" s="280" t="str">
        <f>RESUMEN!E66</f>
        <v>17-288</v>
      </c>
    </row>
    <row r="8" spans="1:7" x14ac:dyDescent="0.25">
      <c r="A8" s="271" t="s">
        <v>628</v>
      </c>
      <c r="B8" s="1264" t="str">
        <f>RESUMEN!C66</f>
        <v>D00235291000</v>
      </c>
      <c r="C8" s="1265"/>
      <c r="D8" s="1177"/>
      <c r="E8" s="1266" t="s">
        <v>629</v>
      </c>
      <c r="F8" s="1267"/>
      <c r="G8" s="280" t="str">
        <f>RESUMEN!U66</f>
        <v>Acta N° 4: Febrero</v>
      </c>
    </row>
    <row r="9" spans="1:7" x14ac:dyDescent="0.25">
      <c r="A9" s="271" t="s">
        <v>630</v>
      </c>
      <c r="B9" s="1283" t="s">
        <v>631</v>
      </c>
      <c r="C9" s="1265"/>
      <c r="D9" s="1177"/>
      <c r="E9" s="1266" t="s">
        <v>632</v>
      </c>
      <c r="F9" s="1267"/>
      <c r="G9" s="1178">
        <f>RESUMEN!H66</f>
        <v>25350374</v>
      </c>
    </row>
    <row r="10" spans="1:7" x14ac:dyDescent="0.25">
      <c r="A10" s="271" t="s">
        <v>633</v>
      </c>
      <c r="B10" s="1283" t="str">
        <f>RESUMEN!D66</f>
        <v>CAPARRAPI</v>
      </c>
      <c r="C10" s="1265"/>
      <c r="D10" s="1177"/>
      <c r="E10" s="1266" t="s">
        <v>634</v>
      </c>
      <c r="F10" s="1267"/>
      <c r="G10" s="1178">
        <f>RESUMEN!R66</f>
        <v>3148936</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",RESUMEN!G66)</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RESUMEN!N66</f>
        <v>3102400</v>
      </c>
      <c r="F19" s="1248"/>
      <c r="G19" s="1177"/>
    </row>
    <row r="20" spans="1:7" ht="27" customHeight="1" x14ac:dyDescent="0.25">
      <c r="A20" s="1177"/>
      <c r="B20" s="1244" t="s">
        <v>1498</v>
      </c>
      <c r="C20" s="1245"/>
      <c r="D20" s="1246"/>
      <c r="E20" s="1247">
        <f>RESUMEN!P66</f>
        <v>0</v>
      </c>
      <c r="F20" s="1248"/>
      <c r="G20" s="1177"/>
    </row>
    <row r="21" spans="1:7" ht="27" customHeight="1" x14ac:dyDescent="0.25">
      <c r="A21" s="1177"/>
      <c r="B21" s="1244" t="s">
        <v>1499</v>
      </c>
      <c r="C21" s="1245"/>
      <c r="D21" s="1246"/>
      <c r="E21" s="1247">
        <f>RESUMEN!Q66</f>
        <v>46536</v>
      </c>
      <c r="F21" s="1248"/>
      <c r="G21" s="1177"/>
    </row>
    <row r="22" spans="1:7" x14ac:dyDescent="0.25">
      <c r="A22" s="1177"/>
      <c r="B22" s="1254" t="s">
        <v>64</v>
      </c>
      <c r="C22" s="1254"/>
      <c r="D22" s="1254"/>
      <c r="E22" s="1255">
        <f>RESUMEN!R66</f>
        <v>3148936</v>
      </c>
      <c r="F22" s="1255"/>
      <c r="G22" s="1177"/>
    </row>
    <row r="23" spans="1:7" x14ac:dyDescent="0.25">
      <c r="A23" s="1177"/>
      <c r="B23" s="1256" t="s">
        <v>66</v>
      </c>
      <c r="C23" s="1256"/>
      <c r="D23" s="1256"/>
      <c r="E23" s="1257">
        <f>RESUMEN!S66</f>
        <v>598298</v>
      </c>
      <c r="F23" s="1257"/>
      <c r="G23" s="1177"/>
    </row>
    <row r="24" spans="1:7" x14ac:dyDescent="0.25">
      <c r="A24" s="1177"/>
      <c r="B24" s="1258" t="s">
        <v>1</v>
      </c>
      <c r="C24" s="1258"/>
      <c r="D24" s="1258"/>
      <c r="E24" s="1259">
        <f>RESUMEN!T66</f>
        <v>3747234</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+'OT17-288 CAPARRAPÍ'!T29</f>
        <v>ACTA 1</v>
      </c>
      <c r="C28" s="1253">
        <f>+'OT17-288 CAPARRAPÍ'!U29</f>
        <v>7833265.3600000003</v>
      </c>
      <c r="D28" s="1253"/>
      <c r="E28" s="267">
        <f>+'OT17-288 CAPARRAPÍ'!V29</f>
        <v>0.30624379769463544</v>
      </c>
      <c r="F28" s="1177"/>
      <c r="G28" s="1177"/>
    </row>
    <row r="29" spans="1:7" x14ac:dyDescent="0.25">
      <c r="A29" s="1177"/>
      <c r="B29" s="280" t="str">
        <f>+'OT17-288 CAPARRAPÍ'!T30</f>
        <v>ACTA 2</v>
      </c>
      <c r="C29" s="1253">
        <f>+'OT17-288 CAPARRAPÍ'!U30</f>
        <v>11707436</v>
      </c>
      <c r="D29" s="1253"/>
      <c r="E29" s="267">
        <f>+'OT17-288 CAPARRAPÍ'!V30</f>
        <v>0.45770563068310144</v>
      </c>
      <c r="F29" s="1177"/>
      <c r="G29" s="1177"/>
    </row>
    <row r="30" spans="1:7" x14ac:dyDescent="0.25">
      <c r="A30" s="1177"/>
      <c r="B30" s="280" t="str">
        <f>+'OT17-288 CAPARRAPÍ'!T31</f>
        <v>ACTA 3</v>
      </c>
      <c r="C30" s="1253">
        <f>+'OT17-288 CAPARRAPÍ'!U31</f>
        <v>3307871</v>
      </c>
      <c r="D30" s="1253"/>
      <c r="E30" s="267">
        <f>+'OT17-288 CAPARRAPÍ'!V31</f>
        <v>0.12932218312133772</v>
      </c>
      <c r="F30" s="1177"/>
      <c r="G30" s="1177"/>
    </row>
    <row r="31" spans="1:7" x14ac:dyDescent="0.25">
      <c r="A31" s="1177"/>
      <c r="B31" s="280" t="str">
        <f>+'OT17-288 CAPARRAPÍ'!T32</f>
        <v>ACTA 4</v>
      </c>
      <c r="C31" s="1253">
        <f>+'OT17-288 CAPARRAPÍ'!U32</f>
        <v>3148936</v>
      </c>
      <c r="D31" s="1253"/>
      <c r="E31" s="267">
        <f>+'OT17-288 CAPARRAPÍ'!V32</f>
        <v>0.12310857286435072</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25997508.359999999</v>
      </c>
      <c r="D34" s="1251"/>
      <c r="E34" s="264">
        <f>SUM(E28:E33)</f>
        <v>1.0163801843634253</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RESUMEN!V66</f>
        <v xml:space="preserve">Ing. Manuel Urbina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5">
    <tabColor rgb="FF72104A"/>
  </sheetPr>
  <dimension ref="A1:Y38"/>
  <sheetViews>
    <sheetView view="pageBreakPreview" topLeftCell="A4" zoomScale="60" zoomScaleNormal="70" workbookViewId="0">
      <selection activeCell="K52" sqref="K52"/>
    </sheetView>
  </sheetViews>
  <sheetFormatPr baseColWidth="10" defaultColWidth="9.109375" defaultRowHeight="14.4" x14ac:dyDescent="0.3"/>
  <cols>
    <col min="1" max="1" width="13.6640625" style="189" customWidth="1"/>
    <col min="2" max="2" width="22" style="189" customWidth="1"/>
    <col min="3" max="3" width="31" style="189" customWidth="1"/>
    <col min="4" max="4" width="24" style="189" customWidth="1"/>
    <col min="5" max="5" width="13" style="212" customWidth="1"/>
    <col min="6" max="6" width="17.88671875" style="189" customWidth="1"/>
    <col min="7" max="7" width="17.88671875" style="852" customWidth="1"/>
    <col min="8" max="8" width="18" style="189" bestFit="1" customWidth="1"/>
    <col min="9" max="9" width="18" style="852" customWidth="1"/>
    <col min="10" max="10" width="31.109375" style="189" customWidth="1"/>
    <col min="11" max="11" width="17.88671875" style="189" hidden="1" customWidth="1"/>
    <col min="12" max="12" width="18" style="189" hidden="1" customWidth="1"/>
    <col min="13" max="13" width="9.109375" style="189" hidden="1" customWidth="1"/>
    <col min="14" max="14" width="17.88671875" style="189" hidden="1" customWidth="1"/>
    <col min="15" max="15" width="18" style="189" hidden="1" customWidth="1"/>
    <col min="16" max="16" width="9.109375" style="189" hidden="1" customWidth="1"/>
    <col min="17" max="17" width="17.88671875" style="738" hidden="1" customWidth="1"/>
    <col min="18" max="18" width="18" style="738" hidden="1" customWidth="1"/>
    <col min="19" max="19" width="9.109375" style="738" hidden="1" customWidth="1"/>
    <col min="20" max="20" width="17.88671875" style="852" bestFit="1" customWidth="1"/>
    <col min="21" max="21" width="18" style="852" customWidth="1"/>
    <col min="22" max="22" width="9.109375" style="852"/>
    <col min="23" max="23" width="17.88671875" style="189" bestFit="1" customWidth="1"/>
    <col min="24" max="24" width="18.6640625" style="189" customWidth="1"/>
    <col min="25" max="16384" width="9.109375" style="189"/>
  </cols>
  <sheetData>
    <row r="1" spans="1:25" s="302" customFormat="1" ht="15" thickBot="1" x14ac:dyDescent="0.35">
      <c r="A1" s="169"/>
      <c r="B1" s="188"/>
      <c r="C1" s="1307" t="s">
        <v>40</v>
      </c>
      <c r="D1" s="1308"/>
      <c r="E1" s="1308"/>
      <c r="F1" s="1308"/>
      <c r="G1" s="1308"/>
      <c r="H1" s="1308"/>
      <c r="I1" s="1308"/>
      <c r="J1" s="1308"/>
      <c r="K1" s="1308"/>
      <c r="L1" s="1308"/>
      <c r="M1" s="1308"/>
      <c r="N1" s="1308"/>
      <c r="O1" s="1308"/>
      <c r="P1" s="1309"/>
      <c r="Q1" s="733"/>
      <c r="R1" s="733"/>
      <c r="S1" s="733"/>
      <c r="T1" s="846"/>
      <c r="U1" s="846"/>
      <c r="V1" s="846"/>
      <c r="W1" s="1328" t="s">
        <v>1117</v>
      </c>
      <c r="X1" s="1303"/>
      <c r="Y1" s="1304"/>
    </row>
    <row r="2" spans="1:25" s="302" customFormat="1" ht="13.5" customHeight="1" thickBot="1" x14ac:dyDescent="0.35">
      <c r="A2" s="170"/>
      <c r="B2" s="190"/>
      <c r="C2" s="1310"/>
      <c r="D2" s="1311"/>
      <c r="E2" s="1311"/>
      <c r="F2" s="1311"/>
      <c r="G2" s="1311"/>
      <c r="H2" s="1311"/>
      <c r="I2" s="1311"/>
      <c r="J2" s="1311"/>
      <c r="K2" s="1311"/>
      <c r="L2" s="1311"/>
      <c r="M2" s="1311"/>
      <c r="N2" s="1311"/>
      <c r="O2" s="1311"/>
      <c r="P2" s="1312"/>
      <c r="Q2" s="734"/>
      <c r="R2" s="734"/>
      <c r="S2" s="734"/>
      <c r="T2" s="847"/>
      <c r="U2" s="847"/>
      <c r="V2" s="847"/>
      <c r="W2" s="1329" t="s">
        <v>41</v>
      </c>
      <c r="X2" s="1305"/>
      <c r="Y2" s="1306"/>
    </row>
    <row r="3" spans="1:25"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s="302" customFormat="1"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s="302" customFormat="1" ht="13.5" customHeight="1" x14ac:dyDescent="0.3">
      <c r="A8" s="1292" t="s">
        <v>2090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s="302" customFormat="1" ht="13.5" customHeight="1" x14ac:dyDescent="0.3">
      <c r="A9" s="1292" t="s">
        <v>2087</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s="302" customFormat="1" ht="13.5" customHeight="1" x14ac:dyDescent="0.3">
      <c r="A10" s="1292" t="s">
        <v>1175</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s="302" customFormat="1" ht="13.5" customHeight="1" x14ac:dyDescent="0.3">
      <c r="A11" s="387"/>
      <c r="B11" s="1301"/>
      <c r="C11" s="1313"/>
      <c r="D11" s="1313"/>
      <c r="E11" s="1313"/>
      <c r="F11" s="1313"/>
      <c r="G11" s="1313"/>
      <c r="H11" s="1313"/>
      <c r="I11" s="1313"/>
      <c r="J11" s="1313"/>
      <c r="K11" s="1293" t="s">
        <v>986</v>
      </c>
      <c r="L11" s="1294"/>
      <c r="M11" s="1295"/>
      <c r="N11" s="1293" t="s">
        <v>1430</v>
      </c>
      <c r="O11" s="1294"/>
      <c r="P11" s="1295"/>
      <c r="Q11" s="1293" t="s">
        <v>1978</v>
      </c>
      <c r="R11" s="1294"/>
      <c r="S11" s="1295"/>
      <c r="T11" s="1293" t="s">
        <v>2091</v>
      </c>
      <c r="U11" s="1294"/>
      <c r="V11" s="1295"/>
      <c r="W11" s="1299" t="s">
        <v>49</v>
      </c>
      <c r="X11" s="1299"/>
      <c r="Y11" s="1299"/>
    </row>
    <row r="12" spans="1:25"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00"/>
      <c r="X12" s="1300"/>
      <c r="Y12" s="1300"/>
    </row>
    <row r="13" spans="1:25"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28" t="s">
        <v>54</v>
      </c>
      <c r="U13" s="28" t="s">
        <v>56</v>
      </c>
      <c r="V13" s="28" t="s">
        <v>58</v>
      </c>
      <c r="W13" s="174" t="s">
        <v>54</v>
      </c>
      <c r="X13" s="172" t="s">
        <v>56</v>
      </c>
      <c r="Y13" s="28" t="s">
        <v>58</v>
      </c>
    </row>
    <row r="14" spans="1:25" ht="30" customHeight="1" x14ac:dyDescent="0.3">
      <c r="A14" s="1314" t="s">
        <v>1172</v>
      </c>
      <c r="B14" s="1314" t="s">
        <v>320</v>
      </c>
      <c r="C14" s="388" t="s">
        <v>59</v>
      </c>
      <c r="D14" s="388" t="s">
        <v>321</v>
      </c>
      <c r="E14" s="191">
        <v>1</v>
      </c>
      <c r="F14" s="192">
        <v>6024196</v>
      </c>
      <c r="G14" s="32">
        <f>+ROUND(F14*1.051,0)</f>
        <v>6331430</v>
      </c>
      <c r="H14" s="192">
        <f>ROUND((E14*F14),0)</f>
        <v>6024196</v>
      </c>
      <c r="I14" s="32">
        <f>+ROUND(G14*E14,0)</f>
        <v>6331430</v>
      </c>
      <c r="J14" s="1314" t="s">
        <v>1173</v>
      </c>
      <c r="K14" s="433">
        <v>0.3</v>
      </c>
      <c r="L14" s="429">
        <f>ROUND(K14*$F$14,0)</f>
        <v>1807259</v>
      </c>
      <c r="M14" s="430">
        <f>L14/$H$14</f>
        <v>0.30000003319945101</v>
      </c>
      <c r="N14" s="433">
        <f>0.7*65%</f>
        <v>0.45499999999999996</v>
      </c>
      <c r="O14" s="429">
        <f>ROUND(N14*$F$14,0)</f>
        <v>2741009</v>
      </c>
      <c r="P14" s="430">
        <f>O14/$H$14</f>
        <v>0.45499997012049409</v>
      </c>
      <c r="Q14" s="432">
        <v>0</v>
      </c>
      <c r="R14" s="425">
        <f>ROUND(Q14*$F$17,0)</f>
        <v>0</v>
      </c>
      <c r="S14" s="426">
        <f>R14/$H$17</f>
        <v>0</v>
      </c>
      <c r="T14" s="433">
        <f>+E14-K14-N14-Q14</f>
        <v>0.245</v>
      </c>
      <c r="U14" s="429">
        <f>ROUND(T14*G14,0)</f>
        <v>1551200</v>
      </c>
      <c r="V14" s="430">
        <f>U14/H14</f>
        <v>0.25749494206363804</v>
      </c>
      <c r="W14" s="149">
        <f>K14+N14+Q14+T14</f>
        <v>0.99999999999999989</v>
      </c>
      <c r="X14" s="175">
        <f>L14+O14+R14+U14</f>
        <v>6099468</v>
      </c>
      <c r="Y14" s="176">
        <f t="shared" ref="Y14" si="0">X14/H14</f>
        <v>1.0124949453835832</v>
      </c>
    </row>
    <row r="15" spans="1:25" ht="30" customHeight="1" x14ac:dyDescent="0.3">
      <c r="A15" s="1314"/>
      <c r="B15" s="1314"/>
      <c r="C15" s="388" t="s">
        <v>61</v>
      </c>
      <c r="D15" s="388" t="s">
        <v>322</v>
      </c>
      <c r="E15" s="191">
        <v>1</v>
      </c>
      <c r="F15" s="192">
        <v>6650991</v>
      </c>
      <c r="G15" s="32">
        <f>+ROUND(F15*1.051,0)</f>
        <v>6990192</v>
      </c>
      <c r="H15" s="192">
        <f>ROUND((E15*F15),0)</f>
        <v>6650991</v>
      </c>
      <c r="I15" s="32">
        <f>+ROUND(G15*E15,0)</f>
        <v>6990192</v>
      </c>
      <c r="J15" s="1314"/>
      <c r="K15" s="433">
        <v>0.3</v>
      </c>
      <c r="L15" s="429">
        <f>ROUND(K15*$F$15,0)</f>
        <v>1995297</v>
      </c>
      <c r="M15" s="430">
        <f>L15/$H$15</f>
        <v>0.29999995489393988</v>
      </c>
      <c r="N15" s="433">
        <f>0.7*65%</f>
        <v>0.45499999999999996</v>
      </c>
      <c r="O15" s="429">
        <f>ROUND(N15*$F$15,0)</f>
        <v>3026201</v>
      </c>
      <c r="P15" s="430">
        <f>O15/$H$15</f>
        <v>0.45500001428358572</v>
      </c>
      <c r="Q15" s="433">
        <f>0.7*35%</f>
        <v>0.24499999999999997</v>
      </c>
      <c r="R15" s="429">
        <f>ROUND(Q15*$F$15,0)</f>
        <v>1629493</v>
      </c>
      <c r="S15" s="430">
        <f>R15/$H$15</f>
        <v>0.24500003082247443</v>
      </c>
      <c r="T15" s="432">
        <f>+E15-K15-N15-Q15</f>
        <v>0</v>
      </c>
      <c r="U15" s="425">
        <f>ROUND(T15*G15,0)</f>
        <v>0</v>
      </c>
      <c r="V15" s="426">
        <f>U15/H15</f>
        <v>0</v>
      </c>
      <c r="W15" s="416">
        <f>K15+N15+Q15+T15</f>
        <v>0.99999999999999989</v>
      </c>
      <c r="X15" s="175">
        <f>L15+O15+R15+U15</f>
        <v>6650991</v>
      </c>
      <c r="Y15" s="176">
        <f t="shared" ref="Y15" si="1">X15/H15</f>
        <v>1</v>
      </c>
    </row>
    <row r="16" spans="1:25" x14ac:dyDescent="0.3">
      <c r="A16" s="1314"/>
      <c r="B16" s="1314"/>
      <c r="C16" s="196"/>
      <c r="D16" s="196" t="s">
        <v>143</v>
      </c>
      <c r="E16" s="197"/>
      <c r="F16" s="198"/>
      <c r="G16" s="198"/>
      <c r="H16" s="199">
        <f>SUM(H14:H15)</f>
        <v>12675187</v>
      </c>
      <c r="I16" s="199">
        <f>SUM(I14:I15)</f>
        <v>13321622</v>
      </c>
      <c r="J16" s="1314"/>
      <c r="K16" s="308"/>
      <c r="L16" s="179">
        <f>SUM(L14:L15)</f>
        <v>3802556</v>
      </c>
      <c r="M16" s="308">
        <f>L16/$H$16</f>
        <v>0.29999999211057005</v>
      </c>
      <c r="N16" s="431"/>
      <c r="O16" s="179">
        <f>SUM(O14:O15)</f>
        <v>5767210</v>
      </c>
      <c r="P16" s="431">
        <f>O16/$H$16</f>
        <v>0.45499999329398455</v>
      </c>
      <c r="Q16" s="431"/>
      <c r="R16" s="179">
        <f>SUM(R14:R15)</f>
        <v>1629493</v>
      </c>
      <c r="S16" s="431">
        <f>R16/$H$16</f>
        <v>0.12855770885273723</v>
      </c>
      <c r="T16" s="431"/>
      <c r="U16" s="179">
        <f>SUM(U14:U15)</f>
        <v>1551200</v>
      </c>
      <c r="V16" s="431">
        <f>U16/$H$16</f>
        <v>0.12238083745825604</v>
      </c>
      <c r="W16" s="306"/>
      <c r="X16" s="307">
        <f>SUM(X14:X15)</f>
        <v>12750459</v>
      </c>
      <c r="Y16" s="308">
        <f>X16/H16</f>
        <v>1.0059385317155478</v>
      </c>
    </row>
    <row r="17" spans="1:25" ht="30" customHeight="1" x14ac:dyDescent="0.3">
      <c r="A17" s="1314" t="s">
        <v>814</v>
      </c>
      <c r="B17" s="1314" t="s">
        <v>320</v>
      </c>
      <c r="C17" s="388" t="s">
        <v>59</v>
      </c>
      <c r="D17" s="388" t="s">
        <v>321</v>
      </c>
      <c r="E17" s="191">
        <v>1</v>
      </c>
      <c r="F17" s="192">
        <v>6024196</v>
      </c>
      <c r="G17" s="32">
        <f t="shared" ref="G17:G18" si="2">+ROUND(F17*1.051,0)</f>
        <v>6331430</v>
      </c>
      <c r="H17" s="192">
        <f>ROUND((E17*F17),0)</f>
        <v>6024196</v>
      </c>
      <c r="I17" s="32">
        <f t="shared" ref="I17:I18" si="3">+ROUND(G17*E17,0)</f>
        <v>6331430</v>
      </c>
      <c r="J17" s="1314" t="s">
        <v>1174</v>
      </c>
      <c r="K17" s="433">
        <v>0.3</v>
      </c>
      <c r="L17" s="429">
        <f>ROUND(K17*$F$17,0)</f>
        <v>1807259</v>
      </c>
      <c r="M17" s="430">
        <f>L17/$H$17</f>
        <v>0.30000003319945101</v>
      </c>
      <c r="N17" s="433">
        <f>0.7*65%</f>
        <v>0.45499999999999996</v>
      </c>
      <c r="O17" s="429">
        <f>ROUND(N17*$F$17,0)</f>
        <v>2741009</v>
      </c>
      <c r="P17" s="430">
        <f>O17/$H$17</f>
        <v>0.45499997012049409</v>
      </c>
      <c r="Q17" s="432">
        <v>0</v>
      </c>
      <c r="R17" s="425">
        <f>ROUND(Q17*$F$17,0)</f>
        <v>0</v>
      </c>
      <c r="S17" s="426">
        <f>R17/$H$17</f>
        <v>0</v>
      </c>
      <c r="T17" s="433">
        <f>+E17-K17-N17-Q17</f>
        <v>0.245</v>
      </c>
      <c r="U17" s="429">
        <f t="shared" ref="U17:U18" si="4">ROUND(T17*G17,0)</f>
        <v>1551200</v>
      </c>
      <c r="V17" s="430">
        <f>U17/H17</f>
        <v>0.25749494206363804</v>
      </c>
      <c r="W17" s="416">
        <f t="shared" ref="W17:W18" si="5">K17+N17+Q17+T17</f>
        <v>0.99999999999999989</v>
      </c>
      <c r="X17" s="175">
        <f t="shared" ref="X17:X18" si="6">L17+O17+R17+U17</f>
        <v>6099468</v>
      </c>
      <c r="Y17" s="176">
        <f t="shared" ref="Y17:Y18" si="7">X17/H17</f>
        <v>1.0124949453835832</v>
      </c>
    </row>
    <row r="18" spans="1:25" ht="30" customHeight="1" x14ac:dyDescent="0.3">
      <c r="A18" s="1314"/>
      <c r="B18" s="1314"/>
      <c r="C18" s="388" t="s">
        <v>61</v>
      </c>
      <c r="D18" s="388" t="s">
        <v>322</v>
      </c>
      <c r="E18" s="191">
        <v>1</v>
      </c>
      <c r="F18" s="192">
        <v>6650991</v>
      </c>
      <c r="G18" s="32">
        <f t="shared" si="2"/>
        <v>6990192</v>
      </c>
      <c r="H18" s="192">
        <f>ROUND((E18*F18),0)</f>
        <v>6650991</v>
      </c>
      <c r="I18" s="32">
        <f t="shared" si="3"/>
        <v>6990192</v>
      </c>
      <c r="J18" s="1314"/>
      <c r="K18" s="433">
        <v>0.3</v>
      </c>
      <c r="L18" s="429">
        <f>ROUND(K18*$F$18,0)</f>
        <v>1995297</v>
      </c>
      <c r="M18" s="430">
        <f>L18/$H$18</f>
        <v>0.29999995489393988</v>
      </c>
      <c r="N18" s="433">
        <f>0.7*65%</f>
        <v>0.45499999999999996</v>
      </c>
      <c r="O18" s="429">
        <f>ROUND(N18*$F$18,0)</f>
        <v>3026201</v>
      </c>
      <c r="P18" s="430">
        <f>O18/$H$18</f>
        <v>0.45500001428358572</v>
      </c>
      <c r="Q18" s="433">
        <f>0.7*35%</f>
        <v>0.24499999999999997</v>
      </c>
      <c r="R18" s="429">
        <f>ROUND(Q18*$F$18,0)</f>
        <v>1629493</v>
      </c>
      <c r="S18" s="430">
        <f>R18/$H$18</f>
        <v>0.24500003082247443</v>
      </c>
      <c r="T18" s="432">
        <f>+E18-K18-N18-Q18</f>
        <v>0</v>
      </c>
      <c r="U18" s="425">
        <f t="shared" si="4"/>
        <v>0</v>
      </c>
      <c r="V18" s="426">
        <f>U18/H18</f>
        <v>0</v>
      </c>
      <c r="W18" s="416">
        <f t="shared" si="5"/>
        <v>0.99999999999999989</v>
      </c>
      <c r="X18" s="175">
        <f t="shared" si="6"/>
        <v>6650991</v>
      </c>
      <c r="Y18" s="176">
        <f t="shared" si="7"/>
        <v>1</v>
      </c>
    </row>
    <row r="19" spans="1:25" x14ac:dyDescent="0.3">
      <c r="A19" s="1314"/>
      <c r="B19" s="1314"/>
      <c r="C19" s="196"/>
      <c r="D19" s="196" t="s">
        <v>143</v>
      </c>
      <c r="E19" s="197"/>
      <c r="F19" s="198"/>
      <c r="G19" s="198"/>
      <c r="H19" s="199">
        <f>SUM(H17:H18)</f>
        <v>12675187</v>
      </c>
      <c r="I19" s="199">
        <f>SUM(I17:I18)</f>
        <v>13321622</v>
      </c>
      <c r="J19" s="1314"/>
      <c r="K19" s="308"/>
      <c r="L19" s="179">
        <f>SUM(L17:L18)</f>
        <v>3802556</v>
      </c>
      <c r="M19" s="308">
        <f>L19/$H$19</f>
        <v>0.29999999211057005</v>
      </c>
      <c r="N19" s="431"/>
      <c r="O19" s="179">
        <f>SUM(O17:O18)</f>
        <v>5767210</v>
      </c>
      <c r="P19" s="431">
        <f>O19/$H$19</f>
        <v>0.45499999329398455</v>
      </c>
      <c r="Q19" s="431"/>
      <c r="R19" s="179">
        <f>SUM(R17:R18)</f>
        <v>1629493</v>
      </c>
      <c r="S19" s="431">
        <f>R19/$H$19</f>
        <v>0.12855770885273723</v>
      </c>
      <c r="T19" s="431"/>
      <c r="U19" s="179">
        <f>SUM(U17:U18)</f>
        <v>1551200</v>
      </c>
      <c r="V19" s="431">
        <f>U19/$H$19</f>
        <v>0.12238083745825604</v>
      </c>
      <c r="W19" s="306"/>
      <c r="X19" s="307">
        <f>SUM(X17:X18)</f>
        <v>12750459</v>
      </c>
      <c r="Y19" s="308">
        <f>X19/H19</f>
        <v>1.0059385317155478</v>
      </c>
    </row>
    <row r="20" spans="1:25" x14ac:dyDescent="0.3">
      <c r="F20" s="151" t="s">
        <v>64</v>
      </c>
      <c r="G20" s="151"/>
      <c r="H20" s="181">
        <f>SUM(H5:H19)/2</f>
        <v>25350374</v>
      </c>
      <c r="I20" s="181">
        <f>SUM(I5:I19)/2</f>
        <v>26643244</v>
      </c>
      <c r="K20" s="151" t="s">
        <v>64</v>
      </c>
      <c r="L20" s="181">
        <f>SUM(L5:L19)/2</f>
        <v>7605112</v>
      </c>
      <c r="N20" s="480" t="s">
        <v>64</v>
      </c>
      <c r="O20" s="481">
        <f>SUM(O5:O19)/2</f>
        <v>11534420</v>
      </c>
      <c r="Q20" s="480" t="s">
        <v>64</v>
      </c>
      <c r="R20" s="481">
        <f>SUM(R5:R19)/2</f>
        <v>3258986</v>
      </c>
      <c r="T20" s="480" t="s">
        <v>64</v>
      </c>
      <c r="U20" s="481">
        <f>SUM(U5:U19)/2</f>
        <v>3102400</v>
      </c>
      <c r="W20" s="480" t="s">
        <v>64</v>
      </c>
      <c r="X20" s="481">
        <f>SUM(X5:X19)/2</f>
        <v>25500918</v>
      </c>
    </row>
    <row r="21" spans="1:25" x14ac:dyDescent="0.3">
      <c r="F21" s="153" t="s">
        <v>65</v>
      </c>
      <c r="G21" s="153"/>
      <c r="H21" s="550">
        <f>(((H16+H19)*0.3))*0.03</f>
        <v>228153.36599999998</v>
      </c>
      <c r="I21" s="550">
        <f>(((I16+I19)*0.3))*0.03</f>
        <v>239789.19599999997</v>
      </c>
      <c r="K21" s="153" t="s">
        <v>65</v>
      </c>
      <c r="L21" s="181">
        <f>((L16*0.03)+(L19*0.03))</f>
        <v>228153.36</v>
      </c>
      <c r="N21" s="482" t="s">
        <v>65</v>
      </c>
      <c r="O21" s="514">
        <v>0</v>
      </c>
      <c r="Q21" s="482" t="s">
        <v>65</v>
      </c>
      <c r="R21" s="514">
        <v>0</v>
      </c>
      <c r="T21" s="482" t="s">
        <v>65</v>
      </c>
      <c r="U21" s="514">
        <v>0</v>
      </c>
      <c r="W21" s="482" t="s">
        <v>65</v>
      </c>
      <c r="X21" s="481">
        <f>+L21+O21+R21+U21</f>
        <v>228153.36</v>
      </c>
    </row>
    <row r="22" spans="1:25" x14ac:dyDescent="0.3">
      <c r="F22" s="152" t="s">
        <v>64</v>
      </c>
      <c r="G22" s="152"/>
      <c r="H22" s="340">
        <f>SUM(H20:H21)</f>
        <v>25578527.366</v>
      </c>
      <c r="I22" s="340">
        <f>SUM(I20:I21)</f>
        <v>26883033.195999999</v>
      </c>
      <c r="K22" s="152" t="s">
        <v>64</v>
      </c>
      <c r="L22" s="340">
        <f>SUM(L20:L21)</f>
        <v>7833265.3600000003</v>
      </c>
      <c r="M22" s="614">
        <f>L22/$H$22</f>
        <v>0.30624379769463544</v>
      </c>
      <c r="N22" s="484" t="s">
        <v>64</v>
      </c>
      <c r="O22" s="550">
        <f>SUM(O20:O21)</f>
        <v>11534420</v>
      </c>
      <c r="Q22" s="484" t="s">
        <v>64</v>
      </c>
      <c r="R22" s="550">
        <f>SUM(R20:R21)</f>
        <v>3258986</v>
      </c>
      <c r="T22" s="484" t="s">
        <v>64</v>
      </c>
      <c r="U22" s="550">
        <f>SUM(U20:U21)</f>
        <v>3102400</v>
      </c>
      <c r="W22" s="484" t="s">
        <v>64</v>
      </c>
      <c r="X22" s="550">
        <f>SUM(X20:X21)</f>
        <v>25729071.359999999</v>
      </c>
    </row>
    <row r="23" spans="1:25" ht="26.4" x14ac:dyDescent="0.3">
      <c r="F23" s="152"/>
      <c r="G23" s="152"/>
      <c r="H23" s="340"/>
      <c r="I23" s="340"/>
      <c r="K23" s="152"/>
      <c r="L23" s="340"/>
      <c r="M23" s="131"/>
      <c r="N23" s="484" t="s">
        <v>1439</v>
      </c>
      <c r="O23" s="481">
        <f>ROUND(O22*0.015,0)</f>
        <v>173016</v>
      </c>
      <c r="P23" s="131"/>
      <c r="Q23" s="484" t="s">
        <v>1439</v>
      </c>
      <c r="R23" s="481">
        <f>ROUND(R22*0.015,0)</f>
        <v>48885</v>
      </c>
      <c r="S23" s="131"/>
      <c r="T23" s="484" t="s">
        <v>1439</v>
      </c>
      <c r="U23" s="481">
        <f>ROUND(U22*0.015,0)</f>
        <v>46536</v>
      </c>
      <c r="V23" s="131"/>
      <c r="W23" s="484" t="s">
        <v>1439</v>
      </c>
      <c r="X23" s="550">
        <f>L23+O23+R23+U23</f>
        <v>268437</v>
      </c>
      <c r="Y23" s="131"/>
    </row>
    <row r="24" spans="1:25" ht="26.4" x14ac:dyDescent="0.3">
      <c r="F24" s="152"/>
      <c r="G24" s="152"/>
      <c r="H24" s="340"/>
      <c r="I24" s="340"/>
      <c r="K24" s="152"/>
      <c r="L24" s="340"/>
      <c r="M24" s="131"/>
      <c r="N24" s="152" t="s">
        <v>1440</v>
      </c>
      <c r="O24" s="182">
        <f>O22+O23</f>
        <v>11707436</v>
      </c>
      <c r="P24" s="584">
        <f>O24/$H$22</f>
        <v>0.45770563068310144</v>
      </c>
      <c r="Q24" s="152" t="s">
        <v>1440</v>
      </c>
      <c r="R24" s="182">
        <f>R22+R23</f>
        <v>3307871</v>
      </c>
      <c r="S24" s="584">
        <f>R24/$H$22</f>
        <v>0.12932218312133772</v>
      </c>
      <c r="T24" s="152" t="s">
        <v>1440</v>
      </c>
      <c r="U24" s="182">
        <f>U22+U23</f>
        <v>3148936</v>
      </c>
      <c r="V24" s="584">
        <f>U24/$H$22</f>
        <v>0.12310857286435072</v>
      </c>
      <c r="W24" s="152" t="s">
        <v>1440</v>
      </c>
      <c r="X24" s="182">
        <f>X22+X23</f>
        <v>25997508.359999999</v>
      </c>
      <c r="Y24" s="584">
        <f>X24/H22</f>
        <v>1.0163801843634253</v>
      </c>
    </row>
    <row r="25" spans="1:25" x14ac:dyDescent="0.3">
      <c r="F25" s="154" t="s">
        <v>66</v>
      </c>
      <c r="G25" s="154"/>
      <c r="H25" s="181">
        <f>+H22*19%</f>
        <v>4859920.1995400004</v>
      </c>
      <c r="I25" s="181">
        <f>+I22*19%</f>
        <v>5107776.30724</v>
      </c>
      <c r="K25" s="154" t="s">
        <v>66</v>
      </c>
      <c r="L25" s="181">
        <f>+L22*19%</f>
        <v>1488320.4184000001</v>
      </c>
      <c r="N25" s="485" t="s">
        <v>66</v>
      </c>
      <c r="O25" s="483">
        <f>ROUND(O24*0.19,0)</f>
        <v>2224413</v>
      </c>
      <c r="Q25" s="485" t="s">
        <v>66</v>
      </c>
      <c r="R25" s="483">
        <f>ROUND(R24*0.19,0)</f>
        <v>628495</v>
      </c>
      <c r="T25" s="485" t="s">
        <v>66</v>
      </c>
      <c r="U25" s="483">
        <f>ROUND(U24*0.19,0)</f>
        <v>598298</v>
      </c>
      <c r="W25" s="485" t="s">
        <v>66</v>
      </c>
      <c r="X25" s="483">
        <f>ROUND(X24*0.19,0)</f>
        <v>4939527</v>
      </c>
    </row>
    <row r="26" spans="1:25" x14ac:dyDescent="0.3">
      <c r="F26" s="155" t="s">
        <v>69</v>
      </c>
      <c r="G26" s="155"/>
      <c r="H26" s="181">
        <f>+H22+H25</f>
        <v>30438447.565540001</v>
      </c>
      <c r="I26" s="181">
        <f>+I22+I25</f>
        <v>31990809.503239997</v>
      </c>
      <c r="K26" s="155" t="s">
        <v>69</v>
      </c>
      <c r="L26" s="181">
        <f>+L22+L25</f>
        <v>9321585.7784000002</v>
      </c>
      <c r="N26" s="545" t="s">
        <v>69</v>
      </c>
      <c r="O26" s="481">
        <f>O24+O25</f>
        <v>13931849</v>
      </c>
      <c r="Q26" s="545" t="s">
        <v>69</v>
      </c>
      <c r="R26" s="481">
        <f>R24+R25</f>
        <v>3936366</v>
      </c>
      <c r="T26" s="545" t="s">
        <v>69</v>
      </c>
      <c r="U26" s="481">
        <f>U24+U25</f>
        <v>3747234</v>
      </c>
      <c r="W26" s="545" t="s">
        <v>69</v>
      </c>
      <c r="X26" s="481">
        <f>X24+X25</f>
        <v>30937035.359999999</v>
      </c>
    </row>
    <row r="28" spans="1:25" x14ac:dyDescent="0.3">
      <c r="A28" s="183" t="s">
        <v>67</v>
      </c>
      <c r="B28" s="184"/>
      <c r="C28" s="184"/>
      <c r="D28" s="185" t="s">
        <v>68</v>
      </c>
      <c r="K28" s="186" t="s">
        <v>70</v>
      </c>
      <c r="L28" s="187" t="s">
        <v>71</v>
      </c>
      <c r="M28" s="186" t="s">
        <v>58</v>
      </c>
      <c r="N28" s="186" t="s">
        <v>70</v>
      </c>
      <c r="O28" s="187" t="s">
        <v>71</v>
      </c>
      <c r="P28" s="186" t="s">
        <v>58</v>
      </c>
      <c r="Q28" s="186" t="s">
        <v>70</v>
      </c>
      <c r="R28" s="187" t="s">
        <v>71</v>
      </c>
      <c r="S28" s="186" t="s">
        <v>58</v>
      </c>
      <c r="T28" s="186" t="s">
        <v>70</v>
      </c>
      <c r="U28" s="187" t="s">
        <v>71</v>
      </c>
      <c r="V28" s="186" t="s">
        <v>58</v>
      </c>
      <c r="W28" s="302"/>
      <c r="X28" s="302"/>
      <c r="Y28" s="302"/>
    </row>
    <row r="29" spans="1:25" x14ac:dyDescent="0.3">
      <c r="A29" s="183"/>
      <c r="B29" s="184"/>
      <c r="C29" s="184"/>
      <c r="D29" s="185"/>
      <c r="K29" s="69" t="s">
        <v>72</v>
      </c>
      <c r="L29" s="70">
        <f>$L$22</f>
        <v>7833265.3600000003</v>
      </c>
      <c r="M29" s="71">
        <f>M22</f>
        <v>0.30624379769463544</v>
      </c>
      <c r="N29" s="69" t="s">
        <v>72</v>
      </c>
      <c r="O29" s="70">
        <f>$L$22</f>
        <v>7833265.3600000003</v>
      </c>
      <c r="P29" s="71">
        <f>M22</f>
        <v>0.30624379769463544</v>
      </c>
      <c r="Q29" s="69" t="s">
        <v>72</v>
      </c>
      <c r="R29" s="70">
        <f>$L$22</f>
        <v>7833265.3600000003</v>
      </c>
      <c r="S29" s="360">
        <f>M22</f>
        <v>0.30624379769463544</v>
      </c>
      <c r="T29" s="69" t="s">
        <v>72</v>
      </c>
      <c r="U29" s="70">
        <f>$L$22</f>
        <v>7833265.3600000003</v>
      </c>
      <c r="V29" s="360">
        <f>M22</f>
        <v>0.30624379769463544</v>
      </c>
      <c r="W29" s="302"/>
      <c r="X29" s="302"/>
      <c r="Y29" s="302"/>
    </row>
    <row r="30" spans="1:25" x14ac:dyDescent="0.3">
      <c r="A30" s="183"/>
      <c r="B30" s="184"/>
      <c r="C30" s="184"/>
      <c r="D30" s="185"/>
      <c r="K30" s="69"/>
      <c r="L30" s="70"/>
      <c r="M30" s="71"/>
      <c r="N30" s="69" t="s">
        <v>73</v>
      </c>
      <c r="O30" s="70">
        <f>$O$24</f>
        <v>11707436</v>
      </c>
      <c r="P30" s="71">
        <f>$P$24</f>
        <v>0.45770563068310144</v>
      </c>
      <c r="Q30" s="69" t="s">
        <v>73</v>
      </c>
      <c r="R30" s="70">
        <f>$O$24</f>
        <v>11707436</v>
      </c>
      <c r="S30" s="360">
        <f>$P$24</f>
        <v>0.45770563068310144</v>
      </c>
      <c r="T30" s="69" t="s">
        <v>73</v>
      </c>
      <c r="U30" s="70">
        <f>$O$24</f>
        <v>11707436</v>
      </c>
      <c r="V30" s="360">
        <f>$P$24</f>
        <v>0.45770563068310144</v>
      </c>
      <c r="W30" s="302"/>
      <c r="X30" s="302"/>
      <c r="Y30" s="302"/>
    </row>
    <row r="31" spans="1:25" x14ac:dyDescent="0.3">
      <c r="A31" s="183"/>
      <c r="B31" s="184"/>
      <c r="C31" s="184"/>
      <c r="D31" s="185"/>
      <c r="K31" s="72" t="s">
        <v>1</v>
      </c>
      <c r="L31" s="105">
        <f>SUM(L29:L29)</f>
        <v>7833265.3600000003</v>
      </c>
      <c r="M31" s="73">
        <f>SUM(M29:M29)</f>
        <v>0.30624379769463544</v>
      </c>
      <c r="N31" s="72" t="s">
        <v>1</v>
      </c>
      <c r="O31" s="105">
        <f>SUM(O29:O30)</f>
        <v>19540701.359999999</v>
      </c>
      <c r="P31" s="73">
        <f>SUM(P29:P30)</f>
        <v>0.76394942837773683</v>
      </c>
      <c r="Q31" s="69" t="s">
        <v>74</v>
      </c>
      <c r="R31" s="70">
        <f>R24</f>
        <v>3307871</v>
      </c>
      <c r="S31" s="360">
        <f>S24</f>
        <v>0.12932218312133772</v>
      </c>
      <c r="T31" s="69" t="s">
        <v>74</v>
      </c>
      <c r="U31" s="70">
        <f>R24</f>
        <v>3307871</v>
      </c>
      <c r="V31" s="360">
        <f>S24</f>
        <v>0.12932218312133772</v>
      </c>
      <c r="W31" s="302"/>
      <c r="X31" s="302"/>
      <c r="Y31" s="302"/>
    </row>
    <row r="32" spans="1:25" s="852" customFormat="1" x14ac:dyDescent="0.3">
      <c r="A32" s="183"/>
      <c r="B32" s="184"/>
      <c r="C32" s="184"/>
      <c r="D32" s="185"/>
      <c r="E32" s="212"/>
      <c r="K32" s="72"/>
      <c r="L32" s="869"/>
      <c r="M32" s="870"/>
      <c r="N32" s="72"/>
      <c r="O32" s="869"/>
      <c r="P32" s="870"/>
      <c r="Q32" s="69"/>
      <c r="R32" s="70"/>
      <c r="S32" s="360"/>
      <c r="T32" s="69" t="s">
        <v>155</v>
      </c>
      <c r="U32" s="70">
        <f>+U24</f>
        <v>3148936</v>
      </c>
      <c r="V32" s="360">
        <f>+V24</f>
        <v>0.12310857286435072</v>
      </c>
      <c r="W32" s="849"/>
      <c r="X32" s="849"/>
      <c r="Y32" s="849"/>
    </row>
    <row r="33" spans="1:25" x14ac:dyDescent="0.3">
      <c r="A33" s="183"/>
      <c r="B33" s="184"/>
      <c r="C33" s="184"/>
      <c r="D33" s="185"/>
      <c r="K33" s="72" t="s">
        <v>9</v>
      </c>
      <c r="L33" s="1285"/>
      <c r="M33" s="1286"/>
      <c r="N33" s="72" t="s">
        <v>9</v>
      </c>
      <c r="O33" s="1285"/>
      <c r="P33" s="1286"/>
      <c r="Q33" s="72" t="s">
        <v>1</v>
      </c>
      <c r="R33" s="105">
        <f>SUM(R29:R31)</f>
        <v>22848572.359999999</v>
      </c>
      <c r="S33" s="361">
        <f>SUM(S29:S31)</f>
        <v>0.89327161149907452</v>
      </c>
      <c r="T33" s="72" t="s">
        <v>1</v>
      </c>
      <c r="U33" s="105">
        <f>SUM(U29:U32)</f>
        <v>25997508.359999999</v>
      </c>
      <c r="V33" s="361">
        <f>SUM(V29:V32)</f>
        <v>1.0163801843634253</v>
      </c>
      <c r="W33" s="302"/>
      <c r="X33" s="302"/>
      <c r="Y33" s="302"/>
    </row>
    <row r="34" spans="1:25" x14ac:dyDescent="0.3">
      <c r="A34" s="183"/>
      <c r="B34" s="184"/>
      <c r="C34" s="184"/>
      <c r="D34" s="185"/>
      <c r="K34" s="156" t="s">
        <v>78</v>
      </c>
      <c r="L34" s="1285"/>
      <c r="M34" s="1286"/>
      <c r="N34" s="156" t="s">
        <v>78</v>
      </c>
      <c r="O34" s="1494" t="s">
        <v>1161</v>
      </c>
      <c r="P34" s="1494"/>
      <c r="Q34" s="72" t="s">
        <v>9</v>
      </c>
      <c r="R34" s="731"/>
      <c r="S34" s="732"/>
      <c r="T34" s="72" t="s">
        <v>9</v>
      </c>
      <c r="U34" s="841"/>
      <c r="V34" s="842"/>
      <c r="W34" s="302"/>
      <c r="X34" s="302"/>
      <c r="Y34" s="302"/>
    </row>
    <row r="35" spans="1:25" x14ac:dyDescent="0.3">
      <c r="A35" s="183"/>
      <c r="B35" s="184"/>
      <c r="C35" s="184"/>
      <c r="D35" s="185"/>
      <c r="K35" s="157" t="s">
        <v>8</v>
      </c>
      <c r="L35" s="1287"/>
      <c r="M35" s="1288"/>
      <c r="N35" s="157" t="s">
        <v>8</v>
      </c>
      <c r="O35" s="1494" t="s">
        <v>1162</v>
      </c>
      <c r="P35" s="1494"/>
      <c r="Q35" s="156" t="s">
        <v>78</v>
      </c>
      <c r="R35" s="1285" t="s">
        <v>1997</v>
      </c>
      <c r="S35" s="1286"/>
      <c r="T35" s="156" t="s">
        <v>78</v>
      </c>
      <c r="U35" s="1285" t="s">
        <v>1997</v>
      </c>
      <c r="V35" s="1286"/>
      <c r="W35" s="302"/>
      <c r="X35" s="302"/>
      <c r="Y35" s="302"/>
    </row>
    <row r="36" spans="1:25" x14ac:dyDescent="0.3">
      <c r="A36" s="183"/>
      <c r="B36" s="184"/>
      <c r="C36" s="184"/>
      <c r="D36" s="185" t="s">
        <v>75</v>
      </c>
      <c r="Q36" s="157" t="s">
        <v>8</v>
      </c>
      <c r="R36" s="1285" t="s">
        <v>1998</v>
      </c>
      <c r="S36" s="1286"/>
      <c r="T36" s="157" t="s">
        <v>8</v>
      </c>
      <c r="U36" s="1285" t="s">
        <v>1998</v>
      </c>
      <c r="V36" s="1286"/>
    </row>
    <row r="37" spans="1:25" x14ac:dyDescent="0.3">
      <c r="A37" s="183" t="s">
        <v>76</v>
      </c>
      <c r="B37" s="180"/>
      <c r="C37" s="180"/>
      <c r="D37" s="185" t="s">
        <v>77</v>
      </c>
    </row>
    <row r="38" spans="1:25" ht="26.4" x14ac:dyDescent="0.3">
      <c r="A38" s="183" t="s">
        <v>79</v>
      </c>
      <c r="B38" s="180"/>
      <c r="C38" s="180"/>
      <c r="D38" s="185" t="s">
        <v>80</v>
      </c>
    </row>
  </sheetData>
  <sheetProtection formatCells="0" formatColumns="0" formatRows="0" insertColumns="0" insertRows="0" insertHyperlinks="0" deleteColumns="0" deleteRows="0" sort="0" autoFilter="0" pivotTables="0"/>
  <mergeCells count="34">
    <mergeCell ref="A9:Y9"/>
    <mergeCell ref="N11:P12"/>
    <mergeCell ref="U36:V36"/>
    <mergeCell ref="R36:S36"/>
    <mergeCell ref="O35:P35"/>
    <mergeCell ref="R35:S35"/>
    <mergeCell ref="B12:J12"/>
    <mergeCell ref="L33:M33"/>
    <mergeCell ref="L34:M34"/>
    <mergeCell ref="O34:P34"/>
    <mergeCell ref="T11:V12"/>
    <mergeCell ref="U35:V35"/>
    <mergeCell ref="W1:Y1"/>
    <mergeCell ref="W2:Y2"/>
    <mergeCell ref="A3:Y3"/>
    <mergeCell ref="A4:Y4"/>
    <mergeCell ref="A5:Y5"/>
    <mergeCell ref="C1:P2"/>
    <mergeCell ref="A6:Y6"/>
    <mergeCell ref="A7:Y7"/>
    <mergeCell ref="A8:Y8"/>
    <mergeCell ref="L35:M35"/>
    <mergeCell ref="B11:J11"/>
    <mergeCell ref="K11:M12"/>
    <mergeCell ref="W11:Y12"/>
    <mergeCell ref="A10:Y10"/>
    <mergeCell ref="A14:A16"/>
    <mergeCell ref="B14:B16"/>
    <mergeCell ref="J14:J16"/>
    <mergeCell ref="A17:A19"/>
    <mergeCell ref="B17:B19"/>
    <mergeCell ref="J17:J19"/>
    <mergeCell ref="Q11:S12"/>
    <mergeCell ref="O33:P33"/>
  </mergeCells>
  <pageMargins left="0.7" right="0.7" top="0.75" bottom="0.75" header="0.3" footer="0.3"/>
  <pageSetup scale="40" orientation="landscape" r:id="rId1"/>
  <drawing r:id="rId2"/>
  <legacyDrawing r:id="rId3"/>
  <legacyDrawingHF r:id="rId4"/>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1">
    <tabColor theme="1"/>
  </sheetPr>
  <dimension ref="A1:G49"/>
  <sheetViews>
    <sheetView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RESUMEN!G67</f>
        <v>Proyecto: NORMALIZACIÓN LT ZP UB PD</v>
      </c>
      <c r="C5" s="1281"/>
      <c r="D5" s="1281"/>
      <c r="E5" s="1281"/>
      <c r="F5" s="1281"/>
      <c r="G5" s="1282"/>
    </row>
    <row r="6" spans="1:7" x14ac:dyDescent="0.25">
      <c r="A6" s="1177"/>
      <c r="B6" s="1177"/>
      <c r="C6" s="1177"/>
      <c r="D6" s="1177"/>
      <c r="E6" s="1177"/>
      <c r="F6" s="1177"/>
      <c r="G6" s="1177"/>
    </row>
    <row r="7" spans="1:7" x14ac:dyDescent="0.25">
      <c r="A7" s="271" t="s">
        <v>0</v>
      </c>
      <c r="B7" s="1264" t="str">
        <f>RESUMEN!B67</f>
        <v>D00235194</v>
      </c>
      <c r="C7" s="1265"/>
      <c r="D7" s="1177"/>
      <c r="E7" s="1266" t="s">
        <v>627</v>
      </c>
      <c r="F7" s="1267"/>
      <c r="G7" s="280" t="str">
        <f>RESUMEN!E67</f>
        <v>17-290</v>
      </c>
    </row>
    <row r="8" spans="1:7" x14ac:dyDescent="0.25">
      <c r="A8" s="271" t="s">
        <v>628</v>
      </c>
      <c r="B8" s="1264">
        <f>RESUMEN!C67</f>
        <v>1620900001</v>
      </c>
      <c r="C8" s="1265"/>
      <c r="D8" s="1177"/>
      <c r="E8" s="1266" t="s">
        <v>629</v>
      </c>
      <c r="F8" s="1267"/>
      <c r="G8" s="280" t="str">
        <f>RESUMEN!U67</f>
        <v>Acta N° 3: Marzo</v>
      </c>
    </row>
    <row r="9" spans="1:7" x14ac:dyDescent="0.25">
      <c r="A9" s="271" t="s">
        <v>630</v>
      </c>
      <c r="B9" s="1283" t="s">
        <v>631</v>
      </c>
      <c r="C9" s="1265"/>
      <c r="D9" s="1177"/>
      <c r="E9" s="1266" t="s">
        <v>632</v>
      </c>
      <c r="F9" s="1267"/>
      <c r="G9" s="1178">
        <f>RESUMEN!H67</f>
        <v>193683192</v>
      </c>
    </row>
    <row r="10" spans="1:7" x14ac:dyDescent="0.25">
      <c r="A10" s="271" t="s">
        <v>633</v>
      </c>
      <c r="B10" s="1283" t="str">
        <f>RESUMEN!D67</f>
        <v>LT ZP UB PELDAR</v>
      </c>
      <c r="C10" s="1265"/>
      <c r="D10" s="1177"/>
      <c r="E10" s="1266" t="s">
        <v>634</v>
      </c>
      <c r="F10" s="1267"/>
      <c r="G10" s="1178">
        <f>RESUMEN!R67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",RESUMEN!G67)</f>
        <v>A los 14 días del mes de Marzo se reunieron en las instalaciones de CODENSA S.A. E.S.P., los ingenieros Ing. Andrés Patarroyo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NORMALIZACIÓN LT ZP UB PD</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RESUMEN!N67</f>
        <v>0</v>
      </c>
      <c r="F19" s="1248"/>
      <c r="G19" s="1177"/>
    </row>
    <row r="20" spans="1:7" ht="27" customHeight="1" x14ac:dyDescent="0.25">
      <c r="A20" s="1177"/>
      <c r="B20" s="1244" t="s">
        <v>1498</v>
      </c>
      <c r="C20" s="1245"/>
      <c r="D20" s="1246"/>
      <c r="E20" s="1247">
        <f>RESUMEN!P67</f>
        <v>0</v>
      </c>
      <c r="F20" s="1248"/>
      <c r="G20" s="1177"/>
    </row>
    <row r="21" spans="1:7" ht="27" customHeight="1" x14ac:dyDescent="0.25">
      <c r="A21" s="1177"/>
      <c r="B21" s="1244" t="s">
        <v>1499</v>
      </c>
      <c r="C21" s="1245"/>
      <c r="D21" s="1246"/>
      <c r="E21" s="1247">
        <f>RESUMEN!Q67</f>
        <v>0</v>
      </c>
      <c r="F21" s="1248"/>
      <c r="G21" s="1177"/>
    </row>
    <row r="22" spans="1:7" x14ac:dyDescent="0.25">
      <c r="A22" s="1177"/>
      <c r="B22" s="1254" t="s">
        <v>64</v>
      </c>
      <c r="C22" s="1254"/>
      <c r="D22" s="1254"/>
      <c r="E22" s="1255">
        <f>RESUMEN!R67</f>
        <v>0</v>
      </c>
      <c r="F22" s="1255"/>
      <c r="G22" s="1177"/>
    </row>
    <row r="23" spans="1:7" x14ac:dyDescent="0.25">
      <c r="A23" s="1177"/>
      <c r="B23" s="1256" t="s">
        <v>66</v>
      </c>
      <c r="C23" s="1256"/>
      <c r="D23" s="1256"/>
      <c r="E23" s="1257">
        <f>RESUMEN!S67</f>
        <v>0</v>
      </c>
      <c r="F23" s="1257"/>
      <c r="G23" s="1177"/>
    </row>
    <row r="24" spans="1:7" x14ac:dyDescent="0.25">
      <c r="A24" s="1177"/>
      <c r="B24" s="1258" t="s">
        <v>1</v>
      </c>
      <c r="C24" s="1258"/>
      <c r="D24" s="1258"/>
      <c r="E24" s="1259">
        <f>RESUMEN!T67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+'OT17-290 LT ZP UB PELDAR'!Q28</f>
        <v>ACTA 1</v>
      </c>
      <c r="C28" s="1253">
        <f>+'OT17-290 LT ZP UB PELDAR'!R28</f>
        <v>68517108.670000002</v>
      </c>
      <c r="D28" s="1253"/>
      <c r="E28" s="267">
        <f>+'OT17-290 LT ZP UB PELDAR'!S28</f>
        <v>0.35020361744029804</v>
      </c>
      <c r="F28" s="1177"/>
      <c r="G28" s="1177"/>
    </row>
    <row r="29" spans="1:7" x14ac:dyDescent="0.25">
      <c r="A29" s="1177"/>
      <c r="B29" s="280" t="str">
        <f>+'OT17-290 LT ZP UB PELDAR'!Q29</f>
        <v>ACTA 2</v>
      </c>
      <c r="C29" s="1253">
        <f>+'OT17-290 LT ZP UB PELDAR'!R29</f>
        <v>41010093</v>
      </c>
      <c r="D29" s="1253"/>
      <c r="E29" s="267">
        <f>+'OT17-290 LT ZP UB PELDAR'!S29</f>
        <v>0.20961017180883099</v>
      </c>
      <c r="F29" s="1177"/>
      <c r="G29" s="1177"/>
    </row>
    <row r="30" spans="1:7" x14ac:dyDescent="0.25">
      <c r="A30" s="1177"/>
      <c r="B30" s="280" t="str">
        <f>+'OT17-290 LT ZP UB PELDAR'!Q30</f>
        <v>ACTA 3</v>
      </c>
      <c r="C30" s="1253">
        <f>+'OT17-290 LT ZP UB PELDAR'!R30</f>
        <v>0</v>
      </c>
      <c r="D30" s="1253"/>
      <c r="E30" s="267">
        <f>+'OT17-290 LT ZP UB PELDAR'!S30</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109527201.67</v>
      </c>
      <c r="D34" s="1251"/>
      <c r="E34" s="264">
        <f>SUM(E28:E33)</f>
        <v>0.55981378924912906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RESUMEN!V67</f>
        <v>Ing. Andrés Patarroyo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8">
    <tabColor rgb="FF72104A"/>
  </sheetPr>
  <dimension ref="A1:V36"/>
  <sheetViews>
    <sheetView topLeftCell="H16" zoomScale="70" zoomScaleNormal="70" workbookViewId="0">
      <selection activeCell="Q31" sqref="Q31"/>
    </sheetView>
  </sheetViews>
  <sheetFormatPr baseColWidth="10" defaultColWidth="11.44140625" defaultRowHeight="14.4" x14ac:dyDescent="0.3"/>
  <cols>
    <col min="1" max="1" width="17.5546875" style="189" customWidth="1"/>
    <col min="2" max="2" width="24.44140625" style="189" customWidth="1"/>
    <col min="3" max="3" width="18.44140625" style="189" customWidth="1"/>
    <col min="4" max="4" width="23.109375" style="189" customWidth="1"/>
    <col min="5" max="5" width="18.33203125" style="189" customWidth="1"/>
    <col min="6" max="6" width="17.88671875" style="189" customWidth="1"/>
    <col min="7" max="7" width="17.88671875" style="852" customWidth="1"/>
    <col min="8" max="8" width="19.109375" style="189" customWidth="1"/>
    <col min="9" max="9" width="19.109375" style="852" customWidth="1"/>
    <col min="10" max="10" width="73.109375" style="189" customWidth="1"/>
    <col min="11" max="11" width="17.88671875" style="189" hidden="1" customWidth="1"/>
    <col min="12" max="12" width="18.5546875" style="189" hidden="1" customWidth="1"/>
    <col min="13" max="13" width="0" style="189" hidden="1" customWidth="1"/>
    <col min="14" max="14" width="17.88671875" style="852" customWidth="1"/>
    <col min="15" max="15" width="18.5546875" style="852" bestFit="1" customWidth="1"/>
    <col min="16" max="16" width="11.44140625" style="852"/>
    <col min="17" max="17" width="19.109375" style="1055" customWidth="1"/>
    <col min="18" max="18" width="14.88671875" style="1055" customWidth="1"/>
    <col min="19" max="19" width="15.88671875" style="1055" customWidth="1"/>
    <col min="20" max="20" width="17.88671875" style="189" customWidth="1"/>
    <col min="21" max="21" width="18.5546875" style="189" bestFit="1" customWidth="1"/>
    <col min="22" max="16384" width="11.44140625" style="189"/>
  </cols>
  <sheetData>
    <row r="1" spans="1:22" s="302" customFormat="1" ht="15" thickBot="1" x14ac:dyDescent="0.35">
      <c r="A1" s="169"/>
      <c r="B1" s="188"/>
      <c r="C1" s="1307" t="s">
        <v>40</v>
      </c>
      <c r="D1" s="1308"/>
      <c r="E1" s="1308"/>
      <c r="F1" s="1308"/>
      <c r="G1" s="1308"/>
      <c r="H1" s="1308"/>
      <c r="I1" s="1308"/>
      <c r="J1" s="1308"/>
      <c r="K1" s="1308"/>
      <c r="L1" s="1308"/>
      <c r="M1" s="1308"/>
      <c r="N1" s="846"/>
      <c r="O1" s="846"/>
      <c r="P1" s="846"/>
      <c r="Q1" s="1052"/>
      <c r="R1" s="1052"/>
      <c r="S1" s="1052"/>
      <c r="T1" s="1328" t="s">
        <v>1179</v>
      </c>
      <c r="U1" s="1303"/>
      <c r="V1" s="1304"/>
    </row>
    <row r="2" spans="1:22" s="302" customFormat="1" ht="13.5" customHeight="1" thickBot="1" x14ac:dyDescent="0.35">
      <c r="A2" s="170"/>
      <c r="B2" s="190"/>
      <c r="C2" s="1310"/>
      <c r="D2" s="1311"/>
      <c r="E2" s="1311"/>
      <c r="F2" s="1311"/>
      <c r="G2" s="1311"/>
      <c r="H2" s="1311"/>
      <c r="I2" s="1311"/>
      <c r="J2" s="1311"/>
      <c r="K2" s="1311"/>
      <c r="L2" s="1311"/>
      <c r="M2" s="1311"/>
      <c r="N2" s="847"/>
      <c r="O2" s="847"/>
      <c r="P2" s="847"/>
      <c r="Q2" s="1053"/>
      <c r="R2" s="1053"/>
      <c r="S2" s="1053"/>
      <c r="T2" s="1329" t="s">
        <v>41</v>
      </c>
      <c r="U2" s="1305"/>
      <c r="V2" s="1306"/>
    </row>
    <row r="3" spans="1:22" s="302"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302"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302"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302"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302" customFormat="1" x14ac:dyDescent="0.3">
      <c r="A7" s="1291" t="s">
        <v>1180</v>
      </c>
      <c r="B7" s="1292"/>
      <c r="C7" s="1292"/>
      <c r="D7" s="1292"/>
      <c r="E7" s="1292"/>
      <c r="F7" s="1292"/>
      <c r="G7" s="1292"/>
      <c r="H7" s="1292"/>
      <c r="I7" s="1292"/>
      <c r="J7" s="1292"/>
      <c r="K7" s="1292"/>
      <c r="L7" s="1292"/>
      <c r="M7" s="1292"/>
      <c r="N7" s="1292"/>
      <c r="O7" s="1292"/>
      <c r="P7" s="1292"/>
      <c r="Q7" s="1292"/>
      <c r="R7" s="1292"/>
      <c r="S7" s="1292"/>
      <c r="T7" s="1292"/>
      <c r="U7" s="1292"/>
      <c r="V7" s="1292"/>
    </row>
    <row r="8" spans="1:22" s="302"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s="302"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s="302" customFormat="1" ht="13.5" customHeight="1" x14ac:dyDescent="0.3">
      <c r="A10" s="1292" t="s">
        <v>1181</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302" customFormat="1" ht="13.5" customHeight="1" x14ac:dyDescent="0.3">
      <c r="A11" s="387"/>
      <c r="B11" s="1301"/>
      <c r="C11" s="1313"/>
      <c r="D11" s="1313"/>
      <c r="E11" s="1313"/>
      <c r="F11" s="1313"/>
      <c r="G11" s="1313"/>
      <c r="H11" s="1313"/>
      <c r="I11" s="1313"/>
      <c r="J11" s="1313"/>
      <c r="K11" s="1293" t="s">
        <v>1726</v>
      </c>
      <c r="L11" s="1294"/>
      <c r="M11" s="1295"/>
      <c r="N11" s="1293" t="s">
        <v>2094</v>
      </c>
      <c r="O11" s="1294"/>
      <c r="P11" s="1295"/>
      <c r="Q11" s="1293" t="s">
        <v>2318</v>
      </c>
      <c r="R11" s="1294"/>
      <c r="S11" s="1295"/>
      <c r="T11" s="1299" t="s">
        <v>49</v>
      </c>
      <c r="U11" s="1299"/>
      <c r="V11" s="1299"/>
    </row>
    <row r="12" spans="1:22" s="302"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209" t="s">
        <v>50</v>
      </c>
      <c r="B13" s="209" t="s">
        <v>51</v>
      </c>
      <c r="C13" s="209" t="s">
        <v>52</v>
      </c>
      <c r="D13" s="209" t="s">
        <v>164</v>
      </c>
      <c r="E13" s="209" t="s">
        <v>54</v>
      </c>
      <c r="F13" s="210" t="s">
        <v>55</v>
      </c>
      <c r="G13" s="821" t="s">
        <v>2007</v>
      </c>
      <c r="H13" s="209" t="s">
        <v>56</v>
      </c>
      <c r="I13" s="822" t="s">
        <v>56</v>
      </c>
      <c r="J13" s="209" t="s">
        <v>57</v>
      </c>
      <c r="K13" s="28" t="s">
        <v>54</v>
      </c>
      <c r="L13" s="28" t="s">
        <v>56</v>
      </c>
      <c r="M13" s="28" t="s">
        <v>58</v>
      </c>
      <c r="N13" s="28" t="s">
        <v>54</v>
      </c>
      <c r="O13" s="28" t="s">
        <v>56</v>
      </c>
      <c r="P13" s="28" t="s">
        <v>58</v>
      </c>
      <c r="Q13" s="28" t="s">
        <v>54</v>
      </c>
      <c r="R13" s="28" t="s">
        <v>56</v>
      </c>
      <c r="S13" s="28" t="s">
        <v>58</v>
      </c>
      <c r="T13" s="174" t="s">
        <v>54</v>
      </c>
      <c r="U13" s="172" t="s">
        <v>56</v>
      </c>
      <c r="V13" s="28" t="s">
        <v>58</v>
      </c>
    </row>
    <row r="14" spans="1:22" ht="153.9" customHeight="1" x14ac:dyDescent="0.3">
      <c r="A14" s="1314" t="s">
        <v>1176</v>
      </c>
      <c r="B14" s="1314" t="s">
        <v>258</v>
      </c>
      <c r="C14" s="388" t="s">
        <v>259</v>
      </c>
      <c r="D14" s="388" t="s">
        <v>260</v>
      </c>
      <c r="E14" s="390">
        <v>32.450036218734418</v>
      </c>
      <c r="F14" s="192">
        <v>2019673</v>
      </c>
      <c r="G14" s="32">
        <f>+ROUND(F14*1.051,0)</f>
        <v>2122676</v>
      </c>
      <c r="H14" s="192">
        <f>ROUND((E14*F14),0)</f>
        <v>65538462</v>
      </c>
      <c r="I14" s="32">
        <f>+ROUND(G14*E14,0)</f>
        <v>68880913</v>
      </c>
      <c r="J14" s="1315" t="s">
        <v>1177</v>
      </c>
      <c r="K14" s="433">
        <v>32.450000000000003</v>
      </c>
      <c r="L14" s="429">
        <f>ROUND(K14*$F$14,0)</f>
        <v>65538389</v>
      </c>
      <c r="M14" s="430">
        <f>L14/$H$14</f>
        <v>0.99999888615024257</v>
      </c>
      <c r="N14" s="432">
        <v>0</v>
      </c>
      <c r="O14" s="425">
        <f>ROUND(N14*G14,0)</f>
        <v>0</v>
      </c>
      <c r="P14" s="426">
        <f>O14/H14</f>
        <v>0</v>
      </c>
      <c r="Q14" s="432">
        <v>0</v>
      </c>
      <c r="R14" s="425">
        <f>ROUND(Q14*G14,0)</f>
        <v>0</v>
      </c>
      <c r="S14" s="426">
        <f>R14/I14</f>
        <v>0</v>
      </c>
      <c r="T14" s="149">
        <f>K14+N14+Q14</f>
        <v>32.450000000000003</v>
      </c>
      <c r="U14" s="175">
        <f>L14+O14+R14</f>
        <v>65538389</v>
      </c>
      <c r="V14" s="176">
        <f>U14/H14</f>
        <v>0.99999888615024257</v>
      </c>
    </row>
    <row r="15" spans="1:22" x14ac:dyDescent="0.3">
      <c r="A15" s="1314"/>
      <c r="B15" s="1314"/>
      <c r="C15" s="196"/>
      <c r="D15" s="196" t="s">
        <v>261</v>
      </c>
      <c r="E15" s="198"/>
      <c r="F15" s="198"/>
      <c r="G15" s="198"/>
      <c r="H15" s="199">
        <f>H14</f>
        <v>65538462</v>
      </c>
      <c r="I15" s="199">
        <f>SUM(I14)</f>
        <v>68880913</v>
      </c>
      <c r="J15" s="1314"/>
      <c r="K15" s="308"/>
      <c r="L15" s="179">
        <f>L14</f>
        <v>65538389</v>
      </c>
      <c r="M15" s="308">
        <f>L15/$H$15</f>
        <v>0.99999888615024257</v>
      </c>
      <c r="N15" s="431"/>
      <c r="O15" s="179">
        <f>O14</f>
        <v>0</v>
      </c>
      <c r="P15" s="431">
        <f>O15/$H$15</f>
        <v>0</v>
      </c>
      <c r="Q15" s="431"/>
      <c r="R15" s="179">
        <f>R14</f>
        <v>0</v>
      </c>
      <c r="S15" s="431">
        <f>R15/$I$15</f>
        <v>0</v>
      </c>
      <c r="T15" s="306"/>
      <c r="U15" s="307">
        <f>SUM(U14)</f>
        <v>65538389</v>
      </c>
      <c r="V15" s="308">
        <f>U15/H15</f>
        <v>0.99999888615024257</v>
      </c>
    </row>
    <row r="16" spans="1:22" ht="310.5" customHeight="1" x14ac:dyDescent="0.3">
      <c r="A16" s="1314" t="s">
        <v>1176</v>
      </c>
      <c r="B16" s="1314" t="s">
        <v>269</v>
      </c>
      <c r="C16" s="388" t="s">
        <v>270</v>
      </c>
      <c r="D16" s="388" t="s">
        <v>271</v>
      </c>
      <c r="E16" s="388">
        <v>23</v>
      </c>
      <c r="F16" s="192">
        <v>5571510</v>
      </c>
      <c r="G16" s="32">
        <f>+ROUND(F16*1.051,0)</f>
        <v>5855657</v>
      </c>
      <c r="H16" s="192">
        <f>ROUND((E16*F16),0)</f>
        <v>128144730</v>
      </c>
      <c r="I16" s="32">
        <f>+ROUND(G16*E16,0)</f>
        <v>134680111</v>
      </c>
      <c r="J16" s="1315" t="s">
        <v>1178</v>
      </c>
      <c r="K16" s="158">
        <v>0</v>
      </c>
      <c r="L16" s="194">
        <f>ROUND(K16*$F$16,0)</f>
        <v>0</v>
      </c>
      <c r="M16" s="195">
        <f>L16/$H$16</f>
        <v>0</v>
      </c>
      <c r="N16" s="433">
        <f>23*0.3</f>
        <v>6.8999999999999995</v>
      </c>
      <c r="O16" s="429">
        <f>ROUND(N16*G16,0)</f>
        <v>40404033</v>
      </c>
      <c r="P16" s="430">
        <f>O16/H16</f>
        <v>0.31529999712044343</v>
      </c>
      <c r="Q16" s="432">
        <v>0</v>
      </c>
      <c r="R16" s="425">
        <f>ROUND(Q16*G16,0)</f>
        <v>0</v>
      </c>
      <c r="S16" s="426">
        <f>R16/I16</f>
        <v>0</v>
      </c>
      <c r="T16" s="416">
        <f>K16+N16+Q16</f>
        <v>6.8999999999999995</v>
      </c>
      <c r="U16" s="175">
        <f>L16+O16+R16</f>
        <v>40404033</v>
      </c>
      <c r="V16" s="176">
        <f>U16/H16</f>
        <v>0.31529999712044343</v>
      </c>
    </row>
    <row r="17" spans="1:22" ht="15" customHeight="1" x14ac:dyDescent="0.3">
      <c r="A17" s="1314"/>
      <c r="B17" s="1314"/>
      <c r="C17" s="196"/>
      <c r="D17" s="196" t="s">
        <v>215</v>
      </c>
      <c r="E17" s="198"/>
      <c r="F17" s="198"/>
      <c r="G17" s="198"/>
      <c r="H17" s="199">
        <f>H16</f>
        <v>128144730</v>
      </c>
      <c r="I17" s="199">
        <f>SUM(I16)</f>
        <v>134680111</v>
      </c>
      <c r="J17" s="1314"/>
      <c r="K17" s="308"/>
      <c r="L17" s="179">
        <f>L16</f>
        <v>0</v>
      </c>
      <c r="M17" s="308">
        <f>L17/$H$17</f>
        <v>0</v>
      </c>
      <c r="N17" s="431"/>
      <c r="O17" s="179">
        <f>O16</f>
        <v>40404033</v>
      </c>
      <c r="P17" s="431">
        <f>O17/$H$17</f>
        <v>0.31529999712044343</v>
      </c>
      <c r="Q17" s="431"/>
      <c r="R17" s="179">
        <f>R16</f>
        <v>0</v>
      </c>
      <c r="S17" s="431">
        <f>R17/$I$17</f>
        <v>0</v>
      </c>
      <c r="T17" s="306"/>
      <c r="U17" s="307">
        <f>SUM(U16)</f>
        <v>40404033</v>
      </c>
      <c r="V17" s="308">
        <f>U17/H17</f>
        <v>0.31529999712044343</v>
      </c>
    </row>
    <row r="18" spans="1:22" x14ac:dyDescent="0.3">
      <c r="F18" s="151" t="s">
        <v>64</v>
      </c>
      <c r="G18" s="151"/>
      <c r="H18" s="181">
        <f>SUM(H3:H17)/2</f>
        <v>193683192</v>
      </c>
      <c r="I18" s="181">
        <f>SUM(I3:I17)/2</f>
        <v>203561024</v>
      </c>
      <c r="K18" s="480" t="s">
        <v>64</v>
      </c>
      <c r="L18" s="481">
        <f>SUM(L3:L17)/2</f>
        <v>65538389</v>
      </c>
      <c r="N18" s="480" t="s">
        <v>64</v>
      </c>
      <c r="O18" s="481">
        <f>SUM(O3:O17)/2</f>
        <v>40404033</v>
      </c>
      <c r="Q18" s="480" t="s">
        <v>64</v>
      </c>
      <c r="R18" s="481">
        <f>SUM(R3:R17)/2</f>
        <v>0</v>
      </c>
      <c r="T18" s="480" t="s">
        <v>64</v>
      </c>
      <c r="U18" s="481">
        <f>SUM(U3:U17)/2</f>
        <v>105942422</v>
      </c>
    </row>
    <row r="19" spans="1:22" x14ac:dyDescent="0.3">
      <c r="F19" s="153" t="s">
        <v>65</v>
      </c>
      <c r="G19" s="153"/>
      <c r="H19" s="181">
        <f>H15*0.03</f>
        <v>1966153.8599999999</v>
      </c>
      <c r="I19" s="181">
        <f>I15*0.03</f>
        <v>2066427.39</v>
      </c>
      <c r="K19" s="482" t="s">
        <v>65</v>
      </c>
      <c r="L19" s="481">
        <f>L15*0.03</f>
        <v>1966151.67</v>
      </c>
      <c r="N19" s="482" t="s">
        <v>65</v>
      </c>
      <c r="O19" s="481">
        <f>O15*0.03</f>
        <v>0</v>
      </c>
      <c r="Q19" s="482" t="s">
        <v>65</v>
      </c>
      <c r="R19" s="481">
        <f>R15*0.03</f>
        <v>0</v>
      </c>
      <c r="T19" s="482" t="s">
        <v>65</v>
      </c>
      <c r="U19" s="481">
        <f>U15*0.03</f>
        <v>1966151.67</v>
      </c>
    </row>
    <row r="20" spans="1:22" x14ac:dyDescent="0.3">
      <c r="F20" s="152" t="s">
        <v>64</v>
      </c>
      <c r="G20" s="152"/>
      <c r="H20" s="340">
        <f>SUM(H18:H19)</f>
        <v>195649345.86000001</v>
      </c>
      <c r="I20" s="340">
        <f>SUM(I18:I19)</f>
        <v>205627451.38999999</v>
      </c>
      <c r="K20" s="484" t="s">
        <v>64</v>
      </c>
      <c r="L20" s="550">
        <f>SUM(L18:L19)</f>
        <v>67504540.670000002</v>
      </c>
      <c r="N20" s="484" t="s">
        <v>64</v>
      </c>
      <c r="O20" s="550">
        <f>SUM(O18:O19)</f>
        <v>40404033</v>
      </c>
      <c r="Q20" s="484" t="s">
        <v>64</v>
      </c>
      <c r="R20" s="550">
        <f>SUM(R18:R19)</f>
        <v>0</v>
      </c>
      <c r="T20" s="484" t="s">
        <v>64</v>
      </c>
      <c r="U20" s="550">
        <f>SUM(U18:U19)</f>
        <v>107908573.67</v>
      </c>
    </row>
    <row r="21" spans="1:22" ht="26.4" x14ac:dyDescent="0.3">
      <c r="F21" s="152"/>
      <c r="G21" s="152"/>
      <c r="H21" s="340"/>
      <c r="I21" s="340"/>
      <c r="K21" s="484" t="s">
        <v>1439</v>
      </c>
      <c r="L21" s="483">
        <f>ROUND(L20*0.015,0)</f>
        <v>1012568</v>
      </c>
      <c r="N21" s="484" t="s">
        <v>1439</v>
      </c>
      <c r="O21" s="483">
        <f>ROUND(O20*0.015,0)</f>
        <v>606060</v>
      </c>
      <c r="Q21" s="484" t="s">
        <v>1439</v>
      </c>
      <c r="R21" s="483">
        <f>ROUND(R20*0.015,0)</f>
        <v>0</v>
      </c>
      <c r="T21" s="484" t="s">
        <v>1439</v>
      </c>
      <c r="U21" s="550">
        <f>L21+O21+R21</f>
        <v>1618628</v>
      </c>
    </row>
    <row r="22" spans="1:22" ht="26.4" x14ac:dyDescent="0.3">
      <c r="F22" s="152"/>
      <c r="G22" s="152"/>
      <c r="H22" s="340"/>
      <c r="I22" s="340"/>
      <c r="K22" s="152" t="s">
        <v>1440</v>
      </c>
      <c r="L22" s="182">
        <f>L20+L21</f>
        <v>68517108.670000002</v>
      </c>
      <c r="M22" s="573">
        <f>L22/H20</f>
        <v>0.35020361744029804</v>
      </c>
      <c r="N22" s="152" t="s">
        <v>1440</v>
      </c>
      <c r="O22" s="182">
        <f>O20+O21</f>
        <v>41010093</v>
      </c>
      <c r="P22" s="573">
        <f>O22/H20</f>
        <v>0.20961017180883099</v>
      </c>
      <c r="Q22" s="152" t="s">
        <v>1440</v>
      </c>
      <c r="R22" s="182">
        <f>R20+R21</f>
        <v>0</v>
      </c>
      <c r="S22" s="573">
        <f>R22/H20</f>
        <v>0</v>
      </c>
      <c r="T22" s="152" t="s">
        <v>1440</v>
      </c>
      <c r="U22" s="182">
        <f>U20+U21</f>
        <v>109527201.67</v>
      </c>
      <c r="V22" s="573">
        <f>U22/H20</f>
        <v>0.55981378924912906</v>
      </c>
    </row>
    <row r="23" spans="1:22" x14ac:dyDescent="0.3">
      <c r="F23" s="154" t="s">
        <v>66</v>
      </c>
      <c r="G23" s="154"/>
      <c r="H23" s="181">
        <f>+H20*19%</f>
        <v>37173375.713400006</v>
      </c>
      <c r="I23" s="181">
        <f>+I20*19%</f>
        <v>39069215.7641</v>
      </c>
      <c r="K23" s="485" t="s">
        <v>66</v>
      </c>
      <c r="L23" s="483">
        <f>ROUND(L22*0.19,0)</f>
        <v>13018251</v>
      </c>
      <c r="N23" s="485" t="s">
        <v>66</v>
      </c>
      <c r="O23" s="483">
        <f>ROUND(O22*0.19,0)</f>
        <v>7791918</v>
      </c>
      <c r="Q23" s="485" t="s">
        <v>66</v>
      </c>
      <c r="R23" s="483">
        <f>ROUND(R22*0.19,0)</f>
        <v>0</v>
      </c>
      <c r="T23" s="485" t="s">
        <v>66</v>
      </c>
      <c r="U23" s="483">
        <f>ROUND(U22*0.19,0)</f>
        <v>20810168</v>
      </c>
    </row>
    <row r="24" spans="1:22" x14ac:dyDescent="0.3">
      <c r="F24" s="155" t="s">
        <v>69</v>
      </c>
      <c r="G24" s="155"/>
      <c r="H24" s="181">
        <f>+H20+H23</f>
        <v>232822721.57340002</v>
      </c>
      <c r="I24" s="181">
        <f>+I20+I23</f>
        <v>244696667.1541</v>
      </c>
      <c r="K24" s="545" t="s">
        <v>69</v>
      </c>
      <c r="L24" s="481">
        <f>L22+L23</f>
        <v>81535359.670000002</v>
      </c>
      <c r="N24" s="545" t="s">
        <v>69</v>
      </c>
      <c r="O24" s="481">
        <f>O22+O23</f>
        <v>48802011</v>
      </c>
      <c r="Q24" s="545" t="s">
        <v>69</v>
      </c>
      <c r="R24" s="481">
        <f>R22+R23</f>
        <v>0</v>
      </c>
      <c r="T24" s="545" t="s">
        <v>69</v>
      </c>
      <c r="U24" s="481">
        <f>U22+U23</f>
        <v>130337369.67</v>
      </c>
    </row>
    <row r="27" spans="1:22" x14ac:dyDescent="0.3">
      <c r="A27" s="183" t="s">
        <v>67</v>
      </c>
      <c r="B27" s="184"/>
      <c r="C27" s="184"/>
      <c r="D27" s="185" t="s">
        <v>68</v>
      </c>
      <c r="K27" s="186" t="s">
        <v>70</v>
      </c>
      <c r="L27" s="187" t="s">
        <v>71</v>
      </c>
      <c r="M27" s="186" t="s">
        <v>58</v>
      </c>
      <c r="N27" s="186" t="s">
        <v>70</v>
      </c>
      <c r="O27" s="187" t="s">
        <v>71</v>
      </c>
      <c r="P27" s="186" t="s">
        <v>58</v>
      </c>
      <c r="Q27" s="186" t="s">
        <v>70</v>
      </c>
      <c r="R27" s="187" t="s">
        <v>71</v>
      </c>
      <c r="S27" s="186" t="s">
        <v>58</v>
      </c>
      <c r="T27" s="302"/>
      <c r="U27" s="302"/>
      <c r="V27" s="302"/>
    </row>
    <row r="28" spans="1:22" x14ac:dyDescent="0.3">
      <c r="A28" s="183"/>
      <c r="B28" s="184"/>
      <c r="C28" s="184"/>
      <c r="D28" s="185"/>
      <c r="K28" s="69" t="s">
        <v>72</v>
      </c>
      <c r="L28" s="70">
        <f>$L$22</f>
        <v>68517108.670000002</v>
      </c>
      <c r="M28" s="71">
        <f>M22</f>
        <v>0.35020361744029804</v>
      </c>
      <c r="N28" s="69" t="s">
        <v>72</v>
      </c>
      <c r="O28" s="70">
        <f>$L$22</f>
        <v>68517108.670000002</v>
      </c>
      <c r="P28" s="71">
        <f>M22</f>
        <v>0.35020361744029804</v>
      </c>
      <c r="Q28" s="69" t="s">
        <v>72</v>
      </c>
      <c r="R28" s="70">
        <f>$L$22</f>
        <v>68517108.670000002</v>
      </c>
      <c r="S28" s="71">
        <f>M22</f>
        <v>0.35020361744029804</v>
      </c>
      <c r="T28" s="302"/>
      <c r="U28" s="302"/>
      <c r="V28" s="302"/>
    </row>
    <row r="29" spans="1:22" s="852" customFormat="1" x14ac:dyDescent="0.3">
      <c r="A29" s="183"/>
      <c r="B29" s="184"/>
      <c r="C29" s="184"/>
      <c r="D29" s="185"/>
      <c r="K29" s="69"/>
      <c r="L29" s="70"/>
      <c r="M29" s="71"/>
      <c r="N29" s="69" t="s">
        <v>73</v>
      </c>
      <c r="O29" s="70">
        <f>+O22</f>
        <v>41010093</v>
      </c>
      <c r="P29" s="71">
        <f>+P22</f>
        <v>0.20961017180883099</v>
      </c>
      <c r="Q29" s="69" t="s">
        <v>73</v>
      </c>
      <c r="R29" s="70">
        <f>+O22</f>
        <v>41010093</v>
      </c>
      <c r="S29" s="71">
        <f>+P22</f>
        <v>0.20961017180883099</v>
      </c>
      <c r="T29" s="849"/>
      <c r="U29" s="849"/>
      <c r="V29" s="849"/>
    </row>
    <row r="30" spans="1:22" x14ac:dyDescent="0.3">
      <c r="A30" s="183"/>
      <c r="B30" s="184"/>
      <c r="C30" s="184"/>
      <c r="D30" s="185"/>
      <c r="K30" s="72" t="s">
        <v>1</v>
      </c>
      <c r="L30" s="105">
        <f>SUM(L28:L28)</f>
        <v>68517108.670000002</v>
      </c>
      <c r="M30" s="73">
        <f>SUM(M28:M28)</f>
        <v>0.35020361744029804</v>
      </c>
      <c r="N30" s="72" t="s">
        <v>1</v>
      </c>
      <c r="O30" s="105">
        <f>SUM(O28:O29)</f>
        <v>109527201.67</v>
      </c>
      <c r="P30" s="73">
        <f>SUM(P28:P29)</f>
        <v>0.55981378924912906</v>
      </c>
      <c r="Q30" s="69" t="s">
        <v>74</v>
      </c>
      <c r="R30" s="70">
        <f>$R$22</f>
        <v>0</v>
      </c>
      <c r="S30" s="71">
        <f>$S$22</f>
        <v>0</v>
      </c>
      <c r="T30" s="302"/>
      <c r="U30" s="302"/>
      <c r="V30" s="302"/>
    </row>
    <row r="31" spans="1:22" x14ac:dyDescent="0.3">
      <c r="A31" s="183"/>
      <c r="B31" s="184"/>
      <c r="C31" s="184"/>
      <c r="D31" s="185"/>
      <c r="K31" s="72" t="s">
        <v>9</v>
      </c>
      <c r="L31" s="1285"/>
      <c r="M31" s="1286"/>
      <c r="N31" s="72" t="s">
        <v>9</v>
      </c>
      <c r="O31" s="1285"/>
      <c r="P31" s="1286"/>
      <c r="Q31" s="72" t="s">
        <v>1</v>
      </c>
      <c r="R31" s="105">
        <f>SUM(R28:R30)</f>
        <v>109527201.67</v>
      </c>
      <c r="S31" s="73">
        <f>SUM(S28:S30)</f>
        <v>0.55981378924912906</v>
      </c>
      <c r="T31" s="302"/>
      <c r="U31" s="302"/>
      <c r="V31" s="302"/>
    </row>
    <row r="32" spans="1:22" x14ac:dyDescent="0.3">
      <c r="A32" s="183"/>
      <c r="B32" s="184"/>
      <c r="C32" s="184"/>
      <c r="D32" s="185"/>
      <c r="K32" s="156" t="s">
        <v>78</v>
      </c>
      <c r="L32" s="1285" t="s">
        <v>1185</v>
      </c>
      <c r="M32" s="1286"/>
      <c r="N32" s="156" t="s">
        <v>78</v>
      </c>
      <c r="O32" s="1285"/>
      <c r="P32" s="1286"/>
      <c r="Q32" s="72" t="s">
        <v>9</v>
      </c>
      <c r="R32" s="1285"/>
      <c r="S32" s="1286"/>
      <c r="T32" s="302"/>
      <c r="U32" s="302"/>
      <c r="V32" s="302"/>
    </row>
    <row r="33" spans="1:22" x14ac:dyDescent="0.3">
      <c r="A33" s="183"/>
      <c r="B33" s="184"/>
      <c r="C33" s="184"/>
      <c r="D33" s="185"/>
      <c r="K33" s="157" t="s">
        <v>8</v>
      </c>
      <c r="L33" s="1287">
        <v>1620900001</v>
      </c>
      <c r="M33" s="1288"/>
      <c r="N33" s="157" t="s">
        <v>8</v>
      </c>
      <c r="O33" s="1287"/>
      <c r="P33" s="1288"/>
      <c r="Q33" s="156" t="s">
        <v>78</v>
      </c>
      <c r="R33" s="1285"/>
      <c r="S33" s="1286"/>
      <c r="T33" s="302"/>
      <c r="U33" s="302"/>
      <c r="V33" s="302"/>
    </row>
    <row r="34" spans="1:22" x14ac:dyDescent="0.3">
      <c r="A34" s="183"/>
      <c r="B34" s="184"/>
      <c r="C34" s="184"/>
      <c r="D34" s="185" t="s">
        <v>75</v>
      </c>
      <c r="Q34" s="157" t="s">
        <v>8</v>
      </c>
      <c r="R34" s="1287"/>
      <c r="S34" s="1288"/>
    </row>
    <row r="35" spans="1:22" x14ac:dyDescent="0.3">
      <c r="A35" s="183" t="s">
        <v>76</v>
      </c>
      <c r="B35" s="180"/>
      <c r="C35" s="180"/>
      <c r="D35" s="185" t="s">
        <v>77</v>
      </c>
    </row>
    <row r="36" spans="1:22" ht="26.4" x14ac:dyDescent="0.3">
      <c r="A36" s="183" t="s">
        <v>79</v>
      </c>
      <c r="B36" s="180"/>
      <c r="C36" s="180"/>
      <c r="D36" s="185" t="s">
        <v>80</v>
      </c>
    </row>
  </sheetData>
  <sheetProtection formatCells="0" formatColumns="0" formatRows="0" insertColumns="0" insertRows="0" insertHyperlinks="0" deleteColumns="0" deleteRows="0" sort="0" autoFilter="0" pivotTables="0"/>
  <mergeCells count="32">
    <mergeCell ref="K11:M12"/>
    <mergeCell ref="T11:V12"/>
    <mergeCell ref="B12:J12"/>
    <mergeCell ref="R33:S33"/>
    <mergeCell ref="L31:M31"/>
    <mergeCell ref="Q11:S12"/>
    <mergeCell ref="R32:S32"/>
    <mergeCell ref="L32:M32"/>
    <mergeCell ref="B16:B17"/>
    <mergeCell ref="J16:J17"/>
    <mergeCell ref="B11:J11"/>
    <mergeCell ref="N11:P12"/>
    <mergeCell ref="O31:P31"/>
    <mergeCell ref="O32:P32"/>
    <mergeCell ref="B14:B15"/>
    <mergeCell ref="J14:J15"/>
    <mergeCell ref="R34:S34"/>
    <mergeCell ref="O33:P33"/>
    <mergeCell ref="L33:M33"/>
    <mergeCell ref="T1:V1"/>
    <mergeCell ref="T2:V2"/>
    <mergeCell ref="A3:V3"/>
    <mergeCell ref="A4:V4"/>
    <mergeCell ref="A5:V5"/>
    <mergeCell ref="A6:V6"/>
    <mergeCell ref="C1:M2"/>
    <mergeCell ref="A7:V7"/>
    <mergeCell ref="A8:V8"/>
    <mergeCell ref="A9:V9"/>
    <mergeCell ref="A10:V10"/>
    <mergeCell ref="A14:A15"/>
    <mergeCell ref="A16:A17"/>
  </mergeCells>
  <pageMargins left="0.7" right="0.7" top="0.75" bottom="0.75" header="0.3" footer="0.3"/>
  <pageSetup scale="34" orientation="landscape" r:id="rId1"/>
  <drawing r:id="rId2"/>
  <legacyDrawingHF r:id="rId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3">
    <tabColor theme="1"/>
  </sheetPr>
  <dimension ref="A1:G49"/>
  <sheetViews>
    <sheetView zoomScaleNormal="100" workbookViewId="0">
      <selection activeCell="G20" sqref="G2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RESUMEN!G68</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RESUMEN!B68</f>
        <v>D00243134</v>
      </c>
      <c r="C7" s="1265"/>
      <c r="D7" s="1177"/>
      <c r="E7" s="1266" t="s">
        <v>627</v>
      </c>
      <c r="F7" s="1267"/>
      <c r="G7" s="280" t="str">
        <f>RESUMEN!E68</f>
        <v xml:space="preserve">17-298 </v>
      </c>
    </row>
    <row r="8" spans="1:7" x14ac:dyDescent="0.25">
      <c r="A8" s="271" t="s">
        <v>628</v>
      </c>
      <c r="B8" s="1264" t="str">
        <f>RESUMEN!C68</f>
        <v>D00243134000</v>
      </c>
      <c r="C8" s="1265"/>
      <c r="D8" s="1177"/>
      <c r="E8" s="1266" t="s">
        <v>629</v>
      </c>
      <c r="F8" s="1267"/>
      <c r="G8" s="280" t="str">
        <f>RESUMEN!U68</f>
        <v>Acta N° 2: Marzo</v>
      </c>
    </row>
    <row r="9" spans="1:7" x14ac:dyDescent="0.25">
      <c r="A9" s="271" t="s">
        <v>630</v>
      </c>
      <c r="B9" s="1283" t="s">
        <v>631</v>
      </c>
      <c r="C9" s="1265"/>
      <c r="D9" s="1177"/>
      <c r="E9" s="1266" t="s">
        <v>632</v>
      </c>
      <c r="F9" s="1267"/>
      <c r="G9" s="1178">
        <f>RESUMEN!H68</f>
        <v>4324892</v>
      </c>
    </row>
    <row r="10" spans="1:7" x14ac:dyDescent="0.25">
      <c r="A10" s="271" t="s">
        <v>633</v>
      </c>
      <c r="B10" s="1283" t="str">
        <f>RESUMEN!D68</f>
        <v xml:space="preserve">ANOLAIMA </v>
      </c>
      <c r="C10" s="1265"/>
      <c r="D10" s="1177"/>
      <c r="E10" s="1266" t="s">
        <v>634</v>
      </c>
      <c r="F10" s="1267"/>
      <c r="G10" s="1178">
        <f>RESUMEN!R68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RESUMEN!N68</f>
        <v>0</v>
      </c>
      <c r="F19" s="1248"/>
      <c r="G19" s="1177"/>
    </row>
    <row r="20" spans="1:7" ht="27" customHeight="1" x14ac:dyDescent="0.25">
      <c r="A20" s="1177"/>
      <c r="B20" s="1244" t="s">
        <v>1498</v>
      </c>
      <c r="C20" s="1245"/>
      <c r="D20" s="1246"/>
      <c r="E20" s="1247">
        <f>RESUMEN!P68</f>
        <v>0</v>
      </c>
      <c r="F20" s="1248"/>
      <c r="G20" s="1177"/>
    </row>
    <row r="21" spans="1:7" ht="27" customHeight="1" x14ac:dyDescent="0.25">
      <c r="A21" s="1177"/>
      <c r="B21" s="1244" t="s">
        <v>1499</v>
      </c>
      <c r="C21" s="1245"/>
      <c r="D21" s="1246"/>
      <c r="E21" s="1247">
        <f>RESUMEN!Q68</f>
        <v>0</v>
      </c>
      <c r="F21" s="1248"/>
      <c r="G21" s="1177"/>
    </row>
    <row r="22" spans="1:7" x14ac:dyDescent="0.25">
      <c r="A22" s="1177"/>
      <c r="B22" s="1254" t="s">
        <v>64</v>
      </c>
      <c r="C22" s="1254"/>
      <c r="D22" s="1254"/>
      <c r="E22" s="1255">
        <f>RESUMEN!R68</f>
        <v>0</v>
      </c>
      <c r="F22" s="1255"/>
      <c r="G22" s="1177"/>
    </row>
    <row r="23" spans="1:7" x14ac:dyDescent="0.25">
      <c r="A23" s="1177"/>
      <c r="B23" s="1256" t="s">
        <v>66</v>
      </c>
      <c r="C23" s="1256"/>
      <c r="D23" s="1256"/>
      <c r="E23" s="1257">
        <f>RESUMEN!S68</f>
        <v>0</v>
      </c>
      <c r="F23" s="1257"/>
      <c r="G23" s="1177"/>
    </row>
    <row r="24" spans="1:7" x14ac:dyDescent="0.25">
      <c r="A24" s="1177"/>
      <c r="B24" s="1258" t="s">
        <v>1</v>
      </c>
      <c r="C24" s="1258"/>
      <c r="D24" s="1258"/>
      <c r="E24" s="1259">
        <f>RESUMEN!T68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RESUMEN!V68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0">
    <tabColor rgb="FFFF0000"/>
  </sheetPr>
  <dimension ref="A1:N33"/>
  <sheetViews>
    <sheetView topLeftCell="C10" zoomScale="70" zoomScaleNormal="70" workbookViewId="0">
      <selection activeCell="B21" sqref="B21:D21"/>
    </sheetView>
  </sheetViews>
  <sheetFormatPr baseColWidth="10" defaultColWidth="9.109375" defaultRowHeight="14.4" x14ac:dyDescent="0.3"/>
  <cols>
    <col min="1" max="1" width="13.6640625" style="189" customWidth="1"/>
    <col min="2" max="2" width="26.5546875" style="189" customWidth="1"/>
    <col min="3" max="3" width="30.109375" style="189" customWidth="1"/>
    <col min="4" max="4" width="22.5546875" style="189" customWidth="1"/>
    <col min="5" max="5" width="13" style="189" customWidth="1"/>
    <col min="6" max="6" width="17.88671875" style="189" customWidth="1"/>
    <col min="7" max="7" width="16.6640625" style="189" customWidth="1"/>
    <col min="8" max="8" width="50.109375" style="189" customWidth="1"/>
    <col min="9" max="9" width="17.88671875" style="189" bestFit="1" customWidth="1"/>
    <col min="10" max="10" width="18" style="189" customWidth="1"/>
    <col min="11" max="11" width="9.109375" style="189"/>
    <col min="12" max="12" width="17.88671875" style="189" customWidth="1"/>
    <col min="13" max="13" width="18.6640625" style="189" customWidth="1"/>
    <col min="14" max="16384" width="9.109375" style="189"/>
  </cols>
  <sheetData>
    <row r="1" spans="1:14" s="302" customFormat="1" ht="15" thickBot="1" x14ac:dyDescent="0.35">
      <c r="A1" s="169"/>
      <c r="B1" s="188"/>
      <c r="C1" s="1307" t="s">
        <v>40</v>
      </c>
      <c r="D1" s="1308"/>
      <c r="E1" s="1308"/>
      <c r="F1" s="1308"/>
      <c r="G1" s="1308"/>
      <c r="H1" s="1308"/>
      <c r="I1" s="1308"/>
      <c r="J1" s="1308"/>
      <c r="K1" s="1308"/>
      <c r="L1" s="1328" t="s">
        <v>163</v>
      </c>
      <c r="M1" s="1303"/>
      <c r="N1" s="1304"/>
    </row>
    <row r="2" spans="1:14" s="302" customFormat="1" ht="13.5" customHeight="1" thickBot="1" x14ac:dyDescent="0.35">
      <c r="A2" s="170"/>
      <c r="B2" s="190"/>
      <c r="C2" s="1310"/>
      <c r="D2" s="1311"/>
      <c r="E2" s="1311"/>
      <c r="F2" s="1311"/>
      <c r="G2" s="1311"/>
      <c r="H2" s="1311"/>
      <c r="I2" s="1311"/>
      <c r="J2" s="1311"/>
      <c r="K2" s="1311"/>
      <c r="L2" s="1329" t="s">
        <v>41</v>
      </c>
      <c r="M2" s="1305"/>
      <c r="N2" s="1306"/>
    </row>
    <row r="3" spans="1:14" s="302" customFormat="1" ht="13.5" customHeight="1" x14ac:dyDescent="0.3">
      <c r="A3" s="1292" t="s">
        <v>42</v>
      </c>
      <c r="B3" s="1292"/>
      <c r="C3" s="1292"/>
      <c r="D3" s="1292"/>
      <c r="E3" s="1292"/>
      <c r="F3" s="1292"/>
      <c r="G3" s="1292"/>
      <c r="H3" s="1292"/>
      <c r="I3" s="1292"/>
      <c r="J3" s="1292"/>
      <c r="K3" s="1292"/>
      <c r="L3" s="1292"/>
      <c r="M3" s="1292"/>
      <c r="N3" s="1292"/>
    </row>
    <row r="4" spans="1:14" s="302" customFormat="1" ht="13.5" customHeight="1" x14ac:dyDescent="0.3">
      <c r="A4" s="1292" t="s">
        <v>43</v>
      </c>
      <c r="B4" s="1292"/>
      <c r="C4" s="1292"/>
      <c r="D4" s="1292"/>
      <c r="E4" s="1292"/>
      <c r="F4" s="1292"/>
      <c r="G4" s="1292"/>
      <c r="H4" s="1292"/>
      <c r="I4" s="1292"/>
      <c r="J4" s="1292"/>
      <c r="K4" s="1292"/>
      <c r="L4" s="1292"/>
      <c r="M4" s="1292"/>
      <c r="N4" s="1292"/>
    </row>
    <row r="5" spans="1:14" s="302" customFormat="1" ht="13.5" customHeight="1" x14ac:dyDescent="0.3">
      <c r="A5" s="1292" t="s">
        <v>44</v>
      </c>
      <c r="B5" s="1292"/>
      <c r="C5" s="1292"/>
      <c r="D5" s="1292"/>
      <c r="E5" s="1292"/>
      <c r="F5" s="1292"/>
      <c r="G5" s="1292"/>
      <c r="H5" s="1292"/>
      <c r="I5" s="1292"/>
      <c r="J5" s="1292"/>
      <c r="K5" s="1292"/>
      <c r="L5" s="1292"/>
      <c r="M5" s="1292"/>
      <c r="N5" s="1292"/>
    </row>
    <row r="6" spans="1:14" s="302" customFormat="1" ht="13.5" customHeight="1" x14ac:dyDescent="0.3">
      <c r="A6" s="1292" t="s">
        <v>45</v>
      </c>
      <c r="B6" s="1292"/>
      <c r="C6" s="1292"/>
      <c r="D6" s="1292"/>
      <c r="E6" s="1292"/>
      <c r="F6" s="1292"/>
      <c r="G6" s="1292"/>
      <c r="H6" s="1292"/>
      <c r="I6" s="1292"/>
      <c r="J6" s="1292"/>
      <c r="K6" s="1292"/>
      <c r="L6" s="1292"/>
      <c r="M6" s="1292"/>
      <c r="N6" s="1292"/>
    </row>
    <row r="7" spans="1:14" s="302" customFormat="1" x14ac:dyDescent="0.3">
      <c r="A7" s="1291" t="s">
        <v>312</v>
      </c>
      <c r="B7" s="1292"/>
      <c r="C7" s="1292"/>
      <c r="D7" s="1292"/>
      <c r="E7" s="1292"/>
      <c r="F7" s="1292"/>
      <c r="G7" s="1292"/>
      <c r="H7" s="1292"/>
      <c r="I7" s="1292"/>
      <c r="J7" s="1292"/>
      <c r="K7" s="1292"/>
      <c r="L7" s="1292"/>
      <c r="M7" s="1292"/>
      <c r="N7" s="1292"/>
    </row>
    <row r="8" spans="1:14" s="302" customFormat="1" ht="13.5" customHeight="1" x14ac:dyDescent="0.3">
      <c r="A8" s="1292" t="s">
        <v>1432</v>
      </c>
      <c r="B8" s="1292"/>
      <c r="C8" s="1292"/>
      <c r="D8" s="1292"/>
      <c r="E8" s="1292"/>
      <c r="F8" s="1292"/>
      <c r="G8" s="1292"/>
      <c r="H8" s="1292"/>
      <c r="I8" s="1292"/>
      <c r="J8" s="1292"/>
      <c r="K8" s="1292"/>
      <c r="L8" s="1292"/>
      <c r="M8" s="1292"/>
      <c r="N8" s="1292"/>
    </row>
    <row r="9" spans="1:14" s="302" customFormat="1" ht="13.5" customHeight="1" x14ac:dyDescent="0.3">
      <c r="A9" s="1292" t="s">
        <v>1429</v>
      </c>
      <c r="B9" s="1292"/>
      <c r="C9" s="1292"/>
      <c r="D9" s="1292"/>
      <c r="E9" s="1292"/>
      <c r="F9" s="1292"/>
      <c r="G9" s="1292"/>
      <c r="H9" s="1292"/>
      <c r="I9" s="1292"/>
      <c r="J9" s="1292"/>
      <c r="K9" s="1292"/>
      <c r="L9" s="1292"/>
      <c r="M9" s="1292"/>
      <c r="N9" s="1292"/>
    </row>
    <row r="10" spans="1:14" s="302" customFormat="1" ht="13.5" customHeight="1" x14ac:dyDescent="0.3">
      <c r="A10" s="1292" t="s">
        <v>1183</v>
      </c>
      <c r="B10" s="1292"/>
      <c r="C10" s="1292"/>
      <c r="D10" s="1292"/>
      <c r="E10" s="1292"/>
      <c r="F10" s="1292"/>
      <c r="G10" s="1292"/>
      <c r="H10" s="1292"/>
      <c r="I10" s="1292"/>
      <c r="J10" s="1292"/>
      <c r="K10" s="1292"/>
      <c r="L10" s="1292"/>
      <c r="M10" s="1292"/>
      <c r="N10" s="1292"/>
    </row>
    <row r="11" spans="1:14" s="302" customFormat="1" ht="13.5" customHeight="1" x14ac:dyDescent="0.3">
      <c r="A11" s="387"/>
      <c r="B11" s="1301"/>
      <c r="C11" s="1313"/>
      <c r="D11" s="1313"/>
      <c r="E11" s="1313"/>
      <c r="F11" s="1313"/>
      <c r="G11" s="1313"/>
      <c r="H11" s="1313"/>
      <c r="I11" s="1293" t="s">
        <v>1529</v>
      </c>
      <c r="J11" s="1294"/>
      <c r="K11" s="1295"/>
      <c r="L11" s="1299" t="s">
        <v>49</v>
      </c>
      <c r="M11" s="1299"/>
      <c r="N11" s="1299"/>
    </row>
    <row r="12" spans="1:14" s="302" customFormat="1" ht="13.5" customHeight="1" x14ac:dyDescent="0.3">
      <c r="A12" s="171"/>
      <c r="B12" s="1301"/>
      <c r="C12" s="1302"/>
      <c r="D12" s="1302"/>
      <c r="E12" s="1302"/>
      <c r="F12" s="1302"/>
      <c r="G12" s="1302"/>
      <c r="H12" s="1302"/>
      <c r="I12" s="1325"/>
      <c r="J12" s="1326"/>
      <c r="K12" s="1327"/>
      <c r="L12" s="1300"/>
      <c r="M12" s="1300"/>
      <c r="N12" s="1300"/>
    </row>
    <row r="13" spans="1:14" ht="28.8" x14ac:dyDescent="0.3">
      <c r="A13" s="209" t="s">
        <v>50</v>
      </c>
      <c r="B13" s="209" t="s">
        <v>51</v>
      </c>
      <c r="C13" s="209" t="s">
        <v>52</v>
      </c>
      <c r="D13" s="209" t="s">
        <v>164</v>
      </c>
      <c r="E13" s="209" t="s">
        <v>54</v>
      </c>
      <c r="F13" s="210" t="s">
        <v>55</v>
      </c>
      <c r="G13" s="209" t="s">
        <v>56</v>
      </c>
      <c r="H13" s="209" t="s">
        <v>57</v>
      </c>
      <c r="I13" s="28" t="s">
        <v>54</v>
      </c>
      <c r="J13" s="28" t="s">
        <v>56</v>
      </c>
      <c r="K13" s="28" t="s">
        <v>58</v>
      </c>
      <c r="L13" s="174" t="s">
        <v>54</v>
      </c>
      <c r="M13" s="172" t="s">
        <v>56</v>
      </c>
      <c r="N13" s="28" t="s">
        <v>58</v>
      </c>
    </row>
    <row r="14" spans="1:14" ht="62.25" customHeight="1" x14ac:dyDescent="0.3">
      <c r="A14" s="1314" t="s">
        <v>422</v>
      </c>
      <c r="B14" s="1314" t="s">
        <v>194</v>
      </c>
      <c r="C14" s="388" t="s">
        <v>160</v>
      </c>
      <c r="D14" s="388" t="s">
        <v>161</v>
      </c>
      <c r="E14" s="191">
        <v>16</v>
      </c>
      <c r="F14" s="192">
        <v>69644</v>
      </c>
      <c r="G14" s="192">
        <f>ROUND((E14*F14),0)</f>
        <v>1114304</v>
      </c>
      <c r="H14" s="1314" t="s">
        <v>1182</v>
      </c>
      <c r="I14" s="433">
        <v>16</v>
      </c>
      <c r="J14" s="429">
        <f>ROUND(I14*$F$14,0)</f>
        <v>1114304</v>
      </c>
      <c r="K14" s="430">
        <f>J14/$G$14</f>
        <v>1</v>
      </c>
      <c r="L14" s="149">
        <f t="shared" ref="L14:M14" si="0">I14</f>
        <v>16</v>
      </c>
      <c r="M14" s="175">
        <f t="shared" si="0"/>
        <v>1114304</v>
      </c>
      <c r="N14" s="176">
        <f>M14/G14</f>
        <v>1</v>
      </c>
    </row>
    <row r="15" spans="1:14" x14ac:dyDescent="0.3">
      <c r="A15" s="1314"/>
      <c r="B15" s="1314"/>
      <c r="C15" s="196"/>
      <c r="D15" s="196" t="s">
        <v>162</v>
      </c>
      <c r="E15" s="198"/>
      <c r="F15" s="198"/>
      <c r="G15" s="199">
        <f>G14</f>
        <v>1114304</v>
      </c>
      <c r="H15" s="1314"/>
      <c r="I15" s="308"/>
      <c r="J15" s="179">
        <f>J14</f>
        <v>1114304</v>
      </c>
      <c r="K15" s="308">
        <f>J15/$G$15</f>
        <v>1</v>
      </c>
      <c r="L15" s="306"/>
      <c r="M15" s="307">
        <f>J15</f>
        <v>1114304</v>
      </c>
      <c r="N15" s="308">
        <f>M15/G15</f>
        <v>1</v>
      </c>
    </row>
    <row r="16" spans="1:14" x14ac:dyDescent="0.3">
      <c r="F16" s="151" t="s">
        <v>64</v>
      </c>
      <c r="G16" s="181">
        <f>SUM(G1:G15)/2</f>
        <v>1114304</v>
      </c>
      <c r="I16" s="480" t="s">
        <v>64</v>
      </c>
      <c r="J16" s="481">
        <f>SUM(J1:J15)/2</f>
        <v>1114304</v>
      </c>
      <c r="L16" s="480" t="s">
        <v>64</v>
      </c>
      <c r="M16" s="481">
        <f>SUM(M1:M15)/2</f>
        <v>1114304</v>
      </c>
    </row>
    <row r="17" spans="1:14" x14ac:dyDescent="0.3">
      <c r="F17" s="153" t="s">
        <v>65</v>
      </c>
      <c r="G17" s="181">
        <v>0</v>
      </c>
      <c r="I17" s="482" t="s">
        <v>65</v>
      </c>
      <c r="J17" s="481">
        <v>0</v>
      </c>
      <c r="L17" s="482" t="s">
        <v>65</v>
      </c>
      <c r="M17" s="481">
        <v>0</v>
      </c>
    </row>
    <row r="18" spans="1:14" x14ac:dyDescent="0.3">
      <c r="F18" s="152" t="s">
        <v>64</v>
      </c>
      <c r="G18" s="340">
        <f>SUM(G16:G17)</f>
        <v>1114304</v>
      </c>
      <c r="I18" s="484" t="s">
        <v>64</v>
      </c>
      <c r="J18" s="550">
        <f>SUM(J16:J17)</f>
        <v>1114304</v>
      </c>
      <c r="L18" s="484" t="s">
        <v>64</v>
      </c>
      <c r="M18" s="550">
        <f>SUM(M16:M17)</f>
        <v>1114304</v>
      </c>
    </row>
    <row r="19" spans="1:14" ht="26.4" x14ac:dyDescent="0.3">
      <c r="F19" s="152"/>
      <c r="G19" s="340"/>
      <c r="I19" s="484" t="s">
        <v>1439</v>
      </c>
      <c r="J19" s="483">
        <f>ROUND(J18*0.015,0)</f>
        <v>16715</v>
      </c>
      <c r="L19" s="484" t="s">
        <v>1439</v>
      </c>
      <c r="M19" s="550">
        <f>J19</f>
        <v>16715</v>
      </c>
    </row>
    <row r="20" spans="1:14" ht="26.4" x14ac:dyDescent="0.3">
      <c r="F20" s="152"/>
      <c r="G20" s="340"/>
      <c r="I20" s="152" t="s">
        <v>1440</v>
      </c>
      <c r="J20" s="182">
        <f>J18+J19</f>
        <v>1131019</v>
      </c>
      <c r="K20" s="546">
        <f>J20/G16</f>
        <v>1.015000394865315</v>
      </c>
      <c r="L20" s="152" t="s">
        <v>1440</v>
      </c>
      <c r="M20" s="182">
        <f>M18+M19</f>
        <v>1131019</v>
      </c>
      <c r="N20" s="546">
        <f>M20/G16</f>
        <v>1.015000394865315</v>
      </c>
    </row>
    <row r="21" spans="1:14" x14ac:dyDescent="0.3">
      <c r="F21" s="154" t="s">
        <v>66</v>
      </c>
      <c r="G21" s="181">
        <f>+G18*19%</f>
        <v>211717.76000000001</v>
      </c>
      <c r="I21" s="485" t="s">
        <v>66</v>
      </c>
      <c r="J21" s="483">
        <f>ROUND(J20*0.19,0)</f>
        <v>214894</v>
      </c>
      <c r="L21" s="485" t="s">
        <v>66</v>
      </c>
      <c r="M21" s="483">
        <f>ROUND(M20*0.19,0)</f>
        <v>214894</v>
      </c>
    </row>
    <row r="22" spans="1:14" x14ac:dyDescent="0.3">
      <c r="F22" s="155" t="s">
        <v>69</v>
      </c>
      <c r="G22" s="181">
        <f>+G18+G21</f>
        <v>1326021.76</v>
      </c>
      <c r="I22" s="545" t="s">
        <v>69</v>
      </c>
      <c r="J22" s="481">
        <f>J20+J21</f>
        <v>1345913</v>
      </c>
      <c r="L22" s="545" t="s">
        <v>69</v>
      </c>
      <c r="M22" s="481">
        <f>M20+M21</f>
        <v>1345913</v>
      </c>
    </row>
    <row r="25" spans="1:14" x14ac:dyDescent="0.3">
      <c r="A25" s="183" t="s">
        <v>67</v>
      </c>
      <c r="B25" s="184"/>
      <c r="C25" s="184"/>
      <c r="D25" s="185" t="s">
        <v>68</v>
      </c>
      <c r="I25" s="186" t="s">
        <v>70</v>
      </c>
      <c r="J25" s="187" t="s">
        <v>71</v>
      </c>
      <c r="K25" s="186" t="s">
        <v>58</v>
      </c>
      <c r="L25" s="302"/>
      <c r="M25" s="302"/>
      <c r="N25" s="302"/>
    </row>
    <row r="26" spans="1:14" x14ac:dyDescent="0.3">
      <c r="A26" s="183"/>
      <c r="B26" s="184"/>
      <c r="C26" s="184"/>
      <c r="D26" s="185"/>
      <c r="I26" s="69" t="s">
        <v>72</v>
      </c>
      <c r="J26" s="70">
        <f>$J$16</f>
        <v>1114304</v>
      </c>
      <c r="K26" s="71">
        <f>K20</f>
        <v>1.015000394865315</v>
      </c>
      <c r="L26" s="302"/>
      <c r="M26" s="302"/>
      <c r="N26" s="302"/>
    </row>
    <row r="27" spans="1:14" x14ac:dyDescent="0.3">
      <c r="A27" s="183"/>
      <c r="B27" s="184"/>
      <c r="C27" s="184"/>
      <c r="D27" s="185"/>
      <c r="I27" s="72" t="s">
        <v>1</v>
      </c>
      <c r="J27" s="105">
        <f>SUM(J26:J26)</f>
        <v>1114304</v>
      </c>
      <c r="K27" s="73">
        <f>SUM(K26:K26)</f>
        <v>1.015000394865315</v>
      </c>
      <c r="L27" s="302"/>
      <c r="M27" s="302"/>
      <c r="N27" s="302"/>
    </row>
    <row r="28" spans="1:14" x14ac:dyDescent="0.3">
      <c r="A28" s="183"/>
      <c r="B28" s="184"/>
      <c r="C28" s="184"/>
      <c r="D28" s="185"/>
      <c r="I28" s="72" t="s">
        <v>9</v>
      </c>
      <c r="J28" s="1285"/>
      <c r="K28" s="1286"/>
      <c r="L28" s="302"/>
      <c r="M28" s="302"/>
      <c r="N28" s="302"/>
    </row>
    <row r="29" spans="1:14" x14ac:dyDescent="0.3">
      <c r="A29" s="183"/>
      <c r="B29" s="184"/>
      <c r="C29" s="184"/>
      <c r="D29" s="185"/>
      <c r="I29" s="156" t="s">
        <v>78</v>
      </c>
      <c r="J29" s="1285" t="s">
        <v>334</v>
      </c>
      <c r="K29" s="1286"/>
      <c r="L29" s="302"/>
      <c r="M29" s="302"/>
      <c r="N29" s="302"/>
    </row>
    <row r="30" spans="1:14" x14ac:dyDescent="0.3">
      <c r="A30" s="183"/>
      <c r="B30" s="184"/>
      <c r="C30" s="184"/>
      <c r="D30" s="185"/>
      <c r="I30" s="157" t="s">
        <v>8</v>
      </c>
      <c r="J30" s="1287" t="s">
        <v>335</v>
      </c>
      <c r="K30" s="1288"/>
      <c r="L30" s="302"/>
      <c r="M30" s="302"/>
      <c r="N30" s="302"/>
    </row>
    <row r="31" spans="1:14" x14ac:dyDescent="0.3">
      <c r="A31" s="183"/>
      <c r="B31" s="184"/>
      <c r="C31" s="184"/>
      <c r="D31" s="185" t="s">
        <v>75</v>
      </c>
    </row>
    <row r="32" spans="1:14" x14ac:dyDescent="0.3">
      <c r="A32" s="183" t="s">
        <v>76</v>
      </c>
      <c r="B32" s="180"/>
      <c r="C32" s="180"/>
      <c r="D32" s="185" t="s">
        <v>77</v>
      </c>
    </row>
    <row r="33" spans="1:4" ht="26.4" x14ac:dyDescent="0.3">
      <c r="A33" s="183" t="s">
        <v>79</v>
      </c>
      <c r="B33" s="180"/>
      <c r="C33" s="180"/>
      <c r="D33" s="185" t="s">
        <v>80</v>
      </c>
    </row>
  </sheetData>
  <sheetProtection formatCells="0" formatColumns="0" formatRows="0" insertColumns="0" insertRows="0" insertHyperlinks="0" deleteColumns="0" deleteRows="0" sort="0" autoFilter="0" pivotTables="0"/>
  <mergeCells count="21">
    <mergeCell ref="J30:K30"/>
    <mergeCell ref="B11:H11"/>
    <mergeCell ref="I11:K12"/>
    <mergeCell ref="L11:N12"/>
    <mergeCell ref="B12:H12"/>
    <mergeCell ref="J28:K28"/>
    <mergeCell ref="J29:K29"/>
    <mergeCell ref="A6:N6"/>
    <mergeCell ref="A14:A15"/>
    <mergeCell ref="B14:B15"/>
    <mergeCell ref="H14:H15"/>
    <mergeCell ref="C1:K2"/>
    <mergeCell ref="A7:N7"/>
    <mergeCell ref="A8:N8"/>
    <mergeCell ref="A9:N9"/>
    <mergeCell ref="A10:N10"/>
    <mergeCell ref="L1:N1"/>
    <mergeCell ref="L2:N2"/>
    <mergeCell ref="A3:N3"/>
    <mergeCell ref="A4:N4"/>
    <mergeCell ref="A5:N5"/>
  </mergeCells>
  <pageMargins left="0.7" right="0.7" top="0.75" bottom="0.75" header="0.3" footer="0.3"/>
  <pageSetup scale="67" orientation="landscape" r:id="rId1"/>
  <drawing r:id="rId2"/>
  <legacyDrawingHF r:id="rId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4">
    <tabColor theme="1"/>
  </sheetPr>
  <dimension ref="A1:G49"/>
  <sheetViews>
    <sheetView topLeftCell="A4" zoomScaleNormal="100" workbookViewId="0">
      <selection activeCell="G26" sqref="G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RESUMEN!G68</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RESUMEN!B68</f>
        <v>D00243134</v>
      </c>
      <c r="C7" s="1265"/>
      <c r="D7" s="1177"/>
      <c r="E7" s="1266" t="s">
        <v>627</v>
      </c>
      <c r="F7" s="1267"/>
      <c r="G7" s="280" t="str">
        <f>RESUMEN!E68</f>
        <v xml:space="preserve">17-298 </v>
      </c>
    </row>
    <row r="8" spans="1:7" x14ac:dyDescent="0.25">
      <c r="A8" s="271" t="s">
        <v>628</v>
      </c>
      <c r="B8" s="1264" t="str">
        <f>RESUMEN!C68</f>
        <v>D00243134000</v>
      </c>
      <c r="C8" s="1265"/>
      <c r="D8" s="1177"/>
      <c r="E8" s="1266" t="s">
        <v>629</v>
      </c>
      <c r="F8" s="1267"/>
      <c r="G8" s="280" t="str">
        <f>RESUMEN!U68</f>
        <v>Acta N° 2: Marzo</v>
      </c>
    </row>
    <row r="9" spans="1:7" x14ac:dyDescent="0.25">
      <c r="A9" s="271" t="s">
        <v>630</v>
      </c>
      <c r="B9" s="1283" t="s">
        <v>631</v>
      </c>
      <c r="C9" s="1265"/>
      <c r="D9" s="1177"/>
      <c r="E9" s="1266" t="s">
        <v>632</v>
      </c>
      <c r="F9" s="1267"/>
      <c r="G9" s="1178">
        <f>RESUMEN!H68</f>
        <v>4324892</v>
      </c>
    </row>
    <row r="10" spans="1:7" x14ac:dyDescent="0.25">
      <c r="A10" s="271" t="s">
        <v>633</v>
      </c>
      <c r="B10" s="1283" t="str">
        <f>RESUMEN!D68</f>
        <v xml:space="preserve">ANOLAIMA </v>
      </c>
      <c r="C10" s="1265"/>
      <c r="D10" s="1177"/>
      <c r="E10" s="1266" t="s">
        <v>634</v>
      </c>
      <c r="F10" s="1267"/>
      <c r="G10" s="1178">
        <f>RESUMEN!R68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RESUMEN!N68</f>
        <v>0</v>
      </c>
      <c r="F19" s="1248"/>
      <c r="G19" s="1177"/>
    </row>
    <row r="20" spans="1:7" ht="27" customHeight="1" x14ac:dyDescent="0.25">
      <c r="A20" s="1177"/>
      <c r="B20" s="1244" t="s">
        <v>1498</v>
      </c>
      <c r="C20" s="1245"/>
      <c r="D20" s="1246"/>
      <c r="E20" s="1247">
        <f>RESUMEN!P68</f>
        <v>0</v>
      </c>
      <c r="F20" s="1248"/>
      <c r="G20" s="1177"/>
    </row>
    <row r="21" spans="1:7" ht="27" customHeight="1" x14ac:dyDescent="0.25">
      <c r="A21" s="1177"/>
      <c r="B21" s="1244" t="s">
        <v>1499</v>
      </c>
      <c r="C21" s="1245"/>
      <c r="D21" s="1246"/>
      <c r="E21" s="1247">
        <f>RESUMEN!Q68</f>
        <v>0</v>
      </c>
      <c r="F21" s="1248"/>
      <c r="G21" s="1177"/>
    </row>
    <row r="22" spans="1:7" x14ac:dyDescent="0.25">
      <c r="A22" s="1177"/>
      <c r="B22" s="1254" t="s">
        <v>64</v>
      </c>
      <c r="C22" s="1254"/>
      <c r="D22" s="1254"/>
      <c r="E22" s="1255">
        <f>RESUMEN!R68</f>
        <v>0</v>
      </c>
      <c r="F22" s="1255"/>
      <c r="G22" s="1177"/>
    </row>
    <row r="23" spans="1:7" x14ac:dyDescent="0.25">
      <c r="A23" s="1177"/>
      <c r="B23" s="1256" t="s">
        <v>66</v>
      </c>
      <c r="C23" s="1256"/>
      <c r="D23" s="1256"/>
      <c r="E23" s="1257">
        <f>RESUMEN!S68</f>
        <v>0</v>
      </c>
      <c r="F23" s="1257"/>
      <c r="G23" s="1177"/>
    </row>
    <row r="24" spans="1:7" x14ac:dyDescent="0.25">
      <c r="A24" s="1177"/>
      <c r="B24" s="1258" t="s">
        <v>1</v>
      </c>
      <c r="C24" s="1258"/>
      <c r="D24" s="1258"/>
      <c r="E24" s="1259">
        <f>RESUMEN!T68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+'OT17-298 ANOLAIMA '!N29</f>
        <v>ACTA 1</v>
      </c>
      <c r="C28" s="1253">
        <f>+'OT17-298 ANOLAIMA '!O29</f>
        <v>2970438</v>
      </c>
      <c r="D28" s="1253"/>
      <c r="E28" s="267">
        <f>+'OT17-298 ANOLAIMA '!P29</f>
        <v>0.68682362472866376</v>
      </c>
      <c r="F28" s="1177"/>
      <c r="G28" s="1177"/>
    </row>
    <row r="29" spans="1:7" x14ac:dyDescent="0.25">
      <c r="A29" s="1177"/>
      <c r="B29" s="280" t="str">
        <f>+'OT17-298 ANOLAIMA '!N30</f>
        <v>ACTA 2</v>
      </c>
      <c r="C29" s="1253">
        <f>+'OT17-298 ANOLAIMA '!O30</f>
        <v>0</v>
      </c>
      <c r="D29" s="1253"/>
      <c r="E29" s="267">
        <f>+'OT17-298 ANOLAIMA '!P30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2970438</v>
      </c>
      <c r="D34" s="1251"/>
      <c r="E34" s="264">
        <f>SUM(E28:E33)</f>
        <v>0.68682362472866376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RESUMEN!V68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5">
    <tabColor rgb="FF92D050"/>
    <pageSetUpPr fitToPage="1"/>
  </sheetPr>
  <dimension ref="A1:S37"/>
  <sheetViews>
    <sheetView topLeftCell="D7" zoomScale="70" zoomScaleNormal="70" workbookViewId="0">
      <selection activeCell="A6" sqref="A6:S6"/>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 style="437" bestFit="1" customWidth="1"/>
    <col min="9" max="9" width="16" style="437" customWidth="1"/>
    <col min="10" max="10" width="54"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7.332031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1340</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1730</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876">
        <v>3.5699999999999998E-3</v>
      </c>
      <c r="L14" s="429">
        <f>ROUND(K14*$F$14,0)</f>
        <v>1492</v>
      </c>
      <c r="M14" s="430">
        <f>L14/$H$14</f>
        <v>1.0201569893061292E-2</v>
      </c>
      <c r="N14" s="452">
        <v>0</v>
      </c>
      <c r="O14" s="425">
        <f>ROUND(N14*G14,0)</f>
        <v>0</v>
      </c>
      <c r="P14" s="426">
        <f>O14/H14</f>
        <v>0</v>
      </c>
      <c r="Q14" s="450">
        <f>K14+N14</f>
        <v>3.5699999999999998E-3</v>
      </c>
      <c r="R14" s="175">
        <f>L14+O14</f>
        <v>1492</v>
      </c>
      <c r="S14" s="176">
        <f>R14/H14</f>
        <v>1.0201569893061292E-2</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1492</v>
      </c>
      <c r="M16" s="431">
        <f>L16/$H$16</f>
        <v>1.0201569893061292E-2</v>
      </c>
      <c r="N16" s="431"/>
      <c r="O16" s="179">
        <f>SUM(O14:O15)</f>
        <v>0</v>
      </c>
      <c r="P16" s="431">
        <f>O16/$H$16</f>
        <v>0</v>
      </c>
      <c r="Q16" s="446"/>
      <c r="R16" s="1078">
        <f>L16+O16</f>
        <v>1492</v>
      </c>
      <c r="S16" s="431">
        <f>R16/H16</f>
        <v>1.0201569893061292E-2</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52">
        <v>0</v>
      </c>
      <c r="O17" s="425">
        <f>ROUND(N17*G17,0)</f>
        <v>0</v>
      </c>
      <c r="P17" s="426">
        <f>O17/H17</f>
        <v>0</v>
      </c>
      <c r="Q17" s="450">
        <f>+K17+N17</f>
        <v>42</v>
      </c>
      <c r="R17" s="175">
        <f>L17+O17</f>
        <v>2925048</v>
      </c>
      <c r="S17" s="176">
        <f>R17/H17</f>
        <v>0.7</v>
      </c>
    </row>
    <row r="18" spans="1:19"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0</v>
      </c>
      <c r="P18" s="431">
        <f>O18/$H$18</f>
        <v>0</v>
      </c>
      <c r="Q18" s="446"/>
      <c r="R18" s="307">
        <f>L18</f>
        <v>2925048</v>
      </c>
      <c r="S18" s="431">
        <f>R18/H18</f>
        <v>0.7</v>
      </c>
    </row>
    <row r="19" spans="1:19" x14ac:dyDescent="0.3">
      <c r="F19" s="445" t="s">
        <v>64</v>
      </c>
      <c r="G19" s="445"/>
      <c r="H19" s="181">
        <f>SUM(H7:H18)/2</f>
        <v>4324892</v>
      </c>
      <c r="I19" s="181">
        <f>SUM(I7:I18)/2</f>
        <v>4545471</v>
      </c>
      <c r="K19" s="547" t="s">
        <v>64</v>
      </c>
      <c r="L19" s="481">
        <f>SUM(L7:L18)/2</f>
        <v>2926540</v>
      </c>
      <c r="N19" s="547" t="s">
        <v>64</v>
      </c>
      <c r="O19" s="481">
        <f>SUM(O7:O18)/2</f>
        <v>0</v>
      </c>
      <c r="Q19" s="547" t="s">
        <v>64</v>
      </c>
      <c r="R19" s="481">
        <f>SUM(R7:R18)/2</f>
        <v>2926540</v>
      </c>
    </row>
    <row r="20" spans="1:19" x14ac:dyDescent="0.3">
      <c r="F20" s="444" t="s">
        <v>65</v>
      </c>
      <c r="G20" s="444"/>
      <c r="H20" s="181">
        <v>0</v>
      </c>
      <c r="I20" s="181">
        <v>0</v>
      </c>
      <c r="K20" s="548" t="s">
        <v>65</v>
      </c>
      <c r="L20" s="481">
        <v>0</v>
      </c>
      <c r="N20" s="548" t="s">
        <v>65</v>
      </c>
      <c r="O20" s="481">
        <v>0</v>
      </c>
      <c r="Q20" s="548" t="s">
        <v>65</v>
      </c>
      <c r="R20" s="481">
        <v>0</v>
      </c>
    </row>
    <row r="21" spans="1:19" x14ac:dyDescent="0.3">
      <c r="F21" s="443" t="s">
        <v>64</v>
      </c>
      <c r="G21" s="443"/>
      <c r="H21" s="340">
        <f>SUM(H19:H20)</f>
        <v>4324892</v>
      </c>
      <c r="I21" s="340">
        <f>SUM(I19:I20)</f>
        <v>4545471</v>
      </c>
      <c r="K21" s="549" t="s">
        <v>64</v>
      </c>
      <c r="L21" s="550">
        <f>SUM(L19:L20)</f>
        <v>2926540</v>
      </c>
      <c r="N21" s="549" t="s">
        <v>64</v>
      </c>
      <c r="O21" s="550">
        <f>SUM(O19:O20)</f>
        <v>0</v>
      </c>
      <c r="Q21" s="549" t="s">
        <v>64</v>
      </c>
      <c r="R21" s="550">
        <f>SUM(R19:R20)</f>
        <v>2926540</v>
      </c>
    </row>
    <row r="22" spans="1:19" ht="26.4" x14ac:dyDescent="0.3">
      <c r="F22" s="443"/>
      <c r="G22" s="443"/>
      <c r="H22" s="340"/>
      <c r="I22" s="340"/>
      <c r="K22" s="484" t="s">
        <v>1439</v>
      </c>
      <c r="L22" s="483">
        <f>ROUND(L21*0.015,0)</f>
        <v>43898</v>
      </c>
      <c r="N22" s="484" t="s">
        <v>1439</v>
      </c>
      <c r="O22" s="483">
        <f>ROUND(O21*0.015,0)</f>
        <v>0</v>
      </c>
      <c r="Q22" s="484" t="s">
        <v>1439</v>
      </c>
      <c r="R22" s="550">
        <f>L22+O22</f>
        <v>43898</v>
      </c>
    </row>
    <row r="23" spans="1:19" ht="26.4" x14ac:dyDescent="0.3">
      <c r="F23" s="443"/>
      <c r="G23" s="443"/>
      <c r="H23" s="340"/>
      <c r="I23" s="340"/>
      <c r="K23" s="152" t="s">
        <v>1440</v>
      </c>
      <c r="L23" s="182">
        <f>L21+L22</f>
        <v>2970438</v>
      </c>
      <c r="M23" s="577">
        <f>L23/$H$19</f>
        <v>0.68682362472866376</v>
      </c>
      <c r="N23" s="152" t="s">
        <v>1440</v>
      </c>
      <c r="O23" s="182">
        <f>O21+O22</f>
        <v>0</v>
      </c>
      <c r="P23" s="577">
        <f>O23/$H$19</f>
        <v>0</v>
      </c>
      <c r="Q23" s="484" t="s">
        <v>1440</v>
      </c>
      <c r="R23" s="483">
        <f>R21+R22</f>
        <v>2970438</v>
      </c>
      <c r="S23" s="577">
        <f>R23/H19</f>
        <v>0.68682362472866376</v>
      </c>
    </row>
    <row r="24" spans="1:19" x14ac:dyDescent="0.3">
      <c r="F24" s="442" t="s">
        <v>66</v>
      </c>
      <c r="G24" s="442"/>
      <c r="H24" s="181">
        <f>+H21*19%</f>
        <v>821729.48</v>
      </c>
      <c r="I24" s="181">
        <f>+I21*19%</f>
        <v>863639.49</v>
      </c>
      <c r="K24" s="551" t="s">
        <v>66</v>
      </c>
      <c r="L24" s="483">
        <f>ROUND(L23*0.19,0)</f>
        <v>564383</v>
      </c>
      <c r="N24" s="551" t="s">
        <v>66</v>
      </c>
      <c r="O24" s="483">
        <f>ROUND(O23*0.19,0)</f>
        <v>0</v>
      </c>
      <c r="Q24" s="551" t="s">
        <v>66</v>
      </c>
      <c r="R24" s="483">
        <f>ROUND(R23*0.19,0)</f>
        <v>564383</v>
      </c>
    </row>
    <row r="25" spans="1:19" x14ac:dyDescent="0.3">
      <c r="F25" s="441" t="s">
        <v>69</v>
      </c>
      <c r="G25" s="441"/>
      <c r="H25" s="181">
        <f>+H21+H24</f>
        <v>5146621.4800000004</v>
      </c>
      <c r="I25" s="181">
        <f>+I21+I24</f>
        <v>5409110.4900000002</v>
      </c>
      <c r="K25" s="552" t="s">
        <v>69</v>
      </c>
      <c r="L25" s="481">
        <f>L23+L24</f>
        <v>3534821</v>
      </c>
      <c r="N25" s="552" t="s">
        <v>69</v>
      </c>
      <c r="O25" s="481">
        <f>O23+O24</f>
        <v>0</v>
      </c>
      <c r="Q25" s="552" t="s">
        <v>69</v>
      </c>
      <c r="R25" s="481">
        <f>R23+R24</f>
        <v>3534821</v>
      </c>
    </row>
    <row r="28" spans="1:19" s="189" customFormat="1"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19" s="189" customFormat="1" x14ac:dyDescent="0.3">
      <c r="A29" s="183"/>
      <c r="B29" s="184"/>
      <c r="C29" s="184"/>
      <c r="D29" s="185"/>
      <c r="G29" s="852"/>
      <c r="I29" s="852"/>
      <c r="K29" s="69" t="s">
        <v>72</v>
      </c>
      <c r="L29" s="70">
        <f>$L$23</f>
        <v>2970438</v>
      </c>
      <c r="M29" s="360">
        <f>$M$23</f>
        <v>0.68682362472866376</v>
      </c>
      <c r="N29" s="69" t="s">
        <v>72</v>
      </c>
      <c r="O29" s="70">
        <f>$L$23</f>
        <v>2970438</v>
      </c>
      <c r="P29" s="360">
        <f>$M$23</f>
        <v>0.68682362472866376</v>
      </c>
      <c r="Q29" s="437"/>
      <c r="R29" s="437"/>
      <c r="S29" s="437"/>
    </row>
    <row r="30" spans="1:19" s="852" customFormat="1" x14ac:dyDescent="0.3">
      <c r="A30" s="183"/>
      <c r="B30" s="184"/>
      <c r="C30" s="184"/>
      <c r="D30" s="185"/>
      <c r="K30" s="69"/>
      <c r="L30" s="70"/>
      <c r="M30" s="360"/>
      <c r="N30" s="69" t="s">
        <v>73</v>
      </c>
      <c r="O30" s="70">
        <f>+O23</f>
        <v>0</v>
      </c>
      <c r="P30" s="360">
        <f>+P23</f>
        <v>0</v>
      </c>
      <c r="Q30" s="437"/>
      <c r="R30" s="437"/>
      <c r="S30" s="437"/>
    </row>
    <row r="31" spans="1:19" s="189" customFormat="1" x14ac:dyDescent="0.3">
      <c r="A31" s="183"/>
      <c r="B31" s="184"/>
      <c r="C31" s="184"/>
      <c r="D31" s="185"/>
      <c r="G31" s="852"/>
      <c r="I31" s="852"/>
      <c r="K31" s="72" t="s">
        <v>1</v>
      </c>
      <c r="L31" s="105">
        <f>SUM(L29:L29)</f>
        <v>2970438</v>
      </c>
      <c r="M31" s="361">
        <f>SUM(M29:M29)</f>
        <v>0.68682362472866376</v>
      </c>
      <c r="N31" s="72" t="s">
        <v>1</v>
      </c>
      <c r="O31" s="105">
        <f>SUM(O29:O30)</f>
        <v>2970438</v>
      </c>
      <c r="P31" s="361">
        <f>SUM(P29:P30)</f>
        <v>0.68682362472866376</v>
      </c>
      <c r="Q31" s="437"/>
      <c r="R31" s="437"/>
      <c r="S31" s="437"/>
    </row>
    <row r="32" spans="1:19" s="189" customFormat="1" x14ac:dyDescent="0.3">
      <c r="A32" s="183"/>
      <c r="B32" s="184"/>
      <c r="C32" s="184"/>
      <c r="D32" s="185"/>
      <c r="G32" s="852"/>
      <c r="I32" s="852"/>
      <c r="K32" s="72" t="s">
        <v>9</v>
      </c>
      <c r="L32" s="1423"/>
      <c r="M32" s="1424"/>
      <c r="N32" s="72" t="s">
        <v>9</v>
      </c>
      <c r="O32" s="1423"/>
      <c r="P32" s="1424"/>
      <c r="Q32" s="437"/>
      <c r="R32" s="437"/>
      <c r="S32" s="437"/>
    </row>
    <row r="33" spans="1:19" s="189" customFormat="1" x14ac:dyDescent="0.3">
      <c r="A33" s="183"/>
      <c r="B33" s="184"/>
      <c r="C33" s="184"/>
      <c r="D33" s="185"/>
      <c r="G33" s="852"/>
      <c r="I33" s="852"/>
      <c r="K33" s="440" t="s">
        <v>78</v>
      </c>
      <c r="L33" s="1423" t="s">
        <v>508</v>
      </c>
      <c r="M33" s="1424"/>
      <c r="N33" s="440" t="s">
        <v>78</v>
      </c>
      <c r="O33" s="1423" t="s">
        <v>508</v>
      </c>
      <c r="P33" s="1424"/>
      <c r="Q33" s="437"/>
      <c r="R33" s="437"/>
      <c r="S33" s="437"/>
    </row>
    <row r="34" spans="1:19" s="189" customFormat="1" x14ac:dyDescent="0.3">
      <c r="A34" s="183"/>
      <c r="B34" s="184"/>
      <c r="C34" s="184"/>
      <c r="D34" s="185"/>
      <c r="G34" s="852"/>
      <c r="I34" s="852"/>
      <c r="K34" s="439" t="s">
        <v>8</v>
      </c>
      <c r="L34" s="1425" t="s">
        <v>509</v>
      </c>
      <c r="M34" s="1426"/>
      <c r="N34" s="439" t="s">
        <v>8</v>
      </c>
      <c r="O34" s="1425" t="s">
        <v>509</v>
      </c>
      <c r="P34" s="1426"/>
      <c r="Q34" s="437"/>
      <c r="R34" s="437"/>
      <c r="S34" s="437"/>
    </row>
    <row r="35" spans="1:19" s="189" customFormat="1" x14ac:dyDescent="0.3">
      <c r="A35" s="183"/>
      <c r="B35" s="184"/>
      <c r="C35" s="184"/>
      <c r="D35" s="185" t="s">
        <v>75</v>
      </c>
      <c r="G35" s="852"/>
      <c r="I35" s="852"/>
      <c r="N35" s="852"/>
      <c r="O35" s="852"/>
      <c r="P35" s="852"/>
    </row>
    <row r="36" spans="1:19" s="189" customFormat="1" x14ac:dyDescent="0.3">
      <c r="A36" s="183" t="s">
        <v>76</v>
      </c>
      <c r="B36" s="180"/>
      <c r="C36" s="180"/>
      <c r="D36" s="185" t="s">
        <v>77</v>
      </c>
      <c r="G36" s="852"/>
      <c r="I36" s="852"/>
      <c r="N36" s="852"/>
      <c r="O36" s="852"/>
      <c r="P36" s="852"/>
    </row>
    <row r="37" spans="1:19" s="189" customFormat="1" ht="26.4" x14ac:dyDescent="0.3">
      <c r="A37" s="183" t="s">
        <v>79</v>
      </c>
      <c r="B37" s="180"/>
      <c r="C37" s="180"/>
      <c r="D37" s="185" t="s">
        <v>80</v>
      </c>
      <c r="G37" s="852"/>
      <c r="I37" s="852"/>
      <c r="N37" s="852"/>
      <c r="O37" s="852"/>
      <c r="P37" s="852"/>
    </row>
  </sheetData>
  <sheetProtection formatCells="0" formatColumns="0" formatRows="0" insertColumns="0" insertRows="0" insertHyperlinks="0" deleteColumns="0" deleteRows="0" sort="0" autoFilter="0" pivotTables="0"/>
  <mergeCells count="28">
    <mergeCell ref="A17:A18"/>
    <mergeCell ref="B17:B18"/>
    <mergeCell ref="J17:J18"/>
    <mergeCell ref="L32:M32"/>
    <mergeCell ref="A14:A16"/>
    <mergeCell ref="B14:B16"/>
    <mergeCell ref="Q1:S1"/>
    <mergeCell ref="Q2:S2"/>
    <mergeCell ref="A3:S3"/>
    <mergeCell ref="A4:S4"/>
    <mergeCell ref="A5:S5"/>
    <mergeCell ref="C1:M2"/>
    <mergeCell ref="Q11:S12"/>
    <mergeCell ref="B12:J12"/>
    <mergeCell ref="A6:S6"/>
    <mergeCell ref="A7:S7"/>
    <mergeCell ref="A8:S8"/>
    <mergeCell ref="A9:S9"/>
    <mergeCell ref="A10:S10"/>
    <mergeCell ref="N11:P12"/>
    <mergeCell ref="O32:P32"/>
    <mergeCell ref="O33:P33"/>
    <mergeCell ref="O34:P34"/>
    <mergeCell ref="B11:J11"/>
    <mergeCell ref="K11:M12"/>
    <mergeCell ref="L33:M33"/>
    <mergeCell ref="L34:M34"/>
    <mergeCell ref="J14:J16"/>
  </mergeCells>
  <pageMargins left="0.7" right="0.7" top="0.75" bottom="0.75" header="0.3" footer="0.3"/>
  <pageSetup scale="44" fitToHeight="0" orientation="landscape" r:id="rId1"/>
  <drawing r:id="rId2"/>
  <legacyDrawingHF r:id="rId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6">
    <tabColor theme="1"/>
  </sheetPr>
  <dimension ref="A1:G49"/>
  <sheetViews>
    <sheetView topLeftCell="A10" zoomScaleNormal="100" workbookViewId="0">
      <selection activeCell="G20" sqref="G2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f>RESUMEN!G9998</f>
        <v>0</v>
      </c>
      <c r="C5" s="1281"/>
      <c r="D5" s="1281"/>
      <c r="E5" s="1281"/>
      <c r="F5" s="1281"/>
      <c r="G5" s="1282"/>
    </row>
    <row r="6" spans="1:7" x14ac:dyDescent="0.25">
      <c r="A6" s="1177"/>
      <c r="B6" s="1177"/>
      <c r="C6" s="1177"/>
      <c r="D6" s="1177"/>
      <c r="E6" s="1177"/>
      <c r="F6" s="1177"/>
      <c r="G6" s="1177"/>
    </row>
    <row r="7" spans="1:7" x14ac:dyDescent="0.25">
      <c r="A7" s="271" t="s">
        <v>0</v>
      </c>
      <c r="B7" s="1264">
        <f>RESUMEN!B9998</f>
        <v>0</v>
      </c>
      <c r="C7" s="1265"/>
      <c r="D7" s="1177"/>
      <c r="E7" s="1266" t="s">
        <v>627</v>
      </c>
      <c r="F7" s="1267"/>
      <c r="G7" s="280">
        <f>RESUMEN!E9998</f>
        <v>0</v>
      </c>
    </row>
    <row r="8" spans="1:7" x14ac:dyDescent="0.25">
      <c r="A8" s="271" t="s">
        <v>628</v>
      </c>
      <c r="B8" s="1264">
        <f>RESUMEN!C9998</f>
        <v>0</v>
      </c>
      <c r="C8" s="1265"/>
      <c r="D8" s="1177"/>
      <c r="E8" s="1266" t="s">
        <v>629</v>
      </c>
      <c r="F8" s="1267"/>
      <c r="G8" s="280">
        <f>RESUMEN!U9998</f>
        <v>0</v>
      </c>
    </row>
    <row r="9" spans="1:7" x14ac:dyDescent="0.25">
      <c r="A9" s="271" t="s">
        <v>630</v>
      </c>
      <c r="B9" s="1283" t="s">
        <v>631</v>
      </c>
      <c r="C9" s="1265"/>
      <c r="D9" s="1177"/>
      <c r="E9" s="1266" t="s">
        <v>632</v>
      </c>
      <c r="F9" s="1267"/>
      <c r="G9" s="1178">
        <f>RESUMEN!H9998</f>
        <v>0</v>
      </c>
    </row>
    <row r="10" spans="1:7" x14ac:dyDescent="0.25">
      <c r="A10" s="271" t="s">
        <v>633</v>
      </c>
      <c r="B10" s="1283">
        <f>RESUMEN!D9998</f>
        <v>0</v>
      </c>
      <c r="C10" s="1265"/>
      <c r="D10" s="1177"/>
      <c r="E10" s="1266" t="s">
        <v>634</v>
      </c>
      <c r="F10" s="1267"/>
      <c r="G10" s="1178">
        <f>RESUMEN!R9998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RESUMEN!V9998,"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",RESUMEN!G9998)</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RESUMEN!N9998</f>
        <v>0</v>
      </c>
      <c r="F19" s="1248"/>
      <c r="G19" s="1177"/>
    </row>
    <row r="20" spans="1:7" ht="27" customHeight="1" x14ac:dyDescent="0.25">
      <c r="A20" s="1177"/>
      <c r="B20" s="1244" t="s">
        <v>1498</v>
      </c>
      <c r="C20" s="1245"/>
      <c r="D20" s="1246"/>
      <c r="E20" s="1247">
        <f>RESUMEN!P9998</f>
        <v>0</v>
      </c>
      <c r="F20" s="1248"/>
      <c r="G20" s="1177"/>
    </row>
    <row r="21" spans="1:7" ht="27" customHeight="1" x14ac:dyDescent="0.25">
      <c r="A21" s="1177"/>
      <c r="B21" s="1244" t="s">
        <v>1499</v>
      </c>
      <c r="C21" s="1245"/>
      <c r="D21" s="1246"/>
      <c r="E21" s="1247">
        <f>RESUMEN!Q9998</f>
        <v>0</v>
      </c>
      <c r="F21" s="1248"/>
      <c r="G21" s="1177"/>
    </row>
    <row r="22" spans="1:7" x14ac:dyDescent="0.25">
      <c r="A22" s="1177"/>
      <c r="B22" s="1254" t="s">
        <v>64</v>
      </c>
      <c r="C22" s="1254"/>
      <c r="D22" s="1254"/>
      <c r="E22" s="1255">
        <f>RESUMEN!R9998</f>
        <v>0</v>
      </c>
      <c r="F22" s="1255"/>
      <c r="G22" s="1177"/>
    </row>
    <row r="23" spans="1:7" x14ac:dyDescent="0.25">
      <c r="A23" s="1177"/>
      <c r="B23" s="1256" t="s">
        <v>66</v>
      </c>
      <c r="C23" s="1256"/>
      <c r="D23" s="1256"/>
      <c r="E23" s="1257">
        <f>RESUMEN!S9998</f>
        <v>0</v>
      </c>
      <c r="F23" s="1257"/>
      <c r="G23" s="1177"/>
    </row>
    <row r="24" spans="1:7" x14ac:dyDescent="0.25">
      <c r="A24" s="1177"/>
      <c r="B24" s="1258" t="s">
        <v>1</v>
      </c>
      <c r="C24" s="1258"/>
      <c r="D24" s="1258"/>
      <c r="E24" s="1259">
        <f>RESUMEN!T9998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RESUMEN!V9998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7">
    <tabColor rgb="FF72104A"/>
  </sheetPr>
  <dimension ref="A1:S38"/>
  <sheetViews>
    <sheetView topLeftCell="D1" zoomScale="55" zoomScaleNormal="55" workbookViewId="0">
      <selection activeCell="N14" sqref="N14"/>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2.88671875" style="437" bestFit="1" customWidth="1"/>
    <col min="6" max="7" width="17.88671875" style="437" customWidth="1"/>
    <col min="8" max="9" width="16" style="437" customWidth="1"/>
    <col min="10" max="10" width="63.664062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1341</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1730</v>
      </c>
      <c r="L11" s="1294"/>
      <c r="M11" s="1295"/>
      <c r="N11" s="1293" t="s">
        <v>2094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74">
        <f>E14-K14</f>
        <v>0.10500000000000001</v>
      </c>
      <c r="O14" s="429">
        <f>ROUND(N14*G14,0)</f>
        <v>46113</v>
      </c>
      <c r="P14" s="430">
        <f>O14/H14</f>
        <v>0.31529825233159203</v>
      </c>
      <c r="Q14" s="450">
        <f>K14+N14</f>
        <v>0.35</v>
      </c>
      <c r="R14" s="175">
        <f>L14+O14</f>
        <v>148489</v>
      </c>
      <c r="S14" s="176">
        <f>R14/H14</f>
        <v>1.0152955173262588</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46113</v>
      </c>
      <c r="P16" s="431">
        <f>O16/$H$16</f>
        <v>0.31529825233159203</v>
      </c>
      <c r="Q16" s="446"/>
      <c r="R16" s="307">
        <f>L16</f>
        <v>102376</v>
      </c>
      <c r="S16" s="431">
        <f>R16/H16</f>
        <v>0.69999726499466675</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74">
        <v>18</v>
      </c>
      <c r="O17" s="429">
        <f>ROUND(N17*G17,0)</f>
        <v>1317528</v>
      </c>
      <c r="P17" s="430">
        <f>O17/H17</f>
        <v>0.31530067198897249</v>
      </c>
      <c r="Q17" s="450">
        <f>K17+N17</f>
        <v>60</v>
      </c>
      <c r="R17" s="175">
        <f>L17+O17</f>
        <v>4242576</v>
      </c>
      <c r="S17" s="176">
        <f>R17/H17</f>
        <v>1.0153006719889726</v>
      </c>
    </row>
    <row r="18" spans="1:19"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1317528</v>
      </c>
      <c r="P18" s="431">
        <f>O18/$H$18</f>
        <v>0.31530067198897249</v>
      </c>
      <c r="Q18" s="446"/>
      <c r="R18" s="307">
        <f>L18</f>
        <v>2925048</v>
      </c>
      <c r="S18" s="431">
        <f>R18/H18</f>
        <v>0.7</v>
      </c>
    </row>
    <row r="19" spans="1:19" x14ac:dyDescent="0.3">
      <c r="F19" s="445" t="s">
        <v>64</v>
      </c>
      <c r="G19" s="445"/>
      <c r="H19" s="181">
        <f>SUM(H7:H18)/2</f>
        <v>4324892</v>
      </c>
      <c r="I19" s="181">
        <f>SUM(I7:I18)/2</f>
        <v>4545471</v>
      </c>
      <c r="K19" s="547" t="s">
        <v>64</v>
      </c>
      <c r="L19" s="481">
        <f>SUM(L7:L18)/2</f>
        <v>3027424</v>
      </c>
      <c r="N19" s="547" t="s">
        <v>64</v>
      </c>
      <c r="O19" s="481">
        <f>SUM(O7:O18)/2</f>
        <v>1363641</v>
      </c>
      <c r="Q19" s="547" t="s">
        <v>64</v>
      </c>
      <c r="R19" s="481">
        <f>SUM(R7:R18)/2</f>
        <v>3709244.5</v>
      </c>
    </row>
    <row r="20" spans="1:19" x14ac:dyDescent="0.3">
      <c r="F20" s="444" t="s">
        <v>65</v>
      </c>
      <c r="G20" s="444"/>
      <c r="H20" s="181">
        <v>0</v>
      </c>
      <c r="I20" s="181">
        <v>0</v>
      </c>
      <c r="K20" s="548" t="s">
        <v>65</v>
      </c>
      <c r="L20" s="481">
        <v>0</v>
      </c>
      <c r="M20" s="563"/>
      <c r="N20" s="548" t="s">
        <v>65</v>
      </c>
      <c r="O20" s="481">
        <v>0</v>
      </c>
      <c r="P20" s="563"/>
      <c r="Q20" s="548" t="s">
        <v>65</v>
      </c>
      <c r="R20" s="481">
        <v>0</v>
      </c>
      <c r="S20" s="563"/>
    </row>
    <row r="21" spans="1:19" x14ac:dyDescent="0.3">
      <c r="F21" s="443" t="s">
        <v>64</v>
      </c>
      <c r="G21" s="443"/>
      <c r="H21" s="340">
        <f>SUM(H19:H20)</f>
        <v>4324892</v>
      </c>
      <c r="I21" s="340">
        <f>SUM(I19:I20)</f>
        <v>4545471</v>
      </c>
      <c r="K21" s="549" t="s">
        <v>64</v>
      </c>
      <c r="L21" s="550">
        <f>SUM(L19:L20)</f>
        <v>3027424</v>
      </c>
      <c r="M21" s="563"/>
      <c r="N21" s="549" t="s">
        <v>64</v>
      </c>
      <c r="O21" s="550">
        <f>SUM(O19:O20)</f>
        <v>1363641</v>
      </c>
      <c r="P21" s="563"/>
      <c r="Q21" s="549" t="s">
        <v>64</v>
      </c>
      <c r="R21" s="550">
        <f>SUM(R19:R20)</f>
        <v>3709244.5</v>
      </c>
      <c r="S21" s="563"/>
    </row>
    <row r="22" spans="1:19" ht="26.4" x14ac:dyDescent="0.3">
      <c r="F22" s="443"/>
      <c r="G22" s="443"/>
      <c r="H22" s="340"/>
      <c r="I22" s="340"/>
      <c r="K22" s="484" t="s">
        <v>1439</v>
      </c>
      <c r="L22" s="483">
        <f>ROUND(L21*0.015,0)</f>
        <v>45411</v>
      </c>
      <c r="M22" s="563"/>
      <c r="N22" s="484" t="s">
        <v>1439</v>
      </c>
      <c r="O22" s="483">
        <f>ROUND(O21*0.015,0)</f>
        <v>20455</v>
      </c>
      <c r="P22" s="563"/>
      <c r="Q22" s="484" t="s">
        <v>1439</v>
      </c>
      <c r="R22" s="550">
        <f>L22</f>
        <v>45411</v>
      </c>
      <c r="S22" s="563"/>
    </row>
    <row r="23" spans="1:19" ht="26.4" x14ac:dyDescent="0.3">
      <c r="F23" s="443"/>
      <c r="G23" s="443"/>
      <c r="H23" s="340"/>
      <c r="I23" s="340"/>
      <c r="K23" s="152" t="s">
        <v>1440</v>
      </c>
      <c r="L23" s="182">
        <f>L21+L22</f>
        <v>3072835</v>
      </c>
      <c r="M23" s="616">
        <f>L23/$H$19</f>
        <v>0.71049982288575064</v>
      </c>
      <c r="N23" s="152" t="s">
        <v>1440</v>
      </c>
      <c r="O23" s="182">
        <f>O21+O22</f>
        <v>1384096</v>
      </c>
      <c r="P23" s="616">
        <f>O23/$H$19</f>
        <v>0.32003018803706546</v>
      </c>
      <c r="Q23" s="152" t="s">
        <v>1440</v>
      </c>
      <c r="R23" s="182">
        <f>R21+R22</f>
        <v>3754655.5</v>
      </c>
      <c r="S23" s="590">
        <f>R23/H19</f>
        <v>0.86815011796826369</v>
      </c>
    </row>
    <row r="24" spans="1:19" x14ac:dyDescent="0.3">
      <c r="F24" s="442" t="s">
        <v>66</v>
      </c>
      <c r="G24" s="442"/>
      <c r="H24" s="181">
        <f>+H21*19%</f>
        <v>821729.48</v>
      </c>
      <c r="I24" s="181">
        <f>+I21*19%</f>
        <v>863639.49</v>
      </c>
      <c r="K24" s="551" t="s">
        <v>66</v>
      </c>
      <c r="L24" s="483">
        <f>ROUND(L23*0.19,0)</f>
        <v>583839</v>
      </c>
      <c r="M24" s="563"/>
      <c r="N24" s="551" t="s">
        <v>66</v>
      </c>
      <c r="O24" s="483">
        <f>ROUND(O23*0.19,0)</f>
        <v>262978</v>
      </c>
      <c r="P24" s="563"/>
      <c r="Q24" s="551" t="s">
        <v>66</v>
      </c>
      <c r="R24" s="483">
        <f>ROUND(R23*0.19,0)</f>
        <v>713385</v>
      </c>
      <c r="S24" s="563"/>
    </row>
    <row r="25" spans="1:19" x14ac:dyDescent="0.3">
      <c r="F25" s="441" t="s">
        <v>69</v>
      </c>
      <c r="G25" s="441"/>
      <c r="H25" s="181">
        <f>+H21+H24</f>
        <v>5146621.4800000004</v>
      </c>
      <c r="I25" s="181">
        <f>+I21+I24</f>
        <v>5409110.4900000002</v>
      </c>
      <c r="K25" s="552" t="s">
        <v>69</v>
      </c>
      <c r="L25" s="481">
        <f>L23+L24</f>
        <v>3656674</v>
      </c>
      <c r="M25" s="563"/>
      <c r="N25" s="552" t="s">
        <v>69</v>
      </c>
      <c r="O25" s="481">
        <f>O23+O24</f>
        <v>1647074</v>
      </c>
      <c r="P25" s="563"/>
      <c r="Q25" s="552" t="s">
        <v>69</v>
      </c>
      <c r="R25" s="481">
        <f>R23+R24</f>
        <v>4468040.5</v>
      </c>
      <c r="S25" s="563"/>
    </row>
    <row r="29" spans="1:19" s="189" customFormat="1" x14ac:dyDescent="0.3">
      <c r="A29" s="183" t="s">
        <v>67</v>
      </c>
      <c r="B29" s="184"/>
      <c r="C29" s="184"/>
      <c r="D29" s="185" t="s">
        <v>68</v>
      </c>
      <c r="G29" s="852"/>
      <c r="I29" s="852"/>
      <c r="K29" s="186" t="s">
        <v>70</v>
      </c>
      <c r="L29" s="187" t="s">
        <v>71</v>
      </c>
      <c r="M29" s="186" t="s">
        <v>58</v>
      </c>
      <c r="N29" s="186" t="s">
        <v>70</v>
      </c>
      <c r="O29" s="187" t="s">
        <v>71</v>
      </c>
      <c r="P29" s="186" t="s">
        <v>58</v>
      </c>
      <c r="Q29" s="437"/>
      <c r="R29" s="437"/>
      <c r="S29" s="437"/>
    </row>
    <row r="30" spans="1:19" s="189" customFormat="1" x14ac:dyDescent="0.3">
      <c r="A30" s="183"/>
      <c r="B30" s="184"/>
      <c r="C30" s="184"/>
      <c r="D30" s="185"/>
      <c r="G30" s="852"/>
      <c r="I30" s="852"/>
      <c r="K30" s="69" t="s">
        <v>72</v>
      </c>
      <c r="L30" s="70">
        <f>$L$19</f>
        <v>3027424</v>
      </c>
      <c r="M30" s="360">
        <f>$M$23</f>
        <v>0.71049982288575064</v>
      </c>
      <c r="N30" s="69" t="s">
        <v>72</v>
      </c>
      <c r="O30" s="70">
        <f>$L$19</f>
        <v>3027424</v>
      </c>
      <c r="P30" s="360">
        <f>$M$23</f>
        <v>0.71049982288575064</v>
      </c>
      <c r="Q30" s="437"/>
      <c r="R30" s="437"/>
      <c r="S30" s="437"/>
    </row>
    <row r="31" spans="1:19" s="852" customFormat="1" x14ac:dyDescent="0.3">
      <c r="A31" s="183"/>
      <c r="B31" s="184"/>
      <c r="C31" s="184"/>
      <c r="D31" s="185"/>
      <c r="K31" s="69"/>
      <c r="L31" s="70"/>
      <c r="M31" s="360"/>
      <c r="N31" s="69" t="s">
        <v>73</v>
      </c>
      <c r="O31" s="70">
        <f>+O23</f>
        <v>1384096</v>
      </c>
      <c r="P31" s="360">
        <f>+P23</f>
        <v>0.32003018803706546</v>
      </c>
      <c r="Q31" s="437"/>
      <c r="R31" s="437"/>
      <c r="S31" s="437"/>
    </row>
    <row r="32" spans="1:19" s="189" customFormat="1" x14ac:dyDescent="0.3">
      <c r="A32" s="183"/>
      <c r="B32" s="184"/>
      <c r="C32" s="184"/>
      <c r="D32" s="185"/>
      <c r="G32" s="852"/>
      <c r="I32" s="852"/>
      <c r="K32" s="72" t="s">
        <v>1</v>
      </c>
      <c r="L32" s="105">
        <f>SUM(L30:L30)</f>
        <v>3027424</v>
      </c>
      <c r="M32" s="361">
        <f>SUM(M30:M30)</f>
        <v>0.71049982288575064</v>
      </c>
      <c r="N32" s="72" t="s">
        <v>1</v>
      </c>
      <c r="O32" s="105">
        <f>SUM(O30:O31)</f>
        <v>4411520</v>
      </c>
      <c r="P32" s="361">
        <f>SUM(P30:P31)</f>
        <v>1.0305300109228162</v>
      </c>
      <c r="Q32" s="437"/>
      <c r="R32" s="437"/>
      <c r="S32" s="437"/>
    </row>
    <row r="33" spans="1:19" s="189" customFormat="1" x14ac:dyDescent="0.3">
      <c r="A33" s="183"/>
      <c r="B33" s="184"/>
      <c r="C33" s="184"/>
      <c r="D33" s="185"/>
      <c r="G33" s="852"/>
      <c r="I33" s="852"/>
      <c r="K33" s="72" t="s">
        <v>9</v>
      </c>
      <c r="L33" s="1423"/>
      <c r="M33" s="1424"/>
      <c r="N33" s="72" t="s">
        <v>9</v>
      </c>
      <c r="O33" s="1423"/>
      <c r="P33" s="1424"/>
      <c r="Q33" s="437"/>
      <c r="R33" s="437"/>
      <c r="S33" s="437"/>
    </row>
    <row r="34" spans="1:19" s="189" customFormat="1" x14ac:dyDescent="0.3">
      <c r="A34" s="183"/>
      <c r="B34" s="184"/>
      <c r="C34" s="184"/>
      <c r="D34" s="185"/>
      <c r="G34" s="852"/>
      <c r="I34" s="852"/>
      <c r="K34" s="440" t="s">
        <v>78</v>
      </c>
      <c r="L34" s="1423" t="s">
        <v>508</v>
      </c>
      <c r="M34" s="1424"/>
      <c r="N34" s="440" t="s">
        <v>78</v>
      </c>
      <c r="O34" s="1423" t="s">
        <v>508</v>
      </c>
      <c r="P34" s="1424"/>
      <c r="Q34" s="437"/>
      <c r="R34" s="437"/>
      <c r="S34" s="437"/>
    </row>
    <row r="35" spans="1:19" s="189" customFormat="1" x14ac:dyDescent="0.3">
      <c r="A35" s="183"/>
      <c r="B35" s="184"/>
      <c r="C35" s="184"/>
      <c r="D35" s="185"/>
      <c r="G35" s="852"/>
      <c r="I35" s="852"/>
      <c r="K35" s="439" t="s">
        <v>8</v>
      </c>
      <c r="L35" s="1425" t="s">
        <v>509</v>
      </c>
      <c r="M35" s="1426"/>
      <c r="N35" s="439" t="s">
        <v>8</v>
      </c>
      <c r="O35" s="1425" t="s">
        <v>509</v>
      </c>
      <c r="P35" s="1426"/>
      <c r="Q35" s="437"/>
      <c r="R35" s="437"/>
      <c r="S35" s="437"/>
    </row>
    <row r="36" spans="1:19" s="189" customFormat="1" x14ac:dyDescent="0.3">
      <c r="A36" s="183"/>
      <c r="B36" s="184"/>
      <c r="C36" s="184"/>
      <c r="D36" s="185" t="s">
        <v>75</v>
      </c>
      <c r="G36" s="852"/>
      <c r="I36" s="852"/>
      <c r="N36" s="852"/>
      <c r="O36" s="852"/>
      <c r="P36" s="852"/>
    </row>
    <row r="37" spans="1:19" s="189" customFormat="1" x14ac:dyDescent="0.3">
      <c r="A37" s="183" t="s">
        <v>76</v>
      </c>
      <c r="B37" s="180"/>
      <c r="C37" s="180"/>
      <c r="D37" s="185" t="s">
        <v>77</v>
      </c>
      <c r="G37" s="852"/>
      <c r="I37" s="852"/>
      <c r="N37" s="852"/>
      <c r="O37" s="852"/>
      <c r="P37" s="852"/>
    </row>
    <row r="38" spans="1:19" s="189" customFormat="1" ht="26.4" x14ac:dyDescent="0.3">
      <c r="A38" s="183" t="s">
        <v>79</v>
      </c>
      <c r="B38" s="180"/>
      <c r="C38" s="180"/>
      <c r="D38" s="185" t="s">
        <v>80</v>
      </c>
      <c r="G38" s="852"/>
      <c r="I38" s="852"/>
      <c r="N38" s="852"/>
      <c r="O38" s="852"/>
      <c r="P38" s="852"/>
    </row>
  </sheetData>
  <sheetProtection formatCells="0" formatColumns="0" formatRows="0" insertColumns="0" insertRows="0" insertHyperlinks="0" deleteColumns="0" deleteRows="0" sort="0" autoFilter="0" pivotTables="0"/>
  <mergeCells count="28">
    <mergeCell ref="A17:A18"/>
    <mergeCell ref="B17:B18"/>
    <mergeCell ref="J17:J18"/>
    <mergeCell ref="L33:M33"/>
    <mergeCell ref="A14:A16"/>
    <mergeCell ref="B14:B16"/>
    <mergeCell ref="Q1:S1"/>
    <mergeCell ref="Q2:S2"/>
    <mergeCell ref="A3:S3"/>
    <mergeCell ref="A4:S4"/>
    <mergeCell ref="A5:S5"/>
    <mergeCell ref="C1:M2"/>
    <mergeCell ref="Q11:S12"/>
    <mergeCell ref="B12:J12"/>
    <mergeCell ref="A6:S6"/>
    <mergeCell ref="A7:S7"/>
    <mergeCell ref="A8:S8"/>
    <mergeCell ref="A9:S9"/>
    <mergeCell ref="A10:S10"/>
    <mergeCell ref="N11:P12"/>
    <mergeCell ref="O33:P33"/>
    <mergeCell ref="O34:P34"/>
    <mergeCell ref="O35:P35"/>
    <mergeCell ref="B11:J11"/>
    <mergeCell ref="K11:M12"/>
    <mergeCell ref="L34:M34"/>
    <mergeCell ref="L35:M35"/>
    <mergeCell ref="J14:J16"/>
  </mergeCells>
  <pageMargins left="0.7" right="0.7" top="0.75" bottom="0.75" header="0.3" footer="0.3"/>
  <pageSetup orientation="portrait" r:id="rId1"/>
  <drawing r:id="rId2"/>
  <legacyDrawingHF r:id="rId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8">
    <tabColor theme="1"/>
  </sheetPr>
  <dimension ref="A1:G49"/>
  <sheetViews>
    <sheetView topLeftCell="A13" zoomScaleNormal="100" workbookViewId="0">
      <selection activeCell="G28" sqref="G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RESUMEN!G69</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RESUMEN!B69</f>
        <v>D00243137</v>
      </c>
      <c r="C7" s="1265"/>
      <c r="D7" s="1177"/>
      <c r="E7" s="1266" t="s">
        <v>627</v>
      </c>
      <c r="F7" s="1267"/>
      <c r="G7" s="280" t="str">
        <f>RESUMEN!E69</f>
        <v xml:space="preserve">17-300 </v>
      </c>
    </row>
    <row r="8" spans="1:7" x14ac:dyDescent="0.25">
      <c r="A8" s="271" t="s">
        <v>628</v>
      </c>
      <c r="B8" s="1264" t="str">
        <f>RESUMEN!C69</f>
        <v>D00243137000</v>
      </c>
      <c r="C8" s="1265"/>
      <c r="D8" s="1177"/>
      <c r="E8" s="1266" t="s">
        <v>629</v>
      </c>
      <c r="F8" s="1267"/>
      <c r="G8" s="280" t="str">
        <f>RESUMEN!U69</f>
        <v>Acta N° 2: Marzo</v>
      </c>
    </row>
    <row r="9" spans="1:7" x14ac:dyDescent="0.25">
      <c r="A9" s="271" t="s">
        <v>630</v>
      </c>
      <c r="B9" s="1283" t="s">
        <v>631</v>
      </c>
      <c r="C9" s="1265"/>
      <c r="D9" s="1177"/>
      <c r="E9" s="1266" t="s">
        <v>632</v>
      </c>
      <c r="F9" s="1267"/>
      <c r="G9" s="1178">
        <f>RESUMEN!H69</f>
        <v>4324892</v>
      </c>
    </row>
    <row r="10" spans="1:7" x14ac:dyDescent="0.25">
      <c r="A10" s="271" t="s">
        <v>633</v>
      </c>
      <c r="B10" s="1283" t="str">
        <f>RESUMEN!D69</f>
        <v>SAN JORGE</v>
      </c>
      <c r="C10" s="1265"/>
      <c r="D10" s="1177"/>
      <c r="E10" s="1266" t="s">
        <v>634</v>
      </c>
      <c r="F10" s="1267"/>
      <c r="G10" s="1178">
        <f>RESUMEN!R69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RESUMEN!V69,"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",RESUMEN!G69)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RESUMEN!N69</f>
        <v>0</v>
      </c>
      <c r="F19" s="1248"/>
      <c r="G19" s="1177"/>
    </row>
    <row r="20" spans="1:7" ht="27" customHeight="1" x14ac:dyDescent="0.25">
      <c r="A20" s="1177"/>
      <c r="B20" s="1244" t="s">
        <v>1498</v>
      </c>
      <c r="C20" s="1245"/>
      <c r="D20" s="1246"/>
      <c r="E20" s="1247">
        <f>RESUMEN!P69</f>
        <v>0</v>
      </c>
      <c r="F20" s="1248"/>
      <c r="G20" s="1177"/>
    </row>
    <row r="21" spans="1:7" ht="27" customHeight="1" x14ac:dyDescent="0.25">
      <c r="A21" s="1177"/>
      <c r="B21" s="1244" t="s">
        <v>1499</v>
      </c>
      <c r="C21" s="1245"/>
      <c r="D21" s="1246"/>
      <c r="E21" s="1247">
        <f>RESUMEN!Q69</f>
        <v>0</v>
      </c>
      <c r="F21" s="1248"/>
      <c r="G21" s="1177"/>
    </row>
    <row r="22" spans="1:7" x14ac:dyDescent="0.25">
      <c r="A22" s="1177"/>
      <c r="B22" s="1254" t="s">
        <v>64</v>
      </c>
      <c r="C22" s="1254"/>
      <c r="D22" s="1254"/>
      <c r="E22" s="1255">
        <f>RESUMEN!R69</f>
        <v>0</v>
      </c>
      <c r="F22" s="1255"/>
      <c r="G22" s="1177"/>
    </row>
    <row r="23" spans="1:7" x14ac:dyDescent="0.25">
      <c r="A23" s="1177"/>
      <c r="B23" s="1256" t="s">
        <v>66</v>
      </c>
      <c r="C23" s="1256"/>
      <c r="D23" s="1256"/>
      <c r="E23" s="1257">
        <f>RESUMEN!S69</f>
        <v>0</v>
      </c>
      <c r="F23" s="1257"/>
      <c r="G23" s="1177"/>
    </row>
    <row r="24" spans="1:7" x14ac:dyDescent="0.25">
      <c r="A24" s="1177"/>
      <c r="B24" s="1258" t="s">
        <v>1</v>
      </c>
      <c r="C24" s="1258"/>
      <c r="D24" s="1258"/>
      <c r="E24" s="1259">
        <f>RESUMEN!T69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+'OT17-300 SAN JORGE'!N29</f>
        <v>ACTA 1</v>
      </c>
      <c r="C28" s="1253">
        <f>+'OT17-300 SAN JORGE'!O29</f>
        <v>2269106</v>
      </c>
      <c r="D28" s="1253"/>
      <c r="E28" s="267">
        <f>+'OT17-300 SAN JORGE'!P29</f>
        <v>0.52466188751071707</v>
      </c>
      <c r="F28" s="1177"/>
      <c r="G28" s="1177"/>
    </row>
    <row r="29" spans="1:7" x14ac:dyDescent="0.25">
      <c r="A29" s="1177"/>
      <c r="B29" s="280" t="str">
        <f>+'OT17-300 SAN JORGE'!N30</f>
        <v>ACTA 2</v>
      </c>
      <c r="C29" s="1253">
        <f>+'OT17-300 SAN JORGE'!O30</f>
        <v>0</v>
      </c>
      <c r="D29" s="1253"/>
      <c r="E29" s="267">
        <f>+'OT17-300 SAN JORGE'!P30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2269106</v>
      </c>
      <c r="D34" s="1251"/>
      <c r="E34" s="264">
        <f>SUM(E28:E33)</f>
        <v>0.52466188751071707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RESUMEN!V69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9">
    <tabColor rgb="FF92D050"/>
  </sheetPr>
  <dimension ref="A1:S37"/>
  <sheetViews>
    <sheetView zoomScale="55" zoomScaleNormal="55" workbookViewId="0">
      <selection activeCell="N11" sqref="N11:P12"/>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 style="437" bestFit="1" customWidth="1"/>
    <col min="9" max="9" width="16" style="437" customWidth="1"/>
    <col min="10" max="10" width="68.10937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7.554687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1342</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1730</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v>0.35</v>
      </c>
      <c r="L14" s="429">
        <f>ROUND(K14*$F$14,0)</f>
        <v>146252</v>
      </c>
      <c r="M14" s="430">
        <f>L14/$H$14</f>
        <v>1</v>
      </c>
      <c r="N14" s="452">
        <v>0</v>
      </c>
      <c r="O14" s="425">
        <f>ROUND(N14*G14,0)</f>
        <v>0</v>
      </c>
      <c r="P14" s="426">
        <f>O14/H14</f>
        <v>0</v>
      </c>
      <c r="Q14" s="450">
        <f>K14+N14</f>
        <v>0.35</v>
      </c>
      <c r="R14" s="175">
        <f>L14+O14</f>
        <v>146252</v>
      </c>
      <c r="S14" s="176">
        <f>R14/H14</f>
        <v>1</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 t="shared" ref="R15:R18" si="0">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146252</v>
      </c>
      <c r="M16" s="431">
        <f>L16/$H$16</f>
        <v>1</v>
      </c>
      <c r="N16" s="431"/>
      <c r="O16" s="179">
        <f>SUM(O14:O15)</f>
        <v>0</v>
      </c>
      <c r="P16" s="431">
        <f>O16/$H$16</f>
        <v>0</v>
      </c>
      <c r="Q16" s="446"/>
      <c r="R16" s="1078">
        <f t="shared" si="0"/>
        <v>146252</v>
      </c>
      <c r="S16" s="431">
        <f>R16/H16</f>
        <v>1</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v>30</v>
      </c>
      <c r="L17" s="429">
        <f>ROUND(K17*$F$17,0)</f>
        <v>2089320</v>
      </c>
      <c r="M17" s="430">
        <f>L17/$H$17</f>
        <v>0.5</v>
      </c>
      <c r="N17" s="452">
        <v>0</v>
      </c>
      <c r="O17" s="425">
        <f>ROUND(N17*G17,0)</f>
        <v>0</v>
      </c>
      <c r="P17" s="426">
        <f>O17/H17</f>
        <v>0</v>
      </c>
      <c r="Q17" s="450">
        <f>K17+N17</f>
        <v>30</v>
      </c>
      <c r="R17" s="175">
        <f t="shared" si="0"/>
        <v>2089320</v>
      </c>
      <c r="S17" s="176">
        <f>R17/H17</f>
        <v>0.5</v>
      </c>
    </row>
    <row r="18" spans="1:19" x14ac:dyDescent="0.3">
      <c r="A18" s="1441"/>
      <c r="B18" s="1441"/>
      <c r="C18" s="459"/>
      <c r="D18" s="459" t="s">
        <v>162</v>
      </c>
      <c r="E18" s="458"/>
      <c r="F18" s="458"/>
      <c r="G18" s="458"/>
      <c r="H18" s="457">
        <f>H17</f>
        <v>4178640</v>
      </c>
      <c r="I18" s="457">
        <f>SUM(I17)</f>
        <v>4391760</v>
      </c>
      <c r="J18" s="1442"/>
      <c r="K18" s="431"/>
      <c r="L18" s="179">
        <f>L17</f>
        <v>2089320</v>
      </c>
      <c r="M18" s="431">
        <f>L18/$H$18</f>
        <v>0.5</v>
      </c>
      <c r="N18" s="431"/>
      <c r="O18" s="179">
        <f>O17</f>
        <v>0</v>
      </c>
      <c r="P18" s="431">
        <f>O18/$H$18</f>
        <v>0</v>
      </c>
      <c r="Q18" s="446"/>
      <c r="R18" s="1078">
        <f t="shared" si="0"/>
        <v>2089320</v>
      </c>
      <c r="S18" s="431">
        <f>R18/H18</f>
        <v>0.5</v>
      </c>
    </row>
    <row r="19" spans="1:19" x14ac:dyDescent="0.3">
      <c r="F19" s="445" t="s">
        <v>64</v>
      </c>
      <c r="G19" s="445"/>
      <c r="H19" s="181">
        <f>SUM(H7:H18)/2</f>
        <v>4324892</v>
      </c>
      <c r="I19" s="181">
        <f>SUM(I7:I18)/2</f>
        <v>4545471</v>
      </c>
      <c r="K19" s="547" t="s">
        <v>64</v>
      </c>
      <c r="L19" s="481">
        <f>SUM(L7:L18)/2</f>
        <v>2235572</v>
      </c>
      <c r="N19" s="547" t="s">
        <v>64</v>
      </c>
      <c r="O19" s="481">
        <f>SUM(O7:O18)/2</f>
        <v>0</v>
      </c>
      <c r="Q19" s="547" t="s">
        <v>64</v>
      </c>
      <c r="R19" s="481">
        <f>SUM(R7:R18)/2</f>
        <v>2235572</v>
      </c>
    </row>
    <row r="20" spans="1:19" x14ac:dyDescent="0.3">
      <c r="F20" s="444" t="s">
        <v>65</v>
      </c>
      <c r="G20" s="444"/>
      <c r="H20" s="181">
        <v>0</v>
      </c>
      <c r="I20" s="181">
        <v>0</v>
      </c>
      <c r="K20" s="548" t="s">
        <v>65</v>
      </c>
      <c r="L20" s="481">
        <v>0</v>
      </c>
      <c r="N20" s="548" t="s">
        <v>65</v>
      </c>
      <c r="O20" s="481">
        <v>0</v>
      </c>
      <c r="Q20" s="548" t="s">
        <v>65</v>
      </c>
      <c r="R20" s="481">
        <v>0</v>
      </c>
    </row>
    <row r="21" spans="1:19" x14ac:dyDescent="0.3">
      <c r="F21" s="443" t="s">
        <v>64</v>
      </c>
      <c r="G21" s="443"/>
      <c r="H21" s="340">
        <f>SUM(H19:H20)</f>
        <v>4324892</v>
      </c>
      <c r="I21" s="340">
        <f>SUM(I19:I20)</f>
        <v>4545471</v>
      </c>
      <c r="K21" s="549" t="s">
        <v>64</v>
      </c>
      <c r="L21" s="550">
        <f>SUM(L19:L20)</f>
        <v>2235572</v>
      </c>
      <c r="N21" s="549" t="s">
        <v>64</v>
      </c>
      <c r="O21" s="550">
        <f>SUM(O19:O20)</f>
        <v>0</v>
      </c>
      <c r="Q21" s="549" t="s">
        <v>64</v>
      </c>
      <c r="R21" s="550">
        <f>SUM(R19:R20)</f>
        <v>2235572</v>
      </c>
    </row>
    <row r="22" spans="1:19" ht="26.4" x14ac:dyDescent="0.3">
      <c r="F22" s="443"/>
      <c r="G22" s="443"/>
      <c r="H22" s="340"/>
      <c r="I22" s="340"/>
      <c r="K22" s="484" t="s">
        <v>1439</v>
      </c>
      <c r="L22" s="483">
        <f>ROUND(L21*0.015,0)</f>
        <v>33534</v>
      </c>
      <c r="N22" s="484" t="s">
        <v>1439</v>
      </c>
      <c r="O22" s="483">
        <f>ROUND(O21*0.015,0)</f>
        <v>0</v>
      </c>
      <c r="Q22" s="484" t="s">
        <v>1439</v>
      </c>
      <c r="R22" s="550">
        <f>L22+O22</f>
        <v>33534</v>
      </c>
    </row>
    <row r="23" spans="1:19" ht="26.4" x14ac:dyDescent="0.3">
      <c r="F23" s="443"/>
      <c r="G23" s="443"/>
      <c r="H23" s="340"/>
      <c r="I23" s="340"/>
      <c r="K23" s="152" t="s">
        <v>1440</v>
      </c>
      <c r="L23" s="182">
        <f>L21+L22</f>
        <v>2269106</v>
      </c>
      <c r="M23" s="463">
        <f>L23/$H$21</f>
        <v>0.52466188751071707</v>
      </c>
      <c r="N23" s="152" t="s">
        <v>1440</v>
      </c>
      <c r="O23" s="182">
        <f>O21+O22</f>
        <v>0</v>
      </c>
      <c r="P23" s="463">
        <f>O23/$H$21</f>
        <v>0</v>
      </c>
      <c r="Q23" s="152" t="s">
        <v>1440</v>
      </c>
      <c r="R23" s="182">
        <f>R21+R22</f>
        <v>2269106</v>
      </c>
      <c r="S23" s="463">
        <f>R23/H21</f>
        <v>0.52466188751071707</v>
      </c>
    </row>
    <row r="24" spans="1:19" x14ac:dyDescent="0.3">
      <c r="F24" s="442" t="s">
        <v>66</v>
      </c>
      <c r="G24" s="442"/>
      <c r="H24" s="181">
        <f>+H21*19%</f>
        <v>821729.48</v>
      </c>
      <c r="I24" s="181">
        <f>+I21*19%</f>
        <v>863639.49</v>
      </c>
      <c r="K24" s="551" t="s">
        <v>66</v>
      </c>
      <c r="L24" s="483">
        <f>ROUND(L23*0.19,0)</f>
        <v>431130</v>
      </c>
      <c r="N24" s="551" t="s">
        <v>66</v>
      </c>
      <c r="O24" s="483">
        <f>ROUND(O23*0.19,0)</f>
        <v>0</v>
      </c>
      <c r="Q24" s="551" t="s">
        <v>66</v>
      </c>
      <c r="R24" s="483">
        <f>ROUND(R23*0.19,0)</f>
        <v>431130</v>
      </c>
    </row>
    <row r="25" spans="1:19" x14ac:dyDescent="0.3">
      <c r="F25" s="441" t="s">
        <v>69</v>
      </c>
      <c r="G25" s="441"/>
      <c r="H25" s="181">
        <f>+H21+H24</f>
        <v>5146621.4800000004</v>
      </c>
      <c r="I25" s="181">
        <f>+I21+I24</f>
        <v>5409110.4900000002</v>
      </c>
      <c r="K25" s="552" t="s">
        <v>69</v>
      </c>
      <c r="L25" s="481">
        <f>L23+L24</f>
        <v>2700236</v>
      </c>
      <c r="N25" s="552" t="s">
        <v>69</v>
      </c>
      <c r="O25" s="481">
        <f>O23+O24</f>
        <v>0</v>
      </c>
      <c r="Q25" s="552" t="s">
        <v>69</v>
      </c>
      <c r="R25" s="481">
        <f>R23+R24</f>
        <v>2700236</v>
      </c>
    </row>
    <row r="28" spans="1:19" s="189" customFormat="1"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19" s="189" customFormat="1" x14ac:dyDescent="0.3">
      <c r="A29" s="183"/>
      <c r="B29" s="184"/>
      <c r="C29" s="184"/>
      <c r="D29" s="185"/>
      <c r="G29" s="852"/>
      <c r="I29" s="852"/>
      <c r="K29" s="69" t="s">
        <v>72</v>
      </c>
      <c r="L29" s="70">
        <f>$L$23</f>
        <v>2269106</v>
      </c>
      <c r="M29" s="71">
        <f>$M$23</f>
        <v>0.52466188751071707</v>
      </c>
      <c r="N29" s="69" t="s">
        <v>72</v>
      </c>
      <c r="O29" s="70">
        <f>$L$23</f>
        <v>2269106</v>
      </c>
      <c r="P29" s="71">
        <f>$M$23</f>
        <v>0.52466188751071707</v>
      </c>
      <c r="Q29" s="437"/>
      <c r="R29" s="437"/>
      <c r="S29" s="437"/>
    </row>
    <row r="30" spans="1:19" s="852" customFormat="1" x14ac:dyDescent="0.3">
      <c r="A30" s="183"/>
      <c r="B30" s="184"/>
      <c r="C30" s="184"/>
      <c r="D30" s="185"/>
      <c r="K30" s="69"/>
      <c r="L30" s="70"/>
      <c r="M30" s="71"/>
      <c r="N30" s="69" t="s">
        <v>73</v>
      </c>
      <c r="O30" s="70">
        <f>+O23</f>
        <v>0</v>
      </c>
      <c r="P30" s="71">
        <f>+P23</f>
        <v>0</v>
      </c>
      <c r="Q30" s="437"/>
      <c r="R30" s="437"/>
      <c r="S30" s="437"/>
    </row>
    <row r="31" spans="1:19" s="189" customFormat="1" x14ac:dyDescent="0.3">
      <c r="A31" s="183"/>
      <c r="B31" s="184"/>
      <c r="C31" s="184"/>
      <c r="D31" s="185"/>
      <c r="G31" s="852"/>
      <c r="I31" s="852"/>
      <c r="K31" s="72" t="s">
        <v>1</v>
      </c>
      <c r="L31" s="105">
        <f>SUM(L29:L29)</f>
        <v>2269106</v>
      </c>
      <c r="M31" s="73">
        <f>SUM(M29:M29)</f>
        <v>0.52466188751071707</v>
      </c>
      <c r="N31" s="72" t="s">
        <v>1</v>
      </c>
      <c r="O31" s="105">
        <f>SUM(O29:O30)</f>
        <v>2269106</v>
      </c>
      <c r="P31" s="73">
        <f>SUM(P29:P30)</f>
        <v>0.52466188751071707</v>
      </c>
      <c r="Q31" s="437"/>
      <c r="R31" s="437"/>
      <c r="S31" s="437"/>
    </row>
    <row r="32" spans="1:19" s="189" customFormat="1" x14ac:dyDescent="0.3">
      <c r="A32" s="183"/>
      <c r="B32" s="184"/>
      <c r="C32" s="184"/>
      <c r="D32" s="185"/>
      <c r="G32" s="852"/>
      <c r="I32" s="852"/>
      <c r="K32" s="72" t="s">
        <v>9</v>
      </c>
      <c r="L32" s="1423"/>
      <c r="M32" s="1424"/>
      <c r="N32" s="72" t="s">
        <v>9</v>
      </c>
      <c r="O32" s="1423"/>
      <c r="P32" s="1424"/>
      <c r="Q32" s="437"/>
      <c r="R32" s="437"/>
      <c r="S32" s="437"/>
    </row>
    <row r="33" spans="1:19" s="189" customFormat="1" x14ac:dyDescent="0.3">
      <c r="A33" s="183"/>
      <c r="B33" s="184"/>
      <c r="C33" s="184"/>
      <c r="D33" s="185"/>
      <c r="G33" s="852"/>
      <c r="I33" s="852"/>
      <c r="K33" s="440" t="s">
        <v>78</v>
      </c>
      <c r="L33" s="1423" t="s">
        <v>396</v>
      </c>
      <c r="M33" s="1424"/>
      <c r="N33" s="440" t="s">
        <v>78</v>
      </c>
      <c r="O33" s="1423" t="s">
        <v>396</v>
      </c>
      <c r="P33" s="1424"/>
      <c r="Q33" s="437"/>
      <c r="R33" s="437"/>
      <c r="S33" s="437"/>
    </row>
    <row r="34" spans="1:19" s="189" customFormat="1" x14ac:dyDescent="0.3">
      <c r="A34" s="183"/>
      <c r="B34" s="184"/>
      <c r="C34" s="184"/>
      <c r="D34" s="185"/>
      <c r="G34" s="852"/>
      <c r="I34" s="852"/>
      <c r="K34" s="439" t="s">
        <v>8</v>
      </c>
      <c r="L34" s="1425" t="s">
        <v>397</v>
      </c>
      <c r="M34" s="1426"/>
      <c r="N34" s="439" t="s">
        <v>8</v>
      </c>
      <c r="O34" s="1425" t="s">
        <v>397</v>
      </c>
      <c r="P34" s="1426"/>
      <c r="Q34" s="437"/>
      <c r="R34" s="437"/>
      <c r="S34" s="437"/>
    </row>
    <row r="35" spans="1:19" s="189" customFormat="1" x14ac:dyDescent="0.3">
      <c r="A35" s="183"/>
      <c r="B35" s="184"/>
      <c r="C35" s="184"/>
      <c r="D35" s="185" t="s">
        <v>75</v>
      </c>
      <c r="G35" s="852"/>
      <c r="I35" s="852"/>
      <c r="N35" s="852"/>
      <c r="O35" s="852"/>
      <c r="P35" s="852"/>
    </row>
    <row r="36" spans="1:19" s="189" customFormat="1" x14ac:dyDescent="0.3">
      <c r="A36" s="183" t="s">
        <v>76</v>
      </c>
      <c r="B36" s="180"/>
      <c r="C36" s="180"/>
      <c r="D36" s="185" t="s">
        <v>77</v>
      </c>
      <c r="G36" s="852"/>
      <c r="I36" s="852"/>
      <c r="N36" s="852"/>
      <c r="O36" s="852"/>
      <c r="P36" s="852"/>
    </row>
    <row r="37" spans="1:19" s="189" customFormat="1" ht="26.4" x14ac:dyDescent="0.3">
      <c r="A37" s="183" t="s">
        <v>79</v>
      </c>
      <c r="B37" s="180"/>
      <c r="C37" s="180"/>
      <c r="D37" s="185" t="s">
        <v>80</v>
      </c>
      <c r="G37" s="852"/>
      <c r="I37" s="852"/>
      <c r="N37" s="852"/>
      <c r="O37" s="852"/>
      <c r="P37" s="852"/>
    </row>
  </sheetData>
  <sheetProtection formatCells="0" formatColumns="0" formatRows="0" insertColumns="0" insertRows="0" insertHyperlinks="0" deleteColumns="0" deleteRows="0" sort="0" autoFilter="0" pivotTables="0"/>
  <mergeCells count="28">
    <mergeCell ref="K11:M12"/>
    <mergeCell ref="Q11:S12"/>
    <mergeCell ref="B12:J12"/>
    <mergeCell ref="Q1:S1"/>
    <mergeCell ref="Q2:S2"/>
    <mergeCell ref="A3:S3"/>
    <mergeCell ref="A4:S4"/>
    <mergeCell ref="A5:S5"/>
    <mergeCell ref="C1:M2"/>
    <mergeCell ref="A6:S6"/>
    <mergeCell ref="A7:S7"/>
    <mergeCell ref="A8:S8"/>
    <mergeCell ref="A9:S9"/>
    <mergeCell ref="A10:S10"/>
    <mergeCell ref="B11:J11"/>
    <mergeCell ref="N11:P12"/>
    <mergeCell ref="A14:A16"/>
    <mergeCell ref="B14:B16"/>
    <mergeCell ref="J14:J16"/>
    <mergeCell ref="A17:A18"/>
    <mergeCell ref="B17:B18"/>
    <mergeCell ref="J17:J18"/>
    <mergeCell ref="O32:P32"/>
    <mergeCell ref="O33:P33"/>
    <mergeCell ref="O34:P34"/>
    <mergeCell ref="L32:M32"/>
    <mergeCell ref="L33:M33"/>
    <mergeCell ref="L34:M34"/>
  </mergeCells>
  <pageMargins left="0.7" right="0.7" top="0.75" bottom="0.75" header="0.3" footer="0.3"/>
  <pageSetup scale="49" orientation="landscape" r:id="rId1"/>
  <drawing r:id="rId2"/>
  <legacyDrawing r:id="rId3"/>
  <legacyDrawingHF r:id="rId4"/>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0">
    <tabColor theme="1"/>
  </sheetPr>
  <dimension ref="A1:G49"/>
  <sheetViews>
    <sheetView topLeftCell="A13" zoomScaleNormal="100" workbookViewId="0">
      <selection activeCell="A12" sqref="A12:G1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RESUMEN!G70</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RESUMEN!B70</f>
        <v>D00249388</v>
      </c>
      <c r="C7" s="1265"/>
      <c r="D7" s="1177"/>
      <c r="E7" s="1266" t="s">
        <v>627</v>
      </c>
      <c r="F7" s="1267"/>
      <c r="G7" s="280" t="str">
        <f>RESUMEN!E70</f>
        <v>17-301</v>
      </c>
    </row>
    <row r="8" spans="1:7" x14ac:dyDescent="0.25">
      <c r="A8" s="271" t="s">
        <v>628</v>
      </c>
      <c r="B8" s="1264" t="str">
        <f>RESUMEN!C70</f>
        <v>D00249388000</v>
      </c>
      <c r="C8" s="1265"/>
      <c r="D8" s="1177"/>
      <c r="E8" s="1266" t="s">
        <v>629</v>
      </c>
      <c r="F8" s="1267"/>
      <c r="G8" s="280" t="str">
        <f>RESUMEN!U70</f>
        <v>Acta N° 2: Marzo</v>
      </c>
    </row>
    <row r="9" spans="1:7" x14ac:dyDescent="0.25">
      <c r="A9" s="271" t="s">
        <v>630</v>
      </c>
      <c r="B9" s="1283" t="s">
        <v>631</v>
      </c>
      <c r="C9" s="1265"/>
      <c r="D9" s="1177"/>
      <c r="E9" s="1266" t="s">
        <v>632</v>
      </c>
      <c r="F9" s="1267"/>
      <c r="G9" s="1178">
        <f>RESUMEN!H70</f>
        <v>4324892</v>
      </c>
    </row>
    <row r="10" spans="1:7" x14ac:dyDescent="0.25">
      <c r="A10" s="271" t="s">
        <v>633</v>
      </c>
      <c r="B10" s="1283" t="str">
        <f>RESUMEN!D70</f>
        <v>CHINAUTA</v>
      </c>
      <c r="C10" s="1265"/>
      <c r="D10" s="1177"/>
      <c r="E10" s="1266" t="s">
        <v>634</v>
      </c>
      <c r="F10" s="1267"/>
      <c r="G10" s="1178">
        <f>RESUMEN!R70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RESUMEN!N70</f>
        <v>0</v>
      </c>
      <c r="F19" s="1248"/>
      <c r="G19" s="1177"/>
    </row>
    <row r="20" spans="1:7" ht="27" customHeight="1" x14ac:dyDescent="0.25">
      <c r="A20" s="1177"/>
      <c r="B20" s="1244" t="s">
        <v>1498</v>
      </c>
      <c r="C20" s="1245"/>
      <c r="D20" s="1246"/>
      <c r="E20" s="1247">
        <f>RESUMEN!P70</f>
        <v>0</v>
      </c>
      <c r="F20" s="1248"/>
      <c r="G20" s="1177"/>
    </row>
    <row r="21" spans="1:7" ht="27" customHeight="1" x14ac:dyDescent="0.25">
      <c r="A21" s="1177"/>
      <c r="B21" s="1244" t="s">
        <v>1499</v>
      </c>
      <c r="C21" s="1245"/>
      <c r="D21" s="1246"/>
      <c r="E21" s="1247">
        <f>RESUMEN!Q70</f>
        <v>0</v>
      </c>
      <c r="F21" s="1248"/>
      <c r="G21" s="1177"/>
    </row>
    <row r="22" spans="1:7" x14ac:dyDescent="0.25">
      <c r="A22" s="1177"/>
      <c r="B22" s="1254" t="s">
        <v>64</v>
      </c>
      <c r="C22" s="1254"/>
      <c r="D22" s="1254"/>
      <c r="E22" s="1255">
        <f>RESUMEN!R70</f>
        <v>0</v>
      </c>
      <c r="F22" s="1255"/>
      <c r="G22" s="1177"/>
    </row>
    <row r="23" spans="1:7" x14ac:dyDescent="0.25">
      <c r="A23" s="1177"/>
      <c r="B23" s="1256" t="s">
        <v>66</v>
      </c>
      <c r="C23" s="1256"/>
      <c r="D23" s="1256"/>
      <c r="E23" s="1257">
        <f>RESUMEN!S70</f>
        <v>0</v>
      </c>
      <c r="F23" s="1257"/>
      <c r="G23" s="1177"/>
    </row>
    <row r="24" spans="1:7" x14ac:dyDescent="0.25">
      <c r="A24" s="1177"/>
      <c r="B24" s="1258" t="s">
        <v>1</v>
      </c>
      <c r="C24" s="1258"/>
      <c r="D24" s="1258"/>
      <c r="E24" s="1259">
        <f>RESUMEN!T70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+'OT17-301 CHINAUTA'!N28</f>
        <v>ACTA 1</v>
      </c>
      <c r="C28" s="1253">
        <f>+'OT17-301 CHINAUTA'!O28</f>
        <v>3229557</v>
      </c>
      <c r="D28" s="1253"/>
      <c r="E28" s="267">
        <f>+'OT17-301 CHINAUTA'!P28</f>
        <v>0.74673702834660383</v>
      </c>
      <c r="F28" s="1177"/>
      <c r="G28" s="1177"/>
    </row>
    <row r="29" spans="1:7" x14ac:dyDescent="0.25">
      <c r="A29" s="1177"/>
      <c r="B29" s="280" t="str">
        <f>+'OT17-301 CHINAUTA'!N29</f>
        <v>ACTA 2</v>
      </c>
      <c r="C29" s="1253">
        <f>+'OT17-301 CHINAUTA'!O29</f>
        <v>0</v>
      </c>
      <c r="D29" s="1253"/>
      <c r="E29" s="267">
        <f>+'OT17-301 CHINAUTA'!P29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3229557</v>
      </c>
      <c r="D34" s="1251"/>
      <c r="E34" s="264">
        <f>SUM(E28:E33)</f>
        <v>0.74673702834660383</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1">
    <tabColor rgb="FF72104A"/>
  </sheetPr>
  <dimension ref="A1:S36"/>
  <sheetViews>
    <sheetView zoomScale="60" zoomScaleNormal="60" workbookViewId="0">
      <selection activeCell="H33" sqref="H33"/>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20.33203125" style="437" customWidth="1"/>
    <col min="9" max="9" width="16" style="437" customWidth="1"/>
    <col min="10" max="10" width="60.33203125" style="437" customWidth="1"/>
    <col min="11" max="11" width="17.88671875" style="437" bestFit="1" customWidth="1"/>
    <col min="12" max="12" width="18" style="437" bestFit="1" customWidth="1"/>
    <col min="13" max="13" width="9.109375" style="437"/>
    <col min="14" max="14" width="19.33203125" style="437" customWidth="1"/>
    <col min="15" max="15" width="17.77734375" style="437" customWidth="1"/>
    <col min="16" max="16" width="18.33203125" style="437" customWidth="1"/>
    <col min="17" max="17" width="17.88671875" style="437" bestFit="1" customWidth="1"/>
    <col min="18" max="18" width="20" style="437"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1052"/>
      <c r="O1" s="1052"/>
      <c r="P1" s="1052"/>
      <c r="Q1" s="1328" t="s">
        <v>163</v>
      </c>
      <c r="R1" s="1303"/>
      <c r="S1" s="1304"/>
    </row>
    <row r="2" spans="1:19" ht="13.5" customHeight="1"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1343</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ROUND(K14*G14,0)</f>
        <v>107598</v>
      </c>
      <c r="M14" s="430">
        <f>L14/H14</f>
        <v>0.73570275962038123</v>
      </c>
      <c r="N14" s="452">
        <v>0</v>
      </c>
      <c r="O14" s="425">
        <f>ROUND(N14*G14,0)</f>
        <v>0</v>
      </c>
      <c r="P14" s="426">
        <f>O14/I14</f>
        <v>0</v>
      </c>
      <c r="Q14" s="450">
        <f>K14+N14</f>
        <v>0.24499999999999997</v>
      </c>
      <c r="R14" s="175">
        <f>L14+O14</f>
        <v>107598</v>
      </c>
      <c r="S14" s="176">
        <f>R14/H14</f>
        <v>0.73570275962038123</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ROUND(K15*G15,0)</f>
        <v>0</v>
      </c>
      <c r="M15" s="426">
        <v>0</v>
      </c>
      <c r="N15" s="452">
        <v>0</v>
      </c>
      <c r="O15" s="425">
        <f>ROUND(N15*G15,0)</f>
        <v>0</v>
      </c>
      <c r="P15" s="426">
        <v>0</v>
      </c>
      <c r="Q15" s="450">
        <f t="shared" ref="Q15:Q17" si="0">K15+N15</f>
        <v>0</v>
      </c>
      <c r="R15" s="175">
        <f t="shared" ref="R15:R18" si="1">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107598</v>
      </c>
      <c r="M16" s="431">
        <f>L16/$H$16</f>
        <v>0.73570275962038123</v>
      </c>
      <c r="N16" s="431"/>
      <c r="O16" s="179">
        <f>SUM(O14:O15)</f>
        <v>0</v>
      </c>
      <c r="P16" s="1091">
        <f t="shared" ref="P16:P18" si="2">O16/I16</f>
        <v>0</v>
      </c>
      <c r="Q16" s="1089"/>
      <c r="R16" s="1078">
        <f t="shared" si="1"/>
        <v>107598</v>
      </c>
      <c r="S16" s="431">
        <f>R16/H16</f>
        <v>0.73570275962038123</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ROUND(K17*G17,0)</f>
        <v>3074232</v>
      </c>
      <c r="M17" s="430">
        <f>L17/H17</f>
        <v>0.73570156797426911</v>
      </c>
      <c r="N17" s="452">
        <v>0</v>
      </c>
      <c r="O17" s="425">
        <f>ROUND(N17*G17,0)</f>
        <v>0</v>
      </c>
      <c r="P17" s="426">
        <f t="shared" si="2"/>
        <v>0</v>
      </c>
      <c r="Q17" s="450">
        <f t="shared" si="0"/>
        <v>42</v>
      </c>
      <c r="R17" s="175">
        <f t="shared" si="1"/>
        <v>3074232</v>
      </c>
      <c r="S17" s="176">
        <f>R17/H17</f>
        <v>0.73570156797426911</v>
      </c>
    </row>
    <row r="18" spans="1:19" x14ac:dyDescent="0.3">
      <c r="A18" s="1441"/>
      <c r="B18" s="1441"/>
      <c r="C18" s="459"/>
      <c r="D18" s="459" t="s">
        <v>162</v>
      </c>
      <c r="E18" s="458"/>
      <c r="F18" s="458"/>
      <c r="G18" s="458"/>
      <c r="H18" s="457">
        <f>H17</f>
        <v>4178640</v>
      </c>
      <c r="I18" s="457">
        <f>SUM(I17)</f>
        <v>4391760</v>
      </c>
      <c r="J18" s="1442"/>
      <c r="K18" s="431"/>
      <c r="L18" s="179">
        <f>L17</f>
        <v>3074232</v>
      </c>
      <c r="M18" s="431">
        <f>L18/$H$18</f>
        <v>0.73570156797426911</v>
      </c>
      <c r="N18" s="431"/>
      <c r="O18" s="179">
        <f>O17</f>
        <v>0</v>
      </c>
      <c r="P18" s="1091">
        <f t="shared" si="2"/>
        <v>0</v>
      </c>
      <c r="Q18" s="1101"/>
      <c r="R18" s="1078">
        <f t="shared" si="1"/>
        <v>3074232</v>
      </c>
      <c r="S18" s="431">
        <f>R18/H18</f>
        <v>0.73570156797426911</v>
      </c>
    </row>
    <row r="19" spans="1:19" x14ac:dyDescent="0.3">
      <c r="F19" s="445" t="s">
        <v>64</v>
      </c>
      <c r="G19" s="445"/>
      <c r="H19" s="181">
        <f>SUM(H7:H18)/2</f>
        <v>4324892</v>
      </c>
      <c r="I19" s="181">
        <f>SUM(I7:I18)/2</f>
        <v>4545471</v>
      </c>
      <c r="K19" s="547" t="s">
        <v>64</v>
      </c>
      <c r="L19" s="481">
        <f>SUM(L7:L18)/2</f>
        <v>3181830</v>
      </c>
      <c r="N19" s="547" t="s">
        <v>64</v>
      </c>
      <c r="O19" s="481">
        <f>SUM(O7:O18)/2</f>
        <v>0</v>
      </c>
      <c r="Q19" s="547" t="s">
        <v>64</v>
      </c>
      <c r="R19" s="481">
        <f>SUM(R7:R18)/2</f>
        <v>3181830</v>
      </c>
    </row>
    <row r="20" spans="1:19" x14ac:dyDescent="0.3">
      <c r="F20" s="444" t="s">
        <v>65</v>
      </c>
      <c r="G20" s="444"/>
      <c r="H20" s="181">
        <v>0</v>
      </c>
      <c r="I20" s="181">
        <v>0</v>
      </c>
      <c r="K20" s="548" t="s">
        <v>65</v>
      </c>
      <c r="L20" s="481">
        <v>0</v>
      </c>
      <c r="N20" s="548" t="s">
        <v>65</v>
      </c>
      <c r="O20" s="481">
        <v>0</v>
      </c>
      <c r="Q20" s="548" t="s">
        <v>65</v>
      </c>
      <c r="R20" s="481">
        <v>0</v>
      </c>
    </row>
    <row r="21" spans="1:19" x14ac:dyDescent="0.3">
      <c r="F21" s="443" t="s">
        <v>64</v>
      </c>
      <c r="G21" s="443"/>
      <c r="H21" s="340">
        <f>SUM(H19:H20)</f>
        <v>4324892</v>
      </c>
      <c r="I21" s="340">
        <f>SUM(I19:I20)</f>
        <v>4545471</v>
      </c>
      <c r="K21" s="549" t="s">
        <v>64</v>
      </c>
      <c r="L21" s="550">
        <f>SUM(L19:L20)</f>
        <v>3181830</v>
      </c>
      <c r="N21" s="549" t="s">
        <v>64</v>
      </c>
      <c r="O21" s="550">
        <f>SUM(O19:O20)</f>
        <v>0</v>
      </c>
      <c r="Q21" s="549" t="s">
        <v>64</v>
      </c>
      <c r="R21" s="550">
        <f>SUM(R19:R20)</f>
        <v>3181830</v>
      </c>
    </row>
    <row r="22" spans="1:19" ht="26.4" x14ac:dyDescent="0.3">
      <c r="F22" s="443"/>
      <c r="G22" s="443"/>
      <c r="H22" s="340"/>
      <c r="I22" s="340"/>
      <c r="K22" s="484" t="s">
        <v>1439</v>
      </c>
      <c r="L22" s="483">
        <f>ROUND(L21*0.015,0)</f>
        <v>47727</v>
      </c>
      <c r="N22" s="484" t="s">
        <v>1439</v>
      </c>
      <c r="O22" s="483">
        <f>ROUND(O21*0.015,0)</f>
        <v>0</v>
      </c>
      <c r="Q22" s="484" t="s">
        <v>1439</v>
      </c>
      <c r="R22" s="550">
        <f>L22+O22</f>
        <v>47727</v>
      </c>
    </row>
    <row r="23" spans="1:19" ht="26.4" x14ac:dyDescent="0.3">
      <c r="F23" s="443"/>
      <c r="G23" s="443"/>
      <c r="H23" s="340"/>
      <c r="I23" s="340"/>
      <c r="K23" s="152" t="s">
        <v>1440</v>
      </c>
      <c r="L23" s="182">
        <f>L21+L22</f>
        <v>3229557</v>
      </c>
      <c r="M23" s="574">
        <f>L23/$H$21</f>
        <v>0.74673702834660383</v>
      </c>
      <c r="N23" s="152" t="s">
        <v>1440</v>
      </c>
      <c r="O23" s="182">
        <f>O21+O22</f>
        <v>0</v>
      </c>
      <c r="P23" s="574">
        <f>O23/$H$21</f>
        <v>0</v>
      </c>
      <c r="Q23" s="152" t="s">
        <v>1440</v>
      </c>
      <c r="R23" s="182">
        <f>R21+R22</f>
        <v>3229557</v>
      </c>
      <c r="S23" s="463">
        <f>R23/H21</f>
        <v>0.74673702834660383</v>
      </c>
    </row>
    <row r="24" spans="1:19" x14ac:dyDescent="0.3">
      <c r="F24" s="442" t="s">
        <v>66</v>
      </c>
      <c r="G24" s="442"/>
      <c r="H24" s="181">
        <f>+H21*19%</f>
        <v>821729.48</v>
      </c>
      <c r="I24" s="181">
        <f>+I21*19%</f>
        <v>863639.49</v>
      </c>
      <c r="K24" s="551" t="s">
        <v>66</v>
      </c>
      <c r="L24" s="483">
        <f>ROUND(L23*0.19,0)</f>
        <v>613616</v>
      </c>
      <c r="N24" s="551" t="s">
        <v>66</v>
      </c>
      <c r="O24" s="483">
        <f>ROUND(O23*0.19,0)</f>
        <v>0</v>
      </c>
      <c r="Q24" s="551" t="s">
        <v>66</v>
      </c>
      <c r="R24" s="483">
        <f>ROUND(R23*0.19,0)</f>
        <v>613616</v>
      </c>
    </row>
    <row r="25" spans="1:19" x14ac:dyDescent="0.3">
      <c r="F25" s="441" t="s">
        <v>69</v>
      </c>
      <c r="G25" s="441"/>
      <c r="H25" s="181">
        <f>+H21+H24</f>
        <v>5146621.4800000004</v>
      </c>
      <c r="I25" s="181">
        <f>+I21+I24</f>
        <v>5409110.4900000002</v>
      </c>
      <c r="K25" s="552" t="s">
        <v>69</v>
      </c>
      <c r="L25" s="481">
        <f>L23+L24</f>
        <v>3843173</v>
      </c>
      <c r="N25" s="552" t="s">
        <v>69</v>
      </c>
      <c r="O25" s="481">
        <f>O23+O24</f>
        <v>0</v>
      </c>
      <c r="Q25" s="552" t="s">
        <v>69</v>
      </c>
      <c r="R25" s="481">
        <f>R23+R24</f>
        <v>3843173</v>
      </c>
    </row>
    <row r="27" spans="1:19" s="189" customFormat="1" x14ac:dyDescent="0.3">
      <c r="A27" s="183" t="s">
        <v>67</v>
      </c>
      <c r="B27" s="184"/>
      <c r="C27" s="184"/>
      <c r="D27" s="185" t="s">
        <v>68</v>
      </c>
      <c r="G27" s="852"/>
      <c r="I27" s="852"/>
      <c r="K27" s="186" t="s">
        <v>70</v>
      </c>
      <c r="L27" s="187" t="s">
        <v>71</v>
      </c>
      <c r="M27" s="186" t="s">
        <v>58</v>
      </c>
      <c r="N27" s="186" t="s">
        <v>70</v>
      </c>
      <c r="O27" s="187" t="s">
        <v>71</v>
      </c>
      <c r="P27" s="186" t="s">
        <v>58</v>
      </c>
      <c r="Q27" s="437"/>
      <c r="R27" s="437"/>
      <c r="S27" s="437"/>
    </row>
    <row r="28" spans="1:19" s="189" customFormat="1" x14ac:dyDescent="0.3">
      <c r="A28" s="183"/>
      <c r="B28" s="184"/>
      <c r="C28" s="184"/>
      <c r="D28" s="185"/>
      <c r="G28" s="852"/>
      <c r="I28" s="852"/>
      <c r="K28" s="69" t="s">
        <v>72</v>
      </c>
      <c r="L28" s="70">
        <f>$L$23</f>
        <v>3229557</v>
      </c>
      <c r="M28" s="71">
        <f>$M$23</f>
        <v>0.74673702834660383</v>
      </c>
      <c r="N28" s="69" t="s">
        <v>72</v>
      </c>
      <c r="O28" s="70">
        <f>$L$23</f>
        <v>3229557</v>
      </c>
      <c r="P28" s="71">
        <f>$M$23</f>
        <v>0.74673702834660383</v>
      </c>
      <c r="Q28" s="437"/>
      <c r="R28" s="437"/>
      <c r="S28" s="437"/>
    </row>
    <row r="29" spans="1:19" s="189" customFormat="1" x14ac:dyDescent="0.3">
      <c r="A29" s="183"/>
      <c r="B29" s="184"/>
      <c r="C29" s="184"/>
      <c r="D29" s="185"/>
      <c r="G29" s="852"/>
      <c r="I29" s="852"/>
      <c r="K29" s="72" t="s">
        <v>1</v>
      </c>
      <c r="L29" s="105">
        <f>SUM(L28:L28)</f>
        <v>3229557</v>
      </c>
      <c r="M29" s="73">
        <f>SUM(M28:M28)</f>
        <v>0.74673702834660383</v>
      </c>
      <c r="N29" s="69" t="s">
        <v>73</v>
      </c>
      <c r="O29" s="70">
        <f>$O$23</f>
        <v>0</v>
      </c>
      <c r="P29" s="71">
        <f>$P$23</f>
        <v>0</v>
      </c>
      <c r="Q29" s="437"/>
      <c r="R29" s="437"/>
      <c r="S29" s="437"/>
    </row>
    <row r="30" spans="1:19" s="189" customFormat="1" x14ac:dyDescent="0.3">
      <c r="A30" s="183"/>
      <c r="B30" s="184"/>
      <c r="C30" s="184"/>
      <c r="D30" s="185"/>
      <c r="G30" s="852"/>
      <c r="I30" s="852"/>
      <c r="K30" s="72" t="s">
        <v>9</v>
      </c>
      <c r="L30" s="1423"/>
      <c r="M30" s="1424"/>
      <c r="N30" s="72" t="s">
        <v>1</v>
      </c>
      <c r="O30" s="105">
        <f>SUM(O28:O29)</f>
        <v>3229557</v>
      </c>
      <c r="P30" s="73">
        <f>SUM(P28:P29)</f>
        <v>0.74673702834660383</v>
      </c>
      <c r="Q30" s="437"/>
      <c r="R30" s="437"/>
      <c r="S30" s="437"/>
    </row>
    <row r="31" spans="1:19" s="189" customFormat="1" x14ac:dyDescent="0.3">
      <c r="A31" s="183"/>
      <c r="B31" s="184"/>
      <c r="C31" s="184"/>
      <c r="D31" s="185"/>
      <c r="G31" s="852"/>
      <c r="I31" s="852"/>
      <c r="K31" s="440" t="s">
        <v>78</v>
      </c>
      <c r="L31" s="1423" t="s">
        <v>1984</v>
      </c>
      <c r="M31" s="1424"/>
      <c r="N31" s="72" t="s">
        <v>9</v>
      </c>
      <c r="O31" s="1423"/>
      <c r="P31" s="1424"/>
      <c r="Q31" s="437"/>
      <c r="R31" s="437"/>
      <c r="S31" s="437"/>
    </row>
    <row r="32" spans="1:19" s="189" customFormat="1" x14ac:dyDescent="0.3">
      <c r="A32" s="183"/>
      <c r="B32" s="184"/>
      <c r="C32" s="184"/>
      <c r="D32" s="185"/>
      <c r="G32" s="852"/>
      <c r="I32" s="852"/>
      <c r="K32" s="439" t="s">
        <v>8</v>
      </c>
      <c r="L32" s="1423" t="s">
        <v>1985</v>
      </c>
      <c r="M32" s="1424"/>
      <c r="N32" s="440" t="s">
        <v>78</v>
      </c>
      <c r="O32" s="1423" t="s">
        <v>1984</v>
      </c>
      <c r="P32" s="1424"/>
      <c r="Q32" s="437"/>
      <c r="R32" s="437"/>
      <c r="S32" s="437"/>
    </row>
    <row r="33" spans="1:16" s="189" customFormat="1" x14ac:dyDescent="0.3">
      <c r="A33" s="183"/>
      <c r="B33" s="184"/>
      <c r="C33" s="184"/>
      <c r="D33" s="185" t="s">
        <v>75</v>
      </c>
      <c r="G33" s="852"/>
      <c r="I33" s="852"/>
      <c r="N33" s="439" t="s">
        <v>8</v>
      </c>
      <c r="O33" s="1423" t="s">
        <v>1985</v>
      </c>
      <c r="P33" s="1424"/>
    </row>
    <row r="34" spans="1:16" s="189" customFormat="1" x14ac:dyDescent="0.3">
      <c r="A34" s="183" t="s">
        <v>76</v>
      </c>
      <c r="B34" s="180"/>
      <c r="C34" s="180"/>
      <c r="D34" s="185" t="s">
        <v>77</v>
      </c>
      <c r="G34" s="852"/>
      <c r="I34" s="852"/>
      <c r="N34" s="1055"/>
      <c r="O34" s="1055"/>
      <c r="P34" s="1055"/>
    </row>
    <row r="35" spans="1:16" s="189" customFormat="1" ht="26.4" x14ac:dyDescent="0.3">
      <c r="A35" s="183" t="s">
        <v>79</v>
      </c>
      <c r="B35" s="180"/>
      <c r="C35" s="180"/>
      <c r="D35" s="185" t="s">
        <v>80</v>
      </c>
      <c r="G35" s="852"/>
      <c r="I35" s="852"/>
      <c r="N35" s="1055"/>
      <c r="O35" s="1055"/>
      <c r="P35" s="1055"/>
    </row>
    <row r="36" spans="1:16" x14ac:dyDescent="0.3">
      <c r="N36" s="1055"/>
      <c r="O36" s="1055"/>
      <c r="P36" s="1055"/>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1:P31"/>
    <mergeCell ref="O32:P32"/>
    <mergeCell ref="O33:P33"/>
    <mergeCell ref="Q11:S12"/>
    <mergeCell ref="B12:J12"/>
    <mergeCell ref="N11:P12"/>
    <mergeCell ref="L30:M30"/>
    <mergeCell ref="L31:M31"/>
    <mergeCell ref="L32:M32"/>
  </mergeCells>
  <pageMargins left="0.7" right="0.7" top="0.75" bottom="0.75" header="0.3" footer="0.3"/>
  <pageSetup scale="36" orientation="landscape" r:id="rId1"/>
  <drawing r:id="rId2"/>
  <legacyDrawingHF r:id="rId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2">
    <tabColor theme="1"/>
  </sheetPr>
  <dimension ref="A1:G49"/>
  <sheetViews>
    <sheetView zoomScaleNormal="100" workbookViewId="0">
      <selection activeCell="F65" sqref="F6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f>RESUMEN!G9998</f>
        <v>0</v>
      </c>
      <c r="C5" s="1281"/>
      <c r="D5" s="1281"/>
      <c r="E5" s="1281"/>
      <c r="F5" s="1281"/>
      <c r="G5" s="1282"/>
    </row>
    <row r="6" spans="1:7" x14ac:dyDescent="0.25">
      <c r="A6" s="1177"/>
      <c r="B6" s="1177"/>
      <c r="C6" s="1177"/>
      <c r="D6" s="1177"/>
      <c r="E6" s="1177"/>
      <c r="F6" s="1177"/>
      <c r="G6" s="1177"/>
    </row>
    <row r="7" spans="1:7" x14ac:dyDescent="0.25">
      <c r="A7" s="271" t="s">
        <v>0</v>
      </c>
      <c r="B7" s="1264">
        <f>RESUMEN!B9998</f>
        <v>0</v>
      </c>
      <c r="C7" s="1265"/>
      <c r="D7" s="1177"/>
      <c r="E7" s="1266" t="s">
        <v>627</v>
      </c>
      <c r="F7" s="1267"/>
      <c r="G7" s="280">
        <f>RESUMEN!E9998</f>
        <v>0</v>
      </c>
    </row>
    <row r="8" spans="1:7" x14ac:dyDescent="0.25">
      <c r="A8" s="271" t="s">
        <v>628</v>
      </c>
      <c r="B8" s="1264">
        <f>RESUMEN!C9998</f>
        <v>0</v>
      </c>
      <c r="C8" s="1265"/>
      <c r="D8" s="1177"/>
      <c r="E8" s="1266" t="s">
        <v>629</v>
      </c>
      <c r="F8" s="1267"/>
      <c r="G8" s="280">
        <f>RESUMEN!U9998</f>
        <v>0</v>
      </c>
    </row>
    <row r="9" spans="1:7" x14ac:dyDescent="0.25">
      <c r="A9" s="271" t="s">
        <v>630</v>
      </c>
      <c r="B9" s="1283" t="s">
        <v>631</v>
      </c>
      <c r="C9" s="1265"/>
      <c r="D9" s="1177"/>
      <c r="E9" s="1266" t="s">
        <v>632</v>
      </c>
      <c r="F9" s="1267"/>
      <c r="G9" s="1178">
        <f>RESUMEN!H9998</f>
        <v>0</v>
      </c>
    </row>
    <row r="10" spans="1:7" x14ac:dyDescent="0.25">
      <c r="A10" s="271" t="s">
        <v>633</v>
      </c>
      <c r="B10" s="1283">
        <f>RESUMEN!D9998</f>
        <v>0</v>
      </c>
      <c r="C10" s="1265"/>
      <c r="D10" s="1177"/>
      <c r="E10" s="1266" t="s">
        <v>634</v>
      </c>
      <c r="F10" s="1267"/>
      <c r="G10" s="1178">
        <f>RESUMEN!R9998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RESUMEN!V9998,"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",RESUMEN!G9998)</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RESUMEN!N9998</f>
        <v>0</v>
      </c>
      <c r="F19" s="1248"/>
      <c r="G19" s="1177"/>
    </row>
    <row r="20" spans="1:7" ht="27" customHeight="1" x14ac:dyDescent="0.25">
      <c r="A20" s="1177"/>
      <c r="B20" s="1244" t="s">
        <v>1498</v>
      </c>
      <c r="C20" s="1245"/>
      <c r="D20" s="1246"/>
      <c r="E20" s="1247">
        <f>RESUMEN!P9998</f>
        <v>0</v>
      </c>
      <c r="F20" s="1248"/>
      <c r="G20" s="1177"/>
    </row>
    <row r="21" spans="1:7" ht="27" customHeight="1" x14ac:dyDescent="0.25">
      <c r="A21" s="1177"/>
      <c r="B21" s="1244" t="s">
        <v>1499</v>
      </c>
      <c r="C21" s="1245"/>
      <c r="D21" s="1246"/>
      <c r="E21" s="1247">
        <f>RESUMEN!Q9998</f>
        <v>0</v>
      </c>
      <c r="F21" s="1248"/>
      <c r="G21" s="1177"/>
    </row>
    <row r="22" spans="1:7" x14ac:dyDescent="0.25">
      <c r="A22" s="1177"/>
      <c r="B22" s="1254" t="s">
        <v>64</v>
      </c>
      <c r="C22" s="1254"/>
      <c r="D22" s="1254"/>
      <c r="E22" s="1255">
        <f>RESUMEN!R9998</f>
        <v>0</v>
      </c>
      <c r="F22" s="1255"/>
      <c r="G22" s="1177"/>
    </row>
    <row r="23" spans="1:7" x14ac:dyDescent="0.25">
      <c r="A23" s="1177"/>
      <c r="B23" s="1256" t="s">
        <v>66</v>
      </c>
      <c r="C23" s="1256"/>
      <c r="D23" s="1256"/>
      <c r="E23" s="1257">
        <f>RESUMEN!S9998</f>
        <v>0</v>
      </c>
      <c r="F23" s="1257"/>
      <c r="G23" s="1177"/>
    </row>
    <row r="24" spans="1:7" x14ac:dyDescent="0.25">
      <c r="A24" s="1177"/>
      <c r="B24" s="1258" t="s">
        <v>1</v>
      </c>
      <c r="C24" s="1258"/>
      <c r="D24" s="1258"/>
      <c r="E24" s="1259">
        <f>RESUMEN!T9998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RESUMEN!V9998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3">
    <tabColor rgb="FF72104A"/>
    <pageSetUpPr fitToPage="1"/>
  </sheetPr>
  <dimension ref="A1:T36"/>
  <sheetViews>
    <sheetView topLeftCell="D1" zoomScale="60" zoomScaleNormal="60" workbookViewId="0">
      <selection activeCell="U22" sqref="U22"/>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6640625" style="437" bestFit="1" customWidth="1"/>
    <col min="9" max="9" width="16.6640625" style="437" customWidth="1"/>
    <col min="10" max="10" width="54.8867187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20"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20"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20"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20"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20"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20"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20" x14ac:dyDescent="0.3">
      <c r="A7" s="1291" t="s">
        <v>312</v>
      </c>
      <c r="B7" s="1292"/>
      <c r="C7" s="1292"/>
      <c r="D7" s="1292"/>
      <c r="E7" s="1292"/>
      <c r="F7" s="1292"/>
      <c r="G7" s="1292"/>
      <c r="H7" s="1292"/>
      <c r="I7" s="1292"/>
      <c r="J7" s="1292"/>
      <c r="K7" s="1292"/>
      <c r="L7" s="1292"/>
      <c r="M7" s="1292"/>
      <c r="N7" s="1292"/>
      <c r="O7" s="1292"/>
      <c r="P7" s="1292"/>
      <c r="Q7" s="1292"/>
      <c r="R7" s="1292"/>
      <c r="S7" s="1292"/>
    </row>
    <row r="8" spans="1:20"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20"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20" ht="13.5" customHeight="1" x14ac:dyDescent="0.3">
      <c r="A10" s="1292" t="s">
        <v>1344</v>
      </c>
      <c r="B10" s="1292"/>
      <c r="C10" s="1292"/>
      <c r="D10" s="1292"/>
      <c r="E10" s="1292"/>
      <c r="F10" s="1292"/>
      <c r="G10" s="1292"/>
      <c r="H10" s="1292"/>
      <c r="I10" s="1292"/>
      <c r="J10" s="1292"/>
      <c r="K10" s="1292"/>
      <c r="L10" s="1292"/>
      <c r="M10" s="1292"/>
      <c r="N10" s="1292"/>
      <c r="O10" s="1292"/>
      <c r="P10" s="1292"/>
      <c r="Q10" s="1292"/>
      <c r="R10" s="1292"/>
      <c r="S10" s="1292"/>
    </row>
    <row r="11" spans="1:20" ht="13.5" customHeight="1" x14ac:dyDescent="0.3">
      <c r="A11" s="434"/>
      <c r="B11" s="1301"/>
      <c r="C11" s="1313"/>
      <c r="D11" s="1313"/>
      <c r="E11" s="1313"/>
      <c r="F11" s="1313"/>
      <c r="G11" s="1313"/>
      <c r="H11" s="1313"/>
      <c r="I11" s="1313"/>
      <c r="J11" s="1313"/>
      <c r="K11" s="1293" t="s">
        <v>1726</v>
      </c>
      <c r="L11" s="1294"/>
      <c r="M11" s="1295"/>
      <c r="N11" s="1293" t="s">
        <v>2094</v>
      </c>
      <c r="O11" s="1294"/>
      <c r="P11" s="1295"/>
      <c r="Q11" s="1299" t="s">
        <v>49</v>
      </c>
      <c r="R11" s="1299"/>
      <c r="S11" s="1299"/>
    </row>
    <row r="12" spans="1:20"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20"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20"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74">
        <f>E14-K14</f>
        <v>0.10500000000000001</v>
      </c>
      <c r="O14" s="429">
        <f>ROUND(N14*G14,0)</f>
        <v>46113</v>
      </c>
      <c r="P14" s="430">
        <f>O14/I14</f>
        <v>0.29999804828541876</v>
      </c>
      <c r="Q14" s="450">
        <f>K14+N14</f>
        <v>0.35</v>
      </c>
      <c r="R14" s="175">
        <f>L14+O14</f>
        <v>148489</v>
      </c>
      <c r="S14" s="176">
        <f>R14/H14</f>
        <v>1.0152955173262588</v>
      </c>
      <c r="T14" s="563" t="s">
        <v>2214</v>
      </c>
    </row>
    <row r="15" spans="1:20"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L15+O15</f>
        <v>0</v>
      </c>
      <c r="S15" s="176">
        <v>0</v>
      </c>
    </row>
    <row r="16" spans="1:20"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46113</v>
      </c>
      <c r="P16" s="431">
        <f>O16/$H$16</f>
        <v>0.31529825233159203</v>
      </c>
      <c r="Q16" s="446"/>
      <c r="R16" s="307">
        <f>L16+O16</f>
        <v>148489</v>
      </c>
      <c r="S16" s="431">
        <f>R16/H16</f>
        <v>1.0152955173262588</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74">
        <v>18</v>
      </c>
      <c r="O17" s="429">
        <f>ROUND(N17*G17,0)</f>
        <v>1317528</v>
      </c>
      <c r="P17" s="430">
        <f>O17/I17</f>
        <v>0.3</v>
      </c>
      <c r="Q17" s="450">
        <f>K17+N17</f>
        <v>60</v>
      </c>
      <c r="R17" s="175">
        <f>L17+O17</f>
        <v>4242576</v>
      </c>
      <c r="S17" s="176">
        <f>R17/H17</f>
        <v>1.0153006719889726</v>
      </c>
    </row>
    <row r="18" spans="1:19"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1317528</v>
      </c>
      <c r="P18" s="431">
        <f>O18/$H$18</f>
        <v>0.31530067198897249</v>
      </c>
      <c r="Q18" s="446"/>
      <c r="R18" s="307">
        <f>L18+O18</f>
        <v>4242576</v>
      </c>
      <c r="S18" s="431">
        <f>R18/H18</f>
        <v>1.0153006719889726</v>
      </c>
    </row>
    <row r="19" spans="1:19" x14ac:dyDescent="0.3">
      <c r="F19" s="445" t="s">
        <v>64</v>
      </c>
      <c r="G19" s="445"/>
      <c r="H19" s="181">
        <f>SUM(H7:H18)/2</f>
        <v>4324892</v>
      </c>
      <c r="I19" s="181">
        <f>SUM(I7:I18)/2</f>
        <v>4545471</v>
      </c>
      <c r="K19" s="547" t="s">
        <v>64</v>
      </c>
      <c r="L19" s="481">
        <f>SUM(L7:L18)/2</f>
        <v>3027424</v>
      </c>
      <c r="N19" s="547" t="s">
        <v>64</v>
      </c>
      <c r="O19" s="481">
        <f>SUM(O7:O18)/2</f>
        <v>1363641</v>
      </c>
      <c r="Q19" s="547" t="s">
        <v>64</v>
      </c>
      <c r="R19" s="481">
        <f>SUM(R7:R18)/2</f>
        <v>4391065</v>
      </c>
    </row>
    <row r="20" spans="1:19" x14ac:dyDescent="0.3">
      <c r="F20" s="444" t="s">
        <v>65</v>
      </c>
      <c r="G20" s="444"/>
      <c r="H20" s="181">
        <v>0</v>
      </c>
      <c r="I20" s="181">
        <v>0</v>
      </c>
      <c r="K20" s="548" t="s">
        <v>65</v>
      </c>
      <c r="L20" s="481">
        <v>0</v>
      </c>
      <c r="N20" s="548" t="s">
        <v>65</v>
      </c>
      <c r="O20" s="481">
        <v>0</v>
      </c>
      <c r="Q20" s="548" t="s">
        <v>65</v>
      </c>
      <c r="R20" s="481">
        <v>0</v>
      </c>
      <c r="S20" s="563"/>
    </row>
    <row r="21" spans="1:19" x14ac:dyDescent="0.3">
      <c r="F21" s="443" t="s">
        <v>64</v>
      </c>
      <c r="G21" s="443"/>
      <c r="H21" s="340">
        <f>SUM(H19:H20)</f>
        <v>4324892</v>
      </c>
      <c r="I21" s="340">
        <f>SUM(I19:I20)</f>
        <v>4545471</v>
      </c>
      <c r="K21" s="549" t="s">
        <v>64</v>
      </c>
      <c r="L21" s="550">
        <f>SUM(L19:L20)</f>
        <v>3027424</v>
      </c>
      <c r="N21" s="549" t="s">
        <v>64</v>
      </c>
      <c r="O21" s="550">
        <f>SUM(O19:O20)</f>
        <v>1363641</v>
      </c>
      <c r="Q21" s="549" t="s">
        <v>64</v>
      </c>
      <c r="R21" s="550">
        <f>SUM(R19:R20)</f>
        <v>4391065</v>
      </c>
      <c r="S21" s="563"/>
    </row>
    <row r="22" spans="1:19" ht="26.4" x14ac:dyDescent="0.3">
      <c r="F22" s="443"/>
      <c r="G22" s="443"/>
      <c r="H22" s="340"/>
      <c r="I22" s="340"/>
      <c r="K22" s="484" t="s">
        <v>1439</v>
      </c>
      <c r="L22" s="483">
        <f>ROUND(L21*0.015,0)</f>
        <v>45411</v>
      </c>
      <c r="N22" s="484" t="s">
        <v>1439</v>
      </c>
      <c r="O22" s="483">
        <f>ROUND(O21*0.015,0)</f>
        <v>20455</v>
      </c>
      <c r="Q22" s="484" t="s">
        <v>1439</v>
      </c>
      <c r="R22" s="550">
        <f>L22+O22</f>
        <v>65866</v>
      </c>
      <c r="S22" s="563"/>
    </row>
    <row r="23" spans="1:19" ht="26.4" x14ac:dyDescent="0.3">
      <c r="F23" s="443"/>
      <c r="G23" s="443"/>
      <c r="H23" s="340"/>
      <c r="I23" s="340"/>
      <c r="K23" s="152" t="s">
        <v>1440</v>
      </c>
      <c r="L23" s="182">
        <f>L21+L22</f>
        <v>3072835</v>
      </c>
      <c r="M23" s="577">
        <f>L23/$H$19</f>
        <v>0.71049982288575064</v>
      </c>
      <c r="N23" s="152" t="s">
        <v>1440</v>
      </c>
      <c r="O23" s="182">
        <f>O21+O22</f>
        <v>1384096</v>
      </c>
      <c r="P23" s="577">
        <f>O23/$H$19</f>
        <v>0.32003018803706546</v>
      </c>
      <c r="Q23" s="152" t="s">
        <v>1440</v>
      </c>
      <c r="R23" s="182">
        <f>R21+R22</f>
        <v>4456931</v>
      </c>
      <c r="S23" s="590">
        <f>R23/H19</f>
        <v>1.0305300109228162</v>
      </c>
    </row>
    <row r="24" spans="1:19" x14ac:dyDescent="0.3">
      <c r="F24" s="442" t="s">
        <v>66</v>
      </c>
      <c r="G24" s="442"/>
      <c r="H24" s="181">
        <f>+H21*19%</f>
        <v>821729.48</v>
      </c>
      <c r="I24" s="181">
        <f>+I21*19%</f>
        <v>863639.49</v>
      </c>
      <c r="K24" s="551" t="s">
        <v>66</v>
      </c>
      <c r="L24" s="483">
        <f>ROUND(L23*0.19,0)</f>
        <v>583839</v>
      </c>
      <c r="N24" s="551" t="s">
        <v>66</v>
      </c>
      <c r="O24" s="483">
        <f>ROUND(O23*0.19,0)</f>
        <v>262978</v>
      </c>
      <c r="Q24" s="551" t="s">
        <v>66</v>
      </c>
      <c r="R24" s="483">
        <f>ROUND(R23*0.19,0)</f>
        <v>846817</v>
      </c>
      <c r="S24" s="563"/>
    </row>
    <row r="25" spans="1:19" x14ac:dyDescent="0.3">
      <c r="F25" s="441" t="s">
        <v>69</v>
      </c>
      <c r="G25" s="441"/>
      <c r="H25" s="181">
        <f>+H21+H24</f>
        <v>5146621.4800000004</v>
      </c>
      <c r="I25" s="181">
        <f>+I21+I24</f>
        <v>5409110.4900000002</v>
      </c>
      <c r="K25" s="552" t="s">
        <v>69</v>
      </c>
      <c r="L25" s="481">
        <f>L23+L24</f>
        <v>3656674</v>
      </c>
      <c r="N25" s="552" t="s">
        <v>69</v>
      </c>
      <c r="O25" s="481">
        <f>O23+O24</f>
        <v>1647074</v>
      </c>
      <c r="Q25" s="552" t="s">
        <v>69</v>
      </c>
      <c r="R25" s="481">
        <f>R23+R24</f>
        <v>5303748</v>
      </c>
      <c r="S25" s="563"/>
    </row>
    <row r="27" spans="1:19" s="189" customFormat="1" x14ac:dyDescent="0.3">
      <c r="A27" s="183" t="s">
        <v>67</v>
      </c>
      <c r="B27" s="184"/>
      <c r="C27" s="184"/>
      <c r="D27" s="185" t="s">
        <v>68</v>
      </c>
      <c r="G27" s="852"/>
      <c r="I27" s="852"/>
      <c r="K27" s="186" t="s">
        <v>70</v>
      </c>
      <c r="L27" s="187" t="s">
        <v>71</v>
      </c>
      <c r="M27" s="186" t="s">
        <v>58</v>
      </c>
      <c r="N27" s="186" t="s">
        <v>70</v>
      </c>
      <c r="O27" s="187" t="s">
        <v>71</v>
      </c>
      <c r="P27" s="186" t="s">
        <v>58</v>
      </c>
      <c r="Q27" s="437"/>
      <c r="R27" s="437"/>
      <c r="S27" s="437"/>
    </row>
    <row r="28" spans="1:19" s="189" customFormat="1" x14ac:dyDescent="0.3">
      <c r="A28" s="183"/>
      <c r="B28" s="184"/>
      <c r="C28" s="184"/>
      <c r="D28" s="185"/>
      <c r="G28" s="852"/>
      <c r="I28" s="852"/>
      <c r="K28" s="69" t="s">
        <v>72</v>
      </c>
      <c r="L28" s="70">
        <f>$L$23</f>
        <v>3072835</v>
      </c>
      <c r="M28" s="360">
        <f>$M$23</f>
        <v>0.71049982288575064</v>
      </c>
      <c r="N28" s="69" t="s">
        <v>72</v>
      </c>
      <c r="O28" s="70">
        <f>$L$23</f>
        <v>3072835</v>
      </c>
      <c r="P28" s="360">
        <f>$M$23</f>
        <v>0.71049982288575064</v>
      </c>
      <c r="Q28" s="437"/>
      <c r="R28" s="437"/>
      <c r="S28" s="437"/>
    </row>
    <row r="29" spans="1:19" s="852" customFormat="1" x14ac:dyDescent="0.3">
      <c r="A29" s="183"/>
      <c r="B29" s="184"/>
      <c r="C29" s="184"/>
      <c r="D29" s="185"/>
      <c r="K29" s="69"/>
      <c r="L29" s="70"/>
      <c r="M29" s="360"/>
      <c r="N29" s="69" t="s">
        <v>73</v>
      </c>
      <c r="O29" s="70">
        <f>+O23</f>
        <v>1384096</v>
      </c>
      <c r="P29" s="360">
        <f>+P23</f>
        <v>0.32003018803706546</v>
      </c>
      <c r="Q29" s="437"/>
      <c r="R29" s="437"/>
      <c r="S29" s="437"/>
    </row>
    <row r="30" spans="1:19" s="189" customFormat="1" x14ac:dyDescent="0.3">
      <c r="A30" s="183"/>
      <c r="B30" s="184"/>
      <c r="C30" s="184"/>
      <c r="D30" s="185"/>
      <c r="G30" s="852"/>
      <c r="I30" s="852"/>
      <c r="K30" s="72" t="s">
        <v>1</v>
      </c>
      <c r="L30" s="105">
        <f>SUM(L28:L28)</f>
        <v>3072835</v>
      </c>
      <c r="M30" s="361">
        <f>SUM(M28:M28)</f>
        <v>0.71049982288575064</v>
      </c>
      <c r="N30" s="72" t="s">
        <v>1</v>
      </c>
      <c r="O30" s="105">
        <f>SUM(O28:O29)</f>
        <v>4456931</v>
      </c>
      <c r="P30" s="361">
        <f>SUM(P28:P29)</f>
        <v>1.0305300109228162</v>
      </c>
      <c r="Q30" s="437"/>
      <c r="R30" s="437"/>
      <c r="S30" s="437"/>
    </row>
    <row r="31" spans="1:19" s="189" customFormat="1" x14ac:dyDescent="0.3">
      <c r="A31" s="183"/>
      <c r="B31" s="184"/>
      <c r="C31" s="184"/>
      <c r="D31" s="185"/>
      <c r="G31" s="852"/>
      <c r="I31" s="852"/>
      <c r="K31" s="72" t="s">
        <v>9</v>
      </c>
      <c r="L31" s="1423"/>
      <c r="M31" s="1424"/>
      <c r="N31" s="72" t="s">
        <v>9</v>
      </c>
      <c r="O31" s="1423"/>
      <c r="P31" s="1424"/>
      <c r="Q31" s="437"/>
      <c r="R31" s="437"/>
      <c r="S31" s="437"/>
    </row>
    <row r="32" spans="1:19" s="189" customFormat="1" x14ac:dyDescent="0.3">
      <c r="A32" s="183"/>
      <c r="B32" s="184"/>
      <c r="C32" s="184"/>
      <c r="D32" s="185"/>
      <c r="G32" s="852"/>
      <c r="I32" s="852"/>
      <c r="K32" s="440" t="s">
        <v>78</v>
      </c>
      <c r="L32" s="1423" t="s">
        <v>396</v>
      </c>
      <c r="M32" s="1424"/>
      <c r="N32" s="440" t="s">
        <v>78</v>
      </c>
      <c r="O32" s="1423"/>
      <c r="P32" s="1424"/>
      <c r="Q32" s="437"/>
      <c r="R32" s="437"/>
      <c r="S32" s="437"/>
    </row>
    <row r="33" spans="1:19" s="189" customFormat="1" x14ac:dyDescent="0.3">
      <c r="A33" s="183"/>
      <c r="B33" s="184"/>
      <c r="C33" s="184"/>
      <c r="D33" s="185"/>
      <c r="G33" s="852"/>
      <c r="I33" s="852"/>
      <c r="K33" s="439" t="s">
        <v>8</v>
      </c>
      <c r="L33" s="1425" t="s">
        <v>397</v>
      </c>
      <c r="M33" s="1426"/>
      <c r="N33" s="439" t="s">
        <v>8</v>
      </c>
      <c r="O33" s="1425"/>
      <c r="P33" s="1426"/>
      <c r="Q33" s="437"/>
      <c r="R33" s="437"/>
      <c r="S33" s="437"/>
    </row>
    <row r="34" spans="1:19" s="189" customFormat="1" x14ac:dyDescent="0.3">
      <c r="A34" s="183"/>
      <c r="B34" s="184"/>
      <c r="C34" s="184"/>
      <c r="D34" s="185" t="s">
        <v>75</v>
      </c>
      <c r="G34" s="852"/>
      <c r="I34" s="852"/>
      <c r="N34" s="852"/>
      <c r="O34" s="852"/>
      <c r="P34" s="852"/>
    </row>
    <row r="35" spans="1:19" s="189" customFormat="1" x14ac:dyDescent="0.3">
      <c r="A35" s="183" t="s">
        <v>76</v>
      </c>
      <c r="B35" s="180"/>
      <c r="C35" s="180"/>
      <c r="D35" s="185" t="s">
        <v>77</v>
      </c>
      <c r="G35" s="852"/>
      <c r="I35" s="852"/>
      <c r="N35" s="852"/>
      <c r="O35" s="852"/>
      <c r="P35" s="852"/>
    </row>
    <row r="36" spans="1:19" s="189" customFormat="1" ht="26.4" x14ac:dyDescent="0.3">
      <c r="A36" s="183" t="s">
        <v>79</v>
      </c>
      <c r="B36" s="180"/>
      <c r="C36" s="180"/>
      <c r="D36" s="185" t="s">
        <v>80</v>
      </c>
      <c r="G36" s="852"/>
      <c r="I36" s="852"/>
      <c r="N36" s="852"/>
      <c r="O36" s="852"/>
      <c r="P36" s="852"/>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1:P31"/>
    <mergeCell ref="O32:P32"/>
    <mergeCell ref="O33:P33"/>
    <mergeCell ref="Q11:S12"/>
    <mergeCell ref="B12:J12"/>
    <mergeCell ref="N11:P12"/>
    <mergeCell ref="L31:M31"/>
    <mergeCell ref="L32:M32"/>
    <mergeCell ref="L33:M33"/>
  </mergeCells>
  <pageMargins left="0.7" right="0.7" top="0.75" bottom="0.75" header="0.3" footer="0.3"/>
  <pageSetup scale="43" fitToHeight="0" orientation="landscape" r:id="rId1"/>
  <drawing r:id="rId2"/>
  <legacyDrawingHF r:id="rId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4">
    <tabColor theme="1"/>
  </sheetPr>
  <dimension ref="A1:G49"/>
  <sheetViews>
    <sheetView topLeftCell="A14"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RESUMEN!B71</f>
        <v>D00243137</v>
      </c>
      <c r="C7" s="1265"/>
      <c r="D7" s="1177"/>
      <c r="E7" s="1266" t="s">
        <v>627</v>
      </c>
      <c r="F7" s="1267"/>
      <c r="G7" s="280" t="str">
        <f>RESUMEN!E71</f>
        <v xml:space="preserve">17-303 </v>
      </c>
    </row>
    <row r="8" spans="1:7" x14ac:dyDescent="0.25">
      <c r="A8" s="271" t="s">
        <v>628</v>
      </c>
      <c r="B8" s="1264" t="str">
        <f>RESUMEN!C71</f>
        <v>D00243137000</v>
      </c>
      <c r="C8" s="1265"/>
      <c r="D8" s="1177"/>
      <c r="E8" s="1266" t="s">
        <v>629</v>
      </c>
      <c r="F8" s="1267"/>
      <c r="G8" s="280" t="str">
        <f>RESUMEN!U71</f>
        <v>Acta N° 2: Marzo</v>
      </c>
    </row>
    <row r="9" spans="1:7" x14ac:dyDescent="0.25">
      <c r="A9" s="271" t="s">
        <v>630</v>
      </c>
      <c r="B9" s="1283" t="s">
        <v>631</v>
      </c>
      <c r="C9" s="1265"/>
      <c r="D9" s="1177"/>
      <c r="E9" s="1266" t="s">
        <v>632</v>
      </c>
      <c r="F9" s="1267"/>
      <c r="G9" s="1178">
        <f>RESUMEN!H71</f>
        <v>4324892</v>
      </c>
    </row>
    <row r="10" spans="1:7" x14ac:dyDescent="0.25">
      <c r="A10" s="271" t="s">
        <v>633</v>
      </c>
      <c r="B10" s="1283" t="str">
        <f>RESUMEN!D71</f>
        <v>TAMARINDO</v>
      </c>
      <c r="C10" s="1265"/>
      <c r="D10" s="1177"/>
      <c r="E10" s="1266" t="s">
        <v>634</v>
      </c>
      <c r="F10" s="1267"/>
      <c r="G10" s="1178">
        <f>RESUMEN!R71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RESUMEN!N71</f>
        <v>0</v>
      </c>
      <c r="F19" s="1248"/>
      <c r="G19" s="1177"/>
    </row>
    <row r="20" spans="1:7" ht="27" customHeight="1" x14ac:dyDescent="0.25">
      <c r="A20" s="1177"/>
      <c r="B20" s="1244" t="s">
        <v>1498</v>
      </c>
      <c r="C20" s="1245"/>
      <c r="D20" s="1246"/>
      <c r="E20" s="1247">
        <f>RESUMEN!P71</f>
        <v>0</v>
      </c>
      <c r="F20" s="1248"/>
      <c r="G20" s="1177"/>
    </row>
    <row r="21" spans="1:7" ht="27" customHeight="1" x14ac:dyDescent="0.25">
      <c r="A21" s="1177"/>
      <c r="B21" s="1244" t="s">
        <v>1499</v>
      </c>
      <c r="C21" s="1245"/>
      <c r="D21" s="1246"/>
      <c r="E21" s="1247">
        <f>RESUMEN!Q71</f>
        <v>0</v>
      </c>
      <c r="F21" s="1248"/>
      <c r="G21" s="1177"/>
    </row>
    <row r="22" spans="1:7" x14ac:dyDescent="0.25">
      <c r="A22" s="1177"/>
      <c r="B22" s="1254" t="s">
        <v>64</v>
      </c>
      <c r="C22" s="1254"/>
      <c r="D22" s="1254"/>
      <c r="E22" s="1255">
        <f>RESUMEN!R71</f>
        <v>0</v>
      </c>
      <c r="F22" s="1255"/>
      <c r="G22" s="1177"/>
    </row>
    <row r="23" spans="1:7" x14ac:dyDescent="0.25">
      <c r="A23" s="1177"/>
      <c r="B23" s="1256" t="s">
        <v>66</v>
      </c>
      <c r="C23" s="1256"/>
      <c r="D23" s="1256"/>
      <c r="E23" s="1257">
        <f>RESUMEN!S71</f>
        <v>0</v>
      </c>
      <c r="F23" s="1257"/>
      <c r="G23" s="1177"/>
    </row>
    <row r="24" spans="1:7" x14ac:dyDescent="0.25">
      <c r="A24" s="1177"/>
      <c r="B24" s="1258" t="s">
        <v>1</v>
      </c>
      <c r="C24" s="1258"/>
      <c r="D24" s="1258"/>
      <c r="E24" s="1259">
        <f>RESUMEN!T71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+'OT17-303 TAMARINDO'!N29</f>
        <v>ACTA 1</v>
      </c>
      <c r="C28" s="1253">
        <f>+'OT17-303 TAMARINDO'!O29</f>
        <v>3072835</v>
      </c>
      <c r="D28" s="1253"/>
      <c r="E28" s="267">
        <f>+'OT17-303 TAMARINDO'!P29</f>
        <v>0.71049982288575064</v>
      </c>
      <c r="F28" s="1177"/>
      <c r="G28" s="1177"/>
    </row>
    <row r="29" spans="1:7" x14ac:dyDescent="0.25">
      <c r="A29" s="1177"/>
      <c r="B29" s="280" t="str">
        <f>+'OT17-303 TAMARINDO'!N30</f>
        <v>ACTA 2</v>
      </c>
      <c r="C29" s="1253">
        <f>+'OT17-303 TAMARINDO'!O30</f>
        <v>0</v>
      </c>
      <c r="D29" s="1253"/>
      <c r="E29" s="267">
        <f>+'OT17-303 TAMARINDO'!P30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3072835</v>
      </c>
      <c r="D34" s="1251"/>
      <c r="E34" s="264">
        <f>SUM(E28:E33)</f>
        <v>0.71049982288575064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5">
    <tabColor rgb="FF92D050"/>
    <pageSetUpPr fitToPage="1"/>
  </sheetPr>
  <dimension ref="A1:S37"/>
  <sheetViews>
    <sheetView zoomScale="55" zoomScaleNormal="55" workbookViewId="0">
      <selection activeCell="L37" sqref="L37"/>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 style="437" bestFit="1" customWidth="1"/>
    <col min="9" max="9" width="16" style="437" customWidth="1"/>
    <col min="10" max="10" width="65.664062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1345</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52">
        <v>0</v>
      </c>
      <c r="O14" s="425">
        <f>ROUND(N14*F14,0)</f>
        <v>0</v>
      </c>
      <c r="P14" s="426">
        <f>O14/H14</f>
        <v>0</v>
      </c>
      <c r="Q14" s="450">
        <f>K14+N14</f>
        <v>0.24499999999999997</v>
      </c>
      <c r="R14" s="175">
        <f>L14+O14</f>
        <v>102376</v>
      </c>
      <c r="S14" s="176">
        <f>R14/H14</f>
        <v>0.69999726499466675</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ROUND(N15*F15,0)</f>
        <v>0</v>
      </c>
      <c r="P15" s="426">
        <v>0</v>
      </c>
      <c r="Q15" s="450">
        <f>K15+N15</f>
        <v>0</v>
      </c>
      <c r="R15" s="175">
        <f t="shared" ref="R15:R18" si="0">L15+O15</f>
        <v>0</v>
      </c>
      <c r="S15" s="176">
        <v>0</v>
      </c>
    </row>
    <row r="16" spans="1:19" x14ac:dyDescent="0.3">
      <c r="A16" s="1441"/>
      <c r="B16" s="1441"/>
      <c r="C16" s="459"/>
      <c r="D16" s="459" t="s">
        <v>108</v>
      </c>
      <c r="E16" s="458"/>
      <c r="F16" s="458"/>
      <c r="G16" s="457"/>
      <c r="H16" s="457">
        <f>SUM(H14:H15)</f>
        <v>146252</v>
      </c>
      <c r="I16" s="457">
        <f>SUM(I14:I15)</f>
        <v>153711</v>
      </c>
      <c r="J16" s="1442"/>
      <c r="K16" s="431"/>
      <c r="L16" s="179">
        <f>SUM(L14:L15)</f>
        <v>102376</v>
      </c>
      <c r="M16" s="431">
        <f>L16/$H$16</f>
        <v>0.69999726499466675</v>
      </c>
      <c r="N16" s="431"/>
      <c r="O16" s="179">
        <f>SUM(O14:O15)</f>
        <v>0</v>
      </c>
      <c r="P16" s="431">
        <f>O16/$H$16</f>
        <v>0</v>
      </c>
      <c r="Q16" s="446"/>
      <c r="R16" s="1078">
        <f t="shared" si="0"/>
        <v>102376</v>
      </c>
      <c r="S16" s="431">
        <f>R16/H16</f>
        <v>0.69999726499466675</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52">
        <v>0</v>
      </c>
      <c r="O17" s="425">
        <f>ROUND(N17*F17,0)</f>
        <v>0</v>
      </c>
      <c r="P17" s="426">
        <f>O17/H17</f>
        <v>0</v>
      </c>
      <c r="Q17" s="450">
        <f>K17+N17</f>
        <v>42</v>
      </c>
      <c r="R17" s="175">
        <f t="shared" si="0"/>
        <v>2925048</v>
      </c>
      <c r="S17" s="176">
        <f>R17/H17</f>
        <v>0.7</v>
      </c>
    </row>
    <row r="18" spans="1:19" x14ac:dyDescent="0.3">
      <c r="A18" s="1441"/>
      <c r="B18" s="1441"/>
      <c r="C18" s="459"/>
      <c r="D18" s="459" t="s">
        <v>162</v>
      </c>
      <c r="E18" s="458"/>
      <c r="F18" s="458"/>
      <c r="G18" s="457"/>
      <c r="H18" s="457">
        <f>H17</f>
        <v>4178640</v>
      </c>
      <c r="I18" s="457">
        <f>SUM(I17)</f>
        <v>4391760</v>
      </c>
      <c r="J18" s="1442"/>
      <c r="K18" s="431"/>
      <c r="L18" s="179">
        <f>L17</f>
        <v>2925048</v>
      </c>
      <c r="M18" s="431">
        <f>L18/$H$18</f>
        <v>0.7</v>
      </c>
      <c r="N18" s="431"/>
      <c r="O18" s="179">
        <f>O17</f>
        <v>0</v>
      </c>
      <c r="P18" s="431">
        <f>O18/$H$18</f>
        <v>0</v>
      </c>
      <c r="Q18" s="446"/>
      <c r="R18" s="1078">
        <f t="shared" si="0"/>
        <v>2925048</v>
      </c>
      <c r="S18" s="431">
        <f>R18/H18</f>
        <v>0.7</v>
      </c>
    </row>
    <row r="19" spans="1:19" x14ac:dyDescent="0.3">
      <c r="F19" s="445" t="s">
        <v>64</v>
      </c>
      <c r="G19" s="445"/>
      <c r="H19" s="181">
        <f>SUM(H7:H18)/2</f>
        <v>4324892</v>
      </c>
      <c r="I19" s="181">
        <f>SUM(I7:I18)/2</f>
        <v>4545471</v>
      </c>
      <c r="K19" s="547" t="s">
        <v>64</v>
      </c>
      <c r="L19" s="481">
        <f>SUM(L7:L18)/2</f>
        <v>3027424</v>
      </c>
      <c r="N19" s="547" t="s">
        <v>64</v>
      </c>
      <c r="O19" s="481">
        <f>SUM(O7:O18)/2</f>
        <v>0</v>
      </c>
      <c r="Q19" s="547" t="s">
        <v>64</v>
      </c>
      <c r="R19" s="481">
        <f>SUM(R7:R18)/2</f>
        <v>3027424</v>
      </c>
    </row>
    <row r="20" spans="1:19" x14ac:dyDescent="0.3">
      <c r="F20" s="444" t="s">
        <v>65</v>
      </c>
      <c r="G20" s="444"/>
      <c r="H20" s="181">
        <v>0</v>
      </c>
      <c r="I20" s="181">
        <v>0</v>
      </c>
      <c r="K20" s="548" t="s">
        <v>65</v>
      </c>
      <c r="L20" s="481">
        <v>0</v>
      </c>
      <c r="M20" s="563"/>
      <c r="N20" s="548" t="s">
        <v>65</v>
      </c>
      <c r="O20" s="481">
        <v>0</v>
      </c>
      <c r="P20" s="563"/>
      <c r="Q20" s="548" t="s">
        <v>65</v>
      </c>
      <c r="R20" s="481">
        <v>0</v>
      </c>
      <c r="S20" s="563"/>
    </row>
    <row r="21" spans="1:19" x14ac:dyDescent="0.3">
      <c r="F21" s="443" t="s">
        <v>64</v>
      </c>
      <c r="G21" s="443"/>
      <c r="H21" s="340">
        <f>SUM(H19:H20)</f>
        <v>4324892</v>
      </c>
      <c r="I21" s="340">
        <f>SUM(I19:I20)</f>
        <v>4545471</v>
      </c>
      <c r="K21" s="549" t="s">
        <v>64</v>
      </c>
      <c r="L21" s="550">
        <f>SUM(L19:L20)</f>
        <v>3027424</v>
      </c>
      <c r="M21" s="563"/>
      <c r="N21" s="549" t="s">
        <v>64</v>
      </c>
      <c r="O21" s="550">
        <f>SUM(O19:O20)</f>
        <v>0</v>
      </c>
      <c r="P21" s="563"/>
      <c r="Q21" s="549" t="s">
        <v>64</v>
      </c>
      <c r="R21" s="550">
        <f>SUM(R19:R20)</f>
        <v>3027424</v>
      </c>
      <c r="S21" s="563"/>
    </row>
    <row r="22" spans="1:19" ht="26.4" x14ac:dyDescent="0.3">
      <c r="F22" s="443"/>
      <c r="G22" s="443"/>
      <c r="H22" s="340"/>
      <c r="I22" s="340"/>
      <c r="K22" s="484" t="s">
        <v>1439</v>
      </c>
      <c r="L22" s="483">
        <f>ROUND(L21*0.015,0)</f>
        <v>45411</v>
      </c>
      <c r="M22" s="563"/>
      <c r="N22" s="484" t="s">
        <v>1439</v>
      </c>
      <c r="O22" s="483">
        <f>ROUND(O21*0.015,0)</f>
        <v>0</v>
      </c>
      <c r="P22" s="563"/>
      <c r="Q22" s="484" t="s">
        <v>1439</v>
      </c>
      <c r="R22" s="550">
        <f>L22+O22</f>
        <v>45411</v>
      </c>
      <c r="S22" s="563"/>
    </row>
    <row r="23" spans="1:19" ht="26.4" x14ac:dyDescent="0.3">
      <c r="F23" s="443"/>
      <c r="G23" s="443"/>
      <c r="H23" s="340"/>
      <c r="I23" s="340"/>
      <c r="K23" s="152" t="s">
        <v>1440</v>
      </c>
      <c r="L23" s="182">
        <f>L21+L22</f>
        <v>3072835</v>
      </c>
      <c r="M23" s="590">
        <f>L23/$H$19</f>
        <v>0.71049982288575064</v>
      </c>
      <c r="N23" s="152" t="s">
        <v>1440</v>
      </c>
      <c r="O23" s="182">
        <f>O21+O22</f>
        <v>0</v>
      </c>
      <c r="P23" s="590">
        <f>O23/$H$19</f>
        <v>0</v>
      </c>
      <c r="Q23" s="152" t="s">
        <v>1440</v>
      </c>
      <c r="R23" s="182">
        <f>R21+R22</f>
        <v>3072835</v>
      </c>
      <c r="S23" s="590">
        <f>R23/H19</f>
        <v>0.71049982288575064</v>
      </c>
    </row>
    <row r="24" spans="1:19" x14ac:dyDescent="0.3">
      <c r="F24" s="442" t="s">
        <v>66</v>
      </c>
      <c r="G24" s="442"/>
      <c r="H24" s="181">
        <f>+H21*19%</f>
        <v>821729.48</v>
      </c>
      <c r="I24" s="181">
        <f>+I21*19%</f>
        <v>863639.49</v>
      </c>
      <c r="K24" s="551" t="s">
        <v>66</v>
      </c>
      <c r="L24" s="483">
        <f>ROUND(L23*0.19,0)</f>
        <v>583839</v>
      </c>
      <c r="M24" s="563"/>
      <c r="N24" s="551" t="s">
        <v>66</v>
      </c>
      <c r="O24" s="483">
        <f>ROUND(O23*0.19,0)</f>
        <v>0</v>
      </c>
      <c r="P24" s="563"/>
      <c r="Q24" s="551" t="s">
        <v>66</v>
      </c>
      <c r="R24" s="483">
        <f>ROUND(R23*0.19,0)</f>
        <v>583839</v>
      </c>
      <c r="S24" s="563"/>
    </row>
    <row r="25" spans="1:19" x14ac:dyDescent="0.3">
      <c r="F25" s="441" t="s">
        <v>69</v>
      </c>
      <c r="G25" s="441"/>
      <c r="H25" s="181">
        <f>+H21+H24</f>
        <v>5146621.4800000004</v>
      </c>
      <c r="I25" s="181">
        <f>+I21+I24</f>
        <v>5409110.4900000002</v>
      </c>
      <c r="K25" s="552" t="s">
        <v>69</v>
      </c>
      <c r="L25" s="481">
        <f>L23+L24</f>
        <v>3656674</v>
      </c>
      <c r="M25" s="563"/>
      <c r="N25" s="552" t="s">
        <v>69</v>
      </c>
      <c r="O25" s="481">
        <f>O23+O24</f>
        <v>0</v>
      </c>
      <c r="P25" s="563"/>
      <c r="Q25" s="552" t="s">
        <v>69</v>
      </c>
      <c r="R25" s="481">
        <f>R23+R24</f>
        <v>3656674</v>
      </c>
      <c r="S25" s="563"/>
    </row>
    <row r="28" spans="1:19" s="189" customFormat="1"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19" s="189" customFormat="1" x14ac:dyDescent="0.3">
      <c r="A29" s="183"/>
      <c r="B29" s="184"/>
      <c r="C29" s="184"/>
      <c r="D29" s="185"/>
      <c r="G29" s="852"/>
      <c r="I29" s="852"/>
      <c r="K29" s="69" t="s">
        <v>72</v>
      </c>
      <c r="L29" s="70">
        <f>$L$23</f>
        <v>3072835</v>
      </c>
      <c r="M29" s="360">
        <f>$M$23</f>
        <v>0.71049982288575064</v>
      </c>
      <c r="N29" s="69" t="s">
        <v>72</v>
      </c>
      <c r="O29" s="70">
        <f>$L$23</f>
        <v>3072835</v>
      </c>
      <c r="P29" s="360">
        <f>$M$23</f>
        <v>0.71049982288575064</v>
      </c>
      <c r="Q29" s="437"/>
      <c r="R29" s="437"/>
      <c r="S29" s="437"/>
    </row>
    <row r="30" spans="1:19" s="852" customFormat="1" x14ac:dyDescent="0.3">
      <c r="A30" s="183"/>
      <c r="B30" s="184"/>
      <c r="C30" s="184"/>
      <c r="D30" s="185"/>
      <c r="K30" s="69"/>
      <c r="L30" s="70"/>
      <c r="M30" s="360"/>
      <c r="N30" s="69" t="s">
        <v>73</v>
      </c>
      <c r="O30" s="70">
        <f>+O23</f>
        <v>0</v>
      </c>
      <c r="P30" s="360">
        <f>+P23</f>
        <v>0</v>
      </c>
      <c r="Q30" s="437"/>
      <c r="R30" s="437"/>
      <c r="S30" s="437"/>
    </row>
    <row r="31" spans="1:19" s="189" customFormat="1" x14ac:dyDescent="0.3">
      <c r="A31" s="183"/>
      <c r="B31" s="184"/>
      <c r="C31" s="184"/>
      <c r="D31" s="185"/>
      <c r="G31" s="852"/>
      <c r="I31" s="852"/>
      <c r="K31" s="72" t="s">
        <v>1</v>
      </c>
      <c r="L31" s="105">
        <f>SUM(L29:L29)</f>
        <v>3072835</v>
      </c>
      <c r="M31" s="361">
        <f>SUM(M29:M29)</f>
        <v>0.71049982288575064</v>
      </c>
      <c r="N31" s="72" t="s">
        <v>1</v>
      </c>
      <c r="O31" s="105">
        <f>SUM(O29:O30)</f>
        <v>3072835</v>
      </c>
      <c r="P31" s="361">
        <f>SUM(P29:P30)</f>
        <v>0.71049982288575064</v>
      </c>
      <c r="Q31" s="437"/>
      <c r="R31" s="437"/>
      <c r="S31" s="437"/>
    </row>
    <row r="32" spans="1:19" s="189" customFormat="1" x14ac:dyDescent="0.3">
      <c r="A32" s="183"/>
      <c r="B32" s="184"/>
      <c r="C32" s="184"/>
      <c r="D32" s="185"/>
      <c r="G32" s="852"/>
      <c r="I32" s="852"/>
      <c r="K32" s="72" t="s">
        <v>9</v>
      </c>
      <c r="L32" s="1423"/>
      <c r="M32" s="1424"/>
      <c r="N32" s="72" t="s">
        <v>9</v>
      </c>
      <c r="O32" s="1423"/>
      <c r="P32" s="1424"/>
      <c r="Q32" s="437"/>
      <c r="R32" s="437"/>
      <c r="S32" s="437"/>
    </row>
    <row r="33" spans="1:19" s="189" customFormat="1" x14ac:dyDescent="0.3">
      <c r="A33" s="183"/>
      <c r="B33" s="184"/>
      <c r="C33" s="184"/>
      <c r="D33" s="185"/>
      <c r="G33" s="852"/>
      <c r="I33" s="852"/>
      <c r="K33" s="440" t="s">
        <v>78</v>
      </c>
      <c r="L33" s="1423" t="s">
        <v>396</v>
      </c>
      <c r="M33" s="1424"/>
      <c r="N33" s="440" t="s">
        <v>78</v>
      </c>
      <c r="O33" s="1423" t="s">
        <v>396</v>
      </c>
      <c r="P33" s="1424"/>
      <c r="Q33" s="437"/>
      <c r="R33" s="437"/>
      <c r="S33" s="437"/>
    </row>
    <row r="34" spans="1:19" s="189" customFormat="1" x14ac:dyDescent="0.3">
      <c r="A34" s="183"/>
      <c r="B34" s="184"/>
      <c r="C34" s="184"/>
      <c r="D34" s="185"/>
      <c r="G34" s="852"/>
      <c r="I34" s="852"/>
      <c r="K34" s="439" t="s">
        <v>8</v>
      </c>
      <c r="L34" s="1425" t="s">
        <v>397</v>
      </c>
      <c r="M34" s="1426"/>
      <c r="N34" s="439" t="s">
        <v>8</v>
      </c>
      <c r="O34" s="1425" t="s">
        <v>397</v>
      </c>
      <c r="P34" s="1426"/>
      <c r="Q34" s="437"/>
      <c r="R34" s="437"/>
      <c r="S34" s="437"/>
    </row>
    <row r="35" spans="1:19" s="189" customFormat="1" x14ac:dyDescent="0.3">
      <c r="A35" s="183"/>
      <c r="B35" s="184"/>
      <c r="C35" s="184"/>
      <c r="D35" s="185" t="s">
        <v>75</v>
      </c>
      <c r="G35" s="852"/>
      <c r="I35" s="852"/>
      <c r="N35" s="852"/>
      <c r="O35" s="852"/>
      <c r="P35" s="852"/>
    </row>
    <row r="36" spans="1:19" s="189" customFormat="1" x14ac:dyDescent="0.3">
      <c r="A36" s="183" t="s">
        <v>76</v>
      </c>
      <c r="B36" s="180"/>
      <c r="C36" s="180"/>
      <c r="D36" s="185" t="s">
        <v>77</v>
      </c>
      <c r="G36" s="852"/>
      <c r="I36" s="852"/>
      <c r="N36" s="852"/>
      <c r="O36" s="852"/>
      <c r="P36" s="852"/>
    </row>
    <row r="37" spans="1:19" s="189" customFormat="1" ht="26.4" x14ac:dyDescent="0.3">
      <c r="A37" s="183" t="s">
        <v>79</v>
      </c>
      <c r="B37" s="180"/>
      <c r="C37" s="180"/>
      <c r="D37" s="185" t="s">
        <v>80</v>
      </c>
      <c r="G37" s="852"/>
      <c r="I37" s="852"/>
      <c r="N37" s="852"/>
      <c r="O37" s="852"/>
      <c r="P37" s="852"/>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2:P32"/>
    <mergeCell ref="O33:P33"/>
    <mergeCell ref="O34:P34"/>
    <mergeCell ref="Q11:S12"/>
    <mergeCell ref="B12:J12"/>
    <mergeCell ref="N11:P12"/>
    <mergeCell ref="L32:M32"/>
    <mergeCell ref="L33:M33"/>
    <mergeCell ref="L34:M34"/>
  </mergeCells>
  <pageMargins left="0.7" right="0.7" top="0.75" bottom="0.75" header="0.3" footer="0.3"/>
  <pageSetup scale="41" fitToHeight="0" orientation="landscape" r:id="rId1"/>
  <drawing r:id="rId2"/>
  <legacyDrawingHF r:id="rId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6">
    <tabColor theme="1"/>
  </sheetPr>
  <dimension ref="A1:G49"/>
  <sheetViews>
    <sheetView zoomScaleNormal="100" workbookViewId="0">
      <selection activeCell="E41" sqref="E41:G4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f>RESUMEN!G9998</f>
        <v>0</v>
      </c>
      <c r="C5" s="1281"/>
      <c r="D5" s="1281"/>
      <c r="E5" s="1281"/>
      <c r="F5" s="1281"/>
      <c r="G5" s="1282"/>
    </row>
    <row r="6" spans="1:7" x14ac:dyDescent="0.25">
      <c r="A6" s="1177"/>
      <c r="B6" s="1177"/>
      <c r="C6" s="1177"/>
      <c r="D6" s="1177"/>
      <c r="E6" s="1177"/>
      <c r="F6" s="1177"/>
      <c r="G6" s="1177"/>
    </row>
    <row r="7" spans="1:7" x14ac:dyDescent="0.25">
      <c r="A7" s="271" t="s">
        <v>0</v>
      </c>
      <c r="B7" s="1264">
        <f>RESUMEN!B9998</f>
        <v>0</v>
      </c>
      <c r="C7" s="1265"/>
      <c r="D7" s="1177"/>
      <c r="E7" s="1266" t="s">
        <v>627</v>
      </c>
      <c r="F7" s="1267"/>
      <c r="G7" s="280">
        <f>RESUMEN!E9998</f>
        <v>0</v>
      </c>
    </row>
    <row r="8" spans="1:7" x14ac:dyDescent="0.25">
      <c r="A8" s="271" t="s">
        <v>628</v>
      </c>
      <c r="B8" s="1264">
        <f>RESUMEN!C9998</f>
        <v>0</v>
      </c>
      <c r="C8" s="1265"/>
      <c r="D8" s="1177"/>
      <c r="E8" s="1266" t="s">
        <v>629</v>
      </c>
      <c r="F8" s="1267"/>
      <c r="G8" s="280">
        <f>RESUMEN!U9998</f>
        <v>0</v>
      </c>
    </row>
    <row r="9" spans="1:7" x14ac:dyDescent="0.25">
      <c r="A9" s="271" t="s">
        <v>630</v>
      </c>
      <c r="B9" s="1283" t="s">
        <v>631</v>
      </c>
      <c r="C9" s="1265"/>
      <c r="D9" s="1177"/>
      <c r="E9" s="1266" t="s">
        <v>632</v>
      </c>
      <c r="F9" s="1267"/>
      <c r="G9" s="1178">
        <f>RESUMEN!H9998</f>
        <v>0</v>
      </c>
    </row>
    <row r="10" spans="1:7" x14ac:dyDescent="0.25">
      <c r="A10" s="271" t="s">
        <v>633</v>
      </c>
      <c r="B10" s="1283">
        <f>RESUMEN!D9998</f>
        <v>0</v>
      </c>
      <c r="C10" s="1265"/>
      <c r="D10" s="1177"/>
      <c r="E10" s="1266" t="s">
        <v>634</v>
      </c>
      <c r="F10" s="1267"/>
      <c r="G10" s="1178">
        <f>RESUMEN!R9998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RESUMEN!V9998,"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",RESUMEN!G9998)</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RESUMEN!N9998</f>
        <v>0</v>
      </c>
      <c r="F19" s="1248"/>
      <c r="G19" s="1177"/>
    </row>
    <row r="20" spans="1:7" ht="27" customHeight="1" x14ac:dyDescent="0.25">
      <c r="A20" s="1177"/>
      <c r="B20" s="1244" t="s">
        <v>1498</v>
      </c>
      <c r="C20" s="1245"/>
      <c r="D20" s="1246"/>
      <c r="E20" s="1247">
        <f>RESUMEN!P9998</f>
        <v>0</v>
      </c>
      <c r="F20" s="1248"/>
      <c r="G20" s="1177"/>
    </row>
    <row r="21" spans="1:7" ht="27" customHeight="1" x14ac:dyDescent="0.25">
      <c r="A21" s="1177"/>
      <c r="B21" s="1244" t="s">
        <v>1499</v>
      </c>
      <c r="C21" s="1245"/>
      <c r="D21" s="1246"/>
      <c r="E21" s="1247">
        <f>RESUMEN!Q9998</f>
        <v>0</v>
      </c>
      <c r="F21" s="1248"/>
      <c r="G21" s="1177"/>
    </row>
    <row r="22" spans="1:7" x14ac:dyDescent="0.25">
      <c r="A22" s="1177"/>
      <c r="B22" s="1254" t="s">
        <v>64</v>
      </c>
      <c r="C22" s="1254"/>
      <c r="D22" s="1254"/>
      <c r="E22" s="1255">
        <f>RESUMEN!R9998</f>
        <v>0</v>
      </c>
      <c r="F22" s="1255"/>
      <c r="G22" s="1177"/>
    </row>
    <row r="23" spans="1:7" x14ac:dyDescent="0.25">
      <c r="A23" s="1177"/>
      <c r="B23" s="1256" t="s">
        <v>66</v>
      </c>
      <c r="C23" s="1256"/>
      <c r="D23" s="1256"/>
      <c r="E23" s="1257">
        <f>RESUMEN!S9998</f>
        <v>0</v>
      </c>
      <c r="F23" s="1257"/>
      <c r="G23" s="1177"/>
    </row>
    <row r="24" spans="1:7" x14ac:dyDescent="0.25">
      <c r="A24" s="1177"/>
      <c r="B24" s="1258" t="s">
        <v>1</v>
      </c>
      <c r="C24" s="1258"/>
      <c r="D24" s="1258"/>
      <c r="E24" s="1259">
        <f>RESUMEN!T9998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RESUMEN!V9998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7"/>
  <dimension ref="A1:T37"/>
  <sheetViews>
    <sheetView topLeftCell="D1" zoomScale="55" zoomScaleNormal="55" workbookViewId="0">
      <selection activeCell="A46" sqref="A46:C48"/>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9" width="16" style="437" customWidth="1"/>
    <col min="10" max="10" width="54.554687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20"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20"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20"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20"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20"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20"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20" x14ac:dyDescent="0.3">
      <c r="A7" s="1291" t="s">
        <v>312</v>
      </c>
      <c r="B7" s="1292"/>
      <c r="C7" s="1292"/>
      <c r="D7" s="1292"/>
      <c r="E7" s="1292"/>
      <c r="F7" s="1292"/>
      <c r="G7" s="1292"/>
      <c r="H7" s="1292"/>
      <c r="I7" s="1292"/>
      <c r="J7" s="1292"/>
      <c r="K7" s="1292"/>
      <c r="L7" s="1292"/>
      <c r="M7" s="1292"/>
      <c r="N7" s="1292"/>
      <c r="O7" s="1292"/>
      <c r="P7" s="1292"/>
      <c r="Q7" s="1292"/>
      <c r="R7" s="1292"/>
      <c r="S7" s="1292"/>
    </row>
    <row r="8" spans="1:20"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20"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20" ht="13.5" customHeight="1" x14ac:dyDescent="0.3">
      <c r="A10" s="1292" t="s">
        <v>1346</v>
      </c>
      <c r="B10" s="1292"/>
      <c r="C10" s="1292"/>
      <c r="D10" s="1292"/>
      <c r="E10" s="1292"/>
      <c r="F10" s="1292"/>
      <c r="G10" s="1292"/>
      <c r="H10" s="1292"/>
      <c r="I10" s="1292"/>
      <c r="J10" s="1292"/>
      <c r="K10" s="1292"/>
      <c r="L10" s="1292"/>
      <c r="M10" s="1292"/>
      <c r="N10" s="1292"/>
      <c r="O10" s="1292"/>
      <c r="P10" s="1292"/>
      <c r="Q10" s="1292"/>
      <c r="R10" s="1292"/>
      <c r="S10" s="1292"/>
    </row>
    <row r="11" spans="1:20" ht="13.5" customHeight="1" x14ac:dyDescent="0.3">
      <c r="A11" s="434"/>
      <c r="B11" s="1301"/>
      <c r="C11" s="1313"/>
      <c r="D11" s="1313"/>
      <c r="E11" s="1313"/>
      <c r="F11" s="1313"/>
      <c r="G11" s="1313"/>
      <c r="H11" s="1313"/>
      <c r="I11" s="1313"/>
      <c r="J11" s="1313"/>
      <c r="K11" s="1293" t="s">
        <v>1726</v>
      </c>
      <c r="L11" s="1294"/>
      <c r="M11" s="1295"/>
      <c r="N11" s="1293" t="s">
        <v>2094</v>
      </c>
      <c r="O11" s="1294"/>
      <c r="P11" s="1295"/>
      <c r="Q11" s="1299" t="s">
        <v>49</v>
      </c>
      <c r="R11" s="1299"/>
      <c r="S11" s="1299"/>
    </row>
    <row r="12" spans="1:20"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20"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20" ht="28.5"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74">
        <v>0.105</v>
      </c>
      <c r="O14" s="429">
        <f>ROUND(N14*F14,0)</f>
        <v>43876</v>
      </c>
      <c r="P14" s="430">
        <f>O14/H14</f>
        <v>0.30000273500533325</v>
      </c>
      <c r="Q14" s="450">
        <f>K14+N14</f>
        <v>0.35</v>
      </c>
      <c r="R14" s="175">
        <f>L14+O14</f>
        <v>146252</v>
      </c>
      <c r="S14" s="176">
        <f>R14/H14</f>
        <v>1</v>
      </c>
      <c r="T14" s="563" t="s">
        <v>2215</v>
      </c>
    </row>
    <row r="15" spans="1:20" ht="28.5"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ROUND(N15*F15,0)</f>
        <v>0</v>
      </c>
      <c r="P15" s="426">
        <v>0</v>
      </c>
      <c r="Q15" s="450">
        <f>K15+N15</f>
        <v>0</v>
      </c>
      <c r="R15" s="175">
        <f>L15+O15</f>
        <v>0</v>
      </c>
      <c r="S15" s="176">
        <v>0</v>
      </c>
    </row>
    <row r="16" spans="1:20"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43876</v>
      </c>
      <c r="P16" s="431">
        <f>O16/$H$16</f>
        <v>0.30000273500533325</v>
      </c>
      <c r="Q16" s="446"/>
      <c r="R16" s="307">
        <f>L16+O16</f>
        <v>146252</v>
      </c>
      <c r="S16" s="431">
        <f>R16/H16</f>
        <v>1</v>
      </c>
    </row>
    <row r="17" spans="1:19" ht="44.25"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74">
        <v>18</v>
      </c>
      <c r="O17" s="429">
        <f>ROUND(N17*F17,0)</f>
        <v>1253592</v>
      </c>
      <c r="P17" s="430">
        <f>O17/H17</f>
        <v>0.3</v>
      </c>
      <c r="Q17" s="450">
        <f>K17+N17</f>
        <v>60</v>
      </c>
      <c r="R17" s="175">
        <f>L17+O17</f>
        <v>4178640</v>
      </c>
      <c r="S17" s="176">
        <f>R17/H17</f>
        <v>1</v>
      </c>
    </row>
    <row r="18" spans="1:19"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1253592</v>
      </c>
      <c r="P18" s="431">
        <f>O18/$H$18</f>
        <v>0.3</v>
      </c>
      <c r="Q18" s="446"/>
      <c r="R18" s="307">
        <f>L18+O18</f>
        <v>4178640</v>
      </c>
      <c r="S18" s="431">
        <f>R18/H18</f>
        <v>1</v>
      </c>
    </row>
    <row r="19" spans="1:19" x14ac:dyDescent="0.3">
      <c r="F19" s="445" t="s">
        <v>64</v>
      </c>
      <c r="G19" s="445"/>
      <c r="H19" s="181">
        <f>SUM(H7:H18)/2</f>
        <v>4324892</v>
      </c>
      <c r="I19" s="181">
        <f>SUM(I14:I18)/2</f>
        <v>4545471</v>
      </c>
      <c r="K19" s="547" t="s">
        <v>64</v>
      </c>
      <c r="L19" s="481">
        <f>SUM(L7:L18)/2</f>
        <v>3027424</v>
      </c>
      <c r="N19" s="547" t="s">
        <v>64</v>
      </c>
      <c r="O19" s="481">
        <f>SUM(O14:O18)/2</f>
        <v>1297468</v>
      </c>
      <c r="Q19" s="547" t="s">
        <v>64</v>
      </c>
      <c r="R19" s="481">
        <f>SUM(R7:R18)/2</f>
        <v>4324892</v>
      </c>
    </row>
    <row r="20" spans="1:19" x14ac:dyDescent="0.3">
      <c r="F20" s="444" t="s">
        <v>65</v>
      </c>
      <c r="G20" s="444"/>
      <c r="H20" s="181">
        <v>0</v>
      </c>
      <c r="I20" s="181">
        <v>0</v>
      </c>
      <c r="K20" s="548" t="s">
        <v>65</v>
      </c>
      <c r="L20" s="481">
        <v>0</v>
      </c>
      <c r="M20" s="563"/>
      <c r="N20" s="548" t="s">
        <v>65</v>
      </c>
      <c r="O20" s="481">
        <v>0</v>
      </c>
      <c r="P20" s="563"/>
      <c r="Q20" s="548" t="s">
        <v>65</v>
      </c>
      <c r="R20" s="481">
        <v>0</v>
      </c>
    </row>
    <row r="21" spans="1:19" x14ac:dyDescent="0.3">
      <c r="F21" s="443" t="s">
        <v>64</v>
      </c>
      <c r="G21" s="443"/>
      <c r="H21" s="340">
        <f>SUM(H19:H20)</f>
        <v>4324892</v>
      </c>
      <c r="I21" s="340">
        <f>SUM(I19:I20)</f>
        <v>4545471</v>
      </c>
      <c r="K21" s="549" t="s">
        <v>64</v>
      </c>
      <c r="L21" s="550">
        <f>SUM(L19:L20)</f>
        <v>3027424</v>
      </c>
      <c r="M21" s="563"/>
      <c r="N21" s="549" t="s">
        <v>64</v>
      </c>
      <c r="O21" s="550">
        <f>SUM(O19:O20)</f>
        <v>1297468</v>
      </c>
      <c r="P21" s="563"/>
      <c r="Q21" s="549" t="s">
        <v>64</v>
      </c>
      <c r="R21" s="550">
        <f>SUM(R19:R20)</f>
        <v>4324892</v>
      </c>
    </row>
    <row r="22" spans="1:19" ht="26.4" x14ac:dyDescent="0.3">
      <c r="F22" s="443"/>
      <c r="G22" s="443"/>
      <c r="H22" s="340"/>
      <c r="I22" s="340"/>
      <c r="K22" s="484" t="s">
        <v>1439</v>
      </c>
      <c r="L22" s="483">
        <f>ROUND(L21*0.015,0)</f>
        <v>45411</v>
      </c>
      <c r="M22" s="563"/>
      <c r="N22" s="484" t="s">
        <v>1439</v>
      </c>
      <c r="O22" s="483">
        <f>ROUND(O21*0.015,0)</f>
        <v>19462</v>
      </c>
      <c r="P22" s="563"/>
      <c r="Q22" s="484" t="s">
        <v>1439</v>
      </c>
      <c r="R22" s="550">
        <f>L22+O22</f>
        <v>64873</v>
      </c>
    </row>
    <row r="23" spans="1:19" ht="26.4" x14ac:dyDescent="0.3">
      <c r="F23" s="443"/>
      <c r="G23" s="443"/>
      <c r="H23" s="340"/>
      <c r="I23" s="340"/>
      <c r="K23" s="152" t="s">
        <v>1440</v>
      </c>
      <c r="L23" s="182">
        <f>L21+L22</f>
        <v>3072835</v>
      </c>
      <c r="M23" s="590">
        <f>L23/$H$19</f>
        <v>0.71049982288575064</v>
      </c>
      <c r="N23" s="152" t="s">
        <v>1440</v>
      </c>
      <c r="O23" s="182">
        <f>O21+O22</f>
        <v>1316930</v>
      </c>
      <c r="P23" s="590">
        <f>O23/$H$19</f>
        <v>0.30450008925078359</v>
      </c>
      <c r="Q23" s="152" t="s">
        <v>1440</v>
      </c>
      <c r="R23" s="182">
        <f>R21+R22</f>
        <v>4389765</v>
      </c>
      <c r="S23" s="577">
        <f>R23/H19</f>
        <v>1.0149999121365343</v>
      </c>
    </row>
    <row r="24" spans="1:19" x14ac:dyDescent="0.3">
      <c r="F24" s="442" t="s">
        <v>66</v>
      </c>
      <c r="G24" s="442"/>
      <c r="H24" s="181">
        <f>+H21*19%</f>
        <v>821729.48</v>
      </c>
      <c r="I24" s="181">
        <f>+I21*19%</f>
        <v>863639.49</v>
      </c>
      <c r="K24" s="551" t="s">
        <v>66</v>
      </c>
      <c r="L24" s="483">
        <f>ROUND(L23*0.19,0)</f>
        <v>583839</v>
      </c>
      <c r="M24" s="563"/>
      <c r="N24" s="551" t="s">
        <v>66</v>
      </c>
      <c r="O24" s="483">
        <f>ROUND(O23*0.19,0)</f>
        <v>250217</v>
      </c>
      <c r="P24" s="563"/>
      <c r="Q24" s="551" t="s">
        <v>66</v>
      </c>
      <c r="R24" s="483">
        <f>ROUND(R23*0.19,0)</f>
        <v>834055</v>
      </c>
    </row>
    <row r="25" spans="1:19" x14ac:dyDescent="0.3">
      <c r="F25" s="441" t="s">
        <v>69</v>
      </c>
      <c r="G25" s="441"/>
      <c r="H25" s="181">
        <f>+H21+H24</f>
        <v>5146621.4800000004</v>
      </c>
      <c r="I25" s="181">
        <f>+I21+I24</f>
        <v>5409110.4900000002</v>
      </c>
      <c r="K25" s="441" t="s">
        <v>69</v>
      </c>
      <c r="L25" s="181">
        <f>L23+L24</f>
        <v>3656674</v>
      </c>
      <c r="M25" s="508"/>
      <c r="N25" s="441" t="s">
        <v>69</v>
      </c>
      <c r="O25" s="181">
        <f>O23+O24</f>
        <v>1567147</v>
      </c>
      <c r="P25" s="508"/>
      <c r="Q25" s="552" t="s">
        <v>69</v>
      </c>
      <c r="R25" s="481">
        <f>R23+R24</f>
        <v>5223820</v>
      </c>
    </row>
    <row r="28" spans="1:19" s="189" customFormat="1"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19" s="189" customFormat="1" x14ac:dyDescent="0.3">
      <c r="A29" s="183"/>
      <c r="B29" s="184"/>
      <c r="C29" s="184"/>
      <c r="D29" s="185"/>
      <c r="G29" s="852"/>
      <c r="I29" s="852"/>
      <c r="K29" s="69" t="s">
        <v>72</v>
      </c>
      <c r="L29" s="70">
        <f>$L$23</f>
        <v>3072835</v>
      </c>
      <c r="M29" s="360">
        <f>$M$23</f>
        <v>0.71049982288575064</v>
      </c>
      <c r="N29" s="69" t="s">
        <v>72</v>
      </c>
      <c r="O29" s="70">
        <f>$L$23</f>
        <v>3072835</v>
      </c>
      <c r="P29" s="360">
        <f>$M$23</f>
        <v>0.71049982288575064</v>
      </c>
      <c r="Q29" s="437"/>
      <c r="R29" s="437"/>
      <c r="S29" s="437"/>
    </row>
    <row r="30" spans="1:19" s="852" customFormat="1" x14ac:dyDescent="0.3">
      <c r="A30" s="183"/>
      <c r="B30" s="184"/>
      <c r="C30" s="184"/>
      <c r="D30" s="185"/>
      <c r="K30" s="69"/>
      <c r="L30" s="70"/>
      <c r="M30" s="360"/>
      <c r="N30" s="69" t="s">
        <v>73</v>
      </c>
      <c r="O30" s="70">
        <f>+O23</f>
        <v>1316930</v>
      </c>
      <c r="P30" s="360">
        <f>+P23</f>
        <v>0.30450008925078359</v>
      </c>
      <c r="Q30" s="437"/>
      <c r="R30" s="437"/>
      <c r="S30" s="437"/>
    </row>
    <row r="31" spans="1:19" s="189" customFormat="1" x14ac:dyDescent="0.3">
      <c r="A31" s="183"/>
      <c r="B31" s="184"/>
      <c r="C31" s="184"/>
      <c r="D31" s="185"/>
      <c r="G31" s="852"/>
      <c r="I31" s="852"/>
      <c r="K31" s="72" t="s">
        <v>1</v>
      </c>
      <c r="L31" s="105">
        <f>SUM(L29:L29)</f>
        <v>3072835</v>
      </c>
      <c r="M31" s="361">
        <f>SUM(M29:M29)</f>
        <v>0.71049982288575064</v>
      </c>
      <c r="N31" s="72" t="s">
        <v>1</v>
      </c>
      <c r="O31" s="105">
        <f>SUM(O29:O30)</f>
        <v>4389765</v>
      </c>
      <c r="P31" s="361">
        <f>SUM(P29:P30)</f>
        <v>1.0149999121365343</v>
      </c>
      <c r="Q31" s="437"/>
      <c r="R31" s="437"/>
      <c r="S31" s="437"/>
    </row>
    <row r="32" spans="1:19" s="189" customFormat="1" x14ac:dyDescent="0.3">
      <c r="A32" s="183"/>
      <c r="B32" s="184"/>
      <c r="C32" s="184"/>
      <c r="D32" s="185"/>
      <c r="G32" s="852"/>
      <c r="I32" s="852"/>
      <c r="K32" s="72" t="s">
        <v>9</v>
      </c>
      <c r="L32" s="1423"/>
      <c r="M32" s="1424"/>
      <c r="N32" s="72" t="s">
        <v>9</v>
      </c>
      <c r="O32" s="1423"/>
      <c r="P32" s="1424"/>
      <c r="Q32" s="437"/>
      <c r="R32" s="437"/>
      <c r="S32" s="437"/>
    </row>
    <row r="33" spans="1:19" s="189" customFormat="1" x14ac:dyDescent="0.3">
      <c r="A33" s="183"/>
      <c r="B33" s="184"/>
      <c r="C33" s="184"/>
      <c r="D33" s="185"/>
      <c r="G33" s="852"/>
      <c r="I33" s="852"/>
      <c r="K33" s="440" t="s">
        <v>78</v>
      </c>
      <c r="L33" s="1423" t="s">
        <v>396</v>
      </c>
      <c r="M33" s="1424"/>
      <c r="N33" s="440" t="s">
        <v>78</v>
      </c>
      <c r="O33" s="1423" t="s">
        <v>396</v>
      </c>
      <c r="P33" s="1424"/>
      <c r="Q33" s="437"/>
      <c r="R33" s="437"/>
      <c r="S33" s="437"/>
    </row>
    <row r="34" spans="1:19" s="189" customFormat="1" x14ac:dyDescent="0.3">
      <c r="A34" s="183"/>
      <c r="B34" s="184"/>
      <c r="C34" s="184"/>
      <c r="D34" s="185"/>
      <c r="G34" s="852"/>
      <c r="I34" s="852"/>
      <c r="K34" s="439" t="s">
        <v>8</v>
      </c>
      <c r="L34" s="1425" t="s">
        <v>397</v>
      </c>
      <c r="M34" s="1426"/>
      <c r="N34" s="439" t="s">
        <v>8</v>
      </c>
      <c r="O34" s="1425" t="s">
        <v>397</v>
      </c>
      <c r="P34" s="1426"/>
      <c r="Q34" s="437"/>
      <c r="R34" s="437"/>
      <c r="S34" s="437"/>
    </row>
    <row r="35" spans="1:19" s="189" customFormat="1" x14ac:dyDescent="0.3">
      <c r="A35" s="183"/>
      <c r="B35" s="184"/>
      <c r="C35" s="184"/>
      <c r="D35" s="185" t="s">
        <v>75</v>
      </c>
      <c r="G35" s="852"/>
      <c r="I35" s="852"/>
      <c r="N35" s="852"/>
      <c r="O35" s="852"/>
      <c r="P35" s="852"/>
    </row>
    <row r="36" spans="1:19" s="189" customFormat="1" x14ac:dyDescent="0.3">
      <c r="A36" s="183" t="s">
        <v>76</v>
      </c>
      <c r="B36" s="180"/>
      <c r="C36" s="180"/>
      <c r="D36" s="185" t="s">
        <v>77</v>
      </c>
      <c r="G36" s="852"/>
      <c r="I36" s="852"/>
      <c r="N36" s="852"/>
      <c r="O36" s="852"/>
      <c r="P36" s="852"/>
    </row>
    <row r="37" spans="1:19" s="189" customFormat="1" ht="26.4" x14ac:dyDescent="0.3">
      <c r="A37" s="183" t="s">
        <v>79</v>
      </c>
      <c r="B37" s="180"/>
      <c r="C37" s="180"/>
      <c r="D37" s="185" t="s">
        <v>80</v>
      </c>
      <c r="G37" s="852"/>
      <c r="I37" s="852"/>
      <c r="N37" s="852"/>
      <c r="O37" s="852"/>
      <c r="P37" s="852"/>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2:P32"/>
    <mergeCell ref="O33:P33"/>
    <mergeCell ref="O34:P34"/>
    <mergeCell ref="Q11:S12"/>
    <mergeCell ref="B12:J12"/>
    <mergeCell ref="N11:P12"/>
    <mergeCell ref="L32:M32"/>
    <mergeCell ref="L33:M33"/>
    <mergeCell ref="L34:M34"/>
  </mergeCells>
  <pageMargins left="0.7" right="0.7" top="0.75" bottom="0.75" header="0.3" footer="0.3"/>
  <pageSetup scale="66" orientation="landscape" r:id="rId1"/>
  <drawing r:id="rId2"/>
  <legacyDrawingHF r:id="rId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8">
    <tabColor theme="1"/>
  </sheetPr>
  <dimension ref="A1:G49"/>
  <sheetViews>
    <sheetView zoomScaleNormal="100" workbookViewId="0">
      <selection activeCell="A16" sqref="A16:G1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RESUMEN!G72</f>
        <v>Acta N° 2: Marzo</v>
      </c>
      <c r="C5" s="1281"/>
      <c r="D5" s="1281"/>
      <c r="E5" s="1281"/>
      <c r="F5" s="1281"/>
      <c r="G5" s="1282"/>
    </row>
    <row r="6" spans="1:7" x14ac:dyDescent="0.25">
      <c r="A6" s="1177"/>
      <c r="B6" s="1177"/>
      <c r="C6" s="1177"/>
      <c r="D6" s="1177"/>
      <c r="E6" s="1177"/>
      <c r="F6" s="1177"/>
      <c r="G6" s="1177"/>
    </row>
    <row r="7" spans="1:7" x14ac:dyDescent="0.25">
      <c r="A7" s="271" t="s">
        <v>0</v>
      </c>
      <c r="B7" s="1264" t="str">
        <f>RESUMEN!B72</f>
        <v>D00243137</v>
      </c>
      <c r="C7" s="1265"/>
      <c r="D7" s="1177"/>
      <c r="E7" s="1266" t="s">
        <v>627</v>
      </c>
      <c r="F7" s="1267"/>
      <c r="G7" s="280" t="str">
        <f>RESUMEN!E72</f>
        <v xml:space="preserve">17-305 </v>
      </c>
    </row>
    <row r="8" spans="1:7" x14ac:dyDescent="0.25">
      <c r="A8" s="271" t="s">
        <v>628</v>
      </c>
      <c r="B8" s="1264" t="str">
        <f>RESUMEN!C72</f>
        <v>D00243137000</v>
      </c>
      <c r="C8" s="1265"/>
      <c r="D8" s="1177"/>
      <c r="E8" s="1266" t="s">
        <v>629</v>
      </c>
      <c r="F8" s="1267"/>
      <c r="G8" s="280" t="str">
        <f>RESUMEN!U72</f>
        <v>Acta N° 2: Marzo</v>
      </c>
    </row>
    <row r="9" spans="1:7" x14ac:dyDescent="0.25">
      <c r="A9" s="271" t="s">
        <v>630</v>
      </c>
      <c r="B9" s="1283" t="s">
        <v>631</v>
      </c>
      <c r="C9" s="1265"/>
      <c r="D9" s="1177"/>
      <c r="E9" s="1266" t="s">
        <v>632</v>
      </c>
      <c r="F9" s="1267"/>
      <c r="G9" s="1178">
        <f>RESUMEN!H72</f>
        <v>4324892</v>
      </c>
    </row>
    <row r="10" spans="1:7" x14ac:dyDescent="0.25">
      <c r="A10" s="271" t="s">
        <v>633</v>
      </c>
      <c r="B10" s="1283" t="str">
        <f>RESUMEN!D72</f>
        <v>JMCÓRDOBA</v>
      </c>
      <c r="C10" s="1265"/>
      <c r="D10" s="1177"/>
      <c r="E10" s="1266" t="s">
        <v>634</v>
      </c>
      <c r="F10" s="1267"/>
      <c r="G10" s="1178">
        <f>RESUMEN!R72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Acta N° 2: Marzo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RESUMEN!N72</f>
        <v>0</v>
      </c>
      <c r="F19" s="1248"/>
      <c r="G19" s="1177"/>
    </row>
    <row r="20" spans="1:7" ht="27" customHeight="1" x14ac:dyDescent="0.25">
      <c r="A20" s="1177"/>
      <c r="B20" s="1244" t="s">
        <v>1498</v>
      </c>
      <c r="C20" s="1245"/>
      <c r="D20" s="1246"/>
      <c r="E20" s="1247">
        <f>RESUMEN!P72</f>
        <v>0</v>
      </c>
      <c r="F20" s="1248"/>
      <c r="G20" s="1177"/>
    </row>
    <row r="21" spans="1:7" ht="27" customHeight="1" x14ac:dyDescent="0.25">
      <c r="A21" s="1177"/>
      <c r="B21" s="1244" t="s">
        <v>1499</v>
      </c>
      <c r="C21" s="1245"/>
      <c r="D21" s="1246"/>
      <c r="E21" s="1247">
        <f>RESUMEN!Q72</f>
        <v>0</v>
      </c>
      <c r="F21" s="1248"/>
      <c r="G21" s="1177"/>
    </row>
    <row r="22" spans="1:7" x14ac:dyDescent="0.25">
      <c r="A22" s="1177"/>
      <c r="B22" s="1254" t="s">
        <v>64</v>
      </c>
      <c r="C22" s="1254"/>
      <c r="D22" s="1254"/>
      <c r="E22" s="1255">
        <f>RESUMEN!R72</f>
        <v>0</v>
      </c>
      <c r="F22" s="1255"/>
      <c r="G22" s="1177"/>
    </row>
    <row r="23" spans="1:7" x14ac:dyDescent="0.25">
      <c r="A23" s="1177"/>
      <c r="B23" s="1256" t="s">
        <v>66</v>
      </c>
      <c r="C23" s="1256"/>
      <c r="D23" s="1256"/>
      <c r="E23" s="1257">
        <f>RESUMEN!S72</f>
        <v>0</v>
      </c>
      <c r="F23" s="1257"/>
      <c r="G23" s="1177"/>
    </row>
    <row r="24" spans="1:7" x14ac:dyDescent="0.25">
      <c r="A24" s="1177"/>
      <c r="B24" s="1258" t="s">
        <v>1</v>
      </c>
      <c r="C24" s="1258"/>
      <c r="D24" s="1258"/>
      <c r="E24" s="1259">
        <f>RESUMEN!T72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+'OT17-305 JMCÓRDOBA'!N28</f>
        <v>ACTA 1</v>
      </c>
      <c r="C28" s="1253">
        <f>+'OT17-305 JMCÓRDOBA'!O28</f>
        <v>3072835</v>
      </c>
      <c r="D28" s="1253"/>
      <c r="E28" s="267">
        <f>+'OT17-305 JMCÓRDOBA'!P28</f>
        <v>0.71049982288575064</v>
      </c>
      <c r="F28" s="1177"/>
      <c r="G28" s="1177"/>
    </row>
    <row r="29" spans="1:7" x14ac:dyDescent="0.25">
      <c r="A29" s="1177"/>
      <c r="B29" s="280" t="str">
        <f>+'OT17-305 JMCÓRDOBA'!N29</f>
        <v>ACTA 2</v>
      </c>
      <c r="C29" s="1253">
        <f>+'OT17-305 JMCÓRDOBA'!O29</f>
        <v>0</v>
      </c>
      <c r="D29" s="1253"/>
      <c r="E29" s="267">
        <f>+'OT17-305 JMCÓRDOBA'!P29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3072835</v>
      </c>
      <c r="D34" s="1251"/>
      <c r="E34" s="264">
        <f>SUM(E28:E33)</f>
        <v>0.71049982288575064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9">
    <tabColor rgb="FF92D050"/>
  </sheetPr>
  <dimension ref="A1:S36"/>
  <sheetViews>
    <sheetView zoomScale="55" zoomScaleNormal="55" workbookViewId="0">
      <selection activeCell="N11" sqref="N11:P12"/>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9" width="16" style="437" customWidth="1"/>
    <col min="10" max="10" width="54.554687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1347</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52">
        <v>0</v>
      </c>
      <c r="O14" s="425">
        <f>ROUND(N14*G14,0)</f>
        <v>0</v>
      </c>
      <c r="P14" s="426">
        <f>O14/I14</f>
        <v>0</v>
      </c>
      <c r="Q14" s="450">
        <f>K14+N14</f>
        <v>0.24499999999999997</v>
      </c>
      <c r="R14" s="175">
        <f>L14+O14</f>
        <v>102376</v>
      </c>
      <c r="S14" s="176">
        <f>R14/H14</f>
        <v>0.69999726499466675</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 t="shared" ref="R15:R18" si="0">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0</v>
      </c>
      <c r="P16" s="431">
        <f>O16/$H$16</f>
        <v>0</v>
      </c>
      <c r="Q16" s="446"/>
      <c r="R16" s="1078">
        <f t="shared" si="0"/>
        <v>102376</v>
      </c>
      <c r="S16" s="431">
        <v>0</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52">
        <v>0</v>
      </c>
      <c r="O17" s="425">
        <f>ROUND(N17*G17,0)</f>
        <v>0</v>
      </c>
      <c r="P17" s="426">
        <f>O17/I17</f>
        <v>0</v>
      </c>
      <c r="Q17" s="450">
        <f>K17+N17</f>
        <v>42</v>
      </c>
      <c r="R17" s="175">
        <f t="shared" si="0"/>
        <v>2925048</v>
      </c>
      <c r="S17" s="176">
        <f>R17/H17</f>
        <v>0.7</v>
      </c>
    </row>
    <row r="18" spans="1:19"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0</v>
      </c>
      <c r="P18" s="431">
        <f>O18/$H$18</f>
        <v>0</v>
      </c>
      <c r="Q18" s="446"/>
      <c r="R18" s="1078">
        <f t="shared" si="0"/>
        <v>2925048</v>
      </c>
      <c r="S18" s="431">
        <f>R18/H18</f>
        <v>0.7</v>
      </c>
    </row>
    <row r="19" spans="1:19" x14ac:dyDescent="0.3">
      <c r="F19" s="445" t="s">
        <v>64</v>
      </c>
      <c r="G19" s="445"/>
      <c r="H19" s="181">
        <f>SUM(H7:H18)/2</f>
        <v>4324892</v>
      </c>
      <c r="I19" s="181">
        <f>SUM(I7:I18)/2</f>
        <v>4545471</v>
      </c>
      <c r="K19" s="547" t="s">
        <v>64</v>
      </c>
      <c r="L19" s="481">
        <f>SUM(L7:L18)/2</f>
        <v>3027424</v>
      </c>
      <c r="N19" s="547" t="s">
        <v>64</v>
      </c>
      <c r="O19" s="481">
        <f>SUM(O7:O18)/2</f>
        <v>0</v>
      </c>
      <c r="Q19" s="547" t="s">
        <v>64</v>
      </c>
      <c r="R19" s="481">
        <f>SUM(R7:R18)/2</f>
        <v>3027424</v>
      </c>
    </row>
    <row r="20" spans="1:19" x14ac:dyDescent="0.3">
      <c r="F20" s="444" t="s">
        <v>65</v>
      </c>
      <c r="G20" s="444"/>
      <c r="H20" s="181">
        <v>0</v>
      </c>
      <c r="I20" s="181">
        <v>0</v>
      </c>
      <c r="K20" s="548" t="s">
        <v>65</v>
      </c>
      <c r="L20" s="481">
        <v>0</v>
      </c>
      <c r="M20" s="563"/>
      <c r="N20" s="548" t="s">
        <v>65</v>
      </c>
      <c r="O20" s="481">
        <v>0</v>
      </c>
      <c r="P20" s="563"/>
      <c r="Q20" s="548" t="s">
        <v>65</v>
      </c>
      <c r="R20" s="481">
        <v>0</v>
      </c>
      <c r="S20" s="563"/>
    </row>
    <row r="21" spans="1:19" x14ac:dyDescent="0.3">
      <c r="F21" s="443" t="s">
        <v>64</v>
      </c>
      <c r="G21" s="443"/>
      <c r="H21" s="340">
        <f>SUM(H19:H20)</f>
        <v>4324892</v>
      </c>
      <c r="I21" s="340">
        <f>SUM(I19:I20)</f>
        <v>4545471</v>
      </c>
      <c r="K21" s="549" t="s">
        <v>64</v>
      </c>
      <c r="L21" s="550">
        <f>SUM(L19:L20)</f>
        <v>3027424</v>
      </c>
      <c r="M21" s="563"/>
      <c r="N21" s="549" t="s">
        <v>64</v>
      </c>
      <c r="O21" s="550">
        <f>SUM(O19:O20)</f>
        <v>0</v>
      </c>
      <c r="P21" s="563"/>
      <c r="Q21" s="549" t="s">
        <v>64</v>
      </c>
      <c r="R21" s="550">
        <f>SUM(R19:R20)</f>
        <v>3027424</v>
      </c>
      <c r="S21" s="563"/>
    </row>
    <row r="22" spans="1:19" ht="26.4" x14ac:dyDescent="0.3">
      <c r="F22" s="443"/>
      <c r="G22" s="443"/>
      <c r="H22" s="340"/>
      <c r="I22" s="340"/>
      <c r="K22" s="484" t="s">
        <v>1439</v>
      </c>
      <c r="L22" s="483">
        <f>ROUND(L21*0.015,0)</f>
        <v>45411</v>
      </c>
      <c r="M22" s="563"/>
      <c r="N22" s="484" t="s">
        <v>1439</v>
      </c>
      <c r="O22" s="483">
        <f>ROUND(O21*0.015,0)</f>
        <v>0</v>
      </c>
      <c r="P22" s="563"/>
      <c r="Q22" s="484" t="s">
        <v>1439</v>
      </c>
      <c r="R22" s="550">
        <f>L22+O22</f>
        <v>45411</v>
      </c>
      <c r="S22" s="563"/>
    </row>
    <row r="23" spans="1:19" ht="26.4" x14ac:dyDescent="0.3">
      <c r="F23" s="443"/>
      <c r="G23" s="443"/>
      <c r="H23" s="340"/>
      <c r="I23" s="340"/>
      <c r="K23" s="152" t="s">
        <v>1440</v>
      </c>
      <c r="L23" s="182">
        <f>L21+L22</f>
        <v>3072835</v>
      </c>
      <c r="M23" s="590">
        <f>L23/$H$19</f>
        <v>0.71049982288575064</v>
      </c>
      <c r="N23" s="152" t="s">
        <v>1440</v>
      </c>
      <c r="O23" s="182">
        <f>O21+O22</f>
        <v>0</v>
      </c>
      <c r="P23" s="590">
        <f>O23/$H$19</f>
        <v>0</v>
      </c>
      <c r="Q23" s="152" t="s">
        <v>1440</v>
      </c>
      <c r="R23" s="182">
        <f>R21+R22</f>
        <v>3072835</v>
      </c>
      <c r="S23" s="590">
        <f>R23/H19</f>
        <v>0.71049982288575064</v>
      </c>
    </row>
    <row r="24" spans="1:19" x14ac:dyDescent="0.3">
      <c r="F24" s="442" t="s">
        <v>66</v>
      </c>
      <c r="G24" s="442"/>
      <c r="H24" s="181">
        <f>+H21*19%</f>
        <v>821729.48</v>
      </c>
      <c r="I24" s="181">
        <f>+I21*19%</f>
        <v>863639.49</v>
      </c>
      <c r="K24" s="551" t="s">
        <v>66</v>
      </c>
      <c r="L24" s="483">
        <f>ROUND(L23*0.19,0)</f>
        <v>583839</v>
      </c>
      <c r="M24" s="563"/>
      <c r="N24" s="551" t="s">
        <v>66</v>
      </c>
      <c r="O24" s="483">
        <f>ROUND(O23*0.19,0)</f>
        <v>0</v>
      </c>
      <c r="P24" s="563"/>
      <c r="Q24" s="551" t="s">
        <v>66</v>
      </c>
      <c r="R24" s="483">
        <f>ROUND(R23*0.19,0)</f>
        <v>583839</v>
      </c>
      <c r="S24" s="563"/>
    </row>
    <row r="25" spans="1:19" x14ac:dyDescent="0.3">
      <c r="F25" s="441" t="s">
        <v>69</v>
      </c>
      <c r="G25" s="441"/>
      <c r="H25" s="181">
        <f>+H21+H24</f>
        <v>5146621.4800000004</v>
      </c>
      <c r="I25" s="181">
        <f>+I21+I24</f>
        <v>5409110.4900000002</v>
      </c>
      <c r="K25" s="552" t="s">
        <v>69</v>
      </c>
      <c r="L25" s="481">
        <f>L23+L24</f>
        <v>3656674</v>
      </c>
      <c r="M25" s="563"/>
      <c r="N25" s="552" t="s">
        <v>69</v>
      </c>
      <c r="O25" s="481">
        <f>O23+O24</f>
        <v>0</v>
      </c>
      <c r="P25" s="563"/>
      <c r="Q25" s="552" t="s">
        <v>69</v>
      </c>
      <c r="R25" s="481">
        <f>R23+R24</f>
        <v>3656674</v>
      </c>
      <c r="S25" s="563"/>
    </row>
    <row r="26" spans="1:19" x14ac:dyDescent="0.3">
      <c r="K26" s="563"/>
      <c r="L26" s="563"/>
      <c r="M26" s="563"/>
      <c r="N26" s="563"/>
      <c r="O26" s="563"/>
      <c r="P26" s="563"/>
      <c r="Q26" s="563"/>
      <c r="R26" s="563"/>
      <c r="S26" s="563"/>
    </row>
    <row r="27" spans="1:19" s="189" customFormat="1" x14ac:dyDescent="0.3">
      <c r="A27" s="183" t="s">
        <v>67</v>
      </c>
      <c r="B27" s="184"/>
      <c r="C27" s="184"/>
      <c r="D27" s="185" t="s">
        <v>68</v>
      </c>
      <c r="G27" s="852"/>
      <c r="I27" s="852"/>
      <c r="K27" s="186" t="s">
        <v>70</v>
      </c>
      <c r="L27" s="187" t="s">
        <v>71</v>
      </c>
      <c r="M27" s="186" t="s">
        <v>58</v>
      </c>
      <c r="N27" s="186" t="s">
        <v>70</v>
      </c>
      <c r="O27" s="187" t="s">
        <v>71</v>
      </c>
      <c r="P27" s="186" t="s">
        <v>58</v>
      </c>
      <c r="Q27" s="437"/>
      <c r="R27" s="437"/>
      <c r="S27" s="437"/>
    </row>
    <row r="28" spans="1:19" s="189" customFormat="1" x14ac:dyDescent="0.3">
      <c r="A28" s="183"/>
      <c r="B28" s="184"/>
      <c r="C28" s="184"/>
      <c r="D28" s="185"/>
      <c r="G28" s="852"/>
      <c r="I28" s="852"/>
      <c r="K28" s="69" t="s">
        <v>72</v>
      </c>
      <c r="L28" s="70">
        <f>$L$23</f>
        <v>3072835</v>
      </c>
      <c r="M28" s="360">
        <f>$M$23</f>
        <v>0.71049982288575064</v>
      </c>
      <c r="N28" s="69" t="s">
        <v>72</v>
      </c>
      <c r="O28" s="70">
        <f>$L$23</f>
        <v>3072835</v>
      </c>
      <c r="P28" s="360">
        <f>$M$23</f>
        <v>0.71049982288575064</v>
      </c>
      <c r="Q28" s="437"/>
      <c r="R28" s="437"/>
      <c r="S28" s="437"/>
    </row>
    <row r="29" spans="1:19" s="852" customFormat="1" x14ac:dyDescent="0.3">
      <c r="A29" s="183"/>
      <c r="B29" s="184"/>
      <c r="C29" s="184"/>
      <c r="D29" s="185"/>
      <c r="K29" s="69"/>
      <c r="L29" s="70"/>
      <c r="M29" s="360"/>
      <c r="N29" s="69" t="s">
        <v>73</v>
      </c>
      <c r="O29" s="70">
        <f>+O23</f>
        <v>0</v>
      </c>
      <c r="P29" s="360">
        <f>+P23</f>
        <v>0</v>
      </c>
      <c r="Q29" s="437"/>
      <c r="R29" s="437"/>
      <c r="S29" s="437"/>
    </row>
    <row r="30" spans="1:19" s="189" customFormat="1" x14ac:dyDescent="0.3">
      <c r="A30" s="183"/>
      <c r="B30" s="184"/>
      <c r="C30" s="184"/>
      <c r="D30" s="185"/>
      <c r="G30" s="852"/>
      <c r="I30" s="852"/>
      <c r="K30" s="72" t="s">
        <v>1</v>
      </c>
      <c r="L30" s="105">
        <f>SUM(L28:L28)</f>
        <v>3072835</v>
      </c>
      <c r="M30" s="361">
        <f>SUM(M28:M28)</f>
        <v>0.71049982288575064</v>
      </c>
      <c r="N30" s="72" t="s">
        <v>1</v>
      </c>
      <c r="O30" s="105">
        <f>SUM(O28:O29)</f>
        <v>3072835</v>
      </c>
      <c r="P30" s="361">
        <f>SUM(P28:P29)</f>
        <v>0.71049982288575064</v>
      </c>
      <c r="Q30" s="437"/>
      <c r="R30" s="437"/>
      <c r="S30" s="437"/>
    </row>
    <row r="31" spans="1:19" s="189" customFormat="1" x14ac:dyDescent="0.3">
      <c r="A31" s="183"/>
      <c r="B31" s="184"/>
      <c r="C31" s="184"/>
      <c r="D31" s="185"/>
      <c r="G31" s="852"/>
      <c r="I31" s="852"/>
      <c r="K31" s="72" t="s">
        <v>9</v>
      </c>
      <c r="L31" s="1423"/>
      <c r="M31" s="1424"/>
      <c r="N31" s="72" t="s">
        <v>9</v>
      </c>
      <c r="O31" s="1423"/>
      <c r="P31" s="1424"/>
      <c r="Q31" s="437"/>
      <c r="R31" s="437"/>
      <c r="S31" s="437"/>
    </row>
    <row r="32" spans="1:19" s="189" customFormat="1" x14ac:dyDescent="0.3">
      <c r="A32" s="183"/>
      <c r="B32" s="184"/>
      <c r="C32" s="184"/>
      <c r="D32" s="185"/>
      <c r="G32" s="852"/>
      <c r="I32" s="852"/>
      <c r="K32" s="440" t="s">
        <v>78</v>
      </c>
      <c r="L32" s="1423" t="s">
        <v>396</v>
      </c>
      <c r="M32" s="1424"/>
      <c r="N32" s="440" t="s">
        <v>78</v>
      </c>
      <c r="O32" s="1423" t="s">
        <v>396</v>
      </c>
      <c r="P32" s="1424"/>
      <c r="Q32" s="437"/>
      <c r="R32" s="437"/>
      <c r="S32" s="437"/>
    </row>
    <row r="33" spans="1:19" s="189" customFormat="1" x14ac:dyDescent="0.3">
      <c r="A33" s="183"/>
      <c r="B33" s="184"/>
      <c r="C33" s="184"/>
      <c r="D33" s="185"/>
      <c r="G33" s="852"/>
      <c r="I33" s="852"/>
      <c r="K33" s="439" t="s">
        <v>8</v>
      </c>
      <c r="L33" s="1425" t="s">
        <v>397</v>
      </c>
      <c r="M33" s="1426"/>
      <c r="N33" s="439" t="s">
        <v>8</v>
      </c>
      <c r="O33" s="1425" t="s">
        <v>397</v>
      </c>
      <c r="P33" s="1426"/>
      <c r="Q33" s="437"/>
      <c r="R33" s="437"/>
      <c r="S33" s="437"/>
    </row>
    <row r="34" spans="1:19" s="189" customFormat="1" x14ac:dyDescent="0.3">
      <c r="A34" s="183"/>
      <c r="B34" s="184"/>
      <c r="C34" s="184"/>
      <c r="D34" s="185" t="s">
        <v>75</v>
      </c>
      <c r="G34" s="852"/>
      <c r="I34" s="852"/>
      <c r="N34" s="852"/>
      <c r="O34" s="852"/>
      <c r="P34" s="852"/>
    </row>
    <row r="35" spans="1:19" s="189" customFormat="1" x14ac:dyDescent="0.3">
      <c r="A35" s="183" t="s">
        <v>76</v>
      </c>
      <c r="B35" s="180"/>
      <c r="C35" s="180"/>
      <c r="D35" s="185" t="s">
        <v>77</v>
      </c>
      <c r="G35" s="852"/>
      <c r="I35" s="852"/>
      <c r="N35" s="852"/>
      <c r="O35" s="852"/>
      <c r="P35" s="852"/>
    </row>
    <row r="36" spans="1:19" s="189" customFormat="1" ht="26.4" x14ac:dyDescent="0.3">
      <c r="A36" s="183" t="s">
        <v>79</v>
      </c>
      <c r="B36" s="180"/>
      <c r="C36" s="180"/>
      <c r="D36" s="185" t="s">
        <v>80</v>
      </c>
      <c r="G36" s="852"/>
      <c r="I36" s="852"/>
      <c r="N36" s="852"/>
      <c r="O36" s="852"/>
      <c r="P36" s="852"/>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1:P31"/>
    <mergeCell ref="O32:P32"/>
    <mergeCell ref="O33:P33"/>
    <mergeCell ref="Q11:S12"/>
    <mergeCell ref="B12:J12"/>
    <mergeCell ref="N11:P12"/>
    <mergeCell ref="L31:M31"/>
    <mergeCell ref="L32:M32"/>
    <mergeCell ref="L33:M33"/>
  </mergeCells>
  <pageMargins left="0.7" right="0.7" top="0.75" bottom="0.75" header="0.3" footer="0.3"/>
  <pageSetup scale="49" orientation="landscape" r:id="rId1"/>
  <drawing r:id="rId2"/>
  <legacyDrawingHF r:id="rId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0">
    <tabColor theme="1"/>
  </sheetPr>
  <dimension ref="A1:G49"/>
  <sheetViews>
    <sheetView topLeftCell="A13" zoomScaleNormal="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RESUMEN!G73</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RESUMEN!B73</f>
        <v>D00243135</v>
      </c>
      <c r="C7" s="1265"/>
      <c r="D7" s="1177"/>
      <c r="E7" s="1266" t="s">
        <v>627</v>
      </c>
      <c r="F7" s="1267"/>
      <c r="G7" s="280" t="str">
        <f>RESUMEN!E73</f>
        <v xml:space="preserve">17-306 </v>
      </c>
    </row>
    <row r="8" spans="1:7" x14ac:dyDescent="0.25">
      <c r="A8" s="271" t="s">
        <v>628</v>
      </c>
      <c r="B8" s="1264" t="str">
        <f>RESUMEN!C73</f>
        <v>D00243135000</v>
      </c>
      <c r="C8" s="1265"/>
      <c r="D8" s="1177"/>
      <c r="E8" s="1266" t="s">
        <v>629</v>
      </c>
      <c r="F8" s="1267"/>
      <c r="G8" s="280" t="str">
        <f>RESUMEN!U73</f>
        <v>Acta N° 2: Marzo</v>
      </c>
    </row>
    <row r="9" spans="1:7" x14ac:dyDescent="0.25">
      <c r="A9" s="271" t="s">
        <v>630</v>
      </c>
      <c r="B9" s="1283" t="s">
        <v>631</v>
      </c>
      <c r="C9" s="1265"/>
      <c r="D9" s="1177"/>
      <c r="E9" s="1266" t="s">
        <v>632</v>
      </c>
      <c r="F9" s="1267"/>
      <c r="G9" s="1178">
        <f>RESUMEN!H73</f>
        <v>4324892</v>
      </c>
    </row>
    <row r="10" spans="1:7" x14ac:dyDescent="0.25">
      <c r="A10" s="271" t="s">
        <v>633</v>
      </c>
      <c r="B10" s="1283" t="str">
        <f>RESUMEN!D73</f>
        <v>EL HOBAL</v>
      </c>
      <c r="C10" s="1265"/>
      <c r="D10" s="1177"/>
      <c r="E10" s="1266" t="s">
        <v>634</v>
      </c>
      <c r="F10" s="1267"/>
      <c r="G10" s="1178">
        <f>RESUMEN!R73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RESUMEN!N73</f>
        <v>0</v>
      </c>
      <c r="F19" s="1248"/>
      <c r="G19" s="1177"/>
    </row>
    <row r="20" spans="1:7" ht="27" customHeight="1" x14ac:dyDescent="0.25">
      <c r="A20" s="1177"/>
      <c r="B20" s="1244" t="s">
        <v>1498</v>
      </c>
      <c r="C20" s="1245"/>
      <c r="D20" s="1246"/>
      <c r="E20" s="1247">
        <f>RESUMEN!P73</f>
        <v>0</v>
      </c>
      <c r="F20" s="1248"/>
      <c r="G20" s="1177"/>
    </row>
    <row r="21" spans="1:7" ht="27" customHeight="1" x14ac:dyDescent="0.25">
      <c r="A21" s="1177"/>
      <c r="B21" s="1244" t="s">
        <v>1499</v>
      </c>
      <c r="C21" s="1245"/>
      <c r="D21" s="1246"/>
      <c r="E21" s="1247">
        <f>RESUMEN!Q73</f>
        <v>0</v>
      </c>
      <c r="F21" s="1248"/>
      <c r="G21" s="1177"/>
    </row>
    <row r="22" spans="1:7" x14ac:dyDescent="0.25">
      <c r="A22" s="1177"/>
      <c r="B22" s="1254" t="s">
        <v>64</v>
      </c>
      <c r="C22" s="1254"/>
      <c r="D22" s="1254"/>
      <c r="E22" s="1255">
        <f>RESUMEN!R73</f>
        <v>0</v>
      </c>
      <c r="F22" s="1255"/>
      <c r="G22" s="1177"/>
    </row>
    <row r="23" spans="1:7" x14ac:dyDescent="0.25">
      <c r="A23" s="1177"/>
      <c r="B23" s="1256" t="s">
        <v>66</v>
      </c>
      <c r="C23" s="1256"/>
      <c r="D23" s="1256"/>
      <c r="E23" s="1257">
        <f>RESUMEN!S73</f>
        <v>0</v>
      </c>
      <c r="F23" s="1257"/>
      <c r="G23" s="1177"/>
    </row>
    <row r="24" spans="1:7" x14ac:dyDescent="0.25">
      <c r="A24" s="1177"/>
      <c r="B24" s="1258" t="s">
        <v>1</v>
      </c>
      <c r="C24" s="1258"/>
      <c r="D24" s="1258"/>
      <c r="E24" s="1259">
        <f>RESUMEN!T73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+'OT17-306 EL HOBAL'!N28</f>
        <v>ACTA 1</v>
      </c>
      <c r="C28" s="1253">
        <f>+'OT17-306 EL HOBAL'!O28</f>
        <v>3072835</v>
      </c>
      <c r="D28" s="1253"/>
      <c r="E28" s="267">
        <f>+'OT17-306 EL HOBAL'!P28</f>
        <v>0.71049982288575064</v>
      </c>
      <c r="F28" s="1177"/>
      <c r="G28" s="1177"/>
    </row>
    <row r="29" spans="1:7" x14ac:dyDescent="0.25">
      <c r="A29" s="1177"/>
      <c r="B29" s="280" t="str">
        <f>+'OT17-306 EL HOBAL'!N29</f>
        <v>ACTA 2</v>
      </c>
      <c r="C29" s="1253">
        <f>+'OT17-306 EL HOBAL'!O29</f>
        <v>0</v>
      </c>
      <c r="D29" s="1253"/>
      <c r="E29" s="267">
        <f>+'OT17-306 EL HOBAL'!P29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3072835</v>
      </c>
      <c r="D34" s="1251"/>
      <c r="E34" s="264">
        <f>SUM(E28:E33)</f>
        <v>0.71049982288575064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1">
    <tabColor rgb="FF92D050"/>
  </sheetPr>
  <dimension ref="A1:T36"/>
  <sheetViews>
    <sheetView zoomScale="55" zoomScaleNormal="55" workbookViewId="0">
      <selection activeCell="G23" sqref="G23"/>
    </sheetView>
  </sheetViews>
  <sheetFormatPr baseColWidth="10" defaultColWidth="9.109375" defaultRowHeight="14.4" x14ac:dyDescent="0.3"/>
  <cols>
    <col min="1" max="1" width="15.441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 style="437" bestFit="1" customWidth="1"/>
    <col min="9" max="9" width="16" style="437" customWidth="1"/>
    <col min="10" max="10" width="5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826</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52">
        <v>0</v>
      </c>
      <c r="O14" s="425">
        <f>ROUND(N14*G14,0)</f>
        <v>0</v>
      </c>
      <c r="P14" s="426">
        <f>O14/I14</f>
        <v>0</v>
      </c>
      <c r="Q14" s="450">
        <f>K14+N14</f>
        <v>0.24499999999999997</v>
      </c>
      <c r="R14" s="175">
        <f>L14+O14</f>
        <v>102376</v>
      </c>
      <c r="S14" s="176">
        <f>R14/H14</f>
        <v>0.69999726499466675</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0</v>
      </c>
      <c r="P16" s="431">
        <f>O16/$H$16</f>
        <v>0</v>
      </c>
      <c r="Q16" s="446"/>
      <c r="R16" s="307">
        <f>L16</f>
        <v>102376</v>
      </c>
      <c r="S16" s="431">
        <f>R16/H16</f>
        <v>0.69999726499466675</v>
      </c>
    </row>
    <row r="17" spans="1:20"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52">
        <v>0</v>
      </c>
      <c r="O17" s="425">
        <f>ROUND(N17*G17,0)</f>
        <v>0</v>
      </c>
      <c r="P17" s="426">
        <f>O17/I17</f>
        <v>0</v>
      </c>
      <c r="Q17" s="450">
        <f>K17+N17</f>
        <v>42</v>
      </c>
      <c r="R17" s="175">
        <f>L17+O17</f>
        <v>2925048</v>
      </c>
      <c r="S17" s="176">
        <f>R17/H17</f>
        <v>0.7</v>
      </c>
    </row>
    <row r="18" spans="1:20"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0</v>
      </c>
      <c r="P18" s="431">
        <f>O18/$H$18</f>
        <v>0</v>
      </c>
      <c r="Q18" s="446"/>
      <c r="R18" s="307">
        <f>L18</f>
        <v>2925048</v>
      </c>
      <c r="S18" s="431">
        <f>R18/H18</f>
        <v>0.7</v>
      </c>
    </row>
    <row r="19" spans="1:20" x14ac:dyDescent="0.3">
      <c r="F19" s="445" t="s">
        <v>64</v>
      </c>
      <c r="G19" s="445"/>
      <c r="H19" s="181">
        <f>SUM(H14:H18)/2</f>
        <v>4324892</v>
      </c>
      <c r="I19" s="181">
        <f>SUM(I14:I18)/2</f>
        <v>4545471</v>
      </c>
      <c r="K19" s="547" t="s">
        <v>64</v>
      </c>
      <c r="L19" s="481">
        <f>SUM(L14:L18)/2</f>
        <v>3027424</v>
      </c>
      <c r="N19" s="547" t="s">
        <v>64</v>
      </c>
      <c r="O19" s="481">
        <f>SUM(O14:O18)/2</f>
        <v>0</v>
      </c>
      <c r="Q19" s="547" t="s">
        <v>64</v>
      </c>
      <c r="R19" s="481">
        <f>SUM(R14:R18)/2</f>
        <v>3027424</v>
      </c>
      <c r="T19" s="563"/>
    </row>
    <row r="20" spans="1:20" x14ac:dyDescent="0.3">
      <c r="F20" s="444" t="s">
        <v>65</v>
      </c>
      <c r="G20" s="444"/>
      <c r="H20" s="181">
        <v>0</v>
      </c>
      <c r="I20" s="181">
        <v>0</v>
      </c>
      <c r="K20" s="548" t="s">
        <v>65</v>
      </c>
      <c r="L20" s="481">
        <v>0</v>
      </c>
      <c r="M20" s="563"/>
      <c r="N20" s="548" t="s">
        <v>65</v>
      </c>
      <c r="O20" s="481">
        <v>0</v>
      </c>
      <c r="P20" s="563"/>
      <c r="Q20" s="548" t="s">
        <v>65</v>
      </c>
      <c r="R20" s="481">
        <v>0</v>
      </c>
      <c r="S20" s="563"/>
      <c r="T20" s="563"/>
    </row>
    <row r="21" spans="1:20" x14ac:dyDescent="0.3">
      <c r="F21" s="443" t="s">
        <v>64</v>
      </c>
      <c r="G21" s="443"/>
      <c r="H21" s="340">
        <f>SUM(H19:H20)</f>
        <v>4324892</v>
      </c>
      <c r="I21" s="340">
        <f>SUM(I19:I20)</f>
        <v>4545471</v>
      </c>
      <c r="K21" s="549" t="s">
        <v>64</v>
      </c>
      <c r="L21" s="550">
        <f>SUM(L19:L20)</f>
        <v>3027424</v>
      </c>
      <c r="M21" s="563"/>
      <c r="N21" s="549" t="s">
        <v>64</v>
      </c>
      <c r="O21" s="550">
        <f>SUM(O19:O20)</f>
        <v>0</v>
      </c>
      <c r="P21" s="563"/>
      <c r="Q21" s="549" t="s">
        <v>64</v>
      </c>
      <c r="R21" s="550">
        <f>SUM(R19:R20)</f>
        <v>3027424</v>
      </c>
      <c r="S21" s="563"/>
      <c r="T21" s="563"/>
    </row>
    <row r="22" spans="1:20" ht="26.4" x14ac:dyDescent="0.3">
      <c r="F22" s="443"/>
      <c r="G22" s="443"/>
      <c r="H22" s="340"/>
      <c r="I22" s="340"/>
      <c r="K22" s="484" t="s">
        <v>1439</v>
      </c>
      <c r="L22" s="483">
        <f>ROUND(L21*0.015,0)</f>
        <v>45411</v>
      </c>
      <c r="M22" s="563"/>
      <c r="N22" s="484" t="s">
        <v>1439</v>
      </c>
      <c r="O22" s="483">
        <f>ROUND(O21*0.015,0)</f>
        <v>0</v>
      </c>
      <c r="P22" s="563"/>
      <c r="Q22" s="484" t="s">
        <v>1439</v>
      </c>
      <c r="R22" s="550">
        <f>L22</f>
        <v>45411</v>
      </c>
      <c r="S22" s="563"/>
      <c r="T22" s="563"/>
    </row>
    <row r="23" spans="1:20" ht="26.4" x14ac:dyDescent="0.3">
      <c r="F23" s="443"/>
      <c r="G23" s="443"/>
      <c r="H23" s="340"/>
      <c r="I23" s="340"/>
      <c r="K23" s="152" t="s">
        <v>1440</v>
      </c>
      <c r="L23" s="182">
        <f>L21+L22</f>
        <v>3072835</v>
      </c>
      <c r="M23" s="590">
        <f>L23/$H$19</f>
        <v>0.71049982288575064</v>
      </c>
      <c r="N23" s="152" t="s">
        <v>1440</v>
      </c>
      <c r="O23" s="182">
        <f>O21+O22</f>
        <v>0</v>
      </c>
      <c r="P23" s="590">
        <f>O23/$H$19</f>
        <v>0</v>
      </c>
      <c r="Q23" s="152" t="s">
        <v>1440</v>
      </c>
      <c r="R23" s="182">
        <f>R21+R22</f>
        <v>3072835</v>
      </c>
      <c r="S23" s="590">
        <f>R23/H19</f>
        <v>0.71049982288575064</v>
      </c>
      <c r="T23" s="563"/>
    </row>
    <row r="24" spans="1:20" x14ac:dyDescent="0.3">
      <c r="F24" s="442" t="s">
        <v>66</v>
      </c>
      <c r="G24" s="442"/>
      <c r="H24" s="181">
        <f>+H21*19%</f>
        <v>821729.48</v>
      </c>
      <c r="I24" s="181">
        <f>+I21*19%</f>
        <v>863639.49</v>
      </c>
      <c r="K24" s="551" t="s">
        <v>66</v>
      </c>
      <c r="L24" s="483">
        <f>ROUND(L23*0.19,0)</f>
        <v>583839</v>
      </c>
      <c r="M24" s="563"/>
      <c r="N24" s="551" t="s">
        <v>66</v>
      </c>
      <c r="O24" s="483">
        <f>ROUND(O23*0.19,0)</f>
        <v>0</v>
      </c>
      <c r="P24" s="563"/>
      <c r="Q24" s="551" t="s">
        <v>66</v>
      </c>
      <c r="R24" s="483">
        <f>ROUND(R23*0.19,0)</f>
        <v>583839</v>
      </c>
      <c r="S24" s="563"/>
      <c r="T24" s="563"/>
    </row>
    <row r="25" spans="1:20" x14ac:dyDescent="0.3">
      <c r="F25" s="441" t="s">
        <v>69</v>
      </c>
      <c r="G25" s="441"/>
      <c r="H25" s="181">
        <f>+H21+H24</f>
        <v>5146621.4800000004</v>
      </c>
      <c r="I25" s="181">
        <f>+I21+I24</f>
        <v>5409110.4900000002</v>
      </c>
      <c r="K25" s="552" t="s">
        <v>69</v>
      </c>
      <c r="L25" s="481">
        <f>L23+L24</f>
        <v>3656674</v>
      </c>
      <c r="M25" s="563"/>
      <c r="N25" s="552" t="s">
        <v>69</v>
      </c>
      <c r="O25" s="481">
        <f>O23+O24</f>
        <v>0</v>
      </c>
      <c r="P25" s="563"/>
      <c r="Q25" s="552" t="s">
        <v>69</v>
      </c>
      <c r="R25" s="481">
        <f>R23+R24</f>
        <v>3656674</v>
      </c>
      <c r="S25" s="563"/>
      <c r="T25" s="563"/>
    </row>
    <row r="26" spans="1:20" x14ac:dyDescent="0.3">
      <c r="Q26" s="563"/>
      <c r="R26" s="563"/>
      <c r="S26" s="563"/>
      <c r="T26" s="563"/>
    </row>
    <row r="27" spans="1:20" s="189" customFormat="1" x14ac:dyDescent="0.3">
      <c r="A27" s="183" t="s">
        <v>67</v>
      </c>
      <c r="B27" s="184"/>
      <c r="C27" s="184"/>
      <c r="D27" s="185" t="s">
        <v>68</v>
      </c>
      <c r="G27" s="852"/>
      <c r="I27" s="852"/>
      <c r="K27" s="186" t="s">
        <v>70</v>
      </c>
      <c r="L27" s="187" t="s">
        <v>71</v>
      </c>
      <c r="M27" s="186" t="s">
        <v>58</v>
      </c>
      <c r="N27" s="186" t="s">
        <v>70</v>
      </c>
      <c r="O27" s="187" t="s">
        <v>71</v>
      </c>
      <c r="P27" s="186" t="s">
        <v>58</v>
      </c>
      <c r="Q27" s="437"/>
      <c r="R27" s="437"/>
      <c r="S27" s="437"/>
    </row>
    <row r="28" spans="1:20" s="189" customFormat="1" x14ac:dyDescent="0.3">
      <c r="A28" s="183"/>
      <c r="B28" s="184"/>
      <c r="C28" s="184"/>
      <c r="D28" s="185"/>
      <c r="G28" s="852"/>
      <c r="I28" s="852"/>
      <c r="K28" s="69" t="s">
        <v>72</v>
      </c>
      <c r="L28" s="70">
        <f>$L$23</f>
        <v>3072835</v>
      </c>
      <c r="M28" s="360">
        <f>$M$23</f>
        <v>0.71049982288575064</v>
      </c>
      <c r="N28" s="69" t="s">
        <v>72</v>
      </c>
      <c r="O28" s="70">
        <f>$L$23</f>
        <v>3072835</v>
      </c>
      <c r="P28" s="360">
        <f>$M$23</f>
        <v>0.71049982288575064</v>
      </c>
      <c r="Q28" s="437"/>
      <c r="R28" s="437"/>
      <c r="S28" s="437"/>
    </row>
    <row r="29" spans="1:20" s="852" customFormat="1" x14ac:dyDescent="0.3">
      <c r="A29" s="183"/>
      <c r="B29" s="184"/>
      <c r="C29" s="184"/>
      <c r="D29" s="185"/>
      <c r="K29" s="69"/>
      <c r="L29" s="70"/>
      <c r="M29" s="360"/>
      <c r="N29" s="69" t="s">
        <v>73</v>
      </c>
      <c r="O29" s="70">
        <f>+O23</f>
        <v>0</v>
      </c>
      <c r="P29" s="360">
        <f>+P23</f>
        <v>0</v>
      </c>
      <c r="Q29" s="437"/>
      <c r="R29" s="437"/>
      <c r="S29" s="437"/>
    </row>
    <row r="30" spans="1:20" s="189" customFormat="1" x14ac:dyDescent="0.3">
      <c r="A30" s="183"/>
      <c r="B30" s="184"/>
      <c r="C30" s="184"/>
      <c r="D30" s="185"/>
      <c r="G30" s="852"/>
      <c r="I30" s="852"/>
      <c r="K30" s="72" t="s">
        <v>1</v>
      </c>
      <c r="L30" s="105">
        <f>SUM(L28:L28)</f>
        <v>3072835</v>
      </c>
      <c r="M30" s="361">
        <f>SUM(M28:M28)</f>
        <v>0.71049982288575064</v>
      </c>
      <c r="N30" s="72" t="s">
        <v>1</v>
      </c>
      <c r="O30" s="105">
        <f>SUM(O28:O29)</f>
        <v>3072835</v>
      </c>
      <c r="P30" s="361">
        <f>SUM(P28:P29)</f>
        <v>0.71049982288575064</v>
      </c>
      <c r="Q30" s="437"/>
      <c r="R30" s="437"/>
      <c r="S30" s="437"/>
    </row>
    <row r="31" spans="1:20" s="189" customFormat="1" x14ac:dyDescent="0.3">
      <c r="A31" s="183"/>
      <c r="B31" s="184"/>
      <c r="C31" s="184"/>
      <c r="D31" s="185"/>
      <c r="G31" s="852"/>
      <c r="I31" s="852"/>
      <c r="K31" s="72" t="s">
        <v>9</v>
      </c>
      <c r="L31" s="1423"/>
      <c r="M31" s="1424"/>
      <c r="N31" s="72" t="s">
        <v>9</v>
      </c>
      <c r="O31" s="1423"/>
      <c r="P31" s="1424"/>
      <c r="Q31" s="437"/>
      <c r="R31" s="437"/>
      <c r="S31" s="437"/>
    </row>
    <row r="32" spans="1:20" s="189" customFormat="1" x14ac:dyDescent="0.3">
      <c r="A32" s="183"/>
      <c r="B32" s="184"/>
      <c r="C32" s="184"/>
      <c r="D32" s="185"/>
      <c r="G32" s="852"/>
      <c r="I32" s="852"/>
      <c r="K32" s="440" t="s">
        <v>78</v>
      </c>
      <c r="L32" s="1423" t="s">
        <v>314</v>
      </c>
      <c r="M32" s="1424"/>
      <c r="N32" s="440" t="s">
        <v>78</v>
      </c>
      <c r="O32" s="1423" t="s">
        <v>314</v>
      </c>
      <c r="P32" s="1424"/>
      <c r="Q32" s="437"/>
      <c r="R32" s="437"/>
      <c r="S32" s="437"/>
    </row>
    <row r="33" spans="1:19" s="189" customFormat="1" x14ac:dyDescent="0.3">
      <c r="A33" s="183"/>
      <c r="B33" s="184"/>
      <c r="C33" s="184"/>
      <c r="D33" s="185"/>
      <c r="G33" s="852"/>
      <c r="I33" s="852"/>
      <c r="K33" s="439" t="s">
        <v>8</v>
      </c>
      <c r="L33" s="1425" t="s">
        <v>315</v>
      </c>
      <c r="M33" s="1426"/>
      <c r="N33" s="439" t="s">
        <v>8</v>
      </c>
      <c r="O33" s="1425" t="s">
        <v>315</v>
      </c>
      <c r="P33" s="1426"/>
      <c r="Q33" s="437"/>
      <c r="R33" s="437"/>
      <c r="S33" s="437"/>
    </row>
    <row r="34" spans="1:19" s="189" customFormat="1" x14ac:dyDescent="0.3">
      <c r="A34" s="183"/>
      <c r="B34" s="184"/>
      <c r="C34" s="184"/>
      <c r="D34" s="185" t="s">
        <v>75</v>
      </c>
      <c r="G34" s="852"/>
      <c r="I34" s="852"/>
      <c r="N34" s="852"/>
      <c r="O34" s="852"/>
      <c r="P34" s="852"/>
    </row>
    <row r="35" spans="1:19" s="189" customFormat="1" x14ac:dyDescent="0.3">
      <c r="A35" s="183" t="s">
        <v>76</v>
      </c>
      <c r="B35" s="180"/>
      <c r="C35" s="180"/>
      <c r="D35" s="185" t="s">
        <v>77</v>
      </c>
      <c r="G35" s="852"/>
      <c r="I35" s="852"/>
      <c r="N35" s="852"/>
      <c r="O35" s="852"/>
      <c r="P35" s="852"/>
    </row>
    <row r="36" spans="1:19" s="189" customFormat="1" ht="26.4" x14ac:dyDescent="0.3">
      <c r="A36" s="183" t="s">
        <v>79</v>
      </c>
      <c r="B36" s="180"/>
      <c r="C36" s="180"/>
      <c r="D36" s="185" t="s">
        <v>80</v>
      </c>
      <c r="G36" s="852"/>
      <c r="I36" s="852"/>
      <c r="N36" s="852"/>
      <c r="O36" s="852"/>
      <c r="P36" s="852"/>
    </row>
  </sheetData>
  <sheetProtection formatCells="0" formatColumns="0" formatRows="0" insertColumns="0" insertRows="0" insertHyperlinks="0" deleteColumns="0" deleteRows="0" sort="0" autoFilter="0" pivotTables="0"/>
  <mergeCells count="28">
    <mergeCell ref="A17:A18"/>
    <mergeCell ref="B17:B18"/>
    <mergeCell ref="J17:J18"/>
    <mergeCell ref="L31:M31"/>
    <mergeCell ref="A14:A16"/>
    <mergeCell ref="B14:B16"/>
    <mergeCell ref="Q1:S1"/>
    <mergeCell ref="Q2:S2"/>
    <mergeCell ref="A3:S3"/>
    <mergeCell ref="A4:S4"/>
    <mergeCell ref="A5:S5"/>
    <mergeCell ref="C1:M2"/>
    <mergeCell ref="Q11:S12"/>
    <mergeCell ref="B12:J12"/>
    <mergeCell ref="A6:S6"/>
    <mergeCell ref="A7:S7"/>
    <mergeCell ref="A8:S8"/>
    <mergeCell ref="A9:S9"/>
    <mergeCell ref="A10:S10"/>
    <mergeCell ref="N11:P12"/>
    <mergeCell ref="O31:P31"/>
    <mergeCell ref="O32:P32"/>
    <mergeCell ref="O33:P33"/>
    <mergeCell ref="B11:J11"/>
    <mergeCell ref="K11:M12"/>
    <mergeCell ref="L32:M32"/>
    <mergeCell ref="L33:M33"/>
    <mergeCell ref="J14:J16"/>
  </mergeCells>
  <pageMargins left="0.7" right="0.7" top="0.75" bottom="0.75" header="0.3" footer="0.3"/>
  <pageSetup scale="49" orientation="landscape" r:id="rId1"/>
  <drawing r:id="rId2"/>
  <legacyDrawingHF r:id="rId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2">
    <tabColor theme="1"/>
  </sheetPr>
  <dimension ref="A1:G49"/>
  <sheetViews>
    <sheetView topLeftCell="A10" zoomScaleNormal="100" workbookViewId="0">
      <selection activeCell="F30" sqref="F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RESUMEN!G74</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RESUMEN!B74</f>
        <v>D00243137</v>
      </c>
      <c r="C7" s="1265"/>
      <c r="D7" s="1177"/>
      <c r="E7" s="1266" t="s">
        <v>627</v>
      </c>
      <c r="F7" s="1267"/>
      <c r="G7" s="280" t="str">
        <f>RESUMEN!E74</f>
        <v xml:space="preserve">17-307 </v>
      </c>
    </row>
    <row r="8" spans="1:7" x14ac:dyDescent="0.25">
      <c r="A8" s="271" t="s">
        <v>628</v>
      </c>
      <c r="B8" s="1264" t="str">
        <f>RESUMEN!C74</f>
        <v>D00243137000</v>
      </c>
      <c r="C8" s="1265"/>
      <c r="D8" s="1177"/>
      <c r="E8" s="1266" t="s">
        <v>629</v>
      </c>
      <c r="F8" s="1267"/>
      <c r="G8" s="280" t="str">
        <f>RESUMEN!U74</f>
        <v>Acta N° 2: Marzo</v>
      </c>
    </row>
    <row r="9" spans="1:7" x14ac:dyDescent="0.25">
      <c r="A9" s="271" t="s">
        <v>630</v>
      </c>
      <c r="B9" s="1283" t="s">
        <v>631</v>
      </c>
      <c r="C9" s="1265"/>
      <c r="D9" s="1177"/>
      <c r="E9" s="1266" t="s">
        <v>632</v>
      </c>
      <c r="F9" s="1267"/>
      <c r="G9" s="1178">
        <f>RESUMEN!H74</f>
        <v>4324892</v>
      </c>
    </row>
    <row r="10" spans="1:7" x14ac:dyDescent="0.25">
      <c r="A10" s="271" t="s">
        <v>633</v>
      </c>
      <c r="B10" s="1283" t="str">
        <f>RESUMEN!D74</f>
        <v>APULO</v>
      </c>
      <c r="C10" s="1265"/>
      <c r="D10" s="1177"/>
      <c r="E10" s="1266" t="s">
        <v>634</v>
      </c>
      <c r="F10" s="1267"/>
      <c r="G10" s="1178">
        <f>RESUMEN!R74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RESUMEN!N74</f>
        <v>0</v>
      </c>
      <c r="F19" s="1248"/>
      <c r="G19" s="1177"/>
    </row>
    <row r="20" spans="1:7" ht="27" customHeight="1" x14ac:dyDescent="0.25">
      <c r="A20" s="1177"/>
      <c r="B20" s="1244" t="s">
        <v>1498</v>
      </c>
      <c r="C20" s="1245"/>
      <c r="D20" s="1246"/>
      <c r="E20" s="1247">
        <f>RESUMEN!P74</f>
        <v>0</v>
      </c>
      <c r="F20" s="1248"/>
      <c r="G20" s="1177"/>
    </row>
    <row r="21" spans="1:7" ht="27" customHeight="1" x14ac:dyDescent="0.25">
      <c r="A21" s="1177"/>
      <c r="B21" s="1244" t="s">
        <v>1499</v>
      </c>
      <c r="C21" s="1245"/>
      <c r="D21" s="1246"/>
      <c r="E21" s="1247">
        <f>RESUMEN!Q74</f>
        <v>0</v>
      </c>
      <c r="F21" s="1248"/>
      <c r="G21" s="1177"/>
    </row>
    <row r="22" spans="1:7" x14ac:dyDescent="0.25">
      <c r="A22" s="1177"/>
      <c r="B22" s="1254" t="s">
        <v>64</v>
      </c>
      <c r="C22" s="1254"/>
      <c r="D22" s="1254"/>
      <c r="E22" s="1255">
        <f>RESUMEN!R74</f>
        <v>0</v>
      </c>
      <c r="F22" s="1255"/>
      <c r="G22" s="1177"/>
    </row>
    <row r="23" spans="1:7" x14ac:dyDescent="0.25">
      <c r="A23" s="1177"/>
      <c r="B23" s="1256" t="s">
        <v>66</v>
      </c>
      <c r="C23" s="1256"/>
      <c r="D23" s="1256"/>
      <c r="E23" s="1257">
        <f>RESUMEN!S74</f>
        <v>0</v>
      </c>
      <c r="F23" s="1257"/>
      <c r="G23" s="1177"/>
    </row>
    <row r="24" spans="1:7" x14ac:dyDescent="0.25">
      <c r="A24" s="1177"/>
      <c r="B24" s="1258" t="s">
        <v>1</v>
      </c>
      <c r="C24" s="1258"/>
      <c r="D24" s="1258"/>
      <c r="E24" s="1259">
        <f>RESUMEN!T74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+'OT17-307 APULO'!N29</f>
        <v>ACTA 1</v>
      </c>
      <c r="C28" s="1253">
        <f>+'OT17-307 APULO'!O29</f>
        <v>3072835</v>
      </c>
      <c r="D28" s="1253"/>
      <c r="E28" s="267">
        <f>+'OT17-307 APULO'!P29</f>
        <v>0.71049982288575064</v>
      </c>
      <c r="F28" s="1177"/>
      <c r="G28" s="1177"/>
    </row>
    <row r="29" spans="1:7" x14ac:dyDescent="0.25">
      <c r="A29" s="1177"/>
      <c r="B29" s="280" t="str">
        <f>+'OT17-307 APULO'!N30</f>
        <v>ACTA 2</v>
      </c>
      <c r="C29" s="1253">
        <f>+'OT17-307 APULO'!O30</f>
        <v>0</v>
      </c>
      <c r="D29" s="1253"/>
      <c r="E29" s="267">
        <f>+'OT17-307 APULO'!P30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3072835</v>
      </c>
      <c r="D34" s="1251"/>
      <c r="E34" s="264">
        <f>SUM(E28:E33)</f>
        <v>0.71049982288575064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3"/>
  <dimension ref="A1:T37"/>
  <sheetViews>
    <sheetView zoomScale="55" zoomScaleNormal="55" workbookViewId="0">
      <selection activeCell="G15" sqref="G15"/>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9" width="16" style="437" customWidth="1"/>
    <col min="10" max="10" width="40.8867187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1348</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ROUND(K14*$F$14,0)</f>
        <v>102376</v>
      </c>
      <c r="M14" s="430">
        <f>L14/$H$14</f>
        <v>0.69999726499466675</v>
      </c>
      <c r="N14" s="452">
        <v>0</v>
      </c>
      <c r="O14" s="425">
        <f>ROUND(N14*G14,0)</f>
        <v>0</v>
      </c>
      <c r="P14" s="426">
        <f>O14/I14</f>
        <v>0</v>
      </c>
      <c r="Q14" s="450">
        <f>K14+N14</f>
        <v>0.24499999999999997</v>
      </c>
      <c r="R14" s="175">
        <f>L14+O14</f>
        <v>102376</v>
      </c>
      <c r="S14" s="176">
        <f>R14/H14</f>
        <v>0.69999726499466675</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0</v>
      </c>
      <c r="P16" s="431">
        <f>O16/$H$16</f>
        <v>0</v>
      </c>
      <c r="Q16" s="446"/>
      <c r="R16" s="307">
        <f>L16</f>
        <v>102376</v>
      </c>
      <c r="S16" s="431">
        <f>R16/H16</f>
        <v>0.69999726499466675</v>
      </c>
    </row>
    <row r="17" spans="1:20"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f>60*70%</f>
        <v>42</v>
      </c>
      <c r="L17" s="429">
        <f>ROUND(K17*$F$17,0)</f>
        <v>2925048</v>
      </c>
      <c r="M17" s="430">
        <f>L17/$H$17</f>
        <v>0.7</v>
      </c>
      <c r="N17" s="452">
        <v>0</v>
      </c>
      <c r="O17" s="425">
        <f>ROUND(N17*G17,0)</f>
        <v>0</v>
      </c>
      <c r="P17" s="426">
        <f>O17/I17</f>
        <v>0</v>
      </c>
      <c r="Q17" s="450">
        <f>K17+N17</f>
        <v>42</v>
      </c>
      <c r="R17" s="175">
        <f>L17+O17</f>
        <v>2925048</v>
      </c>
      <c r="S17" s="176">
        <f>R17/H17</f>
        <v>0.7</v>
      </c>
    </row>
    <row r="18" spans="1:20" x14ac:dyDescent="0.3">
      <c r="A18" s="1441"/>
      <c r="B18" s="1441"/>
      <c r="C18" s="459"/>
      <c r="D18" s="459" t="s">
        <v>162</v>
      </c>
      <c r="E18" s="458"/>
      <c r="F18" s="458"/>
      <c r="G18" s="458"/>
      <c r="H18" s="457">
        <f>H17</f>
        <v>4178640</v>
      </c>
      <c r="I18" s="457">
        <f>SUM(I17)</f>
        <v>4391760</v>
      </c>
      <c r="J18" s="1442"/>
      <c r="K18" s="431"/>
      <c r="L18" s="179">
        <f>L17</f>
        <v>2925048</v>
      </c>
      <c r="M18" s="431">
        <f>L18/$H$18</f>
        <v>0.7</v>
      </c>
      <c r="N18" s="431"/>
      <c r="O18" s="179">
        <f>O17</f>
        <v>0</v>
      </c>
      <c r="P18" s="431">
        <f>O18/$H$18</f>
        <v>0</v>
      </c>
      <c r="Q18" s="446"/>
      <c r="R18" s="307">
        <f>L18</f>
        <v>2925048</v>
      </c>
      <c r="S18" s="431">
        <f>R18/H18</f>
        <v>0.7</v>
      </c>
    </row>
    <row r="19" spans="1:20" x14ac:dyDescent="0.3">
      <c r="F19" s="445" t="s">
        <v>64</v>
      </c>
      <c r="G19" s="445"/>
      <c r="H19" s="181">
        <f>SUM(H7:H18)/2</f>
        <v>4324892</v>
      </c>
      <c r="I19" s="181">
        <f>SUM(I7:I18)/2</f>
        <v>4545471</v>
      </c>
      <c r="K19" s="547" t="s">
        <v>64</v>
      </c>
      <c r="L19" s="481">
        <f>SUM(L7:L18)/2</f>
        <v>3027424</v>
      </c>
      <c r="N19" s="547" t="s">
        <v>64</v>
      </c>
      <c r="O19" s="481">
        <f>SUM(O7:O18)/2</f>
        <v>0</v>
      </c>
      <c r="Q19" s="547" t="s">
        <v>64</v>
      </c>
      <c r="R19" s="481">
        <f>SUM(R7:R18)/2</f>
        <v>3027424</v>
      </c>
      <c r="T19" s="563"/>
    </row>
    <row r="20" spans="1:20" x14ac:dyDescent="0.3">
      <c r="F20" s="444" t="s">
        <v>65</v>
      </c>
      <c r="G20" s="444"/>
      <c r="H20" s="181">
        <v>0</v>
      </c>
      <c r="I20" s="181">
        <v>0</v>
      </c>
      <c r="K20" s="548" t="s">
        <v>65</v>
      </c>
      <c r="L20" s="481">
        <v>0</v>
      </c>
      <c r="M20" s="563"/>
      <c r="N20" s="548" t="s">
        <v>65</v>
      </c>
      <c r="O20" s="481">
        <v>0</v>
      </c>
      <c r="P20" s="563"/>
      <c r="Q20" s="548" t="s">
        <v>65</v>
      </c>
      <c r="R20" s="481">
        <v>0</v>
      </c>
      <c r="S20" s="563"/>
      <c r="T20" s="563"/>
    </row>
    <row r="21" spans="1:20" x14ac:dyDescent="0.3">
      <c r="F21" s="443" t="s">
        <v>64</v>
      </c>
      <c r="G21" s="443"/>
      <c r="H21" s="340">
        <f>SUM(H19:H20)</f>
        <v>4324892</v>
      </c>
      <c r="I21" s="340">
        <f>SUM(I19:I20)</f>
        <v>4545471</v>
      </c>
      <c r="K21" s="549" t="s">
        <v>64</v>
      </c>
      <c r="L21" s="550">
        <f>SUM(L19:L20)</f>
        <v>3027424</v>
      </c>
      <c r="M21" s="563"/>
      <c r="N21" s="549" t="s">
        <v>64</v>
      </c>
      <c r="O21" s="550">
        <f>SUM(O19:O20)</f>
        <v>0</v>
      </c>
      <c r="P21" s="563"/>
      <c r="Q21" s="549" t="s">
        <v>64</v>
      </c>
      <c r="R21" s="550">
        <f>SUM(R19:R20)</f>
        <v>3027424</v>
      </c>
      <c r="S21" s="563"/>
      <c r="T21" s="563"/>
    </row>
    <row r="22" spans="1:20" ht="26.4" x14ac:dyDescent="0.3">
      <c r="F22" s="443"/>
      <c r="G22" s="443"/>
      <c r="H22" s="340"/>
      <c r="I22" s="340"/>
      <c r="K22" s="484" t="s">
        <v>1439</v>
      </c>
      <c r="L22" s="483">
        <f>ROUND(L21*0.015,0)</f>
        <v>45411</v>
      </c>
      <c r="M22" s="563"/>
      <c r="N22" s="484" t="s">
        <v>1439</v>
      </c>
      <c r="O22" s="483">
        <f>ROUND(O21*0.015,0)</f>
        <v>0</v>
      </c>
      <c r="P22" s="563"/>
      <c r="Q22" s="484" t="s">
        <v>1439</v>
      </c>
      <c r="R22" s="550">
        <f>L22</f>
        <v>45411</v>
      </c>
      <c r="S22" s="563"/>
      <c r="T22" s="563"/>
    </row>
    <row r="23" spans="1:20" ht="26.4" x14ac:dyDescent="0.3">
      <c r="F23" s="443"/>
      <c r="G23" s="443"/>
      <c r="H23" s="340"/>
      <c r="I23" s="340"/>
      <c r="K23" s="152" t="s">
        <v>1440</v>
      </c>
      <c r="L23" s="182">
        <f>L21+L22</f>
        <v>3072835</v>
      </c>
      <c r="M23" s="590">
        <f>L23/H19</f>
        <v>0.71049982288575064</v>
      </c>
      <c r="N23" s="152" t="s">
        <v>1440</v>
      </c>
      <c r="O23" s="182">
        <f>O21+O22</f>
        <v>0</v>
      </c>
      <c r="P23" s="590">
        <f>O23/L19</f>
        <v>0</v>
      </c>
      <c r="Q23" s="152" t="s">
        <v>1440</v>
      </c>
      <c r="R23" s="182">
        <f>R21+R22</f>
        <v>3072835</v>
      </c>
      <c r="S23" s="590">
        <f>R23/H19</f>
        <v>0.71049982288575064</v>
      </c>
      <c r="T23" s="563"/>
    </row>
    <row r="24" spans="1:20" x14ac:dyDescent="0.3">
      <c r="F24" s="442" t="s">
        <v>66</v>
      </c>
      <c r="G24" s="442"/>
      <c r="H24" s="181">
        <f>+H21*19%</f>
        <v>821729.48</v>
      </c>
      <c r="I24" s="181">
        <f>+I21*19%</f>
        <v>863639.49</v>
      </c>
      <c r="K24" s="551" t="s">
        <v>66</v>
      </c>
      <c r="L24" s="483">
        <f>ROUND(L23*0.19,0)</f>
        <v>583839</v>
      </c>
      <c r="M24" s="563"/>
      <c r="N24" s="551" t="s">
        <v>66</v>
      </c>
      <c r="O24" s="483">
        <f>ROUND(O23*0.19,0)</f>
        <v>0</v>
      </c>
      <c r="P24" s="563"/>
      <c r="Q24" s="551" t="s">
        <v>66</v>
      </c>
      <c r="R24" s="483">
        <f>ROUND(R23*0.19,0)</f>
        <v>583839</v>
      </c>
      <c r="S24" s="563"/>
      <c r="T24" s="563"/>
    </row>
    <row r="25" spans="1:20" x14ac:dyDescent="0.3">
      <c r="F25" s="441" t="s">
        <v>69</v>
      </c>
      <c r="G25" s="441"/>
      <c r="H25" s="181">
        <f>+H21+H24</f>
        <v>5146621.4800000004</v>
      </c>
      <c r="I25" s="181">
        <f>+I21+I24</f>
        <v>5409110.4900000002</v>
      </c>
      <c r="K25" s="552" t="s">
        <v>69</v>
      </c>
      <c r="L25" s="481">
        <f>L23+L24</f>
        <v>3656674</v>
      </c>
      <c r="M25" s="563"/>
      <c r="N25" s="552" t="s">
        <v>69</v>
      </c>
      <c r="O25" s="481">
        <f>O23+O24</f>
        <v>0</v>
      </c>
      <c r="P25" s="563"/>
      <c r="Q25" s="552" t="s">
        <v>69</v>
      </c>
      <c r="R25" s="481">
        <f>R23+R24</f>
        <v>3656674</v>
      </c>
      <c r="S25" s="563"/>
      <c r="T25" s="563"/>
    </row>
    <row r="26" spans="1:20" x14ac:dyDescent="0.3">
      <c r="Q26" s="563"/>
      <c r="R26" s="563"/>
      <c r="S26" s="563"/>
      <c r="T26" s="563"/>
    </row>
    <row r="28" spans="1:20" s="189" customFormat="1"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20" s="189" customFormat="1" x14ac:dyDescent="0.3">
      <c r="A29" s="183"/>
      <c r="B29" s="184"/>
      <c r="C29" s="184"/>
      <c r="D29" s="185"/>
      <c r="G29" s="852"/>
      <c r="I29" s="852"/>
      <c r="K29" s="69" t="s">
        <v>72</v>
      </c>
      <c r="L29" s="70">
        <f>$L$23</f>
        <v>3072835</v>
      </c>
      <c r="M29" s="360">
        <f>$M$23</f>
        <v>0.71049982288575064</v>
      </c>
      <c r="N29" s="69" t="s">
        <v>72</v>
      </c>
      <c r="O29" s="70">
        <f>$L$23</f>
        <v>3072835</v>
      </c>
      <c r="P29" s="360">
        <f>$M$23</f>
        <v>0.71049982288575064</v>
      </c>
      <c r="Q29" s="437"/>
      <c r="R29" s="437"/>
      <c r="S29" s="437"/>
    </row>
    <row r="30" spans="1:20" s="852" customFormat="1" x14ac:dyDescent="0.3">
      <c r="A30" s="183"/>
      <c r="B30" s="184"/>
      <c r="C30" s="184"/>
      <c r="D30" s="185"/>
      <c r="K30" s="69"/>
      <c r="L30" s="70"/>
      <c r="M30" s="360"/>
      <c r="N30" s="69" t="s">
        <v>73</v>
      </c>
      <c r="O30" s="70">
        <f>+O23</f>
        <v>0</v>
      </c>
      <c r="P30" s="360">
        <f>+P23</f>
        <v>0</v>
      </c>
      <c r="Q30" s="437"/>
      <c r="R30" s="437"/>
      <c r="S30" s="437"/>
    </row>
    <row r="31" spans="1:20" s="189" customFormat="1" x14ac:dyDescent="0.3">
      <c r="A31" s="183"/>
      <c r="B31" s="184"/>
      <c r="C31" s="184"/>
      <c r="D31" s="185"/>
      <c r="G31" s="852"/>
      <c r="I31" s="852"/>
      <c r="K31" s="72" t="s">
        <v>1</v>
      </c>
      <c r="L31" s="105">
        <f>SUM(L29:L29)</f>
        <v>3072835</v>
      </c>
      <c r="M31" s="361">
        <f>SUM(M29:M29)</f>
        <v>0.71049982288575064</v>
      </c>
      <c r="N31" s="72" t="s">
        <v>1</v>
      </c>
      <c r="O31" s="105">
        <f>SUM(O29:O30)</f>
        <v>3072835</v>
      </c>
      <c r="P31" s="361">
        <f>SUM(P29:P30)</f>
        <v>0.71049982288575064</v>
      </c>
      <c r="Q31" s="437"/>
      <c r="R31" s="437"/>
      <c r="S31" s="437"/>
    </row>
    <row r="32" spans="1:20" s="189" customFormat="1" x14ac:dyDescent="0.3">
      <c r="A32" s="183"/>
      <c r="B32" s="184"/>
      <c r="C32" s="184"/>
      <c r="D32" s="185"/>
      <c r="G32" s="852"/>
      <c r="I32" s="852"/>
      <c r="K32" s="72" t="s">
        <v>9</v>
      </c>
      <c r="L32" s="1423"/>
      <c r="M32" s="1424"/>
      <c r="N32" s="72" t="s">
        <v>9</v>
      </c>
      <c r="O32" s="1423"/>
      <c r="P32" s="1424"/>
      <c r="Q32" s="437"/>
      <c r="R32" s="437"/>
      <c r="S32" s="437"/>
    </row>
    <row r="33" spans="1:19" s="189" customFormat="1" x14ac:dyDescent="0.3">
      <c r="A33" s="183"/>
      <c r="B33" s="184"/>
      <c r="C33" s="184"/>
      <c r="D33" s="185"/>
      <c r="G33" s="852"/>
      <c r="I33" s="852"/>
      <c r="K33" s="440" t="s">
        <v>78</v>
      </c>
      <c r="L33" s="1423" t="s">
        <v>396</v>
      </c>
      <c r="M33" s="1424"/>
      <c r="N33" s="440" t="s">
        <v>78</v>
      </c>
      <c r="O33" s="1423" t="s">
        <v>396</v>
      </c>
      <c r="P33" s="1424"/>
      <c r="Q33" s="437"/>
      <c r="R33" s="437"/>
      <c r="S33" s="437"/>
    </row>
    <row r="34" spans="1:19" s="189" customFormat="1" x14ac:dyDescent="0.3">
      <c r="A34" s="183"/>
      <c r="B34" s="184"/>
      <c r="C34" s="184"/>
      <c r="D34" s="185"/>
      <c r="G34" s="852"/>
      <c r="I34" s="852"/>
      <c r="K34" s="439" t="s">
        <v>8</v>
      </c>
      <c r="L34" s="1425" t="s">
        <v>397</v>
      </c>
      <c r="M34" s="1426"/>
      <c r="N34" s="439" t="s">
        <v>8</v>
      </c>
      <c r="O34" s="1425" t="s">
        <v>397</v>
      </c>
      <c r="P34" s="1426"/>
      <c r="Q34" s="437"/>
      <c r="R34" s="437"/>
      <c r="S34" s="437"/>
    </row>
    <row r="35" spans="1:19" s="189" customFormat="1" x14ac:dyDescent="0.3">
      <c r="A35" s="183"/>
      <c r="B35" s="184"/>
      <c r="C35" s="184"/>
      <c r="D35" s="185" t="s">
        <v>75</v>
      </c>
      <c r="G35" s="852"/>
      <c r="I35" s="852"/>
      <c r="N35" s="852"/>
      <c r="O35" s="852"/>
      <c r="P35" s="852"/>
    </row>
    <row r="36" spans="1:19" s="189" customFormat="1" x14ac:dyDescent="0.3">
      <c r="A36" s="183" t="s">
        <v>76</v>
      </c>
      <c r="B36" s="180"/>
      <c r="C36" s="180"/>
      <c r="D36" s="185" t="s">
        <v>77</v>
      </c>
      <c r="G36" s="852"/>
      <c r="I36" s="852"/>
      <c r="N36" s="852"/>
      <c r="O36" s="852"/>
      <c r="P36" s="852"/>
    </row>
    <row r="37" spans="1:19" s="189" customFormat="1" ht="26.4" x14ac:dyDescent="0.3">
      <c r="A37" s="183" t="s">
        <v>79</v>
      </c>
      <c r="B37" s="180"/>
      <c r="C37" s="180"/>
      <c r="D37" s="185" t="s">
        <v>80</v>
      </c>
      <c r="G37" s="852"/>
      <c r="I37" s="852"/>
      <c r="N37" s="852"/>
      <c r="O37" s="852"/>
      <c r="P37" s="852"/>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2:P32"/>
    <mergeCell ref="O33:P33"/>
    <mergeCell ref="O34:P34"/>
    <mergeCell ref="Q11:S12"/>
    <mergeCell ref="B12:J12"/>
    <mergeCell ref="N11:P12"/>
    <mergeCell ref="L32:M32"/>
    <mergeCell ref="L33:M33"/>
    <mergeCell ref="L34:M34"/>
  </mergeCells>
  <pageMargins left="0.7" right="0.7" top="0.75" bottom="0.75" header="0.3" footer="0.3"/>
  <pageSetup scale="48" orientation="landscape" r:id="rId1"/>
  <drawing r:id="rId2"/>
  <legacyDrawingHF r:id="rId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4">
    <tabColor theme="1"/>
  </sheetPr>
  <dimension ref="A1:G49"/>
  <sheetViews>
    <sheetView topLeftCell="A4" zoomScaleNormal="100" workbookViewId="0">
      <selection activeCell="F30" sqref="F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RESUMEN!G75</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RESUMEN!B75</f>
        <v>D00249388</v>
      </c>
      <c r="C7" s="1265"/>
      <c r="D7" s="1177"/>
      <c r="E7" s="1266" t="s">
        <v>627</v>
      </c>
      <c r="F7" s="1267"/>
      <c r="G7" s="280" t="str">
        <f>RESUMEN!E75</f>
        <v>17-308</v>
      </c>
    </row>
    <row r="8" spans="1:7" x14ac:dyDescent="0.25">
      <c r="A8" s="271" t="s">
        <v>628</v>
      </c>
      <c r="B8" s="1264" t="str">
        <f>RESUMEN!C75</f>
        <v>D00249388000</v>
      </c>
      <c r="C8" s="1265"/>
      <c r="D8" s="1177"/>
      <c r="E8" s="1266" t="s">
        <v>629</v>
      </c>
      <c r="F8" s="1267"/>
      <c r="G8" s="280" t="str">
        <f>RESUMEN!U75</f>
        <v>Acta N° 2: Marzo</v>
      </c>
    </row>
    <row r="9" spans="1:7" x14ac:dyDescent="0.25">
      <c r="A9" s="271" t="s">
        <v>630</v>
      </c>
      <c r="B9" s="1283" t="s">
        <v>631</v>
      </c>
      <c r="C9" s="1265"/>
      <c r="D9" s="1177"/>
      <c r="E9" s="1266" t="s">
        <v>632</v>
      </c>
      <c r="F9" s="1267"/>
      <c r="G9" s="1178">
        <f>RESUMEN!H75</f>
        <v>4324892</v>
      </c>
    </row>
    <row r="10" spans="1:7" x14ac:dyDescent="0.25">
      <c r="A10" s="271" t="s">
        <v>633</v>
      </c>
      <c r="B10" s="1283" t="str">
        <f>RESUMEN!D75</f>
        <v>TORIBA</v>
      </c>
      <c r="C10" s="1265"/>
      <c r="D10" s="1177"/>
      <c r="E10" s="1266" t="s">
        <v>634</v>
      </c>
      <c r="F10" s="1267"/>
      <c r="G10" s="1178">
        <f>RESUMEN!R75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",RESUMEN!G75)</f>
        <v>A los 14 días del mes de Marzo se reunieron en las instalaciones de CODENSA S.A. E.S.P., los ingenieros Ing. Óscar González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RESUMEN!N75</f>
        <v>0</v>
      </c>
      <c r="F19" s="1248"/>
      <c r="G19" s="1177"/>
    </row>
    <row r="20" spans="1:7" ht="27" customHeight="1" x14ac:dyDescent="0.25">
      <c r="A20" s="1177"/>
      <c r="B20" s="1244" t="s">
        <v>1498</v>
      </c>
      <c r="C20" s="1245"/>
      <c r="D20" s="1246"/>
      <c r="E20" s="1247">
        <f>RESUMEN!P75</f>
        <v>0</v>
      </c>
      <c r="F20" s="1248"/>
      <c r="G20" s="1177"/>
    </row>
    <row r="21" spans="1:7" ht="27" customHeight="1" x14ac:dyDescent="0.25">
      <c r="A21" s="1177"/>
      <c r="B21" s="1244" t="s">
        <v>1499</v>
      </c>
      <c r="C21" s="1245"/>
      <c r="D21" s="1246"/>
      <c r="E21" s="1247">
        <f>RESUMEN!Q75</f>
        <v>0</v>
      </c>
      <c r="F21" s="1248"/>
      <c r="G21" s="1177"/>
    </row>
    <row r="22" spans="1:7" x14ac:dyDescent="0.25">
      <c r="A22" s="1177"/>
      <c r="B22" s="1254" t="s">
        <v>64</v>
      </c>
      <c r="C22" s="1254"/>
      <c r="D22" s="1254"/>
      <c r="E22" s="1255">
        <f>RESUMEN!R75</f>
        <v>0</v>
      </c>
      <c r="F22" s="1255"/>
      <c r="G22" s="1177"/>
    </row>
    <row r="23" spans="1:7" x14ac:dyDescent="0.25">
      <c r="A23" s="1177"/>
      <c r="B23" s="1256" t="s">
        <v>66</v>
      </c>
      <c r="C23" s="1256"/>
      <c r="D23" s="1256"/>
      <c r="E23" s="1257">
        <f>RESUMEN!S75</f>
        <v>0</v>
      </c>
      <c r="F23" s="1257"/>
      <c r="G23" s="1177"/>
    </row>
    <row r="24" spans="1:7" x14ac:dyDescent="0.25">
      <c r="A24" s="1177"/>
      <c r="B24" s="1258" t="s">
        <v>1</v>
      </c>
      <c r="C24" s="1258"/>
      <c r="D24" s="1258"/>
      <c r="E24" s="1259">
        <f>RESUMEN!T75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+'OT17-308 TORIBA'!N29</f>
        <v>ACTA 1</v>
      </c>
      <c r="C28" s="1253">
        <f>+'OT17-308 TORIBA'!O29</f>
        <v>1892267</v>
      </c>
      <c r="D28" s="1253"/>
      <c r="E28" s="267">
        <f>+'OT17-308 TORIBA'!P29</f>
        <v>0.4162972330040165</v>
      </c>
      <c r="F28" s="1177"/>
      <c r="G28" s="1177"/>
    </row>
    <row r="29" spans="1:7" x14ac:dyDescent="0.25">
      <c r="A29" s="1177"/>
      <c r="B29" s="280" t="str">
        <f>+'OT17-308 TORIBA'!N30</f>
        <v xml:space="preserve">ACTA 2 </v>
      </c>
      <c r="C29" s="1253">
        <f>+'OT17-308 TORIBA'!O30</f>
        <v>0</v>
      </c>
      <c r="D29" s="1253"/>
      <c r="E29" s="267">
        <f>+'OT17-308 TORIBA'!P30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1892267</v>
      </c>
      <c r="D34" s="1251"/>
      <c r="E34" s="264">
        <f>SUM(E28:E33)</f>
        <v>0.4162972330040165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RESUMEN!V75</f>
        <v>Ing. Óscar González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5">
    <tabColor rgb="FF72104A"/>
  </sheetPr>
  <dimension ref="A1:S37"/>
  <sheetViews>
    <sheetView topLeftCell="D5" zoomScale="60" zoomScaleNormal="60" workbookViewId="0">
      <selection activeCell="J29" sqref="J29"/>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6640625" style="437" bestFit="1" customWidth="1"/>
    <col min="9" max="9" width="16.6640625" style="437" customWidth="1"/>
    <col min="10" max="10" width="71.33203125" style="437" customWidth="1"/>
    <col min="11" max="11" width="17.88671875" style="437" bestFit="1" customWidth="1"/>
    <col min="12" max="12" width="18" style="437" bestFit="1" customWidth="1"/>
    <col min="13" max="13" width="9.109375" style="437"/>
    <col min="14" max="14" width="16.88671875" style="437" customWidth="1"/>
    <col min="15" max="15" width="20" style="437" customWidth="1"/>
    <col min="16" max="16" width="15" style="437" customWidth="1"/>
    <col min="17" max="18" width="20.6640625" style="437"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1052"/>
      <c r="O1" s="1052"/>
      <c r="P1" s="1052"/>
      <c r="Q1" s="1328" t="s">
        <v>163</v>
      </c>
      <c r="R1" s="1303"/>
      <c r="S1" s="1304"/>
    </row>
    <row r="2" spans="1:19" ht="13.5" customHeight="1"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1349</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ROUND(K14*G14,0)</f>
        <v>107598</v>
      </c>
      <c r="M14" s="430">
        <f>L14/H14</f>
        <v>0.73570275962038123</v>
      </c>
      <c r="N14" s="452">
        <v>0</v>
      </c>
      <c r="O14" s="425">
        <f>ROUND(N14*G14,0)</f>
        <v>0</v>
      </c>
      <c r="P14" s="426">
        <f>O14/I14</f>
        <v>0</v>
      </c>
      <c r="Q14" s="450">
        <f>K14+N14</f>
        <v>0.24499999999999997</v>
      </c>
      <c r="R14" s="175">
        <f>L14+O14</f>
        <v>107598</v>
      </c>
      <c r="S14" s="176">
        <f>R14/H14</f>
        <v>0.73570275962038123</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ROUND(K15*G15,0)</f>
        <v>0</v>
      </c>
      <c r="M15" s="426">
        <v>0</v>
      </c>
      <c r="N15" s="452">
        <v>0</v>
      </c>
      <c r="O15" s="425">
        <f>ROUND(N15*G15,0)</f>
        <v>0</v>
      </c>
      <c r="P15" s="426">
        <v>0</v>
      </c>
      <c r="Q15" s="450">
        <f t="shared" ref="Q15:Q17" si="0">K15+N15</f>
        <v>0</v>
      </c>
      <c r="R15" s="175">
        <f t="shared" ref="R15:R18" si="1">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107598</v>
      </c>
      <c r="M16" s="431">
        <f>L16/$H$16</f>
        <v>0.73570275962038123</v>
      </c>
      <c r="N16" s="431"/>
      <c r="O16" s="179">
        <f>SUM(O14:O15)</f>
        <v>0</v>
      </c>
      <c r="P16" s="1091">
        <f t="shared" ref="P16:P17" si="2">O16/I16</f>
        <v>0</v>
      </c>
      <c r="Q16" s="1089"/>
      <c r="R16" s="1078">
        <f t="shared" si="1"/>
        <v>107598</v>
      </c>
      <c r="S16" s="431">
        <f>R16/H16</f>
        <v>0.73570275962038123</v>
      </c>
    </row>
    <row r="17" spans="1:19" ht="118.5"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v>24</v>
      </c>
      <c r="L17" s="429">
        <f>ROUND(K17*G17,0)</f>
        <v>1756704</v>
      </c>
      <c r="M17" s="430">
        <f>L17/H17</f>
        <v>0.42040089598529667</v>
      </c>
      <c r="N17" s="452">
        <v>0</v>
      </c>
      <c r="O17" s="425">
        <f>ROUND(N17*G17,0)</f>
        <v>0</v>
      </c>
      <c r="P17" s="426">
        <f t="shared" si="2"/>
        <v>0</v>
      </c>
      <c r="Q17" s="450">
        <f t="shared" si="0"/>
        <v>24</v>
      </c>
      <c r="R17" s="175">
        <f t="shared" si="1"/>
        <v>1756704</v>
      </c>
      <c r="S17" s="176">
        <f>R17/H17</f>
        <v>0.42040089598529667</v>
      </c>
    </row>
    <row r="18" spans="1:19" x14ac:dyDescent="0.3">
      <c r="A18" s="1441"/>
      <c r="B18" s="1441"/>
      <c r="C18" s="459"/>
      <c r="D18" s="459" t="s">
        <v>162</v>
      </c>
      <c r="E18" s="458"/>
      <c r="F18" s="458"/>
      <c r="G18" s="458"/>
      <c r="H18" s="457">
        <f>H17</f>
        <v>4178640</v>
      </c>
      <c r="I18" s="457">
        <f>SUM(I17)</f>
        <v>4391760</v>
      </c>
      <c r="J18" s="1442"/>
      <c r="K18" s="431"/>
      <c r="L18" s="179">
        <f>L17</f>
        <v>1756704</v>
      </c>
      <c r="M18" s="431">
        <f>L18/$H$18</f>
        <v>0.42040089598529667</v>
      </c>
      <c r="N18" s="431"/>
      <c r="O18" s="179">
        <f>O17</f>
        <v>0</v>
      </c>
      <c r="P18" s="431">
        <f>O18/$H$18</f>
        <v>0</v>
      </c>
      <c r="Q18" s="446"/>
      <c r="R18" s="1078">
        <f t="shared" si="1"/>
        <v>1756704</v>
      </c>
      <c r="S18" s="431">
        <f>R18/H18</f>
        <v>0.42040089598529667</v>
      </c>
    </row>
    <row r="19" spans="1:19" x14ac:dyDescent="0.3">
      <c r="F19" s="445" t="s">
        <v>64</v>
      </c>
      <c r="G19" s="445"/>
      <c r="H19" s="181">
        <f>SUM(H7:H18)/2</f>
        <v>4324892</v>
      </c>
      <c r="I19" s="181">
        <f>SUM(I7:I18)/2</f>
        <v>4545471</v>
      </c>
      <c r="K19" s="547" t="s">
        <v>64</v>
      </c>
      <c r="L19" s="481">
        <f>SUM(L7:L18)/2</f>
        <v>1864302</v>
      </c>
      <c r="N19" s="547" t="s">
        <v>64</v>
      </c>
      <c r="O19" s="481">
        <f>SUM(O7:O18)/2</f>
        <v>0</v>
      </c>
      <c r="Q19" s="547" t="s">
        <v>64</v>
      </c>
      <c r="R19" s="481">
        <f>SUM(R7:R18)/2</f>
        <v>1864302</v>
      </c>
    </row>
    <row r="20" spans="1:19" x14ac:dyDescent="0.3">
      <c r="F20" s="444" t="s">
        <v>65</v>
      </c>
      <c r="G20" s="444"/>
      <c r="H20" s="181">
        <v>0</v>
      </c>
      <c r="I20" s="181">
        <v>0</v>
      </c>
      <c r="K20" s="548" t="s">
        <v>65</v>
      </c>
      <c r="L20" s="481">
        <v>0</v>
      </c>
      <c r="N20" s="548" t="s">
        <v>65</v>
      </c>
      <c r="O20" s="481">
        <v>0</v>
      </c>
      <c r="Q20" s="548" t="s">
        <v>65</v>
      </c>
      <c r="R20" s="481">
        <v>0</v>
      </c>
    </row>
    <row r="21" spans="1:19" x14ac:dyDescent="0.3">
      <c r="F21" s="443" t="s">
        <v>64</v>
      </c>
      <c r="G21" s="443"/>
      <c r="H21" s="340">
        <f>SUM(H19:H20)</f>
        <v>4324892</v>
      </c>
      <c r="I21" s="340">
        <f>SUM(I19:I20)</f>
        <v>4545471</v>
      </c>
      <c r="K21" s="549" t="s">
        <v>64</v>
      </c>
      <c r="L21" s="550">
        <f>SUM(L19:L20)</f>
        <v>1864302</v>
      </c>
      <c r="N21" s="549" t="s">
        <v>64</v>
      </c>
      <c r="O21" s="550">
        <f>SUM(O19:O20)</f>
        <v>0</v>
      </c>
      <c r="Q21" s="549" t="s">
        <v>64</v>
      </c>
      <c r="R21" s="550">
        <f>SUM(R19:R20)</f>
        <v>1864302</v>
      </c>
    </row>
    <row r="22" spans="1:19" ht="26.4" x14ac:dyDescent="0.3">
      <c r="F22" s="443"/>
      <c r="G22" s="443"/>
      <c r="H22" s="340"/>
      <c r="I22" s="340"/>
      <c r="K22" s="484" t="s">
        <v>1439</v>
      </c>
      <c r="L22" s="483">
        <f>ROUND(L21*0.015,0)</f>
        <v>27965</v>
      </c>
      <c r="N22" s="484" t="s">
        <v>1439</v>
      </c>
      <c r="O22" s="483">
        <f>ROUND(O21*0.015,0)</f>
        <v>0</v>
      </c>
      <c r="Q22" s="484" t="s">
        <v>1439</v>
      </c>
      <c r="R22" s="550">
        <f>L22+O22</f>
        <v>27965</v>
      </c>
    </row>
    <row r="23" spans="1:19" ht="26.4" x14ac:dyDescent="0.3">
      <c r="F23" s="443"/>
      <c r="G23" s="443"/>
      <c r="H23" s="340"/>
      <c r="I23" s="340"/>
      <c r="K23" s="152" t="s">
        <v>1440</v>
      </c>
      <c r="L23" s="182">
        <f>L21+L22</f>
        <v>1892267</v>
      </c>
      <c r="M23" s="463">
        <f>L23/$I$21</f>
        <v>0.4162972330040165</v>
      </c>
      <c r="N23" s="152" t="s">
        <v>1440</v>
      </c>
      <c r="O23" s="182">
        <f>O21+O22</f>
        <v>0</v>
      </c>
      <c r="P23" s="463">
        <f>O23/$I$21</f>
        <v>0</v>
      </c>
      <c r="Q23" s="152" t="s">
        <v>1440</v>
      </c>
      <c r="R23" s="182">
        <f>R21+R22</f>
        <v>1892267</v>
      </c>
      <c r="S23" s="463">
        <f>R23/I21</f>
        <v>0.4162972330040165</v>
      </c>
    </row>
    <row r="24" spans="1:19" x14ac:dyDescent="0.3">
      <c r="F24" s="442" t="s">
        <v>66</v>
      </c>
      <c r="G24" s="442"/>
      <c r="H24" s="181">
        <f>+H21*19%</f>
        <v>821729.48</v>
      </c>
      <c r="I24" s="181">
        <f>+I21*19%</f>
        <v>863639.49</v>
      </c>
      <c r="K24" s="551" t="s">
        <v>66</v>
      </c>
      <c r="L24" s="483">
        <f>ROUND(L23*0.19,0)</f>
        <v>359531</v>
      </c>
      <c r="N24" s="551" t="s">
        <v>66</v>
      </c>
      <c r="O24" s="483">
        <f>ROUND(O23*0.19,0)</f>
        <v>0</v>
      </c>
      <c r="Q24" s="551" t="s">
        <v>66</v>
      </c>
      <c r="R24" s="483">
        <f>ROUND(R23*0.19,0)</f>
        <v>359531</v>
      </c>
    </row>
    <row r="25" spans="1:19" x14ac:dyDescent="0.3">
      <c r="F25" s="441" t="s">
        <v>69</v>
      </c>
      <c r="G25" s="441"/>
      <c r="H25" s="181">
        <f>+H21+H24</f>
        <v>5146621.4800000004</v>
      </c>
      <c r="I25" s="181">
        <f>+I21+I24</f>
        <v>5409110.4900000002</v>
      </c>
      <c r="K25" s="552" t="s">
        <v>69</v>
      </c>
      <c r="L25" s="481">
        <f>L23+L24</f>
        <v>2251798</v>
      </c>
      <c r="N25" s="552" t="s">
        <v>69</v>
      </c>
      <c r="O25" s="481">
        <f>O23+O24</f>
        <v>0</v>
      </c>
      <c r="Q25" s="552" t="s">
        <v>69</v>
      </c>
      <c r="R25" s="481">
        <f>R23+R24</f>
        <v>2251798</v>
      </c>
    </row>
    <row r="28" spans="1:19" s="189" customFormat="1"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19" s="189" customFormat="1" x14ac:dyDescent="0.3">
      <c r="A29" s="183"/>
      <c r="B29" s="184"/>
      <c r="C29" s="184"/>
      <c r="D29" s="185"/>
      <c r="G29" s="852"/>
      <c r="I29" s="852"/>
      <c r="K29" s="69" t="s">
        <v>72</v>
      </c>
      <c r="L29" s="70">
        <f>$L$23</f>
        <v>1892267</v>
      </c>
      <c r="M29" s="71">
        <f>$M$23</f>
        <v>0.4162972330040165</v>
      </c>
      <c r="N29" s="69" t="s">
        <v>72</v>
      </c>
      <c r="O29" s="70">
        <f>$L$23</f>
        <v>1892267</v>
      </c>
      <c r="P29" s="71">
        <f>$M$23</f>
        <v>0.4162972330040165</v>
      </c>
      <c r="Q29" s="437"/>
      <c r="R29" s="437"/>
      <c r="S29" s="437"/>
    </row>
    <row r="30" spans="1:19" s="189" customFormat="1" x14ac:dyDescent="0.3">
      <c r="A30" s="183"/>
      <c r="B30" s="184"/>
      <c r="C30" s="184"/>
      <c r="D30" s="185"/>
      <c r="G30" s="852"/>
      <c r="I30" s="852"/>
      <c r="K30" s="72" t="s">
        <v>1</v>
      </c>
      <c r="L30" s="105">
        <f>SUM(L29:L29)</f>
        <v>1892267</v>
      </c>
      <c r="M30" s="73">
        <f>SUM(M29:M29)</f>
        <v>0.4162972330040165</v>
      </c>
      <c r="N30" s="69" t="s">
        <v>2339</v>
      </c>
      <c r="O30" s="70">
        <f>$O$23</f>
        <v>0</v>
      </c>
      <c r="P30" s="71">
        <f>$P$23</f>
        <v>0</v>
      </c>
      <c r="Q30" s="437"/>
      <c r="R30" s="437"/>
      <c r="S30" s="437"/>
    </row>
    <row r="31" spans="1:19" s="189" customFormat="1" x14ac:dyDescent="0.3">
      <c r="A31" s="183"/>
      <c r="B31" s="184"/>
      <c r="C31" s="184"/>
      <c r="D31" s="185"/>
      <c r="G31" s="852"/>
      <c r="I31" s="852"/>
      <c r="K31" s="72" t="s">
        <v>9</v>
      </c>
      <c r="L31" s="1423"/>
      <c r="M31" s="1424"/>
      <c r="N31" s="72" t="s">
        <v>1</v>
      </c>
      <c r="O31" s="105">
        <f>SUM(O29:O30)</f>
        <v>1892267</v>
      </c>
      <c r="P31" s="73">
        <f>SUM(P29:P30)</f>
        <v>0.4162972330040165</v>
      </c>
      <c r="Q31" s="437"/>
      <c r="R31" s="437"/>
      <c r="S31" s="437"/>
    </row>
    <row r="32" spans="1:19" s="189" customFormat="1" x14ac:dyDescent="0.3">
      <c r="A32" s="183"/>
      <c r="B32" s="184"/>
      <c r="C32" s="184"/>
      <c r="D32" s="185"/>
      <c r="G32" s="852"/>
      <c r="I32" s="852"/>
      <c r="K32" s="440" t="s">
        <v>78</v>
      </c>
      <c r="L32" s="1423" t="s">
        <v>1984</v>
      </c>
      <c r="M32" s="1424"/>
      <c r="N32" s="72" t="s">
        <v>9</v>
      </c>
      <c r="O32" s="1423"/>
      <c r="P32" s="1424"/>
      <c r="Q32" s="437"/>
      <c r="R32" s="437"/>
      <c r="S32" s="437"/>
    </row>
    <row r="33" spans="1:19" s="189" customFormat="1" x14ac:dyDescent="0.3">
      <c r="A33" s="183"/>
      <c r="B33" s="184"/>
      <c r="C33" s="184"/>
      <c r="D33" s="185"/>
      <c r="G33" s="852"/>
      <c r="I33" s="852"/>
      <c r="K33" s="439" t="s">
        <v>8</v>
      </c>
      <c r="L33" s="1423" t="s">
        <v>1985</v>
      </c>
      <c r="M33" s="1424"/>
      <c r="N33" s="440" t="s">
        <v>78</v>
      </c>
      <c r="O33" s="1423" t="s">
        <v>1984</v>
      </c>
      <c r="P33" s="1424"/>
      <c r="Q33" s="437"/>
      <c r="R33" s="437"/>
      <c r="S33" s="437"/>
    </row>
    <row r="34" spans="1:19" s="189" customFormat="1" x14ac:dyDescent="0.3">
      <c r="A34" s="183"/>
      <c r="B34" s="184"/>
      <c r="C34" s="184"/>
      <c r="D34" s="185" t="s">
        <v>75</v>
      </c>
      <c r="G34" s="852"/>
      <c r="I34" s="852"/>
      <c r="N34" s="439" t="s">
        <v>8</v>
      </c>
      <c r="O34" s="1423" t="s">
        <v>1985</v>
      </c>
      <c r="P34" s="1424"/>
    </row>
    <row r="35" spans="1:19" s="189" customFormat="1" x14ac:dyDescent="0.3">
      <c r="A35" s="183" t="s">
        <v>76</v>
      </c>
      <c r="B35" s="180"/>
      <c r="C35" s="180"/>
      <c r="D35" s="185" t="s">
        <v>77</v>
      </c>
      <c r="G35" s="852"/>
      <c r="I35" s="852"/>
      <c r="N35" s="1055"/>
      <c r="O35" s="1055"/>
      <c r="P35" s="1055"/>
    </row>
    <row r="36" spans="1:19" s="189" customFormat="1" ht="26.4" x14ac:dyDescent="0.3">
      <c r="A36" s="183" t="s">
        <v>79</v>
      </c>
      <c r="B36" s="180"/>
      <c r="C36" s="180"/>
      <c r="D36" s="185" t="s">
        <v>80</v>
      </c>
      <c r="G36" s="852"/>
      <c r="I36" s="852"/>
      <c r="N36" s="1055"/>
      <c r="O36" s="1055"/>
      <c r="P36" s="1055"/>
    </row>
    <row r="37" spans="1:19" x14ac:dyDescent="0.3">
      <c r="N37" s="1055"/>
      <c r="O37" s="1055"/>
      <c r="P37" s="1055"/>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2:P32"/>
    <mergeCell ref="O33:P33"/>
    <mergeCell ref="O34:P34"/>
    <mergeCell ref="Q11:S12"/>
    <mergeCell ref="B12:J12"/>
    <mergeCell ref="N11:P12"/>
    <mergeCell ref="L31:M31"/>
    <mergeCell ref="L32:M32"/>
    <mergeCell ref="L33:M33"/>
  </mergeCells>
  <pageMargins left="0.7" right="0.7" top="0.75" bottom="0.75" header="0.3" footer="0.3"/>
  <pageSetup scale="35" orientation="landscape" r:id="rId1"/>
  <drawing r:id="rId2"/>
  <legacyDrawingHF r:id="rId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6">
    <tabColor theme="1"/>
  </sheetPr>
  <dimension ref="A1:G49"/>
  <sheetViews>
    <sheetView topLeftCell="A10" zoomScaleNormal="100" workbookViewId="0">
      <selection activeCell="F28" sqref="F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RESUMEN!G76</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RESUMEN!B76</f>
        <v>D00249388</v>
      </c>
      <c r="C7" s="1265"/>
      <c r="D7" s="1177"/>
      <c r="E7" s="1266" t="s">
        <v>627</v>
      </c>
      <c r="F7" s="1267"/>
      <c r="G7" s="280" t="str">
        <f>RESUMEN!E76</f>
        <v xml:space="preserve">17-309 </v>
      </c>
    </row>
    <row r="8" spans="1:7" x14ac:dyDescent="0.25">
      <c r="A8" s="271" t="s">
        <v>628</v>
      </c>
      <c r="B8" s="1264" t="str">
        <f>RESUMEN!C76</f>
        <v>D00249388000</v>
      </c>
      <c r="C8" s="1265"/>
      <c r="D8" s="1177"/>
      <c r="E8" s="1266" t="s">
        <v>629</v>
      </c>
      <c r="F8" s="1267"/>
      <c r="G8" s="280" t="str">
        <f>RESUMEN!U76</f>
        <v>Acta N° 2: Marzo</v>
      </c>
    </row>
    <row r="9" spans="1:7" x14ac:dyDescent="0.25">
      <c r="A9" s="271" t="s">
        <v>630</v>
      </c>
      <c r="B9" s="1283" t="s">
        <v>631</v>
      </c>
      <c r="C9" s="1265"/>
      <c r="D9" s="1177"/>
      <c r="E9" s="1266" t="s">
        <v>632</v>
      </c>
      <c r="F9" s="1267"/>
      <c r="G9" s="1178">
        <f>RESUMEN!H76</f>
        <v>4324892</v>
      </c>
    </row>
    <row r="10" spans="1:7" x14ac:dyDescent="0.25">
      <c r="A10" s="271" t="s">
        <v>633</v>
      </c>
      <c r="B10" s="1283" t="str">
        <f>RESUMEN!D76</f>
        <v>PTO SALGAR</v>
      </c>
      <c r="C10" s="1265"/>
      <c r="D10" s="1177"/>
      <c r="E10" s="1266" t="s">
        <v>634</v>
      </c>
      <c r="F10" s="1267"/>
      <c r="G10" s="1178">
        <f>RESUMEN!R76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RESUMEN!N76</f>
        <v>0</v>
      </c>
      <c r="F19" s="1248"/>
      <c r="G19" s="1177"/>
    </row>
    <row r="20" spans="1:7" ht="27" customHeight="1" x14ac:dyDescent="0.25">
      <c r="A20" s="1177"/>
      <c r="B20" s="1244" t="s">
        <v>1498</v>
      </c>
      <c r="C20" s="1245"/>
      <c r="D20" s="1246"/>
      <c r="E20" s="1247">
        <f>RESUMEN!P76</f>
        <v>0</v>
      </c>
      <c r="F20" s="1248"/>
      <c r="G20" s="1177"/>
    </row>
    <row r="21" spans="1:7" ht="27" customHeight="1" x14ac:dyDescent="0.25">
      <c r="A21" s="1177"/>
      <c r="B21" s="1244" t="s">
        <v>1499</v>
      </c>
      <c r="C21" s="1245"/>
      <c r="D21" s="1246"/>
      <c r="E21" s="1247">
        <f>RESUMEN!Q76</f>
        <v>0</v>
      </c>
      <c r="F21" s="1248"/>
      <c r="G21" s="1177"/>
    </row>
    <row r="22" spans="1:7" x14ac:dyDescent="0.25">
      <c r="A22" s="1177"/>
      <c r="B22" s="1254" t="s">
        <v>64</v>
      </c>
      <c r="C22" s="1254"/>
      <c r="D22" s="1254"/>
      <c r="E22" s="1255">
        <f>RESUMEN!R76</f>
        <v>0</v>
      </c>
      <c r="F22" s="1255"/>
      <c r="G22" s="1177"/>
    </row>
    <row r="23" spans="1:7" x14ac:dyDescent="0.25">
      <c r="A23" s="1177"/>
      <c r="B23" s="1256" t="s">
        <v>66</v>
      </c>
      <c r="C23" s="1256"/>
      <c r="D23" s="1256"/>
      <c r="E23" s="1257">
        <f>RESUMEN!S76</f>
        <v>0</v>
      </c>
      <c r="F23" s="1257"/>
      <c r="G23" s="1177"/>
    </row>
    <row r="24" spans="1:7" x14ac:dyDescent="0.25">
      <c r="A24" s="1177"/>
      <c r="B24" s="1258" t="s">
        <v>1</v>
      </c>
      <c r="C24" s="1258"/>
      <c r="D24" s="1258"/>
      <c r="E24" s="1259">
        <f>RESUMEN!T76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+'OT17-309 PTO SALGAR'!N28</f>
        <v>ACTA 1</v>
      </c>
      <c r="C28" s="1253">
        <f>+'OT17-309 PTO SALGAR'!O28</f>
        <v>1272395</v>
      </c>
      <c r="D28" s="1253"/>
      <c r="E28" s="267">
        <f>+'OT17-309 PTO SALGAR'!P28</f>
        <v>0.29861578046341969</v>
      </c>
      <c r="F28" s="1177"/>
      <c r="G28" s="1177"/>
    </row>
    <row r="29" spans="1:7" x14ac:dyDescent="0.25">
      <c r="A29" s="1177"/>
      <c r="B29" s="280" t="str">
        <f>+'OT17-309 PTO SALGAR'!N29</f>
        <v>ACTA 2</v>
      </c>
      <c r="C29" s="1253">
        <f>+'OT17-309 PTO SALGAR'!O29</f>
        <v>0</v>
      </c>
      <c r="D29" s="1253"/>
      <c r="E29" s="267">
        <f>+'OT17-309 PTO SALGAR'!P29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1272395</v>
      </c>
      <c r="D34" s="1251"/>
      <c r="E34" s="264">
        <f>SUM(E28:E33)</f>
        <v>0.29861578046341969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8">
    <tabColor rgb="FF7B2307"/>
  </sheetPr>
  <dimension ref="A1:S36"/>
  <sheetViews>
    <sheetView zoomScale="55" zoomScaleNormal="55" workbookViewId="0">
      <selection activeCell="N11" sqref="N11:P12"/>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8" width="16" style="437" bestFit="1" customWidth="1"/>
    <col min="9" max="9" width="16" style="437" customWidth="1"/>
    <col min="10" max="10" width="59.8867187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6.88671875" style="437"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1351</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1980</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0.35*0.7</f>
        <v>0.24499999999999997</v>
      </c>
      <c r="L14" s="429">
        <f>ROUND(K14*$F$14,0)</f>
        <v>102376</v>
      </c>
      <c r="M14" s="430">
        <f>L14/$H$14</f>
        <v>0.69999726499466675</v>
      </c>
      <c r="N14" s="452">
        <v>0</v>
      </c>
      <c r="O14" s="425">
        <f>ROUND(N14*G14,0)</f>
        <v>0</v>
      </c>
      <c r="P14" s="426">
        <f>O14/I14</f>
        <v>0</v>
      </c>
      <c r="Q14" s="450">
        <f>K14+N14</f>
        <v>0.24499999999999997</v>
      </c>
      <c r="R14" s="175">
        <f>L14+O14</f>
        <v>102376</v>
      </c>
      <c r="S14" s="176">
        <f>R14/H14</f>
        <v>0.69999726499466675</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2">
        <v>0</v>
      </c>
      <c r="O15" s="425">
        <f>ROUND(N15*G15,0)</f>
        <v>0</v>
      </c>
      <c r="P15" s="426">
        <v>0</v>
      </c>
      <c r="Q15" s="450">
        <f>K15+N15</f>
        <v>0</v>
      </c>
      <c r="R15" s="175">
        <f t="shared" ref="R15:R18" si="0">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102376</v>
      </c>
      <c r="M16" s="431">
        <f>L16/$H$16</f>
        <v>0.69999726499466675</v>
      </c>
      <c r="N16" s="431"/>
      <c r="O16" s="179">
        <f>SUM(O14:O15)</f>
        <v>0</v>
      </c>
      <c r="P16" s="1091">
        <f t="shared" ref="P16:P18" si="1">O16/I16</f>
        <v>0</v>
      </c>
      <c r="Q16" s="1101"/>
      <c r="R16" s="1078">
        <f t="shared" si="0"/>
        <v>102376</v>
      </c>
      <c r="S16" s="1090">
        <f>R16/H16</f>
        <v>0.69999726499466675</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1350</v>
      </c>
      <c r="K17" s="474">
        <f>24*0.7</f>
        <v>16.799999999999997</v>
      </c>
      <c r="L17" s="429">
        <f>ROUND(K17*$F$17,0)</f>
        <v>1170019</v>
      </c>
      <c r="M17" s="430">
        <f>L17/$H$17</f>
        <v>0.27999995213753759</v>
      </c>
      <c r="N17" s="452">
        <v>0</v>
      </c>
      <c r="O17" s="425">
        <f>ROUND(N17*G17,0)</f>
        <v>0</v>
      </c>
      <c r="P17" s="426">
        <f t="shared" si="1"/>
        <v>0</v>
      </c>
      <c r="Q17" s="450">
        <f>K17+N17</f>
        <v>16.799999999999997</v>
      </c>
      <c r="R17" s="175">
        <f t="shared" si="0"/>
        <v>1170019</v>
      </c>
      <c r="S17" s="176">
        <f>R17/H17</f>
        <v>0.27999995213753759</v>
      </c>
    </row>
    <row r="18" spans="1:19" x14ac:dyDescent="0.3">
      <c r="A18" s="1441"/>
      <c r="B18" s="1441"/>
      <c r="C18" s="459"/>
      <c r="D18" s="459" t="s">
        <v>162</v>
      </c>
      <c r="E18" s="458"/>
      <c r="F18" s="458"/>
      <c r="G18" s="458"/>
      <c r="H18" s="457">
        <f>H17</f>
        <v>4178640</v>
      </c>
      <c r="I18" s="457">
        <f>SUM(I17)</f>
        <v>4391760</v>
      </c>
      <c r="J18" s="1442"/>
      <c r="K18" s="431"/>
      <c r="L18" s="179">
        <f>L17</f>
        <v>1170019</v>
      </c>
      <c r="M18" s="431">
        <f>L18/$H$18</f>
        <v>0.27999995213753759</v>
      </c>
      <c r="N18" s="431"/>
      <c r="O18" s="1103">
        <f>O17</f>
        <v>0</v>
      </c>
      <c r="P18" s="1091">
        <f t="shared" si="1"/>
        <v>0</v>
      </c>
      <c r="Q18" s="1101"/>
      <c r="R18" s="1078">
        <f t="shared" si="0"/>
        <v>1170019</v>
      </c>
      <c r="S18" s="1090">
        <f>R18/H18</f>
        <v>0.27999995213753759</v>
      </c>
    </row>
    <row r="19" spans="1:19" x14ac:dyDescent="0.3">
      <c r="F19" s="445" t="s">
        <v>64</v>
      </c>
      <c r="G19" s="445"/>
      <c r="H19" s="181">
        <f>SUM(H7:H18)/2</f>
        <v>4324892</v>
      </c>
      <c r="I19" s="181">
        <f>SUM(I7:I18)/2</f>
        <v>4545471</v>
      </c>
      <c r="K19" s="445" t="s">
        <v>64</v>
      </c>
      <c r="L19" s="181">
        <f>SUM(L7:L18)/2</f>
        <v>1272395</v>
      </c>
      <c r="N19" s="547" t="s">
        <v>64</v>
      </c>
      <c r="O19" s="481">
        <f>SUM(O7:O18)/2</f>
        <v>0</v>
      </c>
      <c r="Q19" s="445" t="s">
        <v>64</v>
      </c>
      <c r="R19" s="181">
        <f>SUM(R7:R18)/2</f>
        <v>1272395</v>
      </c>
    </row>
    <row r="20" spans="1:19" x14ac:dyDescent="0.3">
      <c r="F20" s="444" t="s">
        <v>65</v>
      </c>
      <c r="G20" s="444"/>
      <c r="H20" s="181">
        <v>0</v>
      </c>
      <c r="I20" s="181">
        <v>0</v>
      </c>
      <c r="K20" s="444" t="s">
        <v>65</v>
      </c>
      <c r="L20" s="181">
        <v>0</v>
      </c>
      <c r="N20" s="548" t="s">
        <v>65</v>
      </c>
      <c r="O20" s="481">
        <v>0</v>
      </c>
      <c r="Q20" s="444" t="s">
        <v>65</v>
      </c>
      <c r="R20" s="181">
        <v>0</v>
      </c>
    </row>
    <row r="21" spans="1:19" x14ac:dyDescent="0.3">
      <c r="F21" s="443" t="s">
        <v>64</v>
      </c>
      <c r="G21" s="443"/>
      <c r="H21" s="340">
        <f>SUM(H19:H20)</f>
        <v>4324892</v>
      </c>
      <c r="I21" s="340">
        <f>SUM(I19:I20)</f>
        <v>4545471</v>
      </c>
      <c r="K21" s="443" t="s">
        <v>64</v>
      </c>
      <c r="L21" s="340">
        <f>SUM(L19:L20)</f>
        <v>1272395</v>
      </c>
      <c r="N21" s="549" t="s">
        <v>64</v>
      </c>
      <c r="O21" s="550">
        <f>SUM(O19:O20)</f>
        <v>0</v>
      </c>
      <c r="Q21" s="443" t="s">
        <v>64</v>
      </c>
      <c r="R21" s="340">
        <f>SUM(R19:R20)</f>
        <v>1272395</v>
      </c>
    </row>
    <row r="22" spans="1:19" ht="26.4" x14ac:dyDescent="0.3">
      <c r="F22" s="443"/>
      <c r="G22" s="443"/>
      <c r="H22" s="340"/>
      <c r="I22" s="340"/>
      <c r="K22" s="484" t="s">
        <v>1439</v>
      </c>
      <c r="L22" s="182">
        <f>ROUND(L21*0.015,0)</f>
        <v>19086</v>
      </c>
      <c r="N22" s="484" t="s">
        <v>1439</v>
      </c>
      <c r="O22" s="483">
        <f>ROUND(O21*0.015,0)</f>
        <v>0</v>
      </c>
      <c r="Q22" s="484" t="s">
        <v>1439</v>
      </c>
      <c r="R22" s="340">
        <f>L22+O22</f>
        <v>19086</v>
      </c>
    </row>
    <row r="23" spans="1:19" ht="26.4" x14ac:dyDescent="0.3">
      <c r="F23" s="443"/>
      <c r="G23" s="443"/>
      <c r="H23" s="340"/>
      <c r="I23" s="340"/>
      <c r="K23" s="152" t="s">
        <v>1440</v>
      </c>
      <c r="L23" s="182">
        <f>L21+L22</f>
        <v>1291481</v>
      </c>
      <c r="M23" s="463">
        <f>L23/H21</f>
        <v>0.29861578046341969</v>
      </c>
      <c r="N23" s="152" t="s">
        <v>1440</v>
      </c>
      <c r="O23" s="182">
        <f>O21+O22</f>
        <v>0</v>
      </c>
      <c r="P23" s="574">
        <f>O23/H21</f>
        <v>0</v>
      </c>
      <c r="Q23" s="152" t="s">
        <v>1440</v>
      </c>
      <c r="R23" s="182">
        <f>R21+R22</f>
        <v>1291481</v>
      </c>
      <c r="S23" s="463">
        <f>R23/H19</f>
        <v>0.29861578046341969</v>
      </c>
    </row>
    <row r="24" spans="1:19" x14ac:dyDescent="0.3">
      <c r="F24" s="442" t="s">
        <v>66</v>
      </c>
      <c r="G24" s="442"/>
      <c r="H24" s="181">
        <f>+H21*19%</f>
        <v>821729.48</v>
      </c>
      <c r="I24" s="181">
        <f>+I21*19%</f>
        <v>863639.49</v>
      </c>
      <c r="K24" s="442" t="s">
        <v>66</v>
      </c>
      <c r="L24" s="182">
        <f>ROUND(L23*0.19,0)</f>
        <v>245381</v>
      </c>
      <c r="N24" s="551" t="s">
        <v>66</v>
      </c>
      <c r="O24" s="483">
        <f>ROUND(O23*0.19,0)</f>
        <v>0</v>
      </c>
      <c r="Q24" s="442" t="s">
        <v>66</v>
      </c>
      <c r="R24" s="182">
        <f>ROUND(R23*0.19,0)</f>
        <v>245381</v>
      </c>
    </row>
    <row r="25" spans="1:19" x14ac:dyDescent="0.3">
      <c r="F25" s="441" t="s">
        <v>69</v>
      </c>
      <c r="G25" s="441"/>
      <c r="H25" s="181">
        <f>+H21+H24</f>
        <v>5146621.4800000004</v>
      </c>
      <c r="I25" s="181">
        <f>+I21+I24</f>
        <v>5409110.4900000002</v>
      </c>
      <c r="K25" s="441" t="s">
        <v>69</v>
      </c>
      <c r="L25" s="181">
        <f>L23+L24</f>
        <v>1536862</v>
      </c>
      <c r="N25" s="552" t="s">
        <v>69</v>
      </c>
      <c r="O25" s="481">
        <f>O23+O24</f>
        <v>0</v>
      </c>
      <c r="Q25" s="441" t="s">
        <v>69</v>
      </c>
      <c r="R25" s="181">
        <f>R23+R24</f>
        <v>1536862</v>
      </c>
    </row>
    <row r="27" spans="1:19" s="189" customFormat="1" x14ac:dyDescent="0.3">
      <c r="A27" s="183" t="s">
        <v>67</v>
      </c>
      <c r="B27" s="184"/>
      <c r="C27" s="184"/>
      <c r="D27" s="185" t="s">
        <v>68</v>
      </c>
      <c r="G27" s="852"/>
      <c r="I27" s="852"/>
      <c r="K27" s="186" t="s">
        <v>70</v>
      </c>
      <c r="L27" s="187" t="s">
        <v>71</v>
      </c>
      <c r="M27" s="186" t="s">
        <v>58</v>
      </c>
      <c r="N27" s="186" t="s">
        <v>70</v>
      </c>
      <c r="O27" s="187" t="s">
        <v>71</v>
      </c>
      <c r="P27" s="186" t="s">
        <v>58</v>
      </c>
      <c r="Q27" s="437"/>
      <c r="R27" s="437"/>
      <c r="S27" s="437"/>
    </row>
    <row r="28" spans="1:19" s="189" customFormat="1" x14ac:dyDescent="0.3">
      <c r="A28" s="183"/>
      <c r="B28" s="184"/>
      <c r="C28" s="184"/>
      <c r="D28" s="185"/>
      <c r="G28" s="852"/>
      <c r="I28" s="852"/>
      <c r="K28" s="69" t="s">
        <v>72</v>
      </c>
      <c r="L28" s="70">
        <f>$L$19</f>
        <v>1272395</v>
      </c>
      <c r="M28" s="71">
        <f>$M$23</f>
        <v>0.29861578046341969</v>
      </c>
      <c r="N28" s="69" t="s">
        <v>72</v>
      </c>
      <c r="O28" s="70">
        <f>$L$19</f>
        <v>1272395</v>
      </c>
      <c r="P28" s="71">
        <f>$M$23</f>
        <v>0.29861578046341969</v>
      </c>
      <c r="Q28" s="437"/>
      <c r="R28" s="437"/>
      <c r="S28" s="437"/>
    </row>
    <row r="29" spans="1:19" s="852" customFormat="1" x14ac:dyDescent="0.3">
      <c r="A29" s="183"/>
      <c r="B29" s="184"/>
      <c r="C29" s="184"/>
      <c r="D29" s="185"/>
      <c r="K29" s="69"/>
      <c r="L29" s="70"/>
      <c r="M29" s="71"/>
      <c r="N29" s="69" t="s">
        <v>73</v>
      </c>
      <c r="O29" s="70">
        <f>+O23</f>
        <v>0</v>
      </c>
      <c r="P29" s="71">
        <f>+P23</f>
        <v>0</v>
      </c>
      <c r="Q29" s="437"/>
      <c r="R29" s="437"/>
      <c r="S29" s="437"/>
    </row>
    <row r="30" spans="1:19" s="189" customFormat="1" x14ac:dyDescent="0.3">
      <c r="A30" s="183"/>
      <c r="B30" s="184"/>
      <c r="C30" s="184"/>
      <c r="D30" s="185"/>
      <c r="G30" s="852"/>
      <c r="I30" s="852"/>
      <c r="K30" s="72" t="s">
        <v>1</v>
      </c>
      <c r="L30" s="105">
        <f>SUM(L28:L28)</f>
        <v>1272395</v>
      </c>
      <c r="M30" s="73">
        <f>SUM(M28:M28)</f>
        <v>0.29861578046341969</v>
      </c>
      <c r="N30" s="72" t="s">
        <v>1</v>
      </c>
      <c r="O30" s="105">
        <f>SUM(O28:O29)</f>
        <v>1272395</v>
      </c>
      <c r="P30" s="73">
        <f>SUM(P28:P29)</f>
        <v>0.29861578046341969</v>
      </c>
      <c r="Q30" s="437"/>
      <c r="R30" s="437"/>
      <c r="S30" s="437"/>
    </row>
    <row r="31" spans="1:19" s="189" customFormat="1" x14ac:dyDescent="0.3">
      <c r="A31" s="183"/>
      <c r="B31" s="184"/>
      <c r="C31" s="184"/>
      <c r="D31" s="185"/>
      <c r="G31" s="852"/>
      <c r="I31" s="852"/>
      <c r="K31" s="72" t="s">
        <v>9</v>
      </c>
      <c r="L31" s="1423"/>
      <c r="M31" s="1424"/>
      <c r="N31" s="72" t="s">
        <v>9</v>
      </c>
      <c r="O31" s="1423"/>
      <c r="P31" s="1424"/>
      <c r="Q31" s="437"/>
      <c r="R31" s="437"/>
      <c r="S31" s="437"/>
    </row>
    <row r="32" spans="1:19" s="189" customFormat="1" x14ac:dyDescent="0.3">
      <c r="A32" s="183"/>
      <c r="B32" s="184"/>
      <c r="C32" s="184"/>
      <c r="D32" s="185"/>
      <c r="G32" s="852"/>
      <c r="I32" s="852"/>
      <c r="K32" s="440" t="s">
        <v>78</v>
      </c>
      <c r="L32" s="1423" t="s">
        <v>1984</v>
      </c>
      <c r="M32" s="1424"/>
      <c r="N32" s="440" t="s">
        <v>78</v>
      </c>
      <c r="O32" s="1423" t="s">
        <v>1984</v>
      </c>
      <c r="P32" s="1424"/>
      <c r="Q32" s="437"/>
      <c r="R32" s="437"/>
      <c r="S32" s="437"/>
    </row>
    <row r="33" spans="1:19" s="189" customFormat="1" x14ac:dyDescent="0.3">
      <c r="A33" s="183"/>
      <c r="B33" s="184"/>
      <c r="C33" s="184"/>
      <c r="D33" s="185"/>
      <c r="G33" s="852"/>
      <c r="I33" s="852"/>
      <c r="K33" s="439" t="s">
        <v>8</v>
      </c>
      <c r="L33" s="1423" t="s">
        <v>1985</v>
      </c>
      <c r="M33" s="1424"/>
      <c r="N33" s="439" t="s">
        <v>8</v>
      </c>
      <c r="O33" s="1423" t="s">
        <v>1985</v>
      </c>
      <c r="P33" s="1424"/>
      <c r="Q33" s="437"/>
      <c r="R33" s="437"/>
      <c r="S33" s="437"/>
    </row>
    <row r="34" spans="1:19" s="189" customFormat="1" x14ac:dyDescent="0.3">
      <c r="A34" s="183"/>
      <c r="B34" s="184"/>
      <c r="C34" s="184"/>
      <c r="D34" s="185" t="s">
        <v>75</v>
      </c>
      <c r="G34" s="852"/>
      <c r="I34" s="852"/>
      <c r="N34" s="852"/>
      <c r="O34" s="852"/>
      <c r="P34" s="852"/>
    </row>
    <row r="35" spans="1:19" s="189" customFormat="1" x14ac:dyDescent="0.3">
      <c r="A35" s="183" t="s">
        <v>76</v>
      </c>
      <c r="B35" s="180"/>
      <c r="C35" s="180"/>
      <c r="D35" s="185" t="s">
        <v>77</v>
      </c>
      <c r="G35" s="852"/>
      <c r="I35" s="852"/>
      <c r="N35" s="852"/>
      <c r="O35" s="852"/>
      <c r="P35" s="852"/>
    </row>
    <row r="36" spans="1:19" s="189" customFormat="1" ht="26.4" x14ac:dyDescent="0.3">
      <c r="A36" s="183" t="s">
        <v>79</v>
      </c>
      <c r="B36" s="180"/>
      <c r="C36" s="180"/>
      <c r="D36" s="185" t="s">
        <v>80</v>
      </c>
      <c r="G36" s="852"/>
      <c r="I36" s="852"/>
      <c r="N36" s="852"/>
      <c r="O36" s="852"/>
      <c r="P36" s="852"/>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1:P31"/>
    <mergeCell ref="O32:P32"/>
    <mergeCell ref="O33:P33"/>
    <mergeCell ref="Q11:S12"/>
    <mergeCell ref="B12:J12"/>
    <mergeCell ref="N11:P12"/>
    <mergeCell ref="L31:M31"/>
    <mergeCell ref="L32:M32"/>
    <mergeCell ref="L33:M33"/>
  </mergeCells>
  <pageMargins left="0.7" right="0.7" top="0.75" bottom="0.75" header="0.3" footer="0.3"/>
  <pageSetup scale="47" orientation="landscape" r:id="rId1"/>
  <drawing r:id="rId2"/>
  <legacyDrawingHF r:id="rId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9">
    <tabColor theme="1"/>
  </sheetPr>
  <dimension ref="A1:G49"/>
  <sheetViews>
    <sheetView topLeftCell="A4"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RESUMEN!G77</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RESUMEN!B77</f>
        <v>D00243134</v>
      </c>
      <c r="C7" s="1265"/>
      <c r="D7" s="1177"/>
      <c r="E7" s="1266" t="s">
        <v>627</v>
      </c>
      <c r="F7" s="1267"/>
      <c r="G7" s="280" t="str">
        <f>RESUMEN!E77</f>
        <v xml:space="preserve">17-310 </v>
      </c>
    </row>
    <row r="8" spans="1:7" x14ac:dyDescent="0.25">
      <c r="A8" s="271" t="s">
        <v>628</v>
      </c>
      <c r="B8" s="1264" t="str">
        <f>RESUMEN!C77</f>
        <v>D00243134000</v>
      </c>
      <c r="C8" s="1265"/>
      <c r="D8" s="1177"/>
      <c r="E8" s="1266" t="s">
        <v>629</v>
      </c>
      <c r="F8" s="1267"/>
      <c r="G8" s="280" t="str">
        <f>RESUMEN!U77</f>
        <v>Acta N° 1: Marzo</v>
      </c>
    </row>
    <row r="9" spans="1:7" x14ac:dyDescent="0.25">
      <c r="A9" s="271" t="s">
        <v>630</v>
      </c>
      <c r="B9" s="1283" t="s">
        <v>631</v>
      </c>
      <c r="C9" s="1265"/>
      <c r="D9" s="1177"/>
      <c r="E9" s="1266" t="s">
        <v>632</v>
      </c>
      <c r="F9" s="1267"/>
      <c r="G9" s="1178">
        <f>RESUMEN!H77</f>
        <v>4324892</v>
      </c>
    </row>
    <row r="10" spans="1:7" x14ac:dyDescent="0.25">
      <c r="A10" s="271" t="s">
        <v>633</v>
      </c>
      <c r="B10" s="1283" t="str">
        <f>RESUMEN!D77</f>
        <v>GUADUAS</v>
      </c>
      <c r="C10" s="1265"/>
      <c r="D10" s="1177"/>
      <c r="E10" s="1266" t="s">
        <v>634</v>
      </c>
      <c r="F10" s="1267"/>
      <c r="G10" s="1178">
        <f>RESUMEN!R77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RESUMEN!N77</f>
        <v>0</v>
      </c>
      <c r="F19" s="1248"/>
      <c r="G19" s="1177"/>
    </row>
    <row r="20" spans="1:7" ht="27" customHeight="1" x14ac:dyDescent="0.25">
      <c r="A20" s="1177"/>
      <c r="B20" s="1244" t="s">
        <v>1498</v>
      </c>
      <c r="C20" s="1245"/>
      <c r="D20" s="1246"/>
      <c r="E20" s="1247">
        <f>RESUMEN!P77</f>
        <v>0</v>
      </c>
      <c r="F20" s="1248"/>
      <c r="G20" s="1177"/>
    </row>
    <row r="21" spans="1:7" ht="27" customHeight="1" x14ac:dyDescent="0.25">
      <c r="A21" s="1177"/>
      <c r="B21" s="1244" t="s">
        <v>1499</v>
      </c>
      <c r="C21" s="1245"/>
      <c r="D21" s="1246"/>
      <c r="E21" s="1247">
        <f>RESUMEN!Q77</f>
        <v>0</v>
      </c>
      <c r="F21" s="1248"/>
      <c r="G21" s="1177"/>
    </row>
    <row r="22" spans="1:7" x14ac:dyDescent="0.25">
      <c r="A22" s="1177"/>
      <c r="B22" s="1254" t="s">
        <v>64</v>
      </c>
      <c r="C22" s="1254"/>
      <c r="D22" s="1254"/>
      <c r="E22" s="1255">
        <f>RESUMEN!R77</f>
        <v>0</v>
      </c>
      <c r="F22" s="1255"/>
      <c r="G22" s="1177"/>
    </row>
    <row r="23" spans="1:7" x14ac:dyDescent="0.25">
      <c r="A23" s="1177"/>
      <c r="B23" s="1256" t="s">
        <v>66</v>
      </c>
      <c r="C23" s="1256"/>
      <c r="D23" s="1256"/>
      <c r="E23" s="1257">
        <f>RESUMEN!S77</f>
        <v>0</v>
      </c>
      <c r="F23" s="1257"/>
      <c r="G23" s="1177"/>
    </row>
    <row r="24" spans="1:7" x14ac:dyDescent="0.25">
      <c r="A24" s="1177"/>
      <c r="B24" s="1258" t="s">
        <v>1</v>
      </c>
      <c r="C24" s="1258"/>
      <c r="D24" s="1258"/>
      <c r="E24" s="1259">
        <f>RESUMEN!T77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+'OT17-310 GUADUAS'!K29</f>
        <v>ACTA 1</v>
      </c>
      <c r="C28" s="1253">
        <f>+'OT17-310 GUADUAS'!L29</f>
        <v>0</v>
      </c>
      <c r="D28" s="1253"/>
      <c r="E28" s="267">
        <f>+'OT17-310 GUADUAS'!M29</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0">
    <tabColor theme="7"/>
  </sheetPr>
  <dimension ref="A1:P36"/>
  <sheetViews>
    <sheetView zoomScale="55" zoomScaleNormal="55" workbookViewId="0">
      <selection activeCell="J43" sqref="J43"/>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9" width="16" style="437" customWidth="1"/>
    <col min="10" max="10" width="67.6640625" style="437" customWidth="1"/>
    <col min="11" max="11" width="17.88671875" style="437" bestFit="1" customWidth="1"/>
    <col min="12" max="12" width="18" style="437" bestFit="1" customWidth="1"/>
    <col min="13" max="13" width="9.109375" style="437"/>
    <col min="14" max="14" width="17.88671875" style="437" bestFit="1" customWidth="1"/>
    <col min="15" max="15" width="15.33203125" style="437" customWidth="1"/>
    <col min="16" max="16384" width="9.109375" style="437"/>
  </cols>
  <sheetData>
    <row r="1" spans="1:16" ht="22.5" customHeight="1" thickBot="1" x14ac:dyDescent="0.35">
      <c r="A1" s="169"/>
      <c r="B1" s="188"/>
      <c r="C1" s="1307" t="s">
        <v>40</v>
      </c>
      <c r="D1" s="1308"/>
      <c r="E1" s="1308"/>
      <c r="F1" s="1308"/>
      <c r="G1" s="1308"/>
      <c r="H1" s="1308"/>
      <c r="I1" s="1308"/>
      <c r="J1" s="1308"/>
      <c r="K1" s="1308"/>
      <c r="L1" s="1308"/>
      <c r="M1" s="1308"/>
      <c r="N1" s="1328" t="s">
        <v>163</v>
      </c>
      <c r="O1" s="1303"/>
      <c r="P1" s="1304"/>
    </row>
    <row r="2" spans="1:16" ht="13.5" customHeight="1" thickBot="1" x14ac:dyDescent="0.35">
      <c r="A2" s="170"/>
      <c r="B2" s="190"/>
      <c r="C2" s="1310"/>
      <c r="D2" s="1311"/>
      <c r="E2" s="1311"/>
      <c r="F2" s="1311"/>
      <c r="G2" s="1311"/>
      <c r="H2" s="1311"/>
      <c r="I2" s="1311"/>
      <c r="J2" s="1311"/>
      <c r="K2" s="1311"/>
      <c r="L2" s="1311"/>
      <c r="M2" s="1311"/>
      <c r="N2" s="1329" t="s">
        <v>41</v>
      </c>
      <c r="O2" s="1305"/>
      <c r="P2" s="1306"/>
    </row>
    <row r="3" spans="1:16" ht="13.5" customHeight="1" x14ac:dyDescent="0.3">
      <c r="A3" s="1292" t="s">
        <v>42</v>
      </c>
      <c r="B3" s="1292"/>
      <c r="C3" s="1292"/>
      <c r="D3" s="1292"/>
      <c r="E3" s="1292"/>
      <c r="F3" s="1292"/>
      <c r="G3" s="1292"/>
      <c r="H3" s="1292"/>
      <c r="I3" s="1292"/>
      <c r="J3" s="1292"/>
      <c r="K3" s="1292"/>
      <c r="L3" s="1292"/>
      <c r="M3" s="1292"/>
      <c r="N3" s="1292"/>
      <c r="O3" s="1292"/>
      <c r="P3" s="1292"/>
    </row>
    <row r="4" spans="1:16" ht="13.5" customHeight="1" x14ac:dyDescent="0.3">
      <c r="A4" s="1292" t="s">
        <v>43</v>
      </c>
      <c r="B4" s="1292"/>
      <c r="C4" s="1292"/>
      <c r="D4" s="1292"/>
      <c r="E4" s="1292"/>
      <c r="F4" s="1292"/>
      <c r="G4" s="1292"/>
      <c r="H4" s="1292"/>
      <c r="I4" s="1292"/>
      <c r="J4" s="1292"/>
      <c r="K4" s="1292"/>
      <c r="L4" s="1292"/>
      <c r="M4" s="1292"/>
      <c r="N4" s="1292"/>
      <c r="O4" s="1292"/>
      <c r="P4" s="1292"/>
    </row>
    <row r="5" spans="1:16" ht="13.5" customHeight="1" x14ac:dyDescent="0.3">
      <c r="A5" s="1292" t="s">
        <v>44</v>
      </c>
      <c r="B5" s="1292"/>
      <c r="C5" s="1292"/>
      <c r="D5" s="1292"/>
      <c r="E5" s="1292"/>
      <c r="F5" s="1292"/>
      <c r="G5" s="1292"/>
      <c r="H5" s="1292"/>
      <c r="I5" s="1292"/>
      <c r="J5" s="1292"/>
      <c r="K5" s="1292"/>
      <c r="L5" s="1292"/>
      <c r="M5" s="1292"/>
      <c r="N5" s="1292"/>
      <c r="O5" s="1292"/>
      <c r="P5" s="1292"/>
    </row>
    <row r="6" spans="1:16" ht="13.5" customHeight="1" x14ac:dyDescent="0.3">
      <c r="A6" s="1292" t="s">
        <v>45</v>
      </c>
      <c r="B6" s="1292"/>
      <c r="C6" s="1292"/>
      <c r="D6" s="1292"/>
      <c r="E6" s="1292"/>
      <c r="F6" s="1292"/>
      <c r="G6" s="1292"/>
      <c r="H6" s="1292"/>
      <c r="I6" s="1292"/>
      <c r="J6" s="1292"/>
      <c r="K6" s="1292"/>
      <c r="L6" s="1292"/>
      <c r="M6" s="1292"/>
      <c r="N6" s="1292"/>
      <c r="O6" s="1292"/>
      <c r="P6" s="1292"/>
    </row>
    <row r="7" spans="1:16" x14ac:dyDescent="0.3">
      <c r="A7" s="1291" t="s">
        <v>312</v>
      </c>
      <c r="B7" s="1292"/>
      <c r="C7" s="1292"/>
      <c r="D7" s="1292"/>
      <c r="E7" s="1292"/>
      <c r="F7" s="1292"/>
      <c r="G7" s="1292"/>
      <c r="H7" s="1292"/>
      <c r="I7" s="1292"/>
      <c r="J7" s="1292"/>
      <c r="K7" s="1292"/>
      <c r="L7" s="1292"/>
      <c r="M7" s="1292"/>
      <c r="N7" s="1292"/>
      <c r="O7" s="1292"/>
      <c r="P7" s="1292"/>
    </row>
    <row r="8" spans="1:16" ht="13.5" customHeight="1" x14ac:dyDescent="0.3">
      <c r="A8" s="1292" t="s">
        <v>2312</v>
      </c>
      <c r="B8" s="1292"/>
      <c r="C8" s="1292"/>
      <c r="D8" s="1292"/>
      <c r="E8" s="1292"/>
      <c r="F8" s="1292"/>
      <c r="G8" s="1292"/>
      <c r="H8" s="1292"/>
      <c r="I8" s="1292"/>
      <c r="J8" s="1292"/>
      <c r="K8" s="1292"/>
      <c r="L8" s="1292"/>
      <c r="M8" s="1292"/>
      <c r="N8" s="1292"/>
      <c r="O8" s="1292"/>
      <c r="P8" s="1292"/>
    </row>
    <row r="9" spans="1:16" ht="13.5" customHeight="1" x14ac:dyDescent="0.3">
      <c r="A9" s="1292" t="s">
        <v>2305</v>
      </c>
      <c r="B9" s="1292"/>
      <c r="C9" s="1292"/>
      <c r="D9" s="1292"/>
      <c r="E9" s="1292"/>
      <c r="F9" s="1292"/>
      <c r="G9" s="1292"/>
      <c r="H9" s="1292"/>
      <c r="I9" s="1292"/>
      <c r="J9" s="1292"/>
      <c r="K9" s="1292"/>
      <c r="L9" s="1292"/>
      <c r="M9" s="1292"/>
      <c r="N9" s="1292"/>
      <c r="O9" s="1292"/>
      <c r="P9" s="1292"/>
    </row>
    <row r="10" spans="1:16" ht="13.5" customHeight="1" x14ac:dyDescent="0.3">
      <c r="A10" s="1292" t="s">
        <v>1352</v>
      </c>
      <c r="B10" s="1292"/>
      <c r="C10" s="1292"/>
      <c r="D10" s="1292"/>
      <c r="E10" s="1292"/>
      <c r="F10" s="1292"/>
      <c r="G10" s="1292"/>
      <c r="H10" s="1292"/>
      <c r="I10" s="1292"/>
      <c r="J10" s="1292"/>
      <c r="K10" s="1292"/>
      <c r="L10" s="1292"/>
      <c r="M10" s="1292"/>
      <c r="N10" s="1292"/>
      <c r="O10" s="1292"/>
      <c r="P10" s="1292"/>
    </row>
    <row r="11" spans="1:16" ht="13.5" customHeight="1" x14ac:dyDescent="0.3">
      <c r="A11" s="434"/>
      <c r="B11" s="1301"/>
      <c r="C11" s="1313"/>
      <c r="D11" s="1313"/>
      <c r="E11" s="1313"/>
      <c r="F11" s="1313"/>
      <c r="G11" s="1313"/>
      <c r="H11" s="1313"/>
      <c r="I11" s="1313"/>
      <c r="J11" s="1313"/>
      <c r="K11" s="1293" t="s">
        <v>2313</v>
      </c>
      <c r="L11" s="1294"/>
      <c r="M11" s="1295"/>
      <c r="N11" s="1299" t="s">
        <v>49</v>
      </c>
      <c r="O11" s="1299"/>
      <c r="P11" s="1299"/>
    </row>
    <row r="12" spans="1:16" ht="13.5" customHeight="1" x14ac:dyDescent="0.3">
      <c r="A12" s="171"/>
      <c r="B12" s="1301"/>
      <c r="C12" s="1302"/>
      <c r="D12" s="1302"/>
      <c r="E12" s="1302"/>
      <c r="F12" s="1302"/>
      <c r="G12" s="1302"/>
      <c r="H12" s="1302"/>
      <c r="I12" s="1302"/>
      <c r="J12" s="1302"/>
      <c r="K12" s="1325"/>
      <c r="L12" s="1326"/>
      <c r="M12" s="1327"/>
      <c r="N12" s="1300"/>
      <c r="O12" s="1300"/>
      <c r="P12" s="1300"/>
    </row>
    <row r="13" spans="1:16"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174" t="s">
        <v>54</v>
      </c>
      <c r="O13" s="172" t="s">
        <v>56</v>
      </c>
      <c r="P13" s="460" t="s">
        <v>58</v>
      </c>
    </row>
    <row r="14" spans="1:16"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52">
        <v>0</v>
      </c>
      <c r="L14" s="425">
        <f>ROUND(K14*$F$14,0)</f>
        <v>0</v>
      </c>
      <c r="M14" s="426">
        <f>L14/$I$14</f>
        <v>0</v>
      </c>
      <c r="N14" s="450">
        <f>K14</f>
        <v>0</v>
      </c>
      <c r="O14" s="175">
        <f>L14</f>
        <v>0</v>
      </c>
      <c r="P14" s="176">
        <f>O14/H14</f>
        <v>0</v>
      </c>
    </row>
    <row r="15" spans="1:16"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ROUND(K15*$F$15,0)</f>
        <v>0</v>
      </c>
      <c r="M15" s="426">
        <v>0</v>
      </c>
      <c r="N15" s="450">
        <f>K15</f>
        <v>0</v>
      </c>
      <c r="O15" s="175">
        <f>L15</f>
        <v>0</v>
      </c>
      <c r="P15" s="176">
        <v>0</v>
      </c>
    </row>
    <row r="16" spans="1:16" x14ac:dyDescent="0.3">
      <c r="A16" s="1441"/>
      <c r="B16" s="1441"/>
      <c r="C16" s="459"/>
      <c r="D16" s="459" t="s">
        <v>108</v>
      </c>
      <c r="E16" s="458"/>
      <c r="F16" s="458"/>
      <c r="G16" s="458"/>
      <c r="H16" s="457">
        <f>SUM(H14:H15)</f>
        <v>146252</v>
      </c>
      <c r="I16" s="457">
        <f>SUM(I14:I15)</f>
        <v>153711</v>
      </c>
      <c r="J16" s="1442"/>
      <c r="K16" s="431"/>
      <c r="L16" s="179">
        <f>SUM(L14:L15)</f>
        <v>0</v>
      </c>
      <c r="M16" s="431">
        <f>L16/$I$16</f>
        <v>0</v>
      </c>
      <c r="N16" s="446"/>
      <c r="O16" s="307">
        <f>L16</f>
        <v>0</v>
      </c>
      <c r="P16" s="431">
        <f>O16/H16</f>
        <v>0</v>
      </c>
    </row>
    <row r="17" spans="1:16"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1350</v>
      </c>
      <c r="K17" s="452">
        <v>0</v>
      </c>
      <c r="L17" s="425">
        <f>ROUND(K17*$F$17,0)</f>
        <v>0</v>
      </c>
      <c r="M17" s="426">
        <f>L17/$I$17</f>
        <v>0</v>
      </c>
      <c r="N17" s="450">
        <f>K17</f>
        <v>0</v>
      </c>
      <c r="O17" s="175">
        <f>L17</f>
        <v>0</v>
      </c>
      <c r="P17" s="176">
        <f>O17/H17</f>
        <v>0</v>
      </c>
    </row>
    <row r="18" spans="1:16" x14ac:dyDescent="0.3">
      <c r="A18" s="1441"/>
      <c r="B18" s="1441"/>
      <c r="C18" s="459"/>
      <c r="D18" s="459" t="s">
        <v>162</v>
      </c>
      <c r="E18" s="458"/>
      <c r="F18" s="458"/>
      <c r="G18" s="458"/>
      <c r="H18" s="457">
        <f>H17</f>
        <v>4178640</v>
      </c>
      <c r="I18" s="457">
        <f>SUM(I17)</f>
        <v>4391760</v>
      </c>
      <c r="J18" s="1442"/>
      <c r="K18" s="431"/>
      <c r="L18" s="179">
        <f>L17</f>
        <v>0</v>
      </c>
      <c r="M18" s="431">
        <f>L18/$I$18</f>
        <v>0</v>
      </c>
      <c r="N18" s="446"/>
      <c r="O18" s="307">
        <f>L18</f>
        <v>0</v>
      </c>
      <c r="P18" s="431">
        <f>O18/H18</f>
        <v>0</v>
      </c>
    </row>
    <row r="19" spans="1:16" x14ac:dyDescent="0.3">
      <c r="F19" s="445" t="s">
        <v>64</v>
      </c>
      <c r="G19" s="445"/>
      <c r="H19" s="181">
        <f>SUM(H7:H18)/2</f>
        <v>4324892</v>
      </c>
      <c r="I19" s="181">
        <f>SUM(I7:I18)/2</f>
        <v>4545471</v>
      </c>
      <c r="K19" s="547" t="s">
        <v>64</v>
      </c>
      <c r="L19" s="481">
        <f>SUM(L7:L18)/2</f>
        <v>0</v>
      </c>
      <c r="N19" s="445" t="s">
        <v>64</v>
      </c>
      <c r="O19" s="181">
        <f>SUM(O7:O18)/2</f>
        <v>0</v>
      </c>
      <c r="P19" s="463">
        <f>O23/H19</f>
        <v>0</v>
      </c>
    </row>
    <row r="20" spans="1:16" x14ac:dyDescent="0.3">
      <c r="F20" s="444" t="s">
        <v>65</v>
      </c>
      <c r="G20" s="444"/>
      <c r="H20" s="181">
        <v>0</v>
      </c>
      <c r="I20" s="181">
        <v>0</v>
      </c>
      <c r="K20" s="548" t="s">
        <v>65</v>
      </c>
      <c r="L20" s="481">
        <v>0</v>
      </c>
      <c r="N20" s="444" t="s">
        <v>65</v>
      </c>
      <c r="O20" s="181">
        <v>0</v>
      </c>
    </row>
    <row r="21" spans="1:16" x14ac:dyDescent="0.3">
      <c r="F21" s="443" t="s">
        <v>64</v>
      </c>
      <c r="G21" s="443"/>
      <c r="H21" s="340">
        <f>SUM(H19:H20)</f>
        <v>4324892</v>
      </c>
      <c r="I21" s="340">
        <f>SUM(I19:I20)</f>
        <v>4545471</v>
      </c>
      <c r="K21" s="549" t="s">
        <v>64</v>
      </c>
      <c r="L21" s="550">
        <f>SUM(L19:L20)</f>
        <v>0</v>
      </c>
      <c r="N21" s="443" t="s">
        <v>64</v>
      </c>
      <c r="O21" s="340">
        <f>SUM(O19:O20)</f>
        <v>0</v>
      </c>
    </row>
    <row r="22" spans="1:16" ht="26.4" x14ac:dyDescent="0.3">
      <c r="F22" s="443"/>
      <c r="G22" s="443"/>
      <c r="H22" s="340"/>
      <c r="I22" s="340"/>
      <c r="K22" s="484" t="s">
        <v>1439</v>
      </c>
      <c r="L22" s="483">
        <f>ROUND(L21*0.015,0)</f>
        <v>0</v>
      </c>
      <c r="N22" s="484" t="s">
        <v>1439</v>
      </c>
      <c r="O22" s="340">
        <f>L22</f>
        <v>0</v>
      </c>
    </row>
    <row r="23" spans="1:16" ht="26.4" x14ac:dyDescent="0.3">
      <c r="F23" s="443"/>
      <c r="G23" s="443"/>
      <c r="H23" s="340"/>
      <c r="I23" s="340"/>
      <c r="K23" s="152" t="s">
        <v>1440</v>
      </c>
      <c r="L23" s="182">
        <f>L21+L22</f>
        <v>0</v>
      </c>
      <c r="M23" s="463">
        <f>L23/$H$19</f>
        <v>0</v>
      </c>
      <c r="N23" s="152" t="s">
        <v>1440</v>
      </c>
      <c r="O23" s="182">
        <f>O21+O22</f>
        <v>0</v>
      </c>
    </row>
    <row r="24" spans="1:16" x14ac:dyDescent="0.3">
      <c r="F24" s="442" t="s">
        <v>66</v>
      </c>
      <c r="G24" s="442"/>
      <c r="H24" s="181">
        <f>+H21*19%</f>
        <v>821729.48</v>
      </c>
      <c r="I24" s="181">
        <f>+I21*19%</f>
        <v>863639.49</v>
      </c>
      <c r="K24" s="551" t="s">
        <v>66</v>
      </c>
      <c r="L24" s="483">
        <f>ROUND(L23*0.19,0)</f>
        <v>0</v>
      </c>
      <c r="N24" s="442" t="s">
        <v>66</v>
      </c>
      <c r="O24" s="182">
        <f>ROUND(O23*0.19,0)</f>
        <v>0</v>
      </c>
    </row>
    <row r="25" spans="1:16" x14ac:dyDescent="0.3">
      <c r="F25" s="441" t="s">
        <v>69</v>
      </c>
      <c r="G25" s="441"/>
      <c r="H25" s="181">
        <f>+H21+H24</f>
        <v>5146621.4800000004</v>
      </c>
      <c r="I25" s="181">
        <f>+I21+I24</f>
        <v>5409110.4900000002</v>
      </c>
      <c r="K25" s="552" t="s">
        <v>69</v>
      </c>
      <c r="L25" s="481">
        <f>L23+L24</f>
        <v>0</v>
      </c>
      <c r="N25" s="441" t="s">
        <v>69</v>
      </c>
      <c r="O25" s="181">
        <f>O23+O24</f>
        <v>0</v>
      </c>
    </row>
    <row r="28" spans="1:16" s="189" customFormat="1" x14ac:dyDescent="0.3">
      <c r="A28" s="183" t="s">
        <v>67</v>
      </c>
      <c r="B28" s="184"/>
      <c r="C28" s="184"/>
      <c r="D28" s="185" t="s">
        <v>68</v>
      </c>
      <c r="G28" s="852"/>
      <c r="I28" s="852"/>
      <c r="K28" s="186" t="s">
        <v>70</v>
      </c>
      <c r="L28" s="187" t="s">
        <v>71</v>
      </c>
      <c r="M28" s="186" t="s">
        <v>58</v>
      </c>
      <c r="N28" s="437"/>
      <c r="O28" s="437"/>
      <c r="P28" s="437"/>
    </row>
    <row r="29" spans="1:16" s="189" customFormat="1" x14ac:dyDescent="0.3">
      <c r="A29" s="183"/>
      <c r="B29" s="184"/>
      <c r="C29" s="184"/>
      <c r="D29" s="185"/>
      <c r="G29" s="852"/>
      <c r="I29" s="852"/>
      <c r="K29" s="69" t="s">
        <v>72</v>
      </c>
      <c r="L29" s="70">
        <f>$L$23</f>
        <v>0</v>
      </c>
      <c r="M29" s="71">
        <f>$M$23</f>
        <v>0</v>
      </c>
      <c r="N29" s="437"/>
      <c r="O29" s="437"/>
      <c r="P29" s="437"/>
    </row>
    <row r="30" spans="1:16" s="189" customFormat="1" x14ac:dyDescent="0.3">
      <c r="A30" s="183"/>
      <c r="B30" s="184"/>
      <c r="C30" s="184"/>
      <c r="D30" s="185"/>
      <c r="G30" s="852"/>
      <c r="I30" s="852"/>
      <c r="K30" s="72" t="s">
        <v>1</v>
      </c>
      <c r="L30" s="105">
        <f>SUM(L29:L29)</f>
        <v>0</v>
      </c>
      <c r="M30" s="73">
        <f>SUM(M29:M29)</f>
        <v>0</v>
      </c>
      <c r="N30" s="437"/>
      <c r="O30" s="437"/>
      <c r="P30" s="437"/>
    </row>
    <row r="31" spans="1:16" s="189" customFormat="1" x14ac:dyDescent="0.3">
      <c r="A31" s="183"/>
      <c r="B31" s="184"/>
      <c r="C31" s="184"/>
      <c r="D31" s="185"/>
      <c r="G31" s="852"/>
      <c r="I31" s="852"/>
      <c r="K31" s="72" t="s">
        <v>9</v>
      </c>
      <c r="L31" s="1423"/>
      <c r="M31" s="1424"/>
      <c r="N31" s="437"/>
      <c r="O31" s="437"/>
      <c r="P31" s="437"/>
    </row>
    <row r="32" spans="1:16" s="189" customFormat="1" x14ac:dyDescent="0.3">
      <c r="A32" s="183"/>
      <c r="B32" s="184"/>
      <c r="C32" s="184"/>
      <c r="D32" s="185"/>
      <c r="G32" s="852"/>
      <c r="I32" s="852"/>
      <c r="K32" s="440" t="s">
        <v>78</v>
      </c>
      <c r="L32" s="1423" t="s">
        <v>508</v>
      </c>
      <c r="M32" s="1424"/>
      <c r="N32" s="437"/>
      <c r="O32" s="437"/>
      <c r="P32" s="437"/>
    </row>
    <row r="33" spans="1:16" s="189" customFormat="1" x14ac:dyDescent="0.3">
      <c r="A33" s="183"/>
      <c r="B33" s="184"/>
      <c r="C33" s="184"/>
      <c r="D33" s="185"/>
      <c r="G33" s="852"/>
      <c r="I33" s="852"/>
      <c r="K33" s="439" t="s">
        <v>8</v>
      </c>
      <c r="L33" s="1425" t="s">
        <v>509</v>
      </c>
      <c r="M33" s="1426"/>
      <c r="N33" s="437"/>
      <c r="O33" s="437"/>
      <c r="P33" s="437"/>
    </row>
    <row r="34" spans="1:16" s="189" customFormat="1" x14ac:dyDescent="0.3">
      <c r="A34" s="183"/>
      <c r="B34" s="184"/>
      <c r="C34" s="184"/>
      <c r="D34" s="185" t="s">
        <v>75</v>
      </c>
      <c r="G34" s="852"/>
      <c r="I34" s="852"/>
    </row>
    <row r="35" spans="1:16" s="189" customFormat="1" x14ac:dyDescent="0.3">
      <c r="A35" s="183" t="s">
        <v>76</v>
      </c>
      <c r="B35" s="180"/>
      <c r="C35" s="180"/>
      <c r="D35" s="185" t="s">
        <v>77</v>
      </c>
      <c r="G35" s="852"/>
      <c r="I35" s="852"/>
    </row>
    <row r="36" spans="1:16" s="189" customFormat="1" ht="26.4" x14ac:dyDescent="0.3">
      <c r="A36" s="183" t="s">
        <v>79</v>
      </c>
      <c r="B36" s="180"/>
      <c r="C36" s="180"/>
      <c r="D36" s="185" t="s">
        <v>80</v>
      </c>
      <c r="G36" s="852"/>
      <c r="I36" s="852"/>
    </row>
  </sheetData>
  <sheetProtection formatCells="0" formatColumns="0" formatRows="0" insertColumns="0" insertRows="0" insertHyperlinks="0" deleteColumns="0" deleteRows="0" sort="0" autoFilter="0" pivotTables="0"/>
  <mergeCells count="24">
    <mergeCell ref="L31:M31"/>
    <mergeCell ref="L32:M32"/>
    <mergeCell ref="L33:M33"/>
    <mergeCell ref="A6:P6"/>
    <mergeCell ref="A7:P7"/>
    <mergeCell ref="A8:P8"/>
    <mergeCell ref="J14:J16"/>
    <mergeCell ref="A17:A18"/>
    <mergeCell ref="B17:B18"/>
    <mergeCell ref="J17:J18"/>
    <mergeCell ref="A9:P9"/>
    <mergeCell ref="A10:P10"/>
    <mergeCell ref="A14:A16"/>
    <mergeCell ref="B14:B16"/>
    <mergeCell ref="B11:J11"/>
    <mergeCell ref="K11:M12"/>
    <mergeCell ref="N11:P12"/>
    <mergeCell ref="B12:J12"/>
    <mergeCell ref="N1:P1"/>
    <mergeCell ref="N2:P2"/>
    <mergeCell ref="A3:P3"/>
    <mergeCell ref="A4:P4"/>
    <mergeCell ref="A5:P5"/>
    <mergeCell ref="C1:M2"/>
  </mergeCells>
  <pageMargins left="0.7" right="0.7" top="0.75" bottom="0.75" header="0.3" footer="0.3"/>
  <pageSetup scale="62" orientation="landscape" r:id="rId1"/>
  <drawing r:id="rId2"/>
  <legacyDrawingHF r:id="rId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2">
    <tabColor theme="1"/>
  </sheetPr>
  <dimension ref="A1:G49"/>
  <sheetViews>
    <sheetView topLeftCell="B13"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RESUMEN!G78</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RESUMEN!B78</f>
        <v>D00249388</v>
      </c>
      <c r="C7" s="1265"/>
      <c r="D7" s="1177"/>
      <c r="E7" s="1266" t="s">
        <v>627</v>
      </c>
      <c r="F7" s="1267"/>
      <c r="G7" s="280" t="str">
        <f>RESUMEN!E78</f>
        <v>17-311</v>
      </c>
    </row>
    <row r="8" spans="1:7" x14ac:dyDescent="0.25">
      <c r="A8" s="271" t="s">
        <v>628</v>
      </c>
      <c r="B8" s="1264" t="str">
        <f>RESUMEN!C78</f>
        <v>D00249388000</v>
      </c>
      <c r="C8" s="1265"/>
      <c r="D8" s="1177"/>
      <c r="E8" s="1266" t="s">
        <v>629</v>
      </c>
      <c r="F8" s="1267"/>
      <c r="G8" s="280" t="str">
        <f>RESUMEN!U78</f>
        <v>Acta N° 2: Marzo</v>
      </c>
    </row>
    <row r="9" spans="1:7" x14ac:dyDescent="0.25">
      <c r="A9" s="271" t="s">
        <v>630</v>
      </c>
      <c r="B9" s="1283" t="s">
        <v>631</v>
      </c>
      <c r="C9" s="1265"/>
      <c r="D9" s="1177"/>
      <c r="E9" s="1266" t="s">
        <v>632</v>
      </c>
      <c r="F9" s="1267"/>
      <c r="G9" s="1178">
        <f>RESUMEN!H78</f>
        <v>4324892</v>
      </c>
    </row>
    <row r="10" spans="1:7" x14ac:dyDescent="0.25">
      <c r="A10" s="271" t="s">
        <v>633</v>
      </c>
      <c r="B10" s="1283" t="str">
        <f>RESUMEN!D78</f>
        <v>RIONEGRITO</v>
      </c>
      <c r="C10" s="1265"/>
      <c r="D10" s="1177"/>
      <c r="E10" s="1266" t="s">
        <v>634</v>
      </c>
      <c r="F10" s="1267"/>
      <c r="G10" s="1178">
        <f>RESUMEN!R78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",RESUMEN!G78)</f>
        <v>A los 14 días del mes de Marzo se reunieron en las instalaciones de CODENSA S.A. E.S.P., los ingenieros Ing. Óscar González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RESUMEN!N78</f>
        <v>0</v>
      </c>
      <c r="F19" s="1248"/>
      <c r="G19" s="1177"/>
    </row>
    <row r="20" spans="1:7" ht="27" customHeight="1" x14ac:dyDescent="0.25">
      <c r="A20" s="1177"/>
      <c r="B20" s="1244" t="s">
        <v>1498</v>
      </c>
      <c r="C20" s="1245"/>
      <c r="D20" s="1246"/>
      <c r="E20" s="1247">
        <f>RESUMEN!P78</f>
        <v>0</v>
      </c>
      <c r="F20" s="1248"/>
      <c r="G20" s="1177"/>
    </row>
    <row r="21" spans="1:7" ht="27" customHeight="1" x14ac:dyDescent="0.25">
      <c r="A21" s="1177"/>
      <c r="B21" s="1244" t="s">
        <v>1499</v>
      </c>
      <c r="C21" s="1245"/>
      <c r="D21" s="1246"/>
      <c r="E21" s="1247">
        <f>RESUMEN!Q78</f>
        <v>0</v>
      </c>
      <c r="F21" s="1248"/>
      <c r="G21" s="1177"/>
    </row>
    <row r="22" spans="1:7" x14ac:dyDescent="0.25">
      <c r="A22" s="1177"/>
      <c r="B22" s="1254" t="s">
        <v>64</v>
      </c>
      <c r="C22" s="1254"/>
      <c r="D22" s="1254"/>
      <c r="E22" s="1255">
        <f>RESUMEN!R78</f>
        <v>0</v>
      </c>
      <c r="F22" s="1255"/>
      <c r="G22" s="1177"/>
    </row>
    <row r="23" spans="1:7" x14ac:dyDescent="0.25">
      <c r="A23" s="1177"/>
      <c r="B23" s="1256" t="s">
        <v>66</v>
      </c>
      <c r="C23" s="1256"/>
      <c r="D23" s="1256"/>
      <c r="E23" s="1257">
        <f>RESUMEN!S78</f>
        <v>0</v>
      </c>
      <c r="F23" s="1257"/>
      <c r="G23" s="1177"/>
    </row>
    <row r="24" spans="1:7" x14ac:dyDescent="0.25">
      <c r="A24" s="1177"/>
      <c r="B24" s="1258" t="s">
        <v>1</v>
      </c>
      <c r="C24" s="1258"/>
      <c r="D24" s="1258"/>
      <c r="E24" s="1259">
        <f>RESUMEN!T78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+'OT17-311 RIONEGRITO'!N29</f>
        <v>ACTA 1</v>
      </c>
      <c r="C28" s="1253">
        <f>+'OT17-311 RIONEGRITO'!O29</f>
        <v>1892267</v>
      </c>
      <c r="D28" s="1253"/>
      <c r="E28" s="267">
        <f>+'OT17-311 RIONEGRITO'!P29</f>
        <v>0.4310632496718993</v>
      </c>
      <c r="F28" s="1177"/>
      <c r="G28" s="1177"/>
    </row>
    <row r="29" spans="1:7" x14ac:dyDescent="0.25">
      <c r="A29" s="1177"/>
      <c r="B29" s="280" t="str">
        <f>+'OT17-311 RIONEGRITO'!N30</f>
        <v>ACTA 2</v>
      </c>
      <c r="C29" s="1253">
        <f>+'OT17-311 RIONEGRITO'!O30</f>
        <v>0</v>
      </c>
      <c r="D29" s="1253"/>
      <c r="E29" s="267">
        <f>+'OT17-311 RIONEGRITO'!P30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1892267</v>
      </c>
      <c r="D34" s="1251"/>
      <c r="E34" s="264">
        <f>SUM(E28:E33)</f>
        <v>0.4310632496718993</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RESUMEN!V78</f>
        <v>Ing. Óscar González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3">
    <tabColor rgb="FF72104A"/>
  </sheetPr>
  <dimension ref="A1:S37"/>
  <sheetViews>
    <sheetView topLeftCell="J1" zoomScale="70" zoomScaleNormal="70" workbookViewId="0">
      <selection activeCell="N13" sqref="N13"/>
    </sheetView>
  </sheetViews>
  <sheetFormatPr baseColWidth="10" defaultColWidth="9.109375" defaultRowHeight="14.4" x14ac:dyDescent="0.3"/>
  <cols>
    <col min="1" max="1" width="13.6640625" style="437" customWidth="1"/>
    <col min="2" max="2" width="21.44140625" style="437" customWidth="1"/>
    <col min="3" max="3" width="35.44140625" style="437" customWidth="1"/>
    <col min="4" max="4" width="23.33203125" style="437" customWidth="1"/>
    <col min="5" max="5" width="10.5546875" style="437" bestFit="1" customWidth="1"/>
    <col min="6" max="7" width="17.88671875" style="437" customWidth="1"/>
    <col min="8" max="9" width="16.6640625" style="437" customWidth="1"/>
    <col min="10" max="10" width="62.33203125" style="437" customWidth="1"/>
    <col min="11" max="11" width="17.88671875" style="437" bestFit="1" customWidth="1"/>
    <col min="12" max="12" width="18" style="437" bestFit="1" customWidth="1"/>
    <col min="13" max="13" width="9.109375" style="437"/>
    <col min="14" max="14" width="14.21875" style="437" customWidth="1"/>
    <col min="15" max="15" width="12.88671875" style="437" customWidth="1"/>
    <col min="16" max="16" width="15.6640625" style="437" customWidth="1"/>
    <col min="17" max="17" width="17.88671875" style="437" bestFit="1" customWidth="1"/>
    <col min="18" max="18" width="20.6640625" style="437"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1052"/>
      <c r="O1" s="1052"/>
      <c r="P1" s="1052"/>
      <c r="Q1" s="1328" t="s">
        <v>163</v>
      </c>
      <c r="R1" s="1303"/>
      <c r="S1" s="1304"/>
    </row>
    <row r="2" spans="1:19" ht="13.5" customHeight="1"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1353</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4"/>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174" t="s">
        <v>54</v>
      </c>
      <c r="R13" s="172" t="s">
        <v>56</v>
      </c>
      <c r="S13" s="460" t="s">
        <v>58</v>
      </c>
    </row>
    <row r="14" spans="1:19" ht="30" customHeight="1" x14ac:dyDescent="0.3">
      <c r="A14" s="1441" t="s">
        <v>1186</v>
      </c>
      <c r="B14" s="1441" t="s">
        <v>282</v>
      </c>
      <c r="C14" s="454" t="s">
        <v>81</v>
      </c>
      <c r="D14" s="454" t="s">
        <v>105</v>
      </c>
      <c r="E14" s="454">
        <v>0.35</v>
      </c>
      <c r="F14" s="453">
        <v>417863</v>
      </c>
      <c r="G14" s="32">
        <f>+ROUND(F14*1.051,0)</f>
        <v>439174</v>
      </c>
      <c r="H14" s="453">
        <f>ROUND((E14*F14),0)</f>
        <v>146252</v>
      </c>
      <c r="I14" s="32">
        <f>+ROUND(G14*E14,0)</f>
        <v>153711</v>
      </c>
      <c r="J14" s="1442" t="s">
        <v>1328</v>
      </c>
      <c r="K14" s="474">
        <f>0.35*70%</f>
        <v>0.24499999999999997</v>
      </c>
      <c r="L14" s="429">
        <f>ROUND(K14*G14,0)</f>
        <v>107598</v>
      </c>
      <c r="M14" s="430">
        <f>L14/H14</f>
        <v>0.73570275962038123</v>
      </c>
      <c r="N14" s="452">
        <v>0</v>
      </c>
      <c r="O14" s="425">
        <f>ROUND(N14*G14,0)</f>
        <v>0</v>
      </c>
      <c r="P14" s="426">
        <f>O14/I14</f>
        <v>0</v>
      </c>
      <c r="Q14" s="450">
        <f>K14+N14</f>
        <v>0.24499999999999997</v>
      </c>
      <c r="R14" s="175">
        <f>L14+O14</f>
        <v>107598</v>
      </c>
      <c r="S14" s="176">
        <f>R14/H14</f>
        <v>0.73570275962038123</v>
      </c>
    </row>
    <row r="15" spans="1:19" ht="30" customHeight="1" x14ac:dyDescent="0.3">
      <c r="A15" s="1441"/>
      <c r="B15" s="1441"/>
      <c r="C15" s="454" t="s">
        <v>83</v>
      </c>
      <c r="D15" s="454" t="s">
        <v>107</v>
      </c>
      <c r="E15" s="454">
        <v>0</v>
      </c>
      <c r="F15" s="453">
        <v>1845563</v>
      </c>
      <c r="G15" s="32">
        <f>+ROUND(F15*1.051,0)</f>
        <v>1939687</v>
      </c>
      <c r="H15" s="453">
        <f>ROUND((E15*F15),0)</f>
        <v>0</v>
      </c>
      <c r="I15" s="32">
        <f>+ROUND(G15*E15,0)</f>
        <v>0</v>
      </c>
      <c r="J15" s="1442"/>
      <c r="K15" s="452">
        <v>0</v>
      </c>
      <c r="L15" s="425">
        <f>ROUND(K15*G15,0)</f>
        <v>0</v>
      </c>
      <c r="M15" s="426">
        <v>0</v>
      </c>
      <c r="N15" s="452">
        <v>0</v>
      </c>
      <c r="O15" s="425">
        <f>ROUND(N15*G15,0)</f>
        <v>0</v>
      </c>
      <c r="P15" s="426">
        <v>0</v>
      </c>
      <c r="Q15" s="450">
        <f t="shared" ref="Q15:Q17" si="0">K15+N15</f>
        <v>0</v>
      </c>
      <c r="R15" s="175">
        <f t="shared" ref="R15:R18" si="1">L15+O15</f>
        <v>0</v>
      </c>
      <c r="S15" s="176">
        <v>0</v>
      </c>
    </row>
    <row r="16" spans="1:19" x14ac:dyDescent="0.3">
      <c r="A16" s="1441"/>
      <c r="B16" s="1441"/>
      <c r="C16" s="459"/>
      <c r="D16" s="459" t="s">
        <v>108</v>
      </c>
      <c r="E16" s="458"/>
      <c r="F16" s="458"/>
      <c r="G16" s="458"/>
      <c r="H16" s="457">
        <f>SUM(H14:H15)</f>
        <v>146252</v>
      </c>
      <c r="I16" s="457">
        <f>SUM(I14:I15)</f>
        <v>153711</v>
      </c>
      <c r="J16" s="1442"/>
      <c r="K16" s="431"/>
      <c r="L16" s="179">
        <f>SUM(L14:L15)</f>
        <v>107598</v>
      </c>
      <c r="M16" s="431">
        <f>L16/$H$16</f>
        <v>0.73570275962038123</v>
      </c>
      <c r="N16" s="431"/>
      <c r="O16" s="179">
        <f>SUM(O14:O15)</f>
        <v>0</v>
      </c>
      <c r="P16" s="1091">
        <f t="shared" ref="P16:P18" si="2">O16/I16</f>
        <v>0</v>
      </c>
      <c r="Q16" s="1089">
        <f t="shared" si="0"/>
        <v>0</v>
      </c>
      <c r="R16" s="1078">
        <f t="shared" si="1"/>
        <v>107598</v>
      </c>
      <c r="S16" s="431">
        <f>R16/H16</f>
        <v>0.73570275962038123</v>
      </c>
    </row>
    <row r="17" spans="1:19" ht="30" customHeight="1" x14ac:dyDescent="0.3">
      <c r="A17" s="1441" t="s">
        <v>1186</v>
      </c>
      <c r="B17" s="1441" t="s">
        <v>194</v>
      </c>
      <c r="C17" s="454" t="s">
        <v>160</v>
      </c>
      <c r="D17" s="454" t="s">
        <v>161</v>
      </c>
      <c r="E17" s="454">
        <v>60</v>
      </c>
      <c r="F17" s="453">
        <v>69644</v>
      </c>
      <c r="G17" s="32">
        <f>+ROUND(F17*1.051,0)</f>
        <v>73196</v>
      </c>
      <c r="H17" s="453">
        <f>ROUND((E17*F17),0)</f>
        <v>4178640</v>
      </c>
      <c r="I17" s="32">
        <f>+ROUND(G17*E17,0)</f>
        <v>4391760</v>
      </c>
      <c r="J17" s="1442" t="s">
        <v>1327</v>
      </c>
      <c r="K17" s="474">
        <v>24</v>
      </c>
      <c r="L17" s="429">
        <f>ROUND(K17*G17,0)</f>
        <v>1756704</v>
      </c>
      <c r="M17" s="430">
        <f>L17/H17</f>
        <v>0.42040089598529667</v>
      </c>
      <c r="N17" s="452">
        <v>0</v>
      </c>
      <c r="O17" s="425">
        <f>ROUND(N17*G17,0)</f>
        <v>0</v>
      </c>
      <c r="P17" s="426">
        <f t="shared" si="2"/>
        <v>0</v>
      </c>
      <c r="Q17" s="450">
        <f t="shared" si="0"/>
        <v>24</v>
      </c>
      <c r="R17" s="175">
        <f t="shared" si="1"/>
        <v>1756704</v>
      </c>
      <c r="S17" s="176">
        <f>R17/H17</f>
        <v>0.42040089598529667</v>
      </c>
    </row>
    <row r="18" spans="1:19" x14ac:dyDescent="0.3">
      <c r="A18" s="1441"/>
      <c r="B18" s="1441"/>
      <c r="C18" s="459"/>
      <c r="D18" s="459" t="s">
        <v>162</v>
      </c>
      <c r="E18" s="458"/>
      <c r="F18" s="458"/>
      <c r="G18" s="458"/>
      <c r="H18" s="457">
        <f>H17</f>
        <v>4178640</v>
      </c>
      <c r="I18" s="457">
        <f>SUM(I17)</f>
        <v>4391760</v>
      </c>
      <c r="J18" s="1442"/>
      <c r="K18" s="431"/>
      <c r="L18" s="179">
        <f>L17</f>
        <v>1756704</v>
      </c>
      <c r="M18" s="431">
        <f>L18/$H$18</f>
        <v>0.42040089598529667</v>
      </c>
      <c r="N18" s="431"/>
      <c r="O18" s="179">
        <f>O17</f>
        <v>0</v>
      </c>
      <c r="P18" s="1091">
        <f t="shared" si="2"/>
        <v>0</v>
      </c>
      <c r="Q18" s="1101"/>
      <c r="R18" s="1078">
        <f t="shared" si="1"/>
        <v>1756704</v>
      </c>
      <c r="S18" s="431">
        <f>R18/H18</f>
        <v>0.42040089598529667</v>
      </c>
    </row>
    <row r="19" spans="1:19" x14ac:dyDescent="0.3">
      <c r="F19" s="445" t="s">
        <v>64</v>
      </c>
      <c r="G19" s="445"/>
      <c r="H19" s="181">
        <f>SUM(H7:H18)/2</f>
        <v>4324892</v>
      </c>
      <c r="I19" s="181">
        <f>SUM(I7:I18)/2</f>
        <v>4545471</v>
      </c>
      <c r="K19" s="547" t="s">
        <v>64</v>
      </c>
      <c r="L19" s="481">
        <f>SUM(L7:L18)/2</f>
        <v>1864302</v>
      </c>
      <c r="M19" s="463">
        <f>L19/$H$19</f>
        <v>0.4310632496718993</v>
      </c>
      <c r="N19" s="547" t="s">
        <v>64</v>
      </c>
      <c r="O19" s="481">
        <f>SUM(O7:O18)/2</f>
        <v>0</v>
      </c>
      <c r="P19" s="463">
        <f>O19/$H$19</f>
        <v>0</v>
      </c>
      <c r="Q19" s="547" t="s">
        <v>64</v>
      </c>
      <c r="R19" s="481">
        <f>SUM(R7:R18)/2</f>
        <v>1864302</v>
      </c>
      <c r="S19" s="463">
        <f>R19/H19</f>
        <v>0.4310632496718993</v>
      </c>
    </row>
    <row r="20" spans="1:19" ht="26.4" x14ac:dyDescent="0.3">
      <c r="F20" s="444" t="s">
        <v>65</v>
      </c>
      <c r="G20" s="444"/>
      <c r="H20" s="181">
        <v>0</v>
      </c>
      <c r="I20" s="181">
        <v>0</v>
      </c>
      <c r="K20" s="548" t="s">
        <v>65</v>
      </c>
      <c r="L20" s="481">
        <v>0</v>
      </c>
      <c r="N20" s="548" t="s">
        <v>65</v>
      </c>
      <c r="O20" s="481">
        <v>0</v>
      </c>
      <c r="Q20" s="548" t="s">
        <v>65</v>
      </c>
      <c r="R20" s="481">
        <v>0</v>
      </c>
    </row>
    <row r="21" spans="1:19" x14ac:dyDescent="0.3">
      <c r="F21" s="443" t="s">
        <v>64</v>
      </c>
      <c r="G21" s="443"/>
      <c r="H21" s="340">
        <f>SUM(H19:H20)</f>
        <v>4324892</v>
      </c>
      <c r="I21" s="340">
        <f>SUM(I19:I20)</f>
        <v>4545471</v>
      </c>
      <c r="K21" s="549" t="s">
        <v>64</v>
      </c>
      <c r="L21" s="550">
        <f>SUM(L19:L20)</f>
        <v>1864302</v>
      </c>
      <c r="N21" s="549" t="s">
        <v>64</v>
      </c>
      <c r="O21" s="550">
        <f>SUM(O19:O20)</f>
        <v>0</v>
      </c>
      <c r="Q21" s="549" t="s">
        <v>64</v>
      </c>
      <c r="R21" s="550">
        <f>SUM(R19:R20)</f>
        <v>1864302</v>
      </c>
    </row>
    <row r="22" spans="1:19" ht="26.4" x14ac:dyDescent="0.3">
      <c r="F22" s="443"/>
      <c r="G22" s="443"/>
      <c r="H22" s="340"/>
      <c r="I22" s="340"/>
      <c r="K22" s="484" t="s">
        <v>1439</v>
      </c>
      <c r="L22" s="483">
        <f>ROUND(L21*0.015,0)</f>
        <v>27965</v>
      </c>
      <c r="N22" s="484" t="s">
        <v>1439</v>
      </c>
      <c r="O22" s="483">
        <f>ROUND(O21*0.015,0)</f>
        <v>0</v>
      </c>
      <c r="Q22" s="484" t="s">
        <v>1439</v>
      </c>
      <c r="R22" s="550">
        <f>L22+O22</f>
        <v>27965</v>
      </c>
    </row>
    <row r="23" spans="1:19" ht="39.6" x14ac:dyDescent="0.3">
      <c r="F23" s="443"/>
      <c r="G23" s="443"/>
      <c r="H23" s="340"/>
      <c r="I23" s="340"/>
      <c r="K23" s="152" t="s">
        <v>1440</v>
      </c>
      <c r="L23" s="182">
        <f>L21+L22</f>
        <v>1892267</v>
      </c>
      <c r="N23" s="152" t="s">
        <v>1440</v>
      </c>
      <c r="O23" s="182">
        <f>O21+O22</f>
        <v>0</v>
      </c>
      <c r="Q23" s="152" t="s">
        <v>1440</v>
      </c>
      <c r="R23" s="182">
        <f>R21+R22</f>
        <v>1892267</v>
      </c>
    </row>
    <row r="24" spans="1:19" x14ac:dyDescent="0.3">
      <c r="F24" s="442" t="s">
        <v>66</v>
      </c>
      <c r="G24" s="442"/>
      <c r="H24" s="181">
        <f>+H21*19%</f>
        <v>821729.48</v>
      </c>
      <c r="I24" s="181">
        <f>+I21*19%</f>
        <v>863639.49</v>
      </c>
      <c r="K24" s="551" t="s">
        <v>66</v>
      </c>
      <c r="L24" s="483">
        <f>ROUND(L23*0.19,0)</f>
        <v>359531</v>
      </c>
      <c r="N24" s="551" t="s">
        <v>66</v>
      </c>
      <c r="O24" s="483">
        <f>ROUND(O23*0.19,0)</f>
        <v>0</v>
      </c>
      <c r="Q24" s="551" t="s">
        <v>66</v>
      </c>
      <c r="R24" s="483">
        <f>ROUND(R23*0.19,0)</f>
        <v>359531</v>
      </c>
    </row>
    <row r="25" spans="1:19" x14ac:dyDescent="0.3">
      <c r="F25" s="441" t="s">
        <v>69</v>
      </c>
      <c r="G25" s="441"/>
      <c r="H25" s="181">
        <f>+H21+H24</f>
        <v>5146621.4800000004</v>
      </c>
      <c r="I25" s="181">
        <f>+I21+I24</f>
        <v>5409110.4900000002</v>
      </c>
      <c r="K25" s="552" t="s">
        <v>69</v>
      </c>
      <c r="L25" s="481">
        <f>L23+L24</f>
        <v>2251798</v>
      </c>
      <c r="N25" s="552" t="s">
        <v>69</v>
      </c>
      <c r="O25" s="481">
        <f>O23+O24</f>
        <v>0</v>
      </c>
      <c r="Q25" s="552" t="s">
        <v>69</v>
      </c>
      <c r="R25" s="481">
        <f>R23+R24</f>
        <v>2251798</v>
      </c>
    </row>
    <row r="26" spans="1:19" x14ac:dyDescent="0.3">
      <c r="K26" s="563"/>
      <c r="L26" s="563"/>
      <c r="N26" s="563"/>
      <c r="O26" s="563"/>
      <c r="Q26" s="563"/>
      <c r="R26" s="563"/>
    </row>
    <row r="28" spans="1:19" s="189" customFormat="1" ht="26.4" x14ac:dyDescent="0.3">
      <c r="A28" s="183" t="s">
        <v>67</v>
      </c>
      <c r="B28" s="184"/>
      <c r="C28" s="184"/>
      <c r="D28" s="185" t="s">
        <v>68</v>
      </c>
      <c r="G28" s="852"/>
      <c r="I28" s="852"/>
      <c r="K28" s="186" t="s">
        <v>70</v>
      </c>
      <c r="L28" s="187" t="s">
        <v>71</v>
      </c>
      <c r="M28" s="186" t="s">
        <v>58</v>
      </c>
      <c r="N28" s="186" t="s">
        <v>70</v>
      </c>
      <c r="O28" s="187" t="s">
        <v>71</v>
      </c>
      <c r="P28" s="186" t="s">
        <v>58</v>
      </c>
      <c r="Q28" s="437"/>
      <c r="R28" s="437"/>
      <c r="S28" s="437"/>
    </row>
    <row r="29" spans="1:19" s="189" customFormat="1" x14ac:dyDescent="0.3">
      <c r="A29" s="183"/>
      <c r="B29" s="184"/>
      <c r="C29" s="184"/>
      <c r="D29" s="185"/>
      <c r="G29" s="852"/>
      <c r="I29" s="852"/>
      <c r="K29" s="69" t="s">
        <v>72</v>
      </c>
      <c r="L29" s="70">
        <f>$L$23</f>
        <v>1892267</v>
      </c>
      <c r="M29" s="71">
        <f>$M$19</f>
        <v>0.4310632496718993</v>
      </c>
      <c r="N29" s="69" t="s">
        <v>72</v>
      </c>
      <c r="O29" s="70">
        <f>$L$23</f>
        <v>1892267</v>
      </c>
      <c r="P29" s="71">
        <f>$M$19</f>
        <v>0.4310632496718993</v>
      </c>
      <c r="Q29" s="437"/>
      <c r="R29" s="437"/>
      <c r="S29" s="437"/>
    </row>
    <row r="30" spans="1:19" s="189" customFormat="1" x14ac:dyDescent="0.3">
      <c r="A30" s="183"/>
      <c r="B30" s="184"/>
      <c r="C30" s="184"/>
      <c r="D30" s="185"/>
      <c r="G30" s="852"/>
      <c r="I30" s="852"/>
      <c r="K30" s="72" t="s">
        <v>1</v>
      </c>
      <c r="L30" s="105">
        <f>SUM(L29:L29)</f>
        <v>1892267</v>
      </c>
      <c r="M30" s="73">
        <f>SUM(M29:M29)</f>
        <v>0.4310632496718993</v>
      </c>
      <c r="N30" s="69" t="s">
        <v>73</v>
      </c>
      <c r="O30" s="70">
        <f>$O$23</f>
        <v>0</v>
      </c>
      <c r="P30" s="71">
        <f>$P$19</f>
        <v>0</v>
      </c>
      <c r="Q30" s="437"/>
      <c r="R30" s="437"/>
      <c r="S30" s="437"/>
    </row>
    <row r="31" spans="1:19" s="189" customFormat="1" x14ac:dyDescent="0.3">
      <c r="A31" s="183"/>
      <c r="B31" s="184"/>
      <c r="C31" s="184"/>
      <c r="D31" s="185"/>
      <c r="G31" s="852"/>
      <c r="I31" s="852"/>
      <c r="K31" s="72" t="s">
        <v>9</v>
      </c>
      <c r="L31" s="1423"/>
      <c r="M31" s="1424"/>
      <c r="N31" s="72" t="s">
        <v>1</v>
      </c>
      <c r="O31" s="105">
        <f>SUM(O29:O30)</f>
        <v>1892267</v>
      </c>
      <c r="P31" s="73">
        <f>SUM(P29:P30)</f>
        <v>0.4310632496718993</v>
      </c>
      <c r="Q31" s="437"/>
      <c r="R31" s="437"/>
      <c r="S31" s="437"/>
    </row>
    <row r="32" spans="1:19" s="189" customFormat="1" x14ac:dyDescent="0.3">
      <c r="A32" s="183"/>
      <c r="B32" s="184"/>
      <c r="C32" s="184"/>
      <c r="D32" s="185"/>
      <c r="G32" s="852"/>
      <c r="I32" s="852"/>
      <c r="K32" s="440" t="s">
        <v>78</v>
      </c>
      <c r="L32" s="1423" t="s">
        <v>1984</v>
      </c>
      <c r="M32" s="1424"/>
      <c r="N32" s="72" t="s">
        <v>9</v>
      </c>
      <c r="O32" s="1423"/>
      <c r="P32" s="1424"/>
      <c r="Q32" s="437"/>
      <c r="R32" s="437"/>
      <c r="S32" s="437"/>
    </row>
    <row r="33" spans="1:19" s="189" customFormat="1" x14ac:dyDescent="0.3">
      <c r="A33" s="183"/>
      <c r="B33" s="184"/>
      <c r="C33" s="184"/>
      <c r="D33" s="185"/>
      <c r="G33" s="852"/>
      <c r="I33" s="852"/>
      <c r="K33" s="439" t="s">
        <v>8</v>
      </c>
      <c r="L33" s="1423" t="s">
        <v>1985</v>
      </c>
      <c r="M33" s="1424"/>
      <c r="N33" s="440" t="s">
        <v>78</v>
      </c>
      <c r="O33" s="1423" t="s">
        <v>1984</v>
      </c>
      <c r="P33" s="1424"/>
      <c r="Q33" s="437"/>
      <c r="R33" s="437"/>
      <c r="S33" s="437"/>
    </row>
    <row r="34" spans="1:19" s="189" customFormat="1" x14ac:dyDescent="0.3">
      <c r="A34" s="183"/>
      <c r="B34" s="184"/>
      <c r="C34" s="184"/>
      <c r="D34" s="185" t="s">
        <v>75</v>
      </c>
      <c r="G34" s="852"/>
      <c r="I34" s="852"/>
      <c r="N34" s="439" t="s">
        <v>8</v>
      </c>
      <c r="O34" s="1423" t="s">
        <v>1985</v>
      </c>
      <c r="P34" s="1424"/>
    </row>
    <row r="35" spans="1:19" s="189" customFormat="1" x14ac:dyDescent="0.3">
      <c r="A35" s="183" t="s">
        <v>76</v>
      </c>
      <c r="B35" s="180"/>
      <c r="C35" s="180"/>
      <c r="D35" s="185" t="s">
        <v>77</v>
      </c>
      <c r="G35" s="852"/>
      <c r="I35" s="852"/>
      <c r="N35" s="1055"/>
      <c r="O35" s="1055"/>
      <c r="P35" s="1055"/>
    </row>
    <row r="36" spans="1:19" s="189" customFormat="1" ht="26.4" x14ac:dyDescent="0.3">
      <c r="A36" s="183" t="s">
        <v>79</v>
      </c>
      <c r="B36" s="180"/>
      <c r="C36" s="180"/>
      <c r="D36" s="185" t="s">
        <v>80</v>
      </c>
      <c r="G36" s="852"/>
      <c r="I36" s="852"/>
      <c r="N36" s="1055"/>
      <c r="O36" s="1055"/>
      <c r="P36" s="1055"/>
    </row>
    <row r="37" spans="1:19" x14ac:dyDescent="0.3">
      <c r="N37" s="1055"/>
      <c r="O37" s="1055"/>
      <c r="P37" s="1055"/>
    </row>
  </sheetData>
  <sheetProtection formatCells="0" formatColumns="0" formatRows="0" insertColumns="0" insertRows="0" insertHyperlinks="0" deleteColumns="0" deleteRows="0" sort="0" autoFilter="0" pivotTables="0"/>
  <mergeCells count="28">
    <mergeCell ref="A6:S6"/>
    <mergeCell ref="A7:S7"/>
    <mergeCell ref="A8:S8"/>
    <mergeCell ref="J14:J16"/>
    <mergeCell ref="A17:A18"/>
    <mergeCell ref="B17:B18"/>
    <mergeCell ref="J17:J18"/>
    <mergeCell ref="A9:S9"/>
    <mergeCell ref="A10:S10"/>
    <mergeCell ref="A14:A16"/>
    <mergeCell ref="B14:B16"/>
    <mergeCell ref="B11:J11"/>
    <mergeCell ref="K11:M12"/>
    <mergeCell ref="Q1:S1"/>
    <mergeCell ref="Q2:S2"/>
    <mergeCell ref="A3:S3"/>
    <mergeCell ref="A4:S4"/>
    <mergeCell ref="A5:S5"/>
    <mergeCell ref="C1:M2"/>
    <mergeCell ref="O32:P32"/>
    <mergeCell ref="O33:P33"/>
    <mergeCell ref="O34:P34"/>
    <mergeCell ref="Q11:S12"/>
    <mergeCell ref="B12:J12"/>
    <mergeCell ref="N11:P12"/>
    <mergeCell ref="L31:M31"/>
    <mergeCell ref="L32:M32"/>
    <mergeCell ref="L33:M33"/>
  </mergeCells>
  <pageMargins left="0.7" right="0.7" top="0.75" bottom="0.75" header="0.3" footer="0.3"/>
  <pageSetup scale="36" orientation="landscape" r:id="rId1"/>
  <drawing r:id="rId2"/>
  <legacyDrawingHF r:id="rId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4">
    <tabColor theme="1"/>
  </sheetPr>
  <dimension ref="A1:G49"/>
  <sheetViews>
    <sheetView topLeftCell="A13" zoomScaleNormal="10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RESUMEN!G79</f>
        <v>Proyecto: CDIE_CBCCSM_R0178 REPOSICIÓN INTERRUPTORES</v>
      </c>
      <c r="C5" s="1281"/>
      <c r="D5" s="1281"/>
      <c r="E5" s="1281"/>
      <c r="F5" s="1281"/>
      <c r="G5" s="1282"/>
    </row>
    <row r="6" spans="1:7" x14ac:dyDescent="0.25">
      <c r="A6" s="1177"/>
      <c r="B6" s="1177"/>
      <c r="C6" s="1177"/>
      <c r="D6" s="1177"/>
      <c r="E6" s="1177"/>
      <c r="F6" s="1177"/>
      <c r="G6" s="1177"/>
    </row>
    <row r="7" spans="1:7" x14ac:dyDescent="0.25">
      <c r="A7" s="271" t="s">
        <v>0</v>
      </c>
      <c r="B7" s="1264" t="str">
        <f>RESUMEN!B79</f>
        <v>D00240791</v>
      </c>
      <c r="C7" s="1265"/>
      <c r="D7" s="1177"/>
      <c r="E7" s="1266" t="s">
        <v>627</v>
      </c>
      <c r="F7" s="1267"/>
      <c r="G7" s="280" t="str">
        <f>RESUMEN!E79</f>
        <v xml:space="preserve">17-312 </v>
      </c>
    </row>
    <row r="8" spans="1:7" x14ac:dyDescent="0.25">
      <c r="A8" s="271" t="s">
        <v>628</v>
      </c>
      <c r="B8" s="1264" t="str">
        <f>RESUMEN!C79</f>
        <v>D00240791000</v>
      </c>
      <c r="C8" s="1265"/>
      <c r="D8" s="1177"/>
      <c r="E8" s="1266" t="s">
        <v>629</v>
      </c>
      <c r="F8" s="1267"/>
      <c r="G8" s="280" t="str">
        <f>RESUMEN!U79</f>
        <v>Acta N° 3: Marzo</v>
      </c>
    </row>
    <row r="9" spans="1:7" x14ac:dyDescent="0.25">
      <c r="A9" s="271" t="s">
        <v>630</v>
      </c>
      <c r="B9" s="1283" t="s">
        <v>631</v>
      </c>
      <c r="C9" s="1265"/>
      <c r="D9" s="1177"/>
      <c r="E9" s="1266" t="s">
        <v>632</v>
      </c>
      <c r="F9" s="1267"/>
      <c r="G9" s="1178">
        <f>RESUMEN!H79</f>
        <v>22387024</v>
      </c>
    </row>
    <row r="10" spans="1:7" x14ac:dyDescent="0.25">
      <c r="A10" s="271" t="s">
        <v>633</v>
      </c>
      <c r="B10" s="1283" t="str">
        <f>RESUMEN!D79</f>
        <v>FONTIBÓN</v>
      </c>
      <c r="C10" s="1265"/>
      <c r="D10" s="1177"/>
      <c r="E10" s="1266" t="s">
        <v>634</v>
      </c>
      <c r="F10" s="1267"/>
      <c r="G10" s="1178">
        <f>RESUMEN!R79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RESUMEN!V79,"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",RESUMEN!G79)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CDIE_CBCCSM_R0178 REPOSICIÓN INTERRUPTORES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RESUMEN!N79</f>
        <v>0</v>
      </c>
      <c r="F19" s="1248"/>
      <c r="G19" s="1177"/>
    </row>
    <row r="20" spans="1:7" ht="27" customHeight="1" x14ac:dyDescent="0.25">
      <c r="A20" s="1177"/>
      <c r="B20" s="1244" t="s">
        <v>1498</v>
      </c>
      <c r="C20" s="1245"/>
      <c r="D20" s="1246"/>
      <c r="E20" s="1247">
        <f>RESUMEN!P79</f>
        <v>0</v>
      </c>
      <c r="F20" s="1248"/>
      <c r="G20" s="1177"/>
    </row>
    <row r="21" spans="1:7" ht="27" customHeight="1" x14ac:dyDescent="0.25">
      <c r="A21" s="1177"/>
      <c r="B21" s="1244" t="s">
        <v>1499</v>
      </c>
      <c r="C21" s="1245"/>
      <c r="D21" s="1246"/>
      <c r="E21" s="1247">
        <f>RESUMEN!Q79</f>
        <v>0</v>
      </c>
      <c r="F21" s="1248"/>
      <c r="G21" s="1177"/>
    </row>
    <row r="22" spans="1:7" x14ac:dyDescent="0.25">
      <c r="A22" s="1177"/>
      <c r="B22" s="1254" t="s">
        <v>64</v>
      </c>
      <c r="C22" s="1254"/>
      <c r="D22" s="1254"/>
      <c r="E22" s="1255">
        <f>RESUMEN!R79</f>
        <v>0</v>
      </c>
      <c r="F22" s="1255"/>
      <c r="G22" s="1177"/>
    </row>
    <row r="23" spans="1:7" x14ac:dyDescent="0.25">
      <c r="A23" s="1177"/>
      <c r="B23" s="1256" t="s">
        <v>66</v>
      </c>
      <c r="C23" s="1256"/>
      <c r="D23" s="1256"/>
      <c r="E23" s="1257">
        <f>RESUMEN!S79</f>
        <v>0</v>
      </c>
      <c r="F23" s="1257"/>
      <c r="G23" s="1177"/>
    </row>
    <row r="24" spans="1:7" x14ac:dyDescent="0.25">
      <c r="A24" s="1177"/>
      <c r="B24" s="1258" t="s">
        <v>1</v>
      </c>
      <c r="C24" s="1258"/>
      <c r="D24" s="1258"/>
      <c r="E24" s="1259">
        <f>RESUMEN!T79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+'OT17-312 FONTIBÓN'!Q47</f>
        <v>ACTA 1</v>
      </c>
      <c r="C28" s="1253">
        <f>+'OT17-312 FONTIBÓN'!R47</f>
        <v>12191160</v>
      </c>
      <c r="D28" s="1253"/>
      <c r="E28" s="267">
        <f>+'OT17-312 FONTIBÓN'!S47</f>
        <v>0.54456367224156277</v>
      </c>
      <c r="F28" s="1177"/>
      <c r="G28" s="1177"/>
    </row>
    <row r="29" spans="1:7" x14ac:dyDescent="0.25">
      <c r="A29" s="1177"/>
      <c r="B29" s="280" t="str">
        <f>+'OT17-312 FONTIBÓN'!Q48</f>
        <v>ACTA 2</v>
      </c>
      <c r="C29" s="1253">
        <f>+'OT17-312 FONTIBÓN'!R48</f>
        <v>5789392</v>
      </c>
      <c r="D29" s="1253"/>
      <c r="E29" s="267">
        <f>+'OT17-312 FONTIBÓN'!S48</f>
        <v>0.25860480606980185</v>
      </c>
      <c r="F29" s="1177"/>
      <c r="G29" s="1177"/>
    </row>
    <row r="30" spans="1:7" x14ac:dyDescent="0.25">
      <c r="A30" s="1177"/>
      <c r="B30" s="280" t="str">
        <f>+'OT17-312 FONTIBÓN'!Q49</f>
        <v>ACTA 3</v>
      </c>
      <c r="C30" s="1253">
        <f>+'OT17-312 FONTIBÓN'!R49</f>
        <v>0</v>
      </c>
      <c r="D30" s="1253"/>
      <c r="E30" s="267">
        <f>+'OT17-312 FONTIBÓN'!S49</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17980552</v>
      </c>
      <c r="D34" s="1251"/>
      <c r="E34" s="264">
        <f>SUM(E28:E33)</f>
        <v>0.80316847831136462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RESUMEN!V79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6"/>
  <dimension ref="A1:V55"/>
  <sheetViews>
    <sheetView topLeftCell="D25" zoomScale="70" zoomScaleNormal="70" workbookViewId="0">
      <selection activeCell="F26" sqref="F26"/>
    </sheetView>
  </sheetViews>
  <sheetFormatPr baseColWidth="10" defaultColWidth="9.109375" defaultRowHeight="14.4" x14ac:dyDescent="0.3"/>
  <cols>
    <col min="1" max="1" width="18.5546875" style="437" customWidth="1"/>
    <col min="2" max="2" width="23.6640625" style="437" customWidth="1"/>
    <col min="3" max="3" width="42.6640625" style="437" customWidth="1"/>
    <col min="4" max="4" width="25.6640625" style="437" customWidth="1"/>
    <col min="5" max="5" width="18" style="437" customWidth="1"/>
    <col min="6" max="7" width="17.88671875" style="437" customWidth="1"/>
    <col min="8" max="9" width="17.6640625" style="437" customWidth="1"/>
    <col min="10" max="10" width="53" style="437" customWidth="1"/>
    <col min="11" max="11" width="17.88671875" style="437" hidden="1" customWidth="1"/>
    <col min="12" max="12" width="18" style="437" hidden="1" customWidth="1"/>
    <col min="13" max="13" width="9.109375" style="437" hidden="1" customWidth="1"/>
    <col min="14" max="14" width="17.88671875" style="437" customWidth="1"/>
    <col min="15" max="15" width="18" style="437" bestFit="1" customWidth="1"/>
    <col min="16" max="16" width="9.109375" style="437"/>
    <col min="17" max="17" width="17.88671875" style="437" customWidth="1"/>
    <col min="18" max="18" width="18" style="437" bestFit="1" customWidth="1"/>
    <col min="19" max="19" width="9.109375" style="437"/>
    <col min="20" max="21" width="17.88671875" style="437" bestFit="1" customWidth="1"/>
    <col min="22"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1308"/>
      <c r="O1" s="1308"/>
      <c r="P1" s="1309"/>
      <c r="Q1" s="733"/>
      <c r="R1" s="733"/>
      <c r="S1" s="733"/>
      <c r="T1" s="1328" t="s">
        <v>1095</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2"/>
      <c r="Q2" s="734"/>
      <c r="R2" s="734"/>
      <c r="S2" s="734"/>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1096</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1360</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34"/>
      <c r="B11" s="1301"/>
      <c r="C11" s="1313"/>
      <c r="D11" s="1313"/>
      <c r="E11" s="1313"/>
      <c r="F11" s="1313"/>
      <c r="G11" s="1313"/>
      <c r="H11" s="1313"/>
      <c r="I11" s="1313"/>
      <c r="J11" s="1313"/>
      <c r="K11" s="1293" t="s">
        <v>986</v>
      </c>
      <c r="L11" s="1294"/>
      <c r="M11" s="1295"/>
      <c r="N11" s="1470" t="s">
        <v>1430</v>
      </c>
      <c r="O11" s="1471"/>
      <c r="P11" s="1472"/>
      <c r="Q11" s="1470" t="s">
        <v>2318</v>
      </c>
      <c r="R11" s="1471"/>
      <c r="S11" s="1472"/>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473"/>
      <c r="O12" s="1474"/>
      <c r="P12" s="1475"/>
      <c r="Q12" s="1473"/>
      <c r="R12" s="1474"/>
      <c r="S12" s="1475"/>
      <c r="T12" s="1300"/>
      <c r="U12" s="1300"/>
      <c r="V12" s="1300"/>
    </row>
    <row r="13" spans="1:22" ht="32.25" customHeight="1"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460" t="s">
        <v>54</v>
      </c>
      <c r="R13" s="460" t="s">
        <v>56</v>
      </c>
      <c r="S13" s="460" t="s">
        <v>58</v>
      </c>
      <c r="T13" s="174" t="s">
        <v>54</v>
      </c>
      <c r="U13" s="172" t="s">
        <v>56</v>
      </c>
      <c r="V13" s="460" t="s">
        <v>58</v>
      </c>
    </row>
    <row r="14" spans="1:22" ht="30" customHeight="1" x14ac:dyDescent="0.3">
      <c r="A14" s="1441" t="s">
        <v>1359</v>
      </c>
      <c r="B14" s="1441" t="s">
        <v>216</v>
      </c>
      <c r="C14" s="454" t="s">
        <v>81</v>
      </c>
      <c r="D14" s="454" t="s">
        <v>82</v>
      </c>
      <c r="E14" s="454">
        <v>0.45</v>
      </c>
      <c r="F14" s="453">
        <v>1880385</v>
      </c>
      <c r="G14" s="32">
        <f>+ROUND(F14*1.051,0)</f>
        <v>1976285</v>
      </c>
      <c r="H14" s="453">
        <f>ROUND((E14*F14),0)</f>
        <v>846173</v>
      </c>
      <c r="I14" s="32">
        <f>+ROUND(G14*E14,0)</f>
        <v>889328</v>
      </c>
      <c r="J14" s="1441" t="s">
        <v>1357</v>
      </c>
      <c r="K14" s="452">
        <v>0</v>
      </c>
      <c r="L14" s="425">
        <f>ROUND(K14*$F$14,0)</f>
        <v>0</v>
      </c>
      <c r="M14" s="426">
        <f>L14/$H$14</f>
        <v>0</v>
      </c>
      <c r="N14" s="474">
        <v>0.45</v>
      </c>
      <c r="O14" s="429">
        <f>ROUND(N14*$F$14,0)</f>
        <v>846173</v>
      </c>
      <c r="P14" s="430">
        <f>O14/$H$14</f>
        <v>1</v>
      </c>
      <c r="Q14" s="452">
        <v>0</v>
      </c>
      <c r="R14" s="425">
        <f>ROUND(Q14*$F$14,0)</f>
        <v>0</v>
      </c>
      <c r="S14" s="426">
        <f>R14/$I$14</f>
        <v>0</v>
      </c>
      <c r="T14" s="450">
        <f>K14+N14+Q14</f>
        <v>0.45</v>
      </c>
      <c r="U14" s="175">
        <f t="shared" ref="T14:U16" si="0">L14+O14+R14</f>
        <v>846173</v>
      </c>
      <c r="V14" s="176">
        <f t="shared" ref="V14:V36" si="1">U14/H14</f>
        <v>1</v>
      </c>
    </row>
    <row r="15" spans="1:22" ht="30" customHeight="1" x14ac:dyDescent="0.3">
      <c r="A15" s="1441"/>
      <c r="B15" s="1441"/>
      <c r="C15" s="454" t="s">
        <v>83</v>
      </c>
      <c r="D15" s="454" t="s">
        <v>84</v>
      </c>
      <c r="E15" s="454">
        <v>0.3</v>
      </c>
      <c r="F15" s="453">
        <v>1845563</v>
      </c>
      <c r="G15" s="32">
        <f t="shared" ref="G15:G35" si="2">+ROUND(F15*1.051,0)</f>
        <v>1939687</v>
      </c>
      <c r="H15" s="453">
        <f>ROUND((E15*F15),0)</f>
        <v>553669</v>
      </c>
      <c r="I15" s="32">
        <f t="shared" ref="I15:I35" si="3">+ROUND(G15*E15,0)</f>
        <v>581906</v>
      </c>
      <c r="J15" s="1441"/>
      <c r="K15" s="452">
        <v>0</v>
      </c>
      <c r="L15" s="425">
        <f>ROUND(K15*$F$15,0)</f>
        <v>0</v>
      </c>
      <c r="M15" s="426">
        <f>L15/$H$15</f>
        <v>0</v>
      </c>
      <c r="N15" s="474">
        <v>0.3</v>
      </c>
      <c r="O15" s="429">
        <f>ROUND(N15*$F$15,0)</f>
        <v>553669</v>
      </c>
      <c r="P15" s="430">
        <f>O15/$H$15</f>
        <v>1</v>
      </c>
      <c r="Q15" s="452">
        <v>0</v>
      </c>
      <c r="R15" s="425">
        <f>ROUND(Q15*$F$15,0)</f>
        <v>0</v>
      </c>
      <c r="S15" s="426">
        <f>R15/$I$15</f>
        <v>0</v>
      </c>
      <c r="T15" s="450">
        <f t="shared" si="0"/>
        <v>0.3</v>
      </c>
      <c r="U15" s="175">
        <f t="shared" si="0"/>
        <v>553669</v>
      </c>
      <c r="V15" s="176">
        <f t="shared" si="1"/>
        <v>1</v>
      </c>
    </row>
    <row r="16" spans="1:22" ht="30" customHeight="1" x14ac:dyDescent="0.3">
      <c r="A16" s="1441"/>
      <c r="B16" s="1441"/>
      <c r="C16" s="454" t="s">
        <v>61</v>
      </c>
      <c r="D16" s="454" t="s">
        <v>85</v>
      </c>
      <c r="E16" s="454">
        <v>0.3</v>
      </c>
      <c r="F16" s="453">
        <v>7312607</v>
      </c>
      <c r="G16" s="32">
        <f t="shared" si="2"/>
        <v>7685550</v>
      </c>
      <c r="H16" s="453">
        <f>ROUND((E16*F16),0)</f>
        <v>2193782</v>
      </c>
      <c r="I16" s="32">
        <f t="shared" si="3"/>
        <v>2305665</v>
      </c>
      <c r="J16" s="1441"/>
      <c r="K16" s="474">
        <v>0.3</v>
      </c>
      <c r="L16" s="429">
        <f>ROUND(K16*$F$16,0)</f>
        <v>2193782</v>
      </c>
      <c r="M16" s="430">
        <f>L16/$H$16</f>
        <v>1</v>
      </c>
      <c r="N16" s="452">
        <v>0</v>
      </c>
      <c r="O16" s="425">
        <f>ROUND(N16*$F$16,0)</f>
        <v>0</v>
      </c>
      <c r="P16" s="426">
        <f>O16/$H$16</f>
        <v>0</v>
      </c>
      <c r="Q16" s="452">
        <v>0</v>
      </c>
      <c r="R16" s="429">
        <f>ROUND(Q16*$F$16,0)</f>
        <v>0</v>
      </c>
      <c r="S16" s="430">
        <f>R16/$I$16</f>
        <v>0</v>
      </c>
      <c r="T16" s="450">
        <f t="shared" si="0"/>
        <v>0.3</v>
      </c>
      <c r="U16" s="175">
        <f t="shared" si="0"/>
        <v>2193782</v>
      </c>
      <c r="V16" s="176">
        <f t="shared" si="1"/>
        <v>1</v>
      </c>
    </row>
    <row r="17" spans="1:22" x14ac:dyDescent="0.3">
      <c r="A17" s="1441"/>
      <c r="B17" s="1441"/>
      <c r="C17" s="459"/>
      <c r="D17" s="459" t="s">
        <v>86</v>
      </c>
      <c r="E17" s="458"/>
      <c r="F17" s="458"/>
      <c r="G17" s="458"/>
      <c r="H17" s="457">
        <f>SUM(H14:H16)</f>
        <v>3593624</v>
      </c>
      <c r="I17" s="457">
        <f>SUM(I14:I16)</f>
        <v>3776899</v>
      </c>
      <c r="J17" s="1441"/>
      <c r="K17" s="431"/>
      <c r="L17" s="179">
        <f>SUM(L14:L16)</f>
        <v>2193782</v>
      </c>
      <c r="M17" s="431">
        <f>L17/$H$17</f>
        <v>0.61046509039343011</v>
      </c>
      <c r="N17" s="431"/>
      <c r="O17" s="179">
        <f>SUM(O14:O16)</f>
        <v>1399842</v>
      </c>
      <c r="P17" s="431">
        <f>O17/$H$17</f>
        <v>0.38953490960656983</v>
      </c>
      <c r="Q17" s="431"/>
      <c r="R17" s="179">
        <f>SUM(R14:R16)</f>
        <v>0</v>
      </c>
      <c r="S17" s="431">
        <f>R17/$I$17</f>
        <v>0</v>
      </c>
      <c r="T17" s="446"/>
      <c r="U17" s="307">
        <f t="shared" ref="U17:U36" si="4">L17+O17+R17</f>
        <v>3593624</v>
      </c>
      <c r="V17" s="431">
        <f t="shared" si="1"/>
        <v>1</v>
      </c>
    </row>
    <row r="18" spans="1:22" ht="30" customHeight="1" x14ac:dyDescent="0.3">
      <c r="A18" s="1441" t="s">
        <v>1359</v>
      </c>
      <c r="B18" s="1441" t="s">
        <v>195</v>
      </c>
      <c r="C18" s="454" t="s">
        <v>83</v>
      </c>
      <c r="D18" s="454" t="s">
        <v>91</v>
      </c>
      <c r="E18" s="454">
        <v>0.3</v>
      </c>
      <c r="F18" s="453">
        <v>1671452</v>
      </c>
      <c r="G18" s="32">
        <f t="shared" si="2"/>
        <v>1756696</v>
      </c>
      <c r="H18" s="453">
        <f>ROUND((E18*F18),0)</f>
        <v>501436</v>
      </c>
      <c r="I18" s="32">
        <f t="shared" si="3"/>
        <v>527009</v>
      </c>
      <c r="J18" s="1441" t="s">
        <v>1356</v>
      </c>
      <c r="K18" s="452">
        <v>0</v>
      </c>
      <c r="L18" s="425">
        <f>ROUND(K18*$F$18,0)</f>
        <v>0</v>
      </c>
      <c r="M18" s="426">
        <f>L18/$H$18</f>
        <v>0</v>
      </c>
      <c r="N18" s="474">
        <v>0.3</v>
      </c>
      <c r="O18" s="429">
        <f>ROUND(N18*$F$18,0)</f>
        <v>501436</v>
      </c>
      <c r="P18" s="430">
        <f>O18/$H$18</f>
        <v>1</v>
      </c>
      <c r="Q18" s="452">
        <v>0</v>
      </c>
      <c r="R18" s="425">
        <f>ROUND(Q18*$F$18,0)</f>
        <v>0</v>
      </c>
      <c r="S18" s="426">
        <f>R18/I18</f>
        <v>0</v>
      </c>
      <c r="T18" s="450">
        <f>K18+N18+Q18</f>
        <v>0.3</v>
      </c>
      <c r="U18" s="175">
        <f t="shared" si="4"/>
        <v>501436</v>
      </c>
      <c r="V18" s="176">
        <f t="shared" si="1"/>
        <v>1</v>
      </c>
    </row>
    <row r="19" spans="1:22" ht="30" customHeight="1" x14ac:dyDescent="0.3">
      <c r="A19" s="1441"/>
      <c r="B19" s="1441"/>
      <c r="C19" s="454" t="s">
        <v>61</v>
      </c>
      <c r="D19" s="454" t="s">
        <v>92</v>
      </c>
      <c r="E19" s="454">
        <v>0.3</v>
      </c>
      <c r="F19" s="453">
        <v>6233126</v>
      </c>
      <c r="G19" s="32">
        <f t="shared" si="2"/>
        <v>6551015</v>
      </c>
      <c r="H19" s="453">
        <f>ROUND((E19*F19),0)</f>
        <v>1869938</v>
      </c>
      <c r="I19" s="32">
        <f t="shared" si="3"/>
        <v>1965305</v>
      </c>
      <c r="J19" s="1441"/>
      <c r="K19" s="474">
        <v>0.3</v>
      </c>
      <c r="L19" s="429">
        <f>ROUND(K19*$F$19,0)</f>
        <v>1869938</v>
      </c>
      <c r="M19" s="430">
        <f>L19/$H$19</f>
        <v>1</v>
      </c>
      <c r="N19" s="452">
        <v>0</v>
      </c>
      <c r="O19" s="425">
        <f>ROUND(N19*$F$19,0)</f>
        <v>0</v>
      </c>
      <c r="P19" s="426">
        <f>O19/$H$19</f>
        <v>0</v>
      </c>
      <c r="Q19" s="452">
        <v>0</v>
      </c>
      <c r="R19" s="429">
        <f>ROUND(Q19*$F$19,0)</f>
        <v>0</v>
      </c>
      <c r="S19" s="426">
        <f t="shared" ref="S19:S35" si="5">R19/I19</f>
        <v>0</v>
      </c>
      <c r="T19" s="450">
        <f>K19+N19+Q19</f>
        <v>0.3</v>
      </c>
      <c r="U19" s="175">
        <f t="shared" si="4"/>
        <v>1869938</v>
      </c>
      <c r="V19" s="176">
        <f t="shared" si="1"/>
        <v>1</v>
      </c>
    </row>
    <row r="20" spans="1:22" x14ac:dyDescent="0.3">
      <c r="A20" s="1441"/>
      <c r="B20" s="1441"/>
      <c r="C20" s="459"/>
      <c r="D20" s="459" t="s">
        <v>63</v>
      </c>
      <c r="E20" s="458"/>
      <c r="F20" s="458"/>
      <c r="G20" s="458"/>
      <c r="H20" s="457">
        <f>SUM(H18:H19)</f>
        <v>2371374</v>
      </c>
      <c r="I20" s="457">
        <f>SUM(I18:I19)</f>
        <v>2492314</v>
      </c>
      <c r="J20" s="1441"/>
      <c r="K20" s="431"/>
      <c r="L20" s="179">
        <f>SUM(L18:L19)</f>
        <v>1869938</v>
      </c>
      <c r="M20" s="431">
        <f>L20/$H$20</f>
        <v>0.78854621835273564</v>
      </c>
      <c r="N20" s="431"/>
      <c r="O20" s="179">
        <f>SUM(O18:O19)</f>
        <v>501436</v>
      </c>
      <c r="P20" s="431">
        <f>O20/$H$20</f>
        <v>0.21145378164726442</v>
      </c>
      <c r="Q20" s="431"/>
      <c r="R20" s="179">
        <f>SUM(R18:R19)</f>
        <v>0</v>
      </c>
      <c r="S20" s="1091">
        <f t="shared" si="5"/>
        <v>0</v>
      </c>
      <c r="T20" s="446"/>
      <c r="U20" s="307">
        <f t="shared" si="4"/>
        <v>2371374</v>
      </c>
      <c r="V20" s="431">
        <f t="shared" si="1"/>
        <v>1</v>
      </c>
    </row>
    <row r="21" spans="1:22" ht="30" customHeight="1" x14ac:dyDescent="0.3">
      <c r="A21" s="1441" t="s">
        <v>1358</v>
      </c>
      <c r="B21" s="1441" t="s">
        <v>216</v>
      </c>
      <c r="C21" s="454" t="s">
        <v>81</v>
      </c>
      <c r="D21" s="454" t="s">
        <v>82</v>
      </c>
      <c r="E21" s="454">
        <v>0.45</v>
      </c>
      <c r="F21" s="453">
        <v>1880385</v>
      </c>
      <c r="G21" s="32">
        <f t="shared" si="2"/>
        <v>1976285</v>
      </c>
      <c r="H21" s="453">
        <f>ROUND((E21*F21),0)</f>
        <v>846173</v>
      </c>
      <c r="I21" s="32">
        <f t="shared" si="3"/>
        <v>889328</v>
      </c>
      <c r="J21" s="1441" t="s">
        <v>1357</v>
      </c>
      <c r="K21" s="452">
        <v>0</v>
      </c>
      <c r="L21" s="425">
        <f>ROUND(K21*$F$21,0)</f>
        <v>0</v>
      </c>
      <c r="M21" s="426">
        <f>L21/$H$21</f>
        <v>0</v>
      </c>
      <c r="N21" s="474">
        <v>0.45</v>
      </c>
      <c r="O21" s="429">
        <f>ROUND(N21*$F$21,0)</f>
        <v>846173</v>
      </c>
      <c r="P21" s="430">
        <f>O21/$H$21</f>
        <v>1</v>
      </c>
      <c r="Q21" s="452">
        <v>0</v>
      </c>
      <c r="R21" s="425">
        <f>ROUND(Q21*$F$21,0)</f>
        <v>0</v>
      </c>
      <c r="S21" s="426">
        <f t="shared" si="5"/>
        <v>0</v>
      </c>
      <c r="T21" s="450">
        <f>K21+N21+Q21</f>
        <v>0.45</v>
      </c>
      <c r="U21" s="175">
        <f t="shared" si="4"/>
        <v>846173</v>
      </c>
      <c r="V21" s="176">
        <f t="shared" si="1"/>
        <v>1</v>
      </c>
    </row>
    <row r="22" spans="1:22" ht="30" customHeight="1" x14ac:dyDescent="0.3">
      <c r="A22" s="1441"/>
      <c r="B22" s="1441"/>
      <c r="C22" s="454" t="s">
        <v>83</v>
      </c>
      <c r="D22" s="454" t="s">
        <v>84</v>
      </c>
      <c r="E22" s="454">
        <v>0.3</v>
      </c>
      <c r="F22" s="453">
        <v>1845563</v>
      </c>
      <c r="G22" s="32">
        <f t="shared" si="2"/>
        <v>1939687</v>
      </c>
      <c r="H22" s="453">
        <f>ROUND((E22*F22),0)</f>
        <v>553669</v>
      </c>
      <c r="I22" s="32">
        <f t="shared" si="3"/>
        <v>581906</v>
      </c>
      <c r="J22" s="1441"/>
      <c r="K22" s="452">
        <v>0</v>
      </c>
      <c r="L22" s="425">
        <f>ROUND(K22*$F$22,0)</f>
        <v>0</v>
      </c>
      <c r="M22" s="426">
        <f>L22/$H$22</f>
        <v>0</v>
      </c>
      <c r="N22" s="474">
        <v>0.3</v>
      </c>
      <c r="O22" s="429">
        <f>ROUND(N22*$F$22,0)</f>
        <v>553669</v>
      </c>
      <c r="P22" s="430">
        <f>O22/$H$22</f>
        <v>1</v>
      </c>
      <c r="Q22" s="452">
        <v>0</v>
      </c>
      <c r="R22" s="425">
        <f>ROUND(Q22*$F$22,0)</f>
        <v>0</v>
      </c>
      <c r="S22" s="426">
        <f t="shared" si="5"/>
        <v>0</v>
      </c>
      <c r="T22" s="450">
        <f>K22+N22+Q22</f>
        <v>0.3</v>
      </c>
      <c r="U22" s="175">
        <f t="shared" si="4"/>
        <v>553669</v>
      </c>
      <c r="V22" s="176">
        <f t="shared" si="1"/>
        <v>1</v>
      </c>
    </row>
    <row r="23" spans="1:22" ht="30" customHeight="1" x14ac:dyDescent="0.3">
      <c r="A23" s="1441"/>
      <c r="B23" s="1441"/>
      <c r="C23" s="454" t="s">
        <v>61</v>
      </c>
      <c r="D23" s="454" t="s">
        <v>85</v>
      </c>
      <c r="E23" s="454">
        <v>0.3</v>
      </c>
      <c r="F23" s="453">
        <v>7312607</v>
      </c>
      <c r="G23" s="32">
        <f t="shared" si="2"/>
        <v>7685550</v>
      </c>
      <c r="H23" s="453">
        <f>ROUND((E23*F23),0)</f>
        <v>2193782</v>
      </c>
      <c r="I23" s="32">
        <f t="shared" si="3"/>
        <v>2305665</v>
      </c>
      <c r="J23" s="1441"/>
      <c r="K23" s="474">
        <v>0.3</v>
      </c>
      <c r="L23" s="429">
        <f>ROUND(K23*$F$23,0)</f>
        <v>2193782</v>
      </c>
      <c r="M23" s="430">
        <f>L23/$H$23</f>
        <v>1</v>
      </c>
      <c r="N23" s="452">
        <v>0</v>
      </c>
      <c r="O23" s="425">
        <f>ROUND(N23*$F$23,0)</f>
        <v>0</v>
      </c>
      <c r="P23" s="426">
        <f>O23/$H$23</f>
        <v>0</v>
      </c>
      <c r="Q23" s="452">
        <v>0</v>
      </c>
      <c r="R23" s="429">
        <f>ROUND(Q23*$F$23,0)</f>
        <v>0</v>
      </c>
      <c r="S23" s="426">
        <f t="shared" si="5"/>
        <v>0</v>
      </c>
      <c r="T23" s="450">
        <f>K23+N23+Q23</f>
        <v>0.3</v>
      </c>
      <c r="U23" s="175">
        <f t="shared" si="4"/>
        <v>2193782</v>
      </c>
      <c r="V23" s="176">
        <f t="shared" si="1"/>
        <v>1</v>
      </c>
    </row>
    <row r="24" spans="1:22" x14ac:dyDescent="0.3">
      <c r="A24" s="1441"/>
      <c r="B24" s="1441"/>
      <c r="C24" s="459"/>
      <c r="D24" s="459" t="s">
        <v>86</v>
      </c>
      <c r="E24" s="458"/>
      <c r="F24" s="458"/>
      <c r="G24" s="458"/>
      <c r="H24" s="457">
        <f>SUM(H21:H23)</f>
        <v>3593624</v>
      </c>
      <c r="I24" s="457">
        <f>SUM(I21:I23)</f>
        <v>3776899</v>
      </c>
      <c r="J24" s="1441"/>
      <c r="K24" s="431"/>
      <c r="L24" s="179">
        <f>SUM(L21:L23)</f>
        <v>2193782</v>
      </c>
      <c r="M24" s="431">
        <f>L24/$H$24</f>
        <v>0.61046509039343011</v>
      </c>
      <c r="N24" s="431"/>
      <c r="O24" s="179">
        <f>SUM(O21:O23)</f>
        <v>1399842</v>
      </c>
      <c r="P24" s="431">
        <f>O24/$H$24</f>
        <v>0.38953490960656983</v>
      </c>
      <c r="Q24" s="431"/>
      <c r="R24" s="179">
        <f>SUM(R21:R23)</f>
        <v>0</v>
      </c>
      <c r="S24" s="1091">
        <f t="shared" si="5"/>
        <v>0</v>
      </c>
      <c r="T24" s="446"/>
      <c r="U24" s="307">
        <f t="shared" si="4"/>
        <v>3593624</v>
      </c>
      <c r="V24" s="431">
        <f t="shared" si="1"/>
        <v>1</v>
      </c>
    </row>
    <row r="25" spans="1:22" ht="30" customHeight="1" x14ac:dyDescent="0.3">
      <c r="A25" s="1441" t="s">
        <v>1358</v>
      </c>
      <c r="B25" s="1441" t="s">
        <v>195</v>
      </c>
      <c r="C25" s="454" t="s">
        <v>83</v>
      </c>
      <c r="D25" s="454" t="s">
        <v>91</v>
      </c>
      <c r="E25" s="454">
        <v>0.3</v>
      </c>
      <c r="F25" s="453">
        <v>1671452</v>
      </c>
      <c r="G25" s="32">
        <f t="shared" si="2"/>
        <v>1756696</v>
      </c>
      <c r="H25" s="453">
        <f>ROUND((E25*F25),0)</f>
        <v>501436</v>
      </c>
      <c r="I25" s="32">
        <f t="shared" si="3"/>
        <v>527009</v>
      </c>
      <c r="J25" s="1441" t="s">
        <v>1356</v>
      </c>
      <c r="K25" s="452">
        <v>0</v>
      </c>
      <c r="L25" s="425">
        <f>ROUND(K25*$F$25,0)</f>
        <v>0</v>
      </c>
      <c r="M25" s="426">
        <f>L25/$H$25</f>
        <v>0</v>
      </c>
      <c r="N25" s="474">
        <v>0.3</v>
      </c>
      <c r="O25" s="429">
        <f>ROUND(N25*$F$25,0)</f>
        <v>501436</v>
      </c>
      <c r="P25" s="430">
        <f>O25/$H$25</f>
        <v>1</v>
      </c>
      <c r="Q25" s="452">
        <v>0</v>
      </c>
      <c r="R25" s="425">
        <f>ROUND(Q25*$F$25,0)</f>
        <v>0</v>
      </c>
      <c r="S25" s="426">
        <f t="shared" si="5"/>
        <v>0</v>
      </c>
      <c r="T25" s="450">
        <f>K25+N25+Q25</f>
        <v>0.3</v>
      </c>
      <c r="U25" s="175">
        <f t="shared" si="4"/>
        <v>501436</v>
      </c>
      <c r="V25" s="176">
        <f t="shared" si="1"/>
        <v>1</v>
      </c>
    </row>
    <row r="26" spans="1:22" ht="30" customHeight="1" x14ac:dyDescent="0.3">
      <c r="A26" s="1441"/>
      <c r="B26" s="1441"/>
      <c r="C26" s="454" t="s">
        <v>61</v>
      </c>
      <c r="D26" s="454" t="s">
        <v>92</v>
      </c>
      <c r="E26" s="454">
        <v>0.3</v>
      </c>
      <c r="F26" s="453">
        <v>6233126</v>
      </c>
      <c r="G26" s="32">
        <f t="shared" si="2"/>
        <v>6551015</v>
      </c>
      <c r="H26" s="453">
        <f>ROUND((E26*F26),0)</f>
        <v>1869938</v>
      </c>
      <c r="I26" s="32">
        <f t="shared" si="3"/>
        <v>1965305</v>
      </c>
      <c r="J26" s="1441"/>
      <c r="K26" s="474">
        <v>0.3</v>
      </c>
      <c r="L26" s="429">
        <f>ROUND(K26*$F$26,0)</f>
        <v>1869938</v>
      </c>
      <c r="M26" s="430">
        <f>L26/$H$26</f>
        <v>1</v>
      </c>
      <c r="N26" s="452">
        <v>0</v>
      </c>
      <c r="O26" s="425">
        <f>ROUND(N26*$F$26,0)</f>
        <v>0</v>
      </c>
      <c r="P26" s="426">
        <f>O26/$H$26</f>
        <v>0</v>
      </c>
      <c r="Q26" s="452">
        <v>0</v>
      </c>
      <c r="R26" s="429">
        <f>ROUND(Q26*$F$26,0)</f>
        <v>0</v>
      </c>
      <c r="S26" s="426">
        <f t="shared" si="5"/>
        <v>0</v>
      </c>
      <c r="T26" s="450">
        <f>K26+N26+Q26</f>
        <v>0.3</v>
      </c>
      <c r="U26" s="175">
        <f t="shared" si="4"/>
        <v>1869938</v>
      </c>
      <c r="V26" s="176">
        <f t="shared" si="1"/>
        <v>1</v>
      </c>
    </row>
    <row r="27" spans="1:22" x14ac:dyDescent="0.3">
      <c r="A27" s="1441"/>
      <c r="B27" s="1441"/>
      <c r="C27" s="459"/>
      <c r="D27" s="459" t="s">
        <v>63</v>
      </c>
      <c r="E27" s="458"/>
      <c r="F27" s="458"/>
      <c r="G27" s="458"/>
      <c r="H27" s="457">
        <f>SUM(H25:H26)</f>
        <v>2371374</v>
      </c>
      <c r="I27" s="457">
        <f>SUM(I25:I26)</f>
        <v>2492314</v>
      </c>
      <c r="J27" s="1441"/>
      <c r="K27" s="431"/>
      <c r="L27" s="179">
        <f>SUM(L25:L26)</f>
        <v>1869938</v>
      </c>
      <c r="M27" s="431">
        <f>L27/$H$27</f>
        <v>0.78854621835273564</v>
      </c>
      <c r="N27" s="431"/>
      <c r="O27" s="179">
        <f>SUM(O25:O26)</f>
        <v>501436</v>
      </c>
      <c r="P27" s="431">
        <f>O27/$H$27</f>
        <v>0.21145378164726442</v>
      </c>
      <c r="Q27" s="431"/>
      <c r="R27" s="179">
        <f>SUM(R25:R26)</f>
        <v>0</v>
      </c>
      <c r="S27" s="1091">
        <f t="shared" si="5"/>
        <v>0</v>
      </c>
      <c r="T27" s="446"/>
      <c r="U27" s="307">
        <f t="shared" si="4"/>
        <v>2371374</v>
      </c>
      <c r="V27" s="431">
        <f t="shared" si="1"/>
        <v>1</v>
      </c>
    </row>
    <row r="28" spans="1:22" ht="30" customHeight="1" x14ac:dyDescent="0.3">
      <c r="A28" s="1441" t="s">
        <v>237</v>
      </c>
      <c r="B28" s="1441" t="s">
        <v>216</v>
      </c>
      <c r="C28" s="454" t="s">
        <v>81</v>
      </c>
      <c r="D28" s="454" t="s">
        <v>82</v>
      </c>
      <c r="E28" s="454">
        <v>0.45</v>
      </c>
      <c r="F28" s="453">
        <v>1880385</v>
      </c>
      <c r="G28" s="32">
        <f t="shared" si="2"/>
        <v>1976285</v>
      </c>
      <c r="H28" s="453">
        <f>ROUND((E28*F28),0)</f>
        <v>846173</v>
      </c>
      <c r="I28" s="32">
        <f t="shared" si="3"/>
        <v>889328</v>
      </c>
      <c r="J28" s="1441" t="s">
        <v>1357</v>
      </c>
      <c r="K28" s="452">
        <v>0</v>
      </c>
      <c r="L28" s="425">
        <f>ROUND(K28*$F$28,0)</f>
        <v>0</v>
      </c>
      <c r="M28" s="426">
        <f>L28/$H$28</f>
        <v>0</v>
      </c>
      <c r="N28" s="474">
        <v>0.45</v>
      </c>
      <c r="O28" s="429">
        <f>ROUND(N28*$F$28,0)</f>
        <v>846173</v>
      </c>
      <c r="P28" s="430">
        <f>O28/$H$28</f>
        <v>1</v>
      </c>
      <c r="Q28" s="452">
        <v>0</v>
      </c>
      <c r="R28" s="425">
        <f>ROUND(Q28*$F$28,0)</f>
        <v>0</v>
      </c>
      <c r="S28" s="426">
        <f t="shared" si="5"/>
        <v>0</v>
      </c>
      <c r="T28" s="450">
        <f>K28+N28+Q28</f>
        <v>0.45</v>
      </c>
      <c r="U28" s="175">
        <f t="shared" si="4"/>
        <v>846173</v>
      </c>
      <c r="V28" s="176">
        <f t="shared" si="1"/>
        <v>1</v>
      </c>
    </row>
    <row r="29" spans="1:22" ht="30" customHeight="1" x14ac:dyDescent="0.3">
      <c r="A29" s="1441"/>
      <c r="B29" s="1441"/>
      <c r="C29" s="454" t="s">
        <v>83</v>
      </c>
      <c r="D29" s="454" t="s">
        <v>84</v>
      </c>
      <c r="E29" s="454">
        <v>0.3</v>
      </c>
      <c r="F29" s="453">
        <v>1845563</v>
      </c>
      <c r="G29" s="32">
        <f t="shared" si="2"/>
        <v>1939687</v>
      </c>
      <c r="H29" s="453">
        <f>ROUND((E29*F29),0)</f>
        <v>553669</v>
      </c>
      <c r="I29" s="32">
        <f t="shared" si="3"/>
        <v>581906</v>
      </c>
      <c r="J29" s="1441"/>
      <c r="K29" s="452">
        <v>0</v>
      </c>
      <c r="L29" s="425">
        <f>ROUND(K29*$F$29,0)</f>
        <v>0</v>
      </c>
      <c r="M29" s="426">
        <f>L29/$H$29</f>
        <v>0</v>
      </c>
      <c r="N29" s="474">
        <v>0.3</v>
      </c>
      <c r="O29" s="429">
        <f>ROUND(N29*$F$29,0)</f>
        <v>553669</v>
      </c>
      <c r="P29" s="430">
        <f>O29/$H$29</f>
        <v>1</v>
      </c>
      <c r="Q29" s="452">
        <v>0</v>
      </c>
      <c r="R29" s="425">
        <f>ROUND(Q29*$F$29,0)</f>
        <v>0</v>
      </c>
      <c r="S29" s="426">
        <f t="shared" si="5"/>
        <v>0</v>
      </c>
      <c r="T29" s="450">
        <f>K29+N29+Q29</f>
        <v>0.3</v>
      </c>
      <c r="U29" s="175">
        <f t="shared" si="4"/>
        <v>553669</v>
      </c>
      <c r="V29" s="176">
        <f t="shared" si="1"/>
        <v>1</v>
      </c>
    </row>
    <row r="30" spans="1:22" ht="30" customHeight="1" x14ac:dyDescent="0.3">
      <c r="A30" s="1441"/>
      <c r="B30" s="1441"/>
      <c r="C30" s="454" t="s">
        <v>61</v>
      </c>
      <c r="D30" s="454" t="s">
        <v>85</v>
      </c>
      <c r="E30" s="454">
        <v>0.3</v>
      </c>
      <c r="F30" s="453">
        <v>7312607</v>
      </c>
      <c r="G30" s="32">
        <f t="shared" si="2"/>
        <v>7685550</v>
      </c>
      <c r="H30" s="453">
        <f>ROUND((E30*F30),0)</f>
        <v>2193782</v>
      </c>
      <c r="I30" s="32">
        <f t="shared" si="3"/>
        <v>2305665</v>
      </c>
      <c r="J30" s="1441"/>
      <c r="K30" s="474">
        <v>0.3</v>
      </c>
      <c r="L30" s="429">
        <f>ROUND(K30*$F$30,0)</f>
        <v>2193782</v>
      </c>
      <c r="M30" s="430">
        <f>L30/$H$30</f>
        <v>1</v>
      </c>
      <c r="N30" s="452">
        <v>0</v>
      </c>
      <c r="O30" s="425">
        <f>ROUND(N30*$F$30,0)</f>
        <v>0</v>
      </c>
      <c r="P30" s="426">
        <f>O30/$H$30</f>
        <v>0</v>
      </c>
      <c r="Q30" s="452">
        <v>0</v>
      </c>
      <c r="R30" s="429">
        <f>ROUND(Q30*$F$30,0)</f>
        <v>0</v>
      </c>
      <c r="S30" s="426">
        <f t="shared" si="5"/>
        <v>0</v>
      </c>
      <c r="T30" s="450">
        <f>K30+N30+Q30</f>
        <v>0.3</v>
      </c>
      <c r="U30" s="175">
        <f t="shared" si="4"/>
        <v>2193782</v>
      </c>
      <c r="V30" s="176">
        <f t="shared" si="1"/>
        <v>1</v>
      </c>
    </row>
    <row r="31" spans="1:22" x14ac:dyDescent="0.3">
      <c r="A31" s="1441"/>
      <c r="B31" s="1441"/>
      <c r="C31" s="459"/>
      <c r="D31" s="459" t="s">
        <v>86</v>
      </c>
      <c r="E31" s="458"/>
      <c r="F31" s="458"/>
      <c r="G31" s="458"/>
      <c r="H31" s="457">
        <f>SUM(H28:H30)</f>
        <v>3593624</v>
      </c>
      <c r="I31" s="457">
        <f>SUM(I28:I30)</f>
        <v>3776899</v>
      </c>
      <c r="J31" s="1441"/>
      <c r="K31" s="431"/>
      <c r="L31" s="179">
        <f>SUM(L28:L30)</f>
        <v>2193782</v>
      </c>
      <c r="M31" s="431">
        <f>L31/$H$31</f>
        <v>0.61046509039343011</v>
      </c>
      <c r="N31" s="431"/>
      <c r="O31" s="179">
        <f>SUM(O28:O30)</f>
        <v>1399842</v>
      </c>
      <c r="P31" s="431">
        <f>O31/$H$31</f>
        <v>0.38953490960656983</v>
      </c>
      <c r="Q31" s="431"/>
      <c r="R31" s="179">
        <f>SUM(R28:R30)</f>
        <v>0</v>
      </c>
      <c r="S31" s="1091">
        <f t="shared" si="5"/>
        <v>0</v>
      </c>
      <c r="T31" s="446"/>
      <c r="U31" s="307">
        <f t="shared" si="4"/>
        <v>3593624</v>
      </c>
      <c r="V31" s="431">
        <f t="shared" si="1"/>
        <v>1</v>
      </c>
    </row>
    <row r="32" spans="1:22" ht="30" customHeight="1" x14ac:dyDescent="0.3">
      <c r="A32" s="1441" t="s">
        <v>237</v>
      </c>
      <c r="B32" s="1441" t="s">
        <v>195</v>
      </c>
      <c r="C32" s="454" t="s">
        <v>83</v>
      </c>
      <c r="D32" s="454" t="s">
        <v>91</v>
      </c>
      <c r="E32" s="454">
        <v>0.3</v>
      </c>
      <c r="F32" s="453">
        <v>1671452</v>
      </c>
      <c r="G32" s="32">
        <f t="shared" si="2"/>
        <v>1756696</v>
      </c>
      <c r="H32" s="453">
        <f>ROUND((E32*F32),0)</f>
        <v>501436</v>
      </c>
      <c r="I32" s="32">
        <f t="shared" si="3"/>
        <v>527009</v>
      </c>
      <c r="J32" s="1441" t="s">
        <v>1356</v>
      </c>
      <c r="K32" s="452">
        <v>0</v>
      </c>
      <c r="L32" s="425">
        <f>ROUND(K32*$F$32,0)</f>
        <v>0</v>
      </c>
      <c r="M32" s="426">
        <f>L32/$H$32</f>
        <v>0</v>
      </c>
      <c r="N32" s="474">
        <v>0.3</v>
      </c>
      <c r="O32" s="429">
        <f>ROUND(N32*$F$32,0)</f>
        <v>501436</v>
      </c>
      <c r="P32" s="430">
        <f>O32/$H$32</f>
        <v>1</v>
      </c>
      <c r="Q32" s="452">
        <v>0</v>
      </c>
      <c r="R32" s="425">
        <f>ROUND(Q32*$F$32,0)</f>
        <v>0</v>
      </c>
      <c r="S32" s="426">
        <f t="shared" si="5"/>
        <v>0</v>
      </c>
      <c r="T32" s="450">
        <f>K32+N32+Q32</f>
        <v>0.3</v>
      </c>
      <c r="U32" s="175">
        <f t="shared" si="4"/>
        <v>501436</v>
      </c>
      <c r="V32" s="176">
        <f t="shared" si="1"/>
        <v>1</v>
      </c>
    </row>
    <row r="33" spans="1:22" ht="30" customHeight="1" x14ac:dyDescent="0.3">
      <c r="A33" s="1441"/>
      <c r="B33" s="1441"/>
      <c r="C33" s="454" t="s">
        <v>61</v>
      </c>
      <c r="D33" s="454" t="s">
        <v>92</v>
      </c>
      <c r="E33" s="454">
        <v>0.3</v>
      </c>
      <c r="F33" s="453">
        <v>6233126</v>
      </c>
      <c r="G33" s="32">
        <f t="shared" si="2"/>
        <v>6551015</v>
      </c>
      <c r="H33" s="453">
        <f>ROUND((E33*F33),0)</f>
        <v>1869938</v>
      </c>
      <c r="I33" s="32">
        <f t="shared" si="3"/>
        <v>1965305</v>
      </c>
      <c r="J33" s="1441"/>
      <c r="K33" s="474">
        <v>0.3</v>
      </c>
      <c r="L33" s="429">
        <f>ROUND(K33*$F$33,0)</f>
        <v>1869938</v>
      </c>
      <c r="M33" s="430">
        <f>L33/$H$33</f>
        <v>1</v>
      </c>
      <c r="N33" s="452">
        <v>0</v>
      </c>
      <c r="O33" s="425">
        <f>ROUND(N33*$F$33,0)</f>
        <v>0</v>
      </c>
      <c r="P33" s="426">
        <f>O33/$H$33</f>
        <v>0</v>
      </c>
      <c r="Q33" s="452">
        <v>0</v>
      </c>
      <c r="R33" s="429">
        <f>ROUND(Q33*$F$33,0)</f>
        <v>0</v>
      </c>
      <c r="S33" s="426">
        <f t="shared" si="5"/>
        <v>0</v>
      </c>
      <c r="T33" s="450">
        <f>K33+N33+Q33</f>
        <v>0.3</v>
      </c>
      <c r="U33" s="175">
        <f t="shared" si="4"/>
        <v>1869938</v>
      </c>
      <c r="V33" s="176">
        <f t="shared" si="1"/>
        <v>1</v>
      </c>
    </row>
    <row r="34" spans="1:22" x14ac:dyDescent="0.3">
      <c r="A34" s="1441"/>
      <c r="B34" s="1441"/>
      <c r="C34" s="459"/>
      <c r="D34" s="459" t="s">
        <v>63</v>
      </c>
      <c r="E34" s="458"/>
      <c r="F34" s="458"/>
      <c r="G34" s="458"/>
      <c r="H34" s="457">
        <f>SUM(H32:H33)</f>
        <v>2371374</v>
      </c>
      <c r="I34" s="457">
        <f>SUM(I32:I33)</f>
        <v>2492314</v>
      </c>
      <c r="J34" s="1441"/>
      <c r="K34" s="431"/>
      <c r="L34" s="179">
        <f>SUM(L32:L33)</f>
        <v>1869938</v>
      </c>
      <c r="M34" s="431">
        <f>L34/$H$34</f>
        <v>0.78854621835273564</v>
      </c>
      <c r="N34" s="431"/>
      <c r="O34" s="179">
        <f>SUM(O32:O33)</f>
        <v>501436</v>
      </c>
      <c r="P34" s="431">
        <f>O34/$H$34</f>
        <v>0.21145378164726442</v>
      </c>
      <c r="Q34" s="431"/>
      <c r="R34" s="179">
        <f>SUM(R32:R33)</f>
        <v>0</v>
      </c>
      <c r="S34" s="1091">
        <f t="shared" si="5"/>
        <v>0</v>
      </c>
      <c r="T34" s="446"/>
      <c r="U34" s="307">
        <f t="shared" si="4"/>
        <v>2371374</v>
      </c>
      <c r="V34" s="431">
        <f t="shared" si="1"/>
        <v>1</v>
      </c>
    </row>
    <row r="35" spans="1:22" ht="30" customHeight="1" x14ac:dyDescent="0.3">
      <c r="A35" s="1441" t="s">
        <v>1184</v>
      </c>
      <c r="B35" s="1441" t="s">
        <v>1355</v>
      </c>
      <c r="C35" s="454" t="s">
        <v>88</v>
      </c>
      <c r="D35" s="454" t="s">
        <v>89</v>
      </c>
      <c r="E35" s="454">
        <v>1</v>
      </c>
      <c r="F35" s="453">
        <v>4492030</v>
      </c>
      <c r="G35" s="32">
        <f t="shared" si="2"/>
        <v>4721124</v>
      </c>
      <c r="H35" s="453">
        <f>ROUND((E35*F35),0)</f>
        <v>4492030</v>
      </c>
      <c r="I35" s="32">
        <f t="shared" si="3"/>
        <v>4721124</v>
      </c>
      <c r="J35" s="1442" t="s">
        <v>1354</v>
      </c>
      <c r="K35" s="452">
        <v>0</v>
      </c>
      <c r="L35" s="425">
        <f>ROUND(K35*$F$35,0)</f>
        <v>0</v>
      </c>
      <c r="M35" s="426">
        <f>L35/$H$35</f>
        <v>0</v>
      </c>
      <c r="N35" s="452">
        <v>0</v>
      </c>
      <c r="O35" s="425">
        <f>ROUND(N35*$F$35,0)</f>
        <v>0</v>
      </c>
      <c r="P35" s="426">
        <f>O35/$H$35</f>
        <v>0</v>
      </c>
      <c r="Q35" s="452">
        <v>0</v>
      </c>
      <c r="R35" s="425">
        <f>ROUND(Q35*$F$35,0)</f>
        <v>0</v>
      </c>
      <c r="S35" s="426">
        <f t="shared" si="5"/>
        <v>0</v>
      </c>
      <c r="T35" s="450">
        <f>K35+N35+Q35</f>
        <v>0</v>
      </c>
      <c r="U35" s="175">
        <f t="shared" si="4"/>
        <v>0</v>
      </c>
      <c r="V35" s="176">
        <f t="shared" si="1"/>
        <v>0</v>
      </c>
    </row>
    <row r="36" spans="1:22" x14ac:dyDescent="0.3">
      <c r="A36" s="1441"/>
      <c r="B36" s="1441"/>
      <c r="C36" s="449"/>
      <c r="D36" s="449" t="s">
        <v>90</v>
      </c>
      <c r="E36" s="448"/>
      <c r="F36" s="448"/>
      <c r="G36" s="448"/>
      <c r="H36" s="447">
        <f>H35</f>
        <v>4492030</v>
      </c>
      <c r="I36" s="447">
        <f>SUM(I35)</f>
        <v>4721124</v>
      </c>
      <c r="J36" s="1441"/>
      <c r="K36" s="431"/>
      <c r="L36" s="179">
        <f>SUM(L35)</f>
        <v>0</v>
      </c>
      <c r="M36" s="431">
        <f>L36/$H$36</f>
        <v>0</v>
      </c>
      <c r="N36" s="431"/>
      <c r="O36" s="179">
        <f>SUM(O35)</f>
        <v>0</v>
      </c>
      <c r="P36" s="431">
        <f>O36/$H$36</f>
        <v>0</v>
      </c>
      <c r="Q36" s="431"/>
      <c r="R36" s="179">
        <f>SUM(R35)</f>
        <v>0</v>
      </c>
      <c r="S36" s="431">
        <f>R36/$H$36</f>
        <v>0</v>
      </c>
      <c r="T36" s="446"/>
      <c r="U36" s="307">
        <f t="shared" si="4"/>
        <v>0</v>
      </c>
      <c r="V36" s="431">
        <f t="shared" si="1"/>
        <v>0</v>
      </c>
    </row>
    <row r="37" spans="1:22" x14ac:dyDescent="0.3">
      <c r="F37" s="445" t="s">
        <v>64</v>
      </c>
      <c r="G37" s="445"/>
      <c r="H37" s="181">
        <f>SUM(H14:H36)/2</f>
        <v>22387024</v>
      </c>
      <c r="I37" s="181">
        <f>SUM(I14:I36)/2</f>
        <v>23528763</v>
      </c>
      <c r="K37" s="445" t="s">
        <v>64</v>
      </c>
      <c r="L37" s="181">
        <f>SUM(L14:L36)/2</f>
        <v>12191160</v>
      </c>
      <c r="M37" s="463">
        <f>L37/H37</f>
        <v>0.54456367224156277</v>
      </c>
      <c r="N37" s="547" t="s">
        <v>64</v>
      </c>
      <c r="O37" s="481">
        <f>SUM(O14:O36)/2</f>
        <v>5703834</v>
      </c>
      <c r="Q37" s="547" t="s">
        <v>64</v>
      </c>
      <c r="R37" s="481">
        <f>SUM(R14:R36)/2</f>
        <v>0</v>
      </c>
      <c r="T37" s="547" t="s">
        <v>64</v>
      </c>
      <c r="U37" s="481">
        <f>SUM(U14:U36)/2</f>
        <v>17894994</v>
      </c>
    </row>
    <row r="38" spans="1:22" x14ac:dyDescent="0.3">
      <c r="F38" s="444" t="s">
        <v>65</v>
      </c>
      <c r="G38" s="444"/>
      <c r="H38" s="181">
        <v>0</v>
      </c>
      <c r="I38" s="181">
        <v>0</v>
      </c>
      <c r="K38" s="444" t="s">
        <v>65</v>
      </c>
      <c r="L38" s="181">
        <v>0</v>
      </c>
      <c r="N38" s="548" t="s">
        <v>65</v>
      </c>
      <c r="O38" s="481">
        <v>0</v>
      </c>
      <c r="Q38" s="548" t="s">
        <v>65</v>
      </c>
      <c r="R38" s="481">
        <v>0</v>
      </c>
      <c r="T38" s="548" t="s">
        <v>65</v>
      </c>
      <c r="U38" s="481">
        <v>0</v>
      </c>
    </row>
    <row r="39" spans="1:22" x14ac:dyDescent="0.3">
      <c r="F39" s="443" t="s">
        <v>64</v>
      </c>
      <c r="G39" s="443"/>
      <c r="H39" s="340">
        <f>SUM(H37:H38)</f>
        <v>22387024</v>
      </c>
      <c r="I39" s="340">
        <f>SUM(I37:I38)</f>
        <v>23528763</v>
      </c>
      <c r="K39" s="443" t="s">
        <v>64</v>
      </c>
      <c r="L39" s="340">
        <f>SUM(L37:L38)</f>
        <v>12191160</v>
      </c>
      <c r="N39" s="549" t="s">
        <v>64</v>
      </c>
      <c r="O39" s="550">
        <f>SUM(O37:O38)</f>
        <v>5703834</v>
      </c>
      <c r="Q39" s="549" t="s">
        <v>64</v>
      </c>
      <c r="R39" s="550">
        <f>SUM(R37:R38)</f>
        <v>0</v>
      </c>
      <c r="T39" s="549" t="s">
        <v>64</v>
      </c>
      <c r="U39" s="550">
        <f>SUM(U37:U38)</f>
        <v>17894994</v>
      </c>
    </row>
    <row r="40" spans="1:22" ht="26.4" x14ac:dyDescent="0.3">
      <c r="F40" s="443"/>
      <c r="G40" s="443"/>
      <c r="H40" s="340"/>
      <c r="I40" s="340"/>
      <c r="K40" s="443"/>
      <c r="L40" s="340"/>
      <c r="N40" s="484" t="s">
        <v>1439</v>
      </c>
      <c r="O40" s="483">
        <f>ROUND(O39*0.015,0)</f>
        <v>85558</v>
      </c>
      <c r="Q40" s="484" t="s">
        <v>1439</v>
      </c>
      <c r="R40" s="483">
        <f>ROUND(R39*0.015,0)</f>
        <v>0</v>
      </c>
      <c r="T40" s="484" t="s">
        <v>1439</v>
      </c>
      <c r="U40" s="550">
        <f>L40+O40+R40</f>
        <v>85558</v>
      </c>
    </row>
    <row r="41" spans="1:22" ht="26.4" x14ac:dyDescent="0.3">
      <c r="F41" s="443"/>
      <c r="G41" s="443"/>
      <c r="H41" s="340"/>
      <c r="I41" s="340"/>
      <c r="K41" s="443"/>
      <c r="L41" s="340"/>
      <c r="N41" s="152" t="s">
        <v>1440</v>
      </c>
      <c r="O41" s="182">
        <f>O39+O40</f>
        <v>5789392</v>
      </c>
      <c r="P41" s="553">
        <f>O41/H39</f>
        <v>0.25860480606980185</v>
      </c>
      <c r="Q41" s="152" t="s">
        <v>1440</v>
      </c>
      <c r="R41" s="182">
        <f>R39+R40</f>
        <v>0</v>
      </c>
      <c r="S41" s="553">
        <f>R41/H39</f>
        <v>0</v>
      </c>
      <c r="T41" s="152" t="s">
        <v>1440</v>
      </c>
      <c r="U41" s="182">
        <f>U39+U40</f>
        <v>17980552</v>
      </c>
      <c r="V41" s="553">
        <f>U41/H39</f>
        <v>0.80316847831136462</v>
      </c>
    </row>
    <row r="42" spans="1:22" x14ac:dyDescent="0.3">
      <c r="F42" s="442" t="s">
        <v>66</v>
      </c>
      <c r="G42" s="442"/>
      <c r="H42" s="181">
        <f>+H39*19%</f>
        <v>4253534.5599999996</v>
      </c>
      <c r="I42" s="181">
        <f>+I39*19%</f>
        <v>4470464.97</v>
      </c>
      <c r="K42" s="442" t="s">
        <v>66</v>
      </c>
      <c r="L42" s="181">
        <f>+L39*19%</f>
        <v>2316320.4</v>
      </c>
      <c r="N42" s="551" t="s">
        <v>66</v>
      </c>
      <c r="O42" s="483">
        <f>ROUND(O41*0.19,0)</f>
        <v>1099984</v>
      </c>
      <c r="Q42" s="551" t="s">
        <v>66</v>
      </c>
      <c r="R42" s="483">
        <f>ROUND(R41*0.19,0)</f>
        <v>0</v>
      </c>
      <c r="T42" s="551" t="s">
        <v>66</v>
      </c>
      <c r="U42" s="483">
        <f>ROUND(U41*0.19,0)</f>
        <v>3416305</v>
      </c>
    </row>
    <row r="43" spans="1:22" x14ac:dyDescent="0.3">
      <c r="F43" s="441" t="s">
        <v>69</v>
      </c>
      <c r="G43" s="441"/>
      <c r="H43" s="181">
        <f>+H39+H42</f>
        <v>26640558.559999999</v>
      </c>
      <c r="I43" s="181">
        <f>+I39+I42</f>
        <v>27999227.969999999</v>
      </c>
      <c r="K43" s="441" t="s">
        <v>69</v>
      </c>
      <c r="L43" s="181">
        <f>+L39+L42</f>
        <v>14507480.4</v>
      </c>
      <c r="N43" s="552" t="s">
        <v>69</v>
      </c>
      <c r="O43" s="481">
        <f>O41+O42</f>
        <v>6889376</v>
      </c>
      <c r="Q43" s="552" t="s">
        <v>69</v>
      </c>
      <c r="R43" s="481">
        <f>R41+R42</f>
        <v>0</v>
      </c>
      <c r="T43" s="552" t="s">
        <v>69</v>
      </c>
      <c r="U43" s="481">
        <f>U41+U42</f>
        <v>21396857</v>
      </c>
    </row>
    <row r="46" spans="1:22" s="189" customFormat="1" x14ac:dyDescent="0.3">
      <c r="A46" s="183" t="s">
        <v>67</v>
      </c>
      <c r="B46" s="184"/>
      <c r="C46" s="184"/>
      <c r="D46" s="185" t="s">
        <v>68</v>
      </c>
      <c r="G46" s="852"/>
      <c r="I46" s="852"/>
      <c r="K46" s="186" t="s">
        <v>70</v>
      </c>
      <c r="L46" s="187" t="s">
        <v>71</v>
      </c>
      <c r="M46" s="186" t="s">
        <v>58</v>
      </c>
      <c r="N46" s="186" t="s">
        <v>70</v>
      </c>
      <c r="O46" s="187" t="s">
        <v>71</v>
      </c>
      <c r="P46" s="186" t="s">
        <v>58</v>
      </c>
      <c r="Q46" s="186" t="s">
        <v>70</v>
      </c>
      <c r="R46" s="187" t="s">
        <v>71</v>
      </c>
      <c r="S46" s="186" t="s">
        <v>58</v>
      </c>
      <c r="T46" s="437"/>
      <c r="U46" s="437"/>
      <c r="V46" s="437"/>
    </row>
    <row r="47" spans="1:22" s="189" customFormat="1" x14ac:dyDescent="0.3">
      <c r="A47" s="183"/>
      <c r="B47" s="184"/>
      <c r="C47" s="184"/>
      <c r="D47" s="185"/>
      <c r="G47" s="852"/>
      <c r="I47" s="852"/>
      <c r="K47" s="69" t="s">
        <v>72</v>
      </c>
      <c r="L47" s="70">
        <f>$L$37</f>
        <v>12191160</v>
      </c>
      <c r="M47" s="71">
        <f>$M$37</f>
        <v>0.54456367224156277</v>
      </c>
      <c r="N47" s="69" t="s">
        <v>72</v>
      </c>
      <c r="O47" s="70">
        <f>$L$37</f>
        <v>12191160</v>
      </c>
      <c r="P47" s="71">
        <f>$M$37</f>
        <v>0.54456367224156277</v>
      </c>
      <c r="Q47" s="69" t="s">
        <v>72</v>
      </c>
      <c r="R47" s="70">
        <f>$L$37</f>
        <v>12191160</v>
      </c>
      <c r="S47" s="71">
        <f>$M$37</f>
        <v>0.54456367224156277</v>
      </c>
      <c r="T47" s="437"/>
      <c r="U47" s="437"/>
      <c r="V47" s="437"/>
    </row>
    <row r="48" spans="1:22" s="189" customFormat="1" x14ac:dyDescent="0.3">
      <c r="A48" s="183"/>
      <c r="B48" s="184"/>
      <c r="C48" s="184"/>
      <c r="D48" s="185"/>
      <c r="G48" s="852"/>
      <c r="I48" s="852"/>
      <c r="K48" s="69"/>
      <c r="L48" s="70"/>
      <c r="M48" s="71"/>
      <c r="N48" s="69" t="s">
        <v>73</v>
      </c>
      <c r="O48" s="70">
        <f>$O$41</f>
        <v>5789392</v>
      </c>
      <c r="P48" s="71">
        <f>$P$41</f>
        <v>0.25860480606980185</v>
      </c>
      <c r="Q48" s="69" t="s">
        <v>73</v>
      </c>
      <c r="R48" s="70">
        <f>$O$41</f>
        <v>5789392</v>
      </c>
      <c r="S48" s="71">
        <f>$P$41</f>
        <v>0.25860480606980185</v>
      </c>
      <c r="T48" s="437"/>
      <c r="U48" s="437"/>
      <c r="V48" s="437"/>
    </row>
    <row r="49" spans="1:22" s="189" customFormat="1" x14ac:dyDescent="0.3">
      <c r="A49" s="183"/>
      <c r="B49" s="184"/>
      <c r="C49" s="184"/>
      <c r="D49" s="185"/>
      <c r="G49" s="852"/>
      <c r="I49" s="852"/>
      <c r="K49" s="72" t="s">
        <v>1</v>
      </c>
      <c r="L49" s="105">
        <f>SUM(L47:L47)</f>
        <v>12191160</v>
      </c>
      <c r="M49" s="73">
        <f>SUM(M47:M47)</f>
        <v>0.54456367224156277</v>
      </c>
      <c r="N49" s="72" t="s">
        <v>1</v>
      </c>
      <c r="O49" s="105">
        <f>SUM(O47:O48)</f>
        <v>17980552</v>
      </c>
      <c r="P49" s="73">
        <f>SUM(P47:P48)</f>
        <v>0.80316847831136462</v>
      </c>
      <c r="Q49" s="69" t="s">
        <v>74</v>
      </c>
      <c r="R49" s="70">
        <f>R41</f>
        <v>0</v>
      </c>
      <c r="S49" s="71">
        <f>S41</f>
        <v>0</v>
      </c>
      <c r="T49" s="437"/>
      <c r="U49" s="437"/>
      <c r="V49" s="437"/>
    </row>
    <row r="50" spans="1:22" s="189" customFormat="1" x14ac:dyDescent="0.3">
      <c r="A50" s="183"/>
      <c r="B50" s="184"/>
      <c r="C50" s="184"/>
      <c r="D50" s="185"/>
      <c r="G50" s="852"/>
      <c r="I50" s="852"/>
      <c r="K50" s="72" t="s">
        <v>9</v>
      </c>
      <c r="L50" s="1423"/>
      <c r="M50" s="1424"/>
      <c r="N50" s="72" t="s">
        <v>9</v>
      </c>
      <c r="O50" s="1423"/>
      <c r="P50" s="1424"/>
      <c r="Q50" s="72" t="s">
        <v>1</v>
      </c>
      <c r="R50" s="105">
        <f>SUM(R47:R49)</f>
        <v>17980552</v>
      </c>
      <c r="S50" s="73">
        <f>SUM(S47:S49)</f>
        <v>0.80316847831136462</v>
      </c>
      <c r="T50" s="437"/>
      <c r="U50" s="437"/>
      <c r="V50" s="437"/>
    </row>
    <row r="51" spans="1:22" s="189" customFormat="1" x14ac:dyDescent="0.3">
      <c r="A51" s="183"/>
      <c r="B51" s="184"/>
      <c r="C51" s="184"/>
      <c r="D51" s="185"/>
      <c r="G51" s="852"/>
      <c r="I51" s="852"/>
      <c r="K51" s="440" t="s">
        <v>78</v>
      </c>
      <c r="L51" s="1423"/>
      <c r="M51" s="1424"/>
      <c r="N51" s="440" t="s">
        <v>78</v>
      </c>
      <c r="O51" s="1497" t="s">
        <v>1605</v>
      </c>
      <c r="P51" s="1497"/>
      <c r="Q51" s="72" t="s">
        <v>9</v>
      </c>
      <c r="R51" s="736"/>
      <c r="S51" s="737"/>
      <c r="T51" s="437"/>
      <c r="U51" s="437"/>
      <c r="V51" s="437"/>
    </row>
    <row r="52" spans="1:22" s="189" customFormat="1" x14ac:dyDescent="0.3">
      <c r="A52" s="183"/>
      <c r="B52" s="184"/>
      <c r="C52" s="184"/>
      <c r="D52" s="185"/>
      <c r="G52" s="852"/>
      <c r="I52" s="852"/>
      <c r="K52" s="439" t="s">
        <v>8</v>
      </c>
      <c r="L52" s="1425"/>
      <c r="M52" s="1426"/>
      <c r="N52" s="439" t="s">
        <v>8</v>
      </c>
      <c r="O52" s="1497" t="s">
        <v>1604</v>
      </c>
      <c r="P52" s="1497"/>
      <c r="Q52" s="440" t="s">
        <v>78</v>
      </c>
      <c r="R52" s="1495" t="s">
        <v>1605</v>
      </c>
      <c r="S52" s="1496"/>
      <c r="T52" s="437"/>
      <c r="U52" s="437"/>
      <c r="V52" s="437"/>
    </row>
    <row r="53" spans="1:22" s="189" customFormat="1" x14ac:dyDescent="0.3">
      <c r="A53" s="183"/>
      <c r="B53" s="184"/>
      <c r="C53" s="184"/>
      <c r="D53" s="185" t="s">
        <v>75</v>
      </c>
      <c r="G53" s="852"/>
      <c r="I53" s="852"/>
      <c r="Q53" s="439" t="s">
        <v>8</v>
      </c>
      <c r="R53" s="1495" t="s">
        <v>1604</v>
      </c>
      <c r="S53" s="1496"/>
    </row>
    <row r="54" spans="1:22" s="189" customFormat="1" x14ac:dyDescent="0.3">
      <c r="A54" s="183" t="s">
        <v>76</v>
      </c>
      <c r="B54" s="180"/>
      <c r="C54" s="180"/>
      <c r="D54" s="185" t="s">
        <v>77</v>
      </c>
      <c r="G54" s="852"/>
      <c r="I54" s="852"/>
      <c r="Q54" s="738"/>
      <c r="R54" s="738"/>
      <c r="S54" s="738"/>
    </row>
    <row r="55" spans="1:22" s="189" customFormat="1" x14ac:dyDescent="0.3">
      <c r="A55" s="183" t="s">
        <v>79</v>
      </c>
      <c r="B55" s="180"/>
      <c r="C55" s="180"/>
      <c r="D55" s="185" t="s">
        <v>80</v>
      </c>
      <c r="G55" s="852"/>
      <c r="I55" s="852"/>
      <c r="Q55" s="738"/>
      <c r="R55" s="738"/>
      <c r="S55" s="738"/>
    </row>
  </sheetData>
  <sheetProtection formatCells="0" formatColumns="0" formatRows="0" insertColumns="0" insertRows="0" insertHyperlinks="0" deleteColumns="0" deleteRows="0" sort="0" autoFilter="0" pivotTables="0"/>
  <mergeCells count="46">
    <mergeCell ref="O50:P50"/>
    <mergeCell ref="O51:P51"/>
    <mergeCell ref="O52:P52"/>
    <mergeCell ref="C1:P2"/>
    <mergeCell ref="L50:M50"/>
    <mergeCell ref="L51:M51"/>
    <mergeCell ref="L52:M52"/>
    <mergeCell ref="K11:M12"/>
    <mergeCell ref="A10:V10"/>
    <mergeCell ref="T1:V1"/>
    <mergeCell ref="T2:V2"/>
    <mergeCell ref="A3:V3"/>
    <mergeCell ref="A4:V4"/>
    <mergeCell ref="A5:V5"/>
    <mergeCell ref="A6:V6"/>
    <mergeCell ref="A7:V7"/>
    <mergeCell ref="A35:A36"/>
    <mergeCell ref="B35:B36"/>
    <mergeCell ref="J35:J36"/>
    <mergeCell ref="A25:A27"/>
    <mergeCell ref="B25:B27"/>
    <mergeCell ref="J25:J27"/>
    <mergeCell ref="A28:A31"/>
    <mergeCell ref="B28:B31"/>
    <mergeCell ref="J28:J31"/>
    <mergeCell ref="N11:P12"/>
    <mergeCell ref="Q11:S12"/>
    <mergeCell ref="A32:A34"/>
    <mergeCell ref="B32:B34"/>
    <mergeCell ref="J32:J34"/>
    <mergeCell ref="R52:S52"/>
    <mergeCell ref="R53:S53"/>
    <mergeCell ref="A8:V8"/>
    <mergeCell ref="A9:V9"/>
    <mergeCell ref="T11:V12"/>
    <mergeCell ref="B12:J12"/>
    <mergeCell ref="A21:A24"/>
    <mergeCell ref="B21:B24"/>
    <mergeCell ref="J21:J24"/>
    <mergeCell ref="A14:A17"/>
    <mergeCell ref="B14:B17"/>
    <mergeCell ref="J14:J17"/>
    <mergeCell ref="A18:A20"/>
    <mergeCell ref="B11:J11"/>
    <mergeCell ref="B18:B20"/>
    <mergeCell ref="J18:J20"/>
  </mergeCells>
  <pageMargins left="0.7" right="0.7" top="0.75" bottom="0.75" header="0.3" footer="0.3"/>
  <pageSetup scale="51" orientation="landscape" r:id="rId1"/>
  <drawing r:id="rId2"/>
  <legacyDrawingHF r:id="rId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7">
    <tabColor theme="1"/>
  </sheetPr>
  <dimension ref="A1:G49"/>
  <sheetViews>
    <sheetView topLeftCell="A13"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RESUMEN!G80</f>
        <v>Proyecto: CDIE_CBCCSM_R0178 REPOSICIÓN INTERRUPTORES</v>
      </c>
      <c r="C5" s="1281"/>
      <c r="D5" s="1281"/>
      <c r="E5" s="1281"/>
      <c r="F5" s="1281"/>
      <c r="G5" s="1282"/>
    </row>
    <row r="6" spans="1:7" x14ac:dyDescent="0.25">
      <c r="A6" s="1177"/>
      <c r="B6" s="1177"/>
      <c r="C6" s="1177"/>
      <c r="D6" s="1177"/>
      <c r="E6" s="1177"/>
      <c r="F6" s="1177"/>
      <c r="G6" s="1177"/>
    </row>
    <row r="7" spans="1:7" x14ac:dyDescent="0.25">
      <c r="A7" s="271" t="s">
        <v>0</v>
      </c>
      <c r="B7" s="1264" t="str">
        <f>RESUMEN!B80</f>
        <v>D00249262</v>
      </c>
      <c r="C7" s="1265"/>
      <c r="D7" s="1177"/>
      <c r="E7" s="1266" t="s">
        <v>627</v>
      </c>
      <c r="F7" s="1267"/>
      <c r="G7" s="280" t="str">
        <f>RESUMEN!E80</f>
        <v>17-313</v>
      </c>
    </row>
    <row r="8" spans="1:7" x14ac:dyDescent="0.25">
      <c r="A8" s="271" t="s">
        <v>628</v>
      </c>
      <c r="B8" s="1264" t="str">
        <f>RESUMEN!C80</f>
        <v>D00249262000</v>
      </c>
      <c r="C8" s="1265"/>
      <c r="D8" s="1177"/>
      <c r="E8" s="1266" t="s">
        <v>629</v>
      </c>
      <c r="F8" s="1267"/>
      <c r="G8" s="280" t="str">
        <f>RESUMEN!U80</f>
        <v>Acta N° 3: Marzo</v>
      </c>
    </row>
    <row r="9" spans="1:7" x14ac:dyDescent="0.25">
      <c r="A9" s="271" t="s">
        <v>630</v>
      </c>
      <c r="B9" s="1283" t="s">
        <v>631</v>
      </c>
      <c r="C9" s="1265"/>
      <c r="D9" s="1177"/>
      <c r="E9" s="1266" t="s">
        <v>632</v>
      </c>
      <c r="F9" s="1267"/>
      <c r="G9" s="1178">
        <f>RESUMEN!H80</f>
        <v>15272902</v>
      </c>
    </row>
    <row r="10" spans="1:7" x14ac:dyDescent="0.25">
      <c r="A10" s="271" t="s">
        <v>633</v>
      </c>
      <c r="B10" s="1283" t="str">
        <f>RESUMEN!D80</f>
        <v xml:space="preserve"> BOLIVIA</v>
      </c>
      <c r="C10" s="1265"/>
      <c r="D10" s="1177"/>
      <c r="E10" s="1266" t="s">
        <v>634</v>
      </c>
      <c r="F10" s="1267"/>
      <c r="G10" s="1178">
        <f>RESUMEN!R80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CDIE_CBCCSM_R0178 REPOSICIÓN INTERRUPTORES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RESUMEN!N80</f>
        <v>0</v>
      </c>
      <c r="F19" s="1248"/>
      <c r="G19" s="1177"/>
    </row>
    <row r="20" spans="1:7" ht="27" customHeight="1" x14ac:dyDescent="0.25">
      <c r="A20" s="1177"/>
      <c r="B20" s="1244" t="s">
        <v>1498</v>
      </c>
      <c r="C20" s="1245"/>
      <c r="D20" s="1246"/>
      <c r="E20" s="1247">
        <f>RESUMEN!P80</f>
        <v>0</v>
      </c>
      <c r="F20" s="1248"/>
      <c r="G20" s="1177"/>
    </row>
    <row r="21" spans="1:7" ht="27" customHeight="1" x14ac:dyDescent="0.25">
      <c r="A21" s="1177"/>
      <c r="B21" s="1244" t="s">
        <v>1499</v>
      </c>
      <c r="C21" s="1245"/>
      <c r="D21" s="1246"/>
      <c r="E21" s="1247">
        <f>RESUMEN!Q80</f>
        <v>0</v>
      </c>
      <c r="F21" s="1248"/>
      <c r="G21" s="1177"/>
    </row>
    <row r="22" spans="1:7" x14ac:dyDescent="0.25">
      <c r="A22" s="1177"/>
      <c r="B22" s="1254" t="s">
        <v>64</v>
      </c>
      <c r="C22" s="1254"/>
      <c r="D22" s="1254"/>
      <c r="E22" s="1255">
        <f>RESUMEN!R80</f>
        <v>0</v>
      </c>
      <c r="F22" s="1255"/>
      <c r="G22" s="1177"/>
    </row>
    <row r="23" spans="1:7" x14ac:dyDescent="0.25">
      <c r="A23" s="1177"/>
      <c r="B23" s="1256" t="s">
        <v>66</v>
      </c>
      <c r="C23" s="1256"/>
      <c r="D23" s="1256"/>
      <c r="E23" s="1257">
        <f>RESUMEN!S80</f>
        <v>0</v>
      </c>
      <c r="F23" s="1257"/>
      <c r="G23" s="1177"/>
    </row>
    <row r="24" spans="1:7" x14ac:dyDescent="0.25">
      <c r="A24" s="1177"/>
      <c r="B24" s="1258" t="s">
        <v>1</v>
      </c>
      <c r="C24" s="1258"/>
      <c r="D24" s="1258"/>
      <c r="E24" s="1259">
        <f>RESUMEN!T80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+'OT17-313 BOLIVIA'!Q38</f>
        <v>ACTA 1</v>
      </c>
      <c r="C28" s="1253">
        <f>+'OT17-313 BOLIVIA'!R38</f>
        <v>10780872</v>
      </c>
      <c r="D28" s="1253"/>
      <c r="E28" s="267">
        <f>+'OT17-313 BOLIVIA'!S38</f>
        <v>0.70588235294117652</v>
      </c>
      <c r="F28" s="1177"/>
      <c r="G28" s="1177"/>
    </row>
    <row r="29" spans="1:7" x14ac:dyDescent="0.25">
      <c r="A29" s="1177"/>
      <c r="B29" s="280" t="str">
        <f>+'OT17-313 BOLIVIA'!Q39</f>
        <v>ACTA 2</v>
      </c>
      <c r="C29" s="1253">
        <f>+'OT17-313 BOLIVIA'!R39</f>
        <v>3144421</v>
      </c>
      <c r="D29" s="1253"/>
      <c r="E29" s="267">
        <f>+'OT17-313 BOLIVIA'!S39</f>
        <v>0.20897056761053007</v>
      </c>
      <c r="F29" s="1177"/>
      <c r="G29" s="1177"/>
    </row>
    <row r="30" spans="1:7" x14ac:dyDescent="0.25">
      <c r="A30" s="1177"/>
      <c r="B30" s="280" t="str">
        <f>+'OT17-313 BOLIVIA'!Q40</f>
        <v>ACTA 3</v>
      </c>
      <c r="C30" s="1253">
        <f>+'OT17-313 BOLIVIA'!R40</f>
        <v>0</v>
      </c>
      <c r="D30" s="1253"/>
      <c r="E30" s="267">
        <f>+'OT17-313 BOLIVIA'!S40</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13925293</v>
      </c>
      <c r="D34" s="1251"/>
      <c r="E34" s="264">
        <f>SUM(E28:E33)</f>
        <v>0.91485292055170664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RESUMEN!V80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8">
    <tabColor rgb="FF7B2307"/>
  </sheetPr>
  <dimension ref="A1:V47"/>
  <sheetViews>
    <sheetView topLeftCell="A10" zoomScale="60" zoomScaleNormal="60" workbookViewId="0">
      <selection activeCell="H28" sqref="H28"/>
    </sheetView>
  </sheetViews>
  <sheetFormatPr baseColWidth="10" defaultColWidth="9.109375" defaultRowHeight="14.4" x14ac:dyDescent="0.3"/>
  <cols>
    <col min="1" max="1" width="13.6640625" style="437" customWidth="1"/>
    <col min="2" max="2" width="22.109375" style="437" customWidth="1"/>
    <col min="3" max="3" width="34.6640625" style="437" customWidth="1"/>
    <col min="4" max="4" width="22.5546875" style="437" customWidth="1"/>
    <col min="5" max="5" width="13" style="437" customWidth="1"/>
    <col min="6" max="7" width="17.88671875" style="437" customWidth="1"/>
    <col min="8" max="8" width="17.33203125" style="437" bestFit="1" customWidth="1"/>
    <col min="9" max="9" width="17.33203125" style="437" customWidth="1"/>
    <col min="10" max="10" width="66.109375" style="437" customWidth="1"/>
    <col min="11" max="11" width="17.88671875" style="437" hidden="1" customWidth="1"/>
    <col min="12" max="12" width="18" style="437" hidden="1" customWidth="1"/>
    <col min="13" max="13" width="9.109375" style="437" hidden="1" customWidth="1"/>
    <col min="14" max="14" width="17.88671875" style="437" bestFit="1" customWidth="1"/>
    <col min="15" max="15" width="18" style="437" bestFit="1" customWidth="1"/>
    <col min="16" max="16" width="9.109375" style="437"/>
    <col min="17" max="17" width="17.88671875" style="437" bestFit="1" customWidth="1"/>
    <col min="18" max="18" width="18" style="437" bestFit="1" customWidth="1"/>
    <col min="19" max="19" width="9.109375" style="437"/>
    <col min="20" max="21" width="17.88671875" style="437" bestFit="1" customWidth="1"/>
    <col min="22"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1308"/>
      <c r="O1" s="1308"/>
      <c r="P1" s="1309"/>
      <c r="Q1" s="846"/>
      <c r="R1" s="846"/>
      <c r="S1" s="846"/>
      <c r="T1" s="1328" t="s">
        <v>1095</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2"/>
      <c r="Q2" s="847"/>
      <c r="R2" s="847"/>
      <c r="S2" s="847"/>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1096</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1364</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34"/>
      <c r="B11" s="1301"/>
      <c r="C11" s="1313"/>
      <c r="D11" s="1313"/>
      <c r="E11" s="1313"/>
      <c r="F11" s="1313"/>
      <c r="G11" s="1313"/>
      <c r="H11" s="1313"/>
      <c r="I11" s="1313"/>
      <c r="J11" s="1313"/>
      <c r="K11" s="1293" t="s">
        <v>986</v>
      </c>
      <c r="L11" s="1294"/>
      <c r="M11" s="1295"/>
      <c r="N11" s="1293" t="s">
        <v>1977</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461" t="s">
        <v>50</v>
      </c>
      <c r="B13" s="461" t="s">
        <v>51</v>
      </c>
      <c r="C13" s="461" t="s">
        <v>52</v>
      </c>
      <c r="D13" s="461" t="s">
        <v>164</v>
      </c>
      <c r="E13" s="461" t="s">
        <v>54</v>
      </c>
      <c r="F13" s="462" t="s">
        <v>55</v>
      </c>
      <c r="G13" s="821" t="s">
        <v>2007</v>
      </c>
      <c r="H13" s="461" t="s">
        <v>56</v>
      </c>
      <c r="I13" s="822" t="s">
        <v>56</v>
      </c>
      <c r="J13" s="461" t="s">
        <v>57</v>
      </c>
      <c r="K13" s="460" t="s">
        <v>54</v>
      </c>
      <c r="L13" s="460" t="s">
        <v>56</v>
      </c>
      <c r="M13" s="460" t="s">
        <v>58</v>
      </c>
      <c r="N13" s="460" t="s">
        <v>54</v>
      </c>
      <c r="O13" s="460" t="s">
        <v>56</v>
      </c>
      <c r="P13" s="460" t="s">
        <v>58</v>
      </c>
      <c r="Q13" s="460" t="s">
        <v>54</v>
      </c>
      <c r="R13" s="460" t="s">
        <v>56</v>
      </c>
      <c r="S13" s="460" t="s">
        <v>58</v>
      </c>
      <c r="T13" s="174" t="s">
        <v>54</v>
      </c>
      <c r="U13" s="172" t="s">
        <v>56</v>
      </c>
      <c r="V13" s="460" t="s">
        <v>58</v>
      </c>
    </row>
    <row r="14" spans="1:22" ht="30" customHeight="1" x14ac:dyDescent="0.3">
      <c r="A14" s="1441" t="s">
        <v>1363</v>
      </c>
      <c r="B14" s="1441" t="s">
        <v>216</v>
      </c>
      <c r="C14" s="454" t="s">
        <v>81</v>
      </c>
      <c r="D14" s="454" t="s">
        <v>82</v>
      </c>
      <c r="E14" s="454">
        <v>0.45</v>
      </c>
      <c r="F14" s="453">
        <v>1880385</v>
      </c>
      <c r="G14" s="32">
        <f>+ROUND(F14*1.051,0)</f>
        <v>1976285</v>
      </c>
      <c r="H14" s="453">
        <f>ROUND((E14*F14),0)</f>
        <v>846173</v>
      </c>
      <c r="I14" s="32">
        <f>+ROUND(G14*E14,0)</f>
        <v>889328</v>
      </c>
      <c r="J14" s="1442" t="s">
        <v>1357</v>
      </c>
      <c r="K14" s="474">
        <v>0.45</v>
      </c>
      <c r="L14" s="429">
        <f>ROUND(K14*$F$14,0)</f>
        <v>846173</v>
      </c>
      <c r="M14" s="430">
        <f>L14/$H$14</f>
        <v>1</v>
      </c>
      <c r="N14" s="452">
        <v>0</v>
      </c>
      <c r="O14" s="425">
        <f>ROUND(N14*$F$14,0)</f>
        <v>0</v>
      </c>
      <c r="P14" s="426">
        <f>O14/$H$14</f>
        <v>0</v>
      </c>
      <c r="Q14" s="452">
        <v>0</v>
      </c>
      <c r="R14" s="425">
        <f>ROUND(Q14*G14,0)</f>
        <v>0</v>
      </c>
      <c r="S14" s="426">
        <f>R14/I14</f>
        <v>0</v>
      </c>
      <c r="T14" s="450">
        <f>K14+N14+Q14</f>
        <v>0.45</v>
      </c>
      <c r="U14" s="175">
        <f>L14+O14+R14</f>
        <v>846173</v>
      </c>
      <c r="V14" s="176">
        <f t="shared" ref="V14:V27" si="0">U14/H14</f>
        <v>1</v>
      </c>
    </row>
    <row r="15" spans="1:22" ht="30" customHeight="1" x14ac:dyDescent="0.3">
      <c r="A15" s="1441"/>
      <c r="B15" s="1441"/>
      <c r="C15" s="454" t="s">
        <v>83</v>
      </c>
      <c r="D15" s="454" t="s">
        <v>84</v>
      </c>
      <c r="E15" s="454">
        <v>0.3</v>
      </c>
      <c r="F15" s="453">
        <v>1845563</v>
      </c>
      <c r="G15" s="32">
        <f t="shared" ref="G15:G26" si="1">+ROUND(F15*1.051,0)</f>
        <v>1939687</v>
      </c>
      <c r="H15" s="453">
        <f>ROUND((E15*F15),0)</f>
        <v>553669</v>
      </c>
      <c r="I15" s="32">
        <f t="shared" ref="I15:I16" si="2">+ROUND(G15*E15,0)</f>
        <v>581906</v>
      </c>
      <c r="J15" s="1441"/>
      <c r="K15" s="474">
        <v>0.3</v>
      </c>
      <c r="L15" s="429">
        <f>ROUND(K15*$F$15,0)</f>
        <v>553669</v>
      </c>
      <c r="M15" s="430">
        <f>L15/$H$15</f>
        <v>1</v>
      </c>
      <c r="N15" s="452">
        <v>0</v>
      </c>
      <c r="O15" s="425">
        <f>ROUND(N15*$F$15,0)</f>
        <v>0</v>
      </c>
      <c r="P15" s="426">
        <f>O15/$H$15</f>
        <v>0</v>
      </c>
      <c r="Q15" s="452">
        <v>0</v>
      </c>
      <c r="R15" s="425">
        <f t="shared" ref="R15:R16" si="3">ROUND(Q15*G15,0)</f>
        <v>0</v>
      </c>
      <c r="S15" s="426">
        <f t="shared" ref="S15:S27" si="4">R15/I15</f>
        <v>0</v>
      </c>
      <c r="T15" s="450">
        <f t="shared" ref="T15:T16" si="5">K15+N15+Q15</f>
        <v>0.3</v>
      </c>
      <c r="U15" s="175">
        <f t="shared" ref="U15:U27" si="6">L15+O15+R15</f>
        <v>553669</v>
      </c>
      <c r="V15" s="176">
        <f t="shared" si="0"/>
        <v>1</v>
      </c>
    </row>
    <row r="16" spans="1:22" ht="30" customHeight="1" x14ac:dyDescent="0.3">
      <c r="A16" s="1441"/>
      <c r="B16" s="1441"/>
      <c r="C16" s="454" t="s">
        <v>61</v>
      </c>
      <c r="D16" s="454" t="s">
        <v>85</v>
      </c>
      <c r="E16" s="454">
        <v>0.3</v>
      </c>
      <c r="F16" s="453">
        <v>7312607</v>
      </c>
      <c r="G16" s="32">
        <f t="shared" si="1"/>
        <v>7685550</v>
      </c>
      <c r="H16" s="453">
        <f>ROUND((E16*F16),0)</f>
        <v>2193782</v>
      </c>
      <c r="I16" s="32">
        <f t="shared" si="2"/>
        <v>2305665</v>
      </c>
      <c r="J16" s="1441"/>
      <c r="K16" s="474">
        <v>0.3</v>
      </c>
      <c r="L16" s="429">
        <f>ROUND(K16*$F$16,0)</f>
        <v>2193782</v>
      </c>
      <c r="M16" s="430">
        <f>L16/$H$16</f>
        <v>1</v>
      </c>
      <c r="N16" s="452">
        <v>0</v>
      </c>
      <c r="O16" s="425">
        <f>ROUND(N16*$F$16,0)</f>
        <v>0</v>
      </c>
      <c r="P16" s="426">
        <f>O16/$H$16</f>
        <v>0</v>
      </c>
      <c r="Q16" s="452">
        <v>0</v>
      </c>
      <c r="R16" s="425">
        <f t="shared" si="3"/>
        <v>0</v>
      </c>
      <c r="S16" s="426">
        <f t="shared" si="4"/>
        <v>0</v>
      </c>
      <c r="T16" s="450">
        <f t="shared" si="5"/>
        <v>0.3</v>
      </c>
      <c r="U16" s="175">
        <f t="shared" si="6"/>
        <v>2193782</v>
      </c>
      <c r="V16" s="176">
        <f t="shared" si="0"/>
        <v>1</v>
      </c>
    </row>
    <row r="17" spans="1:22" x14ac:dyDescent="0.3">
      <c r="A17" s="1441"/>
      <c r="B17" s="1441"/>
      <c r="C17" s="459"/>
      <c r="D17" s="459" t="s">
        <v>86</v>
      </c>
      <c r="E17" s="458"/>
      <c r="F17" s="458"/>
      <c r="G17" s="458"/>
      <c r="H17" s="457">
        <f>SUM(H14:H16)</f>
        <v>3593624</v>
      </c>
      <c r="I17" s="457">
        <f>SUM(I14:I16)</f>
        <v>3776899</v>
      </c>
      <c r="J17" s="1441"/>
      <c r="K17" s="431"/>
      <c r="L17" s="179">
        <f>SUM(L14:L16)</f>
        <v>3593624</v>
      </c>
      <c r="M17" s="431">
        <f>L17/$H$17</f>
        <v>1</v>
      </c>
      <c r="N17" s="431"/>
      <c r="O17" s="179">
        <f>SUM(O14:O16)</f>
        <v>0</v>
      </c>
      <c r="P17" s="431">
        <f>O17/$H$17</f>
        <v>0</v>
      </c>
      <c r="Q17" s="431"/>
      <c r="R17" s="179">
        <f>SUM(R14:R16)</f>
        <v>0</v>
      </c>
      <c r="S17" s="1091">
        <f t="shared" si="4"/>
        <v>0</v>
      </c>
      <c r="T17" s="1101"/>
      <c r="U17" s="1078">
        <f t="shared" si="6"/>
        <v>3593624</v>
      </c>
      <c r="V17" s="1090">
        <f t="shared" si="0"/>
        <v>1</v>
      </c>
    </row>
    <row r="18" spans="1:22" ht="30" customHeight="1" x14ac:dyDescent="0.3">
      <c r="A18" s="1441" t="s">
        <v>109</v>
      </c>
      <c r="B18" s="1441" t="s">
        <v>216</v>
      </c>
      <c r="C18" s="454" t="s">
        <v>81</v>
      </c>
      <c r="D18" s="454" t="s">
        <v>82</v>
      </c>
      <c r="E18" s="454">
        <v>0.45</v>
      </c>
      <c r="F18" s="453">
        <v>1880385</v>
      </c>
      <c r="G18" s="32">
        <f t="shared" si="1"/>
        <v>1976285</v>
      </c>
      <c r="H18" s="453">
        <f>ROUND((E18*F18),0)</f>
        <v>846173</v>
      </c>
      <c r="I18" s="32">
        <f t="shared" ref="I18:I20" si="7">+ROUND(G18*E18,0)</f>
        <v>889328</v>
      </c>
      <c r="J18" s="1442" t="s">
        <v>1362</v>
      </c>
      <c r="K18" s="474">
        <v>0.45</v>
      </c>
      <c r="L18" s="429">
        <f>ROUND(K18*$F$18,0)</f>
        <v>846173</v>
      </c>
      <c r="M18" s="430">
        <f>L18/$H$18</f>
        <v>1</v>
      </c>
      <c r="N18" s="452">
        <v>0</v>
      </c>
      <c r="O18" s="425">
        <f>ROUND(N18*$F$18,0)</f>
        <v>0</v>
      </c>
      <c r="P18" s="426">
        <f>O18/$H$18</f>
        <v>0</v>
      </c>
      <c r="Q18" s="452">
        <v>0</v>
      </c>
      <c r="R18" s="425">
        <f t="shared" ref="R18:R20" si="8">ROUND(Q18*G18,0)</f>
        <v>0</v>
      </c>
      <c r="S18" s="426">
        <f t="shared" si="4"/>
        <v>0</v>
      </c>
      <c r="T18" s="450">
        <f t="shared" ref="T18:T20" si="9">K18+N18+Q18</f>
        <v>0.45</v>
      </c>
      <c r="U18" s="175">
        <f t="shared" si="6"/>
        <v>846173</v>
      </c>
      <c r="V18" s="176">
        <f t="shared" si="0"/>
        <v>1</v>
      </c>
    </row>
    <row r="19" spans="1:22" ht="30" customHeight="1" x14ac:dyDescent="0.3">
      <c r="A19" s="1441"/>
      <c r="B19" s="1441"/>
      <c r="C19" s="454" t="s">
        <v>83</v>
      </c>
      <c r="D19" s="454" t="s">
        <v>84</v>
      </c>
      <c r="E19" s="454">
        <v>0.3</v>
      </c>
      <c r="F19" s="453">
        <v>1845563</v>
      </c>
      <c r="G19" s="32">
        <f t="shared" si="1"/>
        <v>1939687</v>
      </c>
      <c r="H19" s="453">
        <f>ROUND((E19*F19),0)</f>
        <v>553669</v>
      </c>
      <c r="I19" s="32">
        <f t="shared" si="7"/>
        <v>581906</v>
      </c>
      <c r="J19" s="1441"/>
      <c r="K19" s="474">
        <v>0.3</v>
      </c>
      <c r="L19" s="429">
        <f>ROUND(K19*$F$19,0)</f>
        <v>553669</v>
      </c>
      <c r="M19" s="430">
        <f>L19/$H$19</f>
        <v>1</v>
      </c>
      <c r="N19" s="452">
        <v>0</v>
      </c>
      <c r="O19" s="425">
        <f>ROUND(N19*$F$19,0)</f>
        <v>0</v>
      </c>
      <c r="P19" s="426">
        <f>O19/$H$19</f>
        <v>0</v>
      </c>
      <c r="Q19" s="452">
        <v>0</v>
      </c>
      <c r="R19" s="425">
        <f t="shared" si="8"/>
        <v>0</v>
      </c>
      <c r="S19" s="426">
        <f t="shared" si="4"/>
        <v>0</v>
      </c>
      <c r="T19" s="450">
        <f t="shared" si="9"/>
        <v>0.3</v>
      </c>
      <c r="U19" s="175">
        <f t="shared" si="6"/>
        <v>553669</v>
      </c>
      <c r="V19" s="176">
        <f t="shared" si="0"/>
        <v>1</v>
      </c>
    </row>
    <row r="20" spans="1:22" ht="30" customHeight="1" x14ac:dyDescent="0.3">
      <c r="A20" s="1441"/>
      <c r="B20" s="1441"/>
      <c r="C20" s="454" t="s">
        <v>61</v>
      </c>
      <c r="D20" s="454" t="s">
        <v>85</v>
      </c>
      <c r="E20" s="454">
        <v>0.3</v>
      </c>
      <c r="F20" s="453">
        <v>7312607</v>
      </c>
      <c r="G20" s="32">
        <f t="shared" si="1"/>
        <v>7685550</v>
      </c>
      <c r="H20" s="453">
        <f>ROUND((E20*F20),0)</f>
        <v>2193782</v>
      </c>
      <c r="I20" s="32">
        <f t="shared" si="7"/>
        <v>2305665</v>
      </c>
      <c r="J20" s="1441"/>
      <c r="K20" s="474">
        <v>0.3</v>
      </c>
      <c r="L20" s="429">
        <f>ROUND(K20*$F$20,0)</f>
        <v>2193782</v>
      </c>
      <c r="M20" s="430">
        <f>L20/$H$20</f>
        <v>1</v>
      </c>
      <c r="N20" s="452">
        <v>0</v>
      </c>
      <c r="O20" s="425">
        <f>ROUND(N20*$F$20,0)</f>
        <v>0</v>
      </c>
      <c r="P20" s="426">
        <f>O20/$H$20</f>
        <v>0</v>
      </c>
      <c r="Q20" s="452">
        <v>0</v>
      </c>
      <c r="R20" s="425">
        <f t="shared" si="8"/>
        <v>0</v>
      </c>
      <c r="S20" s="426">
        <f t="shared" si="4"/>
        <v>0</v>
      </c>
      <c r="T20" s="450">
        <f t="shared" si="9"/>
        <v>0.3</v>
      </c>
      <c r="U20" s="175">
        <f t="shared" si="6"/>
        <v>2193782</v>
      </c>
      <c r="V20" s="176">
        <f t="shared" si="0"/>
        <v>1</v>
      </c>
    </row>
    <row r="21" spans="1:22" x14ac:dyDescent="0.3">
      <c r="A21" s="1441"/>
      <c r="B21" s="1441"/>
      <c r="C21" s="459"/>
      <c r="D21" s="459" t="s">
        <v>86</v>
      </c>
      <c r="E21" s="458"/>
      <c r="F21" s="458"/>
      <c r="G21" s="458"/>
      <c r="H21" s="457">
        <f>SUM(H18:H20)</f>
        <v>3593624</v>
      </c>
      <c r="I21" s="457">
        <f>SUM(I18:I20)</f>
        <v>3776899</v>
      </c>
      <c r="J21" s="1441"/>
      <c r="K21" s="431"/>
      <c r="L21" s="179">
        <f>SUM(L18:L20)</f>
        <v>3593624</v>
      </c>
      <c r="M21" s="431">
        <f>L21/$H$21</f>
        <v>1</v>
      </c>
      <c r="N21" s="431"/>
      <c r="O21" s="179">
        <f>SUM(O18:O20)</f>
        <v>0</v>
      </c>
      <c r="P21" s="431">
        <f>O21/$H$21</f>
        <v>0</v>
      </c>
      <c r="Q21" s="431"/>
      <c r="R21" s="179">
        <f>SUM(R18:R20)</f>
        <v>0</v>
      </c>
      <c r="S21" s="1091">
        <f t="shared" si="4"/>
        <v>0</v>
      </c>
      <c r="T21" s="1101"/>
      <c r="U21" s="1078">
        <f t="shared" si="6"/>
        <v>3593624</v>
      </c>
      <c r="V21" s="431">
        <f t="shared" si="0"/>
        <v>1</v>
      </c>
    </row>
    <row r="22" spans="1:22" ht="30" customHeight="1" x14ac:dyDescent="0.3">
      <c r="A22" s="1441" t="s">
        <v>922</v>
      </c>
      <c r="B22" s="1441" t="s">
        <v>216</v>
      </c>
      <c r="C22" s="454" t="s">
        <v>81</v>
      </c>
      <c r="D22" s="454" t="s">
        <v>82</v>
      </c>
      <c r="E22" s="454">
        <v>0.45</v>
      </c>
      <c r="F22" s="453">
        <v>1880385</v>
      </c>
      <c r="G22" s="32">
        <f t="shared" si="1"/>
        <v>1976285</v>
      </c>
      <c r="H22" s="453">
        <f>ROUND((E22*F22),0)</f>
        <v>846173</v>
      </c>
      <c r="I22" s="32">
        <f t="shared" ref="I22:I24" si="10">+ROUND(G22*E22,0)</f>
        <v>889328</v>
      </c>
      <c r="J22" s="1442" t="s">
        <v>1357</v>
      </c>
      <c r="K22" s="474">
        <v>0.45</v>
      </c>
      <c r="L22" s="429">
        <f>ROUND(K22*$F$22,0)</f>
        <v>846173</v>
      </c>
      <c r="M22" s="430">
        <f>L22/$H$22</f>
        <v>1</v>
      </c>
      <c r="N22" s="452">
        <v>0</v>
      </c>
      <c r="O22" s="425">
        <f>ROUND(N22*$F$22,0)</f>
        <v>0</v>
      </c>
      <c r="P22" s="426">
        <f>O22/$H$22</f>
        <v>0</v>
      </c>
      <c r="Q22" s="452">
        <v>0</v>
      </c>
      <c r="R22" s="425">
        <f t="shared" ref="R22:R24" si="11">ROUND(Q22*G22,0)</f>
        <v>0</v>
      </c>
      <c r="S22" s="426">
        <f t="shared" si="4"/>
        <v>0</v>
      </c>
      <c r="T22" s="450">
        <f t="shared" ref="T22:T24" si="12">K22+N22+Q22</f>
        <v>0.45</v>
      </c>
      <c r="U22" s="175">
        <f t="shared" si="6"/>
        <v>846173</v>
      </c>
      <c r="V22" s="176">
        <f t="shared" si="0"/>
        <v>1</v>
      </c>
    </row>
    <row r="23" spans="1:22" ht="30" customHeight="1" x14ac:dyDescent="0.3">
      <c r="A23" s="1441"/>
      <c r="B23" s="1441"/>
      <c r="C23" s="454" t="s">
        <v>83</v>
      </c>
      <c r="D23" s="454" t="s">
        <v>84</v>
      </c>
      <c r="E23" s="454">
        <v>0.3</v>
      </c>
      <c r="F23" s="453">
        <v>1845563</v>
      </c>
      <c r="G23" s="32">
        <f t="shared" si="1"/>
        <v>1939687</v>
      </c>
      <c r="H23" s="453">
        <f>ROUND((E23*F23),0)</f>
        <v>553669</v>
      </c>
      <c r="I23" s="32">
        <f t="shared" si="10"/>
        <v>581906</v>
      </c>
      <c r="J23" s="1441"/>
      <c r="K23" s="474">
        <v>0.3</v>
      </c>
      <c r="L23" s="429">
        <f>ROUND(K23*$F$23,0)</f>
        <v>553669</v>
      </c>
      <c r="M23" s="430">
        <f>L23/$H$23</f>
        <v>1</v>
      </c>
      <c r="N23" s="452">
        <v>0</v>
      </c>
      <c r="O23" s="425">
        <f>ROUND(N23*$F$23,0)</f>
        <v>0</v>
      </c>
      <c r="P23" s="426">
        <f>O23/$H$23</f>
        <v>0</v>
      </c>
      <c r="Q23" s="452">
        <v>0</v>
      </c>
      <c r="R23" s="425">
        <f t="shared" si="11"/>
        <v>0</v>
      </c>
      <c r="S23" s="426">
        <f t="shared" si="4"/>
        <v>0</v>
      </c>
      <c r="T23" s="450">
        <f t="shared" si="12"/>
        <v>0.3</v>
      </c>
      <c r="U23" s="175">
        <f t="shared" si="6"/>
        <v>553669</v>
      </c>
      <c r="V23" s="176">
        <f t="shared" si="0"/>
        <v>1</v>
      </c>
    </row>
    <row r="24" spans="1:22" ht="30" customHeight="1" x14ac:dyDescent="0.3">
      <c r="A24" s="1441"/>
      <c r="B24" s="1441"/>
      <c r="C24" s="454" t="s">
        <v>61</v>
      </c>
      <c r="D24" s="454" t="s">
        <v>85</v>
      </c>
      <c r="E24" s="454">
        <v>0.3</v>
      </c>
      <c r="F24" s="453">
        <v>7312607</v>
      </c>
      <c r="G24" s="32">
        <f t="shared" si="1"/>
        <v>7685550</v>
      </c>
      <c r="H24" s="453">
        <f>ROUND((E24*F24),0)</f>
        <v>2193782</v>
      </c>
      <c r="I24" s="32">
        <f t="shared" si="10"/>
        <v>2305665</v>
      </c>
      <c r="J24" s="1441"/>
      <c r="K24" s="474">
        <v>0.3</v>
      </c>
      <c r="L24" s="429">
        <f>ROUND(K24*$F$24,0)</f>
        <v>2193782</v>
      </c>
      <c r="M24" s="430">
        <f>L24/$H$24</f>
        <v>1</v>
      </c>
      <c r="N24" s="452">
        <v>0</v>
      </c>
      <c r="O24" s="425">
        <f>ROUND(N24*$F$24,0)</f>
        <v>0</v>
      </c>
      <c r="P24" s="426">
        <f>O24/$H$24</f>
        <v>0</v>
      </c>
      <c r="Q24" s="452">
        <v>0</v>
      </c>
      <c r="R24" s="425">
        <f t="shared" si="11"/>
        <v>0</v>
      </c>
      <c r="S24" s="426">
        <f t="shared" si="4"/>
        <v>0</v>
      </c>
      <c r="T24" s="450">
        <f t="shared" si="12"/>
        <v>0.3</v>
      </c>
      <c r="U24" s="175">
        <f t="shared" si="6"/>
        <v>2193782</v>
      </c>
      <c r="V24" s="176">
        <f t="shared" si="0"/>
        <v>1</v>
      </c>
    </row>
    <row r="25" spans="1:22" x14ac:dyDescent="0.3">
      <c r="A25" s="1441"/>
      <c r="B25" s="1441"/>
      <c r="C25" s="459"/>
      <c r="D25" s="459" t="s">
        <v>86</v>
      </c>
      <c r="E25" s="458"/>
      <c r="F25" s="458"/>
      <c r="G25" s="458"/>
      <c r="H25" s="457">
        <f>SUM(H22:H24)</f>
        <v>3593624</v>
      </c>
      <c r="I25" s="457">
        <f>SUM(I22:I24)</f>
        <v>3776899</v>
      </c>
      <c r="J25" s="1441"/>
      <c r="K25" s="431"/>
      <c r="L25" s="179">
        <f>SUM(L22:L24)</f>
        <v>3593624</v>
      </c>
      <c r="M25" s="431">
        <f>L25/$H$25</f>
        <v>1</v>
      </c>
      <c r="N25" s="431"/>
      <c r="O25" s="179">
        <f>SUM(O22:O24)</f>
        <v>0</v>
      </c>
      <c r="P25" s="431">
        <f>O25/$H$25</f>
        <v>0</v>
      </c>
      <c r="Q25" s="431"/>
      <c r="R25" s="179">
        <f>SUM(R22:R24)</f>
        <v>0</v>
      </c>
      <c r="S25" s="1091">
        <f t="shared" si="4"/>
        <v>0</v>
      </c>
      <c r="T25" s="1101"/>
      <c r="U25" s="1078">
        <f t="shared" si="6"/>
        <v>3593624</v>
      </c>
      <c r="V25" s="431">
        <f t="shared" si="0"/>
        <v>1</v>
      </c>
    </row>
    <row r="26" spans="1:22" ht="30" customHeight="1" x14ac:dyDescent="0.3">
      <c r="A26" s="1441" t="s">
        <v>1093</v>
      </c>
      <c r="B26" s="1441" t="s">
        <v>1361</v>
      </c>
      <c r="C26" s="454"/>
      <c r="D26" s="454" t="s">
        <v>89</v>
      </c>
      <c r="E26" s="454">
        <v>1</v>
      </c>
      <c r="F26" s="453">
        <v>4492030</v>
      </c>
      <c r="G26" s="32">
        <f t="shared" si="1"/>
        <v>4721124</v>
      </c>
      <c r="H26" s="453">
        <f>ROUND((E26*F26),0)</f>
        <v>4492030</v>
      </c>
      <c r="I26" s="32">
        <f>+ROUND(G26*E26,0)</f>
        <v>4721124</v>
      </c>
      <c r="J26" s="1442" t="s">
        <v>1094</v>
      </c>
      <c r="K26" s="452">
        <v>0</v>
      </c>
      <c r="L26" s="425">
        <f>ROUND(K26*$F$26,0)</f>
        <v>0</v>
      </c>
      <c r="M26" s="426">
        <f>L26/$H$26</f>
        <v>0</v>
      </c>
      <c r="N26" s="474">
        <v>0.7</v>
      </c>
      <c r="O26" s="429">
        <f>ROUND(N26*$F$26,0)</f>
        <v>3144421</v>
      </c>
      <c r="P26" s="430">
        <f>O26/$H$26</f>
        <v>0.7</v>
      </c>
      <c r="Q26" s="452">
        <v>0</v>
      </c>
      <c r="R26" s="425">
        <f>ROUND(Q26*G26,0)</f>
        <v>0</v>
      </c>
      <c r="S26" s="426">
        <f t="shared" si="4"/>
        <v>0</v>
      </c>
      <c r="T26" s="450">
        <f>K26+N26+Q26</f>
        <v>0.7</v>
      </c>
      <c r="U26" s="175">
        <f t="shared" si="6"/>
        <v>3144421</v>
      </c>
      <c r="V26" s="176">
        <f t="shared" si="0"/>
        <v>0.7</v>
      </c>
    </row>
    <row r="27" spans="1:22" x14ac:dyDescent="0.3">
      <c r="A27" s="1441"/>
      <c r="B27" s="1441"/>
      <c r="C27" s="459"/>
      <c r="D27" s="459" t="s">
        <v>90</v>
      </c>
      <c r="E27" s="458"/>
      <c r="F27" s="457"/>
      <c r="G27" s="457"/>
      <c r="H27" s="457">
        <f>H26</f>
        <v>4492030</v>
      </c>
      <c r="I27" s="457">
        <f>SUM(I26)</f>
        <v>4721124</v>
      </c>
      <c r="J27" s="1441"/>
      <c r="K27" s="431"/>
      <c r="L27" s="179">
        <f>SUM(L26)</f>
        <v>0</v>
      </c>
      <c r="M27" s="431">
        <f>L27/$H$27</f>
        <v>0</v>
      </c>
      <c r="N27" s="431"/>
      <c r="O27" s="179">
        <f>SUM(O26)</f>
        <v>3144421</v>
      </c>
      <c r="P27" s="431">
        <f>O27/$H$27</f>
        <v>0.7</v>
      </c>
      <c r="Q27" s="431"/>
      <c r="R27" s="179">
        <f>SUM(R26)</f>
        <v>0</v>
      </c>
      <c r="S27" s="1091">
        <f t="shared" si="4"/>
        <v>0</v>
      </c>
      <c r="T27" s="1101"/>
      <c r="U27" s="1078">
        <f t="shared" si="6"/>
        <v>3144421</v>
      </c>
      <c r="V27" s="431">
        <f t="shared" si="0"/>
        <v>0.7</v>
      </c>
    </row>
    <row r="28" spans="1:22" x14ac:dyDescent="0.3">
      <c r="F28" s="445" t="s">
        <v>64</v>
      </c>
      <c r="G28" s="445"/>
      <c r="H28" s="181">
        <f>SUM(H5:H27)/2</f>
        <v>15272902</v>
      </c>
      <c r="I28" s="181">
        <f>SUM(I5:I27)/2</f>
        <v>16051821</v>
      </c>
      <c r="K28" s="445" t="s">
        <v>64</v>
      </c>
      <c r="L28" s="181">
        <f>SUM(L5:L27)/2</f>
        <v>10780872</v>
      </c>
      <c r="M28" s="577">
        <f>L28/$H$28</f>
        <v>0.70588235294117652</v>
      </c>
      <c r="N28" s="445" t="s">
        <v>64</v>
      </c>
      <c r="O28" s="181">
        <f>SUM(O5:O27)/2</f>
        <v>3144421</v>
      </c>
      <c r="Q28" s="547" t="s">
        <v>64</v>
      </c>
      <c r="R28" s="481">
        <f>SUM(R5:R27)/2</f>
        <v>0</v>
      </c>
      <c r="T28" s="445" t="s">
        <v>64</v>
      </c>
      <c r="U28" s="181">
        <f>SUM(U5:U27)/2</f>
        <v>13925293</v>
      </c>
    </row>
    <row r="29" spans="1:22" x14ac:dyDescent="0.3">
      <c r="F29" s="444" t="s">
        <v>65</v>
      </c>
      <c r="G29" s="444"/>
      <c r="H29" s="181">
        <v>0</v>
      </c>
      <c r="I29" s="181">
        <v>0</v>
      </c>
      <c r="K29" s="444" t="s">
        <v>65</v>
      </c>
      <c r="L29" s="181">
        <v>0</v>
      </c>
      <c r="N29" s="444" t="s">
        <v>65</v>
      </c>
      <c r="O29" s="181">
        <v>0</v>
      </c>
      <c r="Q29" s="548" t="s">
        <v>65</v>
      </c>
      <c r="R29" s="481">
        <v>0</v>
      </c>
      <c r="T29" s="444" t="s">
        <v>65</v>
      </c>
      <c r="U29" s="181">
        <v>0</v>
      </c>
    </row>
    <row r="30" spans="1:22" x14ac:dyDescent="0.3">
      <c r="F30" s="443" t="s">
        <v>64</v>
      </c>
      <c r="G30" s="443"/>
      <c r="H30" s="340">
        <f>SUM(H28:H29)</f>
        <v>15272902</v>
      </c>
      <c r="I30" s="340">
        <f>SUM(I28:I29)</f>
        <v>16051821</v>
      </c>
      <c r="K30" s="443" t="s">
        <v>64</v>
      </c>
      <c r="L30" s="340">
        <f>SUM(L28:L29)</f>
        <v>10780872</v>
      </c>
      <c r="N30" s="443" t="s">
        <v>64</v>
      </c>
      <c r="O30" s="340">
        <f>SUM(O28:O29)</f>
        <v>3144421</v>
      </c>
      <c r="Q30" s="549" t="s">
        <v>64</v>
      </c>
      <c r="R30" s="550">
        <f>SUM(R28:R29)</f>
        <v>0</v>
      </c>
      <c r="T30" s="443" t="s">
        <v>64</v>
      </c>
      <c r="U30" s="340">
        <f>SUM(U28:U29)</f>
        <v>13925293</v>
      </c>
    </row>
    <row r="31" spans="1:22" ht="26.4" x14ac:dyDescent="0.3">
      <c r="F31" s="443"/>
      <c r="G31" s="443"/>
      <c r="H31" s="340"/>
      <c r="I31" s="340"/>
      <c r="K31" s="443"/>
      <c r="L31" s="340"/>
      <c r="N31" s="484" t="s">
        <v>1439</v>
      </c>
      <c r="O31" s="182">
        <f>ROUND(O30*0.015,0)</f>
        <v>47166</v>
      </c>
      <c r="Q31" s="484" t="s">
        <v>1439</v>
      </c>
      <c r="R31" s="483">
        <f>ROUND(R30*0.015,0)</f>
        <v>0</v>
      </c>
      <c r="T31" s="484" t="s">
        <v>1439</v>
      </c>
      <c r="U31" s="340">
        <f>L31+O31+R31</f>
        <v>47166</v>
      </c>
    </row>
    <row r="32" spans="1:22" ht="26.4" x14ac:dyDescent="0.3">
      <c r="F32" s="443"/>
      <c r="G32" s="443"/>
      <c r="H32" s="340"/>
      <c r="I32" s="340"/>
      <c r="K32" s="443"/>
      <c r="L32" s="340"/>
      <c r="N32" s="152" t="s">
        <v>1440</v>
      </c>
      <c r="O32" s="182">
        <f>O30+O31</f>
        <v>3191587</v>
      </c>
      <c r="P32" s="577">
        <f>O32/$H$28</f>
        <v>0.20897056761053007</v>
      </c>
      <c r="Q32" s="152" t="s">
        <v>1440</v>
      </c>
      <c r="R32" s="182">
        <f>R30+R31</f>
        <v>0</v>
      </c>
      <c r="S32" s="616">
        <f>R32/$H$28</f>
        <v>0</v>
      </c>
      <c r="T32" s="152" t="s">
        <v>1440</v>
      </c>
      <c r="U32" s="182">
        <f>U30+U31</f>
        <v>13972459</v>
      </c>
      <c r="V32" s="577">
        <f>U32/H28</f>
        <v>0.91485292055170653</v>
      </c>
    </row>
    <row r="33" spans="1:22" x14ac:dyDescent="0.3">
      <c r="F33" s="442" t="s">
        <v>66</v>
      </c>
      <c r="G33" s="442"/>
      <c r="H33" s="181">
        <f>+H30*19%</f>
        <v>2901851.38</v>
      </c>
      <c r="I33" s="181">
        <f>+I30*19%</f>
        <v>3049845.99</v>
      </c>
      <c r="K33" s="442" t="s">
        <v>66</v>
      </c>
      <c r="L33" s="181">
        <f>+L30*19%</f>
        <v>2048365.68</v>
      </c>
      <c r="N33" s="442" t="s">
        <v>66</v>
      </c>
      <c r="O33" s="182">
        <f>ROUND(O32*0.19,0)</f>
        <v>606402</v>
      </c>
      <c r="Q33" s="551" t="s">
        <v>66</v>
      </c>
      <c r="R33" s="483">
        <f>ROUND(R32*0.19,0)</f>
        <v>0</v>
      </c>
      <c r="T33" s="442" t="s">
        <v>66</v>
      </c>
      <c r="U33" s="182">
        <f>ROUND(U32*0.19,0)</f>
        <v>2654767</v>
      </c>
    </row>
    <row r="34" spans="1:22" x14ac:dyDescent="0.3">
      <c r="F34" s="441" t="s">
        <v>69</v>
      </c>
      <c r="G34" s="441"/>
      <c r="H34" s="181">
        <f>+H30+H33</f>
        <v>18174753.379999999</v>
      </c>
      <c r="I34" s="181">
        <f>+I30+I33</f>
        <v>19101666.990000002</v>
      </c>
      <c r="K34" s="441" t="s">
        <v>69</v>
      </c>
      <c r="L34" s="181">
        <f>+L30+L33</f>
        <v>12829237.68</v>
      </c>
      <c r="N34" s="441" t="s">
        <v>69</v>
      </c>
      <c r="O34" s="181">
        <f>O32+O33</f>
        <v>3797989</v>
      </c>
      <c r="Q34" s="552" t="s">
        <v>69</v>
      </c>
      <c r="R34" s="481">
        <f>R32+R33</f>
        <v>0</v>
      </c>
      <c r="T34" s="441" t="s">
        <v>69</v>
      </c>
      <c r="U34" s="181">
        <f>U32+U33</f>
        <v>16627226</v>
      </c>
    </row>
    <row r="37" spans="1:22" s="189" customFormat="1" x14ac:dyDescent="0.3">
      <c r="A37" s="183" t="s">
        <v>67</v>
      </c>
      <c r="B37" s="184"/>
      <c r="C37" s="184"/>
      <c r="D37" s="185" t="s">
        <v>68</v>
      </c>
      <c r="G37" s="852"/>
      <c r="I37" s="852"/>
      <c r="K37" s="186" t="s">
        <v>70</v>
      </c>
      <c r="L37" s="187" t="s">
        <v>71</v>
      </c>
      <c r="M37" s="186" t="s">
        <v>58</v>
      </c>
      <c r="N37" s="186" t="s">
        <v>70</v>
      </c>
      <c r="O37" s="187" t="s">
        <v>71</v>
      </c>
      <c r="P37" s="186" t="s">
        <v>58</v>
      </c>
      <c r="Q37" s="186" t="s">
        <v>70</v>
      </c>
      <c r="R37" s="187" t="s">
        <v>71</v>
      </c>
      <c r="S37" s="186" t="s">
        <v>58</v>
      </c>
      <c r="T37" s="437"/>
      <c r="U37" s="437"/>
      <c r="V37" s="437"/>
    </row>
    <row r="38" spans="1:22" s="189" customFormat="1" x14ac:dyDescent="0.3">
      <c r="A38" s="183"/>
      <c r="B38" s="184"/>
      <c r="C38" s="184"/>
      <c r="D38" s="185"/>
      <c r="G38" s="852"/>
      <c r="I38" s="852"/>
      <c r="K38" s="69" t="s">
        <v>72</v>
      </c>
      <c r="L38" s="70">
        <f>$L$28</f>
        <v>10780872</v>
      </c>
      <c r="M38" s="71">
        <f>$M$28</f>
        <v>0.70588235294117652</v>
      </c>
      <c r="N38" s="69" t="s">
        <v>72</v>
      </c>
      <c r="O38" s="70">
        <f>$L$28</f>
        <v>10780872</v>
      </c>
      <c r="P38" s="360">
        <f>$M$28</f>
        <v>0.70588235294117652</v>
      </c>
      <c r="Q38" s="69" t="s">
        <v>72</v>
      </c>
      <c r="R38" s="70">
        <f>$L$28</f>
        <v>10780872</v>
      </c>
      <c r="S38" s="360">
        <f>$M$28</f>
        <v>0.70588235294117652</v>
      </c>
      <c r="T38" s="437"/>
      <c r="U38" s="437"/>
      <c r="V38" s="437"/>
    </row>
    <row r="39" spans="1:22" s="189" customFormat="1" x14ac:dyDescent="0.3">
      <c r="A39" s="183"/>
      <c r="B39" s="184"/>
      <c r="C39" s="184"/>
      <c r="D39" s="185"/>
      <c r="G39" s="852"/>
      <c r="I39" s="852"/>
      <c r="K39" s="69"/>
      <c r="L39" s="70"/>
      <c r="M39" s="71"/>
      <c r="N39" s="69" t="s">
        <v>73</v>
      </c>
      <c r="O39" s="70">
        <f>$O$28</f>
        <v>3144421</v>
      </c>
      <c r="P39" s="360">
        <f>$P$32</f>
        <v>0.20897056761053007</v>
      </c>
      <c r="Q39" s="69" t="s">
        <v>73</v>
      </c>
      <c r="R39" s="70">
        <f>$O$28</f>
        <v>3144421</v>
      </c>
      <c r="S39" s="360">
        <f>$P$32</f>
        <v>0.20897056761053007</v>
      </c>
      <c r="T39" s="437"/>
      <c r="U39" s="437"/>
      <c r="V39" s="437"/>
    </row>
    <row r="40" spans="1:22" s="852" customFormat="1" x14ac:dyDescent="0.3">
      <c r="A40" s="183"/>
      <c r="B40" s="184"/>
      <c r="C40" s="184"/>
      <c r="D40" s="185"/>
      <c r="K40" s="69"/>
      <c r="L40" s="70"/>
      <c r="M40" s="71"/>
      <c r="N40" s="69"/>
      <c r="O40" s="70"/>
      <c r="P40" s="360"/>
      <c r="Q40" s="69" t="s">
        <v>74</v>
      </c>
      <c r="R40" s="70">
        <f>+R32</f>
        <v>0</v>
      </c>
      <c r="S40" s="360">
        <f>+S32</f>
        <v>0</v>
      </c>
      <c r="T40" s="437"/>
      <c r="U40" s="437"/>
      <c r="V40" s="437"/>
    </row>
    <row r="41" spans="1:22" s="189" customFormat="1" x14ac:dyDescent="0.3">
      <c r="A41" s="183"/>
      <c r="B41" s="184"/>
      <c r="C41" s="184"/>
      <c r="D41" s="185"/>
      <c r="G41" s="852"/>
      <c r="I41" s="852"/>
      <c r="K41" s="72" t="s">
        <v>1</v>
      </c>
      <c r="L41" s="105">
        <f>SUM(L38:L38)</f>
        <v>10780872</v>
      </c>
      <c r="M41" s="73">
        <f>SUM(M38:M38)</f>
        <v>0.70588235294117652</v>
      </c>
      <c r="N41" s="72" t="s">
        <v>1</v>
      </c>
      <c r="O41" s="105">
        <f>SUM(O38:O39)</f>
        <v>13925293</v>
      </c>
      <c r="P41" s="361">
        <f>SUM(P38:P39)</f>
        <v>0.91485292055170664</v>
      </c>
      <c r="Q41" s="72" t="s">
        <v>1</v>
      </c>
      <c r="R41" s="105">
        <f>SUM(R38:R40)</f>
        <v>13925293</v>
      </c>
      <c r="S41" s="361">
        <f>SUM(S38:S40)</f>
        <v>0.91485292055170664</v>
      </c>
      <c r="T41" s="437"/>
      <c r="U41" s="437"/>
      <c r="V41" s="437"/>
    </row>
    <row r="42" spans="1:22" s="189" customFormat="1" x14ac:dyDescent="0.3">
      <c r="A42" s="183"/>
      <c r="B42" s="184"/>
      <c r="C42" s="184"/>
      <c r="D42" s="185"/>
      <c r="G42" s="852"/>
      <c r="I42" s="852"/>
      <c r="K42" s="72" t="s">
        <v>9</v>
      </c>
      <c r="L42" s="1423"/>
      <c r="M42" s="1424"/>
      <c r="N42" s="72" t="s">
        <v>9</v>
      </c>
      <c r="O42" s="1423"/>
      <c r="P42" s="1424"/>
      <c r="Q42" s="72" t="s">
        <v>9</v>
      </c>
      <c r="R42" s="1423"/>
      <c r="S42" s="1424"/>
      <c r="T42" s="437"/>
      <c r="U42" s="437"/>
      <c r="V42" s="437"/>
    </row>
    <row r="43" spans="1:22" s="189" customFormat="1" x14ac:dyDescent="0.3">
      <c r="A43" s="183"/>
      <c r="B43" s="184"/>
      <c r="C43" s="184"/>
      <c r="D43" s="185"/>
      <c r="G43" s="852"/>
      <c r="I43" s="852"/>
      <c r="K43" s="440" t="s">
        <v>78</v>
      </c>
      <c r="L43" s="1423"/>
      <c r="M43" s="1424"/>
      <c r="N43" s="440" t="s">
        <v>78</v>
      </c>
      <c r="O43" s="1423" t="s">
        <v>1995</v>
      </c>
      <c r="P43" s="1424"/>
      <c r="Q43" s="440" t="s">
        <v>78</v>
      </c>
      <c r="R43" s="1423" t="s">
        <v>1995</v>
      </c>
      <c r="S43" s="1424"/>
      <c r="T43" s="437"/>
      <c r="U43" s="437"/>
      <c r="V43" s="437"/>
    </row>
    <row r="44" spans="1:22" s="189" customFormat="1" x14ac:dyDescent="0.3">
      <c r="A44" s="183"/>
      <c r="B44" s="184"/>
      <c r="C44" s="184"/>
      <c r="D44" s="185"/>
      <c r="G44" s="852"/>
      <c r="I44" s="852"/>
      <c r="K44" s="439" t="s">
        <v>8</v>
      </c>
      <c r="L44" s="1425"/>
      <c r="M44" s="1426"/>
      <c r="N44" s="439" t="s">
        <v>8</v>
      </c>
      <c r="O44" s="1423" t="s">
        <v>1996</v>
      </c>
      <c r="P44" s="1424"/>
      <c r="Q44" s="439" t="s">
        <v>8</v>
      </c>
      <c r="R44" s="1423" t="s">
        <v>1996</v>
      </c>
      <c r="S44" s="1424"/>
      <c r="T44" s="437"/>
      <c r="U44" s="437"/>
      <c r="V44" s="437"/>
    </row>
    <row r="45" spans="1:22" s="189" customFormat="1" x14ac:dyDescent="0.3">
      <c r="A45" s="183"/>
      <c r="B45" s="184"/>
      <c r="C45" s="184"/>
      <c r="D45" s="185" t="s">
        <v>75</v>
      </c>
      <c r="G45" s="852"/>
      <c r="I45" s="852"/>
      <c r="Q45" s="852"/>
      <c r="R45" s="852"/>
      <c r="S45" s="852"/>
    </row>
    <row r="46" spans="1:22" s="189" customFormat="1" x14ac:dyDescent="0.3">
      <c r="A46" s="183" t="s">
        <v>76</v>
      </c>
      <c r="B46" s="180"/>
      <c r="C46" s="180"/>
      <c r="D46" s="185" t="s">
        <v>77</v>
      </c>
      <c r="G46" s="852"/>
      <c r="I46" s="852"/>
      <c r="Q46" s="852"/>
      <c r="R46" s="852"/>
      <c r="S46" s="852"/>
    </row>
    <row r="47" spans="1:22" s="189" customFormat="1" ht="26.4" x14ac:dyDescent="0.3">
      <c r="A47" s="183" t="s">
        <v>79</v>
      </c>
      <c r="B47" s="180"/>
      <c r="C47" s="180"/>
      <c r="D47" s="185" t="s">
        <v>80</v>
      </c>
      <c r="G47" s="852"/>
      <c r="I47" s="852"/>
      <c r="Q47" s="852"/>
      <c r="R47" s="852"/>
      <c r="S47" s="852"/>
    </row>
  </sheetData>
  <sheetProtection formatCells="0" formatColumns="0" formatRows="0" insertColumns="0" insertRows="0" insertHyperlinks="0" deleteColumns="0" deleteRows="0" sort="0" autoFilter="0" pivotTables="0"/>
  <mergeCells count="38">
    <mergeCell ref="A22:A25"/>
    <mergeCell ref="B22:B25"/>
    <mergeCell ref="J22:J25"/>
    <mergeCell ref="A26:A27"/>
    <mergeCell ref="B26:B27"/>
    <mergeCell ref="J26:J27"/>
    <mergeCell ref="A14:A17"/>
    <mergeCell ref="B14:B17"/>
    <mergeCell ref="J14:J17"/>
    <mergeCell ref="A18:A21"/>
    <mergeCell ref="B18:B21"/>
    <mergeCell ref="J18:J21"/>
    <mergeCell ref="T1:V1"/>
    <mergeCell ref="T2:V2"/>
    <mergeCell ref="A3:V3"/>
    <mergeCell ref="A4:V4"/>
    <mergeCell ref="A5:V5"/>
    <mergeCell ref="C1:P2"/>
    <mergeCell ref="A6:V6"/>
    <mergeCell ref="A7:V7"/>
    <mergeCell ref="A8:V8"/>
    <mergeCell ref="A9:V9"/>
    <mergeCell ref="A10:V10"/>
    <mergeCell ref="R42:S42"/>
    <mergeCell ref="R43:S43"/>
    <mergeCell ref="R44:S44"/>
    <mergeCell ref="T11:V12"/>
    <mergeCell ref="B12:J12"/>
    <mergeCell ref="N11:P12"/>
    <mergeCell ref="Q11:S12"/>
    <mergeCell ref="O42:P42"/>
    <mergeCell ref="O43:P43"/>
    <mergeCell ref="O44:P44"/>
    <mergeCell ref="L42:M42"/>
    <mergeCell ref="L43:M43"/>
    <mergeCell ref="L44:M44"/>
    <mergeCell ref="B11:J11"/>
    <mergeCell ref="K11:M12"/>
  </mergeCells>
  <pageMargins left="0.7" right="0.7" top="0.75" bottom="0.75" header="0.3" footer="0.3"/>
  <pageSetup scale="46" orientation="landscape" r:id="rId1"/>
  <drawing r:id="rId2"/>
  <legacyDrawing r:id="rId3"/>
  <legacyDrawingHF r:id="rId4"/>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0">
    <tabColor theme="1"/>
  </sheetPr>
  <dimension ref="A1:G49"/>
  <sheetViews>
    <sheetView topLeftCell="A10" zoomScale="90" zoomScaleNormal="9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RESUMEN!G81</f>
        <v>Proyecto: Adecuación sismoresistente Casa control SE Fontibón</v>
      </c>
      <c r="C5" s="1281"/>
      <c r="D5" s="1281"/>
      <c r="E5" s="1281"/>
      <c r="F5" s="1281"/>
      <c r="G5" s="1282"/>
    </row>
    <row r="6" spans="1:7" x14ac:dyDescent="0.25">
      <c r="A6" s="1177"/>
      <c r="B6" s="1177"/>
      <c r="C6" s="1177"/>
      <c r="D6" s="1177"/>
      <c r="E6" s="1177"/>
      <c r="F6" s="1177"/>
      <c r="G6" s="1177"/>
    </row>
    <row r="7" spans="1:7" x14ac:dyDescent="0.25">
      <c r="A7" s="271" t="s">
        <v>0</v>
      </c>
      <c r="B7" s="1264" t="str">
        <f>RESUMEN!B81</f>
        <v>D00249394</v>
      </c>
      <c r="C7" s="1265"/>
      <c r="D7" s="1177"/>
      <c r="E7" s="1266" t="s">
        <v>627</v>
      </c>
      <c r="F7" s="1267"/>
      <c r="G7" s="280" t="str">
        <f>RESUMEN!E81</f>
        <v xml:space="preserve">17-318 </v>
      </c>
    </row>
    <row r="8" spans="1:7" x14ac:dyDescent="0.25">
      <c r="A8" s="271" t="s">
        <v>628</v>
      </c>
      <c r="B8" s="1264" t="str">
        <f>RESUMEN!C81</f>
        <v>D00249394000</v>
      </c>
      <c r="C8" s="1265"/>
      <c r="D8" s="1177"/>
      <c r="E8" s="1266" t="s">
        <v>629</v>
      </c>
      <c r="F8" s="1267"/>
      <c r="G8" s="280" t="str">
        <f>RESUMEN!U81</f>
        <v>Acta N° 4: Marzo</v>
      </c>
    </row>
    <row r="9" spans="1:7" x14ac:dyDescent="0.25">
      <c r="A9" s="271" t="s">
        <v>630</v>
      </c>
      <c r="B9" s="1283" t="s">
        <v>631</v>
      </c>
      <c r="C9" s="1265"/>
      <c r="D9" s="1177"/>
      <c r="E9" s="1266" t="s">
        <v>632</v>
      </c>
      <c r="F9" s="1267"/>
      <c r="G9" s="1178">
        <f>RESUMEN!H81</f>
        <v>24042844</v>
      </c>
    </row>
    <row r="10" spans="1:7" x14ac:dyDescent="0.25">
      <c r="A10" s="271" t="s">
        <v>633</v>
      </c>
      <c r="B10" s="1283" t="str">
        <f>RESUMEN!D81</f>
        <v xml:space="preserve">FONTIBÓN </v>
      </c>
      <c r="C10" s="1265"/>
      <c r="D10" s="1177"/>
      <c r="E10" s="1266" t="s">
        <v>634</v>
      </c>
      <c r="F10" s="1267"/>
      <c r="G10" s="1178">
        <f>RESUMEN!R81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Adecuación sismoresistente Casa control SE Fontibón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RESUMEN!N81</f>
        <v>0</v>
      </c>
      <c r="F19" s="1248"/>
      <c r="G19" s="1177"/>
    </row>
    <row r="20" spans="1:7" ht="27" customHeight="1" x14ac:dyDescent="0.25">
      <c r="A20" s="1177"/>
      <c r="B20" s="1244" t="s">
        <v>1498</v>
      </c>
      <c r="C20" s="1245"/>
      <c r="D20" s="1246"/>
      <c r="E20" s="1247">
        <f>RESUMEN!P81</f>
        <v>0</v>
      </c>
      <c r="F20" s="1248"/>
      <c r="G20" s="1177"/>
    </row>
    <row r="21" spans="1:7" ht="27" customHeight="1" x14ac:dyDescent="0.25">
      <c r="A21" s="1177"/>
      <c r="B21" s="1244" t="s">
        <v>1499</v>
      </c>
      <c r="C21" s="1245"/>
      <c r="D21" s="1246"/>
      <c r="E21" s="1247">
        <f>RESUMEN!Q81</f>
        <v>0</v>
      </c>
      <c r="F21" s="1248"/>
      <c r="G21" s="1177"/>
    </row>
    <row r="22" spans="1:7" x14ac:dyDescent="0.25">
      <c r="A22" s="1177"/>
      <c r="B22" s="1254" t="s">
        <v>64</v>
      </c>
      <c r="C22" s="1254"/>
      <c r="D22" s="1254"/>
      <c r="E22" s="1255">
        <f>RESUMEN!R81</f>
        <v>0</v>
      </c>
      <c r="F22" s="1255"/>
      <c r="G22" s="1177"/>
    </row>
    <row r="23" spans="1:7" x14ac:dyDescent="0.25">
      <c r="A23" s="1177"/>
      <c r="B23" s="1256" t="s">
        <v>66</v>
      </c>
      <c r="C23" s="1256"/>
      <c r="D23" s="1256"/>
      <c r="E23" s="1257">
        <f>RESUMEN!S81</f>
        <v>0</v>
      </c>
      <c r="F23" s="1257"/>
      <c r="G23" s="1177"/>
    </row>
    <row r="24" spans="1:7" x14ac:dyDescent="0.25">
      <c r="A24" s="1177"/>
      <c r="B24" s="1258" t="s">
        <v>1</v>
      </c>
      <c r="C24" s="1258"/>
      <c r="D24" s="1258"/>
      <c r="E24" s="1259">
        <f>RESUMEN!T81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+'OT17-318 FONTIBÓN '!T30</f>
        <v>ACTA 1</v>
      </c>
      <c r="C28" s="1253">
        <f>+'OT17-318 FONTIBÓN '!U30</f>
        <v>7606860</v>
      </c>
      <c r="D28" s="1253"/>
      <c r="E28" s="267">
        <f>+'OT17-318 FONTIBÓN '!V30</f>
        <v>0.31638769523272703</v>
      </c>
      <c r="F28" s="1177"/>
      <c r="G28" s="1177"/>
    </row>
    <row r="29" spans="1:7" x14ac:dyDescent="0.25">
      <c r="A29" s="1177"/>
      <c r="B29" s="280" t="str">
        <f>+'OT17-318 FONTIBÓN '!T31</f>
        <v>ACTA 2</v>
      </c>
      <c r="C29" s="1253">
        <f>+'OT17-318 FONTIBÓN '!U31</f>
        <v>6786111</v>
      </c>
      <c r="D29" s="1253"/>
      <c r="E29" s="267">
        <f>+'OT17-318 FONTIBÓN '!V31</f>
        <v>0.28225076035098012</v>
      </c>
      <c r="F29" s="1177"/>
      <c r="G29" s="1177"/>
    </row>
    <row r="30" spans="1:7" x14ac:dyDescent="0.25">
      <c r="A30" s="1177"/>
      <c r="B30" s="280" t="str">
        <f>+'OT17-318 FONTIBÓN '!T32</f>
        <v>ACTA 3</v>
      </c>
      <c r="C30" s="1253">
        <f>+'OT17-318 FONTIBÓN '!U32</f>
        <v>7068866</v>
      </c>
      <c r="D30" s="1253"/>
      <c r="E30" s="267">
        <f>+'OT17-318 FONTIBÓN '!V32</f>
        <v>0.29401122429609411</v>
      </c>
      <c r="F30" s="1177"/>
      <c r="G30" s="1177"/>
    </row>
    <row r="31" spans="1:7" x14ac:dyDescent="0.25">
      <c r="A31" s="1177"/>
      <c r="B31" s="280" t="str">
        <f>+'OT17-318 FONTIBÓN '!T33</f>
        <v>ACTA 4</v>
      </c>
      <c r="C31" s="1253">
        <f>+'OT17-318 FONTIBÓN '!U33</f>
        <v>0</v>
      </c>
      <c r="D31" s="1253"/>
      <c r="E31" s="267">
        <f>+'OT17-318 FONTIBÓN '!V33</f>
        <v>0</v>
      </c>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21461837</v>
      </c>
      <c r="D34" s="1251"/>
      <c r="E34" s="264">
        <f>SUM(E28:E33)</f>
        <v>0.89264967987980137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RESUMEN!V81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2">
    <tabColor rgb="FF7B2307"/>
  </sheetPr>
  <dimension ref="A1:Y39"/>
  <sheetViews>
    <sheetView topLeftCell="A7" zoomScale="55" zoomScaleNormal="55" zoomScaleSheetLayoutView="55" workbookViewId="0">
      <selection activeCell="G33" sqref="G33"/>
    </sheetView>
  </sheetViews>
  <sheetFormatPr baseColWidth="10" defaultColWidth="9.109375" defaultRowHeight="14.4" x14ac:dyDescent="0.3"/>
  <cols>
    <col min="1" max="1" width="17" style="437" customWidth="1"/>
    <col min="2" max="2" width="34.33203125" style="437" customWidth="1"/>
    <col min="3" max="3" width="27" style="437" customWidth="1"/>
    <col min="4" max="4" width="31.5546875" style="437" customWidth="1"/>
    <col min="5" max="5" width="18.109375" style="437" customWidth="1"/>
    <col min="6" max="7" width="17.88671875" style="437" customWidth="1"/>
    <col min="8" max="9" width="18.44140625" style="437" customWidth="1"/>
    <col min="10" max="10" width="27" style="437" customWidth="1"/>
    <col min="11" max="11" width="17.88671875" style="437" hidden="1" customWidth="1"/>
    <col min="12" max="12" width="18" style="437" hidden="1" customWidth="1"/>
    <col min="13" max="13" width="9.109375" style="437" hidden="1" customWidth="1"/>
    <col min="14" max="14" width="17.88671875" style="437" hidden="1" customWidth="1"/>
    <col min="15" max="15" width="18" style="437" hidden="1" customWidth="1"/>
    <col min="16" max="16" width="0" style="437" hidden="1" customWidth="1"/>
    <col min="17" max="17" width="17.88671875" style="437" bestFit="1" customWidth="1"/>
    <col min="18" max="18" width="18" style="437" bestFit="1" customWidth="1"/>
    <col min="19" max="19" width="9.109375" style="437"/>
    <col min="20" max="20" width="17.88671875" style="437" bestFit="1" customWidth="1"/>
    <col min="21" max="21" width="18" style="437" bestFit="1" customWidth="1"/>
    <col min="22" max="22" width="9.109375" style="437"/>
    <col min="23" max="23" width="17.88671875" style="437" bestFit="1" customWidth="1"/>
    <col min="24" max="24" width="19.109375" style="437" customWidth="1"/>
    <col min="25" max="16384" width="9.109375" style="437"/>
  </cols>
  <sheetData>
    <row r="1" spans="1:25" ht="33.75" customHeight="1" thickBot="1" x14ac:dyDescent="0.35">
      <c r="A1" s="169"/>
      <c r="B1" s="188"/>
      <c r="C1" s="1307" t="s">
        <v>40</v>
      </c>
      <c r="D1" s="1308"/>
      <c r="E1" s="1308"/>
      <c r="F1" s="1308"/>
      <c r="G1" s="1308"/>
      <c r="H1" s="1308"/>
      <c r="I1" s="1308"/>
      <c r="J1" s="1308"/>
      <c r="K1" s="1308"/>
      <c r="L1" s="1308"/>
      <c r="M1" s="1308"/>
      <c r="N1" s="1308"/>
      <c r="O1" s="1308"/>
      <c r="P1" s="1309"/>
      <c r="Q1" s="733"/>
      <c r="R1" s="733"/>
      <c r="S1" s="733"/>
      <c r="T1" s="846"/>
      <c r="U1" s="846"/>
      <c r="V1" s="846"/>
      <c r="W1" s="1328" t="s">
        <v>1372</v>
      </c>
      <c r="X1" s="1303"/>
      <c r="Y1" s="1304"/>
    </row>
    <row r="2" spans="1:25" ht="13.5" customHeight="1" thickBot="1" x14ac:dyDescent="0.35">
      <c r="A2" s="170"/>
      <c r="B2" s="190"/>
      <c r="C2" s="1310"/>
      <c r="D2" s="1311"/>
      <c r="E2" s="1311"/>
      <c r="F2" s="1311"/>
      <c r="G2" s="1311"/>
      <c r="H2" s="1311"/>
      <c r="I2" s="1311"/>
      <c r="J2" s="1311"/>
      <c r="K2" s="1311"/>
      <c r="L2" s="1311"/>
      <c r="M2" s="1311"/>
      <c r="N2" s="1311"/>
      <c r="O2" s="1311"/>
      <c r="P2" s="1312"/>
      <c r="Q2" s="734"/>
      <c r="R2" s="734"/>
      <c r="S2" s="734"/>
      <c r="T2" s="847"/>
      <c r="U2" s="847"/>
      <c r="V2" s="847"/>
      <c r="W2" s="1329" t="s">
        <v>41</v>
      </c>
      <c r="X2" s="1305"/>
      <c r="Y2" s="1306"/>
    </row>
    <row r="3" spans="1:25"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row>
    <row r="4" spans="1:25"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row>
    <row r="5" spans="1:25"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row>
    <row r="6" spans="1:25"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row>
    <row r="7" spans="1:25" x14ac:dyDescent="0.3">
      <c r="A7" s="1291" t="s">
        <v>1371</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row>
    <row r="8" spans="1:25" ht="13.5" customHeight="1" x14ac:dyDescent="0.3">
      <c r="A8" s="1292" t="s">
        <v>2320</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row>
    <row r="9" spans="1:25"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row>
    <row r="10" spans="1:25" ht="13.5" customHeight="1" x14ac:dyDescent="0.3">
      <c r="A10" s="1292" t="s">
        <v>1370</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row>
    <row r="11" spans="1:25" ht="13.5" customHeight="1" x14ac:dyDescent="0.3">
      <c r="A11" s="436"/>
      <c r="B11" s="1301"/>
      <c r="C11" s="1313"/>
      <c r="D11" s="1313"/>
      <c r="E11" s="1313"/>
      <c r="F11" s="1313"/>
      <c r="G11" s="1313"/>
      <c r="H11" s="1313"/>
      <c r="I11" s="1313"/>
      <c r="J11" s="1313"/>
      <c r="K11" s="1293" t="s">
        <v>1409</v>
      </c>
      <c r="L11" s="1294"/>
      <c r="M11" s="1295"/>
      <c r="N11" s="1293" t="s">
        <v>1724</v>
      </c>
      <c r="O11" s="1294"/>
      <c r="P11" s="1295"/>
      <c r="Q11" s="1293" t="s">
        <v>1978</v>
      </c>
      <c r="R11" s="1294"/>
      <c r="S11" s="1295"/>
      <c r="T11" s="1293" t="s">
        <v>2319</v>
      </c>
      <c r="U11" s="1294"/>
      <c r="V11" s="1295"/>
      <c r="W11" s="1299" t="s">
        <v>49</v>
      </c>
      <c r="X11" s="1299"/>
      <c r="Y11" s="1299"/>
    </row>
    <row r="12" spans="1:25"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00"/>
      <c r="X12" s="1300"/>
      <c r="Y12" s="1300"/>
    </row>
    <row r="13" spans="1:25" ht="28.8" x14ac:dyDescent="0.3">
      <c r="A13" s="461" t="s">
        <v>50</v>
      </c>
      <c r="B13" s="461" t="s">
        <v>51</v>
      </c>
      <c r="C13" s="461" t="s">
        <v>52</v>
      </c>
      <c r="D13" s="461" t="s">
        <v>164</v>
      </c>
      <c r="E13" s="461" t="s">
        <v>54</v>
      </c>
      <c r="F13" s="462" t="s">
        <v>55</v>
      </c>
      <c r="G13" s="821" t="s">
        <v>2007</v>
      </c>
      <c r="H13" s="461" t="s">
        <v>56</v>
      </c>
      <c r="I13" s="822" t="s">
        <v>56</v>
      </c>
      <c r="J13" s="461" t="s">
        <v>57</v>
      </c>
      <c r="K13" s="471" t="s">
        <v>54</v>
      </c>
      <c r="L13" s="471" t="s">
        <v>56</v>
      </c>
      <c r="M13" s="471" t="s">
        <v>58</v>
      </c>
      <c r="N13" s="471" t="s">
        <v>54</v>
      </c>
      <c r="O13" s="471" t="s">
        <v>56</v>
      </c>
      <c r="P13" s="471" t="s">
        <v>58</v>
      </c>
      <c r="Q13" s="471" t="s">
        <v>54</v>
      </c>
      <c r="R13" s="471" t="s">
        <v>56</v>
      </c>
      <c r="S13" s="471" t="s">
        <v>58</v>
      </c>
      <c r="T13" s="471" t="s">
        <v>54</v>
      </c>
      <c r="U13" s="471" t="s">
        <v>56</v>
      </c>
      <c r="V13" s="471" t="s">
        <v>58</v>
      </c>
      <c r="W13" s="174" t="s">
        <v>54</v>
      </c>
      <c r="X13" s="172" t="s">
        <v>56</v>
      </c>
      <c r="Y13" s="471" t="s">
        <v>58</v>
      </c>
    </row>
    <row r="14" spans="1:25" ht="30" customHeight="1" x14ac:dyDescent="0.3">
      <c r="A14" s="1441" t="s">
        <v>1184</v>
      </c>
      <c r="B14" s="1441" t="s">
        <v>194</v>
      </c>
      <c r="C14" s="454" t="s">
        <v>160</v>
      </c>
      <c r="D14" s="454" t="s">
        <v>161</v>
      </c>
      <c r="E14" s="467">
        <v>64</v>
      </c>
      <c r="F14" s="453">
        <v>69644</v>
      </c>
      <c r="G14" s="32">
        <f>+ROUND(F14*1.051,0)</f>
        <v>73196</v>
      </c>
      <c r="H14" s="453">
        <f>ROUND((E14*F14),0)</f>
        <v>4457216</v>
      </c>
      <c r="I14" s="32">
        <f>+ROUND(G14*E14,0)</f>
        <v>4684544</v>
      </c>
      <c r="J14" s="1498" t="s">
        <v>1369</v>
      </c>
      <c r="K14" s="452">
        <v>0</v>
      </c>
      <c r="L14" s="425">
        <f>ROUND(K14*$F$14,0)</f>
        <v>0</v>
      </c>
      <c r="M14" s="426">
        <f>L14/$H$14</f>
        <v>0</v>
      </c>
      <c r="N14" s="452">
        <v>0</v>
      </c>
      <c r="O14" s="425">
        <f>ROUND(N14*$F$14,0)</f>
        <v>0</v>
      </c>
      <c r="P14" s="426">
        <f>O14/$H$14</f>
        <v>0</v>
      </c>
      <c r="Q14" s="474">
        <f>+E14*75%</f>
        <v>48</v>
      </c>
      <c r="R14" s="429">
        <f>ROUND(Q14*$F$14,0)</f>
        <v>3342912</v>
      </c>
      <c r="S14" s="430">
        <f>R14/$H$14</f>
        <v>0.75</v>
      </c>
      <c r="T14" s="452">
        <v>0</v>
      </c>
      <c r="U14" s="425">
        <f>ROUND(T14*G14,0)</f>
        <v>0</v>
      </c>
      <c r="V14" s="426">
        <f>U14/I14</f>
        <v>0</v>
      </c>
      <c r="W14" s="450">
        <f>K14+N14+Q14+T14</f>
        <v>48</v>
      </c>
      <c r="X14" s="175">
        <f>L14+O14+R14+U14</f>
        <v>3342912</v>
      </c>
      <c r="Y14" s="176">
        <f t="shared" ref="Y14:Y19" si="0">X14/H14</f>
        <v>0.75</v>
      </c>
    </row>
    <row r="15" spans="1:25" ht="15" customHeight="1" x14ac:dyDescent="0.3">
      <c r="A15" s="1441"/>
      <c r="B15" s="1441"/>
      <c r="C15" s="459"/>
      <c r="D15" s="459" t="s">
        <v>162</v>
      </c>
      <c r="E15" s="465"/>
      <c r="F15" s="458"/>
      <c r="G15" s="458"/>
      <c r="H15" s="457">
        <f>H14</f>
        <v>4457216</v>
      </c>
      <c r="I15" s="877"/>
      <c r="J15" s="1499"/>
      <c r="K15" s="431"/>
      <c r="L15" s="179">
        <f>L14</f>
        <v>0</v>
      </c>
      <c r="M15" s="431">
        <f>L15/$H$15</f>
        <v>0</v>
      </c>
      <c r="N15" s="431"/>
      <c r="O15" s="179">
        <f>O14</f>
        <v>0</v>
      </c>
      <c r="P15" s="431">
        <f>O15/$H$15</f>
        <v>0</v>
      </c>
      <c r="Q15" s="431"/>
      <c r="R15" s="179">
        <f>R14</f>
        <v>3342912</v>
      </c>
      <c r="S15" s="431">
        <f>R15/$H$15</f>
        <v>0.75</v>
      </c>
      <c r="T15" s="431"/>
      <c r="U15" s="179">
        <f>U14</f>
        <v>0</v>
      </c>
      <c r="V15" s="1091">
        <v>0</v>
      </c>
      <c r="W15" s="1101"/>
      <c r="X15" s="1078">
        <f t="shared" ref="X15:X19" si="1">L15+O15+R15+U15</f>
        <v>3342912</v>
      </c>
      <c r="Y15" s="431">
        <f t="shared" si="0"/>
        <v>0.75</v>
      </c>
    </row>
    <row r="16" spans="1:25" ht="30" customHeight="1" x14ac:dyDescent="0.3">
      <c r="A16" s="1441" t="s">
        <v>1184</v>
      </c>
      <c r="B16" s="1441" t="s">
        <v>194</v>
      </c>
      <c r="C16" s="454" t="s">
        <v>160</v>
      </c>
      <c r="D16" s="454" t="s">
        <v>161</v>
      </c>
      <c r="E16" s="467">
        <v>232</v>
      </c>
      <c r="F16" s="453">
        <v>69644</v>
      </c>
      <c r="G16" s="32">
        <f>+ROUND(F16*1.051,0)</f>
        <v>73196</v>
      </c>
      <c r="H16" s="453">
        <f>ROUND((E16*F16),0)</f>
        <v>16157408</v>
      </c>
      <c r="I16" s="32">
        <f>+ROUND(G16*E16,0)</f>
        <v>16981472</v>
      </c>
      <c r="J16" s="1498" t="s">
        <v>1368</v>
      </c>
      <c r="K16" s="474">
        <v>60</v>
      </c>
      <c r="L16" s="429">
        <f>ROUND(K16*$F$16,0)</f>
        <v>4178640</v>
      </c>
      <c r="M16" s="430">
        <f>L16/$H$16</f>
        <v>0.25862068965517243</v>
      </c>
      <c r="N16" s="474">
        <f>128*75%</f>
        <v>96</v>
      </c>
      <c r="O16" s="429">
        <f>ROUND(N16*$F$16,0)</f>
        <v>6685824</v>
      </c>
      <c r="P16" s="430">
        <f>O16/$H$16</f>
        <v>0.41379310344827586</v>
      </c>
      <c r="Q16" s="474">
        <f>208-K16-N16</f>
        <v>52</v>
      </c>
      <c r="R16" s="429">
        <f>ROUND(Q16*$F$16,0)</f>
        <v>3621488</v>
      </c>
      <c r="S16" s="430">
        <f>R16/$H$16</f>
        <v>0.22413793103448276</v>
      </c>
      <c r="T16" s="452">
        <v>0</v>
      </c>
      <c r="U16" s="425">
        <f>ROUND(T16*G16,0)</f>
        <v>0</v>
      </c>
      <c r="V16" s="426">
        <f t="shared" ref="V16:V18" si="2">U16/I16</f>
        <v>0</v>
      </c>
      <c r="W16" s="450">
        <f>K16+N16+Q16+T16</f>
        <v>208</v>
      </c>
      <c r="X16" s="175">
        <f t="shared" si="1"/>
        <v>14485952</v>
      </c>
      <c r="Y16" s="176">
        <f t="shared" si="0"/>
        <v>0.89655172413793105</v>
      </c>
    </row>
    <row r="17" spans="1:25" ht="15" customHeight="1" x14ac:dyDescent="0.3">
      <c r="A17" s="1441"/>
      <c r="B17" s="1441"/>
      <c r="C17" s="459"/>
      <c r="D17" s="459" t="s">
        <v>162</v>
      </c>
      <c r="E17" s="465"/>
      <c r="F17" s="458"/>
      <c r="G17" s="458"/>
      <c r="H17" s="457">
        <f>H16</f>
        <v>16157408</v>
      </c>
      <c r="I17" s="877">
        <f>SUM(I16)</f>
        <v>16981472</v>
      </c>
      <c r="J17" s="1499"/>
      <c r="K17" s="431"/>
      <c r="L17" s="179">
        <f>L16</f>
        <v>4178640</v>
      </c>
      <c r="M17" s="431">
        <f>L17/$H$17</f>
        <v>0.25862068965517243</v>
      </c>
      <c r="N17" s="431"/>
      <c r="O17" s="179">
        <f>O16</f>
        <v>6685824</v>
      </c>
      <c r="P17" s="431">
        <f>O17/$H$17</f>
        <v>0.41379310344827586</v>
      </c>
      <c r="Q17" s="431"/>
      <c r="R17" s="179">
        <f>R16</f>
        <v>3621488</v>
      </c>
      <c r="S17" s="431">
        <f>R17/$H$17</f>
        <v>0.22413793103448276</v>
      </c>
      <c r="T17" s="431"/>
      <c r="U17" s="179">
        <f>U16</f>
        <v>0</v>
      </c>
      <c r="V17" s="1091">
        <f t="shared" si="2"/>
        <v>0</v>
      </c>
      <c r="W17" s="1101"/>
      <c r="X17" s="1078">
        <f t="shared" si="1"/>
        <v>14485952</v>
      </c>
      <c r="Y17" s="431">
        <f t="shared" si="0"/>
        <v>0.89655172413793105</v>
      </c>
    </row>
    <row r="18" spans="1:25" ht="30" customHeight="1" x14ac:dyDescent="0.3">
      <c r="A18" s="1441" t="s">
        <v>1184</v>
      </c>
      <c r="B18" s="1441" t="s">
        <v>284</v>
      </c>
      <c r="C18" s="454" t="s">
        <v>148</v>
      </c>
      <c r="D18" s="454" t="s">
        <v>181</v>
      </c>
      <c r="E18" s="467">
        <v>0.55000000000000004</v>
      </c>
      <c r="F18" s="453">
        <v>6233127</v>
      </c>
      <c r="G18" s="32">
        <f>+ROUND(F18*1.051,0)</f>
        <v>6551016</v>
      </c>
      <c r="H18" s="453">
        <f>ROUND((E18*F18),0)</f>
        <v>3428220</v>
      </c>
      <c r="I18" s="32">
        <f>+ROUND(G18*E18,0)</f>
        <v>3603059</v>
      </c>
      <c r="J18" s="1498" t="s">
        <v>1367</v>
      </c>
      <c r="K18" s="474">
        <v>0.55000000000000004</v>
      </c>
      <c r="L18" s="429">
        <f>ROUND(K18*$F$18,0)</f>
        <v>3428220</v>
      </c>
      <c r="M18" s="430">
        <f>L18/$H$18</f>
        <v>1</v>
      </c>
      <c r="N18" s="452">
        <v>0</v>
      </c>
      <c r="O18" s="425">
        <f>ROUND(N18*$F$18,0)</f>
        <v>0</v>
      </c>
      <c r="P18" s="426">
        <f>O18/$H$18</f>
        <v>0</v>
      </c>
      <c r="Q18" s="452">
        <v>0</v>
      </c>
      <c r="R18" s="425">
        <f>ROUND(Q18*$F$18,0)</f>
        <v>0</v>
      </c>
      <c r="S18" s="426">
        <f>R18/$H$18</f>
        <v>0</v>
      </c>
      <c r="T18" s="452">
        <v>0</v>
      </c>
      <c r="U18" s="425">
        <f>ROUND(T18*G18,0)</f>
        <v>0</v>
      </c>
      <c r="V18" s="426">
        <f t="shared" si="2"/>
        <v>0</v>
      </c>
      <c r="W18" s="450">
        <f>K18+N18+Q18+T18</f>
        <v>0.55000000000000004</v>
      </c>
      <c r="X18" s="175">
        <f t="shared" si="1"/>
        <v>3428220</v>
      </c>
      <c r="Y18" s="176">
        <f t="shared" si="0"/>
        <v>1</v>
      </c>
    </row>
    <row r="19" spans="1:25" ht="15" customHeight="1" x14ac:dyDescent="0.3">
      <c r="A19" s="1441"/>
      <c r="B19" s="1441"/>
      <c r="C19" s="459"/>
      <c r="D19" s="459" t="s">
        <v>183</v>
      </c>
      <c r="E19" s="458"/>
      <c r="F19" s="458"/>
      <c r="G19" s="458"/>
      <c r="H19" s="457">
        <f>H18</f>
        <v>3428220</v>
      </c>
      <c r="I19" s="877">
        <f>SUM(I18)</f>
        <v>3603059</v>
      </c>
      <c r="J19" s="1499"/>
      <c r="K19" s="431"/>
      <c r="L19" s="179">
        <f>L18</f>
        <v>3428220</v>
      </c>
      <c r="M19" s="431">
        <f>L19/$H$19</f>
        <v>1</v>
      </c>
      <c r="N19" s="431"/>
      <c r="O19" s="179">
        <f>O18</f>
        <v>0</v>
      </c>
      <c r="P19" s="431">
        <f>O19/$H$19</f>
        <v>0</v>
      </c>
      <c r="Q19" s="431"/>
      <c r="R19" s="179">
        <f>R18</f>
        <v>0</v>
      </c>
      <c r="S19" s="431">
        <f>R19/$H$19</f>
        <v>0</v>
      </c>
      <c r="T19" s="431"/>
      <c r="U19" s="179">
        <f>U18</f>
        <v>0</v>
      </c>
      <c r="V19" s="1091">
        <f>U19/I19</f>
        <v>0</v>
      </c>
      <c r="W19" s="1101"/>
      <c r="X19" s="1078">
        <f t="shared" si="1"/>
        <v>3428220</v>
      </c>
      <c r="Y19" s="431">
        <f t="shared" si="0"/>
        <v>1</v>
      </c>
    </row>
    <row r="20" spans="1:25" x14ac:dyDescent="0.3">
      <c r="F20" s="445" t="s">
        <v>64</v>
      </c>
      <c r="G20" s="445"/>
      <c r="H20" s="181">
        <f>SUM(H14:H19)/2</f>
        <v>24042844</v>
      </c>
      <c r="I20" s="181">
        <f>SUM(I14:I19)/2</f>
        <v>22926803</v>
      </c>
      <c r="K20" s="445" t="s">
        <v>64</v>
      </c>
      <c r="L20" s="181">
        <f>SUM(L14:L19)/2</f>
        <v>7606860</v>
      </c>
      <c r="M20" s="577">
        <f>L20/$H$20</f>
        <v>0.31638769523272703</v>
      </c>
      <c r="N20" s="547" t="s">
        <v>64</v>
      </c>
      <c r="O20" s="481">
        <f>SUM(O14:O19)/2</f>
        <v>6685824</v>
      </c>
      <c r="Q20" s="547" t="s">
        <v>64</v>
      </c>
      <c r="R20" s="481">
        <f>SUM(R14:R19)/2</f>
        <v>6964400</v>
      </c>
      <c r="T20" s="547" t="s">
        <v>64</v>
      </c>
      <c r="U20" s="481">
        <f>SUM(U14:U19)/2</f>
        <v>0</v>
      </c>
      <c r="W20" s="547" t="s">
        <v>64</v>
      </c>
      <c r="X20" s="481">
        <f>SUM(X14:X19)/2</f>
        <v>21257084</v>
      </c>
    </row>
    <row r="21" spans="1:25" x14ac:dyDescent="0.3">
      <c r="F21" s="444" t="s">
        <v>65</v>
      </c>
      <c r="G21" s="444"/>
      <c r="H21" s="181">
        <v>0</v>
      </c>
      <c r="I21" s="181">
        <v>0</v>
      </c>
      <c r="K21" s="444" t="s">
        <v>65</v>
      </c>
      <c r="L21" s="181">
        <v>0</v>
      </c>
      <c r="N21" s="548" t="s">
        <v>65</v>
      </c>
      <c r="O21" s="481">
        <v>0</v>
      </c>
      <c r="Q21" s="548" t="s">
        <v>65</v>
      </c>
      <c r="R21" s="481">
        <v>0</v>
      </c>
      <c r="T21" s="548" t="s">
        <v>65</v>
      </c>
      <c r="U21" s="481">
        <v>0</v>
      </c>
      <c r="W21" s="548" t="s">
        <v>65</v>
      </c>
      <c r="X21" s="481">
        <v>0</v>
      </c>
    </row>
    <row r="22" spans="1:25" x14ac:dyDescent="0.3">
      <c r="F22" s="443" t="s">
        <v>64</v>
      </c>
      <c r="G22" s="443"/>
      <c r="H22" s="340">
        <f>SUM(H20:H21)</f>
        <v>24042844</v>
      </c>
      <c r="I22" s="340">
        <f>SUM(I20:I21)</f>
        <v>22926803</v>
      </c>
      <c r="K22" s="443" t="s">
        <v>64</v>
      </c>
      <c r="L22" s="340">
        <f>SUM(L20:L21)</f>
        <v>7606860</v>
      </c>
      <c r="N22" s="549" t="s">
        <v>64</v>
      </c>
      <c r="O22" s="550">
        <f>SUM(O20:O21)</f>
        <v>6685824</v>
      </c>
      <c r="Q22" s="549" t="s">
        <v>64</v>
      </c>
      <c r="R22" s="550">
        <f>SUM(R20:R21)</f>
        <v>6964400</v>
      </c>
      <c r="T22" s="549" t="s">
        <v>64</v>
      </c>
      <c r="U22" s="550">
        <f>SUM(U20:U21)</f>
        <v>0</v>
      </c>
      <c r="W22" s="549" t="s">
        <v>64</v>
      </c>
      <c r="X22" s="550">
        <f>SUM(X20:X21)</f>
        <v>21257084</v>
      </c>
    </row>
    <row r="23" spans="1:25" ht="26.4" x14ac:dyDescent="0.3">
      <c r="F23" s="443"/>
      <c r="G23" s="443"/>
      <c r="H23" s="340"/>
      <c r="I23" s="340"/>
      <c r="K23" s="443"/>
      <c r="L23" s="340"/>
      <c r="N23" s="484" t="s">
        <v>1439</v>
      </c>
      <c r="O23" s="483">
        <f>ROUND(O22*0.015,0)</f>
        <v>100287</v>
      </c>
      <c r="Q23" s="484" t="s">
        <v>1439</v>
      </c>
      <c r="R23" s="483">
        <f>ROUND(R22*0.015,0)</f>
        <v>104466</v>
      </c>
      <c r="T23" s="484" t="s">
        <v>1439</v>
      </c>
      <c r="U23" s="483">
        <f>ROUND(U22*0.015,0)</f>
        <v>0</v>
      </c>
      <c r="W23" s="484" t="s">
        <v>1439</v>
      </c>
      <c r="X23" s="550">
        <f>L23+O23+R23+U23</f>
        <v>204753</v>
      </c>
    </row>
    <row r="24" spans="1:25" ht="26.4" x14ac:dyDescent="0.3">
      <c r="F24" s="443"/>
      <c r="G24" s="443"/>
      <c r="H24" s="340"/>
      <c r="I24" s="340"/>
      <c r="K24" s="443"/>
      <c r="L24" s="340"/>
      <c r="N24" s="152" t="s">
        <v>1440</v>
      </c>
      <c r="O24" s="182">
        <f>O22+O23</f>
        <v>6786111</v>
      </c>
      <c r="P24" s="575">
        <f>O24/$H$20</f>
        <v>0.28225076035098012</v>
      </c>
      <c r="Q24" s="152" t="s">
        <v>1440</v>
      </c>
      <c r="R24" s="182">
        <f>R22+R23</f>
        <v>7068866</v>
      </c>
      <c r="S24" s="575">
        <f>R24/$H$20</f>
        <v>0.29401122429609411</v>
      </c>
      <c r="T24" s="152" t="s">
        <v>1440</v>
      </c>
      <c r="U24" s="182">
        <f>U22+U23</f>
        <v>0</v>
      </c>
      <c r="V24" s="575">
        <f>U24/$H$20</f>
        <v>0</v>
      </c>
      <c r="W24" s="152" t="s">
        <v>1440</v>
      </c>
      <c r="X24" s="182">
        <f>X22+X23</f>
        <v>21461837</v>
      </c>
      <c r="Y24" s="575">
        <f>X24/H20</f>
        <v>0.89264967987980126</v>
      </c>
    </row>
    <row r="25" spans="1:25" x14ac:dyDescent="0.3">
      <c r="F25" s="442" t="s">
        <v>66</v>
      </c>
      <c r="G25" s="442"/>
      <c r="H25" s="181">
        <f>+H22*19%</f>
        <v>4568140.3600000003</v>
      </c>
      <c r="I25" s="181">
        <f>+I22*19%</f>
        <v>4356092.57</v>
      </c>
      <c r="K25" s="442" t="s">
        <v>66</v>
      </c>
      <c r="L25" s="181">
        <f>+L22*19%</f>
        <v>1445303.4</v>
      </c>
      <c r="N25" s="551" t="s">
        <v>66</v>
      </c>
      <c r="O25" s="483">
        <f>ROUND(O24*0.19,0)</f>
        <v>1289361</v>
      </c>
      <c r="Q25" s="551" t="s">
        <v>66</v>
      </c>
      <c r="R25" s="483">
        <f>ROUND(R24*0.19,0)</f>
        <v>1343085</v>
      </c>
      <c r="T25" s="551" t="s">
        <v>66</v>
      </c>
      <c r="U25" s="483">
        <f>ROUND(U24*0.19,0)</f>
        <v>0</v>
      </c>
      <c r="W25" s="551" t="s">
        <v>66</v>
      </c>
      <c r="X25" s="483">
        <f>ROUND(X24*0.19,0)</f>
        <v>4077749</v>
      </c>
    </row>
    <row r="26" spans="1:25" x14ac:dyDescent="0.3">
      <c r="F26" s="441" t="s">
        <v>69</v>
      </c>
      <c r="G26" s="441"/>
      <c r="H26" s="181">
        <f>+H22+H25</f>
        <v>28610984.359999999</v>
      </c>
      <c r="I26" s="181">
        <f>+I22+I25</f>
        <v>27282895.57</v>
      </c>
      <c r="K26" s="441" t="s">
        <v>69</v>
      </c>
      <c r="L26" s="181">
        <f>+L22+L25</f>
        <v>9052163.4000000004</v>
      </c>
      <c r="N26" s="552" t="s">
        <v>69</v>
      </c>
      <c r="O26" s="481">
        <f>O24+O25</f>
        <v>8075472</v>
      </c>
      <c r="Q26" s="552" t="s">
        <v>69</v>
      </c>
      <c r="R26" s="481">
        <f>R24+R25</f>
        <v>8411951</v>
      </c>
      <c r="T26" s="552" t="s">
        <v>69</v>
      </c>
      <c r="U26" s="481">
        <f>U24+U25</f>
        <v>0</v>
      </c>
      <c r="W26" s="552" t="s">
        <v>69</v>
      </c>
      <c r="X26" s="481">
        <f>X24+X25</f>
        <v>25539586</v>
      </c>
    </row>
    <row r="29" spans="1:25" s="189" customFormat="1" x14ac:dyDescent="0.3">
      <c r="A29" s="183" t="s">
        <v>67</v>
      </c>
      <c r="B29" s="184"/>
      <c r="C29" s="184"/>
      <c r="D29" s="185" t="s">
        <v>68</v>
      </c>
      <c r="G29" s="852"/>
      <c r="I29" s="852"/>
      <c r="K29" s="186" t="s">
        <v>70</v>
      </c>
      <c r="L29" s="187" t="s">
        <v>71</v>
      </c>
      <c r="M29" s="186" t="s">
        <v>58</v>
      </c>
      <c r="N29" s="186" t="s">
        <v>70</v>
      </c>
      <c r="O29" s="187" t="s">
        <v>71</v>
      </c>
      <c r="P29" s="186" t="s">
        <v>58</v>
      </c>
      <c r="Q29" s="186" t="s">
        <v>70</v>
      </c>
      <c r="R29" s="187" t="s">
        <v>71</v>
      </c>
      <c r="S29" s="186" t="s">
        <v>58</v>
      </c>
      <c r="T29" s="186" t="s">
        <v>70</v>
      </c>
      <c r="U29" s="187" t="s">
        <v>71</v>
      </c>
      <c r="V29" s="186" t="s">
        <v>58</v>
      </c>
      <c r="W29" s="437"/>
      <c r="X29" s="437"/>
      <c r="Y29" s="437"/>
    </row>
    <row r="30" spans="1:25" s="189" customFormat="1" x14ac:dyDescent="0.3">
      <c r="A30" s="183"/>
      <c r="B30" s="184"/>
      <c r="C30" s="184"/>
      <c r="D30" s="185"/>
      <c r="G30" s="852"/>
      <c r="I30" s="852"/>
      <c r="K30" s="69" t="s">
        <v>72</v>
      </c>
      <c r="L30" s="70">
        <f>$L$20</f>
        <v>7606860</v>
      </c>
      <c r="M30" s="71">
        <f>$M$20</f>
        <v>0.31638769523272703</v>
      </c>
      <c r="N30" s="69" t="s">
        <v>72</v>
      </c>
      <c r="O30" s="70">
        <f>$L$20</f>
        <v>7606860</v>
      </c>
      <c r="P30" s="71">
        <f>$M$20</f>
        <v>0.31638769523272703</v>
      </c>
      <c r="Q30" s="69" t="s">
        <v>72</v>
      </c>
      <c r="R30" s="70">
        <f>$L$20</f>
        <v>7606860</v>
      </c>
      <c r="S30" s="360">
        <f>$M$20</f>
        <v>0.31638769523272703</v>
      </c>
      <c r="T30" s="69" t="s">
        <v>72</v>
      </c>
      <c r="U30" s="70">
        <f>$L$20</f>
        <v>7606860</v>
      </c>
      <c r="V30" s="360">
        <f>$M$20</f>
        <v>0.31638769523272703</v>
      </c>
      <c r="W30" s="437"/>
      <c r="X30" s="437"/>
      <c r="Y30" s="437"/>
    </row>
    <row r="31" spans="1:25" s="189" customFormat="1" x14ac:dyDescent="0.3">
      <c r="A31" s="183"/>
      <c r="B31" s="184"/>
      <c r="C31" s="184"/>
      <c r="D31" s="185"/>
      <c r="G31" s="852"/>
      <c r="I31" s="852"/>
      <c r="K31" s="69"/>
      <c r="L31" s="70"/>
      <c r="M31" s="71"/>
      <c r="N31" s="69" t="s">
        <v>73</v>
      </c>
      <c r="O31" s="70">
        <f>$O$24</f>
        <v>6786111</v>
      </c>
      <c r="P31" s="71">
        <f>$P$24</f>
        <v>0.28225076035098012</v>
      </c>
      <c r="Q31" s="69" t="s">
        <v>73</v>
      </c>
      <c r="R31" s="70">
        <f>$O$24</f>
        <v>6786111</v>
      </c>
      <c r="S31" s="360">
        <f>$P$24</f>
        <v>0.28225076035098012</v>
      </c>
      <c r="T31" s="69" t="s">
        <v>73</v>
      </c>
      <c r="U31" s="70">
        <f>$O$24</f>
        <v>6786111</v>
      </c>
      <c r="V31" s="360">
        <f>$P$24</f>
        <v>0.28225076035098012</v>
      </c>
      <c r="W31" s="437"/>
      <c r="X31" s="437"/>
      <c r="Y31" s="437"/>
    </row>
    <row r="32" spans="1:25" s="189" customFormat="1" x14ac:dyDescent="0.3">
      <c r="A32" s="183"/>
      <c r="B32" s="184"/>
      <c r="C32" s="184"/>
      <c r="D32" s="185"/>
      <c r="G32" s="852"/>
      <c r="I32" s="852"/>
      <c r="K32" s="72" t="s">
        <v>1</v>
      </c>
      <c r="L32" s="105">
        <f>SUM(L30:L30)</f>
        <v>7606860</v>
      </c>
      <c r="M32" s="73">
        <f>SUM(M30:M30)</f>
        <v>0.31638769523272703</v>
      </c>
      <c r="N32" s="72" t="s">
        <v>1</v>
      </c>
      <c r="O32" s="105">
        <f>SUM(O30:O31)</f>
        <v>14392971</v>
      </c>
      <c r="P32" s="73">
        <f>SUM(P30:P31)</f>
        <v>0.59863845558370721</v>
      </c>
      <c r="Q32" s="69" t="s">
        <v>74</v>
      </c>
      <c r="R32" s="70">
        <f>R24</f>
        <v>7068866</v>
      </c>
      <c r="S32" s="360">
        <f>S24</f>
        <v>0.29401122429609411</v>
      </c>
      <c r="T32" s="69" t="s">
        <v>74</v>
      </c>
      <c r="U32" s="70">
        <f>R24</f>
        <v>7068866</v>
      </c>
      <c r="V32" s="360">
        <f>S24</f>
        <v>0.29401122429609411</v>
      </c>
      <c r="W32" s="437"/>
      <c r="X32" s="437"/>
      <c r="Y32" s="437"/>
    </row>
    <row r="33" spans="1:25" s="852" customFormat="1" x14ac:dyDescent="0.3">
      <c r="A33" s="183"/>
      <c r="B33" s="184"/>
      <c r="C33" s="184"/>
      <c r="D33" s="185"/>
      <c r="K33" s="72"/>
      <c r="L33" s="869"/>
      <c r="M33" s="870"/>
      <c r="N33" s="72"/>
      <c r="O33" s="869"/>
      <c r="P33" s="870"/>
      <c r="Q33" s="69"/>
      <c r="R33" s="70"/>
      <c r="S33" s="360"/>
      <c r="T33" s="69" t="s">
        <v>155</v>
      </c>
      <c r="U33" s="70">
        <f>+U24</f>
        <v>0</v>
      </c>
      <c r="V33" s="360">
        <f>+V24</f>
        <v>0</v>
      </c>
      <c r="W33" s="437"/>
      <c r="X33" s="437"/>
      <c r="Y33" s="437"/>
    </row>
    <row r="34" spans="1:25" s="189" customFormat="1" x14ac:dyDescent="0.3">
      <c r="A34" s="183"/>
      <c r="B34" s="184"/>
      <c r="C34" s="184"/>
      <c r="D34" s="185"/>
      <c r="G34" s="852"/>
      <c r="I34" s="852"/>
      <c r="K34" s="72" t="s">
        <v>9</v>
      </c>
      <c r="L34" s="1423"/>
      <c r="M34" s="1424"/>
      <c r="N34" s="72" t="s">
        <v>9</v>
      </c>
      <c r="O34" s="1423"/>
      <c r="P34" s="1424"/>
      <c r="Q34" s="72" t="s">
        <v>1</v>
      </c>
      <c r="R34" s="105">
        <f>SUM(R30:R32)</f>
        <v>21461837</v>
      </c>
      <c r="S34" s="361">
        <f>SUM(S30:S32)</f>
        <v>0.89264967987980137</v>
      </c>
      <c r="T34" s="72" t="s">
        <v>1</v>
      </c>
      <c r="U34" s="105">
        <f>SUM(U30:U33)</f>
        <v>21461837</v>
      </c>
      <c r="V34" s="361">
        <f>SUM(V30:V33)</f>
        <v>0.89264967987980137</v>
      </c>
      <c r="W34" s="437"/>
      <c r="X34" s="437"/>
      <c r="Y34" s="437"/>
    </row>
    <row r="35" spans="1:25" s="189" customFormat="1" x14ac:dyDescent="0.3">
      <c r="A35" s="183"/>
      <c r="B35" s="184"/>
      <c r="C35" s="184"/>
      <c r="D35" s="185"/>
      <c r="G35" s="852"/>
      <c r="I35" s="852"/>
      <c r="K35" s="440" t="s">
        <v>78</v>
      </c>
      <c r="L35" s="1423" t="s">
        <v>852</v>
      </c>
      <c r="M35" s="1424"/>
      <c r="N35" s="440" t="s">
        <v>78</v>
      </c>
      <c r="O35" s="1423" t="s">
        <v>852</v>
      </c>
      <c r="P35" s="1424"/>
      <c r="Q35" s="72" t="s">
        <v>9</v>
      </c>
      <c r="R35" s="736"/>
      <c r="S35" s="737"/>
      <c r="T35" s="72" t="s">
        <v>9</v>
      </c>
      <c r="U35" s="850"/>
      <c r="V35" s="851"/>
      <c r="W35" s="437"/>
      <c r="X35" s="437"/>
      <c r="Y35" s="437"/>
    </row>
    <row r="36" spans="1:25" s="189" customFormat="1" x14ac:dyDescent="0.3">
      <c r="A36" s="183"/>
      <c r="B36" s="184"/>
      <c r="C36" s="184"/>
      <c r="D36" s="185"/>
      <c r="G36" s="852"/>
      <c r="I36" s="852"/>
      <c r="K36" s="439" t="s">
        <v>8</v>
      </c>
      <c r="L36" s="1425">
        <v>500000739787</v>
      </c>
      <c r="M36" s="1426"/>
      <c r="N36" s="439" t="s">
        <v>8</v>
      </c>
      <c r="O36" s="1425">
        <v>500000739787</v>
      </c>
      <c r="P36" s="1426"/>
      <c r="Q36" s="440" t="s">
        <v>78</v>
      </c>
      <c r="R36" s="1423" t="s">
        <v>1991</v>
      </c>
      <c r="S36" s="1424"/>
      <c r="T36" s="440" t="s">
        <v>78</v>
      </c>
      <c r="U36" s="1423" t="s">
        <v>1991</v>
      </c>
      <c r="V36" s="1424"/>
      <c r="W36" s="437"/>
      <c r="X36" s="437"/>
      <c r="Y36" s="437"/>
    </row>
    <row r="37" spans="1:25" s="189" customFormat="1" x14ac:dyDescent="0.3">
      <c r="A37" s="183"/>
      <c r="B37" s="184"/>
      <c r="C37" s="184"/>
      <c r="D37" s="185" t="s">
        <v>75</v>
      </c>
      <c r="G37" s="852"/>
      <c r="I37" s="852"/>
      <c r="Q37" s="439" t="s">
        <v>8</v>
      </c>
      <c r="R37" s="1423" t="s">
        <v>1992</v>
      </c>
      <c r="S37" s="1424"/>
      <c r="T37" s="439" t="s">
        <v>8</v>
      </c>
      <c r="U37" s="1423" t="s">
        <v>1992</v>
      </c>
      <c r="V37" s="1424"/>
    </row>
    <row r="38" spans="1:25" s="189" customFormat="1" x14ac:dyDescent="0.3">
      <c r="A38" s="183" t="s">
        <v>76</v>
      </c>
      <c r="B38" s="180"/>
      <c r="C38" s="180"/>
      <c r="D38" s="185" t="s">
        <v>77</v>
      </c>
      <c r="G38" s="852"/>
      <c r="I38" s="852"/>
      <c r="Q38" s="738"/>
      <c r="R38" s="738"/>
      <c r="S38" s="738"/>
      <c r="T38" s="852"/>
      <c r="U38" s="852"/>
      <c r="V38" s="852"/>
    </row>
    <row r="39" spans="1:25" s="189" customFormat="1" ht="26.4" x14ac:dyDescent="0.3">
      <c r="A39" s="183" t="s">
        <v>79</v>
      </c>
      <c r="B39" s="180"/>
      <c r="C39" s="180"/>
      <c r="D39" s="185" t="s">
        <v>80</v>
      </c>
      <c r="G39" s="852"/>
      <c r="I39" s="852"/>
      <c r="Q39" s="738"/>
      <c r="R39" s="738"/>
      <c r="S39" s="738"/>
      <c r="T39" s="852"/>
      <c r="U39" s="852"/>
      <c r="V39" s="852"/>
    </row>
  </sheetData>
  <sheetProtection formatCells="0" formatColumns="0" formatRows="0" insertColumns="0" insertRows="0" insertHyperlinks="0" deleteColumns="0" deleteRows="0" sort="0" autoFilter="0" pivotTables="0"/>
  <mergeCells count="37">
    <mergeCell ref="L35:M35"/>
    <mergeCell ref="L36:M36"/>
    <mergeCell ref="J14:J15"/>
    <mergeCell ref="J16:J17"/>
    <mergeCell ref="J18:J19"/>
    <mergeCell ref="O34:P34"/>
    <mergeCell ref="O35:P35"/>
    <mergeCell ref="O36:P36"/>
    <mergeCell ref="W1:Y1"/>
    <mergeCell ref="W2:Y2"/>
    <mergeCell ref="A3:Y3"/>
    <mergeCell ref="A4:Y4"/>
    <mergeCell ref="A5:Y5"/>
    <mergeCell ref="C1:P2"/>
    <mergeCell ref="A14:A15"/>
    <mergeCell ref="B14:B15"/>
    <mergeCell ref="A16:A17"/>
    <mergeCell ref="B16:B17"/>
    <mergeCell ref="A18:A19"/>
    <mergeCell ref="B18:B19"/>
    <mergeCell ref="L34:M34"/>
    <mergeCell ref="B12:J12"/>
    <mergeCell ref="A6:Y6"/>
    <mergeCell ref="A7:Y7"/>
    <mergeCell ref="A8:Y8"/>
    <mergeCell ref="A9:Y9"/>
    <mergeCell ref="A10:Y10"/>
    <mergeCell ref="N11:P12"/>
    <mergeCell ref="B11:J11"/>
    <mergeCell ref="K11:M12"/>
    <mergeCell ref="Q11:S12"/>
    <mergeCell ref="T11:V12"/>
    <mergeCell ref="U36:V36"/>
    <mergeCell ref="U37:V37"/>
    <mergeCell ref="R36:S36"/>
    <mergeCell ref="R37:S37"/>
    <mergeCell ref="W11:Y12"/>
  </mergeCells>
  <pageMargins left="0.7" right="0.7" top="0.75" bottom="0.75" header="0.3" footer="0.3"/>
  <pageSetup scale="30" orientation="portrait" r:id="rId1"/>
  <drawing r:id="rId2"/>
  <legacyDrawing r:id="rId3"/>
  <legacyDrawingHF r:id="rId4"/>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3">
    <tabColor theme="1"/>
  </sheetPr>
  <dimension ref="A1:G49"/>
  <sheetViews>
    <sheetView topLeftCell="A13"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RESUMEN!G82</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RESUMEN!B82</f>
        <v>D00243135</v>
      </c>
      <c r="C7" s="1265"/>
      <c r="D7" s="1177"/>
      <c r="E7" s="1266" t="s">
        <v>627</v>
      </c>
      <c r="F7" s="1267"/>
      <c r="G7" s="280" t="str">
        <f>RESUMEN!E82</f>
        <v xml:space="preserve">17-332 </v>
      </c>
    </row>
    <row r="8" spans="1:7" x14ac:dyDescent="0.25">
      <c r="A8" s="271" t="s">
        <v>628</v>
      </c>
      <c r="B8" s="1264" t="str">
        <f>RESUMEN!C82</f>
        <v>D00243135000</v>
      </c>
      <c r="C8" s="1265"/>
      <c r="D8" s="1177"/>
      <c r="E8" s="1266" t="s">
        <v>629</v>
      </c>
      <c r="F8" s="1267"/>
      <c r="G8" s="280" t="str">
        <f>RESUMEN!U82</f>
        <v>Acta N° 2: Marzo</v>
      </c>
    </row>
    <row r="9" spans="1:7" x14ac:dyDescent="0.25">
      <c r="A9" s="271" t="s">
        <v>630</v>
      </c>
      <c r="B9" s="1283" t="s">
        <v>631</v>
      </c>
      <c r="C9" s="1265"/>
      <c r="D9" s="1177"/>
      <c r="E9" s="1266" t="s">
        <v>632</v>
      </c>
      <c r="F9" s="1267"/>
      <c r="G9" s="1178">
        <f>RESUMEN!H82</f>
        <v>7232937</v>
      </c>
    </row>
    <row r="10" spans="1:7" x14ac:dyDescent="0.25">
      <c r="A10" s="271" t="s">
        <v>633</v>
      </c>
      <c r="B10" s="1283" t="str">
        <f>RESUMEN!D82</f>
        <v>CÁQUEZA</v>
      </c>
      <c r="C10" s="1265"/>
      <c r="D10" s="1177"/>
      <c r="E10" s="1266" t="s">
        <v>634</v>
      </c>
      <c r="F10" s="1267"/>
      <c r="G10" s="1178">
        <f>RESUMEN!R82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RESUMEN!N82</f>
        <v>0</v>
      </c>
      <c r="F19" s="1248"/>
      <c r="G19" s="1177"/>
    </row>
    <row r="20" spans="1:7" ht="27" customHeight="1" x14ac:dyDescent="0.25">
      <c r="A20" s="1177"/>
      <c r="B20" s="1244" t="s">
        <v>1498</v>
      </c>
      <c r="C20" s="1245"/>
      <c r="D20" s="1246"/>
      <c r="E20" s="1247">
        <f>RESUMEN!P82</f>
        <v>0</v>
      </c>
      <c r="F20" s="1248"/>
      <c r="G20" s="1177"/>
    </row>
    <row r="21" spans="1:7" ht="27" customHeight="1" x14ac:dyDescent="0.25">
      <c r="A21" s="1177"/>
      <c r="B21" s="1244" t="s">
        <v>1499</v>
      </c>
      <c r="C21" s="1245"/>
      <c r="D21" s="1246"/>
      <c r="E21" s="1247">
        <f>RESUMEN!Q82</f>
        <v>0</v>
      </c>
      <c r="F21" s="1248"/>
      <c r="G21" s="1177"/>
    </row>
    <row r="22" spans="1:7" x14ac:dyDescent="0.25">
      <c r="A22" s="1177"/>
      <c r="B22" s="1254" t="s">
        <v>64</v>
      </c>
      <c r="C22" s="1254"/>
      <c r="D22" s="1254"/>
      <c r="E22" s="1255">
        <f>RESUMEN!R82</f>
        <v>0</v>
      </c>
      <c r="F22" s="1255"/>
      <c r="G22" s="1177"/>
    </row>
    <row r="23" spans="1:7" x14ac:dyDescent="0.25">
      <c r="A23" s="1177"/>
      <c r="B23" s="1256" t="s">
        <v>66</v>
      </c>
      <c r="C23" s="1256"/>
      <c r="D23" s="1256"/>
      <c r="E23" s="1257">
        <f>RESUMEN!S82</f>
        <v>0</v>
      </c>
      <c r="F23" s="1257"/>
      <c r="G23" s="1177"/>
    </row>
    <row r="24" spans="1:7" x14ac:dyDescent="0.25">
      <c r="A24" s="1177"/>
      <c r="B24" s="1258" t="s">
        <v>1</v>
      </c>
      <c r="C24" s="1258"/>
      <c r="D24" s="1258"/>
      <c r="E24" s="1259">
        <f>RESUMEN!T82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+'OT17-332 CÁQUEZA'!N44</f>
        <v>ACTA 1</v>
      </c>
      <c r="C28" s="1253">
        <f>+'OT17-332 CÁQUEZA'!O44</f>
        <v>3553926</v>
      </c>
      <c r="D28" s="1253"/>
      <c r="E28" s="267">
        <f>+'OT17-332 CÁQUEZA'!P44</f>
        <v>0.49135309764207818</v>
      </c>
      <c r="F28" s="1177"/>
      <c r="G28" s="1177"/>
    </row>
    <row r="29" spans="1:7" x14ac:dyDescent="0.25">
      <c r="A29" s="1177"/>
      <c r="B29" s="280" t="str">
        <f>+'OT17-332 CÁQUEZA'!N45</f>
        <v>ACTA 2</v>
      </c>
      <c r="C29" s="1253">
        <f>+'OT17-332 CÁQUEZA'!O45</f>
        <v>0</v>
      </c>
      <c r="D29" s="1253"/>
      <c r="E29" s="267">
        <f>+'OT17-332 CÁQUEZA'!P45</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3553926</v>
      </c>
      <c r="D34" s="1251"/>
      <c r="E34" s="264">
        <f>SUM(E28:E33)</f>
        <v>0.49135309764207818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RESUMEN!V82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4">
    <tabColor theme="7"/>
  </sheetPr>
  <dimension ref="A1:S52"/>
  <sheetViews>
    <sheetView topLeftCell="A19" zoomScale="60" zoomScaleNormal="60" workbookViewId="0">
      <selection activeCell="D18" sqref="D18"/>
    </sheetView>
  </sheetViews>
  <sheetFormatPr baseColWidth="10" defaultColWidth="9.109375" defaultRowHeight="14.4" x14ac:dyDescent="0.3"/>
  <cols>
    <col min="1" max="1" width="13.6640625" style="437" customWidth="1"/>
    <col min="2" max="2" width="23.33203125" style="437" customWidth="1"/>
    <col min="3" max="3" width="31.109375" style="437" customWidth="1"/>
    <col min="4" max="4" width="24.33203125" style="437" customWidth="1"/>
    <col min="5" max="5" width="13" style="437" customWidth="1"/>
    <col min="6" max="7" width="17.88671875" style="437" customWidth="1"/>
    <col min="8" max="9" width="17.33203125" style="437" customWidth="1"/>
    <col min="10" max="10" width="62.33203125" style="437" customWidth="1"/>
    <col min="11" max="11" width="17.88671875" style="437" customWidth="1"/>
    <col min="12" max="12" width="18" style="437" customWidth="1"/>
    <col min="13" max="13" width="9.109375" style="437" customWidth="1"/>
    <col min="14" max="14" width="17.88671875" style="437" bestFit="1"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1308"/>
      <c r="O1" s="1308"/>
      <c r="P1" s="1309"/>
      <c r="Q1" s="1328" t="s">
        <v>163</v>
      </c>
      <c r="R1" s="1303"/>
      <c r="S1" s="1304"/>
    </row>
    <row r="2" spans="1:19" ht="13.5" customHeight="1" thickBot="1" x14ac:dyDescent="0.35">
      <c r="A2" s="170"/>
      <c r="B2" s="190"/>
      <c r="C2" s="1310"/>
      <c r="D2" s="1311"/>
      <c r="E2" s="1311"/>
      <c r="F2" s="1311"/>
      <c r="G2" s="1311"/>
      <c r="H2" s="1311"/>
      <c r="I2" s="1311"/>
      <c r="J2" s="1311"/>
      <c r="K2" s="1311"/>
      <c r="L2" s="1311"/>
      <c r="M2" s="1311"/>
      <c r="N2" s="1311"/>
      <c r="O2" s="1311"/>
      <c r="P2" s="131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1383</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6"/>
      <c r="B11" s="1301"/>
      <c r="C11" s="1313"/>
      <c r="D11" s="1313"/>
      <c r="E11" s="1313"/>
      <c r="F11" s="1313"/>
      <c r="G11" s="1313"/>
      <c r="H11" s="1313"/>
      <c r="I11" s="1313"/>
      <c r="J11" s="1313"/>
      <c r="K11" s="1293" t="s">
        <v>986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71" t="s">
        <v>54</v>
      </c>
      <c r="L13" s="471" t="s">
        <v>56</v>
      </c>
      <c r="M13" s="471" t="s">
        <v>58</v>
      </c>
      <c r="N13" s="471" t="s">
        <v>54</v>
      </c>
      <c r="O13" s="471" t="s">
        <v>56</v>
      </c>
      <c r="P13" s="471" t="s">
        <v>58</v>
      </c>
      <c r="Q13" s="174" t="s">
        <v>54</v>
      </c>
      <c r="R13" s="172" t="s">
        <v>56</v>
      </c>
      <c r="S13" s="471" t="s">
        <v>58</v>
      </c>
    </row>
    <row r="14" spans="1:19" ht="30" customHeight="1" x14ac:dyDescent="0.3">
      <c r="A14" s="1441" t="s">
        <v>1376</v>
      </c>
      <c r="B14" s="1441" t="s">
        <v>210</v>
      </c>
      <c r="C14" s="454" t="s">
        <v>81</v>
      </c>
      <c r="D14" s="454" t="s">
        <v>207</v>
      </c>
      <c r="E14" s="454">
        <v>0</v>
      </c>
      <c r="F14" s="453">
        <v>800905</v>
      </c>
      <c r="G14" s="32">
        <f>+ROUND(F14*1.051,0)</f>
        <v>841751</v>
      </c>
      <c r="H14" s="453">
        <f>ROUND((E14*F14),0)</f>
        <v>0</v>
      </c>
      <c r="I14" s="32">
        <f>+ROUND(G14*E14,0)</f>
        <v>0</v>
      </c>
      <c r="J14" s="1442" t="s">
        <v>1382</v>
      </c>
      <c r="K14" s="452">
        <v>0</v>
      </c>
      <c r="L14" s="425">
        <f>ROUND(K14*$F$14,0)</f>
        <v>0</v>
      </c>
      <c r="M14" s="426">
        <v>0</v>
      </c>
      <c r="N14" s="452">
        <v>0</v>
      </c>
      <c r="O14" s="425">
        <f>ROUND(N14*G14,0)</f>
        <v>0</v>
      </c>
      <c r="P14" s="604">
        <v>0</v>
      </c>
      <c r="Q14" s="450">
        <f t="shared" ref="Q14:Q16" si="0">K14+N14</f>
        <v>0</v>
      </c>
      <c r="R14" s="175">
        <f>L14+O14</f>
        <v>0</v>
      </c>
      <c r="S14" s="176">
        <v>0</v>
      </c>
    </row>
    <row r="15" spans="1:19" ht="30" customHeight="1" x14ac:dyDescent="0.3">
      <c r="A15" s="1441"/>
      <c r="B15" s="1441"/>
      <c r="C15" s="454" t="s">
        <v>83</v>
      </c>
      <c r="D15" s="454" t="s">
        <v>208</v>
      </c>
      <c r="E15" s="454">
        <v>0.7</v>
      </c>
      <c r="F15" s="453">
        <v>2646468</v>
      </c>
      <c r="G15" s="32">
        <f t="shared" ref="G15:G16" si="1">+ROUND(F15*1.051,0)</f>
        <v>2781438</v>
      </c>
      <c r="H15" s="453">
        <f>ROUND((E15*F15),0)</f>
        <v>1852528</v>
      </c>
      <c r="I15" s="32">
        <f t="shared" ref="I15:I31" si="2">+ROUND(G15*E15,0)</f>
        <v>1947007</v>
      </c>
      <c r="J15" s="1441"/>
      <c r="K15" s="452">
        <v>0</v>
      </c>
      <c r="L15" s="425">
        <f>ROUND(K15*$F$15,0)</f>
        <v>0</v>
      </c>
      <c r="M15" s="426">
        <f>L15/$H$15</f>
        <v>0</v>
      </c>
      <c r="N15" s="452">
        <v>0</v>
      </c>
      <c r="O15" s="425">
        <f>ROUND(N15*G15,0)</f>
        <v>0</v>
      </c>
      <c r="P15" s="604">
        <f>+O15/I15</f>
        <v>0</v>
      </c>
      <c r="Q15" s="450">
        <f t="shared" si="0"/>
        <v>0</v>
      </c>
      <c r="R15" s="175">
        <f t="shared" ref="R15:R32" si="3">L15+O15</f>
        <v>0</v>
      </c>
      <c r="S15" s="176">
        <f>R15/H15</f>
        <v>0</v>
      </c>
    </row>
    <row r="16" spans="1:19" ht="30" customHeight="1" x14ac:dyDescent="0.3">
      <c r="A16" s="1441"/>
      <c r="B16" s="1441"/>
      <c r="C16" s="454" t="s">
        <v>61</v>
      </c>
      <c r="D16" s="454" t="s">
        <v>209</v>
      </c>
      <c r="E16" s="454">
        <v>0.7</v>
      </c>
      <c r="F16" s="453">
        <v>1775919</v>
      </c>
      <c r="G16" s="32">
        <f t="shared" si="1"/>
        <v>1866491</v>
      </c>
      <c r="H16" s="453">
        <f>ROUND((E16*F16),0)</f>
        <v>1243143</v>
      </c>
      <c r="I16" s="32">
        <f t="shared" si="2"/>
        <v>1306544</v>
      </c>
      <c r="J16" s="1441"/>
      <c r="K16" s="474">
        <v>0.7</v>
      </c>
      <c r="L16" s="429">
        <f>ROUND(K16*$F$16,0)</f>
        <v>1243143</v>
      </c>
      <c r="M16" s="430">
        <f>L16/$H$16</f>
        <v>1</v>
      </c>
      <c r="N16" s="452">
        <v>0</v>
      </c>
      <c r="O16" s="425">
        <f>ROUND(N16*G16,0)</f>
        <v>0</v>
      </c>
      <c r="P16" s="604">
        <f t="shared" ref="P16:P32" si="4">+O16/I16</f>
        <v>0</v>
      </c>
      <c r="Q16" s="450">
        <f t="shared" si="0"/>
        <v>0.7</v>
      </c>
      <c r="R16" s="175">
        <f t="shared" si="3"/>
        <v>1243143</v>
      </c>
      <c r="S16" s="176">
        <f>R16/H16</f>
        <v>1</v>
      </c>
    </row>
    <row r="17" spans="1:19" x14ac:dyDescent="0.3">
      <c r="A17" s="1441"/>
      <c r="B17" s="1441"/>
      <c r="C17" s="459"/>
      <c r="D17" s="459" t="s">
        <v>136</v>
      </c>
      <c r="E17" s="458"/>
      <c r="F17" s="458"/>
      <c r="G17" s="458"/>
      <c r="H17" s="457">
        <f>SUM(H14:H16)</f>
        <v>3095671</v>
      </c>
      <c r="I17" s="457">
        <f>SUM(I14:I16)</f>
        <v>3253551</v>
      </c>
      <c r="J17" s="1441"/>
      <c r="K17" s="431"/>
      <c r="L17" s="179">
        <f>SUM(L14:L16)</f>
        <v>1243143</v>
      </c>
      <c r="M17" s="431">
        <f>L17/$H$17</f>
        <v>0.40157465053618424</v>
      </c>
      <c r="N17" s="431"/>
      <c r="O17" s="179">
        <f>SUM(O14:O16)</f>
        <v>0</v>
      </c>
      <c r="P17" s="1100">
        <f t="shared" si="4"/>
        <v>0</v>
      </c>
      <c r="Q17" s="1101"/>
      <c r="R17" s="1078">
        <f t="shared" si="3"/>
        <v>1243143</v>
      </c>
      <c r="S17" s="431">
        <f>R17/H17</f>
        <v>0.40157465053618424</v>
      </c>
    </row>
    <row r="18" spans="1:19" ht="30" customHeight="1" x14ac:dyDescent="0.3">
      <c r="A18" s="1441" t="s">
        <v>1376</v>
      </c>
      <c r="B18" s="1441" t="s">
        <v>170</v>
      </c>
      <c r="C18" s="454" t="s">
        <v>83</v>
      </c>
      <c r="D18" s="454" t="s">
        <v>123</v>
      </c>
      <c r="E18" s="454">
        <v>0</v>
      </c>
      <c r="F18" s="453">
        <v>1044658</v>
      </c>
      <c r="G18" s="32">
        <f t="shared" ref="G18:G19" si="5">+ROUND(F18*1.051,0)</f>
        <v>1097936</v>
      </c>
      <c r="H18" s="453">
        <f>ROUND((E18*F18),0)</f>
        <v>0</v>
      </c>
      <c r="I18" s="32">
        <f t="shared" si="2"/>
        <v>0</v>
      </c>
      <c r="J18" s="1442" t="s">
        <v>1381</v>
      </c>
      <c r="K18" s="452">
        <v>0</v>
      </c>
      <c r="L18" s="425">
        <f>ROUND(K18*$F$18,0)</f>
        <v>0</v>
      </c>
      <c r="M18" s="426">
        <v>0</v>
      </c>
      <c r="N18" s="452">
        <v>0</v>
      </c>
      <c r="O18" s="425">
        <f t="shared" ref="O18:O19" si="6">ROUND(N18*G18,0)</f>
        <v>0</v>
      </c>
      <c r="P18" s="604">
        <v>0</v>
      </c>
      <c r="Q18" s="450">
        <f>K18+N18</f>
        <v>0</v>
      </c>
      <c r="R18" s="175">
        <f t="shared" si="3"/>
        <v>0</v>
      </c>
      <c r="S18" s="176">
        <v>0</v>
      </c>
    </row>
    <row r="19" spans="1:19" ht="30" customHeight="1" x14ac:dyDescent="0.3">
      <c r="A19" s="1441"/>
      <c r="B19" s="1441"/>
      <c r="C19" s="454" t="s">
        <v>61</v>
      </c>
      <c r="D19" s="454" t="s">
        <v>125</v>
      </c>
      <c r="E19" s="454">
        <v>0.7</v>
      </c>
      <c r="F19" s="453">
        <v>1009836</v>
      </c>
      <c r="G19" s="32">
        <f t="shared" si="5"/>
        <v>1061338</v>
      </c>
      <c r="H19" s="453">
        <f>ROUND((E19*F19),0)</f>
        <v>706885</v>
      </c>
      <c r="I19" s="32">
        <f t="shared" si="2"/>
        <v>742937</v>
      </c>
      <c r="J19" s="1441"/>
      <c r="K19" s="474">
        <v>0.7</v>
      </c>
      <c r="L19" s="429">
        <f>ROUND(K19*$F$19,0)</f>
        <v>706885</v>
      </c>
      <c r="M19" s="430">
        <f>L19/$H$19</f>
        <v>1</v>
      </c>
      <c r="N19" s="452">
        <v>0</v>
      </c>
      <c r="O19" s="425">
        <f t="shared" si="6"/>
        <v>0</v>
      </c>
      <c r="P19" s="604">
        <f t="shared" si="4"/>
        <v>0</v>
      </c>
      <c r="Q19" s="450">
        <f>K19+N19</f>
        <v>0.7</v>
      </c>
      <c r="R19" s="175">
        <f t="shared" si="3"/>
        <v>706885</v>
      </c>
      <c r="S19" s="176">
        <f>R19/H19</f>
        <v>1</v>
      </c>
    </row>
    <row r="20" spans="1:19" x14ac:dyDescent="0.3">
      <c r="A20" s="1441"/>
      <c r="B20" s="1441"/>
      <c r="C20" s="459"/>
      <c r="D20" s="459" t="s">
        <v>126</v>
      </c>
      <c r="E20" s="458"/>
      <c r="F20" s="458"/>
      <c r="G20" s="458"/>
      <c r="H20" s="457">
        <f>SUM(H18:H19)</f>
        <v>706885</v>
      </c>
      <c r="I20" s="457">
        <f>SUM(I18:I19)</f>
        <v>742937</v>
      </c>
      <c r="J20" s="1441"/>
      <c r="K20" s="431"/>
      <c r="L20" s="179">
        <f>SUM(L18:L19)</f>
        <v>706885</v>
      </c>
      <c r="M20" s="431">
        <f>L20/$H$20</f>
        <v>1</v>
      </c>
      <c r="N20" s="431"/>
      <c r="O20" s="179">
        <f>SUM(O18:O19)</f>
        <v>0</v>
      </c>
      <c r="P20" s="1100">
        <f t="shared" si="4"/>
        <v>0</v>
      </c>
      <c r="Q20" s="1101"/>
      <c r="R20" s="1078">
        <f t="shared" si="3"/>
        <v>706885</v>
      </c>
      <c r="S20" s="431">
        <f>R20/H20</f>
        <v>1</v>
      </c>
    </row>
    <row r="21" spans="1:19" ht="30" customHeight="1" x14ac:dyDescent="0.3">
      <c r="A21" s="1442" t="s">
        <v>1373</v>
      </c>
      <c r="B21" s="1441" t="s">
        <v>194</v>
      </c>
      <c r="C21" s="454" t="s">
        <v>160</v>
      </c>
      <c r="D21" s="454" t="s">
        <v>161</v>
      </c>
      <c r="E21" s="473">
        <v>24</v>
      </c>
      <c r="F21" s="453">
        <v>69644</v>
      </c>
      <c r="G21" s="32">
        <f>+ROUND(F21*1.051,0)</f>
        <v>73196</v>
      </c>
      <c r="H21" s="453">
        <f>ROUND((E21*F21),0)</f>
        <v>1671456</v>
      </c>
      <c r="I21" s="32">
        <f t="shared" si="2"/>
        <v>1756704</v>
      </c>
      <c r="J21" s="1442" t="s">
        <v>1380</v>
      </c>
      <c r="K21" s="452">
        <v>0</v>
      </c>
      <c r="L21" s="425">
        <f>ROUND(K21*$F$21,0)</f>
        <v>0</v>
      </c>
      <c r="M21" s="426">
        <f>L21/$H$21</f>
        <v>0</v>
      </c>
      <c r="N21" s="452">
        <v>0</v>
      </c>
      <c r="O21" s="425">
        <f>ROUND(N21*G21,0)</f>
        <v>0</v>
      </c>
      <c r="P21" s="604">
        <f t="shared" si="4"/>
        <v>0</v>
      </c>
      <c r="Q21" s="450">
        <f>K21+N21</f>
        <v>0</v>
      </c>
      <c r="R21" s="175">
        <f t="shared" si="3"/>
        <v>0</v>
      </c>
      <c r="S21" s="176">
        <f>R21/H21</f>
        <v>0</v>
      </c>
    </row>
    <row r="22" spans="1:19" x14ac:dyDescent="0.3">
      <c r="A22" s="1441"/>
      <c r="B22" s="1441"/>
      <c r="C22" s="459"/>
      <c r="D22" s="459" t="s">
        <v>162</v>
      </c>
      <c r="E22" s="458"/>
      <c r="F22" s="458"/>
      <c r="G22" s="458"/>
      <c r="H22" s="457">
        <f>H21</f>
        <v>1671456</v>
      </c>
      <c r="I22" s="457">
        <f>SUM(I21)</f>
        <v>1756704</v>
      </c>
      <c r="J22" s="1441"/>
      <c r="K22" s="431"/>
      <c r="L22" s="179">
        <f>SUM(L21)</f>
        <v>0</v>
      </c>
      <c r="M22" s="431">
        <f>L22/$H$22</f>
        <v>0</v>
      </c>
      <c r="N22" s="431"/>
      <c r="O22" s="179">
        <f>SUM(O21)</f>
        <v>0</v>
      </c>
      <c r="P22" s="1100">
        <f t="shared" si="4"/>
        <v>0</v>
      </c>
      <c r="Q22" s="1101"/>
      <c r="R22" s="1078">
        <f t="shared" si="3"/>
        <v>0</v>
      </c>
      <c r="S22" s="431">
        <f>R22/H22</f>
        <v>0</v>
      </c>
    </row>
    <row r="23" spans="1:19" ht="30" customHeight="1" x14ac:dyDescent="0.3">
      <c r="A23" s="1441" t="s">
        <v>1378</v>
      </c>
      <c r="B23" s="1441" t="s">
        <v>170</v>
      </c>
      <c r="C23" s="454" t="s">
        <v>83</v>
      </c>
      <c r="D23" s="454" t="s">
        <v>123</v>
      </c>
      <c r="E23" s="454">
        <v>0</v>
      </c>
      <c r="F23" s="453">
        <v>1044658</v>
      </c>
      <c r="G23" s="32">
        <f t="shared" ref="G23:G24" si="7">+ROUND(F23*1.051,0)</f>
        <v>1097936</v>
      </c>
      <c r="H23" s="453">
        <f>ROUND((E23*F23),0)</f>
        <v>0</v>
      </c>
      <c r="I23" s="32">
        <f t="shared" si="2"/>
        <v>0</v>
      </c>
      <c r="J23" s="1442" t="s">
        <v>1379</v>
      </c>
      <c r="K23" s="452">
        <v>0</v>
      </c>
      <c r="L23" s="425">
        <f>ROUND(K23*$F$23,0)</f>
        <v>0</v>
      </c>
      <c r="M23" s="426">
        <v>0</v>
      </c>
      <c r="N23" s="452">
        <v>0</v>
      </c>
      <c r="O23" s="425">
        <f t="shared" ref="O23:O24" si="8">ROUND(N23*G23,0)</f>
        <v>0</v>
      </c>
      <c r="P23" s="604">
        <v>0</v>
      </c>
      <c r="Q23" s="450">
        <f>K23+N23</f>
        <v>0</v>
      </c>
      <c r="R23" s="175">
        <f t="shared" si="3"/>
        <v>0</v>
      </c>
      <c r="S23" s="176">
        <v>0</v>
      </c>
    </row>
    <row r="24" spans="1:19" ht="30" customHeight="1" x14ac:dyDescent="0.3">
      <c r="A24" s="1441"/>
      <c r="B24" s="1441"/>
      <c r="C24" s="454" t="s">
        <v>61</v>
      </c>
      <c r="D24" s="454" t="s">
        <v>125</v>
      </c>
      <c r="E24" s="454">
        <v>0.7</v>
      </c>
      <c r="F24" s="453">
        <v>1009836</v>
      </c>
      <c r="G24" s="32">
        <f t="shared" si="7"/>
        <v>1061338</v>
      </c>
      <c r="H24" s="453">
        <f>ROUND((E24*F24),0)</f>
        <v>706885</v>
      </c>
      <c r="I24" s="32">
        <f t="shared" si="2"/>
        <v>742937</v>
      </c>
      <c r="J24" s="1441"/>
      <c r="K24" s="474">
        <v>0.7</v>
      </c>
      <c r="L24" s="429">
        <f>ROUND(K24*$F$24,0)</f>
        <v>706885</v>
      </c>
      <c r="M24" s="430">
        <f>L24/$H$24</f>
        <v>1</v>
      </c>
      <c r="N24" s="452">
        <v>0</v>
      </c>
      <c r="O24" s="425">
        <f t="shared" si="8"/>
        <v>0</v>
      </c>
      <c r="P24" s="604">
        <f t="shared" si="4"/>
        <v>0</v>
      </c>
      <c r="Q24" s="450">
        <f>K24+N24</f>
        <v>0.7</v>
      </c>
      <c r="R24" s="175">
        <f t="shared" si="3"/>
        <v>706885</v>
      </c>
      <c r="S24" s="176">
        <f>R24/H24</f>
        <v>1</v>
      </c>
    </row>
    <row r="25" spans="1:19" x14ac:dyDescent="0.3">
      <c r="A25" s="1441"/>
      <c r="B25" s="1441"/>
      <c r="C25" s="459"/>
      <c r="D25" s="459" t="s">
        <v>126</v>
      </c>
      <c r="E25" s="458"/>
      <c r="F25" s="458"/>
      <c r="G25" s="458"/>
      <c r="H25" s="457">
        <f>SUM(H23:H24)</f>
        <v>706885</v>
      </c>
      <c r="I25" s="457">
        <f>SUM(I23:I24)</f>
        <v>742937</v>
      </c>
      <c r="J25" s="1441"/>
      <c r="K25" s="431"/>
      <c r="L25" s="179">
        <f>SUM(L23:L24)</f>
        <v>706885</v>
      </c>
      <c r="M25" s="431">
        <f>L25/$H$25</f>
        <v>1</v>
      </c>
      <c r="N25" s="431"/>
      <c r="O25" s="179">
        <f>SUM(O23:O24)</f>
        <v>0</v>
      </c>
      <c r="P25" s="1100">
        <f t="shared" si="4"/>
        <v>0</v>
      </c>
      <c r="Q25" s="1101"/>
      <c r="R25" s="1078">
        <f t="shared" si="3"/>
        <v>706885</v>
      </c>
      <c r="S25" s="431">
        <f>R25/H25</f>
        <v>1</v>
      </c>
    </row>
    <row r="26" spans="1:19" ht="30" customHeight="1" x14ac:dyDescent="0.3">
      <c r="A26" s="1441" t="s">
        <v>1378</v>
      </c>
      <c r="B26" s="1441" t="s">
        <v>282</v>
      </c>
      <c r="C26" s="454" t="s">
        <v>81</v>
      </c>
      <c r="D26" s="454" t="s">
        <v>105</v>
      </c>
      <c r="E26" s="454">
        <v>0</v>
      </c>
      <c r="F26" s="453">
        <v>417863</v>
      </c>
      <c r="G26" s="32">
        <f t="shared" ref="G26:G27" si="9">+ROUND(F26*1.051,0)</f>
        <v>439174</v>
      </c>
      <c r="H26" s="453">
        <f>ROUND((E26*F26),0)</f>
        <v>0</v>
      </c>
      <c r="I26" s="32">
        <f t="shared" si="2"/>
        <v>0</v>
      </c>
      <c r="J26" s="1442" t="s">
        <v>1377</v>
      </c>
      <c r="K26" s="452">
        <v>0</v>
      </c>
      <c r="L26" s="425">
        <f>ROUND(K26*$F$26,0)</f>
        <v>0</v>
      </c>
      <c r="M26" s="426">
        <v>0</v>
      </c>
      <c r="N26" s="452">
        <v>0</v>
      </c>
      <c r="O26" s="425">
        <f t="shared" ref="O26:O27" si="10">ROUND(N26*G26,0)</f>
        <v>0</v>
      </c>
      <c r="P26" s="604">
        <v>0</v>
      </c>
      <c r="Q26" s="450">
        <f>K26+N26</f>
        <v>0</v>
      </c>
      <c r="R26" s="175">
        <f t="shared" si="3"/>
        <v>0</v>
      </c>
      <c r="S26" s="176">
        <v>0</v>
      </c>
    </row>
    <row r="27" spans="1:19" ht="30" customHeight="1" x14ac:dyDescent="0.3">
      <c r="A27" s="1441"/>
      <c r="B27" s="1441"/>
      <c r="C27" s="454" t="s">
        <v>83</v>
      </c>
      <c r="D27" s="454" t="s">
        <v>107</v>
      </c>
      <c r="E27" s="454">
        <v>8.4000000000000005E-2</v>
      </c>
      <c r="F27" s="453">
        <v>1845563</v>
      </c>
      <c r="G27" s="32">
        <f t="shared" si="9"/>
        <v>1939687</v>
      </c>
      <c r="H27" s="453">
        <f>ROUND((E27*F27),0)</f>
        <v>155027</v>
      </c>
      <c r="I27" s="32">
        <f t="shared" si="2"/>
        <v>162934</v>
      </c>
      <c r="J27" s="1441"/>
      <c r="K27" s="452">
        <v>0</v>
      </c>
      <c r="L27" s="425">
        <f>ROUND(K27*$F$27,0)</f>
        <v>0</v>
      </c>
      <c r="M27" s="426">
        <f>L27/$H$27</f>
        <v>0</v>
      </c>
      <c r="N27" s="452">
        <v>0</v>
      </c>
      <c r="O27" s="425">
        <f t="shared" si="10"/>
        <v>0</v>
      </c>
      <c r="P27" s="604">
        <f t="shared" si="4"/>
        <v>0</v>
      </c>
      <c r="Q27" s="450">
        <f>K27+N27</f>
        <v>0</v>
      </c>
      <c r="R27" s="175">
        <f t="shared" si="3"/>
        <v>0</v>
      </c>
      <c r="S27" s="176">
        <f>R27/H27</f>
        <v>0</v>
      </c>
    </row>
    <row r="28" spans="1:19" x14ac:dyDescent="0.3">
      <c r="A28" s="1441"/>
      <c r="B28" s="1441"/>
      <c r="C28" s="459"/>
      <c r="D28" s="459" t="s">
        <v>108</v>
      </c>
      <c r="E28" s="458"/>
      <c r="F28" s="458"/>
      <c r="G28" s="458"/>
      <c r="H28" s="457">
        <f>SUM(H26:H27)</f>
        <v>155027</v>
      </c>
      <c r="I28" s="457">
        <f>SUM(I26:I27)</f>
        <v>162934</v>
      </c>
      <c r="J28" s="1441"/>
      <c r="K28" s="431"/>
      <c r="L28" s="179">
        <f>SUM(L26:L27)</f>
        <v>0</v>
      </c>
      <c r="M28" s="431">
        <f>L28/$H$28</f>
        <v>0</v>
      </c>
      <c r="N28" s="431"/>
      <c r="O28" s="179">
        <f>SUM(O26:O27)</f>
        <v>0</v>
      </c>
      <c r="P28" s="1100">
        <f t="shared" si="4"/>
        <v>0</v>
      </c>
      <c r="Q28" s="1101"/>
      <c r="R28" s="1078">
        <f t="shared" si="3"/>
        <v>0</v>
      </c>
      <c r="S28" s="431">
        <f>R28/H28</f>
        <v>0</v>
      </c>
    </row>
    <row r="29" spans="1:19" ht="30" customHeight="1" x14ac:dyDescent="0.3">
      <c r="A29" s="1441" t="s">
        <v>1376</v>
      </c>
      <c r="B29" s="1441" t="s">
        <v>211</v>
      </c>
      <c r="C29" s="454" t="s">
        <v>81</v>
      </c>
      <c r="D29" s="454" t="s">
        <v>212</v>
      </c>
      <c r="E29" s="454">
        <v>0</v>
      </c>
      <c r="F29" s="453">
        <v>800905</v>
      </c>
      <c r="G29" s="32">
        <f t="shared" ref="G29:G31" si="11">+ROUND(F29*1.051,0)</f>
        <v>841751</v>
      </c>
      <c r="H29" s="453">
        <f>ROUND((E29*F29),0)</f>
        <v>0</v>
      </c>
      <c r="I29" s="32">
        <f t="shared" si="2"/>
        <v>0</v>
      </c>
      <c r="J29" s="1442" t="s">
        <v>1375</v>
      </c>
      <c r="K29" s="452">
        <v>0</v>
      </c>
      <c r="L29" s="425">
        <f>ROUND(K29*$F$29,0)</f>
        <v>0</v>
      </c>
      <c r="M29" s="426">
        <v>0</v>
      </c>
      <c r="N29" s="452">
        <v>0</v>
      </c>
      <c r="O29" s="425">
        <f t="shared" ref="O29:O31" si="12">ROUND(N29*G29,0)</f>
        <v>0</v>
      </c>
      <c r="P29" s="604">
        <v>0</v>
      </c>
      <c r="Q29" s="450">
        <f>K29+N29</f>
        <v>0</v>
      </c>
      <c r="R29" s="175">
        <f t="shared" si="3"/>
        <v>0</v>
      </c>
      <c r="S29" s="176">
        <v>0</v>
      </c>
    </row>
    <row r="30" spans="1:19" ht="30" customHeight="1" x14ac:dyDescent="0.3">
      <c r="A30" s="1441"/>
      <c r="B30" s="1441"/>
      <c r="C30" s="454" t="s">
        <v>83</v>
      </c>
      <c r="D30" s="454" t="s">
        <v>213</v>
      </c>
      <c r="E30" s="454">
        <v>0</v>
      </c>
      <c r="F30" s="453">
        <v>2646468</v>
      </c>
      <c r="G30" s="32">
        <f t="shared" si="11"/>
        <v>2781438</v>
      </c>
      <c r="H30" s="453">
        <f>ROUND((E30*F30),0)</f>
        <v>0</v>
      </c>
      <c r="I30" s="32">
        <f t="shared" si="2"/>
        <v>0</v>
      </c>
      <c r="J30" s="1441"/>
      <c r="K30" s="452">
        <v>0</v>
      </c>
      <c r="L30" s="425">
        <f>ROUND(K30*$F$30,0)</f>
        <v>0</v>
      </c>
      <c r="M30" s="426">
        <v>0</v>
      </c>
      <c r="N30" s="452">
        <v>0</v>
      </c>
      <c r="O30" s="425">
        <f t="shared" si="12"/>
        <v>0</v>
      </c>
      <c r="P30" s="604">
        <v>0</v>
      </c>
      <c r="Q30" s="450">
        <f>K30+N30</f>
        <v>0</v>
      </c>
      <c r="R30" s="175">
        <f t="shared" si="3"/>
        <v>0</v>
      </c>
      <c r="S30" s="176">
        <v>0</v>
      </c>
    </row>
    <row r="31" spans="1:19" ht="30" customHeight="1" x14ac:dyDescent="0.3">
      <c r="A31" s="1441"/>
      <c r="B31" s="1441"/>
      <c r="C31" s="454" t="s">
        <v>61</v>
      </c>
      <c r="D31" s="454" t="s">
        <v>214</v>
      </c>
      <c r="E31" s="454">
        <v>0.40250000000000002</v>
      </c>
      <c r="F31" s="453">
        <v>2228604</v>
      </c>
      <c r="G31" s="32">
        <f t="shared" si="11"/>
        <v>2342263</v>
      </c>
      <c r="H31" s="453">
        <f>ROUND((E31*F31),0)</f>
        <v>897013</v>
      </c>
      <c r="I31" s="32">
        <f t="shared" si="2"/>
        <v>942761</v>
      </c>
      <c r="J31" s="1441"/>
      <c r="K31" s="474">
        <v>0.40250000000000002</v>
      </c>
      <c r="L31" s="429">
        <f>ROUND(K31*$F$31,0)</f>
        <v>897013</v>
      </c>
      <c r="M31" s="430">
        <f>L31/$H$31</f>
        <v>1</v>
      </c>
      <c r="N31" s="452">
        <v>0</v>
      </c>
      <c r="O31" s="425">
        <f t="shared" si="12"/>
        <v>0</v>
      </c>
      <c r="P31" s="604">
        <f t="shared" si="4"/>
        <v>0</v>
      </c>
      <c r="Q31" s="450">
        <f>K31+N31</f>
        <v>0.40250000000000002</v>
      </c>
      <c r="R31" s="175">
        <f t="shared" si="3"/>
        <v>897013</v>
      </c>
      <c r="S31" s="176">
        <f>R31/H31</f>
        <v>1</v>
      </c>
    </row>
    <row r="32" spans="1:19" x14ac:dyDescent="0.3">
      <c r="A32" s="1441"/>
      <c r="B32" s="1441"/>
      <c r="C32" s="459"/>
      <c r="D32" s="459" t="s">
        <v>215</v>
      </c>
      <c r="E32" s="458"/>
      <c r="F32" s="458"/>
      <c r="G32" s="458"/>
      <c r="H32" s="457">
        <f>SUM(H29:H31)</f>
        <v>897013</v>
      </c>
      <c r="I32" s="457">
        <f>SUM(I29:I31)</f>
        <v>942761</v>
      </c>
      <c r="J32" s="1441"/>
      <c r="K32" s="431"/>
      <c r="L32" s="179">
        <f>SUM(L29:L31)</f>
        <v>897013</v>
      </c>
      <c r="M32" s="431">
        <f>L32/$H$32</f>
        <v>1</v>
      </c>
      <c r="N32" s="431"/>
      <c r="O32" s="179">
        <f>SUM(O29:O31)</f>
        <v>0</v>
      </c>
      <c r="P32" s="1100">
        <f t="shared" si="4"/>
        <v>0</v>
      </c>
      <c r="Q32" s="1101"/>
      <c r="R32" s="1078">
        <f t="shared" si="3"/>
        <v>897013</v>
      </c>
      <c r="S32" s="431">
        <f>R32/H32</f>
        <v>1</v>
      </c>
    </row>
    <row r="33" spans="1:19" x14ac:dyDescent="0.3">
      <c r="F33" s="445" t="s">
        <v>64</v>
      </c>
      <c r="G33" s="445"/>
      <c r="H33" s="181">
        <f>SUM(H13:H32)/2</f>
        <v>7232937</v>
      </c>
      <c r="I33" s="181">
        <f>SUM(I13:I32)/2</f>
        <v>7601824</v>
      </c>
      <c r="K33" s="445" t="s">
        <v>64</v>
      </c>
      <c r="L33" s="181">
        <f>SUM(L13:L32)/2</f>
        <v>3553926</v>
      </c>
      <c r="M33" s="463">
        <f>L33/H33</f>
        <v>0.49135309764207818</v>
      </c>
      <c r="N33" s="547" t="s">
        <v>64</v>
      </c>
      <c r="O33" s="481">
        <f>SUM(O13:O32)/2</f>
        <v>0</v>
      </c>
      <c r="Q33" s="445" t="s">
        <v>64</v>
      </c>
      <c r="R33" s="181">
        <f>SUM(R13:R32)/2</f>
        <v>3553926</v>
      </c>
      <c r="S33" s="463">
        <f>R37/H33</f>
        <v>0.49135309764207818</v>
      </c>
    </row>
    <row r="34" spans="1:19" x14ac:dyDescent="0.3">
      <c r="F34" s="444" t="s">
        <v>65</v>
      </c>
      <c r="G34" s="444"/>
      <c r="H34" s="181">
        <v>0</v>
      </c>
      <c r="I34" s="181">
        <v>0</v>
      </c>
      <c r="K34" s="444" t="s">
        <v>65</v>
      </c>
      <c r="L34" s="181">
        <v>0</v>
      </c>
      <c r="N34" s="548" t="s">
        <v>65</v>
      </c>
      <c r="O34" s="481">
        <v>0</v>
      </c>
      <c r="Q34" s="444" t="s">
        <v>65</v>
      </c>
      <c r="R34" s="181">
        <v>0</v>
      </c>
    </row>
    <row r="35" spans="1:19" x14ac:dyDescent="0.3">
      <c r="F35" s="443" t="s">
        <v>64</v>
      </c>
      <c r="G35" s="443"/>
      <c r="H35" s="340">
        <f>SUM(H33:H34)</f>
        <v>7232937</v>
      </c>
      <c r="I35" s="340">
        <f>SUM(I33:I34)</f>
        <v>7601824</v>
      </c>
      <c r="K35" s="443" t="s">
        <v>64</v>
      </c>
      <c r="L35" s="340">
        <f>SUM(L33:L34)</f>
        <v>3553926</v>
      </c>
      <c r="N35" s="549" t="s">
        <v>64</v>
      </c>
      <c r="O35" s="550">
        <f>SUM(O33:O34)</f>
        <v>0</v>
      </c>
      <c r="Q35" s="443" t="s">
        <v>64</v>
      </c>
      <c r="R35" s="340">
        <f>SUM(R33:R34)</f>
        <v>3553926</v>
      </c>
    </row>
    <row r="36" spans="1:19" ht="26.4" x14ac:dyDescent="0.3">
      <c r="F36" s="443"/>
      <c r="G36" s="443"/>
      <c r="H36" s="340"/>
      <c r="I36" s="340"/>
      <c r="K36" s="443"/>
      <c r="L36" s="340"/>
      <c r="N36" s="484" t="s">
        <v>1439</v>
      </c>
      <c r="O36" s="483">
        <f>ROUND(O35*0.015,0)</f>
        <v>0</v>
      </c>
      <c r="Q36" s="484" t="s">
        <v>1439</v>
      </c>
      <c r="R36" s="340">
        <f>L36+O36</f>
        <v>0</v>
      </c>
    </row>
    <row r="37" spans="1:19" ht="26.4" x14ac:dyDescent="0.3">
      <c r="F37" s="443"/>
      <c r="G37" s="443"/>
      <c r="H37" s="340"/>
      <c r="I37" s="340"/>
      <c r="K37" s="443"/>
      <c r="L37" s="340"/>
      <c r="N37" s="152" t="s">
        <v>1440</v>
      </c>
      <c r="O37" s="182">
        <f>O35+O36</f>
        <v>0</v>
      </c>
      <c r="P37" s="463">
        <f>O37/H33</f>
        <v>0</v>
      </c>
      <c r="Q37" s="152" t="s">
        <v>1440</v>
      </c>
      <c r="R37" s="182">
        <f>R35+R36</f>
        <v>3553926</v>
      </c>
    </row>
    <row r="38" spans="1:19" x14ac:dyDescent="0.3">
      <c r="F38" s="442" t="s">
        <v>66</v>
      </c>
      <c r="G38" s="442"/>
      <c r="H38" s="181">
        <f>+H35*19%</f>
        <v>1374258.03</v>
      </c>
      <c r="I38" s="181">
        <f>+I35*19%</f>
        <v>1444346.56</v>
      </c>
      <c r="K38" s="442" t="s">
        <v>66</v>
      </c>
      <c r="L38" s="181">
        <f>+L35*19%</f>
        <v>675245.94000000006</v>
      </c>
      <c r="N38" s="551" t="s">
        <v>66</v>
      </c>
      <c r="O38" s="483">
        <f>ROUND(O37*0.19,0)</f>
        <v>0</v>
      </c>
      <c r="Q38" s="442" t="s">
        <v>66</v>
      </c>
      <c r="R38" s="182">
        <f>ROUND(R37*0.19,0)</f>
        <v>675246</v>
      </c>
    </row>
    <row r="39" spans="1:19" x14ac:dyDescent="0.3">
      <c r="F39" s="441" t="s">
        <v>69</v>
      </c>
      <c r="G39" s="441"/>
      <c r="H39" s="181">
        <f>+H35+H38</f>
        <v>8607195.0299999993</v>
      </c>
      <c r="I39" s="181">
        <f>+I35+I38</f>
        <v>9046170.5600000005</v>
      </c>
      <c r="K39" s="441" t="s">
        <v>69</v>
      </c>
      <c r="L39" s="181">
        <f>+L35+L38</f>
        <v>4229171.9400000004</v>
      </c>
      <c r="N39" s="552" t="s">
        <v>69</v>
      </c>
      <c r="O39" s="481">
        <f>O37+O38</f>
        <v>0</v>
      </c>
      <c r="Q39" s="441" t="s">
        <v>69</v>
      </c>
      <c r="R39" s="181">
        <f>R37+R38</f>
        <v>4229172</v>
      </c>
    </row>
    <row r="43" spans="1:19" s="189" customFormat="1" x14ac:dyDescent="0.3">
      <c r="A43" s="183" t="s">
        <v>67</v>
      </c>
      <c r="B43" s="184"/>
      <c r="C43" s="184"/>
      <c r="D43" s="185" t="s">
        <v>68</v>
      </c>
      <c r="G43" s="852"/>
      <c r="I43" s="852"/>
      <c r="K43" s="186" t="s">
        <v>70</v>
      </c>
      <c r="L43" s="187" t="s">
        <v>71</v>
      </c>
      <c r="M43" s="186" t="s">
        <v>58</v>
      </c>
      <c r="N43" s="186" t="s">
        <v>70</v>
      </c>
      <c r="O43" s="187" t="s">
        <v>71</v>
      </c>
      <c r="P43" s="186" t="s">
        <v>58</v>
      </c>
      <c r="Q43" s="437"/>
      <c r="R43" s="437"/>
      <c r="S43" s="437"/>
    </row>
    <row r="44" spans="1:19" s="189" customFormat="1" x14ac:dyDescent="0.3">
      <c r="A44" s="183"/>
      <c r="B44" s="184"/>
      <c r="C44" s="184"/>
      <c r="D44" s="185"/>
      <c r="G44" s="852"/>
      <c r="I44" s="852"/>
      <c r="K44" s="69" t="s">
        <v>72</v>
      </c>
      <c r="L44" s="70">
        <f>$L$33</f>
        <v>3553926</v>
      </c>
      <c r="M44" s="71">
        <f>$M$33</f>
        <v>0.49135309764207818</v>
      </c>
      <c r="N44" s="69" t="s">
        <v>72</v>
      </c>
      <c r="O44" s="70">
        <f>$L$33</f>
        <v>3553926</v>
      </c>
      <c r="P44" s="71">
        <f>$M$33</f>
        <v>0.49135309764207818</v>
      </c>
      <c r="Q44" s="437"/>
      <c r="R44" s="437"/>
      <c r="S44" s="437"/>
    </row>
    <row r="45" spans="1:19" s="189" customFormat="1" x14ac:dyDescent="0.3">
      <c r="A45" s="183"/>
      <c r="B45" s="184"/>
      <c r="C45" s="184"/>
      <c r="D45" s="185"/>
      <c r="G45" s="852"/>
      <c r="I45" s="852"/>
      <c r="K45" s="69"/>
      <c r="L45" s="70"/>
      <c r="M45" s="71"/>
      <c r="N45" s="69" t="s">
        <v>73</v>
      </c>
      <c r="O45" s="70">
        <f>$O$37</f>
        <v>0</v>
      </c>
      <c r="P45" s="71">
        <f>$P$37</f>
        <v>0</v>
      </c>
      <c r="Q45" s="437"/>
      <c r="R45" s="437"/>
      <c r="S45" s="437"/>
    </row>
    <row r="46" spans="1:19" s="189" customFormat="1" x14ac:dyDescent="0.3">
      <c r="A46" s="183"/>
      <c r="B46" s="184"/>
      <c r="C46" s="184"/>
      <c r="D46" s="185"/>
      <c r="G46" s="852"/>
      <c r="I46" s="852"/>
      <c r="K46" s="72" t="s">
        <v>1</v>
      </c>
      <c r="L46" s="105">
        <f>SUM(L44:L44)</f>
        <v>3553926</v>
      </c>
      <c r="M46" s="73">
        <f>SUM(M44:M44)</f>
        <v>0.49135309764207818</v>
      </c>
      <c r="N46" s="72" t="s">
        <v>1</v>
      </c>
      <c r="O46" s="105">
        <f>SUM(O44:O45)</f>
        <v>3553926</v>
      </c>
      <c r="P46" s="73">
        <f>SUM(P44:P45)</f>
        <v>0.49135309764207818</v>
      </c>
      <c r="Q46" s="437"/>
      <c r="R46" s="437"/>
      <c r="S46" s="437"/>
    </row>
    <row r="47" spans="1:19" s="189" customFormat="1" x14ac:dyDescent="0.3">
      <c r="A47" s="183"/>
      <c r="B47" s="184"/>
      <c r="C47" s="184"/>
      <c r="D47" s="185"/>
      <c r="G47" s="852"/>
      <c r="I47" s="852"/>
      <c r="K47" s="72" t="s">
        <v>9</v>
      </c>
      <c r="L47" s="1423"/>
      <c r="M47" s="1424"/>
      <c r="N47" s="72" t="s">
        <v>9</v>
      </c>
      <c r="O47" s="1423"/>
      <c r="P47" s="1424"/>
      <c r="Q47" s="437"/>
      <c r="R47" s="437"/>
      <c r="S47" s="437"/>
    </row>
    <row r="48" spans="1:19" s="189" customFormat="1" x14ac:dyDescent="0.3">
      <c r="A48" s="183"/>
      <c r="B48" s="184"/>
      <c r="C48" s="184"/>
      <c r="D48" s="185"/>
      <c r="G48" s="852"/>
      <c r="I48" s="852"/>
      <c r="K48" s="440" t="s">
        <v>78</v>
      </c>
      <c r="L48" s="1423" t="s">
        <v>314</v>
      </c>
      <c r="M48" s="1424"/>
      <c r="N48" s="440" t="s">
        <v>78</v>
      </c>
      <c r="O48" s="1423" t="s">
        <v>314</v>
      </c>
      <c r="P48" s="1424"/>
      <c r="Q48" s="437"/>
      <c r="R48" s="437"/>
      <c r="S48" s="437"/>
    </row>
    <row r="49" spans="1:19" s="189" customFormat="1" x14ac:dyDescent="0.3">
      <c r="A49" s="183"/>
      <c r="B49" s="184"/>
      <c r="C49" s="184"/>
      <c r="D49" s="185"/>
      <c r="G49" s="852"/>
      <c r="I49" s="852"/>
      <c r="K49" s="439" t="s">
        <v>8</v>
      </c>
      <c r="L49" s="1425" t="s">
        <v>315</v>
      </c>
      <c r="M49" s="1426"/>
      <c r="N49" s="439" t="s">
        <v>8</v>
      </c>
      <c r="O49" s="1425" t="s">
        <v>315</v>
      </c>
      <c r="P49" s="1426"/>
      <c r="Q49" s="437"/>
      <c r="R49" s="437"/>
      <c r="S49" s="437"/>
    </row>
    <row r="50" spans="1:19" s="189" customFormat="1" x14ac:dyDescent="0.3">
      <c r="A50" s="183"/>
      <c r="B50" s="184"/>
      <c r="C50" s="184"/>
      <c r="D50" s="185" t="s">
        <v>75</v>
      </c>
      <c r="G50" s="852"/>
      <c r="I50" s="852"/>
    </row>
    <row r="51" spans="1:19" s="189" customFormat="1" x14ac:dyDescent="0.3">
      <c r="A51" s="183" t="s">
        <v>76</v>
      </c>
      <c r="B51" s="180"/>
      <c r="C51" s="180"/>
      <c r="D51" s="185" t="s">
        <v>77</v>
      </c>
      <c r="G51" s="852"/>
      <c r="I51" s="852"/>
    </row>
    <row r="52" spans="1:19" s="189" customFormat="1" ht="26.4" x14ac:dyDescent="0.3">
      <c r="A52" s="183" t="s">
        <v>79</v>
      </c>
      <c r="B52" s="180"/>
      <c r="C52" s="180"/>
      <c r="D52" s="185" t="s">
        <v>80</v>
      </c>
      <c r="G52" s="852"/>
      <c r="I52" s="852"/>
    </row>
  </sheetData>
  <sheetProtection formatCells="0" formatColumns="0" formatRows="0" insertColumns="0" insertRows="0" insertHyperlinks="0" deleteColumns="0" deleteRows="0" sort="0" autoFilter="0" pivotTables="0"/>
  <mergeCells count="40">
    <mergeCell ref="O47:P47"/>
    <mergeCell ref="O48:P48"/>
    <mergeCell ref="O49:P49"/>
    <mergeCell ref="C1:P2"/>
    <mergeCell ref="A18:A20"/>
    <mergeCell ref="B18:B20"/>
    <mergeCell ref="J18:J20"/>
    <mergeCell ref="A29:A32"/>
    <mergeCell ref="B29:B32"/>
    <mergeCell ref="J29:J32"/>
    <mergeCell ref="A21:A22"/>
    <mergeCell ref="B21:B22"/>
    <mergeCell ref="J21:J22"/>
    <mergeCell ref="A23:A25"/>
    <mergeCell ref="B23:B25"/>
    <mergeCell ref="J23:J25"/>
    <mergeCell ref="B26:B28"/>
    <mergeCell ref="J26:J28"/>
    <mergeCell ref="A9:S9"/>
    <mergeCell ref="A10:S10"/>
    <mergeCell ref="A14:A17"/>
    <mergeCell ref="B14:B17"/>
    <mergeCell ref="J14:J17"/>
    <mergeCell ref="N11:P12"/>
    <mergeCell ref="L49:M49"/>
    <mergeCell ref="B12:J12"/>
    <mergeCell ref="Q1:S1"/>
    <mergeCell ref="Q2:S2"/>
    <mergeCell ref="A3:S3"/>
    <mergeCell ref="A4:S4"/>
    <mergeCell ref="A5:S5"/>
    <mergeCell ref="B11:J11"/>
    <mergeCell ref="K11:M12"/>
    <mergeCell ref="Q11:S12"/>
    <mergeCell ref="L47:M47"/>
    <mergeCell ref="L48:M48"/>
    <mergeCell ref="A6:S6"/>
    <mergeCell ref="A7:S7"/>
    <mergeCell ref="A8:S8"/>
    <mergeCell ref="A26:A28"/>
  </mergeCells>
  <pageMargins left="0.7" right="0.7" top="0.75" bottom="0.75" header="0.3" footer="0.3"/>
  <pageSetup scale="49" orientation="landscape" r:id="rId1"/>
  <drawing r:id="rId2"/>
  <legacyDrawingHF r:id="rId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5">
    <tabColor theme="1"/>
  </sheetPr>
  <dimension ref="A1:G49"/>
  <sheetViews>
    <sheetView topLeftCell="A13" zoomScaleNormal="100"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RESUMEN!G83</f>
        <v>Proyecto: SE Concordia - CDIM_CBSGSM_R0120</v>
      </c>
      <c r="C5" s="1281"/>
      <c r="D5" s="1281"/>
      <c r="E5" s="1281"/>
      <c r="F5" s="1281"/>
      <c r="G5" s="1282"/>
    </row>
    <row r="6" spans="1:7" x14ac:dyDescent="0.25">
      <c r="A6" s="1177"/>
      <c r="B6" s="1177"/>
      <c r="C6" s="1177"/>
      <c r="D6" s="1177"/>
      <c r="E6" s="1177"/>
      <c r="F6" s="1177"/>
      <c r="G6" s="1177"/>
    </row>
    <row r="7" spans="1:7" x14ac:dyDescent="0.25">
      <c r="A7" s="271" t="s">
        <v>0</v>
      </c>
      <c r="B7" s="1264" t="str">
        <f>RESUMEN!B83</f>
        <v>D00249500</v>
      </c>
      <c r="C7" s="1265"/>
      <c r="D7" s="1177"/>
      <c r="E7" s="1266" t="s">
        <v>627</v>
      </c>
      <c r="F7" s="1267"/>
      <c r="G7" s="280" t="str">
        <f>RESUMEN!E83</f>
        <v>17-333</v>
      </c>
    </row>
    <row r="8" spans="1:7" x14ac:dyDescent="0.25">
      <c r="A8" s="271" t="s">
        <v>628</v>
      </c>
      <c r="B8" s="1264" t="str">
        <f>RESUMEN!C83</f>
        <v>D00249500000</v>
      </c>
      <c r="C8" s="1265"/>
      <c r="D8" s="1177"/>
      <c r="E8" s="1266" t="s">
        <v>629</v>
      </c>
      <c r="F8" s="1267"/>
      <c r="G8" s="280" t="str">
        <f>RESUMEN!U83</f>
        <v>Acta N° 5: Febrero</v>
      </c>
    </row>
    <row r="9" spans="1:7" x14ac:dyDescent="0.25">
      <c r="A9" s="271" t="s">
        <v>630</v>
      </c>
      <c r="B9" s="1283" t="s">
        <v>631</v>
      </c>
      <c r="C9" s="1265"/>
      <c r="D9" s="1177"/>
      <c r="E9" s="1266" t="s">
        <v>632</v>
      </c>
      <c r="F9" s="1267"/>
      <c r="G9" s="1178">
        <f>RESUMEN!H83</f>
        <v>63849504</v>
      </c>
    </row>
    <row r="10" spans="1:7" x14ac:dyDescent="0.25">
      <c r="A10" s="271" t="s">
        <v>633</v>
      </c>
      <c r="B10" s="1283" t="str">
        <f>RESUMEN!D83</f>
        <v>CONCORDIA</v>
      </c>
      <c r="C10" s="1265"/>
      <c r="D10" s="1177"/>
      <c r="E10" s="1266" t="s">
        <v>634</v>
      </c>
      <c r="F10" s="1267"/>
      <c r="G10" s="1178">
        <f>RESUMEN!R83</f>
        <v>10675439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",RESUMEN!G83)</f>
        <v>A los 14 días del mes de Marzo se reunieron en las instalaciones de CODENSA S.A. E.S.P., los ingenieros Ing. Diana García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SE Concordia - CDIM_CBSGSM_R0120</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RESUMEN!N83</f>
        <v>10517674</v>
      </c>
      <c r="F19" s="1248"/>
      <c r="G19" s="1177"/>
    </row>
    <row r="20" spans="1:7" ht="27" customHeight="1" x14ac:dyDescent="0.25">
      <c r="A20" s="1177"/>
      <c r="B20" s="1244" t="s">
        <v>1498</v>
      </c>
      <c r="C20" s="1245"/>
      <c r="D20" s="1246"/>
      <c r="E20" s="1247">
        <f>RESUMEN!P83</f>
        <v>0</v>
      </c>
      <c r="F20" s="1248"/>
      <c r="G20" s="1177"/>
    </row>
    <row r="21" spans="1:7" ht="27" customHeight="1" x14ac:dyDescent="0.25">
      <c r="A21" s="1177"/>
      <c r="B21" s="1244" t="s">
        <v>1499</v>
      </c>
      <c r="C21" s="1245"/>
      <c r="D21" s="1246"/>
      <c r="E21" s="1247">
        <f>RESUMEN!Q83</f>
        <v>157765</v>
      </c>
      <c r="F21" s="1248"/>
      <c r="G21" s="1177"/>
    </row>
    <row r="22" spans="1:7" x14ac:dyDescent="0.25">
      <c r="A22" s="1177"/>
      <c r="B22" s="1254" t="s">
        <v>64</v>
      </c>
      <c r="C22" s="1254"/>
      <c r="D22" s="1254"/>
      <c r="E22" s="1255">
        <f>RESUMEN!R83</f>
        <v>10675439</v>
      </c>
      <c r="F22" s="1255"/>
      <c r="G22" s="1177"/>
    </row>
    <row r="23" spans="1:7" x14ac:dyDescent="0.25">
      <c r="A23" s="1177"/>
      <c r="B23" s="1256" t="s">
        <v>66</v>
      </c>
      <c r="C23" s="1256"/>
      <c r="D23" s="1256"/>
      <c r="E23" s="1257">
        <f>RESUMEN!S83</f>
        <v>2028333</v>
      </c>
      <c r="F23" s="1257"/>
      <c r="G23" s="1177"/>
    </row>
    <row r="24" spans="1:7" x14ac:dyDescent="0.25">
      <c r="A24" s="1177"/>
      <c r="B24" s="1258" t="s">
        <v>1</v>
      </c>
      <c r="C24" s="1258"/>
      <c r="D24" s="1258"/>
      <c r="E24" s="1259">
        <f>RESUMEN!T83</f>
        <v>12703772</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+'OT17-333 CONCORDIA'!W44</f>
        <v>ACTA 1</v>
      </c>
      <c r="C28" s="1253">
        <f>+'OT17-333 CONCORDIA'!X44</f>
        <v>5221201</v>
      </c>
      <c r="D28" s="1253"/>
      <c r="E28" s="267">
        <f>+'OT17-333 CONCORDIA'!Y44</f>
        <v>8.1773556142268541E-2</v>
      </c>
      <c r="F28" s="1177"/>
      <c r="G28" s="1177"/>
    </row>
    <row r="29" spans="1:7" x14ac:dyDescent="0.25">
      <c r="A29" s="1177"/>
      <c r="B29" s="280" t="str">
        <f>+'OT17-333 CONCORDIA'!W45</f>
        <v>ACTA 2</v>
      </c>
      <c r="C29" s="1253">
        <f>+'OT17-333 CONCORDIA'!X45</f>
        <v>12672226</v>
      </c>
      <c r="D29" s="1253"/>
      <c r="E29" s="267">
        <f>+'OT17-333 CONCORDIA'!Y45</f>
        <v>0.19847023400526337</v>
      </c>
      <c r="F29" s="1177"/>
      <c r="G29" s="1177"/>
    </row>
    <row r="30" spans="1:7" x14ac:dyDescent="0.25">
      <c r="A30" s="1177"/>
      <c r="B30" s="280" t="str">
        <f>+'OT17-333 CONCORDIA'!W46</f>
        <v>ACTA 3</v>
      </c>
      <c r="C30" s="1253">
        <f>+'OT17-333 CONCORDIA'!X46</f>
        <v>8022266</v>
      </c>
      <c r="D30" s="1253"/>
      <c r="E30" s="267">
        <f>+'OT17-333 CONCORDIA'!Y46</f>
        <v>0.12564335660305206</v>
      </c>
      <c r="F30" s="1177"/>
      <c r="G30" s="1177"/>
    </row>
    <row r="31" spans="1:7" x14ac:dyDescent="0.25">
      <c r="A31" s="1177"/>
      <c r="B31" s="280" t="str">
        <f>+'OT17-333 CONCORDIA'!W47</f>
        <v>ACTA 4</v>
      </c>
      <c r="C31" s="1253">
        <f>+'OT17-333 CONCORDIA'!X47</f>
        <v>28465744</v>
      </c>
      <c r="D31" s="1253"/>
      <c r="E31" s="267">
        <f>+'OT17-333 CONCORDIA'!Y47</f>
        <v>0.44582560891937389</v>
      </c>
      <c r="F31" s="1177"/>
      <c r="G31" s="1177"/>
    </row>
    <row r="32" spans="1:7" x14ac:dyDescent="0.25">
      <c r="A32" s="1177"/>
      <c r="B32" s="280" t="str">
        <f>+'OT17-333 CONCORDIA'!W48</f>
        <v>ACTA 5</v>
      </c>
      <c r="C32" s="1253">
        <f>+'OT17-333 CONCORDIA'!X48</f>
        <v>10675439</v>
      </c>
      <c r="D32" s="1253"/>
      <c r="E32" s="267">
        <f>+'OT17-333 CONCORDIA'!Y48</f>
        <v>0.16719689788036568</v>
      </c>
      <c r="F32" s="1177"/>
      <c r="G32" s="1177"/>
    </row>
    <row r="33" spans="1:7" x14ac:dyDescent="0.25">
      <c r="A33" s="1177"/>
      <c r="B33" s="280"/>
      <c r="C33" s="1253"/>
      <c r="D33" s="1253"/>
      <c r="E33" s="267"/>
      <c r="F33" s="1177"/>
      <c r="G33" s="1177"/>
    </row>
    <row r="34" spans="1:7" x14ac:dyDescent="0.25">
      <c r="A34" s="1177"/>
      <c r="B34" s="263" t="s">
        <v>1</v>
      </c>
      <c r="C34" s="1251">
        <f>SUM(C28:D33)</f>
        <v>65056876</v>
      </c>
      <c r="D34" s="1251"/>
      <c r="E34" s="264">
        <f>SUM(E28:E33)</f>
        <v>1.0189096535503237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RESUMEN!V83</f>
        <v xml:space="preserve">Ing. Diana García </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8:C48"/>
    <mergeCell ref="E48:G48"/>
    <mergeCell ref="A49:C49"/>
    <mergeCell ref="E49:G49"/>
    <mergeCell ref="A41:C41"/>
    <mergeCell ref="E41:G41"/>
    <mergeCell ref="A42:C42"/>
    <mergeCell ref="E42:G42"/>
    <mergeCell ref="A47:C47"/>
    <mergeCell ref="E47:G47"/>
    <mergeCell ref="C31:D31"/>
    <mergeCell ref="C33:D33"/>
    <mergeCell ref="C34:D34"/>
    <mergeCell ref="A36:G36"/>
    <mergeCell ref="A40:C40"/>
    <mergeCell ref="E40:G40"/>
    <mergeCell ref="C32:D32"/>
    <mergeCell ref="C30:D30"/>
    <mergeCell ref="B21:D21"/>
    <mergeCell ref="E21:F21"/>
    <mergeCell ref="B22:D22"/>
    <mergeCell ref="E22:F22"/>
    <mergeCell ref="B23:D23"/>
    <mergeCell ref="E23:F23"/>
    <mergeCell ref="B24:D24"/>
    <mergeCell ref="E24:F24"/>
    <mergeCell ref="C27:D27"/>
    <mergeCell ref="C28:D28"/>
    <mergeCell ref="C29:D29"/>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6" orientation="portrait" r:id="rId1"/>
  <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46">
    <tabColor rgb="FF72104A"/>
  </sheetPr>
  <dimension ref="A1:AB55"/>
  <sheetViews>
    <sheetView topLeftCell="D29" zoomScale="70" zoomScaleNormal="70" workbookViewId="0">
      <selection activeCell="AB39" sqref="AB39"/>
    </sheetView>
  </sheetViews>
  <sheetFormatPr baseColWidth="10" defaultColWidth="9.109375" defaultRowHeight="14.4" x14ac:dyDescent="0.3"/>
  <cols>
    <col min="1" max="1" width="26" style="302" customWidth="1"/>
    <col min="2" max="2" width="22.6640625" style="302" customWidth="1"/>
    <col min="3" max="3" width="41.5546875" style="302" customWidth="1"/>
    <col min="4" max="4" width="22.33203125" style="302" bestFit="1" customWidth="1"/>
    <col min="5" max="5" width="13" style="302" customWidth="1"/>
    <col min="6" max="6" width="17.88671875" style="302" bestFit="1" customWidth="1"/>
    <col min="7" max="7" width="17.88671875" style="849" customWidth="1"/>
    <col min="8" max="8" width="18" style="302" bestFit="1" customWidth="1"/>
    <col min="9" max="9" width="18" style="849" customWidth="1"/>
    <col min="10" max="10" width="28.6640625" style="302" customWidth="1"/>
    <col min="11" max="11" width="17.88671875" style="302" hidden="1" customWidth="1"/>
    <col min="12" max="12" width="18" style="302" hidden="1" customWidth="1"/>
    <col min="13" max="13" width="9.109375" style="302" hidden="1" customWidth="1"/>
    <col min="14" max="14" width="17.88671875" style="302" hidden="1" customWidth="1"/>
    <col min="15" max="15" width="18" style="302" hidden="1" customWidth="1"/>
    <col min="16" max="16" width="12.33203125" style="302" hidden="1" customWidth="1"/>
    <col min="17" max="17" width="17.88671875" style="302" hidden="1" customWidth="1"/>
    <col min="18" max="18" width="18" style="302" hidden="1" customWidth="1"/>
    <col min="19" max="19" width="12.33203125" style="302" hidden="1" customWidth="1"/>
    <col min="20" max="20" width="17.88671875" style="602" hidden="1" customWidth="1"/>
    <col min="21" max="21" width="18" style="602" hidden="1" customWidth="1"/>
    <col min="22" max="22" width="12.33203125" style="607" hidden="1" customWidth="1"/>
    <col min="23" max="23" width="17.88671875" style="849" customWidth="1"/>
    <col min="24" max="24" width="18" style="849" bestFit="1" customWidth="1"/>
    <col min="25" max="25" width="12.33203125" style="607" bestFit="1" customWidth="1"/>
    <col min="26" max="26" width="17.88671875" style="302" bestFit="1" customWidth="1"/>
    <col min="27" max="27" width="18" style="302" bestFit="1" customWidth="1"/>
    <col min="28" max="28" width="10.6640625" style="302" customWidth="1"/>
    <col min="29" max="16384" width="9.109375" style="302"/>
  </cols>
  <sheetData>
    <row r="1" spans="1:28" ht="22.5" customHeight="1" thickBot="1" x14ac:dyDescent="0.35">
      <c r="A1" s="169"/>
      <c r="B1" s="188"/>
      <c r="C1" s="1307" t="s">
        <v>40</v>
      </c>
      <c r="D1" s="1308"/>
      <c r="E1" s="1308"/>
      <c r="F1" s="1308"/>
      <c r="G1" s="1308"/>
      <c r="H1" s="1308"/>
      <c r="I1" s="1308"/>
      <c r="J1" s="1308"/>
      <c r="K1" s="1308"/>
      <c r="L1" s="1308"/>
      <c r="M1" s="1308"/>
      <c r="N1" s="1308"/>
      <c r="O1" s="1308"/>
      <c r="P1" s="1308"/>
      <c r="Q1" s="1308"/>
      <c r="R1" s="1308"/>
      <c r="S1" s="1309"/>
      <c r="T1" s="600"/>
      <c r="U1" s="600"/>
      <c r="V1" s="605"/>
      <c r="W1" s="846"/>
      <c r="X1" s="846"/>
      <c r="Y1" s="605"/>
      <c r="Z1" s="1328" t="s">
        <v>1060</v>
      </c>
      <c r="AA1" s="1303"/>
      <c r="AB1" s="1304"/>
    </row>
    <row r="2" spans="1:28" ht="13.5" customHeight="1" thickBot="1" x14ac:dyDescent="0.35">
      <c r="A2" s="170"/>
      <c r="B2" s="190"/>
      <c r="C2" s="1310"/>
      <c r="D2" s="1311"/>
      <c r="E2" s="1311"/>
      <c r="F2" s="1311"/>
      <c r="G2" s="1311"/>
      <c r="H2" s="1311"/>
      <c r="I2" s="1311"/>
      <c r="J2" s="1311"/>
      <c r="K2" s="1311"/>
      <c r="L2" s="1311"/>
      <c r="M2" s="1311"/>
      <c r="N2" s="1311"/>
      <c r="O2" s="1311"/>
      <c r="P2" s="1311"/>
      <c r="Q2" s="1311"/>
      <c r="R2" s="1311"/>
      <c r="S2" s="1312"/>
      <c r="T2" s="601"/>
      <c r="U2" s="601"/>
      <c r="V2" s="606"/>
      <c r="W2" s="847"/>
      <c r="X2" s="847"/>
      <c r="Y2" s="606"/>
      <c r="Z2" s="1329" t="s">
        <v>41</v>
      </c>
      <c r="AA2" s="1305"/>
      <c r="AB2" s="1306"/>
    </row>
    <row r="3" spans="1:28"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x14ac:dyDescent="0.3">
      <c r="A7" s="1291" t="s">
        <v>1206</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ht="13.5" customHeight="1" x14ac:dyDescent="0.3">
      <c r="A8" s="1292" t="s">
        <v>2093</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ht="13.5" customHeight="1" x14ac:dyDescent="0.3">
      <c r="A9" s="1292" t="s">
        <v>2087</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ht="13.5" customHeight="1" x14ac:dyDescent="0.3">
      <c r="A10" s="1292" t="s">
        <v>1207</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ht="13.5" customHeight="1" x14ac:dyDescent="0.3">
      <c r="A11" s="392"/>
      <c r="B11" s="1301"/>
      <c r="C11" s="1313"/>
      <c r="D11" s="1313"/>
      <c r="E11" s="1313"/>
      <c r="F11" s="1313"/>
      <c r="G11" s="1313"/>
      <c r="H11" s="1313"/>
      <c r="I11" s="1313"/>
      <c r="J11" s="1313"/>
      <c r="K11" s="1293" t="s">
        <v>986</v>
      </c>
      <c r="L11" s="1294"/>
      <c r="M11" s="1295"/>
      <c r="N11" s="1293" t="s">
        <v>1407</v>
      </c>
      <c r="O11" s="1294"/>
      <c r="P11" s="1295"/>
      <c r="Q11" s="1293" t="s">
        <v>1431</v>
      </c>
      <c r="R11" s="1294"/>
      <c r="S11" s="1295"/>
      <c r="T11" s="1293" t="s">
        <v>1723</v>
      </c>
      <c r="U11" s="1294"/>
      <c r="V11" s="1295"/>
      <c r="W11" s="1293" t="s">
        <v>2097</v>
      </c>
      <c r="X11" s="1294"/>
      <c r="Y11" s="1295"/>
      <c r="Z11" s="1299" t="s">
        <v>49</v>
      </c>
      <c r="AA11" s="1299"/>
      <c r="AB11" s="1299"/>
    </row>
    <row r="12" spans="1:28"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25"/>
      <c r="U12" s="1326"/>
      <c r="V12" s="1327"/>
      <c r="W12" s="1325"/>
      <c r="X12" s="1326"/>
      <c r="Y12" s="1327"/>
      <c r="Z12" s="1300"/>
      <c r="AA12" s="1300"/>
      <c r="AB12" s="1300"/>
    </row>
    <row r="13" spans="1:28" ht="28.8" x14ac:dyDescent="0.3">
      <c r="A13" s="159" t="s">
        <v>50</v>
      </c>
      <c r="B13" s="159" t="s">
        <v>51</v>
      </c>
      <c r="C13" s="159" t="s">
        <v>52</v>
      </c>
      <c r="D13" s="159" t="s">
        <v>164</v>
      </c>
      <c r="E13" s="159" t="s">
        <v>54</v>
      </c>
      <c r="F13" s="141" t="s">
        <v>55</v>
      </c>
      <c r="G13" s="821" t="s">
        <v>2007</v>
      </c>
      <c r="H13" s="159" t="s">
        <v>56</v>
      </c>
      <c r="I13" s="822" t="s">
        <v>56</v>
      </c>
      <c r="J13" s="159" t="s">
        <v>57</v>
      </c>
      <c r="K13" s="28" t="s">
        <v>54</v>
      </c>
      <c r="L13" s="28" t="s">
        <v>56</v>
      </c>
      <c r="M13" s="28" t="s">
        <v>58</v>
      </c>
      <c r="N13" s="28" t="s">
        <v>54</v>
      </c>
      <c r="O13" s="28" t="s">
        <v>56</v>
      </c>
      <c r="P13" s="28" t="s">
        <v>58</v>
      </c>
      <c r="Q13" s="28" t="s">
        <v>54</v>
      </c>
      <c r="R13" s="28" t="s">
        <v>56</v>
      </c>
      <c r="S13" s="28" t="s">
        <v>58</v>
      </c>
      <c r="T13" s="28" t="s">
        <v>54</v>
      </c>
      <c r="U13" s="28" t="s">
        <v>56</v>
      </c>
      <c r="V13" s="518" t="s">
        <v>58</v>
      </c>
      <c r="W13" s="28" t="s">
        <v>54</v>
      </c>
      <c r="X13" s="28" t="s">
        <v>56</v>
      </c>
      <c r="Y13" s="518" t="s">
        <v>58</v>
      </c>
      <c r="Z13" s="174" t="s">
        <v>54</v>
      </c>
      <c r="AA13" s="172" t="s">
        <v>56</v>
      </c>
      <c r="AB13" s="28" t="s">
        <v>58</v>
      </c>
    </row>
    <row r="14" spans="1:28" ht="30" customHeight="1" x14ac:dyDescent="0.3">
      <c r="A14" s="1289" t="s">
        <v>1187</v>
      </c>
      <c r="B14" s="1289" t="s">
        <v>1188</v>
      </c>
      <c r="C14" s="391" t="s">
        <v>81</v>
      </c>
      <c r="D14" s="391" t="s">
        <v>1189</v>
      </c>
      <c r="E14" s="391">
        <v>0</v>
      </c>
      <c r="F14" s="32">
        <v>5536688</v>
      </c>
      <c r="G14" s="32">
        <f>+ROUND(F14*1.051,0)</f>
        <v>5819059</v>
      </c>
      <c r="H14" s="32">
        <f>ROUND((E14*F14),0)</f>
        <v>0</v>
      </c>
      <c r="I14" s="32">
        <f t="shared" ref="I14:I16" si="0">+ROUND(G14*E14,0)</f>
        <v>0</v>
      </c>
      <c r="J14" s="1290" t="s">
        <v>1190</v>
      </c>
      <c r="K14" s="158">
        <v>0</v>
      </c>
      <c r="L14" s="194">
        <f>ROUND(K14*$F$14,0)</f>
        <v>0</v>
      </c>
      <c r="M14" s="195">
        <v>0</v>
      </c>
      <c r="N14" s="432">
        <v>0</v>
      </c>
      <c r="O14" s="425">
        <f>ROUND(N14*$F$14,0)</f>
        <v>0</v>
      </c>
      <c r="P14" s="426">
        <v>0</v>
      </c>
      <c r="Q14" s="432">
        <v>0</v>
      </c>
      <c r="R14" s="425">
        <f>ROUND(Q14*$F$14,0)</f>
        <v>0</v>
      </c>
      <c r="S14" s="426">
        <v>0</v>
      </c>
      <c r="T14" s="432">
        <v>0</v>
      </c>
      <c r="U14" s="425">
        <f>ROUND(T14*F14,0)</f>
        <v>0</v>
      </c>
      <c r="V14" s="604">
        <v>0</v>
      </c>
      <c r="W14" s="432">
        <v>0</v>
      </c>
      <c r="X14" s="425">
        <f>ROUND(W14*I14,0)</f>
        <v>0</v>
      </c>
      <c r="Y14" s="604">
        <v>0</v>
      </c>
      <c r="Z14" s="149">
        <f>K14+N14+Q14+T14+W14</f>
        <v>0</v>
      </c>
      <c r="AA14" s="175">
        <f>L14+O14+R14+U14+X14</f>
        <v>0</v>
      </c>
      <c r="AB14" s="176">
        <v>0</v>
      </c>
    </row>
    <row r="15" spans="1:28" ht="30" customHeight="1" x14ac:dyDescent="0.3">
      <c r="A15" s="1289"/>
      <c r="B15" s="1289"/>
      <c r="C15" s="391" t="s">
        <v>83</v>
      </c>
      <c r="D15" s="391" t="s">
        <v>1191</v>
      </c>
      <c r="E15" s="391">
        <v>0</v>
      </c>
      <c r="F15" s="32">
        <v>8566197</v>
      </c>
      <c r="G15" s="32">
        <f t="shared" ref="G15:G33" si="1">+ROUND(F15*1.051,0)</f>
        <v>9003073</v>
      </c>
      <c r="H15" s="32">
        <f>ROUND((E15*F15),0)</f>
        <v>0</v>
      </c>
      <c r="I15" s="32">
        <f t="shared" si="0"/>
        <v>0</v>
      </c>
      <c r="J15" s="1289"/>
      <c r="K15" s="158">
        <v>0</v>
      </c>
      <c r="L15" s="194">
        <f>ROUND(K15*$F$15,0)</f>
        <v>0</v>
      </c>
      <c r="M15" s="195">
        <v>0</v>
      </c>
      <c r="N15" s="432">
        <v>0</v>
      </c>
      <c r="O15" s="425">
        <f>ROUND(N15*$F$15,0)</f>
        <v>0</v>
      </c>
      <c r="P15" s="426">
        <v>0</v>
      </c>
      <c r="Q15" s="432">
        <v>0</v>
      </c>
      <c r="R15" s="425">
        <f>ROUND(Q15*$F$15,0)</f>
        <v>0</v>
      </c>
      <c r="S15" s="426">
        <v>0</v>
      </c>
      <c r="T15" s="432">
        <v>0</v>
      </c>
      <c r="U15" s="425">
        <f t="shared" ref="U15:U16" si="2">ROUND(T15*F15,0)</f>
        <v>0</v>
      </c>
      <c r="V15" s="604">
        <v>0</v>
      </c>
      <c r="W15" s="432">
        <v>0</v>
      </c>
      <c r="X15" s="425">
        <f t="shared" ref="X15:X16" si="3">ROUND(W15*I15,0)</f>
        <v>0</v>
      </c>
      <c r="Y15" s="604">
        <v>0</v>
      </c>
      <c r="Z15" s="416">
        <f t="shared" ref="Z15:Z16" si="4">K15+N15+Q15+T15+W15</f>
        <v>0</v>
      </c>
      <c r="AA15" s="175">
        <f t="shared" ref="AA15:AA16" si="5">L15+O15+R15+U15+X15</f>
        <v>0</v>
      </c>
      <c r="AB15" s="176">
        <v>0</v>
      </c>
    </row>
    <row r="16" spans="1:28" ht="30" customHeight="1" x14ac:dyDescent="0.3">
      <c r="A16" s="1289"/>
      <c r="B16" s="1289"/>
      <c r="C16" s="391" t="s">
        <v>61</v>
      </c>
      <c r="D16" s="391" t="s">
        <v>1192</v>
      </c>
      <c r="E16" s="391">
        <v>0.7</v>
      </c>
      <c r="F16" s="32">
        <v>16366311</v>
      </c>
      <c r="G16" s="32">
        <f t="shared" si="1"/>
        <v>17200993</v>
      </c>
      <c r="H16" s="32">
        <f>ROUND((E16*F16),0)</f>
        <v>11456418</v>
      </c>
      <c r="I16" s="32">
        <f t="shared" si="0"/>
        <v>12040695</v>
      </c>
      <c r="J16" s="1289"/>
      <c r="K16" s="158">
        <v>0</v>
      </c>
      <c r="L16" s="194">
        <f>ROUND(K16*$F$16,0)</f>
        <v>0</v>
      </c>
      <c r="M16" s="195">
        <f>L16/$H$16</f>
        <v>0</v>
      </c>
      <c r="N16" s="432">
        <v>0</v>
      </c>
      <c r="O16" s="425">
        <f>ROUND(N16*$F$16,0)</f>
        <v>0</v>
      </c>
      <c r="P16" s="426">
        <f>O16/$H$16</f>
        <v>0</v>
      </c>
      <c r="Q16" s="433">
        <f>0.7*50%</f>
        <v>0.35</v>
      </c>
      <c r="R16" s="429">
        <f>ROUND(Q16*$F$16,0)</f>
        <v>5728209</v>
      </c>
      <c r="S16" s="430">
        <f>R16/$H$16</f>
        <v>0.5</v>
      </c>
      <c r="T16" s="433">
        <v>0.35</v>
      </c>
      <c r="U16" s="429">
        <f t="shared" si="2"/>
        <v>5728209</v>
      </c>
      <c r="V16" s="534">
        <f t="shared" ref="V16" si="6">+U16/H16</f>
        <v>0.5</v>
      </c>
      <c r="W16" s="432">
        <v>0</v>
      </c>
      <c r="X16" s="425">
        <f t="shared" si="3"/>
        <v>0</v>
      </c>
      <c r="Y16" s="604">
        <f>+X16/H16</f>
        <v>0</v>
      </c>
      <c r="Z16" s="416">
        <f t="shared" si="4"/>
        <v>0.7</v>
      </c>
      <c r="AA16" s="175">
        <f t="shared" si="5"/>
        <v>11456418</v>
      </c>
      <c r="AB16" s="176">
        <f>AA16/H16</f>
        <v>1</v>
      </c>
    </row>
    <row r="17" spans="1:28" x14ac:dyDescent="0.3">
      <c r="A17" s="1289"/>
      <c r="B17" s="1289"/>
      <c r="C17" s="377"/>
      <c r="D17" s="377" t="s">
        <v>215</v>
      </c>
      <c r="E17" s="378"/>
      <c r="F17" s="378"/>
      <c r="G17" s="378"/>
      <c r="H17" s="379">
        <f>SUM(H14:H16)</f>
        <v>11456418</v>
      </c>
      <c r="I17" s="379">
        <f>SUM(I14:I16)</f>
        <v>12040695</v>
      </c>
      <c r="J17" s="1289"/>
      <c r="K17" s="308"/>
      <c r="L17" s="179">
        <f>SUM(L14:L16)</f>
        <v>0</v>
      </c>
      <c r="M17" s="308">
        <f>L17/H17</f>
        <v>0</v>
      </c>
      <c r="N17" s="431"/>
      <c r="O17" s="179">
        <f>SUM(O14:O16)</f>
        <v>0</v>
      </c>
      <c r="P17" s="431">
        <f>O17/$H$17</f>
        <v>0</v>
      </c>
      <c r="Q17" s="431"/>
      <c r="R17" s="179">
        <f>SUM(R14:R16)</f>
        <v>5728209</v>
      </c>
      <c r="S17" s="431">
        <f>R17/$H$17</f>
        <v>0.5</v>
      </c>
      <c r="T17" s="431"/>
      <c r="U17" s="179">
        <f>SUM(U14:U16)</f>
        <v>5728209</v>
      </c>
      <c r="V17" s="519">
        <f>U17/$H$17</f>
        <v>0.5</v>
      </c>
      <c r="W17" s="431"/>
      <c r="X17" s="179">
        <f>SUM(X14:X16)</f>
        <v>0</v>
      </c>
      <c r="Y17" s="519">
        <f>X17/$H$17</f>
        <v>0</v>
      </c>
      <c r="Z17" s="306"/>
      <c r="AA17" s="307">
        <f>SUM(AA14:AA16)</f>
        <v>11456418</v>
      </c>
      <c r="AB17" s="308">
        <f>AA17/H17</f>
        <v>1</v>
      </c>
    </row>
    <row r="18" spans="1:28" ht="30" customHeight="1" x14ac:dyDescent="0.3">
      <c r="A18" s="1289" t="s">
        <v>1193</v>
      </c>
      <c r="B18" s="1289" t="s">
        <v>1194</v>
      </c>
      <c r="C18" s="391" t="s">
        <v>83</v>
      </c>
      <c r="D18" s="391" t="s">
        <v>191</v>
      </c>
      <c r="E18" s="391">
        <v>0</v>
      </c>
      <c r="F18" s="32">
        <v>2228604</v>
      </c>
      <c r="G18" s="32">
        <f t="shared" si="1"/>
        <v>2342263</v>
      </c>
      <c r="H18" s="32">
        <f>ROUND((E18*F18),0)</f>
        <v>0</v>
      </c>
      <c r="I18" s="32">
        <f t="shared" ref="I18:I19" si="7">+ROUND(G18*E18,0)</f>
        <v>0</v>
      </c>
      <c r="J18" s="1289" t="s">
        <v>1195</v>
      </c>
      <c r="K18" s="158">
        <v>0</v>
      </c>
      <c r="L18" s="194">
        <f>ROUND(K18*$F$18,0)</f>
        <v>0</v>
      </c>
      <c r="M18" s="195">
        <v>0</v>
      </c>
      <c r="N18" s="432">
        <v>0</v>
      </c>
      <c r="O18" s="425">
        <f>ROUND(N18*$F$18,0)</f>
        <v>0</v>
      </c>
      <c r="P18" s="426">
        <v>0</v>
      </c>
      <c r="Q18" s="432">
        <v>0</v>
      </c>
      <c r="R18" s="425">
        <f>ROUND(Q18*$F$18,0)</f>
        <v>0</v>
      </c>
      <c r="S18" s="426">
        <v>0</v>
      </c>
      <c r="T18" s="432">
        <v>0</v>
      </c>
      <c r="U18" s="425">
        <f t="shared" ref="U18:U19" si="8">ROUND(T18*F18,0)</f>
        <v>0</v>
      </c>
      <c r="V18" s="604">
        <v>0</v>
      </c>
      <c r="W18" s="432">
        <v>0</v>
      </c>
      <c r="X18" s="425">
        <f t="shared" ref="X18:X19" si="9">ROUND(W18*I18,0)</f>
        <v>0</v>
      </c>
      <c r="Y18" s="604">
        <v>0</v>
      </c>
      <c r="Z18" s="416">
        <f t="shared" ref="Z18:Z19" si="10">K18+N18+Q18+T18+W18</f>
        <v>0</v>
      </c>
      <c r="AA18" s="175">
        <f t="shared" ref="AA18:AA19" si="11">L18+O18+R18+U18+X18</f>
        <v>0</v>
      </c>
      <c r="AB18" s="176">
        <v>0</v>
      </c>
    </row>
    <row r="19" spans="1:28" ht="30" customHeight="1" x14ac:dyDescent="0.3">
      <c r="A19" s="1289"/>
      <c r="B19" s="1289"/>
      <c r="C19" s="391" t="s">
        <v>61</v>
      </c>
      <c r="D19" s="391" t="s">
        <v>192</v>
      </c>
      <c r="E19" s="391">
        <v>1</v>
      </c>
      <c r="F19" s="32">
        <v>17585079</v>
      </c>
      <c r="G19" s="32">
        <f t="shared" si="1"/>
        <v>18481918</v>
      </c>
      <c r="H19" s="32">
        <f>ROUND((E19*F19),0)</f>
        <v>17585079</v>
      </c>
      <c r="I19" s="32">
        <f t="shared" si="7"/>
        <v>18481918</v>
      </c>
      <c r="J19" s="1289"/>
      <c r="K19" s="158">
        <v>0</v>
      </c>
      <c r="L19" s="194">
        <f>ROUND(K19*$F$19,0)</f>
        <v>0</v>
      </c>
      <c r="M19" s="195">
        <f>L19/$H$19</f>
        <v>0</v>
      </c>
      <c r="N19" s="433">
        <v>0.3</v>
      </c>
      <c r="O19" s="429">
        <f>ROUND(N19*$F$19,0)</f>
        <v>5275524</v>
      </c>
      <c r="P19" s="430">
        <f>O19/$H$19</f>
        <v>0.30000001705991769</v>
      </c>
      <c r="Q19" s="432">
        <v>0</v>
      </c>
      <c r="R19" s="425">
        <f>ROUND(Q19*$F$19,0)</f>
        <v>0</v>
      </c>
      <c r="S19" s="426">
        <f>R19/$H$19</f>
        <v>0</v>
      </c>
      <c r="T19" s="433">
        <v>0.7</v>
      </c>
      <c r="U19" s="429">
        <f t="shared" si="8"/>
        <v>12309555</v>
      </c>
      <c r="V19" s="534">
        <f t="shared" ref="V19" si="12">+U19/H19</f>
        <v>0.69999998294008237</v>
      </c>
      <c r="W19" s="432">
        <v>0</v>
      </c>
      <c r="X19" s="425">
        <f t="shared" si="9"/>
        <v>0</v>
      </c>
      <c r="Y19" s="604">
        <f>+X19/H19</f>
        <v>0</v>
      </c>
      <c r="Z19" s="416">
        <f t="shared" si="10"/>
        <v>1</v>
      </c>
      <c r="AA19" s="175">
        <f t="shared" si="11"/>
        <v>17585079</v>
      </c>
      <c r="AB19" s="176">
        <f t="shared" ref="AB19:AB34" si="13">AA19/H19</f>
        <v>1</v>
      </c>
    </row>
    <row r="20" spans="1:28" ht="15" customHeight="1" x14ac:dyDescent="0.3">
      <c r="A20" s="1289"/>
      <c r="B20" s="1289"/>
      <c r="C20" s="377"/>
      <c r="D20" s="377" t="s">
        <v>193</v>
      </c>
      <c r="E20" s="378"/>
      <c r="F20" s="378"/>
      <c r="G20" s="378"/>
      <c r="H20" s="379">
        <f>SUM(H18:H19)</f>
        <v>17585079</v>
      </c>
      <c r="I20" s="379">
        <f>SUM(I18:I19)</f>
        <v>18481918</v>
      </c>
      <c r="J20" s="1289"/>
      <c r="K20" s="308"/>
      <c r="L20" s="179">
        <f>SUM(L18:L19)</f>
        <v>0</v>
      </c>
      <c r="M20" s="308">
        <f>L20/H20</f>
        <v>0</v>
      </c>
      <c r="N20" s="431"/>
      <c r="O20" s="179">
        <f>SUM(O18:O19)</f>
        <v>5275524</v>
      </c>
      <c r="P20" s="431">
        <f>O20/$H$20</f>
        <v>0.30000001705991769</v>
      </c>
      <c r="Q20" s="431"/>
      <c r="R20" s="179">
        <f>SUM(R18:R19)</f>
        <v>0</v>
      </c>
      <c r="S20" s="431">
        <f>R20/$H$20</f>
        <v>0</v>
      </c>
      <c r="T20" s="431"/>
      <c r="U20" s="179">
        <f>SUM(U18:U19)</f>
        <v>12309555</v>
      </c>
      <c r="V20" s="519">
        <f>U20/$H$20</f>
        <v>0.69999998294008237</v>
      </c>
      <c r="W20" s="431"/>
      <c r="X20" s="179">
        <f>SUM(X18:X19)</f>
        <v>0</v>
      </c>
      <c r="Y20" s="519">
        <f>X20/$H$20</f>
        <v>0</v>
      </c>
      <c r="Z20" s="306"/>
      <c r="AA20" s="307">
        <f>SUM(AA18:AA19)</f>
        <v>17585079</v>
      </c>
      <c r="AB20" s="308">
        <f>AA20/H20</f>
        <v>1</v>
      </c>
    </row>
    <row r="21" spans="1:28" ht="30" customHeight="1" x14ac:dyDescent="0.3">
      <c r="A21" s="1289" t="s">
        <v>1196</v>
      </c>
      <c r="B21" s="1289" t="s">
        <v>1197</v>
      </c>
      <c r="C21" s="391" t="s">
        <v>61</v>
      </c>
      <c r="D21" s="391" t="s">
        <v>774</v>
      </c>
      <c r="E21" s="391">
        <v>0.42</v>
      </c>
      <c r="F21" s="32">
        <v>12431432</v>
      </c>
      <c r="G21" s="32">
        <f t="shared" si="1"/>
        <v>13065435</v>
      </c>
      <c r="H21" s="32">
        <f>ROUND((E21*F21),0)</f>
        <v>5221201</v>
      </c>
      <c r="I21" s="32">
        <f>+ROUND(G21*E21,0)</f>
        <v>5487483</v>
      </c>
      <c r="J21" s="1289" t="s">
        <v>1198</v>
      </c>
      <c r="K21" s="158">
        <v>0</v>
      </c>
      <c r="L21" s="194">
        <f>ROUND(K21*$F$21,0)</f>
        <v>0</v>
      </c>
      <c r="M21" s="195">
        <f>L21/$H$21</f>
        <v>0</v>
      </c>
      <c r="N21" s="433">
        <v>0.42</v>
      </c>
      <c r="O21" s="429">
        <f>ROUND(N21*$F$21,0)</f>
        <v>5221201</v>
      </c>
      <c r="P21" s="430">
        <f>O21/$H$21</f>
        <v>1</v>
      </c>
      <c r="Q21" s="432">
        <v>0</v>
      </c>
      <c r="R21" s="425">
        <f>ROUND(Q21*$F$21,0)</f>
        <v>0</v>
      </c>
      <c r="S21" s="426">
        <f>R21/$H$21</f>
        <v>0</v>
      </c>
      <c r="T21" s="432">
        <v>0</v>
      </c>
      <c r="U21" s="425">
        <f>ROUND(T21*F21,0)</f>
        <v>0</v>
      </c>
      <c r="V21" s="604">
        <f>+U21/H21</f>
        <v>0</v>
      </c>
      <c r="W21" s="432">
        <v>0</v>
      </c>
      <c r="X21" s="425">
        <f>ROUND(W21*I21,0)</f>
        <v>0</v>
      </c>
      <c r="Y21" s="604">
        <f>+X21/H21</f>
        <v>0</v>
      </c>
      <c r="Z21" s="416">
        <f>K21+N21+Q21+T21+W21</f>
        <v>0.42</v>
      </c>
      <c r="AA21" s="175">
        <f>L21+O21+R21+U21+X21</f>
        <v>5221201</v>
      </c>
      <c r="AB21" s="176">
        <f t="shared" si="13"/>
        <v>1</v>
      </c>
    </row>
    <row r="22" spans="1:28" ht="15" customHeight="1" x14ac:dyDescent="0.3">
      <c r="A22" s="1289"/>
      <c r="B22" s="1289"/>
      <c r="C22" s="377"/>
      <c r="D22" s="377" t="s">
        <v>776</v>
      </c>
      <c r="E22" s="378"/>
      <c r="F22" s="378"/>
      <c r="G22" s="378"/>
      <c r="H22" s="379">
        <f>H21</f>
        <v>5221201</v>
      </c>
      <c r="I22" s="379">
        <f>SUM(I21)</f>
        <v>5487483</v>
      </c>
      <c r="J22" s="1289"/>
      <c r="K22" s="308"/>
      <c r="L22" s="179">
        <f>SUM(L21)</f>
        <v>0</v>
      </c>
      <c r="M22" s="308">
        <f>L22/H22</f>
        <v>0</v>
      </c>
      <c r="N22" s="431"/>
      <c r="O22" s="179">
        <f>SUM(O21)</f>
        <v>5221201</v>
      </c>
      <c r="P22" s="431">
        <f>O22/$H$22</f>
        <v>1</v>
      </c>
      <c r="Q22" s="431"/>
      <c r="R22" s="179">
        <f>SUM(R21)</f>
        <v>0</v>
      </c>
      <c r="S22" s="431">
        <f>R22/$H$22</f>
        <v>0</v>
      </c>
      <c r="T22" s="431"/>
      <c r="U22" s="179">
        <f>SUM(U21)</f>
        <v>0</v>
      </c>
      <c r="V22" s="519">
        <f>U22/$H$22</f>
        <v>0</v>
      </c>
      <c r="W22" s="431"/>
      <c r="X22" s="179">
        <f>SUM(X21)</f>
        <v>0</v>
      </c>
      <c r="Y22" s="519">
        <f>X22/$H$22</f>
        <v>0</v>
      </c>
      <c r="Z22" s="306"/>
      <c r="AA22" s="307">
        <f>SUM(AA21)</f>
        <v>5221201</v>
      </c>
      <c r="AB22" s="308">
        <f t="shared" si="13"/>
        <v>1</v>
      </c>
    </row>
    <row r="23" spans="1:28" ht="30" customHeight="1" x14ac:dyDescent="0.3">
      <c r="A23" s="1289" t="s">
        <v>1199</v>
      </c>
      <c r="B23" s="1289" t="s">
        <v>1197</v>
      </c>
      <c r="C23" s="391" t="s">
        <v>61</v>
      </c>
      <c r="D23" s="391" t="s">
        <v>774</v>
      </c>
      <c r="E23" s="391">
        <v>0.42</v>
      </c>
      <c r="F23" s="32">
        <v>12431432</v>
      </c>
      <c r="G23" s="32">
        <f t="shared" si="1"/>
        <v>13065435</v>
      </c>
      <c r="H23" s="32">
        <f>ROUND((E23*F23),0)</f>
        <v>5221201</v>
      </c>
      <c r="I23" s="32">
        <f>+ROUND(G23*E23,0)</f>
        <v>5487483</v>
      </c>
      <c r="J23" s="1289" t="s">
        <v>1198</v>
      </c>
      <c r="K23" s="158">
        <v>0</v>
      </c>
      <c r="L23" s="194">
        <f>ROUND(K23*$F$23,0)</f>
        <v>0</v>
      </c>
      <c r="M23" s="195">
        <f>L23/$H$23</f>
        <v>0</v>
      </c>
      <c r="N23" s="432">
        <v>0</v>
      </c>
      <c r="O23" s="425">
        <f>ROUND(N23*$F$23,0)</f>
        <v>0</v>
      </c>
      <c r="P23" s="426">
        <f>O23/$H$23</f>
        <v>0</v>
      </c>
      <c r="Q23" s="432">
        <v>0</v>
      </c>
      <c r="R23" s="425">
        <f>ROUND(Q23*$F$23,0)</f>
        <v>0</v>
      </c>
      <c r="S23" s="426">
        <f>R23/$H$23</f>
        <v>0</v>
      </c>
      <c r="T23" s="433">
        <f>0.42*50%</f>
        <v>0.21</v>
      </c>
      <c r="U23" s="429">
        <f>ROUND(T23*F23,0)</f>
        <v>2610601</v>
      </c>
      <c r="V23" s="534">
        <f>+U23/H23</f>
        <v>0.50000009576340765</v>
      </c>
      <c r="W23" s="433">
        <v>0.21</v>
      </c>
      <c r="X23" s="429">
        <f>ROUND(W23*G23,0)</f>
        <v>2743741</v>
      </c>
      <c r="Y23" s="534">
        <f>+X23/H23</f>
        <v>0.52549997596338471</v>
      </c>
      <c r="Z23" s="416">
        <f>K23+N23+Q23+T23+W23</f>
        <v>0.42</v>
      </c>
      <c r="AA23" s="175">
        <f>L23+O23+R23+U23+X23</f>
        <v>5354342</v>
      </c>
      <c r="AB23" s="176">
        <f t="shared" si="13"/>
        <v>1.0255000717267924</v>
      </c>
    </row>
    <row r="24" spans="1:28" ht="15" customHeight="1" x14ac:dyDescent="0.3">
      <c r="A24" s="1289"/>
      <c r="B24" s="1289"/>
      <c r="C24" s="377"/>
      <c r="D24" s="377" t="s">
        <v>776</v>
      </c>
      <c r="E24" s="378"/>
      <c r="F24" s="378"/>
      <c r="G24" s="378"/>
      <c r="H24" s="379">
        <f>H23</f>
        <v>5221201</v>
      </c>
      <c r="I24" s="379">
        <f>SUM(I23)</f>
        <v>5487483</v>
      </c>
      <c r="J24" s="1289"/>
      <c r="K24" s="308"/>
      <c r="L24" s="179">
        <f>SUM(L23)</f>
        <v>0</v>
      </c>
      <c r="M24" s="308">
        <f>L24/H24</f>
        <v>0</v>
      </c>
      <c r="N24" s="431"/>
      <c r="O24" s="179">
        <f>SUM(O23)</f>
        <v>0</v>
      </c>
      <c r="P24" s="431">
        <f>O24/$H$24</f>
        <v>0</v>
      </c>
      <c r="Q24" s="431"/>
      <c r="R24" s="179">
        <f>SUM(R23)</f>
        <v>0</v>
      </c>
      <c r="S24" s="431">
        <f>R24/$H$24</f>
        <v>0</v>
      </c>
      <c r="T24" s="431"/>
      <c r="U24" s="179">
        <f>SUM(U23)</f>
        <v>2610601</v>
      </c>
      <c r="V24" s="519">
        <f>U24/$H$24</f>
        <v>0.50000009576340765</v>
      </c>
      <c r="W24" s="431"/>
      <c r="X24" s="179">
        <f>SUM(X23)</f>
        <v>2743741</v>
      </c>
      <c r="Y24" s="519">
        <f>X24/$H$24</f>
        <v>0.52549997596338471</v>
      </c>
      <c r="Z24" s="306"/>
      <c r="AA24" s="307">
        <f>SUM(AA23)</f>
        <v>5354342</v>
      </c>
      <c r="AB24" s="308">
        <f t="shared" si="13"/>
        <v>1.0255000717267924</v>
      </c>
    </row>
    <row r="25" spans="1:28" ht="30" customHeight="1" x14ac:dyDescent="0.3">
      <c r="A25" s="1289" t="s">
        <v>1200</v>
      </c>
      <c r="B25" s="1289" t="s">
        <v>1197</v>
      </c>
      <c r="C25" s="391" t="s">
        <v>61</v>
      </c>
      <c r="D25" s="391" t="s">
        <v>774</v>
      </c>
      <c r="E25" s="391">
        <v>0.42</v>
      </c>
      <c r="F25" s="32">
        <v>12431432</v>
      </c>
      <c r="G25" s="32">
        <f t="shared" si="1"/>
        <v>13065435</v>
      </c>
      <c r="H25" s="32">
        <f>ROUND((E25*F25),0)</f>
        <v>5221201</v>
      </c>
      <c r="I25" s="32">
        <f>+ROUND(G25*E25,0)</f>
        <v>5487483</v>
      </c>
      <c r="J25" s="1289" t="s">
        <v>1198</v>
      </c>
      <c r="K25" s="303">
        <v>0.42</v>
      </c>
      <c r="L25" s="304">
        <f>ROUND(K25*$F$25,0)</f>
        <v>5221201</v>
      </c>
      <c r="M25" s="305">
        <f>L25/$H$25</f>
        <v>1</v>
      </c>
      <c r="N25" s="432">
        <v>0</v>
      </c>
      <c r="O25" s="425">
        <f>ROUND(N25*$F$25,0)</f>
        <v>0</v>
      </c>
      <c r="P25" s="426">
        <f>O25/$H$25</f>
        <v>0</v>
      </c>
      <c r="Q25" s="432">
        <v>0</v>
      </c>
      <c r="R25" s="425">
        <f>ROUND(Q25*$F$25,0)</f>
        <v>0</v>
      </c>
      <c r="S25" s="426">
        <f>R25/$H$25</f>
        <v>0</v>
      </c>
      <c r="T25" s="432">
        <v>0</v>
      </c>
      <c r="U25" s="425">
        <f>ROUND(T25*F25,0)</f>
        <v>0</v>
      </c>
      <c r="V25" s="604">
        <f>+U25/H25</f>
        <v>0</v>
      </c>
      <c r="W25" s="432">
        <v>0</v>
      </c>
      <c r="X25" s="425">
        <f>ROUND(W25*I25,0)</f>
        <v>0</v>
      </c>
      <c r="Y25" s="604">
        <f>+X25/H25</f>
        <v>0</v>
      </c>
      <c r="Z25" s="416">
        <f>K25+N25+Q25+T25+W25</f>
        <v>0.42</v>
      </c>
      <c r="AA25" s="175">
        <f>L25+O25+R25+U25+X25</f>
        <v>5221201</v>
      </c>
      <c r="AB25" s="176">
        <f t="shared" si="13"/>
        <v>1</v>
      </c>
    </row>
    <row r="26" spans="1:28" ht="15" customHeight="1" x14ac:dyDescent="0.3">
      <c r="A26" s="1289"/>
      <c r="B26" s="1289"/>
      <c r="C26" s="377"/>
      <c r="D26" s="377" t="s">
        <v>776</v>
      </c>
      <c r="E26" s="378"/>
      <c r="F26" s="378"/>
      <c r="G26" s="378"/>
      <c r="H26" s="379">
        <f>H25</f>
        <v>5221201</v>
      </c>
      <c r="I26" s="379">
        <f>SUM(I25)</f>
        <v>5487483</v>
      </c>
      <c r="J26" s="1289"/>
      <c r="K26" s="308"/>
      <c r="L26" s="179">
        <f>SUM(L25)</f>
        <v>5221201</v>
      </c>
      <c r="M26" s="308">
        <f>L26/H26</f>
        <v>1</v>
      </c>
      <c r="N26" s="431"/>
      <c r="O26" s="179">
        <f>SUM(O25)</f>
        <v>0</v>
      </c>
      <c r="P26" s="431">
        <f>O26/$H$26</f>
        <v>0</v>
      </c>
      <c r="Q26" s="431"/>
      <c r="R26" s="179">
        <f>SUM(R25)</f>
        <v>0</v>
      </c>
      <c r="S26" s="431">
        <f>R26/$H$26</f>
        <v>0</v>
      </c>
      <c r="T26" s="431"/>
      <c r="U26" s="179">
        <f>SUM(U25)</f>
        <v>0</v>
      </c>
      <c r="V26" s="519">
        <f>U26/$H$26</f>
        <v>0</v>
      </c>
      <c r="W26" s="431"/>
      <c r="X26" s="179">
        <f>SUM(X25)</f>
        <v>0</v>
      </c>
      <c r="Y26" s="519">
        <f>X26/$H$26</f>
        <v>0</v>
      </c>
      <c r="Z26" s="306"/>
      <c r="AA26" s="307">
        <f>SUM(AA25)</f>
        <v>5221201</v>
      </c>
      <c r="AB26" s="308">
        <f t="shared" si="13"/>
        <v>1</v>
      </c>
    </row>
    <row r="27" spans="1:28" ht="30" customHeight="1" x14ac:dyDescent="0.3">
      <c r="A27" s="1289" t="s">
        <v>1201</v>
      </c>
      <c r="B27" s="1289" t="s">
        <v>1197</v>
      </c>
      <c r="C27" s="391" t="s">
        <v>61</v>
      </c>
      <c r="D27" s="391" t="s">
        <v>774</v>
      </c>
      <c r="E27" s="391">
        <v>0.42</v>
      </c>
      <c r="F27" s="32">
        <v>12431432</v>
      </c>
      <c r="G27" s="32">
        <f t="shared" si="1"/>
        <v>13065435</v>
      </c>
      <c r="H27" s="32">
        <f>ROUND((E27*F27),0)</f>
        <v>5221201</v>
      </c>
      <c r="I27" s="32">
        <f>+ROUND(G27*E27,0)</f>
        <v>5487483</v>
      </c>
      <c r="J27" s="1289" t="s">
        <v>1198</v>
      </c>
      <c r="K27" s="158">
        <v>0</v>
      </c>
      <c r="L27" s="194">
        <f>ROUND(K27*$F$27,0)</f>
        <v>0</v>
      </c>
      <c r="M27" s="195">
        <f>L27/$H$27</f>
        <v>0</v>
      </c>
      <c r="N27" s="432">
        <v>0</v>
      </c>
      <c r="O27" s="425">
        <f>ROUND(N27*$F$27,0)</f>
        <v>0</v>
      </c>
      <c r="P27" s="426">
        <f>O27/$H$27</f>
        <v>0</v>
      </c>
      <c r="Q27" s="432">
        <v>0</v>
      </c>
      <c r="R27" s="425">
        <f>ROUND(Q27*$F$27,0)</f>
        <v>0</v>
      </c>
      <c r="S27" s="426">
        <f>R27/$H$27</f>
        <v>0</v>
      </c>
      <c r="T27" s="433">
        <f>0.42*50%</f>
        <v>0.21</v>
      </c>
      <c r="U27" s="429">
        <f>ROUND(T27*F27,0)</f>
        <v>2610601</v>
      </c>
      <c r="V27" s="534">
        <f>+U27/H27</f>
        <v>0.50000009576340765</v>
      </c>
      <c r="W27" s="433">
        <v>0.21</v>
      </c>
      <c r="X27" s="429">
        <f>ROUND(W27*G27,0)</f>
        <v>2743741</v>
      </c>
      <c r="Y27" s="534">
        <f>+X27/H27</f>
        <v>0.52549997596338471</v>
      </c>
      <c r="Z27" s="416">
        <f>K27+N27+Q27+T27+W27</f>
        <v>0.42</v>
      </c>
      <c r="AA27" s="175">
        <f>L27+O27+R27+U27+X27</f>
        <v>5354342</v>
      </c>
      <c r="AB27" s="176">
        <f t="shared" si="13"/>
        <v>1.0255000717267924</v>
      </c>
    </row>
    <row r="28" spans="1:28" ht="15" customHeight="1" x14ac:dyDescent="0.3">
      <c r="A28" s="1289"/>
      <c r="B28" s="1289"/>
      <c r="C28" s="377"/>
      <c r="D28" s="377" t="s">
        <v>776</v>
      </c>
      <c r="E28" s="378"/>
      <c r="F28" s="378"/>
      <c r="G28" s="378"/>
      <c r="H28" s="379">
        <f>H27</f>
        <v>5221201</v>
      </c>
      <c r="I28" s="379">
        <f>SUM(I27)</f>
        <v>5487483</v>
      </c>
      <c r="J28" s="1289"/>
      <c r="K28" s="308"/>
      <c r="L28" s="179">
        <f>SUM(L27)</f>
        <v>0</v>
      </c>
      <c r="M28" s="308">
        <f>L28/H28</f>
        <v>0</v>
      </c>
      <c r="N28" s="431"/>
      <c r="O28" s="179">
        <f>SUM(O27)</f>
        <v>0</v>
      </c>
      <c r="P28" s="431">
        <f>O28/$H$28</f>
        <v>0</v>
      </c>
      <c r="Q28" s="431"/>
      <c r="R28" s="179">
        <f>SUM(R27)</f>
        <v>0</v>
      </c>
      <c r="S28" s="431">
        <f>R28/$H$28</f>
        <v>0</v>
      </c>
      <c r="T28" s="431"/>
      <c r="U28" s="179">
        <f>SUM(U27)</f>
        <v>2610601</v>
      </c>
      <c r="V28" s="519">
        <f>U28/$H$28</f>
        <v>0.50000009576340765</v>
      </c>
      <c r="W28" s="431"/>
      <c r="X28" s="179">
        <f>SUM(X27)</f>
        <v>2743741</v>
      </c>
      <c r="Y28" s="519">
        <f>X28/$H$28</f>
        <v>0.52549997596338471</v>
      </c>
      <c r="Z28" s="306"/>
      <c r="AA28" s="307">
        <f>SUM(AA27)</f>
        <v>5354342</v>
      </c>
      <c r="AB28" s="308">
        <f t="shared" si="13"/>
        <v>1.0255000717267924</v>
      </c>
    </row>
    <row r="29" spans="1:28" ht="30" customHeight="1" x14ac:dyDescent="0.3">
      <c r="A29" s="1289" t="s">
        <v>1202</v>
      </c>
      <c r="B29" s="1289" t="s">
        <v>1197</v>
      </c>
      <c r="C29" s="391" t="s">
        <v>61</v>
      </c>
      <c r="D29" s="391" t="s">
        <v>774</v>
      </c>
      <c r="E29" s="391">
        <v>0.42</v>
      </c>
      <c r="F29" s="32">
        <v>12431432</v>
      </c>
      <c r="G29" s="32">
        <f t="shared" si="1"/>
        <v>13065435</v>
      </c>
      <c r="H29" s="32">
        <f>ROUND((E29*F29),0)</f>
        <v>5221201</v>
      </c>
      <c r="I29" s="32">
        <f>+ROUND(G29*E29,0)</f>
        <v>5487483</v>
      </c>
      <c r="J29" s="1289" t="s">
        <v>1198</v>
      </c>
      <c r="K29" s="158">
        <v>0</v>
      </c>
      <c r="L29" s="194">
        <f>ROUND(K29*$F$29,0)</f>
        <v>0</v>
      </c>
      <c r="M29" s="195">
        <f>L29/$H$29</f>
        <v>0</v>
      </c>
      <c r="N29" s="432">
        <v>0</v>
      </c>
      <c r="O29" s="425">
        <f>ROUND(N29*$F$29,0)</f>
        <v>0</v>
      </c>
      <c r="P29" s="426">
        <f>O29/$H$29</f>
        <v>0</v>
      </c>
      <c r="Q29" s="432">
        <v>0</v>
      </c>
      <c r="R29" s="425">
        <f>ROUND(Q29*$F$29,0)</f>
        <v>0</v>
      </c>
      <c r="S29" s="426">
        <f>R29/$H$29</f>
        <v>0</v>
      </c>
      <c r="T29" s="433">
        <f>0.42*50%</f>
        <v>0.21</v>
      </c>
      <c r="U29" s="429">
        <f>ROUND(T29*F29,0)</f>
        <v>2610601</v>
      </c>
      <c r="V29" s="534">
        <f>+U29/H29</f>
        <v>0.50000009576340765</v>
      </c>
      <c r="W29" s="433">
        <f>+E29-T29</f>
        <v>0.21</v>
      </c>
      <c r="X29" s="429">
        <f>ROUND(W29*G29,0)</f>
        <v>2743741</v>
      </c>
      <c r="Y29" s="534">
        <f>+X29/H29</f>
        <v>0.52549997596338471</v>
      </c>
      <c r="Z29" s="416">
        <f>K29+N29+Q29+T29+W29</f>
        <v>0.42</v>
      </c>
      <c r="AA29" s="175">
        <f>L29+O29+R29+U29+X29</f>
        <v>5354342</v>
      </c>
      <c r="AB29" s="176">
        <f>AA29/H29</f>
        <v>1.0255000717267924</v>
      </c>
    </row>
    <row r="30" spans="1:28" ht="15" customHeight="1" x14ac:dyDescent="0.3">
      <c r="A30" s="1289"/>
      <c r="B30" s="1289"/>
      <c r="C30" s="377"/>
      <c r="D30" s="377" t="s">
        <v>776</v>
      </c>
      <c r="E30" s="378"/>
      <c r="F30" s="378"/>
      <c r="G30" s="378"/>
      <c r="H30" s="379">
        <f>H29</f>
        <v>5221201</v>
      </c>
      <c r="I30" s="379">
        <f>SUM(I29)</f>
        <v>5487483</v>
      </c>
      <c r="J30" s="1289"/>
      <c r="K30" s="308"/>
      <c r="L30" s="179">
        <f>SUM(L29)</f>
        <v>0</v>
      </c>
      <c r="M30" s="308">
        <f>L30/H30</f>
        <v>0</v>
      </c>
      <c r="N30" s="431"/>
      <c r="O30" s="179">
        <f>SUM(O29)</f>
        <v>0</v>
      </c>
      <c r="P30" s="431">
        <f>O30/$H$30</f>
        <v>0</v>
      </c>
      <c r="Q30" s="431"/>
      <c r="R30" s="179">
        <f>SUM(R29)</f>
        <v>0</v>
      </c>
      <c r="S30" s="431">
        <f>R30/$H$30</f>
        <v>0</v>
      </c>
      <c r="T30" s="431"/>
      <c r="U30" s="179">
        <f>SUM(U29)</f>
        <v>2610601</v>
      </c>
      <c r="V30" s="519">
        <f>U30/$H$30</f>
        <v>0.50000009576340765</v>
      </c>
      <c r="W30" s="431"/>
      <c r="X30" s="179">
        <f>SUM(X29)</f>
        <v>2743741</v>
      </c>
      <c r="Y30" s="519">
        <f>X30/$H$30</f>
        <v>0.52549997596338471</v>
      </c>
      <c r="Z30" s="306"/>
      <c r="AA30" s="307">
        <f>SUM(AA29)</f>
        <v>5354342</v>
      </c>
      <c r="AB30" s="308">
        <f t="shared" si="13"/>
        <v>1.0255000717267924</v>
      </c>
    </row>
    <row r="31" spans="1:28" ht="30" customHeight="1" x14ac:dyDescent="0.3">
      <c r="A31" s="1289" t="s">
        <v>151</v>
      </c>
      <c r="B31" s="1289" t="s">
        <v>1197</v>
      </c>
      <c r="C31" s="391" t="s">
        <v>61</v>
      </c>
      <c r="D31" s="391" t="s">
        <v>774</v>
      </c>
      <c r="E31" s="391">
        <v>0.35</v>
      </c>
      <c r="F31" s="32">
        <v>12431432</v>
      </c>
      <c r="G31" s="32">
        <f t="shared" si="1"/>
        <v>13065435</v>
      </c>
      <c r="H31" s="32">
        <f>ROUND((E31*F31),0)</f>
        <v>4351001</v>
      </c>
      <c r="I31" s="32">
        <f>+ROUND(G31*E31,0)</f>
        <v>4572902</v>
      </c>
      <c r="J31" s="1289" t="s">
        <v>1203</v>
      </c>
      <c r="K31" s="158">
        <v>0</v>
      </c>
      <c r="L31" s="194">
        <f>ROUND(K31*$F$31,0)</f>
        <v>0</v>
      </c>
      <c r="M31" s="195">
        <f>L31/$H$31</f>
        <v>0</v>
      </c>
      <c r="N31" s="432">
        <v>0</v>
      </c>
      <c r="O31" s="425">
        <f>ROUND(N31*$F$31,0)</f>
        <v>0</v>
      </c>
      <c r="P31" s="426">
        <f>O31/$H$31</f>
        <v>0</v>
      </c>
      <c r="Q31" s="432">
        <v>0</v>
      </c>
      <c r="R31" s="425">
        <f>ROUND(Q31*$F$31,0)</f>
        <v>0</v>
      </c>
      <c r="S31" s="426">
        <f>R31/$H$31</f>
        <v>0</v>
      </c>
      <c r="T31" s="433">
        <f>0.35*50%</f>
        <v>0.17499999999999999</v>
      </c>
      <c r="U31" s="429">
        <f>ROUND(T31*F31,0)</f>
        <v>2175501</v>
      </c>
      <c r="V31" s="534">
        <f>+U31/H31</f>
        <v>0.50000011491608487</v>
      </c>
      <c r="W31" s="433">
        <v>0.17499999999999999</v>
      </c>
      <c r="X31" s="429">
        <f>ROUND(W31*G31,0)</f>
        <v>2286451</v>
      </c>
      <c r="Y31" s="534">
        <f>+X31/H31</f>
        <v>0.52549999413927972</v>
      </c>
      <c r="Z31" s="416">
        <f>K31+N31+Q31+T31+W31</f>
        <v>0.35</v>
      </c>
      <c r="AA31" s="175">
        <f>L31+O31+R31+U31+X31</f>
        <v>4461952</v>
      </c>
      <c r="AB31" s="176">
        <f t="shared" si="13"/>
        <v>1.0255001090553646</v>
      </c>
    </row>
    <row r="32" spans="1:28" ht="15" customHeight="1" x14ac:dyDescent="0.3">
      <c r="A32" s="1289"/>
      <c r="B32" s="1289"/>
      <c r="C32" s="377"/>
      <c r="D32" s="377" t="s">
        <v>776</v>
      </c>
      <c r="E32" s="378"/>
      <c r="F32" s="378"/>
      <c r="G32" s="378"/>
      <c r="H32" s="379">
        <f>H31</f>
        <v>4351001</v>
      </c>
      <c r="I32" s="379">
        <f>SUM(I31)</f>
        <v>4572902</v>
      </c>
      <c r="J32" s="1289"/>
      <c r="K32" s="308"/>
      <c r="L32" s="179">
        <f>SUM(L31)</f>
        <v>0</v>
      </c>
      <c r="M32" s="308">
        <f>L32/H32</f>
        <v>0</v>
      </c>
      <c r="N32" s="431"/>
      <c r="O32" s="179">
        <f>SUM(O31)</f>
        <v>0</v>
      </c>
      <c r="P32" s="431">
        <f>O32/$H$32</f>
        <v>0</v>
      </c>
      <c r="Q32" s="431"/>
      <c r="R32" s="179">
        <f>SUM(R31)</f>
        <v>0</v>
      </c>
      <c r="S32" s="431">
        <f>R32/$H$32</f>
        <v>0</v>
      </c>
      <c r="T32" s="431"/>
      <c r="U32" s="179">
        <f>SUM(U31)</f>
        <v>2175501</v>
      </c>
      <c r="V32" s="519">
        <f>U32/$H$32</f>
        <v>0.50000011491608487</v>
      </c>
      <c r="W32" s="431"/>
      <c r="X32" s="179">
        <f>SUM(X31)</f>
        <v>2286451</v>
      </c>
      <c r="Y32" s="519">
        <f>X32/$H$32</f>
        <v>0.52549999413927972</v>
      </c>
      <c r="Z32" s="306"/>
      <c r="AA32" s="307">
        <f>SUM(AA31)</f>
        <v>4461952</v>
      </c>
      <c r="AB32" s="308">
        <f t="shared" si="13"/>
        <v>1.0255001090553646</v>
      </c>
    </row>
    <row r="33" spans="1:28" ht="30" customHeight="1" x14ac:dyDescent="0.3">
      <c r="A33" s="1289" t="s">
        <v>1204</v>
      </c>
      <c r="B33" s="1289" t="s">
        <v>1197</v>
      </c>
      <c r="C33" s="391" t="s">
        <v>61</v>
      </c>
      <c r="D33" s="391" t="s">
        <v>774</v>
      </c>
      <c r="E33" s="391">
        <v>0.35</v>
      </c>
      <c r="F33" s="32">
        <v>12431432</v>
      </c>
      <c r="G33" s="32">
        <f t="shared" si="1"/>
        <v>13065435</v>
      </c>
      <c r="H33" s="32">
        <f>ROUND((E33*F33),0)</f>
        <v>4351001</v>
      </c>
      <c r="I33" s="32">
        <f>+ROUND(G33*E33,0)</f>
        <v>4572902</v>
      </c>
      <c r="J33" s="1289" t="s">
        <v>1203</v>
      </c>
      <c r="K33" s="158">
        <v>0</v>
      </c>
      <c r="L33" s="194">
        <f>ROUND(K33*$F$33,0)</f>
        <v>0</v>
      </c>
      <c r="M33" s="195">
        <f>L33/$H$33</f>
        <v>0</v>
      </c>
      <c r="N33" s="433">
        <f>0.35*50%</f>
        <v>0.17499999999999999</v>
      </c>
      <c r="O33" s="429">
        <f>ROUND(N33*$F$33,0)</f>
        <v>2175501</v>
      </c>
      <c r="P33" s="430">
        <f>O33/$H$33</f>
        <v>0.50000011491608487</v>
      </c>
      <c r="Q33" s="433">
        <f>+E33-N33</f>
        <v>0.17499999999999999</v>
      </c>
      <c r="R33" s="429">
        <f>ROUND(Q33*$F$33,0)</f>
        <v>2175501</v>
      </c>
      <c r="S33" s="430">
        <f>R33/$H$33</f>
        <v>0.50000011491608487</v>
      </c>
      <c r="T33" s="432">
        <v>0</v>
      </c>
      <c r="U33" s="425">
        <f>ROUND(T33*F33,0)</f>
        <v>0</v>
      </c>
      <c r="V33" s="604">
        <f>+U33/H33</f>
        <v>0</v>
      </c>
      <c r="W33" s="432">
        <v>0</v>
      </c>
      <c r="X33" s="425">
        <f>ROUND(W33*I33,0)</f>
        <v>0</v>
      </c>
      <c r="Y33" s="604">
        <f>+X33/H33</f>
        <v>0</v>
      </c>
      <c r="Z33" s="416">
        <f>K33+N33+Q33+T33+W33</f>
        <v>0.35</v>
      </c>
      <c r="AA33" s="175">
        <f>L33+O33+R33+U33+X33</f>
        <v>4351002</v>
      </c>
      <c r="AB33" s="176">
        <f t="shared" si="13"/>
        <v>1.0000002298321697</v>
      </c>
    </row>
    <row r="34" spans="1:28" ht="15" customHeight="1" x14ac:dyDescent="0.3">
      <c r="A34" s="1289"/>
      <c r="B34" s="1289"/>
      <c r="C34" s="377"/>
      <c r="D34" s="377" t="s">
        <v>776</v>
      </c>
      <c r="E34" s="378"/>
      <c r="F34" s="378"/>
      <c r="G34" s="378"/>
      <c r="H34" s="379">
        <f>H33</f>
        <v>4351001</v>
      </c>
      <c r="I34" s="379">
        <f>SUM(I33)</f>
        <v>4572902</v>
      </c>
      <c r="J34" s="1289"/>
      <c r="K34" s="308"/>
      <c r="L34" s="179">
        <f>SUM(L33)</f>
        <v>0</v>
      </c>
      <c r="M34" s="308">
        <f>L34/H34</f>
        <v>0</v>
      </c>
      <c r="N34" s="431"/>
      <c r="O34" s="179">
        <f>SUM(O33)</f>
        <v>2175501</v>
      </c>
      <c r="P34" s="431">
        <f>O34/$H$34</f>
        <v>0.50000011491608487</v>
      </c>
      <c r="Q34" s="431"/>
      <c r="R34" s="179">
        <f>SUM(R33)</f>
        <v>2175501</v>
      </c>
      <c r="S34" s="431">
        <f>R34/$H$34</f>
        <v>0.50000011491608487</v>
      </c>
      <c r="T34" s="431"/>
      <c r="U34" s="179">
        <f>SUM(U33)</f>
        <v>0</v>
      </c>
      <c r="V34" s="519">
        <f>U34/$H$34</f>
        <v>0</v>
      </c>
      <c r="W34" s="431"/>
      <c r="X34" s="179">
        <f>SUM(X33)</f>
        <v>0</v>
      </c>
      <c r="Y34" s="519">
        <f>X34/$H$34</f>
        <v>0</v>
      </c>
      <c r="Z34" s="306"/>
      <c r="AA34" s="307">
        <f>SUM(AA33)</f>
        <v>4351002</v>
      </c>
      <c r="AB34" s="308">
        <f t="shared" si="13"/>
        <v>1.0000002298321697</v>
      </c>
    </row>
    <row r="35" spans="1:28" x14ac:dyDescent="0.3">
      <c r="F35" s="151" t="s">
        <v>64</v>
      </c>
      <c r="G35" s="151"/>
      <c r="H35" s="181">
        <f>SUM(H14:H34)/2</f>
        <v>63849504</v>
      </c>
      <c r="I35" s="181">
        <f>SUM(I14:I34)/2</f>
        <v>67105832</v>
      </c>
      <c r="K35" s="151" t="s">
        <v>64</v>
      </c>
      <c r="L35" s="181">
        <f>SUM(L14:L34)/2</f>
        <v>5221201</v>
      </c>
      <c r="M35" s="322">
        <f>L35/H35</f>
        <v>8.1773556142268541E-2</v>
      </c>
      <c r="N35" s="151" t="s">
        <v>64</v>
      </c>
      <c r="O35" s="181">
        <f>SUM(O14:O34)/2</f>
        <v>12672226</v>
      </c>
      <c r="P35" s="322">
        <f>O35/$H$35</f>
        <v>0.19847023400526337</v>
      </c>
      <c r="Q35" s="480" t="s">
        <v>64</v>
      </c>
      <c r="R35" s="481">
        <f>SUM(R14:R34)/2</f>
        <v>7903710</v>
      </c>
      <c r="T35" s="480" t="s">
        <v>64</v>
      </c>
      <c r="U35" s="481">
        <f>SUM(U14:U34)/2</f>
        <v>28045068</v>
      </c>
      <c r="W35" s="480" t="s">
        <v>64</v>
      </c>
      <c r="X35" s="481">
        <f>SUM(X14:X34)/2</f>
        <v>10517674</v>
      </c>
      <c r="Z35" s="480" t="s">
        <v>64</v>
      </c>
      <c r="AA35" s="481">
        <f>SUM(AA14:AA34)/2</f>
        <v>64359879</v>
      </c>
    </row>
    <row r="36" spans="1:28" x14ac:dyDescent="0.3">
      <c r="F36" s="153" t="s">
        <v>65</v>
      </c>
      <c r="G36" s="153"/>
      <c r="H36" s="181">
        <v>0</v>
      </c>
      <c r="I36" s="181">
        <v>0</v>
      </c>
      <c r="K36" s="153" t="s">
        <v>65</v>
      </c>
      <c r="L36" s="181">
        <v>0</v>
      </c>
      <c r="N36" s="153" t="s">
        <v>65</v>
      </c>
      <c r="O36" s="181">
        <v>0</v>
      </c>
      <c r="Q36" s="482" t="s">
        <v>65</v>
      </c>
      <c r="R36" s="481">
        <v>0</v>
      </c>
      <c r="T36" s="482" t="s">
        <v>65</v>
      </c>
      <c r="U36" s="481">
        <v>0</v>
      </c>
      <c r="W36" s="482" t="s">
        <v>65</v>
      </c>
      <c r="X36" s="481">
        <v>0</v>
      </c>
      <c r="Z36" s="482" t="s">
        <v>65</v>
      </c>
      <c r="AA36" s="481">
        <v>0</v>
      </c>
    </row>
    <row r="37" spans="1:28" x14ac:dyDescent="0.3">
      <c r="F37" s="152" t="s">
        <v>64</v>
      </c>
      <c r="G37" s="152"/>
      <c r="H37" s="340">
        <f>SUM(H35:H36)</f>
        <v>63849504</v>
      </c>
      <c r="I37" s="340">
        <f>SUM(I35:I36)</f>
        <v>67105832</v>
      </c>
      <c r="K37" s="152" t="s">
        <v>64</v>
      </c>
      <c r="L37" s="340">
        <f>SUM(L35:L36)</f>
        <v>5221201</v>
      </c>
      <c r="N37" s="152" t="s">
        <v>64</v>
      </c>
      <c r="O37" s="340">
        <f>SUM(O35:O36)</f>
        <v>12672226</v>
      </c>
      <c r="Q37" s="484" t="s">
        <v>64</v>
      </c>
      <c r="R37" s="550">
        <f>SUM(R35:R36)</f>
        <v>7903710</v>
      </c>
      <c r="T37" s="484" t="s">
        <v>64</v>
      </c>
      <c r="U37" s="550">
        <f>SUM(U35:U36)</f>
        <v>28045068</v>
      </c>
      <c r="W37" s="484" t="s">
        <v>64</v>
      </c>
      <c r="X37" s="550">
        <f>SUM(X35:X36)</f>
        <v>10517674</v>
      </c>
      <c r="Z37" s="484" t="s">
        <v>64</v>
      </c>
      <c r="AA37" s="550">
        <f>SUM(AA35:AA36)</f>
        <v>64359879</v>
      </c>
    </row>
    <row r="38" spans="1:28" ht="26.4" x14ac:dyDescent="0.3">
      <c r="F38" s="152"/>
      <c r="G38" s="152"/>
      <c r="H38" s="340"/>
      <c r="I38" s="340"/>
      <c r="K38" s="152"/>
      <c r="L38" s="340"/>
      <c r="N38" s="152"/>
      <c r="O38" s="340"/>
      <c r="Q38" s="484" t="s">
        <v>1439</v>
      </c>
      <c r="R38" s="483">
        <f>ROUND(R37*0.015,0)</f>
        <v>118556</v>
      </c>
      <c r="T38" s="484" t="s">
        <v>1439</v>
      </c>
      <c r="U38" s="483">
        <f>ROUND(U37*0.015,0)</f>
        <v>420676</v>
      </c>
      <c r="W38" s="484" t="s">
        <v>1439</v>
      </c>
      <c r="X38" s="483">
        <f>ROUND(X37*0.015,0)</f>
        <v>157765</v>
      </c>
      <c r="Z38" s="484" t="s">
        <v>1439</v>
      </c>
      <c r="AA38" s="550">
        <f>L38+O38+R38+U38+X38</f>
        <v>696997</v>
      </c>
    </row>
    <row r="39" spans="1:28" ht="26.4" x14ac:dyDescent="0.3">
      <c r="F39" s="152"/>
      <c r="G39" s="152"/>
      <c r="H39" s="340"/>
      <c r="I39" s="340"/>
      <c r="K39" s="152"/>
      <c r="L39" s="340"/>
      <c r="N39" s="152"/>
      <c r="O39" s="340"/>
      <c r="Q39" s="152" t="s">
        <v>1440</v>
      </c>
      <c r="R39" s="182">
        <f>R37+R38</f>
        <v>8022266</v>
      </c>
      <c r="S39" s="322">
        <f>R39/$H$35</f>
        <v>0.12564335660305206</v>
      </c>
      <c r="T39" s="152" t="s">
        <v>1440</v>
      </c>
      <c r="U39" s="182">
        <f>U37+U38</f>
        <v>28465744</v>
      </c>
      <c r="V39" s="607">
        <f>U39/$H$35</f>
        <v>0.44582560891937389</v>
      </c>
      <c r="W39" s="152" t="s">
        <v>1440</v>
      </c>
      <c r="X39" s="182">
        <f>X37+X38</f>
        <v>10675439</v>
      </c>
      <c r="Y39" s="607">
        <f>X39/$H$35</f>
        <v>0.16719689788036568</v>
      </c>
      <c r="Z39" s="152" t="s">
        <v>1440</v>
      </c>
      <c r="AA39" s="182">
        <f>AA37+AA38</f>
        <v>65056876</v>
      </c>
      <c r="AB39" s="633">
        <f>AA39/H37</f>
        <v>1.0189096535503235</v>
      </c>
    </row>
    <row r="40" spans="1:28" x14ac:dyDescent="0.3">
      <c r="F40" s="154" t="s">
        <v>66</v>
      </c>
      <c r="G40" s="154"/>
      <c r="H40" s="181">
        <f>+H37*19%</f>
        <v>12131405.76</v>
      </c>
      <c r="I40" s="181">
        <f>+I37*19%</f>
        <v>12750108.08</v>
      </c>
      <c r="K40" s="154" t="s">
        <v>66</v>
      </c>
      <c r="L40" s="181">
        <f>+L37*19%</f>
        <v>992028.19000000006</v>
      </c>
      <c r="N40" s="154" t="s">
        <v>66</v>
      </c>
      <c r="O40" s="181">
        <f>+O37*19%</f>
        <v>2407722.94</v>
      </c>
      <c r="Q40" s="485" t="s">
        <v>66</v>
      </c>
      <c r="R40" s="483">
        <f>ROUND(R39*0.19,0)</f>
        <v>1524231</v>
      </c>
      <c r="T40" s="485" t="s">
        <v>66</v>
      </c>
      <c r="U40" s="483">
        <f>ROUND(U39*0.19,0)</f>
        <v>5408491</v>
      </c>
      <c r="W40" s="485" t="s">
        <v>66</v>
      </c>
      <c r="X40" s="483">
        <f>ROUND(X39*0.19,0)</f>
        <v>2028333</v>
      </c>
      <c r="Z40" s="485" t="s">
        <v>66</v>
      </c>
      <c r="AA40" s="483">
        <f>ROUND(AA39*0.19,0)</f>
        <v>12360806</v>
      </c>
    </row>
    <row r="41" spans="1:28" x14ac:dyDescent="0.3">
      <c r="F41" s="155" t="s">
        <v>69</v>
      </c>
      <c r="G41" s="155"/>
      <c r="H41" s="181">
        <f>+H37+H40</f>
        <v>75980909.760000005</v>
      </c>
      <c r="I41" s="181">
        <f>+I37+I40</f>
        <v>79855940.079999998</v>
      </c>
      <c r="K41" s="155" t="s">
        <v>69</v>
      </c>
      <c r="L41" s="181">
        <f>+L37+L40</f>
        <v>6213229.1900000004</v>
      </c>
      <c r="N41" s="155" t="s">
        <v>69</v>
      </c>
      <c r="O41" s="181">
        <f>+O37+O40</f>
        <v>15079948.939999999</v>
      </c>
      <c r="Q41" s="545" t="s">
        <v>69</v>
      </c>
      <c r="R41" s="481">
        <f>R39+R40</f>
        <v>9546497</v>
      </c>
      <c r="T41" s="545" t="s">
        <v>69</v>
      </c>
      <c r="U41" s="481">
        <f>U39+U40</f>
        <v>33874235</v>
      </c>
      <c r="W41" s="545" t="s">
        <v>69</v>
      </c>
      <c r="X41" s="481">
        <f>X39+X40</f>
        <v>12703772</v>
      </c>
      <c r="Z41" s="545" t="s">
        <v>69</v>
      </c>
      <c r="AA41" s="481">
        <f>AA39+AA40</f>
        <v>77417682</v>
      </c>
    </row>
    <row r="43" spans="1:28" s="189" customFormat="1" x14ac:dyDescent="0.3">
      <c r="A43" s="183" t="s">
        <v>67</v>
      </c>
      <c r="B43" s="184"/>
      <c r="C43" s="184"/>
      <c r="D43" s="185" t="s">
        <v>68</v>
      </c>
      <c r="G43" s="852"/>
      <c r="I43" s="852"/>
      <c r="K43" s="186" t="s">
        <v>70</v>
      </c>
      <c r="L43" s="187" t="s">
        <v>71</v>
      </c>
      <c r="M43" s="186" t="s">
        <v>58</v>
      </c>
      <c r="N43" s="186" t="s">
        <v>70</v>
      </c>
      <c r="O43" s="187" t="s">
        <v>71</v>
      </c>
      <c r="P43" s="186" t="s">
        <v>58</v>
      </c>
      <c r="Q43" s="186" t="s">
        <v>70</v>
      </c>
      <c r="R43" s="187" t="s">
        <v>71</v>
      </c>
      <c r="S43" s="186" t="s">
        <v>58</v>
      </c>
      <c r="T43" s="186" t="s">
        <v>70</v>
      </c>
      <c r="U43" s="187" t="s">
        <v>71</v>
      </c>
      <c r="V43" s="521" t="s">
        <v>58</v>
      </c>
      <c r="W43" s="186" t="s">
        <v>70</v>
      </c>
      <c r="X43" s="187" t="s">
        <v>71</v>
      </c>
      <c r="Y43" s="521" t="s">
        <v>58</v>
      </c>
      <c r="Z43" s="302"/>
      <c r="AA43" s="302"/>
      <c r="AB43" s="302"/>
    </row>
    <row r="44" spans="1:28" s="189" customFormat="1" x14ac:dyDescent="0.3">
      <c r="A44" s="183"/>
      <c r="B44" s="184"/>
      <c r="C44" s="184"/>
      <c r="D44" s="185"/>
      <c r="G44" s="852"/>
      <c r="I44" s="852"/>
      <c r="K44" s="69" t="s">
        <v>72</v>
      </c>
      <c r="L44" s="70">
        <f>$L$35</f>
        <v>5221201</v>
      </c>
      <c r="M44" s="71">
        <f>M35</f>
        <v>8.1773556142268541E-2</v>
      </c>
      <c r="N44" s="69" t="s">
        <v>72</v>
      </c>
      <c r="O44" s="70">
        <f>$L$35</f>
        <v>5221201</v>
      </c>
      <c r="P44" s="71">
        <f>$P$35</f>
        <v>0.19847023400526337</v>
      </c>
      <c r="Q44" s="69" t="s">
        <v>72</v>
      </c>
      <c r="R44" s="70">
        <f>$L$35</f>
        <v>5221201</v>
      </c>
      <c r="S44" s="71">
        <f>$P$35</f>
        <v>0.19847023400526337</v>
      </c>
      <c r="T44" s="69" t="s">
        <v>72</v>
      </c>
      <c r="U44" s="70">
        <f>$L$35</f>
        <v>5221201</v>
      </c>
      <c r="V44" s="634">
        <f>$M$35</f>
        <v>8.1773556142268541E-2</v>
      </c>
      <c r="W44" s="69" t="s">
        <v>72</v>
      </c>
      <c r="X44" s="70">
        <f>$L$35</f>
        <v>5221201</v>
      </c>
      <c r="Y44" s="634">
        <f>$M$35</f>
        <v>8.1773556142268541E-2</v>
      </c>
      <c r="Z44" s="302"/>
      <c r="AA44" s="302"/>
      <c r="AB44" s="302"/>
    </row>
    <row r="45" spans="1:28" s="189" customFormat="1" x14ac:dyDescent="0.3">
      <c r="A45" s="183"/>
      <c r="B45" s="184"/>
      <c r="C45" s="184"/>
      <c r="D45" s="185"/>
      <c r="G45" s="852"/>
      <c r="I45" s="852"/>
      <c r="K45" s="69"/>
      <c r="L45" s="70"/>
      <c r="M45" s="71"/>
      <c r="N45" s="69" t="s">
        <v>73</v>
      </c>
      <c r="O45" s="70">
        <f>$O$35</f>
        <v>12672226</v>
      </c>
      <c r="P45" s="71">
        <f>$P$35</f>
        <v>0.19847023400526337</v>
      </c>
      <c r="Q45" s="69" t="s">
        <v>73</v>
      </c>
      <c r="R45" s="70">
        <f>$O$35</f>
        <v>12672226</v>
      </c>
      <c r="S45" s="71">
        <f>$P$35</f>
        <v>0.19847023400526337</v>
      </c>
      <c r="T45" s="69" t="s">
        <v>73</v>
      </c>
      <c r="U45" s="70">
        <f>$O$35</f>
        <v>12672226</v>
      </c>
      <c r="V45" s="634">
        <f>$P$35</f>
        <v>0.19847023400526337</v>
      </c>
      <c r="W45" s="69" t="s">
        <v>73</v>
      </c>
      <c r="X45" s="70">
        <f>$O$35</f>
        <v>12672226</v>
      </c>
      <c r="Y45" s="634">
        <f>$P$35</f>
        <v>0.19847023400526337</v>
      </c>
      <c r="Z45" s="302"/>
      <c r="AA45" s="302"/>
      <c r="AB45" s="302"/>
    </row>
    <row r="46" spans="1:28" s="189" customFormat="1" x14ac:dyDescent="0.3">
      <c r="A46" s="183"/>
      <c r="B46" s="184"/>
      <c r="C46" s="184"/>
      <c r="D46" s="185"/>
      <c r="G46" s="852"/>
      <c r="I46" s="852"/>
      <c r="K46" s="69"/>
      <c r="L46" s="70"/>
      <c r="M46" s="71"/>
      <c r="N46" s="69"/>
      <c r="O46" s="70"/>
      <c r="P46" s="71"/>
      <c r="Q46" s="69" t="s">
        <v>74</v>
      </c>
      <c r="R46" s="70">
        <f>$R$39</f>
        <v>8022266</v>
      </c>
      <c r="S46" s="71">
        <f>$S$39</f>
        <v>0.12564335660305206</v>
      </c>
      <c r="T46" s="69" t="s">
        <v>74</v>
      </c>
      <c r="U46" s="70">
        <f>$R$39</f>
        <v>8022266</v>
      </c>
      <c r="V46" s="634">
        <f>$S$39</f>
        <v>0.12564335660305206</v>
      </c>
      <c r="W46" s="69" t="s">
        <v>74</v>
      </c>
      <c r="X46" s="70">
        <f>$R$39</f>
        <v>8022266</v>
      </c>
      <c r="Y46" s="634">
        <f>$S$39</f>
        <v>0.12564335660305206</v>
      </c>
      <c r="Z46" s="302"/>
      <c r="AA46" s="302"/>
      <c r="AB46" s="302"/>
    </row>
    <row r="47" spans="1:28" s="603" customFormat="1" x14ac:dyDescent="0.3">
      <c r="A47" s="183"/>
      <c r="B47" s="184"/>
      <c r="C47" s="184"/>
      <c r="D47" s="185"/>
      <c r="G47" s="852"/>
      <c r="I47" s="852"/>
      <c r="K47" s="69"/>
      <c r="L47" s="70"/>
      <c r="M47" s="71"/>
      <c r="N47" s="69"/>
      <c r="O47" s="70"/>
      <c r="P47" s="71"/>
      <c r="Q47" s="69"/>
      <c r="R47" s="70"/>
      <c r="S47" s="71"/>
      <c r="T47" s="69" t="s">
        <v>155</v>
      </c>
      <c r="U47" s="70">
        <f>+U39</f>
        <v>28465744</v>
      </c>
      <c r="V47" s="634">
        <f>+V39</f>
        <v>0.44582560891937389</v>
      </c>
      <c r="W47" s="69" t="s">
        <v>155</v>
      </c>
      <c r="X47" s="70">
        <f>+U39</f>
        <v>28465744</v>
      </c>
      <c r="Y47" s="634">
        <f>+V39</f>
        <v>0.44582560891937389</v>
      </c>
      <c r="Z47" s="602"/>
      <c r="AA47" s="602"/>
      <c r="AB47" s="602"/>
    </row>
    <row r="48" spans="1:28" s="852" customFormat="1" x14ac:dyDescent="0.3">
      <c r="A48" s="183"/>
      <c r="B48" s="184"/>
      <c r="C48" s="184"/>
      <c r="D48" s="185"/>
      <c r="K48" s="69"/>
      <c r="L48" s="70"/>
      <c r="M48" s="71"/>
      <c r="N48" s="69"/>
      <c r="O48" s="70"/>
      <c r="P48" s="71"/>
      <c r="Q48" s="69"/>
      <c r="R48" s="70"/>
      <c r="S48" s="71"/>
      <c r="T48" s="69"/>
      <c r="U48" s="70"/>
      <c r="V48" s="634"/>
      <c r="W48" s="69" t="s">
        <v>352</v>
      </c>
      <c r="X48" s="70">
        <f>+X39</f>
        <v>10675439</v>
      </c>
      <c r="Y48" s="634">
        <f>+Y39</f>
        <v>0.16719689788036568</v>
      </c>
      <c r="Z48" s="849"/>
      <c r="AA48" s="849"/>
      <c r="AB48" s="849"/>
    </row>
    <row r="49" spans="1:28" s="189" customFormat="1" x14ac:dyDescent="0.3">
      <c r="A49" s="183"/>
      <c r="B49" s="184"/>
      <c r="C49" s="184"/>
      <c r="D49" s="185"/>
      <c r="G49" s="852"/>
      <c r="I49" s="852"/>
      <c r="K49" s="72" t="s">
        <v>1</v>
      </c>
      <c r="L49" s="105">
        <f>SUM(L44:L44)</f>
        <v>5221201</v>
      </c>
      <c r="M49" s="73">
        <f>SUM(M44:M44)</f>
        <v>8.1773556142268541E-2</v>
      </c>
      <c r="N49" s="72" t="s">
        <v>1</v>
      </c>
      <c r="O49" s="105">
        <f>SUM(O44:O45)</f>
        <v>17893427</v>
      </c>
      <c r="P49" s="73">
        <f>SUM(P44:P45)</f>
        <v>0.39694046801052674</v>
      </c>
      <c r="Q49" s="72" t="s">
        <v>1</v>
      </c>
      <c r="R49" s="105">
        <f>SUM(R44:R46)</f>
        <v>25915693</v>
      </c>
      <c r="S49" s="73">
        <f>SUM(S44:S46)</f>
        <v>0.52258382461357877</v>
      </c>
      <c r="T49" s="72" t="s">
        <v>1</v>
      </c>
      <c r="U49" s="105">
        <f>SUM(U44:U47)</f>
        <v>54381437</v>
      </c>
      <c r="V49" s="632">
        <f>SUM(V44:V47)</f>
        <v>0.85171275566995797</v>
      </c>
      <c r="W49" s="72" t="s">
        <v>1</v>
      </c>
      <c r="X49" s="105">
        <f>SUM(X44:X48)</f>
        <v>65056876</v>
      </c>
      <c r="Y49" s="632">
        <f>SUM(Y44:Y48)</f>
        <v>1.0189096535503237</v>
      </c>
      <c r="Z49" s="302"/>
      <c r="AA49" s="302"/>
      <c r="AB49" s="302"/>
    </row>
    <row r="50" spans="1:28" s="189" customFormat="1" x14ac:dyDescent="0.3">
      <c r="A50" s="183"/>
      <c r="B50" s="184"/>
      <c r="C50" s="184"/>
      <c r="D50" s="185"/>
      <c r="G50" s="852"/>
      <c r="I50" s="852"/>
      <c r="K50" s="72" t="s">
        <v>9</v>
      </c>
      <c r="L50" s="1285"/>
      <c r="M50" s="1286"/>
      <c r="N50" s="72" t="s">
        <v>9</v>
      </c>
      <c r="O50" s="1285"/>
      <c r="P50" s="1286"/>
      <c r="Q50" s="72" t="s">
        <v>9</v>
      </c>
      <c r="R50" s="1285"/>
      <c r="S50" s="1286"/>
      <c r="T50" s="72" t="s">
        <v>9</v>
      </c>
      <c r="U50" s="1285"/>
      <c r="V50" s="1286"/>
      <c r="W50" s="72" t="s">
        <v>9</v>
      </c>
      <c r="X50" s="1285"/>
      <c r="Y50" s="1286"/>
      <c r="Z50" s="302"/>
      <c r="AA50" s="302"/>
      <c r="AB50" s="302"/>
    </row>
    <row r="51" spans="1:28" s="189" customFormat="1" x14ac:dyDescent="0.3">
      <c r="A51" s="183"/>
      <c r="B51" s="184"/>
      <c r="C51" s="184"/>
      <c r="D51" s="185"/>
      <c r="G51" s="852"/>
      <c r="I51" s="852"/>
      <c r="K51" s="156" t="s">
        <v>78</v>
      </c>
      <c r="L51" s="1285" t="s">
        <v>188</v>
      </c>
      <c r="M51" s="1286"/>
      <c r="N51" s="156" t="s">
        <v>78</v>
      </c>
      <c r="O51" s="1285" t="s">
        <v>188</v>
      </c>
      <c r="P51" s="1286"/>
      <c r="Q51" s="156" t="s">
        <v>78</v>
      </c>
      <c r="R51" s="1285" t="s">
        <v>188</v>
      </c>
      <c r="S51" s="1286"/>
      <c r="T51" s="156" t="s">
        <v>78</v>
      </c>
      <c r="U51" s="1285" t="s">
        <v>188</v>
      </c>
      <c r="V51" s="1286"/>
      <c r="W51" s="156" t="s">
        <v>78</v>
      </c>
      <c r="X51" s="1285" t="s">
        <v>2223</v>
      </c>
      <c r="Y51" s="1286"/>
      <c r="Z51" s="302"/>
      <c r="AA51" s="302"/>
      <c r="AB51" s="302"/>
    </row>
    <row r="52" spans="1:28" s="189" customFormat="1" x14ac:dyDescent="0.3">
      <c r="A52" s="183"/>
      <c r="B52" s="184"/>
      <c r="C52" s="184"/>
      <c r="D52" s="185"/>
      <c r="G52" s="852"/>
      <c r="I52" s="852"/>
      <c r="K52" s="157" t="s">
        <v>8</v>
      </c>
      <c r="L52" s="1287" t="s">
        <v>1205</v>
      </c>
      <c r="M52" s="1288"/>
      <c r="N52" s="157" t="s">
        <v>8</v>
      </c>
      <c r="O52" s="1287" t="s">
        <v>1205</v>
      </c>
      <c r="P52" s="1288"/>
      <c r="Q52" s="157" t="s">
        <v>8</v>
      </c>
      <c r="R52" s="1287" t="s">
        <v>1205</v>
      </c>
      <c r="S52" s="1288"/>
      <c r="T52" s="157" t="s">
        <v>8</v>
      </c>
      <c r="U52" s="1287" t="s">
        <v>1205</v>
      </c>
      <c r="V52" s="1288"/>
      <c r="W52" s="157" t="s">
        <v>8</v>
      </c>
      <c r="X52" s="1285" t="s">
        <v>2224</v>
      </c>
      <c r="Y52" s="1286"/>
      <c r="Z52" s="302"/>
      <c r="AA52" s="302"/>
      <c r="AB52" s="302"/>
    </row>
    <row r="53" spans="1:28" s="189" customFormat="1" x14ac:dyDescent="0.3">
      <c r="A53" s="183"/>
      <c r="B53" s="184"/>
      <c r="C53" s="184"/>
      <c r="D53" s="185" t="s">
        <v>75</v>
      </c>
      <c r="G53" s="852"/>
      <c r="I53" s="852"/>
      <c r="T53" s="603"/>
      <c r="U53" s="603"/>
      <c r="V53" s="609"/>
      <c r="W53" s="852"/>
      <c r="X53" s="852"/>
      <c r="Y53" s="609"/>
    </row>
    <row r="54" spans="1:28" s="189" customFormat="1" x14ac:dyDescent="0.3">
      <c r="A54" s="183" t="s">
        <v>76</v>
      </c>
      <c r="B54" s="180"/>
      <c r="C54" s="180"/>
      <c r="D54" s="185" t="s">
        <v>77</v>
      </c>
      <c r="G54" s="852"/>
      <c r="I54" s="852"/>
      <c r="T54" s="603"/>
      <c r="U54" s="603"/>
      <c r="V54" s="609"/>
      <c r="W54" s="852"/>
      <c r="X54" s="852"/>
      <c r="Y54" s="609"/>
    </row>
    <row r="55" spans="1:28" s="189" customFormat="1" x14ac:dyDescent="0.3">
      <c r="A55" s="183" t="s">
        <v>79</v>
      </c>
      <c r="B55" s="180"/>
      <c r="C55" s="180"/>
      <c r="D55" s="185" t="s">
        <v>80</v>
      </c>
      <c r="G55" s="852"/>
      <c r="I55" s="852"/>
      <c r="T55" s="603"/>
      <c r="U55" s="603"/>
      <c r="V55" s="609"/>
      <c r="W55" s="852"/>
      <c r="X55" s="852"/>
      <c r="Y55" s="609"/>
    </row>
  </sheetData>
  <sheetProtection formatCells="0" formatColumns="0" formatRows="0" insertColumns="0" insertRows="0" insertHyperlinks="0" deleteColumns="0" deleteRows="0" sort="0" autoFilter="0" pivotTables="0"/>
  <mergeCells count="61">
    <mergeCell ref="R52:S52"/>
    <mergeCell ref="C1:S2"/>
    <mergeCell ref="J18:J20"/>
    <mergeCell ref="N11:P12"/>
    <mergeCell ref="J27:J28"/>
    <mergeCell ref="A6:AB6"/>
    <mergeCell ref="A7:AB7"/>
    <mergeCell ref="A8:AB8"/>
    <mergeCell ref="J14:J17"/>
    <mergeCell ref="Q11:S12"/>
    <mergeCell ref="Z1:AB1"/>
    <mergeCell ref="Z2:AB2"/>
    <mergeCell ref="A3:AB3"/>
    <mergeCell ref="A4:AB4"/>
    <mergeCell ref="A5:AB5"/>
    <mergeCell ref="A9:AB9"/>
    <mergeCell ref="A10:AB10"/>
    <mergeCell ref="A27:A28"/>
    <mergeCell ref="B27:B28"/>
    <mergeCell ref="A25:A26"/>
    <mergeCell ref="B25:B26"/>
    <mergeCell ref="B11:J11"/>
    <mergeCell ref="K11:M12"/>
    <mergeCell ref="J25:J26"/>
    <mergeCell ref="A23:A24"/>
    <mergeCell ref="B23:B24"/>
    <mergeCell ref="J23:J24"/>
    <mergeCell ref="A21:A22"/>
    <mergeCell ref="B21:B22"/>
    <mergeCell ref="J21:J22"/>
    <mergeCell ref="A14:A17"/>
    <mergeCell ref="A18:A20"/>
    <mergeCell ref="B18:B20"/>
    <mergeCell ref="B14:B17"/>
    <mergeCell ref="X50:Y50"/>
    <mergeCell ref="A33:A34"/>
    <mergeCell ref="B33:B34"/>
    <mergeCell ref="J33:J34"/>
    <mergeCell ref="A29:A30"/>
    <mergeCell ref="B29:B30"/>
    <mergeCell ref="A31:A32"/>
    <mergeCell ref="B31:B32"/>
    <mergeCell ref="J31:J32"/>
    <mergeCell ref="J29:J30"/>
    <mergeCell ref="R50:S50"/>
    <mergeCell ref="X51:Y51"/>
    <mergeCell ref="X52:Y52"/>
    <mergeCell ref="Z11:AB12"/>
    <mergeCell ref="B12:J12"/>
    <mergeCell ref="T11:V12"/>
    <mergeCell ref="W11:Y12"/>
    <mergeCell ref="O51:P51"/>
    <mergeCell ref="O52:P52"/>
    <mergeCell ref="L50:M50"/>
    <mergeCell ref="L51:M51"/>
    <mergeCell ref="L52:M52"/>
    <mergeCell ref="O50:P50"/>
    <mergeCell ref="U50:V50"/>
    <mergeCell ref="U51:V51"/>
    <mergeCell ref="U52:V52"/>
    <mergeCell ref="R51:S51"/>
  </mergeCells>
  <pageMargins left="0.7" right="0.7" top="0.75" bottom="0.75" header="0.3" footer="0.3"/>
  <pageSetup orientation="portrait" r:id="rId1"/>
  <drawing r:id="rId2"/>
  <legacyDrawing r:id="rId3"/>
  <legacyDrawingHF r:id="rId4"/>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6">
    <tabColor theme="1"/>
  </sheetPr>
  <dimension ref="A1:G49"/>
  <sheetViews>
    <sheetView topLeftCell="A16" zoomScaleNormal="100" workbookViewId="0">
      <selection activeCell="E28" sqref="E28:E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RESUMEN!G84</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RESUMEN!B84</f>
        <v>D00249389</v>
      </c>
      <c r="C7" s="1265"/>
      <c r="D7" s="1177"/>
      <c r="E7" s="1266" t="s">
        <v>627</v>
      </c>
      <c r="F7" s="1267"/>
      <c r="G7" s="280" t="str">
        <f>RESUMEN!E84</f>
        <v>17-334</v>
      </c>
    </row>
    <row r="8" spans="1:7" x14ac:dyDescent="0.25">
      <c r="A8" s="271" t="s">
        <v>628</v>
      </c>
      <c r="B8" s="1264" t="str">
        <f>RESUMEN!C84</f>
        <v>D00249389000</v>
      </c>
      <c r="C8" s="1265"/>
      <c r="D8" s="1177"/>
      <c r="E8" s="1266" t="s">
        <v>629</v>
      </c>
      <c r="F8" s="1267"/>
      <c r="G8" s="280" t="str">
        <f>RESUMEN!U84</f>
        <v>Acta N° 5: Marzo</v>
      </c>
    </row>
    <row r="9" spans="1:7" x14ac:dyDescent="0.25">
      <c r="A9" s="271" t="s">
        <v>630</v>
      </c>
      <c r="B9" s="1283" t="s">
        <v>631</v>
      </c>
      <c r="C9" s="1265"/>
      <c r="D9" s="1177"/>
      <c r="E9" s="1266" t="s">
        <v>632</v>
      </c>
      <c r="F9" s="1267"/>
      <c r="G9" s="1178">
        <f>RESUMEN!H84</f>
        <v>12492546.98</v>
      </c>
    </row>
    <row r="10" spans="1:7" x14ac:dyDescent="0.25">
      <c r="A10" s="271" t="s">
        <v>633</v>
      </c>
      <c r="B10" s="1283" t="str">
        <f>RESUMEN!D84</f>
        <v>VICTORIA</v>
      </c>
      <c r="C10" s="1265"/>
      <c r="D10" s="1177"/>
      <c r="E10" s="1266" t="s">
        <v>634</v>
      </c>
      <c r="F10" s="1267"/>
      <c r="G10" s="1178">
        <f>RESUMEN!R84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",RESUMEN!G84)</f>
        <v>A los 14 días del mes de Marzo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RESUMEN!N84</f>
        <v>0</v>
      </c>
      <c r="F19" s="1248"/>
      <c r="G19" s="1177"/>
    </row>
    <row r="20" spans="1:7" ht="27" customHeight="1" x14ac:dyDescent="0.25">
      <c r="A20" s="1177"/>
      <c r="B20" s="1244" t="s">
        <v>1498</v>
      </c>
      <c r="C20" s="1245"/>
      <c r="D20" s="1246"/>
      <c r="E20" s="1247">
        <f>RESUMEN!P84</f>
        <v>0</v>
      </c>
      <c r="F20" s="1248"/>
      <c r="G20" s="1177"/>
    </row>
    <row r="21" spans="1:7" ht="27" customHeight="1" x14ac:dyDescent="0.25">
      <c r="A21" s="1177"/>
      <c r="B21" s="1244" t="s">
        <v>1499</v>
      </c>
      <c r="C21" s="1245"/>
      <c r="D21" s="1246"/>
      <c r="E21" s="1247">
        <f>RESUMEN!Q84</f>
        <v>0</v>
      </c>
      <c r="F21" s="1248"/>
      <c r="G21" s="1177"/>
    </row>
    <row r="22" spans="1:7" x14ac:dyDescent="0.25">
      <c r="A22" s="1177"/>
      <c r="B22" s="1254" t="s">
        <v>64</v>
      </c>
      <c r="C22" s="1254"/>
      <c r="D22" s="1254"/>
      <c r="E22" s="1255">
        <f>RESUMEN!R84</f>
        <v>0</v>
      </c>
      <c r="F22" s="1255"/>
      <c r="G22" s="1177"/>
    </row>
    <row r="23" spans="1:7" x14ac:dyDescent="0.25">
      <c r="A23" s="1177"/>
      <c r="B23" s="1256" t="s">
        <v>66</v>
      </c>
      <c r="C23" s="1256"/>
      <c r="D23" s="1256"/>
      <c r="E23" s="1257">
        <f>RESUMEN!S84</f>
        <v>0</v>
      </c>
      <c r="F23" s="1257"/>
      <c r="G23" s="1177"/>
    </row>
    <row r="24" spans="1:7" x14ac:dyDescent="0.25">
      <c r="A24" s="1177"/>
      <c r="B24" s="1258" t="s">
        <v>1</v>
      </c>
      <c r="C24" s="1258"/>
      <c r="D24" s="1258"/>
      <c r="E24" s="1259">
        <f>RESUMEN!T84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+'OT17-334 VICTORIA '!W67</f>
        <v>ACTA 1</v>
      </c>
      <c r="C28" s="1253">
        <f>+'OT17-334 VICTORIA '!X67</f>
        <v>1291894</v>
      </c>
      <c r="D28" s="1253"/>
      <c r="E28" s="267">
        <f>+'OT17-334 VICTORIA '!Y67</f>
        <v>0.10341317923945081</v>
      </c>
      <c r="F28" s="1177"/>
      <c r="G28" s="1177"/>
    </row>
    <row r="29" spans="1:7" x14ac:dyDescent="0.25">
      <c r="A29" s="1177"/>
      <c r="B29" s="280" t="str">
        <f>+'OT17-334 VICTORIA '!W68</f>
        <v>ACTA 2</v>
      </c>
      <c r="C29" s="1253">
        <f>+'OT17-334 VICTORIA '!X68</f>
        <v>6226953</v>
      </c>
      <c r="D29" s="1253"/>
      <c r="E29" s="267">
        <f>+'OT17-334 VICTORIA '!Y68</f>
        <v>0.49845343867580155</v>
      </c>
      <c r="F29" s="1177"/>
      <c r="G29" s="1177"/>
    </row>
    <row r="30" spans="1:7" x14ac:dyDescent="0.25">
      <c r="A30" s="1177"/>
      <c r="B30" s="280" t="str">
        <f>+'OT17-334 VICTORIA '!W69</f>
        <v>ACTA 3</v>
      </c>
      <c r="C30" s="1253">
        <f>+'OT17-334 VICTORIA '!X69</f>
        <v>748414</v>
      </c>
      <c r="D30" s="1253"/>
      <c r="E30" s="267">
        <f>+'OT17-334 VICTORIA '!Y69</f>
        <v>5.9908840142700828E-2</v>
      </c>
      <c r="F30" s="1177"/>
      <c r="G30" s="1177"/>
    </row>
    <row r="31" spans="1:7" x14ac:dyDescent="0.25">
      <c r="A31" s="1177"/>
      <c r="B31" s="280" t="str">
        <f>+'OT17-334 VICTORIA '!W70</f>
        <v>ACTA 4</v>
      </c>
      <c r="C31" s="1253">
        <f>+'OT17-334 VICTORIA '!X70</f>
        <v>2867739</v>
      </c>
      <c r="D31" s="1253"/>
      <c r="E31" s="267">
        <f>+'OT17-334 VICTORIA '!Y70</f>
        <v>0.2295559908312628</v>
      </c>
      <c r="F31" s="1177"/>
      <c r="G31" s="1177"/>
    </row>
    <row r="32" spans="1:7" x14ac:dyDescent="0.25">
      <c r="A32" s="1177"/>
      <c r="B32" s="280" t="str">
        <f>+'OT17-334 VICTORIA '!W71</f>
        <v>ACTA 5</v>
      </c>
      <c r="C32" s="1253">
        <f>+'OT17-334 VICTORIA '!X71</f>
        <v>0</v>
      </c>
      <c r="D32" s="1253"/>
      <c r="E32" s="267">
        <f>+'OT17-334 VICTORIA '!Y71</f>
        <v>0</v>
      </c>
      <c r="F32" s="1177"/>
      <c r="G32" s="1177"/>
    </row>
    <row r="33" spans="1:7" x14ac:dyDescent="0.25">
      <c r="A33" s="1177"/>
      <c r="B33" s="280"/>
      <c r="C33" s="1253"/>
      <c r="D33" s="1253"/>
      <c r="E33" s="267"/>
      <c r="F33" s="1177"/>
      <c r="G33" s="1177"/>
    </row>
    <row r="34" spans="1:7" x14ac:dyDescent="0.25">
      <c r="A34" s="1177"/>
      <c r="B34" s="263" t="s">
        <v>1</v>
      </c>
      <c r="C34" s="1251">
        <f>SUM(C28:D33)</f>
        <v>11135000</v>
      </c>
      <c r="D34" s="1251"/>
      <c r="E34" s="264">
        <f>SUM(E28:E33)</f>
        <v>0.89133144888921589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RESUMEN!V84</f>
        <v>Ing. Hernán Giraldo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7">
    <tabColor rgb="FF72104A"/>
  </sheetPr>
  <dimension ref="A1:AE77"/>
  <sheetViews>
    <sheetView topLeftCell="H49" zoomScale="70" zoomScaleNormal="70" workbookViewId="0">
      <selection activeCell="U26" sqref="U26"/>
    </sheetView>
  </sheetViews>
  <sheetFormatPr baseColWidth="10" defaultColWidth="9.109375" defaultRowHeight="14.4" x14ac:dyDescent="0.3"/>
  <cols>
    <col min="1" max="1" width="18.44140625" style="302" customWidth="1"/>
    <col min="2" max="2" width="33.44140625" style="302" customWidth="1"/>
    <col min="3" max="3" width="39.44140625" style="302" customWidth="1"/>
    <col min="4" max="4" width="29" style="302" customWidth="1"/>
    <col min="5" max="5" width="15.6640625" style="302" customWidth="1"/>
    <col min="6" max="6" width="17.88671875" style="302" customWidth="1"/>
    <col min="7" max="7" width="17.88671875" style="849" customWidth="1"/>
    <col min="8" max="8" width="17.88671875" style="302" customWidth="1"/>
    <col min="9" max="9" width="17.88671875" style="849" customWidth="1"/>
    <col min="10" max="10" width="37.88671875" style="302" customWidth="1"/>
    <col min="11" max="11" width="17.88671875" style="302" hidden="1" customWidth="1"/>
    <col min="12" max="12" width="17.33203125" style="302" hidden="1" customWidth="1"/>
    <col min="13" max="13" width="9.109375" style="302" hidden="1" customWidth="1"/>
    <col min="14" max="14" width="13.6640625" style="302" hidden="1" customWidth="1"/>
    <col min="15" max="15" width="17.33203125" style="302" hidden="1" customWidth="1"/>
    <col min="16" max="16" width="9.109375" style="302" hidden="1" customWidth="1"/>
    <col min="17" max="17" width="13.6640625" style="735" hidden="1" customWidth="1"/>
    <col min="18" max="18" width="17.33203125" style="735" hidden="1" customWidth="1"/>
    <col min="19" max="19" width="9.109375" style="735" hidden="1" customWidth="1"/>
    <col min="20" max="20" width="13.6640625" style="849" customWidth="1"/>
    <col min="21" max="21" width="17.33203125" style="849" customWidth="1"/>
    <col min="22" max="22" width="9.109375" style="849"/>
    <col min="23" max="23" width="16.5546875" style="1054" customWidth="1"/>
    <col min="24" max="24" width="16.77734375" style="1054" customWidth="1"/>
    <col min="25" max="25" width="14.33203125" style="1054" customWidth="1"/>
    <col min="26" max="26" width="17.88671875" style="302" bestFit="1" customWidth="1"/>
    <col min="27" max="27" width="18" style="302" customWidth="1"/>
    <col min="28" max="16384" width="9.109375" style="302"/>
  </cols>
  <sheetData>
    <row r="1" spans="1:28" s="437" customFormat="1" ht="22.5" customHeight="1" thickBot="1" x14ac:dyDescent="0.35">
      <c r="A1" s="169"/>
      <c r="B1" s="188"/>
      <c r="C1" s="1307" t="s">
        <v>40</v>
      </c>
      <c r="D1" s="1308"/>
      <c r="E1" s="1308"/>
      <c r="F1" s="1308"/>
      <c r="G1" s="1308"/>
      <c r="H1" s="1308"/>
      <c r="I1" s="1308"/>
      <c r="J1" s="1308"/>
      <c r="K1" s="1308"/>
      <c r="L1" s="1308"/>
      <c r="M1" s="1308"/>
      <c r="N1" s="1308"/>
      <c r="O1" s="1308"/>
      <c r="P1" s="1309"/>
      <c r="Q1" s="733"/>
      <c r="R1" s="733"/>
      <c r="S1" s="733"/>
      <c r="T1" s="846"/>
      <c r="U1" s="846"/>
      <c r="V1" s="846"/>
      <c r="W1" s="1052"/>
      <c r="X1" s="1052"/>
      <c r="Y1" s="1052"/>
      <c r="Z1" s="1328" t="s">
        <v>857</v>
      </c>
      <c r="AA1" s="1303"/>
      <c r="AB1" s="1304"/>
    </row>
    <row r="2" spans="1:28" s="437" customFormat="1" ht="13.5" customHeight="1" thickBot="1" x14ac:dyDescent="0.35">
      <c r="A2" s="170"/>
      <c r="B2" s="190"/>
      <c r="C2" s="1310"/>
      <c r="D2" s="1311"/>
      <c r="E2" s="1311"/>
      <c r="F2" s="1311"/>
      <c r="G2" s="1311"/>
      <c r="H2" s="1311"/>
      <c r="I2" s="1311"/>
      <c r="J2" s="1311"/>
      <c r="K2" s="1311"/>
      <c r="L2" s="1311"/>
      <c r="M2" s="1311"/>
      <c r="N2" s="1311"/>
      <c r="O2" s="1311"/>
      <c r="P2" s="1312"/>
      <c r="Q2" s="734"/>
      <c r="R2" s="734"/>
      <c r="S2" s="734"/>
      <c r="T2" s="847"/>
      <c r="U2" s="847"/>
      <c r="V2" s="847"/>
      <c r="W2" s="1053"/>
      <c r="X2" s="1053"/>
      <c r="Y2" s="1053"/>
      <c r="Z2" s="1329" t="s">
        <v>41</v>
      </c>
      <c r="AA2" s="1305"/>
      <c r="AB2" s="1306"/>
    </row>
    <row r="3" spans="1:28" s="437"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row>
    <row r="4" spans="1:28" s="437"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row>
    <row r="5" spans="1:28" s="437"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row>
    <row r="6" spans="1:28" s="437"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row>
    <row r="7" spans="1:28" s="437" customFormat="1" x14ac:dyDescent="0.3">
      <c r="A7" s="1291" t="s">
        <v>312</v>
      </c>
      <c r="B7" s="1292"/>
      <c r="C7" s="1292"/>
      <c r="D7" s="1292"/>
      <c r="E7" s="1292"/>
      <c r="F7" s="1292"/>
      <c r="G7" s="1292"/>
      <c r="H7" s="1292"/>
      <c r="I7" s="1292"/>
      <c r="J7" s="1292"/>
      <c r="K7" s="1292"/>
      <c r="L7" s="1292"/>
      <c r="M7" s="1292"/>
      <c r="N7" s="1292"/>
      <c r="O7" s="1292"/>
      <c r="P7" s="1292"/>
      <c r="Q7" s="1292"/>
      <c r="R7" s="1292"/>
      <c r="S7" s="1292"/>
      <c r="T7" s="1292"/>
      <c r="U7" s="1292"/>
      <c r="V7" s="1292"/>
      <c r="W7" s="1292"/>
      <c r="X7" s="1292"/>
      <c r="Y7" s="1292"/>
      <c r="Z7" s="1292"/>
      <c r="AA7" s="1292"/>
      <c r="AB7" s="1292"/>
    </row>
    <row r="8" spans="1:28" s="437" customFormat="1" ht="13.5" customHeight="1" x14ac:dyDescent="0.3">
      <c r="A8" s="1292" t="s">
        <v>2321</v>
      </c>
      <c r="B8" s="1292"/>
      <c r="C8" s="1292"/>
      <c r="D8" s="1292"/>
      <c r="E8" s="1292"/>
      <c r="F8" s="1292"/>
      <c r="G8" s="1292"/>
      <c r="H8" s="1292"/>
      <c r="I8" s="1292"/>
      <c r="J8" s="1292"/>
      <c r="K8" s="1292"/>
      <c r="L8" s="1292"/>
      <c r="M8" s="1292"/>
      <c r="N8" s="1292"/>
      <c r="O8" s="1292"/>
      <c r="P8" s="1292"/>
      <c r="Q8" s="1292"/>
      <c r="R8" s="1292"/>
      <c r="S8" s="1292"/>
      <c r="T8" s="1292"/>
      <c r="U8" s="1292"/>
      <c r="V8" s="1292"/>
      <c r="W8" s="1292"/>
      <c r="X8" s="1292"/>
      <c r="Y8" s="1292"/>
      <c r="Z8" s="1292"/>
      <c r="AA8" s="1292"/>
      <c r="AB8" s="1292"/>
    </row>
    <row r="9" spans="1:28" s="437"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c r="W9" s="1292"/>
      <c r="X9" s="1292"/>
      <c r="Y9" s="1292"/>
      <c r="Z9" s="1292"/>
      <c r="AA9" s="1292"/>
      <c r="AB9" s="1292"/>
    </row>
    <row r="10" spans="1:28" s="437" customFormat="1" ht="13.5" customHeight="1" x14ac:dyDescent="0.3">
      <c r="A10" s="1292" t="s">
        <v>1421</v>
      </c>
      <c r="B10" s="1292"/>
      <c r="C10" s="1292"/>
      <c r="D10" s="1292"/>
      <c r="E10" s="1292"/>
      <c r="F10" s="1292"/>
      <c r="G10" s="1292"/>
      <c r="H10" s="1292"/>
      <c r="I10" s="1292"/>
      <c r="J10" s="1292"/>
      <c r="K10" s="1292"/>
      <c r="L10" s="1292"/>
      <c r="M10" s="1292"/>
      <c r="N10" s="1292"/>
      <c r="O10" s="1292"/>
      <c r="P10" s="1292"/>
      <c r="Q10" s="1292"/>
      <c r="R10" s="1292"/>
      <c r="S10" s="1292"/>
      <c r="T10" s="1292"/>
      <c r="U10" s="1292"/>
      <c r="V10" s="1292"/>
      <c r="W10" s="1292"/>
      <c r="X10" s="1292"/>
      <c r="Y10" s="1292"/>
      <c r="Z10" s="1292"/>
      <c r="AA10" s="1292"/>
      <c r="AB10" s="1292"/>
    </row>
    <row r="11" spans="1:28" s="437" customFormat="1" ht="13.5" customHeight="1" x14ac:dyDescent="0.3">
      <c r="A11" s="476"/>
      <c r="B11" s="1301"/>
      <c r="C11" s="1313"/>
      <c r="D11" s="1313"/>
      <c r="E11" s="1313"/>
      <c r="F11" s="1313"/>
      <c r="G11" s="1313"/>
      <c r="H11" s="1313"/>
      <c r="I11" s="1313"/>
      <c r="J11" s="1313"/>
      <c r="K11" s="1293" t="s">
        <v>1409</v>
      </c>
      <c r="L11" s="1294"/>
      <c r="M11" s="1295"/>
      <c r="N11" s="1470" t="s">
        <v>1430</v>
      </c>
      <c r="O11" s="1471"/>
      <c r="P11" s="1472"/>
      <c r="Q11" s="1470" t="s">
        <v>1978</v>
      </c>
      <c r="R11" s="1471"/>
      <c r="S11" s="1472"/>
      <c r="T11" s="1470" t="s">
        <v>2091</v>
      </c>
      <c r="U11" s="1471"/>
      <c r="V11" s="1472"/>
      <c r="W11" s="1470" t="s">
        <v>2328</v>
      </c>
      <c r="X11" s="1471"/>
      <c r="Y11" s="1472"/>
      <c r="Z11" s="1299" t="s">
        <v>49</v>
      </c>
      <c r="AA11" s="1299"/>
      <c r="AB11" s="1299"/>
    </row>
    <row r="12" spans="1:28" s="437" customFormat="1" ht="13.5" customHeight="1" x14ac:dyDescent="0.3">
      <c r="A12" s="171"/>
      <c r="B12" s="1301"/>
      <c r="C12" s="1302"/>
      <c r="D12" s="1302"/>
      <c r="E12" s="1302"/>
      <c r="F12" s="1302"/>
      <c r="G12" s="1302"/>
      <c r="H12" s="1302"/>
      <c r="I12" s="1302"/>
      <c r="J12" s="1302"/>
      <c r="K12" s="1325"/>
      <c r="L12" s="1326"/>
      <c r="M12" s="1327"/>
      <c r="N12" s="1473"/>
      <c r="O12" s="1474"/>
      <c r="P12" s="1475"/>
      <c r="Q12" s="1473"/>
      <c r="R12" s="1474"/>
      <c r="S12" s="1475"/>
      <c r="T12" s="1473"/>
      <c r="U12" s="1474"/>
      <c r="V12" s="1475"/>
      <c r="W12" s="1473"/>
      <c r="X12" s="1474"/>
      <c r="Y12" s="1475"/>
      <c r="Z12" s="1300"/>
      <c r="AA12" s="1300"/>
      <c r="AB12" s="1300"/>
    </row>
    <row r="13" spans="1:28" ht="28.8" x14ac:dyDescent="0.3">
      <c r="A13" s="159" t="s">
        <v>50</v>
      </c>
      <c r="B13" s="159" t="s">
        <v>51</v>
      </c>
      <c r="C13" s="159" t="s">
        <v>52</v>
      </c>
      <c r="D13" s="159" t="s">
        <v>164</v>
      </c>
      <c r="E13" s="159" t="s">
        <v>54</v>
      </c>
      <c r="F13" s="141" t="s">
        <v>55</v>
      </c>
      <c r="G13" s="821" t="s">
        <v>2007</v>
      </c>
      <c r="H13" s="159" t="s">
        <v>56</v>
      </c>
      <c r="I13" s="822" t="s">
        <v>56</v>
      </c>
      <c r="J13" s="159" t="s">
        <v>57</v>
      </c>
      <c r="K13" s="28" t="s">
        <v>54</v>
      </c>
      <c r="L13" s="28" t="s">
        <v>56</v>
      </c>
      <c r="M13" s="28" t="s">
        <v>58</v>
      </c>
      <c r="N13" s="28" t="s">
        <v>54</v>
      </c>
      <c r="O13" s="28" t="s">
        <v>56</v>
      </c>
      <c r="P13" s="28" t="s">
        <v>58</v>
      </c>
      <c r="Q13" s="28" t="s">
        <v>54</v>
      </c>
      <c r="R13" s="28" t="s">
        <v>56</v>
      </c>
      <c r="S13" s="28" t="s">
        <v>58</v>
      </c>
      <c r="T13" s="28" t="s">
        <v>54</v>
      </c>
      <c r="U13" s="28" t="s">
        <v>56</v>
      </c>
      <c r="V13" s="28" t="s">
        <v>58</v>
      </c>
      <c r="W13" s="28" t="s">
        <v>54</v>
      </c>
      <c r="X13" s="28" t="s">
        <v>56</v>
      </c>
      <c r="Y13" s="28" t="s">
        <v>58</v>
      </c>
      <c r="Z13" s="174" t="s">
        <v>54</v>
      </c>
      <c r="AA13" s="172" t="s">
        <v>56</v>
      </c>
      <c r="AB13" s="28" t="s">
        <v>58</v>
      </c>
    </row>
    <row r="14" spans="1:28" ht="30" customHeight="1" x14ac:dyDescent="0.3">
      <c r="A14" s="1500" t="s">
        <v>1410</v>
      </c>
      <c r="B14" s="1289" t="s">
        <v>165</v>
      </c>
      <c r="C14" s="475" t="s">
        <v>81</v>
      </c>
      <c r="D14" s="475" t="s">
        <v>166</v>
      </c>
      <c r="E14" s="475">
        <v>0</v>
      </c>
      <c r="F14" s="32">
        <v>1149124</v>
      </c>
      <c r="G14" s="32">
        <f>+ROUND(F14*1.051,0)</f>
        <v>1207729</v>
      </c>
      <c r="H14" s="32">
        <f>ROUND((E14*F14),0)</f>
        <v>0</v>
      </c>
      <c r="I14" s="32">
        <f>+ROUND(G14*E14,0)</f>
        <v>0</v>
      </c>
      <c r="J14" s="1290" t="s">
        <v>1411</v>
      </c>
      <c r="K14" s="432">
        <v>0</v>
      </c>
      <c r="L14" s="425">
        <f>ROUND(K14*$F$14,0)</f>
        <v>0</v>
      </c>
      <c r="M14" s="426">
        <v>0</v>
      </c>
      <c r="N14" s="432">
        <v>0</v>
      </c>
      <c r="O14" s="425">
        <f>ROUND(N14*$F$14,0)</f>
        <v>0</v>
      </c>
      <c r="P14" s="426">
        <v>0</v>
      </c>
      <c r="Q14" s="432">
        <v>0</v>
      </c>
      <c r="R14" s="425">
        <f>ROUND(Q14*$F$14,0)</f>
        <v>0</v>
      </c>
      <c r="S14" s="426">
        <v>0</v>
      </c>
      <c r="T14" s="432">
        <v>0</v>
      </c>
      <c r="U14" s="425">
        <f>ROUND(T14*G14,0)</f>
        <v>0</v>
      </c>
      <c r="V14" s="604">
        <v>0</v>
      </c>
      <c r="W14" s="432">
        <v>0</v>
      </c>
      <c r="X14" s="425">
        <f>ROUND(W14*G14,0)</f>
        <v>0</v>
      </c>
      <c r="Y14" s="604">
        <v>0</v>
      </c>
      <c r="Z14" s="416">
        <f>K14+N14+Q14+T14+W14</f>
        <v>0</v>
      </c>
      <c r="AA14" s="175">
        <f>L14+O14+R14+U14+X14</f>
        <v>0</v>
      </c>
      <c r="AB14" s="176">
        <v>0</v>
      </c>
    </row>
    <row r="15" spans="1:28" ht="30" customHeight="1" x14ac:dyDescent="0.3">
      <c r="A15" s="1500"/>
      <c r="B15" s="1289"/>
      <c r="C15" s="475" t="s">
        <v>83</v>
      </c>
      <c r="D15" s="475" t="s">
        <v>167</v>
      </c>
      <c r="E15" s="475">
        <v>0</v>
      </c>
      <c r="F15" s="32">
        <v>2646468</v>
      </c>
      <c r="G15" s="32">
        <f t="shared" ref="G15:G55" si="0">+ROUND(F15*1.051,0)</f>
        <v>2781438</v>
      </c>
      <c r="H15" s="32">
        <f>ROUND((E15*F15),0)</f>
        <v>0</v>
      </c>
      <c r="I15" s="32">
        <f t="shared" ref="I15:I16" si="1">+ROUND(G15*E15,0)</f>
        <v>0</v>
      </c>
      <c r="J15" s="1289"/>
      <c r="K15" s="432">
        <v>0</v>
      </c>
      <c r="L15" s="425">
        <f>ROUND(K15*$F$15,0)</f>
        <v>0</v>
      </c>
      <c r="M15" s="426">
        <v>0</v>
      </c>
      <c r="N15" s="432">
        <v>0</v>
      </c>
      <c r="O15" s="425">
        <f>ROUND(N15*$F$15,0)</f>
        <v>0</v>
      </c>
      <c r="P15" s="426">
        <v>0</v>
      </c>
      <c r="Q15" s="432">
        <v>0</v>
      </c>
      <c r="R15" s="425">
        <f>ROUND(Q15*$F$15,0)</f>
        <v>0</v>
      </c>
      <c r="S15" s="426">
        <v>0</v>
      </c>
      <c r="T15" s="432">
        <v>0</v>
      </c>
      <c r="U15" s="425">
        <f t="shared" ref="U15:U16" si="2">ROUND(T15*G15,0)</f>
        <v>0</v>
      </c>
      <c r="V15" s="604">
        <v>0</v>
      </c>
      <c r="W15" s="432">
        <v>0</v>
      </c>
      <c r="X15" s="425">
        <f t="shared" ref="X15:X56" si="3">ROUND(W15*G15,0)</f>
        <v>0</v>
      </c>
      <c r="Y15" s="604">
        <v>0</v>
      </c>
      <c r="Z15" s="416">
        <f t="shared" ref="Z15:Z55" si="4">K15+N15+Q15+T15+W15</f>
        <v>0</v>
      </c>
      <c r="AA15" s="175">
        <f t="shared" ref="AA15:AA56" si="5">L15+O15+R15+U15+X15</f>
        <v>0</v>
      </c>
      <c r="AB15" s="176">
        <v>0</v>
      </c>
    </row>
    <row r="16" spans="1:28" ht="30" customHeight="1" x14ac:dyDescent="0.3">
      <c r="A16" s="1500"/>
      <c r="B16" s="1289"/>
      <c r="C16" s="475" t="s">
        <v>61</v>
      </c>
      <c r="D16" s="475" t="s">
        <v>168</v>
      </c>
      <c r="E16" s="475">
        <v>0.17499999999999999</v>
      </c>
      <c r="F16" s="32">
        <v>2542001</v>
      </c>
      <c r="G16" s="32">
        <f t="shared" si="0"/>
        <v>2671643</v>
      </c>
      <c r="H16" s="32">
        <f>ROUND((E16*F16),0)</f>
        <v>444850</v>
      </c>
      <c r="I16" s="32">
        <f t="shared" si="1"/>
        <v>467538</v>
      </c>
      <c r="J16" s="1289"/>
      <c r="K16" s="432">
        <v>0</v>
      </c>
      <c r="L16" s="425">
        <f>ROUND(K16*$F$16,0)</f>
        <v>0</v>
      </c>
      <c r="M16" s="426">
        <f>L16/$H$16</f>
        <v>0</v>
      </c>
      <c r="N16" s="432">
        <v>0</v>
      </c>
      <c r="O16" s="425">
        <f>ROUND(N16*$F$16,0)</f>
        <v>0</v>
      </c>
      <c r="P16" s="426">
        <f>O16/$H$16</f>
        <v>0</v>
      </c>
      <c r="Q16" s="433">
        <v>0.17499999999999999</v>
      </c>
      <c r="R16" s="429">
        <f>ROUND(Q16*$F$16,0)</f>
        <v>444850</v>
      </c>
      <c r="S16" s="430">
        <f>R16/$H$16</f>
        <v>1</v>
      </c>
      <c r="T16" s="432">
        <v>0</v>
      </c>
      <c r="U16" s="425">
        <f t="shared" si="2"/>
        <v>0</v>
      </c>
      <c r="V16" s="451">
        <f t="shared" ref="V16" si="6">+U16/I16</f>
        <v>0</v>
      </c>
      <c r="W16" s="432">
        <v>0</v>
      </c>
      <c r="X16" s="425">
        <f t="shared" si="3"/>
        <v>0</v>
      </c>
      <c r="Y16" s="1087">
        <f>+X16/I16</f>
        <v>0</v>
      </c>
      <c r="Z16" s="416">
        <f t="shared" si="4"/>
        <v>0.17499999999999999</v>
      </c>
      <c r="AA16" s="175">
        <f t="shared" si="5"/>
        <v>444850</v>
      </c>
      <c r="AB16" s="176">
        <f>AA16/H16</f>
        <v>1</v>
      </c>
    </row>
    <row r="17" spans="1:28" ht="15" customHeight="1" x14ac:dyDescent="0.3">
      <c r="A17" s="1500"/>
      <c r="B17" s="1289"/>
      <c r="C17" s="39"/>
      <c r="D17" s="39" t="s">
        <v>169</v>
      </c>
      <c r="E17" s="41"/>
      <c r="F17" s="41"/>
      <c r="G17" s="41"/>
      <c r="H17" s="42">
        <f>SUM(H14:H16)</f>
        <v>444850</v>
      </c>
      <c r="I17" s="42">
        <f>SUM(I14:I16)</f>
        <v>467538</v>
      </c>
      <c r="J17" s="1289"/>
      <c r="K17" s="431"/>
      <c r="L17" s="179">
        <f>SUM(L14:L16)</f>
        <v>0</v>
      </c>
      <c r="M17" s="431">
        <f>L17/$H$17</f>
        <v>0</v>
      </c>
      <c r="N17" s="431"/>
      <c r="O17" s="179">
        <f>SUM(O14:O16)</f>
        <v>0</v>
      </c>
      <c r="P17" s="431">
        <f>O17/$H$17</f>
        <v>0</v>
      </c>
      <c r="Q17" s="431"/>
      <c r="R17" s="179">
        <f>SUM(R14:R16)</f>
        <v>444850</v>
      </c>
      <c r="S17" s="431">
        <f>R17/$H$17</f>
        <v>1</v>
      </c>
      <c r="T17" s="431"/>
      <c r="U17" s="179">
        <f>SUM(U14:U16)</f>
        <v>0</v>
      </c>
      <c r="V17" s="431">
        <f>U17/$H$17</f>
        <v>0</v>
      </c>
      <c r="W17" s="431"/>
      <c r="X17" s="1078">
        <f t="shared" si="3"/>
        <v>0</v>
      </c>
      <c r="Y17" s="1088">
        <f t="shared" ref="Y17:Y56" si="7">+X17/I17</f>
        <v>0</v>
      </c>
      <c r="Z17" s="1093">
        <f t="shared" si="4"/>
        <v>0</v>
      </c>
      <c r="AA17" s="1078">
        <f t="shared" si="5"/>
        <v>444850</v>
      </c>
      <c r="AB17" s="431">
        <f>AA17/H17</f>
        <v>1</v>
      </c>
    </row>
    <row r="18" spans="1:28" ht="30" customHeight="1" x14ac:dyDescent="0.3">
      <c r="A18" s="1500" t="s">
        <v>151</v>
      </c>
      <c r="B18" s="1289" t="s">
        <v>217</v>
      </c>
      <c r="C18" s="475" t="s">
        <v>81</v>
      </c>
      <c r="D18" s="475" t="s">
        <v>218</v>
      </c>
      <c r="E18" s="475">
        <v>0</v>
      </c>
      <c r="F18" s="32">
        <v>1149124</v>
      </c>
      <c r="G18" s="32">
        <f t="shared" si="0"/>
        <v>1207729</v>
      </c>
      <c r="H18" s="32">
        <v>0</v>
      </c>
      <c r="I18" s="32">
        <f t="shared" ref="I18:I20" si="8">+ROUND(G18*E18,0)</f>
        <v>0</v>
      </c>
      <c r="J18" s="1501" t="s">
        <v>1412</v>
      </c>
      <c r="K18" s="432">
        <v>0</v>
      </c>
      <c r="L18" s="425">
        <f>ROUND(K18*$F$18,0)</f>
        <v>0</v>
      </c>
      <c r="M18" s="426">
        <v>0</v>
      </c>
      <c r="N18" s="432">
        <v>0</v>
      </c>
      <c r="O18" s="425">
        <f>ROUND(N18*$F$18,0)</f>
        <v>0</v>
      </c>
      <c r="P18" s="426">
        <v>0</v>
      </c>
      <c r="Q18" s="432">
        <v>0</v>
      </c>
      <c r="R18" s="425">
        <f>ROUND(Q18*$F$18,0)</f>
        <v>0</v>
      </c>
      <c r="S18" s="426">
        <v>0</v>
      </c>
      <c r="T18" s="432">
        <v>0</v>
      </c>
      <c r="U18" s="425">
        <f t="shared" ref="U18:U20" si="9">ROUND(T18*G18,0)</f>
        <v>0</v>
      </c>
      <c r="V18" s="604">
        <v>0</v>
      </c>
      <c r="W18" s="432">
        <v>0</v>
      </c>
      <c r="X18" s="425">
        <f t="shared" si="3"/>
        <v>0</v>
      </c>
      <c r="Y18" s="1087">
        <v>0</v>
      </c>
      <c r="Z18" s="416">
        <f t="shared" si="4"/>
        <v>0</v>
      </c>
      <c r="AA18" s="175">
        <f t="shared" si="5"/>
        <v>0</v>
      </c>
      <c r="AB18" s="176">
        <v>0</v>
      </c>
    </row>
    <row r="19" spans="1:28" ht="30" customHeight="1" x14ac:dyDescent="0.3">
      <c r="A19" s="1500"/>
      <c r="B19" s="1289"/>
      <c r="C19" s="475" t="s">
        <v>83</v>
      </c>
      <c r="D19" s="475" t="s">
        <v>219</v>
      </c>
      <c r="E19" s="475">
        <v>0</v>
      </c>
      <c r="F19" s="32">
        <v>2646468</v>
      </c>
      <c r="G19" s="32">
        <f t="shared" si="0"/>
        <v>2781438</v>
      </c>
      <c r="H19" s="32">
        <v>0</v>
      </c>
      <c r="I19" s="32">
        <f t="shared" si="8"/>
        <v>0</v>
      </c>
      <c r="J19" s="1501"/>
      <c r="K19" s="432">
        <v>0</v>
      </c>
      <c r="L19" s="425">
        <f>ROUND(K19*$F$19,0)</f>
        <v>0</v>
      </c>
      <c r="M19" s="426">
        <v>0</v>
      </c>
      <c r="N19" s="432">
        <v>0</v>
      </c>
      <c r="O19" s="425">
        <f>ROUND(N19*$F$19,0)</f>
        <v>0</v>
      </c>
      <c r="P19" s="426">
        <v>0</v>
      </c>
      <c r="Q19" s="432">
        <v>0</v>
      </c>
      <c r="R19" s="425">
        <f>ROUND(Q19*$F$19,0)</f>
        <v>0</v>
      </c>
      <c r="S19" s="426">
        <v>0</v>
      </c>
      <c r="T19" s="432">
        <v>0</v>
      </c>
      <c r="U19" s="425">
        <f t="shared" si="9"/>
        <v>0</v>
      </c>
      <c r="V19" s="604">
        <v>0</v>
      </c>
      <c r="W19" s="432">
        <v>0</v>
      </c>
      <c r="X19" s="425">
        <f t="shared" si="3"/>
        <v>0</v>
      </c>
      <c r="Y19" s="1087">
        <v>0</v>
      </c>
      <c r="Z19" s="416">
        <f t="shared" si="4"/>
        <v>0</v>
      </c>
      <c r="AA19" s="175">
        <f t="shared" si="5"/>
        <v>0</v>
      </c>
      <c r="AB19" s="176">
        <v>0</v>
      </c>
    </row>
    <row r="20" spans="1:28" ht="30" customHeight="1" x14ac:dyDescent="0.3">
      <c r="A20" s="1500"/>
      <c r="B20" s="1289"/>
      <c r="C20" s="475" t="s">
        <v>61</v>
      </c>
      <c r="D20" s="475" t="s">
        <v>220</v>
      </c>
      <c r="E20" s="475">
        <v>0.105</v>
      </c>
      <c r="F20" s="32">
        <v>3203618</v>
      </c>
      <c r="G20" s="32">
        <f t="shared" si="0"/>
        <v>3367003</v>
      </c>
      <c r="H20" s="32">
        <f>+F20*E20</f>
        <v>336379.89</v>
      </c>
      <c r="I20" s="32">
        <f t="shared" si="8"/>
        <v>353535</v>
      </c>
      <c r="J20" s="1501"/>
      <c r="K20" s="432">
        <v>0</v>
      </c>
      <c r="L20" s="425">
        <f>ROUND(K20*$F$20,0)</f>
        <v>0</v>
      </c>
      <c r="M20" s="426">
        <f>L20/$H$20</f>
        <v>0</v>
      </c>
      <c r="N20" s="433">
        <v>0.105</v>
      </c>
      <c r="O20" s="429">
        <f>ROUND(N20*$F$20,0)</f>
        <v>336380</v>
      </c>
      <c r="P20" s="430">
        <f>O20/$H$20</f>
        <v>1.0000003270112252</v>
      </c>
      <c r="Q20" s="432">
        <v>0</v>
      </c>
      <c r="R20" s="425">
        <f>ROUND(Q20*$F$20,0)</f>
        <v>0</v>
      </c>
      <c r="S20" s="426">
        <f>R20/$H$20</f>
        <v>0</v>
      </c>
      <c r="T20" s="432">
        <v>0</v>
      </c>
      <c r="U20" s="425">
        <f t="shared" si="9"/>
        <v>0</v>
      </c>
      <c r="V20" s="451">
        <f t="shared" ref="V20" si="10">+U20/I20</f>
        <v>0</v>
      </c>
      <c r="W20" s="432">
        <v>0</v>
      </c>
      <c r="X20" s="425">
        <f t="shared" si="3"/>
        <v>0</v>
      </c>
      <c r="Y20" s="1087">
        <f t="shared" si="7"/>
        <v>0</v>
      </c>
      <c r="Z20" s="416">
        <f t="shared" si="4"/>
        <v>0.105</v>
      </c>
      <c r="AA20" s="175">
        <f t="shared" si="5"/>
        <v>336380</v>
      </c>
      <c r="AB20" s="176">
        <f>AA20/H20</f>
        <v>1.0000003270112252</v>
      </c>
    </row>
    <row r="21" spans="1:28" ht="15" customHeight="1" x14ac:dyDescent="0.3">
      <c r="A21" s="1500"/>
      <c r="B21" s="1289"/>
      <c r="C21" s="39"/>
      <c r="D21" s="39" t="s">
        <v>221</v>
      </c>
      <c r="E21" s="41"/>
      <c r="F21" s="41"/>
      <c r="G21" s="41"/>
      <c r="H21" s="42">
        <f>+H20</f>
        <v>336379.89</v>
      </c>
      <c r="I21" s="42">
        <f>SUM(I18:I20)</f>
        <v>353535</v>
      </c>
      <c r="J21" s="1501"/>
      <c r="K21" s="431"/>
      <c r="L21" s="179">
        <f>SUM(L18:L20)</f>
        <v>0</v>
      </c>
      <c r="M21" s="431">
        <f>L21/$H$21</f>
        <v>0</v>
      </c>
      <c r="N21" s="431"/>
      <c r="O21" s="179">
        <f>SUM(O18:O20)</f>
        <v>336380</v>
      </c>
      <c r="P21" s="431">
        <f>O21/$H$21</f>
        <v>1.0000003270112252</v>
      </c>
      <c r="Q21" s="431"/>
      <c r="R21" s="179">
        <f>SUM(R18:R20)</f>
        <v>0</v>
      </c>
      <c r="S21" s="431">
        <f>R21/$H$21</f>
        <v>0</v>
      </c>
      <c r="T21" s="431"/>
      <c r="U21" s="179">
        <f>SUM(U18:U20)</f>
        <v>0</v>
      </c>
      <c r="V21" s="431">
        <f>U21/$H$21</f>
        <v>0</v>
      </c>
      <c r="W21" s="431"/>
      <c r="X21" s="1078">
        <f t="shared" si="3"/>
        <v>0</v>
      </c>
      <c r="Y21" s="1088">
        <f t="shared" si="7"/>
        <v>0</v>
      </c>
      <c r="Z21" s="1093">
        <f t="shared" si="4"/>
        <v>0</v>
      </c>
      <c r="AA21" s="1078">
        <f t="shared" si="5"/>
        <v>336380</v>
      </c>
      <c r="AB21" s="431">
        <f>AA21/H21</f>
        <v>1.0000003270112252</v>
      </c>
    </row>
    <row r="22" spans="1:28" ht="30" customHeight="1" x14ac:dyDescent="0.3">
      <c r="A22" s="1500" t="s">
        <v>151</v>
      </c>
      <c r="B22" s="1289" t="s">
        <v>170</v>
      </c>
      <c r="C22" s="475" t="s">
        <v>83</v>
      </c>
      <c r="D22" s="475" t="s">
        <v>123</v>
      </c>
      <c r="E22" s="475">
        <v>0</v>
      </c>
      <c r="F22" s="32">
        <v>1044658</v>
      </c>
      <c r="G22" s="32">
        <f t="shared" si="0"/>
        <v>1097936</v>
      </c>
      <c r="H22" s="32">
        <v>0</v>
      </c>
      <c r="I22" s="32">
        <f t="shared" ref="I22:I23" si="11">+ROUND(G22*E22,0)</f>
        <v>0</v>
      </c>
      <c r="J22" s="1501" t="s">
        <v>1413</v>
      </c>
      <c r="K22" s="432">
        <v>0</v>
      </c>
      <c r="L22" s="425">
        <f>ROUND(K22*$F$22,0)</f>
        <v>0</v>
      </c>
      <c r="M22" s="426">
        <v>0</v>
      </c>
      <c r="N22" s="432">
        <v>0</v>
      </c>
      <c r="O22" s="425">
        <f>ROUND(N22*$F$22,0)</f>
        <v>0</v>
      </c>
      <c r="P22" s="426">
        <v>0</v>
      </c>
      <c r="Q22" s="432">
        <v>0</v>
      </c>
      <c r="R22" s="425">
        <f>ROUND(Q22*$F$22,0)</f>
        <v>0</v>
      </c>
      <c r="S22" s="426">
        <v>0</v>
      </c>
      <c r="T22" s="432">
        <v>0</v>
      </c>
      <c r="U22" s="425">
        <f t="shared" ref="U22:U23" si="12">ROUND(T22*G22,0)</f>
        <v>0</v>
      </c>
      <c r="V22" s="604">
        <v>0</v>
      </c>
      <c r="W22" s="432">
        <v>0</v>
      </c>
      <c r="X22" s="425">
        <f t="shared" si="3"/>
        <v>0</v>
      </c>
      <c r="Y22" s="1087">
        <v>0</v>
      </c>
      <c r="Z22" s="416">
        <f t="shared" si="4"/>
        <v>0</v>
      </c>
      <c r="AA22" s="175">
        <f t="shared" si="5"/>
        <v>0</v>
      </c>
      <c r="AB22" s="176">
        <v>0</v>
      </c>
    </row>
    <row r="23" spans="1:28" ht="30" customHeight="1" x14ac:dyDescent="0.3">
      <c r="A23" s="1500"/>
      <c r="B23" s="1289"/>
      <c r="C23" s="475" t="s">
        <v>61</v>
      </c>
      <c r="D23" s="475" t="s">
        <v>125</v>
      </c>
      <c r="E23" s="475">
        <v>0.1</v>
      </c>
      <c r="F23" s="32">
        <v>1009836</v>
      </c>
      <c r="G23" s="32">
        <f t="shared" si="0"/>
        <v>1061338</v>
      </c>
      <c r="H23" s="32">
        <f>+F23*E23</f>
        <v>100983.6</v>
      </c>
      <c r="I23" s="32">
        <f t="shared" si="11"/>
        <v>106134</v>
      </c>
      <c r="J23" s="1502"/>
      <c r="K23" s="432">
        <v>0</v>
      </c>
      <c r="L23" s="425">
        <f>ROUND(K23*$F$23,0)</f>
        <v>0</v>
      </c>
      <c r="M23" s="426">
        <f>L23/$H$23</f>
        <v>0</v>
      </c>
      <c r="N23" s="433">
        <v>0.1</v>
      </c>
      <c r="O23" s="429">
        <f>ROUND(N23*$F$23,0)</f>
        <v>100984</v>
      </c>
      <c r="P23" s="430">
        <f>O23/$H$23</f>
        <v>1.0000039610392182</v>
      </c>
      <c r="Q23" s="432">
        <v>0</v>
      </c>
      <c r="R23" s="425">
        <f>ROUND(Q23*$F$23,0)</f>
        <v>0</v>
      </c>
      <c r="S23" s="426">
        <f>R23/$H$23</f>
        <v>0</v>
      </c>
      <c r="T23" s="432">
        <v>0</v>
      </c>
      <c r="U23" s="425">
        <f t="shared" si="12"/>
        <v>0</v>
      </c>
      <c r="V23" s="451">
        <f t="shared" ref="V23" si="13">+U23/I23</f>
        <v>0</v>
      </c>
      <c r="W23" s="432">
        <v>0</v>
      </c>
      <c r="X23" s="425">
        <f t="shared" si="3"/>
        <v>0</v>
      </c>
      <c r="Y23" s="1087">
        <f t="shared" si="7"/>
        <v>0</v>
      </c>
      <c r="Z23" s="416">
        <f t="shared" si="4"/>
        <v>0.1</v>
      </c>
      <c r="AA23" s="175">
        <f t="shared" si="5"/>
        <v>100984</v>
      </c>
      <c r="AB23" s="176">
        <f>AA23/H23</f>
        <v>1.0000039610392182</v>
      </c>
    </row>
    <row r="24" spans="1:28" ht="15" customHeight="1" x14ac:dyDescent="0.3">
      <c r="A24" s="1500"/>
      <c r="B24" s="1289"/>
      <c r="C24" s="39"/>
      <c r="D24" s="39" t="s">
        <v>126</v>
      </c>
      <c r="E24" s="41"/>
      <c r="F24" s="41"/>
      <c r="G24" s="41"/>
      <c r="H24" s="42">
        <f>+H23</f>
        <v>100983.6</v>
      </c>
      <c r="I24" s="42">
        <f>SUM(I22:I23)</f>
        <v>106134</v>
      </c>
      <c r="J24" s="1502"/>
      <c r="K24" s="431"/>
      <c r="L24" s="179">
        <f>SUM(L22:L23)</f>
        <v>0</v>
      </c>
      <c r="M24" s="431">
        <f>L24/$H$24</f>
        <v>0</v>
      </c>
      <c r="N24" s="431"/>
      <c r="O24" s="179">
        <f>SUM(O22:O23)</f>
        <v>100984</v>
      </c>
      <c r="P24" s="431">
        <f>O24/$H$24</f>
        <v>1.0000039610392182</v>
      </c>
      <c r="Q24" s="431"/>
      <c r="R24" s="179">
        <f>SUM(R22:R23)</f>
        <v>0</v>
      </c>
      <c r="S24" s="431">
        <f>R24/$H$24</f>
        <v>0</v>
      </c>
      <c r="T24" s="431"/>
      <c r="U24" s="179">
        <f>SUM(U22:U23)</f>
        <v>0</v>
      </c>
      <c r="V24" s="431">
        <f>U24/$H$24</f>
        <v>0</v>
      </c>
      <c r="W24" s="431"/>
      <c r="X24" s="1078">
        <f t="shared" si="3"/>
        <v>0</v>
      </c>
      <c r="Y24" s="1088">
        <f t="shared" si="7"/>
        <v>0</v>
      </c>
      <c r="Z24" s="1093">
        <f t="shared" si="4"/>
        <v>0</v>
      </c>
      <c r="AA24" s="1078">
        <f t="shared" si="5"/>
        <v>100984</v>
      </c>
      <c r="AB24" s="431">
        <f>AA24/H24</f>
        <v>1.0000039610392182</v>
      </c>
    </row>
    <row r="25" spans="1:28" ht="30" customHeight="1" x14ac:dyDescent="0.3">
      <c r="A25" s="1500" t="s">
        <v>1414</v>
      </c>
      <c r="B25" s="1289" t="s">
        <v>217</v>
      </c>
      <c r="C25" s="475" t="s">
        <v>81</v>
      </c>
      <c r="D25" s="475" t="s">
        <v>218</v>
      </c>
      <c r="E25" s="475">
        <v>0</v>
      </c>
      <c r="F25" s="32">
        <v>1149124</v>
      </c>
      <c r="G25" s="32">
        <f t="shared" si="0"/>
        <v>1207729</v>
      </c>
      <c r="H25" s="32">
        <v>0</v>
      </c>
      <c r="I25" s="32">
        <f t="shared" ref="I25:I27" si="14">+ROUND(G25*E25,0)</f>
        <v>0</v>
      </c>
      <c r="J25" s="1501" t="s">
        <v>1415</v>
      </c>
      <c r="K25" s="432">
        <v>0</v>
      </c>
      <c r="L25" s="425">
        <f>ROUND(K25*$F$25,0)</f>
        <v>0</v>
      </c>
      <c r="M25" s="426">
        <v>0</v>
      </c>
      <c r="N25" s="432">
        <v>0</v>
      </c>
      <c r="O25" s="425">
        <f>ROUND(N25*$F$25,0)</f>
        <v>0</v>
      </c>
      <c r="P25" s="426">
        <v>0</v>
      </c>
      <c r="Q25" s="432">
        <v>0</v>
      </c>
      <c r="R25" s="425">
        <f>ROUND(Q25*$F$25,0)</f>
        <v>0</v>
      </c>
      <c r="S25" s="426">
        <v>0</v>
      </c>
      <c r="T25" s="432">
        <v>0</v>
      </c>
      <c r="U25" s="425">
        <f t="shared" ref="U25:U27" si="15">ROUND(T25*G25,0)</f>
        <v>0</v>
      </c>
      <c r="V25" s="604">
        <v>0</v>
      </c>
      <c r="W25" s="432">
        <v>0</v>
      </c>
      <c r="X25" s="425">
        <f t="shared" si="3"/>
        <v>0</v>
      </c>
      <c r="Y25" s="1087">
        <v>0</v>
      </c>
      <c r="Z25" s="416">
        <f t="shared" si="4"/>
        <v>0</v>
      </c>
      <c r="AA25" s="175">
        <f t="shared" si="5"/>
        <v>0</v>
      </c>
      <c r="AB25" s="176">
        <v>0</v>
      </c>
    </row>
    <row r="26" spans="1:28" ht="30" customHeight="1" x14ac:dyDescent="0.3">
      <c r="A26" s="1500"/>
      <c r="B26" s="1289"/>
      <c r="C26" s="475" t="s">
        <v>83</v>
      </c>
      <c r="D26" s="475" t="s">
        <v>219</v>
      </c>
      <c r="E26" s="475">
        <v>0</v>
      </c>
      <c r="F26" s="32">
        <v>2646468</v>
      </c>
      <c r="G26" s="32">
        <f t="shared" si="0"/>
        <v>2781438</v>
      </c>
      <c r="H26" s="32">
        <v>0</v>
      </c>
      <c r="I26" s="32">
        <f t="shared" si="14"/>
        <v>0</v>
      </c>
      <c r="J26" s="1501"/>
      <c r="K26" s="432">
        <v>0</v>
      </c>
      <c r="L26" s="425">
        <f>ROUND(K26*$F$26,0)</f>
        <v>0</v>
      </c>
      <c r="M26" s="426">
        <v>0</v>
      </c>
      <c r="N26" s="432">
        <v>0</v>
      </c>
      <c r="O26" s="425">
        <f>ROUND(N26*$F$26,0)</f>
        <v>0</v>
      </c>
      <c r="P26" s="426">
        <v>0</v>
      </c>
      <c r="Q26" s="432">
        <v>0</v>
      </c>
      <c r="R26" s="425">
        <f>ROUND(Q26*$F$26,0)</f>
        <v>0</v>
      </c>
      <c r="S26" s="426">
        <v>0</v>
      </c>
      <c r="T26" s="432">
        <v>0</v>
      </c>
      <c r="U26" s="425">
        <f t="shared" si="15"/>
        <v>0</v>
      </c>
      <c r="V26" s="604">
        <v>0</v>
      </c>
      <c r="W26" s="432">
        <v>0</v>
      </c>
      <c r="X26" s="425">
        <f t="shared" si="3"/>
        <v>0</v>
      </c>
      <c r="Y26" s="1087">
        <v>0</v>
      </c>
      <c r="Z26" s="416">
        <f t="shared" si="4"/>
        <v>0</v>
      </c>
      <c r="AA26" s="175">
        <f t="shared" si="5"/>
        <v>0</v>
      </c>
      <c r="AB26" s="176">
        <v>0</v>
      </c>
    </row>
    <row r="27" spans="1:28" ht="30" customHeight="1" x14ac:dyDescent="0.3">
      <c r="A27" s="1500"/>
      <c r="B27" s="1289"/>
      <c r="C27" s="475" t="s">
        <v>61</v>
      </c>
      <c r="D27" s="475" t="s">
        <v>220</v>
      </c>
      <c r="E27" s="475">
        <v>0.105</v>
      </c>
      <c r="F27" s="32">
        <v>3203618</v>
      </c>
      <c r="G27" s="32">
        <f t="shared" si="0"/>
        <v>3367003</v>
      </c>
      <c r="H27" s="32">
        <f>+F27*E27</f>
        <v>336379.89</v>
      </c>
      <c r="I27" s="32">
        <f t="shared" si="14"/>
        <v>353535</v>
      </c>
      <c r="J27" s="1501"/>
      <c r="K27" s="432">
        <v>0</v>
      </c>
      <c r="L27" s="425">
        <f>ROUND(K27*$F$27,0)</f>
        <v>0</v>
      </c>
      <c r="M27" s="426">
        <f>L27/$H$27</f>
        <v>0</v>
      </c>
      <c r="N27" s="433">
        <v>0.105</v>
      </c>
      <c r="O27" s="429">
        <f>ROUND(N27*$F$27,0)</f>
        <v>336380</v>
      </c>
      <c r="P27" s="430">
        <f>O27/$H$27</f>
        <v>1.0000003270112252</v>
      </c>
      <c r="Q27" s="432">
        <v>0</v>
      </c>
      <c r="R27" s="425">
        <f>ROUND(Q27*$F$27,0)</f>
        <v>0</v>
      </c>
      <c r="S27" s="426">
        <f>R27/$H$27</f>
        <v>0</v>
      </c>
      <c r="T27" s="432">
        <v>0</v>
      </c>
      <c r="U27" s="425">
        <f t="shared" si="15"/>
        <v>0</v>
      </c>
      <c r="V27" s="451">
        <f t="shared" ref="V27" si="16">+U27/I27</f>
        <v>0</v>
      </c>
      <c r="W27" s="432">
        <v>0</v>
      </c>
      <c r="X27" s="425">
        <f t="shared" si="3"/>
        <v>0</v>
      </c>
      <c r="Y27" s="1087">
        <f t="shared" si="7"/>
        <v>0</v>
      </c>
      <c r="Z27" s="416">
        <f t="shared" si="4"/>
        <v>0.105</v>
      </c>
      <c r="AA27" s="175">
        <f t="shared" si="5"/>
        <v>336380</v>
      </c>
      <c r="AB27" s="176">
        <f>AA27/H27</f>
        <v>1.0000003270112252</v>
      </c>
    </row>
    <row r="28" spans="1:28" ht="15" customHeight="1" x14ac:dyDescent="0.3">
      <c r="A28" s="1500"/>
      <c r="B28" s="1289"/>
      <c r="C28" s="39"/>
      <c r="D28" s="39" t="s">
        <v>221</v>
      </c>
      <c r="E28" s="41"/>
      <c r="F28" s="41"/>
      <c r="G28" s="41"/>
      <c r="H28" s="42">
        <f>+H27</f>
        <v>336379.89</v>
      </c>
      <c r="I28" s="42">
        <f>SUM(I25:I27)</f>
        <v>353535</v>
      </c>
      <c r="J28" s="1501"/>
      <c r="K28" s="431"/>
      <c r="L28" s="179">
        <f>SUM(L25:L27)</f>
        <v>0</v>
      </c>
      <c r="M28" s="431">
        <f>L28/$H$28</f>
        <v>0</v>
      </c>
      <c r="N28" s="431"/>
      <c r="O28" s="179">
        <f>SUM(O25:O27)</f>
        <v>336380</v>
      </c>
      <c r="P28" s="431">
        <f>O28/$H$28</f>
        <v>1.0000003270112252</v>
      </c>
      <c r="Q28" s="431"/>
      <c r="R28" s="179">
        <f>SUM(R25:R27)</f>
        <v>0</v>
      </c>
      <c r="S28" s="431">
        <f>R28/$H$28</f>
        <v>0</v>
      </c>
      <c r="T28" s="431"/>
      <c r="U28" s="179">
        <f>SUM(U25:U27)</f>
        <v>0</v>
      </c>
      <c r="V28" s="431">
        <f>U28/$H$28</f>
        <v>0</v>
      </c>
      <c r="W28" s="431"/>
      <c r="X28" s="1078">
        <f t="shared" si="3"/>
        <v>0</v>
      </c>
      <c r="Y28" s="1088">
        <f t="shared" si="7"/>
        <v>0</v>
      </c>
      <c r="Z28" s="1093">
        <f t="shared" si="4"/>
        <v>0</v>
      </c>
      <c r="AA28" s="1078">
        <f t="shared" si="5"/>
        <v>336380</v>
      </c>
      <c r="AB28" s="431">
        <f>AA28/H28</f>
        <v>1.0000003270112252</v>
      </c>
    </row>
    <row r="29" spans="1:28" ht="30" customHeight="1" x14ac:dyDescent="0.3">
      <c r="A29" s="1500" t="s">
        <v>109</v>
      </c>
      <c r="B29" s="1289" t="s">
        <v>170</v>
      </c>
      <c r="C29" s="475" t="s">
        <v>83</v>
      </c>
      <c r="D29" s="475" t="s">
        <v>123</v>
      </c>
      <c r="E29" s="475">
        <v>0</v>
      </c>
      <c r="F29" s="32">
        <v>1044658</v>
      </c>
      <c r="G29" s="32">
        <f t="shared" si="0"/>
        <v>1097936</v>
      </c>
      <c r="H29" s="32">
        <v>0</v>
      </c>
      <c r="I29" s="32">
        <f t="shared" ref="I29:I30" si="17">+ROUND(G29*E29,0)</f>
        <v>0</v>
      </c>
      <c r="J29" s="1501" t="s">
        <v>1413</v>
      </c>
      <c r="K29" s="432">
        <v>0</v>
      </c>
      <c r="L29" s="425">
        <f>ROUND(K29*$F$29,0)</f>
        <v>0</v>
      </c>
      <c r="M29" s="426">
        <v>0</v>
      </c>
      <c r="N29" s="432">
        <v>0</v>
      </c>
      <c r="O29" s="425">
        <f>ROUND(N29*$F$29,0)</f>
        <v>0</v>
      </c>
      <c r="P29" s="426">
        <v>0</v>
      </c>
      <c r="Q29" s="432">
        <v>0</v>
      </c>
      <c r="R29" s="425">
        <f>ROUND(Q29*$F$29,0)</f>
        <v>0</v>
      </c>
      <c r="S29" s="426">
        <v>0</v>
      </c>
      <c r="T29" s="432">
        <v>0</v>
      </c>
      <c r="U29" s="425">
        <f t="shared" ref="U29:U30" si="18">ROUND(T29*G29,0)</f>
        <v>0</v>
      </c>
      <c r="V29" s="604">
        <v>0</v>
      </c>
      <c r="W29" s="432">
        <v>0</v>
      </c>
      <c r="X29" s="425">
        <f t="shared" si="3"/>
        <v>0</v>
      </c>
      <c r="Y29" s="1087">
        <v>0</v>
      </c>
      <c r="Z29" s="416">
        <f t="shared" si="4"/>
        <v>0</v>
      </c>
      <c r="AA29" s="175">
        <f t="shared" si="5"/>
        <v>0</v>
      </c>
      <c r="AB29" s="176">
        <v>0</v>
      </c>
    </row>
    <row r="30" spans="1:28" ht="30" customHeight="1" x14ac:dyDescent="0.3">
      <c r="A30" s="1500"/>
      <c r="B30" s="1289"/>
      <c r="C30" s="475" t="s">
        <v>61</v>
      </c>
      <c r="D30" s="475" t="s">
        <v>125</v>
      </c>
      <c r="E30" s="475">
        <v>0.1</v>
      </c>
      <c r="F30" s="32">
        <v>1009836</v>
      </c>
      <c r="G30" s="32">
        <f t="shared" si="0"/>
        <v>1061338</v>
      </c>
      <c r="H30" s="32">
        <f>+F30*E30</f>
        <v>100983.6</v>
      </c>
      <c r="I30" s="32">
        <f t="shared" si="17"/>
        <v>106134</v>
      </c>
      <c r="J30" s="1502"/>
      <c r="K30" s="432">
        <v>0</v>
      </c>
      <c r="L30" s="425">
        <f>ROUND(K30*$F$30,0)</f>
        <v>0</v>
      </c>
      <c r="M30" s="426">
        <f>L30/$H$30</f>
        <v>0</v>
      </c>
      <c r="N30" s="433">
        <v>0.1</v>
      </c>
      <c r="O30" s="429">
        <f>ROUND(N30*$F$30,0)</f>
        <v>100984</v>
      </c>
      <c r="P30" s="430">
        <f>O30/$H$30</f>
        <v>1.0000039610392182</v>
      </c>
      <c r="Q30" s="432">
        <v>0</v>
      </c>
      <c r="R30" s="425">
        <f>ROUND(Q30*$F$30,0)</f>
        <v>0</v>
      </c>
      <c r="S30" s="426">
        <f>R30/$H$30</f>
        <v>0</v>
      </c>
      <c r="T30" s="432">
        <v>0</v>
      </c>
      <c r="U30" s="425">
        <f t="shared" si="18"/>
        <v>0</v>
      </c>
      <c r="V30" s="451">
        <f t="shared" ref="V30" si="19">+U30/I30</f>
        <v>0</v>
      </c>
      <c r="W30" s="432">
        <v>0</v>
      </c>
      <c r="X30" s="425">
        <f t="shared" si="3"/>
        <v>0</v>
      </c>
      <c r="Y30" s="1087">
        <f t="shared" si="7"/>
        <v>0</v>
      </c>
      <c r="Z30" s="416">
        <f t="shared" si="4"/>
        <v>0.1</v>
      </c>
      <c r="AA30" s="175">
        <f t="shared" si="5"/>
        <v>100984</v>
      </c>
      <c r="AB30" s="176">
        <f>AA30/H30</f>
        <v>1.0000039610392182</v>
      </c>
    </row>
    <row r="31" spans="1:28" ht="15" customHeight="1" x14ac:dyDescent="0.3">
      <c r="A31" s="1500"/>
      <c r="B31" s="1289"/>
      <c r="C31" s="39"/>
      <c r="D31" s="39" t="s">
        <v>126</v>
      </c>
      <c r="E31" s="41"/>
      <c r="F31" s="41"/>
      <c r="G31" s="41"/>
      <c r="H31" s="42">
        <f>+H30</f>
        <v>100983.6</v>
      </c>
      <c r="I31" s="42">
        <f>SUM(I29:I30)</f>
        <v>106134</v>
      </c>
      <c r="J31" s="1502"/>
      <c r="K31" s="431"/>
      <c r="L31" s="179">
        <f>SUM(L29:L30)</f>
        <v>0</v>
      </c>
      <c r="M31" s="431">
        <f>L31/$H$31</f>
        <v>0</v>
      </c>
      <c r="N31" s="431"/>
      <c r="O31" s="179">
        <f>SUM(O29:O30)</f>
        <v>100984</v>
      </c>
      <c r="P31" s="431">
        <f>O31/$H$31</f>
        <v>1.0000039610392182</v>
      </c>
      <c r="Q31" s="431"/>
      <c r="R31" s="179">
        <f>SUM(R29:R30)</f>
        <v>0</v>
      </c>
      <c r="S31" s="431">
        <f>R31/$H$31</f>
        <v>0</v>
      </c>
      <c r="T31" s="431"/>
      <c r="U31" s="179">
        <f>SUM(U29:U30)</f>
        <v>0</v>
      </c>
      <c r="V31" s="431">
        <f>U31/$H$31</f>
        <v>0</v>
      </c>
      <c r="W31" s="431"/>
      <c r="X31" s="1078">
        <f t="shared" si="3"/>
        <v>0</v>
      </c>
      <c r="Y31" s="1088">
        <f t="shared" si="7"/>
        <v>0</v>
      </c>
      <c r="Z31" s="1093">
        <f t="shared" si="4"/>
        <v>0</v>
      </c>
      <c r="AA31" s="1078">
        <f t="shared" si="5"/>
        <v>100984</v>
      </c>
      <c r="AB31" s="431">
        <f>AA31/H31</f>
        <v>1.0000039610392182</v>
      </c>
    </row>
    <row r="32" spans="1:28" ht="30" customHeight="1" x14ac:dyDescent="0.3">
      <c r="A32" s="1500" t="s">
        <v>237</v>
      </c>
      <c r="B32" s="1289" t="s">
        <v>217</v>
      </c>
      <c r="C32" s="475" t="s">
        <v>81</v>
      </c>
      <c r="D32" s="475" t="s">
        <v>218</v>
      </c>
      <c r="E32" s="475">
        <v>0</v>
      </c>
      <c r="F32" s="32">
        <v>1149124</v>
      </c>
      <c r="G32" s="32">
        <f t="shared" si="0"/>
        <v>1207729</v>
      </c>
      <c r="H32" s="32">
        <f>ROUND((E32*F32),0)</f>
        <v>0</v>
      </c>
      <c r="I32" s="32">
        <f t="shared" ref="I32:I55" si="20">+ROUND(G32*E32,0)</f>
        <v>0</v>
      </c>
      <c r="J32" s="1290" t="s">
        <v>898</v>
      </c>
      <c r="K32" s="432">
        <v>0</v>
      </c>
      <c r="L32" s="425">
        <f>ROUND(K32*$F$32,0)</f>
        <v>0</v>
      </c>
      <c r="M32" s="426">
        <v>0</v>
      </c>
      <c r="N32" s="432">
        <v>0</v>
      </c>
      <c r="O32" s="425">
        <f>ROUND(N32*$F$32,0)</f>
        <v>0</v>
      </c>
      <c r="P32" s="426">
        <v>0</v>
      </c>
      <c r="Q32" s="432">
        <v>0</v>
      </c>
      <c r="R32" s="425">
        <f>ROUND(Q32*$F$32,0)</f>
        <v>0</v>
      </c>
      <c r="S32" s="426">
        <v>0</v>
      </c>
      <c r="T32" s="432">
        <v>0</v>
      </c>
      <c r="U32" s="425">
        <f t="shared" ref="U32:U34" si="21">ROUND(T32*G32,0)</f>
        <v>0</v>
      </c>
      <c r="V32" s="604">
        <v>0</v>
      </c>
      <c r="W32" s="432">
        <v>0</v>
      </c>
      <c r="X32" s="425">
        <f t="shared" si="3"/>
        <v>0</v>
      </c>
      <c r="Y32" s="1087">
        <v>0</v>
      </c>
      <c r="Z32" s="416">
        <f t="shared" si="4"/>
        <v>0</v>
      </c>
      <c r="AA32" s="175">
        <f t="shared" si="5"/>
        <v>0</v>
      </c>
      <c r="AB32" s="176">
        <v>0</v>
      </c>
    </row>
    <row r="33" spans="1:28" ht="30" customHeight="1" x14ac:dyDescent="0.3">
      <c r="A33" s="1500"/>
      <c r="B33" s="1289"/>
      <c r="C33" s="475" t="s">
        <v>83</v>
      </c>
      <c r="D33" s="475" t="s">
        <v>219</v>
      </c>
      <c r="E33" s="475">
        <v>0</v>
      </c>
      <c r="F33" s="32">
        <v>2646468</v>
      </c>
      <c r="G33" s="32">
        <f t="shared" si="0"/>
        <v>2781438</v>
      </c>
      <c r="H33" s="32">
        <f>ROUND((E33*F33),0)</f>
        <v>0</v>
      </c>
      <c r="I33" s="32">
        <f t="shared" si="20"/>
        <v>0</v>
      </c>
      <c r="J33" s="1289"/>
      <c r="K33" s="432">
        <v>0</v>
      </c>
      <c r="L33" s="425">
        <f>ROUND(K33*$F$33,0)</f>
        <v>0</v>
      </c>
      <c r="M33" s="426">
        <v>0</v>
      </c>
      <c r="N33" s="432">
        <v>0</v>
      </c>
      <c r="O33" s="425">
        <f>ROUND(N33*$F$33,0)</f>
        <v>0</v>
      </c>
      <c r="P33" s="426">
        <v>0</v>
      </c>
      <c r="Q33" s="432">
        <v>0</v>
      </c>
      <c r="R33" s="425">
        <f>ROUND(Q33*$F$33,0)</f>
        <v>0</v>
      </c>
      <c r="S33" s="426">
        <v>0</v>
      </c>
      <c r="T33" s="432">
        <v>0</v>
      </c>
      <c r="U33" s="425">
        <f t="shared" si="21"/>
        <v>0</v>
      </c>
      <c r="V33" s="604">
        <v>0</v>
      </c>
      <c r="W33" s="432">
        <v>0</v>
      </c>
      <c r="X33" s="425">
        <f t="shared" si="3"/>
        <v>0</v>
      </c>
      <c r="Y33" s="1087">
        <v>0</v>
      </c>
      <c r="Z33" s="416">
        <f t="shared" si="4"/>
        <v>0</v>
      </c>
      <c r="AA33" s="175">
        <f t="shared" si="5"/>
        <v>0</v>
      </c>
      <c r="AB33" s="176">
        <v>0</v>
      </c>
    </row>
    <row r="34" spans="1:28" ht="30" customHeight="1" x14ac:dyDescent="0.3">
      <c r="A34" s="1500"/>
      <c r="B34" s="1289"/>
      <c r="C34" s="475" t="s">
        <v>61</v>
      </c>
      <c r="D34" s="475" t="s">
        <v>220</v>
      </c>
      <c r="E34" s="475">
        <v>0.28000000000000003</v>
      </c>
      <c r="F34" s="32">
        <v>3203618</v>
      </c>
      <c r="G34" s="32">
        <f t="shared" si="0"/>
        <v>3367003</v>
      </c>
      <c r="H34" s="32">
        <f>ROUND((E34*F34),0)</f>
        <v>897013</v>
      </c>
      <c r="I34" s="32">
        <f t="shared" si="20"/>
        <v>942761</v>
      </c>
      <c r="J34" s="1289"/>
      <c r="K34" s="432">
        <v>0</v>
      </c>
      <c r="L34" s="425">
        <f>ROUND(K34*$F$34,0)</f>
        <v>0</v>
      </c>
      <c r="M34" s="426">
        <f>L34/$H$34</f>
        <v>0</v>
      </c>
      <c r="N34" s="433">
        <v>0.28000000000000003</v>
      </c>
      <c r="O34" s="429">
        <f>ROUND(N34*$F$34,0)</f>
        <v>897013</v>
      </c>
      <c r="P34" s="430">
        <f>O34/$H$34</f>
        <v>1</v>
      </c>
      <c r="Q34" s="432">
        <v>0</v>
      </c>
      <c r="R34" s="425">
        <f>ROUND(Q34*$F$34,0)</f>
        <v>0</v>
      </c>
      <c r="S34" s="426">
        <f>R34/$H$34</f>
        <v>0</v>
      </c>
      <c r="T34" s="432">
        <v>0</v>
      </c>
      <c r="U34" s="425">
        <f t="shared" si="21"/>
        <v>0</v>
      </c>
      <c r="V34" s="451">
        <f t="shared" ref="V34" si="22">+U34/I34</f>
        <v>0</v>
      </c>
      <c r="W34" s="432">
        <v>0</v>
      </c>
      <c r="X34" s="425">
        <f t="shared" si="3"/>
        <v>0</v>
      </c>
      <c r="Y34" s="1087">
        <f t="shared" si="7"/>
        <v>0</v>
      </c>
      <c r="Z34" s="416">
        <f t="shared" si="4"/>
        <v>0.28000000000000003</v>
      </c>
      <c r="AA34" s="175">
        <f t="shared" si="5"/>
        <v>897013</v>
      </c>
      <c r="AB34" s="176">
        <f>AA34/H34</f>
        <v>1</v>
      </c>
    </row>
    <row r="35" spans="1:28" ht="15" customHeight="1" x14ac:dyDescent="0.3">
      <c r="A35" s="1500"/>
      <c r="B35" s="1289"/>
      <c r="C35" s="39"/>
      <c r="D35" s="39" t="s">
        <v>221</v>
      </c>
      <c r="E35" s="41"/>
      <c r="F35" s="41"/>
      <c r="G35" s="41"/>
      <c r="H35" s="42">
        <f>SUM(H32:H34)</f>
        <v>897013</v>
      </c>
      <c r="I35" s="42">
        <f>SUM(I32:I34)</f>
        <v>942761</v>
      </c>
      <c r="J35" s="1289"/>
      <c r="K35" s="431"/>
      <c r="L35" s="179">
        <f>SUM(L32:L34)</f>
        <v>0</v>
      </c>
      <c r="M35" s="431">
        <f>L35/$H$35</f>
        <v>0</v>
      </c>
      <c r="N35" s="431"/>
      <c r="O35" s="179">
        <f>SUM(O32:O34)</f>
        <v>897013</v>
      </c>
      <c r="P35" s="431">
        <f>O35/$H$35</f>
        <v>1</v>
      </c>
      <c r="Q35" s="431"/>
      <c r="R35" s="179">
        <f>SUM(R32:R34)</f>
        <v>0</v>
      </c>
      <c r="S35" s="431">
        <f>R35/$H$35</f>
        <v>0</v>
      </c>
      <c r="T35" s="431"/>
      <c r="U35" s="179">
        <f>SUM(U32:U34)</f>
        <v>0</v>
      </c>
      <c r="V35" s="431">
        <f>U35/$H$35</f>
        <v>0</v>
      </c>
      <c r="W35" s="431"/>
      <c r="X35" s="1078">
        <f t="shared" si="3"/>
        <v>0</v>
      </c>
      <c r="Y35" s="1088">
        <f t="shared" si="7"/>
        <v>0</v>
      </c>
      <c r="Z35" s="1093">
        <f t="shared" si="4"/>
        <v>0</v>
      </c>
      <c r="AA35" s="1078">
        <f t="shared" si="5"/>
        <v>897013</v>
      </c>
      <c r="AB35" s="431">
        <f>AA35/H35</f>
        <v>1</v>
      </c>
    </row>
    <row r="36" spans="1:28" ht="30" customHeight="1" x14ac:dyDescent="0.3">
      <c r="A36" s="1500" t="s">
        <v>237</v>
      </c>
      <c r="B36" s="1289" t="s">
        <v>170</v>
      </c>
      <c r="C36" s="475" t="s">
        <v>83</v>
      </c>
      <c r="D36" s="475" t="s">
        <v>123</v>
      </c>
      <c r="E36" s="475">
        <v>0</v>
      </c>
      <c r="F36" s="32">
        <v>1044658</v>
      </c>
      <c r="G36" s="32">
        <f t="shared" si="0"/>
        <v>1097936</v>
      </c>
      <c r="H36" s="32">
        <f>ROUND((E36*F36),0)</f>
        <v>0</v>
      </c>
      <c r="I36" s="32">
        <f t="shared" si="20"/>
        <v>0</v>
      </c>
      <c r="J36" s="1290" t="s">
        <v>254</v>
      </c>
      <c r="K36" s="432">
        <v>0</v>
      </c>
      <c r="L36" s="425">
        <f>ROUND(K36*$F$36,0)</f>
        <v>0</v>
      </c>
      <c r="M36" s="426">
        <v>0</v>
      </c>
      <c r="N36" s="432">
        <v>0</v>
      </c>
      <c r="O36" s="425">
        <f>ROUND(N36*$F$36,0)</f>
        <v>0</v>
      </c>
      <c r="P36" s="426">
        <v>0</v>
      </c>
      <c r="Q36" s="432">
        <v>0</v>
      </c>
      <c r="R36" s="425">
        <f>ROUND(Q36*$F$36,0)</f>
        <v>0</v>
      </c>
      <c r="S36" s="426">
        <v>0</v>
      </c>
      <c r="T36" s="432">
        <v>0</v>
      </c>
      <c r="U36" s="425">
        <f t="shared" ref="U36:U37" si="23">ROUND(T36*G36,0)</f>
        <v>0</v>
      </c>
      <c r="V36" s="604">
        <v>0</v>
      </c>
      <c r="W36" s="432">
        <v>0</v>
      </c>
      <c r="X36" s="425">
        <f t="shared" si="3"/>
        <v>0</v>
      </c>
      <c r="Y36" s="1087">
        <v>0</v>
      </c>
      <c r="Z36" s="416">
        <f t="shared" si="4"/>
        <v>0</v>
      </c>
      <c r="AA36" s="175">
        <f t="shared" si="5"/>
        <v>0</v>
      </c>
      <c r="AB36" s="176">
        <v>0</v>
      </c>
    </row>
    <row r="37" spans="1:28" ht="30" customHeight="1" x14ac:dyDescent="0.3">
      <c r="A37" s="1500"/>
      <c r="B37" s="1289"/>
      <c r="C37" s="475" t="s">
        <v>61</v>
      </c>
      <c r="D37" s="475" t="s">
        <v>125</v>
      </c>
      <c r="E37" s="475">
        <v>0.7</v>
      </c>
      <c r="F37" s="32">
        <v>1009836</v>
      </c>
      <c r="G37" s="32">
        <f t="shared" si="0"/>
        <v>1061338</v>
      </c>
      <c r="H37" s="32">
        <f>ROUND((E37*F37),0)</f>
        <v>706885</v>
      </c>
      <c r="I37" s="32">
        <f t="shared" si="20"/>
        <v>742937</v>
      </c>
      <c r="J37" s="1289"/>
      <c r="K37" s="432">
        <v>0</v>
      </c>
      <c r="L37" s="425">
        <f>ROUND(K37*$F$37,0)</f>
        <v>0</v>
      </c>
      <c r="M37" s="426">
        <f>L37/$H$37</f>
        <v>0</v>
      </c>
      <c r="N37" s="433">
        <v>0.7</v>
      </c>
      <c r="O37" s="429">
        <f>ROUND(N37*$F$37,0)</f>
        <v>706885</v>
      </c>
      <c r="P37" s="430">
        <f>O37/$H$37</f>
        <v>1</v>
      </c>
      <c r="Q37" s="432">
        <v>0</v>
      </c>
      <c r="R37" s="425">
        <f>ROUND(Q37*$F$37,0)</f>
        <v>0</v>
      </c>
      <c r="S37" s="426">
        <f>R37/$H$37</f>
        <v>0</v>
      </c>
      <c r="T37" s="432">
        <v>0</v>
      </c>
      <c r="U37" s="425">
        <f t="shared" si="23"/>
        <v>0</v>
      </c>
      <c r="V37" s="451">
        <f t="shared" ref="V37" si="24">+U37/I37</f>
        <v>0</v>
      </c>
      <c r="W37" s="432">
        <v>0</v>
      </c>
      <c r="X37" s="425">
        <f t="shared" si="3"/>
        <v>0</v>
      </c>
      <c r="Y37" s="1087">
        <f t="shared" si="7"/>
        <v>0</v>
      </c>
      <c r="Z37" s="416">
        <f t="shared" si="4"/>
        <v>0.7</v>
      </c>
      <c r="AA37" s="175">
        <f t="shared" si="5"/>
        <v>706885</v>
      </c>
      <c r="AB37" s="176">
        <f t="shared" ref="AB37:AB41" si="25">AA37/H37</f>
        <v>1</v>
      </c>
    </row>
    <row r="38" spans="1:28" ht="15" customHeight="1" x14ac:dyDescent="0.3">
      <c r="A38" s="1500"/>
      <c r="B38" s="1289"/>
      <c r="C38" s="39"/>
      <c r="D38" s="39" t="s">
        <v>126</v>
      </c>
      <c r="E38" s="41"/>
      <c r="F38" s="41"/>
      <c r="G38" s="41"/>
      <c r="H38" s="42">
        <f>SUM(H36:H37)</f>
        <v>706885</v>
      </c>
      <c r="I38" s="42">
        <f>SUM(I36:I37)</f>
        <v>742937</v>
      </c>
      <c r="J38" s="1289"/>
      <c r="K38" s="431"/>
      <c r="L38" s="179">
        <f>SUM(L36:L37)</f>
        <v>0</v>
      </c>
      <c r="M38" s="431">
        <f>L38/$H$38</f>
        <v>0</v>
      </c>
      <c r="N38" s="431"/>
      <c r="O38" s="179">
        <f>SUM(O36:O37)</f>
        <v>706885</v>
      </c>
      <c r="P38" s="431">
        <f>O38/$H$38</f>
        <v>1</v>
      </c>
      <c r="Q38" s="431"/>
      <c r="R38" s="179">
        <f>SUM(R36:R37)</f>
        <v>0</v>
      </c>
      <c r="S38" s="431">
        <f>R38/$H$38</f>
        <v>0</v>
      </c>
      <c r="T38" s="431"/>
      <c r="U38" s="179">
        <f>SUM(U36:U37)</f>
        <v>0</v>
      </c>
      <c r="V38" s="431">
        <f>U38/$H$38</f>
        <v>0</v>
      </c>
      <c r="W38" s="431"/>
      <c r="X38" s="1078">
        <f t="shared" si="3"/>
        <v>0</v>
      </c>
      <c r="Y38" s="1088">
        <f t="shared" si="7"/>
        <v>0</v>
      </c>
      <c r="Z38" s="1093">
        <f t="shared" si="4"/>
        <v>0</v>
      </c>
      <c r="AA38" s="1078">
        <f t="shared" si="5"/>
        <v>706885</v>
      </c>
      <c r="AB38" s="431">
        <f>AA38/H38</f>
        <v>1</v>
      </c>
    </row>
    <row r="39" spans="1:28" ht="30" customHeight="1" x14ac:dyDescent="0.3">
      <c r="A39" s="1500" t="s">
        <v>200</v>
      </c>
      <c r="B39" s="1289" t="s">
        <v>217</v>
      </c>
      <c r="C39" s="475" t="s">
        <v>81</v>
      </c>
      <c r="D39" s="475" t="s">
        <v>218</v>
      </c>
      <c r="E39" s="475">
        <v>0.7</v>
      </c>
      <c r="F39" s="32">
        <v>1149124</v>
      </c>
      <c r="G39" s="32">
        <f t="shared" si="0"/>
        <v>1207729</v>
      </c>
      <c r="H39" s="32">
        <f>ROUND((E39*F39),0)</f>
        <v>804387</v>
      </c>
      <c r="I39" s="32">
        <f t="shared" si="20"/>
        <v>845410</v>
      </c>
      <c r="J39" s="1290" t="s">
        <v>1416</v>
      </c>
      <c r="K39" s="432">
        <v>0</v>
      </c>
      <c r="L39" s="425">
        <f>ROUND(K39*$F$39,0)</f>
        <v>0</v>
      </c>
      <c r="M39" s="426">
        <f>L39/$H$39</f>
        <v>0</v>
      </c>
      <c r="N39" s="432">
        <v>0</v>
      </c>
      <c r="O39" s="425">
        <f>ROUND(N39*$F$39,0)</f>
        <v>0</v>
      </c>
      <c r="P39" s="426">
        <f>O39/$H$39</f>
        <v>0</v>
      </c>
      <c r="Q39" s="432">
        <v>0</v>
      </c>
      <c r="R39" s="425">
        <f>ROUND(Q39*$F$39,0)</f>
        <v>0</v>
      </c>
      <c r="S39" s="426">
        <f>R39/$H$39</f>
        <v>0</v>
      </c>
      <c r="T39" s="432">
        <v>0</v>
      </c>
      <c r="U39" s="425">
        <f t="shared" ref="U39:U41" si="26">ROUND(T39*G39,0)</f>
        <v>0</v>
      </c>
      <c r="V39" s="451">
        <f t="shared" ref="V39:V41" si="27">+U39/I39</f>
        <v>0</v>
      </c>
      <c r="W39" s="432">
        <v>0</v>
      </c>
      <c r="X39" s="425">
        <f t="shared" si="3"/>
        <v>0</v>
      </c>
      <c r="Y39" s="1087">
        <f t="shared" si="7"/>
        <v>0</v>
      </c>
      <c r="Z39" s="416">
        <f t="shared" si="4"/>
        <v>0</v>
      </c>
      <c r="AA39" s="175">
        <f t="shared" si="5"/>
        <v>0</v>
      </c>
      <c r="AB39" s="176">
        <f t="shared" si="25"/>
        <v>0</v>
      </c>
    </row>
    <row r="40" spans="1:28" ht="30" customHeight="1" x14ac:dyDescent="0.3">
      <c r="A40" s="1500"/>
      <c r="B40" s="1289"/>
      <c r="C40" s="475" t="s">
        <v>83</v>
      </c>
      <c r="D40" s="475" t="s">
        <v>219</v>
      </c>
      <c r="E40" s="475">
        <v>0.7</v>
      </c>
      <c r="F40" s="32">
        <v>2646468</v>
      </c>
      <c r="G40" s="32">
        <f t="shared" si="0"/>
        <v>2781438</v>
      </c>
      <c r="H40" s="32">
        <f>ROUND((E40*F40),0)</f>
        <v>1852528</v>
      </c>
      <c r="I40" s="32">
        <f t="shared" si="20"/>
        <v>1947007</v>
      </c>
      <c r="J40" s="1289"/>
      <c r="K40" s="432">
        <v>0</v>
      </c>
      <c r="L40" s="425">
        <f>ROUND(K40*$F$40,0)</f>
        <v>0</v>
      </c>
      <c r="M40" s="426">
        <f>L40/$H$40</f>
        <v>0</v>
      </c>
      <c r="N40" s="432">
        <v>0</v>
      </c>
      <c r="O40" s="425">
        <f>ROUND(N40*$F$40,0)</f>
        <v>0</v>
      </c>
      <c r="P40" s="426">
        <f>O40/$H$40</f>
        <v>0</v>
      </c>
      <c r="Q40" s="432">
        <v>0</v>
      </c>
      <c r="R40" s="425">
        <f>ROUND(Q40*$F$40,0)</f>
        <v>0</v>
      </c>
      <c r="S40" s="426">
        <f>R40/$H$40</f>
        <v>0</v>
      </c>
      <c r="T40" s="433">
        <v>0.7</v>
      </c>
      <c r="U40" s="429">
        <f t="shared" si="26"/>
        <v>1947007</v>
      </c>
      <c r="V40" s="534">
        <f>+U40/H40</f>
        <v>1.0510000388658094</v>
      </c>
      <c r="W40" s="432">
        <v>0</v>
      </c>
      <c r="X40" s="425">
        <f t="shared" si="3"/>
        <v>0</v>
      </c>
      <c r="Y40" s="1087">
        <f t="shared" si="7"/>
        <v>0</v>
      </c>
      <c r="Z40" s="416">
        <f t="shared" si="4"/>
        <v>0.7</v>
      </c>
      <c r="AA40" s="175">
        <f t="shared" si="5"/>
        <v>1947007</v>
      </c>
      <c r="AB40" s="176">
        <f t="shared" si="25"/>
        <v>1.0510000388658094</v>
      </c>
    </row>
    <row r="41" spans="1:28" ht="30" customHeight="1" x14ac:dyDescent="0.3">
      <c r="A41" s="1500"/>
      <c r="B41" s="1289"/>
      <c r="C41" s="475" t="s">
        <v>61</v>
      </c>
      <c r="D41" s="475" t="s">
        <v>220</v>
      </c>
      <c r="E41" s="475">
        <v>0.7</v>
      </c>
      <c r="F41" s="32">
        <v>3203618</v>
      </c>
      <c r="G41" s="32">
        <f t="shared" si="0"/>
        <v>3367003</v>
      </c>
      <c r="H41" s="32">
        <f>ROUND((E41*F41),0)</f>
        <v>2242533</v>
      </c>
      <c r="I41" s="32">
        <f t="shared" si="20"/>
        <v>2356902</v>
      </c>
      <c r="J41" s="1289"/>
      <c r="K41" s="432">
        <v>0</v>
      </c>
      <c r="L41" s="425">
        <f>ROUND(K41*$F$41,0)</f>
        <v>0</v>
      </c>
      <c r="M41" s="426">
        <f>L41/$H$41</f>
        <v>0</v>
      </c>
      <c r="N41" s="433">
        <v>0.7</v>
      </c>
      <c r="O41" s="429">
        <f>ROUND(N41*$F$41,0)</f>
        <v>2242533</v>
      </c>
      <c r="P41" s="430">
        <f>O41/$H$41</f>
        <v>1</v>
      </c>
      <c r="Q41" s="432">
        <v>0</v>
      </c>
      <c r="R41" s="425">
        <f>ROUND(Q41*$F$41,0)</f>
        <v>0</v>
      </c>
      <c r="S41" s="426">
        <f>R41/$H$41</f>
        <v>0</v>
      </c>
      <c r="T41" s="432">
        <v>0</v>
      </c>
      <c r="U41" s="425">
        <f t="shared" si="26"/>
        <v>0</v>
      </c>
      <c r="V41" s="451">
        <f t="shared" si="27"/>
        <v>0</v>
      </c>
      <c r="W41" s="432">
        <v>0</v>
      </c>
      <c r="X41" s="425">
        <f t="shared" si="3"/>
        <v>0</v>
      </c>
      <c r="Y41" s="1087">
        <f t="shared" si="7"/>
        <v>0</v>
      </c>
      <c r="Z41" s="416">
        <f t="shared" si="4"/>
        <v>0.7</v>
      </c>
      <c r="AA41" s="175">
        <f t="shared" si="5"/>
        <v>2242533</v>
      </c>
      <c r="AB41" s="176">
        <f t="shared" si="25"/>
        <v>1</v>
      </c>
    </row>
    <row r="42" spans="1:28" ht="15" customHeight="1" x14ac:dyDescent="0.3">
      <c r="A42" s="1500"/>
      <c r="B42" s="1289"/>
      <c r="C42" s="39"/>
      <c r="D42" s="39" t="s">
        <v>221</v>
      </c>
      <c r="E42" s="41"/>
      <c r="F42" s="41"/>
      <c r="G42" s="41"/>
      <c r="H42" s="42">
        <f>SUM(H39:H41)</f>
        <v>4899448</v>
      </c>
      <c r="I42" s="42">
        <f>SUM(I39:I41)</f>
        <v>5149319</v>
      </c>
      <c r="J42" s="1289"/>
      <c r="K42" s="431"/>
      <c r="L42" s="179">
        <f>SUM(L39:L41)</f>
        <v>0</v>
      </c>
      <c r="M42" s="431">
        <f>L42/$H$42</f>
        <v>0</v>
      </c>
      <c r="N42" s="431"/>
      <c r="O42" s="179">
        <f>SUM(O39:O41)</f>
        <v>2242533</v>
      </c>
      <c r="P42" s="431">
        <f>O42/$H$42</f>
        <v>0.45771135850406003</v>
      </c>
      <c r="Q42" s="431"/>
      <c r="R42" s="179">
        <f>SUM(R39:R41)</f>
        <v>0</v>
      </c>
      <c r="S42" s="431">
        <f>R42/$H$42</f>
        <v>0</v>
      </c>
      <c r="T42" s="431"/>
      <c r="U42" s="179">
        <f>SUM(U39:U41)</f>
        <v>1947007</v>
      </c>
      <c r="V42" s="431">
        <f>U42/$H$42</f>
        <v>0.39739313490009487</v>
      </c>
      <c r="W42" s="431"/>
      <c r="X42" s="1078">
        <f t="shared" si="3"/>
        <v>0</v>
      </c>
      <c r="Y42" s="1088">
        <f t="shared" si="7"/>
        <v>0</v>
      </c>
      <c r="Z42" s="1093">
        <f t="shared" si="4"/>
        <v>0</v>
      </c>
      <c r="AA42" s="1078">
        <f t="shared" si="5"/>
        <v>4189540</v>
      </c>
      <c r="AB42" s="431">
        <f>AA42/H42</f>
        <v>0.85510449340415495</v>
      </c>
    </row>
    <row r="43" spans="1:28" ht="30" customHeight="1" x14ac:dyDescent="0.3">
      <c r="A43" s="1500" t="s">
        <v>200</v>
      </c>
      <c r="B43" s="1289" t="s">
        <v>170</v>
      </c>
      <c r="C43" s="475" t="s">
        <v>83</v>
      </c>
      <c r="D43" s="475" t="s">
        <v>123</v>
      </c>
      <c r="E43" s="475">
        <v>0</v>
      </c>
      <c r="F43" s="32">
        <v>1044658</v>
      </c>
      <c r="G43" s="32">
        <f t="shared" si="0"/>
        <v>1097936</v>
      </c>
      <c r="H43" s="32">
        <f>ROUND((E43*F43),0)</f>
        <v>0</v>
      </c>
      <c r="I43" s="32">
        <f t="shared" si="20"/>
        <v>0</v>
      </c>
      <c r="J43" s="1289" t="s">
        <v>254</v>
      </c>
      <c r="K43" s="432">
        <v>0</v>
      </c>
      <c r="L43" s="425">
        <f>ROUND(K43*$F$43,0)</f>
        <v>0</v>
      </c>
      <c r="M43" s="426">
        <v>0</v>
      </c>
      <c r="N43" s="432">
        <v>0</v>
      </c>
      <c r="O43" s="425">
        <f>ROUND(N43*$F$43,0)</f>
        <v>0</v>
      </c>
      <c r="P43" s="426">
        <v>0</v>
      </c>
      <c r="Q43" s="432">
        <v>0</v>
      </c>
      <c r="R43" s="425">
        <f>ROUND(Q43*$F$43,0)</f>
        <v>0</v>
      </c>
      <c r="S43" s="426">
        <v>0</v>
      </c>
      <c r="T43" s="432">
        <v>0</v>
      </c>
      <c r="U43" s="425">
        <f t="shared" ref="U43:U44" si="28">ROUND(T43*G43,0)</f>
        <v>0</v>
      </c>
      <c r="V43" s="604">
        <v>0</v>
      </c>
      <c r="W43" s="432">
        <v>0</v>
      </c>
      <c r="X43" s="425">
        <f t="shared" si="3"/>
        <v>0</v>
      </c>
      <c r="Y43" s="1087">
        <v>0</v>
      </c>
      <c r="Z43" s="416">
        <f t="shared" si="4"/>
        <v>0</v>
      </c>
      <c r="AA43" s="175">
        <f t="shared" si="5"/>
        <v>0</v>
      </c>
      <c r="AB43" s="176">
        <v>0</v>
      </c>
    </row>
    <row r="44" spans="1:28" ht="30" customHeight="1" x14ac:dyDescent="0.3">
      <c r="A44" s="1500"/>
      <c r="B44" s="1289"/>
      <c r="C44" s="475" t="s">
        <v>61</v>
      </c>
      <c r="D44" s="475" t="s">
        <v>125</v>
      </c>
      <c r="E44" s="475">
        <v>0.7</v>
      </c>
      <c r="F44" s="32">
        <v>1009836</v>
      </c>
      <c r="G44" s="32">
        <f t="shared" si="0"/>
        <v>1061338</v>
      </c>
      <c r="H44" s="32">
        <f>ROUND((E44*F44),0)</f>
        <v>706885</v>
      </c>
      <c r="I44" s="32">
        <f t="shared" si="20"/>
        <v>742937</v>
      </c>
      <c r="J44" s="1289"/>
      <c r="K44" s="432">
        <v>0</v>
      </c>
      <c r="L44" s="425">
        <f>ROUND(K44*$F$44,0)</f>
        <v>0</v>
      </c>
      <c r="M44" s="426">
        <f>L44/$H$44</f>
        <v>0</v>
      </c>
      <c r="N44" s="433">
        <v>0.7</v>
      </c>
      <c r="O44" s="429">
        <f>ROUND(N44*$F$44,0)</f>
        <v>706885</v>
      </c>
      <c r="P44" s="430">
        <f>O44/$H$44</f>
        <v>1</v>
      </c>
      <c r="Q44" s="432">
        <v>0</v>
      </c>
      <c r="R44" s="425">
        <f>ROUND(Q44*$F$44,0)</f>
        <v>0</v>
      </c>
      <c r="S44" s="426">
        <f>R44/$H$44</f>
        <v>0</v>
      </c>
      <c r="T44" s="432">
        <v>0</v>
      </c>
      <c r="U44" s="425">
        <f t="shared" si="28"/>
        <v>0</v>
      </c>
      <c r="V44" s="451">
        <f t="shared" ref="V44" si="29">+U44/I44</f>
        <v>0</v>
      </c>
      <c r="W44" s="432">
        <v>0</v>
      </c>
      <c r="X44" s="425">
        <f t="shared" si="3"/>
        <v>0</v>
      </c>
      <c r="Y44" s="1087">
        <f t="shared" si="7"/>
        <v>0</v>
      </c>
      <c r="Z44" s="416">
        <f t="shared" si="4"/>
        <v>0.7</v>
      </c>
      <c r="AA44" s="175">
        <f t="shared" si="5"/>
        <v>706885</v>
      </c>
      <c r="AB44" s="176">
        <f>AA44/H44</f>
        <v>1</v>
      </c>
    </row>
    <row r="45" spans="1:28" ht="15" customHeight="1" x14ac:dyDescent="0.3">
      <c r="A45" s="1500"/>
      <c r="B45" s="1289"/>
      <c r="C45" s="39"/>
      <c r="D45" s="39" t="s">
        <v>126</v>
      </c>
      <c r="E45" s="41"/>
      <c r="F45" s="41"/>
      <c r="G45" s="41"/>
      <c r="H45" s="42">
        <f>SUM(H43:H44)</f>
        <v>706885</v>
      </c>
      <c r="I45" s="42">
        <f>SUM(I43:I44)</f>
        <v>742937</v>
      </c>
      <c r="J45" s="1289"/>
      <c r="K45" s="431"/>
      <c r="L45" s="179">
        <f>SUM(L43:L44)</f>
        <v>0</v>
      </c>
      <c r="M45" s="431">
        <f>L45/$H$45</f>
        <v>0</v>
      </c>
      <c r="N45" s="431"/>
      <c r="O45" s="179">
        <f>SUM(O43:O44)</f>
        <v>706885</v>
      </c>
      <c r="P45" s="431">
        <f>O45/$H$45</f>
        <v>1</v>
      </c>
      <c r="Q45" s="431"/>
      <c r="R45" s="179">
        <f>SUM(R43:R44)</f>
        <v>0</v>
      </c>
      <c r="S45" s="431">
        <f>R45/$H$45</f>
        <v>0</v>
      </c>
      <c r="T45" s="431"/>
      <c r="U45" s="179">
        <f>SUM(U43:U44)</f>
        <v>0</v>
      </c>
      <c r="V45" s="431">
        <f>U45/$H$45</f>
        <v>0</v>
      </c>
      <c r="W45" s="431"/>
      <c r="X45" s="1078">
        <f t="shared" si="3"/>
        <v>0</v>
      </c>
      <c r="Y45" s="1088">
        <f t="shared" si="7"/>
        <v>0</v>
      </c>
      <c r="Z45" s="1093">
        <f t="shared" si="4"/>
        <v>0</v>
      </c>
      <c r="AA45" s="1078">
        <f t="shared" si="5"/>
        <v>706885</v>
      </c>
      <c r="AB45" s="431">
        <f>AA45/H45</f>
        <v>1</v>
      </c>
    </row>
    <row r="46" spans="1:28" ht="30" customHeight="1" x14ac:dyDescent="0.3">
      <c r="A46" s="1500" t="s">
        <v>1378</v>
      </c>
      <c r="B46" s="1289" t="s">
        <v>170</v>
      </c>
      <c r="C46" s="475" t="s">
        <v>83</v>
      </c>
      <c r="D46" s="475" t="s">
        <v>123</v>
      </c>
      <c r="E46" s="475">
        <v>0</v>
      </c>
      <c r="F46" s="32">
        <v>1044658</v>
      </c>
      <c r="G46" s="32">
        <f t="shared" si="0"/>
        <v>1097936</v>
      </c>
      <c r="H46" s="32">
        <f>ROUND((E46*F46),0)</f>
        <v>0</v>
      </c>
      <c r="I46" s="32">
        <f t="shared" si="20"/>
        <v>0</v>
      </c>
      <c r="J46" s="1290" t="s">
        <v>1417</v>
      </c>
      <c r="K46" s="432">
        <v>0</v>
      </c>
      <c r="L46" s="425">
        <f>ROUND(K46*$F$46,0)</f>
        <v>0</v>
      </c>
      <c r="M46" s="426">
        <v>0</v>
      </c>
      <c r="N46" s="432">
        <v>0</v>
      </c>
      <c r="O46" s="425">
        <f>ROUND(N46*$F$46,0)</f>
        <v>0</v>
      </c>
      <c r="P46" s="426">
        <v>0</v>
      </c>
      <c r="Q46" s="432">
        <v>0</v>
      </c>
      <c r="R46" s="425">
        <f>ROUND(Q46*$F$46,0)</f>
        <v>0</v>
      </c>
      <c r="S46" s="426">
        <v>0</v>
      </c>
      <c r="T46" s="432">
        <v>0</v>
      </c>
      <c r="U46" s="425">
        <f t="shared" ref="U46:U47" si="30">ROUND(T46*G46,0)</f>
        <v>0</v>
      </c>
      <c r="V46" s="604">
        <v>0</v>
      </c>
      <c r="W46" s="432">
        <v>0</v>
      </c>
      <c r="X46" s="425">
        <f t="shared" si="3"/>
        <v>0</v>
      </c>
      <c r="Y46" s="1087">
        <v>0</v>
      </c>
      <c r="Z46" s="416">
        <f t="shared" si="4"/>
        <v>0</v>
      </c>
      <c r="AA46" s="175">
        <f t="shared" si="5"/>
        <v>0</v>
      </c>
      <c r="AB46" s="176">
        <v>0</v>
      </c>
    </row>
    <row r="47" spans="1:28" ht="30" customHeight="1" x14ac:dyDescent="0.3">
      <c r="A47" s="1500"/>
      <c r="B47" s="1289"/>
      <c r="C47" s="475" t="s">
        <v>61</v>
      </c>
      <c r="D47" s="475" t="s">
        <v>125</v>
      </c>
      <c r="E47" s="475">
        <v>0.7</v>
      </c>
      <c r="F47" s="32">
        <v>1009836</v>
      </c>
      <c r="G47" s="32">
        <f t="shared" si="0"/>
        <v>1061338</v>
      </c>
      <c r="H47" s="32">
        <f>ROUND((E47*F47),0)</f>
        <v>706885</v>
      </c>
      <c r="I47" s="32">
        <f t="shared" si="20"/>
        <v>742937</v>
      </c>
      <c r="J47" s="1289"/>
      <c r="K47" s="432">
        <v>0</v>
      </c>
      <c r="L47" s="425">
        <f>ROUND(K47*$F$47,0)</f>
        <v>0</v>
      </c>
      <c r="M47" s="426">
        <f>L47/$H$47</f>
        <v>0</v>
      </c>
      <c r="N47" s="433">
        <v>0.7</v>
      </c>
      <c r="O47" s="429">
        <f>ROUND(N47*$F$47,0)</f>
        <v>706885</v>
      </c>
      <c r="P47" s="430">
        <f>O47/$H$47</f>
        <v>1</v>
      </c>
      <c r="Q47" s="432">
        <v>0</v>
      </c>
      <c r="R47" s="425">
        <f>ROUND(Q47*$F$47,0)</f>
        <v>0</v>
      </c>
      <c r="S47" s="426">
        <f>R47/$H$47</f>
        <v>0</v>
      </c>
      <c r="T47" s="432">
        <v>0</v>
      </c>
      <c r="U47" s="425">
        <f t="shared" si="30"/>
        <v>0</v>
      </c>
      <c r="V47" s="451">
        <f t="shared" ref="V47" si="31">+U47/I47</f>
        <v>0</v>
      </c>
      <c r="W47" s="432">
        <v>0</v>
      </c>
      <c r="X47" s="425">
        <f t="shared" si="3"/>
        <v>0</v>
      </c>
      <c r="Y47" s="1087">
        <f t="shared" si="7"/>
        <v>0</v>
      </c>
      <c r="Z47" s="416">
        <f t="shared" si="4"/>
        <v>0.7</v>
      </c>
      <c r="AA47" s="175">
        <f t="shared" si="5"/>
        <v>706885</v>
      </c>
      <c r="AB47" s="176">
        <f>AA47/H47</f>
        <v>1</v>
      </c>
    </row>
    <row r="48" spans="1:28" ht="15" customHeight="1" x14ac:dyDescent="0.3">
      <c r="A48" s="1500"/>
      <c r="B48" s="1289"/>
      <c r="C48" s="39"/>
      <c r="D48" s="39" t="s">
        <v>126</v>
      </c>
      <c r="E48" s="41"/>
      <c r="F48" s="41"/>
      <c r="G48" s="41"/>
      <c r="H48" s="42">
        <f>SUM(H46:H47)</f>
        <v>706885</v>
      </c>
      <c r="I48" s="42">
        <f>SUM(I46:I47)</f>
        <v>742937</v>
      </c>
      <c r="J48" s="1289"/>
      <c r="K48" s="431"/>
      <c r="L48" s="179">
        <f>SUM(L46:L47)</f>
        <v>0</v>
      </c>
      <c r="M48" s="431">
        <f>L48/$H$48</f>
        <v>0</v>
      </c>
      <c r="N48" s="431"/>
      <c r="O48" s="179">
        <f>SUM(O46:O47)</f>
        <v>706885</v>
      </c>
      <c r="P48" s="431">
        <f>O48/$H$48</f>
        <v>1</v>
      </c>
      <c r="Q48" s="431"/>
      <c r="R48" s="179">
        <f>SUM(R46:R47)</f>
        <v>0</v>
      </c>
      <c r="S48" s="431">
        <f>R48/$H$48</f>
        <v>0</v>
      </c>
      <c r="T48" s="431"/>
      <c r="U48" s="179">
        <f>SUM(U46:U47)</f>
        <v>0</v>
      </c>
      <c r="V48" s="431">
        <f>U48/$H$48</f>
        <v>0</v>
      </c>
      <c r="W48" s="431"/>
      <c r="X48" s="1078">
        <f t="shared" si="3"/>
        <v>0</v>
      </c>
      <c r="Y48" s="1088">
        <f t="shared" si="7"/>
        <v>0</v>
      </c>
      <c r="Z48" s="1093">
        <f t="shared" si="4"/>
        <v>0</v>
      </c>
      <c r="AA48" s="1078">
        <f t="shared" si="5"/>
        <v>706885</v>
      </c>
      <c r="AB48" s="431">
        <f>AA48/H48</f>
        <v>1</v>
      </c>
    </row>
    <row r="49" spans="1:28" ht="30" customHeight="1" x14ac:dyDescent="0.3">
      <c r="A49" s="1290" t="s">
        <v>1378</v>
      </c>
      <c r="B49" s="1289" t="s">
        <v>282</v>
      </c>
      <c r="C49" s="475" t="s">
        <v>81</v>
      </c>
      <c r="D49" s="475" t="s">
        <v>105</v>
      </c>
      <c r="E49" s="475">
        <v>0</v>
      </c>
      <c r="F49" s="32">
        <v>417863</v>
      </c>
      <c r="G49" s="32">
        <f t="shared" si="0"/>
        <v>439174</v>
      </c>
      <c r="H49" s="32">
        <f>ROUND((E49*F49),0)</f>
        <v>0</v>
      </c>
      <c r="I49" s="32">
        <f t="shared" si="20"/>
        <v>0</v>
      </c>
      <c r="J49" s="1290" t="s">
        <v>1418</v>
      </c>
      <c r="K49" s="432">
        <v>0</v>
      </c>
      <c r="L49" s="425">
        <f>ROUND(K49*$F$49,0)</f>
        <v>0</v>
      </c>
      <c r="M49" s="426">
        <v>0</v>
      </c>
      <c r="N49" s="432">
        <v>0</v>
      </c>
      <c r="O49" s="425">
        <f>ROUND(N49*$F$49,0)</f>
        <v>0</v>
      </c>
      <c r="P49" s="426">
        <v>0</v>
      </c>
      <c r="Q49" s="432">
        <v>0</v>
      </c>
      <c r="R49" s="425">
        <f>ROUND(Q49*$F$49,0)</f>
        <v>0</v>
      </c>
      <c r="S49" s="426">
        <v>0</v>
      </c>
      <c r="T49" s="432">
        <v>0</v>
      </c>
      <c r="U49" s="425">
        <f t="shared" ref="U49:U50" si="32">ROUND(T49*G49,0)</f>
        <v>0</v>
      </c>
      <c r="V49" s="604">
        <v>0</v>
      </c>
      <c r="W49" s="432">
        <v>0</v>
      </c>
      <c r="X49" s="425">
        <f t="shared" si="3"/>
        <v>0</v>
      </c>
      <c r="Y49" s="1087">
        <v>0</v>
      </c>
      <c r="Z49" s="416">
        <f t="shared" si="4"/>
        <v>0</v>
      </c>
      <c r="AA49" s="175">
        <f t="shared" si="5"/>
        <v>0</v>
      </c>
      <c r="AB49" s="176">
        <v>0</v>
      </c>
    </row>
    <row r="50" spans="1:28" ht="30" customHeight="1" x14ac:dyDescent="0.3">
      <c r="A50" s="1290"/>
      <c r="B50" s="1289"/>
      <c r="C50" s="475" t="s">
        <v>83</v>
      </c>
      <c r="D50" s="475" t="s">
        <v>107</v>
      </c>
      <c r="E50" s="475">
        <v>0.7</v>
      </c>
      <c r="F50" s="32">
        <v>1845563</v>
      </c>
      <c r="G50" s="32">
        <f t="shared" si="0"/>
        <v>1939687</v>
      </c>
      <c r="H50" s="32">
        <f>ROUND((E50*F50),0)</f>
        <v>1291894</v>
      </c>
      <c r="I50" s="32">
        <f t="shared" si="20"/>
        <v>1357781</v>
      </c>
      <c r="J50" s="1289"/>
      <c r="K50" s="433">
        <v>0.7</v>
      </c>
      <c r="L50" s="429">
        <f>ROUND(K50*$F$50,0)</f>
        <v>1291894</v>
      </c>
      <c r="M50" s="430">
        <f>L50/$H$50</f>
        <v>1</v>
      </c>
      <c r="N50" s="432">
        <v>0</v>
      </c>
      <c r="O50" s="425">
        <f>ROUND(N50*$F$50,0)</f>
        <v>0</v>
      </c>
      <c r="P50" s="426">
        <f>O50/$H$50</f>
        <v>0</v>
      </c>
      <c r="Q50" s="432">
        <v>0</v>
      </c>
      <c r="R50" s="425">
        <f>ROUND(Q50*$F$50,0)</f>
        <v>0</v>
      </c>
      <c r="S50" s="426">
        <f>R50/$H$50</f>
        <v>0</v>
      </c>
      <c r="T50" s="432">
        <v>0</v>
      </c>
      <c r="U50" s="425">
        <f t="shared" si="32"/>
        <v>0</v>
      </c>
      <c r="V50" s="451">
        <f t="shared" ref="V50" si="33">+U50/I50</f>
        <v>0</v>
      </c>
      <c r="W50" s="432">
        <v>0</v>
      </c>
      <c r="X50" s="425">
        <f t="shared" si="3"/>
        <v>0</v>
      </c>
      <c r="Y50" s="1087">
        <f t="shared" si="7"/>
        <v>0</v>
      </c>
      <c r="Z50" s="416">
        <f t="shared" si="4"/>
        <v>0.7</v>
      </c>
      <c r="AA50" s="175">
        <f t="shared" si="5"/>
        <v>1291894</v>
      </c>
      <c r="AB50" s="176">
        <f>AA50/H50</f>
        <v>1</v>
      </c>
    </row>
    <row r="51" spans="1:28" ht="15" customHeight="1" x14ac:dyDescent="0.3">
      <c r="A51" s="1290"/>
      <c r="B51" s="1289"/>
      <c r="C51" s="39"/>
      <c r="D51" s="39" t="s">
        <v>108</v>
      </c>
      <c r="E51" s="41"/>
      <c r="F51" s="41"/>
      <c r="G51" s="41"/>
      <c r="H51" s="42">
        <f>SUM(H49:H50)</f>
        <v>1291894</v>
      </c>
      <c r="I51" s="42">
        <f>SUM(I49:I50)</f>
        <v>1357781</v>
      </c>
      <c r="J51" s="1289"/>
      <c r="K51" s="431"/>
      <c r="L51" s="179">
        <f>SUM(L49:L50)</f>
        <v>1291894</v>
      </c>
      <c r="M51" s="431">
        <f>L51/$H$51</f>
        <v>1</v>
      </c>
      <c r="N51" s="431"/>
      <c r="O51" s="179">
        <f>SUM(O49:O50)</f>
        <v>0</v>
      </c>
      <c r="P51" s="431">
        <f>O51/$H$51</f>
        <v>0</v>
      </c>
      <c r="Q51" s="431"/>
      <c r="R51" s="179">
        <f>SUM(R49:R50)</f>
        <v>0</v>
      </c>
      <c r="S51" s="431">
        <f>R51/$H$51</f>
        <v>0</v>
      </c>
      <c r="T51" s="431"/>
      <c r="U51" s="179">
        <f>SUM(U49:U50)</f>
        <v>0</v>
      </c>
      <c r="V51" s="431">
        <f>U51/$H$51</f>
        <v>0</v>
      </c>
      <c r="W51" s="431"/>
      <c r="X51" s="1078">
        <f t="shared" si="3"/>
        <v>0</v>
      </c>
      <c r="Y51" s="1088">
        <f t="shared" si="7"/>
        <v>0</v>
      </c>
      <c r="Z51" s="1093">
        <f t="shared" si="4"/>
        <v>0</v>
      </c>
      <c r="AA51" s="1078">
        <f t="shared" si="5"/>
        <v>1291894</v>
      </c>
      <c r="AB51" s="431">
        <f>AA51/H51</f>
        <v>1</v>
      </c>
    </row>
    <row r="52" spans="1:28" ht="30" customHeight="1" x14ac:dyDescent="0.3">
      <c r="A52" s="1290" t="s">
        <v>1373</v>
      </c>
      <c r="B52" s="1289" t="s">
        <v>194</v>
      </c>
      <c r="C52" s="475" t="s">
        <v>160</v>
      </c>
      <c r="D52" s="475" t="s">
        <v>161</v>
      </c>
      <c r="E52" s="479">
        <v>24</v>
      </c>
      <c r="F52" s="32">
        <v>69644</v>
      </c>
      <c r="G52" s="32">
        <f t="shared" si="0"/>
        <v>73196</v>
      </c>
      <c r="H52" s="32">
        <f>ROUND((E52*F52),0)</f>
        <v>1671456</v>
      </c>
      <c r="I52" s="32">
        <f t="shared" si="20"/>
        <v>1756704</v>
      </c>
      <c r="J52" s="1290" t="s">
        <v>1419</v>
      </c>
      <c r="K52" s="432">
        <v>0</v>
      </c>
      <c r="L52" s="425">
        <f>ROUND(K52*$F$52,0)</f>
        <v>0</v>
      </c>
      <c r="M52" s="426">
        <f>L52/$H$52</f>
        <v>0</v>
      </c>
      <c r="N52" s="432">
        <v>0</v>
      </c>
      <c r="O52" s="425">
        <f>ROUND(N52*$F$52,0)</f>
        <v>0</v>
      </c>
      <c r="P52" s="426">
        <f>O52/$H$52</f>
        <v>0</v>
      </c>
      <c r="Q52" s="432">
        <v>0</v>
      </c>
      <c r="R52" s="425">
        <f>ROUND(Q52*$F$52,0)</f>
        <v>0</v>
      </c>
      <c r="S52" s="426">
        <f>R52/$H$52</f>
        <v>0</v>
      </c>
      <c r="T52" s="433">
        <v>12</v>
      </c>
      <c r="U52" s="429">
        <f>ROUND(T52*G52,0)</f>
        <v>878352</v>
      </c>
      <c r="V52" s="975">
        <f>+U52/H52</f>
        <v>0.52550111998162086</v>
      </c>
      <c r="W52" s="432">
        <v>0</v>
      </c>
      <c r="X52" s="425">
        <f t="shared" si="3"/>
        <v>0</v>
      </c>
      <c r="Y52" s="1087">
        <f t="shared" si="7"/>
        <v>0</v>
      </c>
      <c r="Z52" s="416">
        <f t="shared" si="4"/>
        <v>12</v>
      </c>
      <c r="AA52" s="175">
        <f t="shared" si="5"/>
        <v>878352</v>
      </c>
      <c r="AB52" s="176">
        <f>AA52/H52</f>
        <v>0.52550111998162086</v>
      </c>
    </row>
    <row r="53" spans="1:28" ht="15" customHeight="1" x14ac:dyDescent="0.3">
      <c r="A53" s="1290"/>
      <c r="B53" s="1289"/>
      <c r="C53" s="39"/>
      <c r="D53" s="39" t="s">
        <v>162</v>
      </c>
      <c r="E53" s="41"/>
      <c r="F53" s="41"/>
      <c r="G53" s="41"/>
      <c r="H53" s="42">
        <f>H52</f>
        <v>1671456</v>
      </c>
      <c r="I53" s="42">
        <f>SUM(I52)</f>
        <v>1756704</v>
      </c>
      <c r="J53" s="1289"/>
      <c r="K53" s="431"/>
      <c r="L53" s="179">
        <f>SUM(L52)</f>
        <v>0</v>
      </c>
      <c r="M53" s="431">
        <f>L53/$H$53</f>
        <v>0</v>
      </c>
      <c r="N53" s="431"/>
      <c r="O53" s="179">
        <f>SUM(O52)</f>
        <v>0</v>
      </c>
      <c r="P53" s="431">
        <f>O53/$H$53</f>
        <v>0</v>
      </c>
      <c r="Q53" s="431"/>
      <c r="R53" s="179">
        <f>SUM(R52)</f>
        <v>0</v>
      </c>
      <c r="S53" s="431">
        <f>R53/$H$53</f>
        <v>0</v>
      </c>
      <c r="T53" s="431"/>
      <c r="U53" s="179">
        <f>SUM(U52)</f>
        <v>878352</v>
      </c>
      <c r="V53" s="431">
        <f>U53/$H$53</f>
        <v>0.52550111998162086</v>
      </c>
      <c r="W53" s="431"/>
      <c r="X53" s="1078">
        <f t="shared" si="3"/>
        <v>0</v>
      </c>
      <c r="Y53" s="1088">
        <f t="shared" si="7"/>
        <v>0</v>
      </c>
      <c r="Z53" s="1093">
        <f t="shared" si="4"/>
        <v>0</v>
      </c>
      <c r="AA53" s="1078">
        <f t="shared" si="5"/>
        <v>878352</v>
      </c>
      <c r="AB53" s="431">
        <f>AA53/H53</f>
        <v>0.52550111998162086</v>
      </c>
    </row>
    <row r="54" spans="1:28" ht="30" customHeight="1" x14ac:dyDescent="0.3">
      <c r="A54" s="1290" t="s">
        <v>156</v>
      </c>
      <c r="B54" s="1289" t="s">
        <v>282</v>
      </c>
      <c r="C54" s="475" t="s">
        <v>81</v>
      </c>
      <c r="D54" s="475" t="s">
        <v>105</v>
      </c>
      <c r="E54" s="475">
        <v>0.7</v>
      </c>
      <c r="F54" s="32">
        <v>417863</v>
      </c>
      <c r="G54" s="32">
        <f t="shared" si="0"/>
        <v>439174</v>
      </c>
      <c r="H54" s="32">
        <f>ROUND((E54*F54),0)</f>
        <v>292504</v>
      </c>
      <c r="I54" s="32">
        <f t="shared" si="20"/>
        <v>307422</v>
      </c>
      <c r="J54" s="1290" t="s">
        <v>1420</v>
      </c>
      <c r="K54" s="432">
        <v>0</v>
      </c>
      <c r="L54" s="425">
        <f>ROUND(K54*$F$54,0)</f>
        <v>0</v>
      </c>
      <c r="M54" s="426">
        <f>L54/$H$54</f>
        <v>0</v>
      </c>
      <c r="N54" s="432">
        <v>0</v>
      </c>
      <c r="O54" s="425">
        <f>ROUND(N54*$F$54,0)</f>
        <v>0</v>
      </c>
      <c r="P54" s="426">
        <f>O54/$H$54</f>
        <v>0</v>
      </c>
      <c r="Q54" s="433">
        <v>0.7</v>
      </c>
      <c r="R54" s="429">
        <f>ROUND(Q54*$F$54,0)</f>
        <v>292504</v>
      </c>
      <c r="S54" s="430">
        <f>R54/$H$54</f>
        <v>1</v>
      </c>
      <c r="T54" s="432">
        <v>0</v>
      </c>
      <c r="U54" s="425">
        <f>ROUND(T54*G54,0)</f>
        <v>0</v>
      </c>
      <c r="V54" s="451">
        <f>+U54/I54</f>
        <v>0</v>
      </c>
      <c r="W54" s="432">
        <v>0</v>
      </c>
      <c r="X54" s="425">
        <f t="shared" si="3"/>
        <v>0</v>
      </c>
      <c r="Y54" s="1087">
        <f t="shared" si="7"/>
        <v>0</v>
      </c>
      <c r="Z54" s="416">
        <f t="shared" si="4"/>
        <v>0.7</v>
      </c>
      <c r="AA54" s="175">
        <f t="shared" si="5"/>
        <v>292504</v>
      </c>
      <c r="AB54" s="176">
        <f>AA54/H54</f>
        <v>1</v>
      </c>
    </row>
    <row r="55" spans="1:28" ht="30" customHeight="1" x14ac:dyDescent="0.3">
      <c r="A55" s="1290"/>
      <c r="B55" s="1289"/>
      <c r="C55" s="475" t="s">
        <v>83</v>
      </c>
      <c r="D55" s="475" t="s">
        <v>107</v>
      </c>
      <c r="E55" s="475">
        <v>0</v>
      </c>
      <c r="F55" s="32">
        <v>1845563</v>
      </c>
      <c r="G55" s="32">
        <f t="shared" si="0"/>
        <v>1939687</v>
      </c>
      <c r="H55" s="32">
        <f>ROUND((E55*F55),0)</f>
        <v>0</v>
      </c>
      <c r="I55" s="32">
        <f t="shared" si="20"/>
        <v>0</v>
      </c>
      <c r="J55" s="1289"/>
      <c r="K55" s="432">
        <v>0</v>
      </c>
      <c r="L55" s="425">
        <f>ROUND(K55*$F$55,0)</f>
        <v>0</v>
      </c>
      <c r="M55" s="426">
        <v>0</v>
      </c>
      <c r="N55" s="432">
        <v>0</v>
      </c>
      <c r="O55" s="425">
        <f>ROUND(N55*$F$55,0)</f>
        <v>0</v>
      </c>
      <c r="P55" s="426">
        <v>0</v>
      </c>
      <c r="Q55" s="432">
        <v>0</v>
      </c>
      <c r="R55" s="425">
        <f>ROUND(Q55*$F$55,0)</f>
        <v>0</v>
      </c>
      <c r="S55" s="426">
        <v>0</v>
      </c>
      <c r="T55" s="432">
        <v>0</v>
      </c>
      <c r="U55" s="425">
        <f>ROUND(T55*G55,0)</f>
        <v>0</v>
      </c>
      <c r="V55" s="604">
        <v>0</v>
      </c>
      <c r="W55" s="432">
        <v>0</v>
      </c>
      <c r="X55" s="425">
        <f t="shared" si="3"/>
        <v>0</v>
      </c>
      <c r="Y55" s="1087">
        <v>0</v>
      </c>
      <c r="Z55" s="416">
        <f t="shared" si="4"/>
        <v>0</v>
      </c>
      <c r="AA55" s="175">
        <f t="shared" si="5"/>
        <v>0</v>
      </c>
      <c r="AB55" s="176">
        <v>0</v>
      </c>
    </row>
    <row r="56" spans="1:28" ht="15" customHeight="1" x14ac:dyDescent="0.3">
      <c r="A56" s="1290"/>
      <c r="B56" s="1289"/>
      <c r="C56" s="39"/>
      <c r="D56" s="39" t="s">
        <v>108</v>
      </c>
      <c r="E56" s="41"/>
      <c r="F56" s="41"/>
      <c r="G56" s="41"/>
      <c r="H56" s="42">
        <f>SUM(H54:H55)</f>
        <v>292504</v>
      </c>
      <c r="I56" s="42">
        <f>SUM(I54:I55)</f>
        <v>307422</v>
      </c>
      <c r="J56" s="1289"/>
      <c r="K56" s="431"/>
      <c r="L56" s="179">
        <f>SUM(L54:L55)</f>
        <v>0</v>
      </c>
      <c r="M56" s="431">
        <f>L56/$H$56</f>
        <v>0</v>
      </c>
      <c r="N56" s="431"/>
      <c r="O56" s="179">
        <f>SUM(O54:O55)</f>
        <v>0</v>
      </c>
      <c r="P56" s="431">
        <f>O56/$H$56</f>
        <v>0</v>
      </c>
      <c r="Q56" s="431"/>
      <c r="R56" s="179">
        <f>SUM(R54:R55)</f>
        <v>292504</v>
      </c>
      <c r="S56" s="431">
        <f>R56/$H$56</f>
        <v>1</v>
      </c>
      <c r="T56" s="431"/>
      <c r="U56" s="179">
        <f>SUM(U54:U55)</f>
        <v>0</v>
      </c>
      <c r="V56" s="431">
        <f>U56/$H$56</f>
        <v>0</v>
      </c>
      <c r="W56" s="431"/>
      <c r="X56" s="1078">
        <f t="shared" si="3"/>
        <v>0</v>
      </c>
      <c r="Y56" s="1088">
        <f t="shared" si="7"/>
        <v>0</v>
      </c>
      <c r="Z56" s="1096"/>
      <c r="AA56" s="1078">
        <f t="shared" si="5"/>
        <v>292504</v>
      </c>
      <c r="AB56" s="431">
        <f>AA56/H56</f>
        <v>1</v>
      </c>
    </row>
    <row r="57" spans="1:28" x14ac:dyDescent="0.3">
      <c r="F57" s="151" t="s">
        <v>64</v>
      </c>
      <c r="G57" s="151"/>
      <c r="H57" s="181">
        <f>SUM(H14:H56)/2</f>
        <v>12492546.98</v>
      </c>
      <c r="I57" s="181">
        <f>SUM(I14:I56)/2</f>
        <v>13129674</v>
      </c>
      <c r="K57" s="151" t="s">
        <v>64</v>
      </c>
      <c r="L57" s="181">
        <f>SUM(L14:L56)/2</f>
        <v>1291894</v>
      </c>
      <c r="M57" s="322">
        <f>L57/$H$57</f>
        <v>0.10341317923945081</v>
      </c>
      <c r="N57" s="480" t="s">
        <v>64</v>
      </c>
      <c r="O57" s="481">
        <f>SUM(O14:O56)/2</f>
        <v>6134929</v>
      </c>
      <c r="Q57" s="480" t="s">
        <v>64</v>
      </c>
      <c r="R57" s="481">
        <f>SUM(R14:R56)/2</f>
        <v>737354</v>
      </c>
      <c r="T57" s="480" t="s">
        <v>64</v>
      </c>
      <c r="U57" s="481">
        <f>SUM(U14:U56)/2</f>
        <v>2825359</v>
      </c>
      <c r="W57" s="480" t="s">
        <v>64</v>
      </c>
      <c r="X57" s="481">
        <f>SUM(X14:X56)/2</f>
        <v>0</v>
      </c>
      <c r="Z57" s="480" t="s">
        <v>64</v>
      </c>
      <c r="AA57" s="481">
        <f>SUM(AA14:AA56)/2</f>
        <v>10989536</v>
      </c>
    </row>
    <row r="58" spans="1:28" ht="26.4" x14ac:dyDescent="0.3">
      <c r="F58" s="153" t="s">
        <v>65</v>
      </c>
      <c r="G58" s="153"/>
      <c r="H58" s="181">
        <v>0</v>
      </c>
      <c r="I58" s="181">
        <v>0</v>
      </c>
      <c r="K58" s="153" t="s">
        <v>65</v>
      </c>
      <c r="L58" s="181">
        <v>0</v>
      </c>
      <c r="N58" s="482" t="s">
        <v>65</v>
      </c>
      <c r="O58" s="481">
        <v>0</v>
      </c>
      <c r="Q58" s="482" t="s">
        <v>65</v>
      </c>
      <c r="R58" s="481">
        <v>0</v>
      </c>
      <c r="T58" s="482" t="s">
        <v>65</v>
      </c>
      <c r="U58" s="481">
        <v>0</v>
      </c>
      <c r="W58" s="482" t="s">
        <v>65</v>
      </c>
      <c r="X58" s="481">
        <v>0</v>
      </c>
      <c r="Z58" s="482" t="s">
        <v>65</v>
      </c>
      <c r="AA58" s="481">
        <v>0</v>
      </c>
    </row>
    <row r="59" spans="1:28" x14ac:dyDescent="0.3">
      <c r="F59" s="152" t="s">
        <v>64</v>
      </c>
      <c r="G59" s="152"/>
      <c r="H59" s="340">
        <f>SUM(H57:H58)</f>
        <v>12492546.98</v>
      </c>
      <c r="I59" s="340">
        <f>SUM(I57:I58)</f>
        <v>13129674</v>
      </c>
      <c r="K59" s="152" t="s">
        <v>64</v>
      </c>
      <c r="L59" s="340">
        <f>SUM(L57:L58)</f>
        <v>1291894</v>
      </c>
      <c r="N59" s="484" t="s">
        <v>64</v>
      </c>
      <c r="O59" s="550">
        <f>SUM(O57:O58)</f>
        <v>6134929</v>
      </c>
      <c r="Q59" s="484" t="s">
        <v>64</v>
      </c>
      <c r="R59" s="550">
        <f>SUM(R57:R58)</f>
        <v>737354</v>
      </c>
      <c r="T59" s="484" t="s">
        <v>64</v>
      </c>
      <c r="U59" s="550">
        <f>SUM(U57:U58)</f>
        <v>2825359</v>
      </c>
      <c r="W59" s="484" t="s">
        <v>64</v>
      </c>
      <c r="X59" s="550">
        <f>SUM(X57:X58)</f>
        <v>0</v>
      </c>
      <c r="Z59" s="484" t="s">
        <v>64</v>
      </c>
      <c r="AA59" s="550">
        <f>SUM(AA57:AA58)</f>
        <v>10989536</v>
      </c>
    </row>
    <row r="60" spans="1:28" ht="26.4" x14ac:dyDescent="0.3">
      <c r="F60" s="152"/>
      <c r="G60" s="152"/>
      <c r="H60" s="340"/>
      <c r="I60" s="340"/>
      <c r="K60" s="152"/>
      <c r="L60" s="340"/>
      <c r="N60" s="484" t="s">
        <v>1439</v>
      </c>
      <c r="O60" s="483">
        <f>ROUND(O59*0.015,0)</f>
        <v>92024</v>
      </c>
      <c r="Q60" s="484" t="s">
        <v>1439</v>
      </c>
      <c r="R60" s="483">
        <f>ROUND(R59*0.015,0)</f>
        <v>11060</v>
      </c>
      <c r="T60" s="484" t="s">
        <v>1439</v>
      </c>
      <c r="U60" s="483">
        <f>ROUND(U59*0.015,0)</f>
        <v>42380</v>
      </c>
      <c r="W60" s="484" t="s">
        <v>1439</v>
      </c>
      <c r="X60" s="483">
        <f>ROUND(X59*0.015,0)</f>
        <v>0</v>
      </c>
      <c r="Z60" s="484" t="s">
        <v>1439</v>
      </c>
      <c r="AA60" s="550">
        <f>L60+O60+R60+U60+X60</f>
        <v>145464</v>
      </c>
    </row>
    <row r="61" spans="1:28" ht="39.6" x14ac:dyDescent="0.3">
      <c r="F61" s="152"/>
      <c r="G61" s="152"/>
      <c r="H61" s="340"/>
      <c r="I61" s="340"/>
      <c r="K61" s="152"/>
      <c r="L61" s="340"/>
      <c r="N61" s="152" t="s">
        <v>1440</v>
      </c>
      <c r="O61" s="182">
        <f>O59+O60</f>
        <v>6226953</v>
      </c>
      <c r="P61" s="561">
        <f>O61/$H$57</f>
        <v>0.49845343867580155</v>
      </c>
      <c r="Q61" s="152" t="s">
        <v>1440</v>
      </c>
      <c r="R61" s="182">
        <f>R59+R60</f>
        <v>748414</v>
      </c>
      <c r="S61" s="561">
        <f>R61/$H$57</f>
        <v>5.9908840142700828E-2</v>
      </c>
      <c r="T61" s="152" t="s">
        <v>1440</v>
      </c>
      <c r="U61" s="182">
        <f>U59+U60</f>
        <v>2867739</v>
      </c>
      <c r="V61" s="561">
        <f>U61/$H$57</f>
        <v>0.2295559908312628</v>
      </c>
      <c r="W61" s="152" t="s">
        <v>1440</v>
      </c>
      <c r="X61" s="182">
        <f>X59+X60</f>
        <v>0</v>
      </c>
      <c r="Y61" s="561">
        <f>X61/$H$57</f>
        <v>0</v>
      </c>
      <c r="Z61" s="152" t="s">
        <v>1440</v>
      </c>
      <c r="AA61" s="182">
        <f>AA59+AA60</f>
        <v>11135000</v>
      </c>
      <c r="AB61" s="976">
        <f>AA61/H57</f>
        <v>0.891331448889216</v>
      </c>
    </row>
    <row r="62" spans="1:28" x14ac:dyDescent="0.3">
      <c r="F62" s="154" t="s">
        <v>66</v>
      </c>
      <c r="G62" s="154"/>
      <c r="H62" s="181">
        <f>+H59*19%</f>
        <v>2373583.9262000001</v>
      </c>
      <c r="I62" s="181">
        <f>+I59*19%</f>
        <v>2494638.06</v>
      </c>
      <c r="K62" s="154" t="s">
        <v>66</v>
      </c>
      <c r="L62" s="181">
        <f>+L59*19%</f>
        <v>245459.86000000002</v>
      </c>
      <c r="N62" s="485" t="s">
        <v>66</v>
      </c>
      <c r="O62" s="483">
        <f>ROUND(O61*0.19,0)</f>
        <v>1183121</v>
      </c>
      <c r="Q62" s="485" t="s">
        <v>66</v>
      </c>
      <c r="R62" s="483">
        <f>ROUND(R61*0.19,0)</f>
        <v>142199</v>
      </c>
      <c r="T62" s="485" t="s">
        <v>66</v>
      </c>
      <c r="U62" s="483">
        <f>ROUND(U61*0.19,0)</f>
        <v>544870</v>
      </c>
      <c r="W62" s="485" t="s">
        <v>66</v>
      </c>
      <c r="X62" s="483">
        <f>ROUND(X61*0.19,0)</f>
        <v>0</v>
      </c>
      <c r="Z62" s="485" t="s">
        <v>66</v>
      </c>
      <c r="AA62" s="483">
        <f>ROUND(AA61*0.19,0)</f>
        <v>2115650</v>
      </c>
    </row>
    <row r="63" spans="1:28" x14ac:dyDescent="0.3">
      <c r="F63" s="155" t="s">
        <v>69</v>
      </c>
      <c r="G63" s="155"/>
      <c r="H63" s="181">
        <f>+H59+H62</f>
        <v>14866130.906200001</v>
      </c>
      <c r="I63" s="181">
        <f>+I59+I62</f>
        <v>15624312.060000001</v>
      </c>
      <c r="K63" s="155" t="s">
        <v>69</v>
      </c>
      <c r="L63" s="181">
        <f>+L59+L62</f>
        <v>1537353.86</v>
      </c>
      <c r="N63" s="545" t="s">
        <v>69</v>
      </c>
      <c r="O63" s="481">
        <f>O61+O62</f>
        <v>7410074</v>
      </c>
      <c r="Q63" s="545" t="s">
        <v>69</v>
      </c>
      <c r="R63" s="481">
        <f>R61+R62</f>
        <v>890613</v>
      </c>
      <c r="T63" s="545" t="s">
        <v>69</v>
      </c>
      <c r="U63" s="481">
        <f>U61+U62</f>
        <v>3412609</v>
      </c>
      <c r="W63" s="545" t="s">
        <v>69</v>
      </c>
      <c r="X63" s="481">
        <f>X61+X62</f>
        <v>0</v>
      </c>
      <c r="Z63" s="545" t="s">
        <v>69</v>
      </c>
      <c r="AA63" s="481">
        <f>AA61+AA62</f>
        <v>13250650</v>
      </c>
    </row>
    <row r="66" spans="1:31" s="189" customFormat="1" x14ac:dyDescent="0.3">
      <c r="A66" s="183" t="s">
        <v>67</v>
      </c>
      <c r="B66" s="184"/>
      <c r="C66" s="184"/>
      <c r="D66" s="185" t="s">
        <v>68</v>
      </c>
      <c r="G66" s="852"/>
      <c r="I66" s="852"/>
      <c r="K66" s="186" t="s">
        <v>70</v>
      </c>
      <c r="L66" s="187" t="s">
        <v>71</v>
      </c>
      <c r="M66" s="186" t="s">
        <v>58</v>
      </c>
      <c r="N66" s="186" t="s">
        <v>70</v>
      </c>
      <c r="O66" s="187" t="s">
        <v>71</v>
      </c>
      <c r="P66" s="186" t="s">
        <v>58</v>
      </c>
      <c r="Q66" s="186" t="s">
        <v>70</v>
      </c>
      <c r="R66" s="187" t="s">
        <v>71</v>
      </c>
      <c r="S66" s="186" t="s">
        <v>58</v>
      </c>
      <c r="T66" s="186" t="s">
        <v>70</v>
      </c>
      <c r="U66" s="187" t="s">
        <v>71</v>
      </c>
      <c r="V66" s="186" t="s">
        <v>58</v>
      </c>
      <c r="W66" s="186" t="s">
        <v>70</v>
      </c>
      <c r="X66" s="187" t="s">
        <v>71</v>
      </c>
      <c r="Y66" s="186" t="s">
        <v>58</v>
      </c>
      <c r="Z66"/>
      <c r="AA66"/>
      <c r="AB66"/>
      <c r="AC66" s="302"/>
      <c r="AD66" s="302"/>
      <c r="AE66" s="302"/>
    </row>
    <row r="67" spans="1:31" s="189" customFormat="1" x14ac:dyDescent="0.3">
      <c r="A67" s="183"/>
      <c r="B67" s="184"/>
      <c r="C67" s="184"/>
      <c r="D67" s="185"/>
      <c r="G67" s="852"/>
      <c r="I67" s="852"/>
      <c r="K67" s="69" t="s">
        <v>72</v>
      </c>
      <c r="L67" s="70">
        <f>$L$57</f>
        <v>1291894</v>
      </c>
      <c r="M67" s="71">
        <f>$M$57</f>
        <v>0.10341317923945081</v>
      </c>
      <c r="N67" s="69" t="s">
        <v>72</v>
      </c>
      <c r="O67" s="70">
        <f>$L$57</f>
        <v>1291894</v>
      </c>
      <c r="P67" s="71">
        <f>$M$57</f>
        <v>0.10341317923945081</v>
      </c>
      <c r="Q67" s="69" t="s">
        <v>72</v>
      </c>
      <c r="R67" s="70">
        <f>$L$57</f>
        <v>1291894</v>
      </c>
      <c r="S67" s="71">
        <f>$M$57</f>
        <v>0.10341317923945081</v>
      </c>
      <c r="T67" s="69" t="s">
        <v>72</v>
      </c>
      <c r="U67" s="70">
        <f>$L$57</f>
        <v>1291894</v>
      </c>
      <c r="V67" s="71">
        <f>$M$57</f>
        <v>0.10341317923945081</v>
      </c>
      <c r="W67" s="69" t="s">
        <v>72</v>
      </c>
      <c r="X67" s="70">
        <f>$L$57</f>
        <v>1291894</v>
      </c>
      <c r="Y67" s="71">
        <f>$M$57</f>
        <v>0.10341317923945081</v>
      </c>
      <c r="Z67"/>
      <c r="AA67"/>
      <c r="AB67"/>
      <c r="AC67" s="302"/>
      <c r="AD67" s="302"/>
      <c r="AE67" s="302"/>
    </row>
    <row r="68" spans="1:31" s="189" customFormat="1" x14ac:dyDescent="0.3">
      <c r="A68" s="183"/>
      <c r="B68" s="184"/>
      <c r="C68" s="184"/>
      <c r="D68" s="185"/>
      <c r="G68" s="852"/>
      <c r="I68" s="852"/>
      <c r="K68" s="69"/>
      <c r="L68" s="70"/>
      <c r="M68" s="71"/>
      <c r="N68" s="69" t="s">
        <v>73</v>
      </c>
      <c r="O68" s="70">
        <f>$O$61</f>
        <v>6226953</v>
      </c>
      <c r="P68" s="71">
        <f>$P$61</f>
        <v>0.49845343867580155</v>
      </c>
      <c r="Q68" s="69" t="s">
        <v>73</v>
      </c>
      <c r="R68" s="70">
        <f>$O$61</f>
        <v>6226953</v>
      </c>
      <c r="S68" s="71">
        <f>$P$61</f>
        <v>0.49845343867580155</v>
      </c>
      <c r="T68" s="69" t="s">
        <v>73</v>
      </c>
      <c r="U68" s="70">
        <f>$O$61</f>
        <v>6226953</v>
      </c>
      <c r="V68" s="71">
        <f>$P$61</f>
        <v>0.49845343867580155</v>
      </c>
      <c r="W68" s="69" t="s">
        <v>73</v>
      </c>
      <c r="X68" s="70">
        <f>$O$61</f>
        <v>6226953</v>
      </c>
      <c r="Y68" s="71">
        <f>$P$61</f>
        <v>0.49845343867580155</v>
      </c>
      <c r="Z68" s="302"/>
      <c r="AA68" s="302"/>
      <c r="AB68" s="302"/>
      <c r="AC68" s="302"/>
      <c r="AD68" s="302"/>
      <c r="AE68" s="302"/>
    </row>
    <row r="69" spans="1:31" s="189" customFormat="1" x14ac:dyDescent="0.3">
      <c r="A69" s="183"/>
      <c r="B69" s="184"/>
      <c r="C69" s="184"/>
      <c r="D69" s="185"/>
      <c r="G69" s="852"/>
      <c r="I69" s="852"/>
      <c r="K69" s="72" t="s">
        <v>1</v>
      </c>
      <c r="L69" s="105">
        <f>SUM(L67:L67)</f>
        <v>1291894</v>
      </c>
      <c r="M69" s="73">
        <f>SUM(M67:M67)</f>
        <v>0.10341317923945081</v>
      </c>
      <c r="N69" s="72" t="s">
        <v>1</v>
      </c>
      <c r="O69" s="105">
        <f>SUM(O67:O68)</f>
        <v>7518847</v>
      </c>
      <c r="P69" s="73">
        <f>SUM(P67:P68)</f>
        <v>0.60186661791525231</v>
      </c>
      <c r="Q69" s="69" t="s">
        <v>74</v>
      </c>
      <c r="R69" s="70">
        <f>R61</f>
        <v>748414</v>
      </c>
      <c r="S69" s="71">
        <f>S61</f>
        <v>5.9908840142700828E-2</v>
      </c>
      <c r="T69" s="69" t="s">
        <v>74</v>
      </c>
      <c r="U69" s="70">
        <f>R61</f>
        <v>748414</v>
      </c>
      <c r="V69" s="71">
        <f>S61</f>
        <v>5.9908840142700828E-2</v>
      </c>
      <c r="W69" s="69" t="s">
        <v>74</v>
      </c>
      <c r="X69" s="70">
        <f>R61</f>
        <v>748414</v>
      </c>
      <c r="Y69" s="71">
        <f>S61</f>
        <v>5.9908840142700828E-2</v>
      </c>
      <c r="Z69"/>
      <c r="AA69"/>
      <c r="AB69"/>
      <c r="AC69" s="302"/>
      <c r="AD69" s="302"/>
      <c r="AE69" s="302"/>
    </row>
    <row r="70" spans="1:31" s="852" customFormat="1" x14ac:dyDescent="0.3">
      <c r="A70" s="183"/>
      <c r="B70" s="184"/>
      <c r="C70" s="184"/>
      <c r="D70" s="185"/>
      <c r="K70" s="72"/>
      <c r="L70" s="869"/>
      <c r="M70" s="870"/>
      <c r="N70" s="72"/>
      <c r="O70" s="869"/>
      <c r="P70" s="870"/>
      <c r="Q70" s="69"/>
      <c r="R70" s="70"/>
      <c r="S70" s="71"/>
      <c r="T70" s="69" t="s">
        <v>155</v>
      </c>
      <c r="U70" s="70">
        <f>+U61</f>
        <v>2867739</v>
      </c>
      <c r="V70" s="71">
        <f>+V61</f>
        <v>0.2295559908312628</v>
      </c>
      <c r="W70" s="69" t="s">
        <v>155</v>
      </c>
      <c r="X70" s="70">
        <f>+U61</f>
        <v>2867739</v>
      </c>
      <c r="Y70" s="71">
        <f>+V61</f>
        <v>0.2295559908312628</v>
      </c>
      <c r="Z70" s="849"/>
      <c r="AA70" s="849"/>
      <c r="AB70" s="849"/>
      <c r="AC70" s="849"/>
      <c r="AD70" s="849"/>
      <c r="AE70" s="849"/>
    </row>
    <row r="71" spans="1:31" s="189" customFormat="1" x14ac:dyDescent="0.3">
      <c r="A71" s="183"/>
      <c r="B71" s="184"/>
      <c r="C71" s="184"/>
      <c r="D71" s="185"/>
      <c r="G71" s="852"/>
      <c r="I71" s="852"/>
      <c r="K71" s="72" t="s">
        <v>9</v>
      </c>
      <c r="L71" s="1285"/>
      <c r="M71" s="1286"/>
      <c r="N71" s="72" t="s">
        <v>9</v>
      </c>
      <c r="O71" s="1285"/>
      <c r="P71" s="1286"/>
      <c r="Q71" s="72" t="s">
        <v>1</v>
      </c>
      <c r="R71" s="105">
        <f>SUM(R67:R69)</f>
        <v>8267261</v>
      </c>
      <c r="S71" s="73">
        <f>SUM(S67:S69)</f>
        <v>0.66177545805795313</v>
      </c>
      <c r="T71" s="72" t="s">
        <v>1</v>
      </c>
      <c r="U71" s="105">
        <f>SUM(U67:U70)</f>
        <v>11135000</v>
      </c>
      <c r="V71" s="977">
        <f>SUM(V67:V70)</f>
        <v>0.89133144888921589</v>
      </c>
      <c r="W71" s="69" t="s">
        <v>352</v>
      </c>
      <c r="X71" s="70">
        <f>$X$61</f>
        <v>0</v>
      </c>
      <c r="Y71" s="71">
        <f>$Y$61</f>
        <v>0</v>
      </c>
      <c r="Z71"/>
      <c r="AA71"/>
      <c r="AB71"/>
      <c r="AC71" s="302"/>
      <c r="AD71" s="302"/>
      <c r="AE71" s="302"/>
    </row>
    <row r="72" spans="1:31" s="189" customFormat="1" x14ac:dyDescent="0.3">
      <c r="A72" s="183"/>
      <c r="B72" s="184"/>
      <c r="C72" s="184"/>
      <c r="D72" s="185"/>
      <c r="G72" s="852"/>
      <c r="I72" s="852"/>
      <c r="K72" s="156" t="s">
        <v>78</v>
      </c>
      <c r="L72" s="1285" t="s">
        <v>334</v>
      </c>
      <c r="M72" s="1286"/>
      <c r="N72" s="156" t="s">
        <v>78</v>
      </c>
      <c r="O72" s="1285" t="s">
        <v>334</v>
      </c>
      <c r="P72" s="1286"/>
      <c r="Q72" s="72" t="s">
        <v>9</v>
      </c>
      <c r="R72" s="731"/>
      <c r="S72" s="732"/>
      <c r="T72" s="72" t="s">
        <v>9</v>
      </c>
      <c r="U72" s="841"/>
      <c r="V72" s="842"/>
      <c r="W72" s="72" t="s">
        <v>1</v>
      </c>
      <c r="X72" s="105">
        <f>SUM(X67:X71)</f>
        <v>11135000</v>
      </c>
      <c r="Y72" s="1104">
        <f>SUM(Y67:Y71)</f>
        <v>0.89133144888921589</v>
      </c>
      <c r="Z72"/>
      <c r="AA72"/>
      <c r="AB72"/>
      <c r="AC72" s="302"/>
      <c r="AD72" s="302"/>
      <c r="AE72" s="302"/>
    </row>
    <row r="73" spans="1:31" s="189" customFormat="1" x14ac:dyDescent="0.3">
      <c r="A73" s="183"/>
      <c r="B73" s="184"/>
      <c r="C73" s="184"/>
      <c r="D73" s="185"/>
      <c r="G73" s="852"/>
      <c r="I73" s="852"/>
      <c r="K73" s="157" t="s">
        <v>8</v>
      </c>
      <c r="L73" s="1287" t="s">
        <v>335</v>
      </c>
      <c r="M73" s="1288"/>
      <c r="N73" s="157" t="s">
        <v>8</v>
      </c>
      <c r="O73" s="1287" t="s">
        <v>335</v>
      </c>
      <c r="P73" s="1288"/>
      <c r="Q73" s="156" t="s">
        <v>78</v>
      </c>
      <c r="R73" s="1285" t="s">
        <v>1986</v>
      </c>
      <c r="S73" s="1286"/>
      <c r="T73" s="156" t="s">
        <v>78</v>
      </c>
      <c r="U73" s="1285" t="s">
        <v>1986</v>
      </c>
      <c r="V73" s="1286"/>
      <c r="W73" s="72" t="s">
        <v>9</v>
      </c>
      <c r="X73" s="1047"/>
      <c r="Y73" s="1048"/>
      <c r="Z73"/>
      <c r="AA73"/>
      <c r="AB73"/>
      <c r="AC73" s="302"/>
      <c r="AD73" s="302"/>
      <c r="AE73" s="302"/>
    </row>
    <row r="74" spans="1:31" s="189" customFormat="1" x14ac:dyDescent="0.3">
      <c r="A74" s="183"/>
      <c r="B74" s="184"/>
      <c r="C74" s="184"/>
      <c r="D74" s="185" t="s">
        <v>75</v>
      </c>
      <c r="G74" s="852"/>
      <c r="I74" s="852"/>
      <c r="Q74" s="157" t="s">
        <v>8</v>
      </c>
      <c r="R74" s="1285" t="s">
        <v>1987</v>
      </c>
      <c r="S74" s="1286"/>
      <c r="T74" s="157" t="s">
        <v>8</v>
      </c>
      <c r="U74" s="1285" t="s">
        <v>1987</v>
      </c>
      <c r="V74" s="1286"/>
      <c r="W74" s="156" t="s">
        <v>78</v>
      </c>
      <c r="X74" s="1285" t="s">
        <v>1986</v>
      </c>
      <c r="Y74" s="1286"/>
    </row>
    <row r="75" spans="1:31" s="189" customFormat="1" x14ac:dyDescent="0.3">
      <c r="A75" s="183" t="s">
        <v>76</v>
      </c>
      <c r="B75" s="180"/>
      <c r="C75" s="180"/>
      <c r="D75" s="185" t="s">
        <v>77</v>
      </c>
      <c r="G75" s="852"/>
      <c r="I75" s="852"/>
      <c r="Q75" s="738"/>
      <c r="R75" s="738"/>
      <c r="S75" s="738"/>
      <c r="T75" s="852"/>
      <c r="U75" s="852"/>
      <c r="V75" s="852"/>
      <c r="W75" s="157" t="s">
        <v>8</v>
      </c>
      <c r="X75" s="1285" t="s">
        <v>1987</v>
      </c>
      <c r="Y75" s="1286"/>
    </row>
    <row r="76" spans="1:31" s="189" customFormat="1" x14ac:dyDescent="0.3">
      <c r="A76" s="183" t="s">
        <v>79</v>
      </c>
      <c r="B76" s="180"/>
      <c r="C76" s="180"/>
      <c r="D76" s="185" t="s">
        <v>80</v>
      </c>
      <c r="G76" s="852"/>
      <c r="I76" s="852"/>
      <c r="Q76" s="738"/>
      <c r="R76" s="738"/>
      <c r="S76" s="738"/>
      <c r="T76" s="852"/>
      <c r="U76" s="852"/>
      <c r="V76" s="852"/>
      <c r="W76" s="1055"/>
      <c r="X76" s="1055"/>
      <c r="Y76" s="1055"/>
    </row>
    <row r="77" spans="1:31" x14ac:dyDescent="0.3">
      <c r="W77" s="1055"/>
      <c r="X77" s="1055"/>
      <c r="Y77" s="1055"/>
    </row>
  </sheetData>
  <sheetProtection formatCells="0" formatColumns="0" formatRows="0" insertColumns="0" insertRows="0" insertHyperlinks="0" deleteColumns="0" deleteRows="0" sort="0" autoFilter="0" pivotTables="0"/>
  <mergeCells count="70">
    <mergeCell ref="A49:A51"/>
    <mergeCell ref="B49:B51"/>
    <mergeCell ref="J49:J51"/>
    <mergeCell ref="A52:A53"/>
    <mergeCell ref="B52:B53"/>
    <mergeCell ref="J52:J53"/>
    <mergeCell ref="O71:P71"/>
    <mergeCell ref="L73:M73"/>
    <mergeCell ref="A54:A56"/>
    <mergeCell ref="B54:B56"/>
    <mergeCell ref="J54:J56"/>
    <mergeCell ref="L71:M71"/>
    <mergeCell ref="L72:M72"/>
    <mergeCell ref="A46:A48"/>
    <mergeCell ref="B46:B48"/>
    <mergeCell ref="J46:J48"/>
    <mergeCell ref="B18:B21"/>
    <mergeCell ref="J18:J21"/>
    <mergeCell ref="A22:A24"/>
    <mergeCell ref="B22:B24"/>
    <mergeCell ref="J22:J24"/>
    <mergeCell ref="J32:J35"/>
    <mergeCell ref="J25:J28"/>
    <mergeCell ref="A32:A35"/>
    <mergeCell ref="B32:B35"/>
    <mergeCell ref="A43:A45"/>
    <mergeCell ref="B43:B45"/>
    <mergeCell ref="J43:J45"/>
    <mergeCell ref="W11:Y12"/>
    <mergeCell ref="Z1:AB1"/>
    <mergeCell ref="Z2:AB2"/>
    <mergeCell ref="A3:AB3"/>
    <mergeCell ref="A4:AB4"/>
    <mergeCell ref="A5:AB5"/>
    <mergeCell ref="C1:P2"/>
    <mergeCell ref="A6:AB6"/>
    <mergeCell ref="O72:P72"/>
    <mergeCell ref="O73:P73"/>
    <mergeCell ref="A7:AB7"/>
    <mergeCell ref="A14:A17"/>
    <mergeCell ref="B14:B17"/>
    <mergeCell ref="J14:J17"/>
    <mergeCell ref="A18:A21"/>
    <mergeCell ref="T11:V12"/>
    <mergeCell ref="N11:P12"/>
    <mergeCell ref="B11:J11"/>
    <mergeCell ref="K11:M12"/>
    <mergeCell ref="Z11:AB12"/>
    <mergeCell ref="B12:J12"/>
    <mergeCell ref="A10:AB10"/>
    <mergeCell ref="A8:AB8"/>
    <mergeCell ref="A9:AB9"/>
    <mergeCell ref="Q11:S12"/>
    <mergeCell ref="A36:A38"/>
    <mergeCell ref="B36:B38"/>
    <mergeCell ref="J36:J38"/>
    <mergeCell ref="A39:A42"/>
    <mergeCell ref="B39:B42"/>
    <mergeCell ref="J39:J42"/>
    <mergeCell ref="A29:A31"/>
    <mergeCell ref="B29:B31"/>
    <mergeCell ref="J29:J31"/>
    <mergeCell ref="A25:A28"/>
    <mergeCell ref="B25:B28"/>
    <mergeCell ref="X74:Y74"/>
    <mergeCell ref="X75:Y75"/>
    <mergeCell ref="U73:V73"/>
    <mergeCell ref="U74:V74"/>
    <mergeCell ref="R73:S73"/>
    <mergeCell ref="R74:S74"/>
  </mergeCells>
  <pageMargins left="0.70866141732283472" right="0.70866141732283472" top="0.74803149606299213" bottom="0.74803149606299213" header="0.31496062992125984" footer="0.31496062992125984"/>
  <pageSetup scale="35" orientation="landscape" r:id="rId1"/>
  <rowBreaks count="1" manualBreakCount="1">
    <brk id="53" max="19" man="1"/>
  </rowBreaks>
  <drawing r:id="rId2"/>
  <legacyDrawingHF r:id="rId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8">
    <tabColor theme="1"/>
  </sheetPr>
  <dimension ref="A1:G49"/>
  <sheetViews>
    <sheetView zoomScaleNormal="100" workbookViewId="0">
      <selection sqref="A1:XFD104857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RESUMEN!G85</f>
        <v>Proyecto: CDIM_CBSGSM_R0161, Normalización y Reposición SE VICTORIA</v>
      </c>
      <c r="C5" s="1281"/>
      <c r="D5" s="1281"/>
      <c r="E5" s="1281"/>
      <c r="F5" s="1281"/>
      <c r="G5" s="1282"/>
    </row>
    <row r="6" spans="1:7" x14ac:dyDescent="0.25">
      <c r="A6" s="1177"/>
      <c r="B6" s="1177"/>
      <c r="C6" s="1177"/>
      <c r="D6" s="1177"/>
      <c r="E6" s="1177"/>
      <c r="F6" s="1177"/>
      <c r="G6" s="1177"/>
    </row>
    <row r="7" spans="1:7" x14ac:dyDescent="0.25">
      <c r="A7" s="271" t="s">
        <v>0</v>
      </c>
      <c r="B7" s="1264" t="str">
        <f>RESUMEN!B85</f>
        <v>D00234959</v>
      </c>
      <c r="C7" s="1265"/>
      <c r="D7" s="1177"/>
      <c r="E7" s="1266" t="s">
        <v>627</v>
      </c>
      <c r="F7" s="1267"/>
      <c r="G7" s="280" t="str">
        <f>RESUMEN!E85</f>
        <v>17-335</v>
      </c>
    </row>
    <row r="8" spans="1:7" x14ac:dyDescent="0.25">
      <c r="A8" s="271" t="s">
        <v>628</v>
      </c>
      <c r="B8" s="1264">
        <f>RESUMEN!C85</f>
        <v>0</v>
      </c>
      <c r="C8" s="1265"/>
      <c r="D8" s="1177"/>
      <c r="E8" s="1266" t="s">
        <v>629</v>
      </c>
      <c r="F8" s="1267"/>
      <c r="G8" s="280" t="str">
        <f>RESUMEN!U85</f>
        <v>Acta N° 3: Marzo</v>
      </c>
    </row>
    <row r="9" spans="1:7" x14ac:dyDescent="0.25">
      <c r="A9" s="271" t="s">
        <v>630</v>
      </c>
      <c r="B9" s="1283" t="s">
        <v>631</v>
      </c>
      <c r="C9" s="1265"/>
      <c r="D9" s="1177"/>
      <c r="E9" s="1266" t="s">
        <v>632</v>
      </c>
      <c r="F9" s="1267"/>
      <c r="G9" s="1178">
        <f>RESUMEN!H85</f>
        <v>6234172</v>
      </c>
    </row>
    <row r="10" spans="1:7" x14ac:dyDescent="0.25">
      <c r="A10" s="271" t="s">
        <v>633</v>
      </c>
      <c r="B10" s="1283" t="str">
        <f>RESUMEN!D85</f>
        <v>VICTORIA</v>
      </c>
      <c r="C10" s="1265"/>
      <c r="D10" s="1177"/>
      <c r="E10" s="1266" t="s">
        <v>634</v>
      </c>
      <c r="F10" s="1267"/>
      <c r="G10" s="1178">
        <f>RESUMEN!R85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",RESUMEN!G85)</f>
        <v>A los 14 días del mes de Marzo se reunieron en las instalaciones de CODENSA S.A. E.S.P., los ingenieros Ing. Paola Baratto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RESUMEN!N85</f>
        <v>0</v>
      </c>
      <c r="F19" s="1248"/>
      <c r="G19" s="1177"/>
    </row>
    <row r="20" spans="1:7" ht="27" customHeight="1" x14ac:dyDescent="0.25">
      <c r="A20" s="1177"/>
      <c r="B20" s="1244" t="s">
        <v>1498</v>
      </c>
      <c r="C20" s="1245"/>
      <c r="D20" s="1246"/>
      <c r="E20" s="1247">
        <f>RESUMEN!P85</f>
        <v>0</v>
      </c>
      <c r="F20" s="1248"/>
      <c r="G20" s="1177"/>
    </row>
    <row r="21" spans="1:7" ht="27" customHeight="1" x14ac:dyDescent="0.25">
      <c r="A21" s="1177"/>
      <c r="B21" s="1244" t="s">
        <v>1499</v>
      </c>
      <c r="C21" s="1245"/>
      <c r="D21" s="1246"/>
      <c r="E21" s="1247">
        <f>RESUMEN!Q85</f>
        <v>0</v>
      </c>
      <c r="F21" s="1248"/>
      <c r="G21" s="1177"/>
    </row>
    <row r="22" spans="1:7" x14ac:dyDescent="0.25">
      <c r="A22" s="1177"/>
      <c r="B22" s="1254" t="s">
        <v>64</v>
      </c>
      <c r="C22" s="1254"/>
      <c r="D22" s="1254"/>
      <c r="E22" s="1255">
        <f>RESUMEN!R85</f>
        <v>0</v>
      </c>
      <c r="F22" s="1255"/>
      <c r="G22" s="1177"/>
    </row>
    <row r="23" spans="1:7" x14ac:dyDescent="0.25">
      <c r="A23" s="1177"/>
      <c r="B23" s="1256" t="s">
        <v>66</v>
      </c>
      <c r="C23" s="1256"/>
      <c r="D23" s="1256"/>
      <c r="E23" s="1257">
        <f>RESUMEN!S85</f>
        <v>0</v>
      </c>
      <c r="F23" s="1257"/>
      <c r="G23" s="1177"/>
    </row>
    <row r="24" spans="1:7" x14ac:dyDescent="0.25">
      <c r="A24" s="1177"/>
      <c r="B24" s="1258" t="s">
        <v>1</v>
      </c>
      <c r="C24" s="1258"/>
      <c r="D24" s="1258"/>
      <c r="E24" s="1259">
        <f>RESUMEN!T85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+'OT17-335 VICTORIA TAB REG'!Q27</f>
        <v>ACTA 1</v>
      </c>
      <c r="C28" s="1253">
        <f>+'OT17-335 VICTORIA TAB REG'!R27</f>
        <v>1640114</v>
      </c>
      <c r="D28" s="1253"/>
      <c r="E28" s="267">
        <f>+'OT17-335 VICTORIA TAB REG'!S27</f>
        <v>0.26308449622499991</v>
      </c>
      <c r="F28" s="1177"/>
      <c r="G28" s="1177"/>
    </row>
    <row r="29" spans="1:7" x14ac:dyDescent="0.25">
      <c r="A29" s="1177"/>
      <c r="B29" s="280" t="str">
        <f>+'OT17-335 VICTORIA TAB REG'!Q28</f>
        <v>ACTA 2</v>
      </c>
      <c r="C29" s="1253">
        <f>+'OT17-335 VICTORIA TAB REG'!R28</f>
        <v>612923</v>
      </c>
      <c r="D29" s="1253"/>
      <c r="E29" s="267">
        <f>+'OT17-335 VICTORIA TAB REG'!S28</f>
        <v>9.8316664987748173E-2</v>
      </c>
      <c r="F29" s="1177"/>
      <c r="G29" s="1177"/>
    </row>
    <row r="30" spans="1:7" x14ac:dyDescent="0.25">
      <c r="A30" s="1177"/>
      <c r="B30" s="280" t="str">
        <f>+'OT17-335 VICTORIA TAB REG'!Q29</f>
        <v>ACTA 3</v>
      </c>
      <c r="C30" s="1253">
        <f>+'OT17-335 VICTORIA TAB REG'!R29</f>
        <v>0</v>
      </c>
      <c r="D30" s="1253"/>
      <c r="E30" s="267">
        <f>+'OT17-335 VICTORIA TAB REG'!S29</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2253037</v>
      </c>
      <c r="D34" s="1251"/>
      <c r="E34" s="264">
        <f>SUM(E28:E33)</f>
        <v>0.36140116121274807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RESUMEN!V85</f>
        <v>Ing. Paola Baratto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9">
    <tabColor rgb="FF72104A"/>
  </sheetPr>
  <dimension ref="A1:V36"/>
  <sheetViews>
    <sheetView topLeftCell="J1" zoomScale="70" zoomScaleNormal="70" workbookViewId="0">
      <selection activeCell="M34" sqref="M34"/>
    </sheetView>
  </sheetViews>
  <sheetFormatPr baseColWidth="10" defaultColWidth="9.109375" defaultRowHeight="14.4" x14ac:dyDescent="0.3"/>
  <cols>
    <col min="1" max="1" width="13.6640625" style="437" customWidth="1"/>
    <col min="2" max="2" width="22" style="437" customWidth="1"/>
    <col min="3" max="3" width="31" style="437" customWidth="1"/>
    <col min="4" max="4" width="22.33203125" style="437" bestFit="1" customWidth="1"/>
    <col min="5" max="5" width="15.44140625" style="437" customWidth="1"/>
    <col min="6" max="6" width="17.88671875" style="437" bestFit="1" customWidth="1"/>
    <col min="7" max="7" width="17.88671875" style="437" customWidth="1"/>
    <col min="8" max="8" width="16" style="437" bestFit="1" customWidth="1"/>
    <col min="9" max="9" width="16" style="437" customWidth="1"/>
    <col min="10" max="10" width="52.5546875" style="437" customWidth="1"/>
    <col min="11" max="11" width="17.88671875" style="437" customWidth="1"/>
    <col min="12" max="12" width="18" style="437" customWidth="1"/>
    <col min="13" max="13" width="9.109375" style="437" customWidth="1"/>
    <col min="14" max="14" width="17.88671875" style="437" bestFit="1" customWidth="1"/>
    <col min="15" max="15" width="18" style="437" customWidth="1"/>
    <col min="16" max="16" width="9.109375" style="437"/>
    <col min="17" max="17" width="15.44140625" style="437" customWidth="1"/>
    <col min="18" max="18" width="13.44140625" style="437" customWidth="1"/>
    <col min="19" max="19" width="12.88671875" style="437" customWidth="1"/>
    <col min="20" max="20" width="17.88671875" style="437" bestFit="1" customWidth="1"/>
    <col min="21" max="21" width="16.6640625" style="437" customWidth="1"/>
    <col min="22"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1308"/>
      <c r="O1" s="1308"/>
      <c r="P1" s="1309"/>
      <c r="Q1" s="1052"/>
      <c r="R1" s="1052"/>
      <c r="S1" s="1052"/>
      <c r="T1" s="1328" t="s">
        <v>866</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2"/>
      <c r="Q2" s="1053"/>
      <c r="R2" s="1053"/>
      <c r="S2" s="1053"/>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1387</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1386</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36"/>
      <c r="B11" s="1301"/>
      <c r="C11" s="1313"/>
      <c r="D11" s="1313"/>
      <c r="E11" s="1313"/>
      <c r="F11" s="1313"/>
      <c r="G11" s="1313"/>
      <c r="H11" s="1313"/>
      <c r="I11" s="1313"/>
      <c r="J11" s="1313"/>
      <c r="K11" s="1293" t="s">
        <v>986</v>
      </c>
      <c r="L11" s="1294"/>
      <c r="M11" s="1295"/>
      <c r="N11" s="1293" t="s">
        <v>2094</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461" t="s">
        <v>50</v>
      </c>
      <c r="B13" s="461" t="s">
        <v>51</v>
      </c>
      <c r="C13" s="461" t="s">
        <v>52</v>
      </c>
      <c r="D13" s="461" t="s">
        <v>164</v>
      </c>
      <c r="E13" s="461" t="s">
        <v>54</v>
      </c>
      <c r="F13" s="462" t="s">
        <v>55</v>
      </c>
      <c r="G13" s="821" t="s">
        <v>2007</v>
      </c>
      <c r="H13" s="461" t="s">
        <v>56</v>
      </c>
      <c r="I13" s="822" t="s">
        <v>56</v>
      </c>
      <c r="J13" s="461" t="s">
        <v>57</v>
      </c>
      <c r="K13" s="471" t="s">
        <v>54</v>
      </c>
      <c r="L13" s="471" t="s">
        <v>56</v>
      </c>
      <c r="M13" s="471" t="s">
        <v>58</v>
      </c>
      <c r="N13" s="471" t="s">
        <v>54</v>
      </c>
      <c r="O13" s="471" t="s">
        <v>56</v>
      </c>
      <c r="P13" s="471" t="s">
        <v>58</v>
      </c>
      <c r="Q13" s="471" t="s">
        <v>54</v>
      </c>
      <c r="R13" s="471" t="s">
        <v>56</v>
      </c>
      <c r="S13" s="471" t="s">
        <v>58</v>
      </c>
      <c r="T13" s="174" t="s">
        <v>54</v>
      </c>
      <c r="U13" s="172" t="s">
        <v>56</v>
      </c>
      <c r="V13" s="471" t="s">
        <v>58</v>
      </c>
    </row>
    <row r="14" spans="1:22" ht="30" customHeight="1" x14ac:dyDescent="0.3">
      <c r="A14" s="1441" t="s">
        <v>109</v>
      </c>
      <c r="B14" s="1441" t="s">
        <v>1385</v>
      </c>
      <c r="C14" s="454" t="s">
        <v>152</v>
      </c>
      <c r="D14" s="454" t="s">
        <v>1073</v>
      </c>
      <c r="E14" s="454">
        <v>1</v>
      </c>
      <c r="F14" s="453">
        <v>1915206</v>
      </c>
      <c r="G14" s="32">
        <f>+ROUND(F14*1.051,0)</f>
        <v>2012882</v>
      </c>
      <c r="H14" s="453">
        <f>ROUND((E14*F14),0)</f>
        <v>1915206</v>
      </c>
      <c r="I14" s="32">
        <f>+ROUND(G14*E14,0)</f>
        <v>2012882</v>
      </c>
      <c r="J14" s="1441" t="s">
        <v>1384</v>
      </c>
      <c r="K14" s="452">
        <v>0</v>
      </c>
      <c r="L14" s="425">
        <f>ROUND(K14*$F$14,0)</f>
        <v>0</v>
      </c>
      <c r="M14" s="426">
        <f>L14/$H$14</f>
        <v>0</v>
      </c>
      <c r="N14" s="474">
        <v>0.3</v>
      </c>
      <c r="O14" s="429">
        <f>ROUND(N14*G14,0)</f>
        <v>603865</v>
      </c>
      <c r="P14" s="430">
        <f>O14/I14</f>
        <v>0.30000019872004419</v>
      </c>
      <c r="Q14" s="452">
        <v>0</v>
      </c>
      <c r="R14" s="425">
        <f>ROUND(Q14*G14,0)</f>
        <v>0</v>
      </c>
      <c r="S14" s="426">
        <f>R14/I14</f>
        <v>0</v>
      </c>
      <c r="T14" s="450">
        <f>K14+N14+Q14</f>
        <v>0.3</v>
      </c>
      <c r="U14" s="175">
        <f>L14+O14+R14</f>
        <v>603865</v>
      </c>
      <c r="V14" s="176">
        <f>U14/H14</f>
        <v>0.31530028623552769</v>
      </c>
    </row>
    <row r="15" spans="1:22" ht="30" customHeight="1" x14ac:dyDescent="0.3">
      <c r="A15" s="1441"/>
      <c r="B15" s="1441"/>
      <c r="C15" s="454" t="s">
        <v>61</v>
      </c>
      <c r="D15" s="454" t="s">
        <v>1075</v>
      </c>
      <c r="E15" s="454">
        <v>0.79</v>
      </c>
      <c r="F15" s="453">
        <v>5467045</v>
      </c>
      <c r="G15" s="32">
        <f>+ROUND(F15*1.051,0)</f>
        <v>5745864</v>
      </c>
      <c r="H15" s="453">
        <f>ROUND((E15*F15),0)</f>
        <v>4318966</v>
      </c>
      <c r="I15" s="32">
        <f>+ROUND(G15*E15,0)</f>
        <v>4539233</v>
      </c>
      <c r="J15" s="1441"/>
      <c r="K15" s="474">
        <v>0.3</v>
      </c>
      <c r="L15" s="429">
        <f>ROUND(K15*$F$15,0)</f>
        <v>1640114</v>
      </c>
      <c r="M15" s="430">
        <f>L15/$H$15</f>
        <v>0.37974691164505581</v>
      </c>
      <c r="N15" s="452">
        <v>0</v>
      </c>
      <c r="O15" s="425">
        <f>ROUND(N15*G15,0)</f>
        <v>0</v>
      </c>
      <c r="P15" s="426">
        <f>O15/I15</f>
        <v>0</v>
      </c>
      <c r="Q15" s="452">
        <v>0</v>
      </c>
      <c r="R15" s="425">
        <f>ROUND(Q15*G15,0)</f>
        <v>0</v>
      </c>
      <c r="S15" s="426">
        <f t="shared" ref="S15:S16" si="0">R15/I15</f>
        <v>0</v>
      </c>
      <c r="T15" s="450">
        <f>K15+N15+Q15</f>
        <v>0.3</v>
      </c>
      <c r="U15" s="175">
        <f t="shared" ref="U15:U16" si="1">L15+O15+R15</f>
        <v>1640114</v>
      </c>
      <c r="V15" s="176">
        <f>U15/H15</f>
        <v>0.37974691164505581</v>
      </c>
    </row>
    <row r="16" spans="1:22" ht="15" customHeight="1" x14ac:dyDescent="0.3">
      <c r="A16" s="1441"/>
      <c r="B16" s="1441"/>
      <c r="C16" s="449"/>
      <c r="D16" s="449" t="s">
        <v>1076</v>
      </c>
      <c r="E16" s="448"/>
      <c r="F16" s="448"/>
      <c r="G16" s="448"/>
      <c r="H16" s="447">
        <f>SUM(H14:H15)</f>
        <v>6234172</v>
      </c>
      <c r="I16" s="447">
        <f>SUM(I14:I15)</f>
        <v>6552115</v>
      </c>
      <c r="J16" s="1441"/>
      <c r="K16" s="431"/>
      <c r="L16" s="179">
        <f>SUM(L14:L15)</f>
        <v>1640114</v>
      </c>
      <c r="M16" s="431">
        <f>L16/H16</f>
        <v>0.26308449622499991</v>
      </c>
      <c r="N16" s="431"/>
      <c r="O16" s="179">
        <f>SUM(O14:O15)</f>
        <v>603865</v>
      </c>
      <c r="P16" s="431">
        <f>O16/$H$16</f>
        <v>9.6863705396642893E-2</v>
      </c>
      <c r="Q16" s="431"/>
      <c r="R16" s="179">
        <f>SUM(R14:R15)</f>
        <v>0</v>
      </c>
      <c r="S16" s="1091">
        <f t="shared" si="0"/>
        <v>0</v>
      </c>
      <c r="T16" s="1101"/>
      <c r="U16" s="1078">
        <f t="shared" si="1"/>
        <v>2243979</v>
      </c>
      <c r="V16" s="431">
        <f>U16/H16</f>
        <v>0.35994820162164276</v>
      </c>
    </row>
    <row r="17" spans="1:22" x14ac:dyDescent="0.3">
      <c r="F17" s="445" t="s">
        <v>64</v>
      </c>
      <c r="G17" s="445"/>
      <c r="H17" s="181">
        <f>SUM(H14:H16)/2</f>
        <v>6234172</v>
      </c>
      <c r="I17" s="138"/>
      <c r="K17" s="445" t="s">
        <v>64</v>
      </c>
      <c r="L17" s="181">
        <f>SUM(L14:L16)/2</f>
        <v>1640114</v>
      </c>
      <c r="M17" s="463">
        <f>L17/H17</f>
        <v>0.26308449622499991</v>
      </c>
      <c r="N17" s="547" t="s">
        <v>64</v>
      </c>
      <c r="O17" s="481">
        <f>SUM(O14:O16)/2</f>
        <v>603865</v>
      </c>
      <c r="Q17" s="547" t="s">
        <v>64</v>
      </c>
      <c r="R17" s="481">
        <f>SUM(R14:R16)/2</f>
        <v>0</v>
      </c>
      <c r="T17" s="445" t="s">
        <v>64</v>
      </c>
      <c r="U17" s="181">
        <f>SUM(U14:U16)/2</f>
        <v>2243979</v>
      </c>
      <c r="V17" s="463">
        <f>U21/H17</f>
        <v>0.36140116121274807</v>
      </c>
    </row>
    <row r="18" spans="1:22" x14ac:dyDescent="0.3">
      <c r="F18" s="444" t="s">
        <v>65</v>
      </c>
      <c r="G18" s="444"/>
      <c r="H18" s="181">
        <v>0</v>
      </c>
      <c r="I18" s="138"/>
      <c r="K18" s="444" t="s">
        <v>65</v>
      </c>
      <c r="L18" s="181">
        <v>0</v>
      </c>
      <c r="N18" s="548" t="s">
        <v>65</v>
      </c>
      <c r="O18" s="481">
        <v>0</v>
      </c>
      <c r="Q18" s="548" t="s">
        <v>65</v>
      </c>
      <c r="R18" s="481">
        <v>0</v>
      </c>
      <c r="T18" s="444" t="s">
        <v>65</v>
      </c>
      <c r="U18" s="181">
        <v>0</v>
      </c>
    </row>
    <row r="19" spans="1:22" x14ac:dyDescent="0.3">
      <c r="F19" s="443" t="s">
        <v>64</v>
      </c>
      <c r="G19" s="443"/>
      <c r="H19" s="340">
        <f>SUM(H17:H18)</f>
        <v>6234172</v>
      </c>
      <c r="I19" s="871"/>
      <c r="K19" s="443" t="s">
        <v>64</v>
      </c>
      <c r="L19" s="340">
        <f>SUM(L17:L18)</f>
        <v>1640114</v>
      </c>
      <c r="N19" s="549" t="s">
        <v>64</v>
      </c>
      <c r="O19" s="550">
        <f>SUM(O17:O18)</f>
        <v>603865</v>
      </c>
      <c r="Q19" s="549" t="s">
        <v>64</v>
      </c>
      <c r="R19" s="550">
        <f>SUM(R17:R18)</f>
        <v>0</v>
      </c>
      <c r="T19" s="443" t="s">
        <v>64</v>
      </c>
      <c r="U19" s="340">
        <f>SUM(U17:U18)</f>
        <v>2243979</v>
      </c>
    </row>
    <row r="20" spans="1:22" ht="26.4" x14ac:dyDescent="0.3">
      <c r="F20" s="443"/>
      <c r="G20" s="443"/>
      <c r="H20" s="340"/>
      <c r="I20" s="871"/>
      <c r="K20" s="443"/>
      <c r="L20" s="340"/>
      <c r="N20" s="484" t="s">
        <v>1439</v>
      </c>
      <c r="O20" s="483">
        <f>ROUND(O19*0.015,0)</f>
        <v>9058</v>
      </c>
      <c r="Q20" s="484" t="s">
        <v>1439</v>
      </c>
      <c r="R20" s="483">
        <f>ROUND(R19*0.015,0)</f>
        <v>0</v>
      </c>
      <c r="T20" s="484" t="s">
        <v>1439</v>
      </c>
      <c r="U20" s="340">
        <f>L20+O20+R20</f>
        <v>9058</v>
      </c>
    </row>
    <row r="21" spans="1:22" ht="39.6" x14ac:dyDescent="0.3">
      <c r="F21" s="443"/>
      <c r="G21" s="443"/>
      <c r="H21" s="340"/>
      <c r="I21" s="871"/>
      <c r="K21" s="443"/>
      <c r="L21" s="340"/>
      <c r="N21" s="152" t="s">
        <v>1440</v>
      </c>
      <c r="O21" s="182">
        <f>O19+O20</f>
        <v>612923</v>
      </c>
      <c r="P21" s="463">
        <f>O21/$H$17</f>
        <v>9.8316664987748173E-2</v>
      </c>
      <c r="Q21" s="152" t="s">
        <v>1440</v>
      </c>
      <c r="R21" s="182">
        <f>R19+R20</f>
        <v>0</v>
      </c>
      <c r="S21" s="463">
        <f>R21/$H$17</f>
        <v>0</v>
      </c>
      <c r="T21" s="152" t="s">
        <v>1440</v>
      </c>
      <c r="U21" s="182">
        <f>U19+U20</f>
        <v>2253037</v>
      </c>
    </row>
    <row r="22" spans="1:22" x14ac:dyDescent="0.3">
      <c r="F22" s="442" t="s">
        <v>66</v>
      </c>
      <c r="G22" s="442"/>
      <c r="H22" s="181">
        <f>+H19*19%</f>
        <v>1184492.68</v>
      </c>
      <c r="I22" s="138"/>
      <c r="K22" s="442" t="s">
        <v>66</v>
      </c>
      <c r="L22" s="181">
        <f>+L19*19%</f>
        <v>311621.66000000003</v>
      </c>
      <c r="N22" s="551" t="s">
        <v>66</v>
      </c>
      <c r="O22" s="483">
        <f>ROUND(O21*0.19,0)</f>
        <v>116455</v>
      </c>
      <c r="Q22" s="551" t="s">
        <v>66</v>
      </c>
      <c r="R22" s="483">
        <f>ROUND(R21*0.19,0)</f>
        <v>0</v>
      </c>
      <c r="T22" s="442" t="s">
        <v>66</v>
      </c>
      <c r="U22" s="182">
        <f>ROUND(U21*0.19,0)</f>
        <v>428077</v>
      </c>
    </row>
    <row r="23" spans="1:22" x14ac:dyDescent="0.3">
      <c r="F23" s="441" t="s">
        <v>69</v>
      </c>
      <c r="G23" s="441"/>
      <c r="H23" s="181">
        <f>+H19+H22</f>
        <v>7418664.6799999997</v>
      </c>
      <c r="I23" s="138"/>
      <c r="K23" s="441" t="s">
        <v>69</v>
      </c>
      <c r="L23" s="181">
        <f>+L19+L22</f>
        <v>1951735.6600000001</v>
      </c>
      <c r="N23" s="552" t="s">
        <v>69</v>
      </c>
      <c r="O23" s="481">
        <f>O21+O22</f>
        <v>729378</v>
      </c>
      <c r="Q23" s="552" t="s">
        <v>69</v>
      </c>
      <c r="R23" s="481">
        <f>R21+R22</f>
        <v>0</v>
      </c>
      <c r="T23" s="441" t="s">
        <v>69</v>
      </c>
      <c r="U23" s="181">
        <f>U21+U22</f>
        <v>2681114</v>
      </c>
    </row>
    <row r="26" spans="1:22" s="189" customFormat="1" ht="26.4" x14ac:dyDescent="0.3">
      <c r="A26" s="183" t="s">
        <v>67</v>
      </c>
      <c r="B26" s="184"/>
      <c r="C26" s="184"/>
      <c r="D26" s="185" t="s">
        <v>68</v>
      </c>
      <c r="G26" s="852"/>
      <c r="I26" s="852"/>
      <c r="K26" s="186" t="s">
        <v>70</v>
      </c>
      <c r="L26" s="187" t="s">
        <v>71</v>
      </c>
      <c r="M26" s="186" t="s">
        <v>58</v>
      </c>
      <c r="N26" s="186" t="s">
        <v>70</v>
      </c>
      <c r="O26" s="187" t="s">
        <v>71</v>
      </c>
      <c r="P26" s="186" t="s">
        <v>58</v>
      </c>
      <c r="Q26" s="186" t="s">
        <v>70</v>
      </c>
      <c r="R26" s="187" t="s">
        <v>71</v>
      </c>
      <c r="S26" s="186" t="s">
        <v>58</v>
      </c>
      <c r="T26" s="437"/>
      <c r="U26" s="437"/>
      <c r="V26" s="437"/>
    </row>
    <row r="27" spans="1:22" s="189" customFormat="1" x14ac:dyDescent="0.3">
      <c r="A27" s="183"/>
      <c r="B27" s="184"/>
      <c r="C27" s="184"/>
      <c r="D27" s="185"/>
      <c r="G27" s="852"/>
      <c r="I27" s="852"/>
      <c r="K27" s="69" t="s">
        <v>72</v>
      </c>
      <c r="L27" s="70">
        <f>$L$17</f>
        <v>1640114</v>
      </c>
      <c r="M27" s="71">
        <f>$M$17</f>
        <v>0.26308449622499991</v>
      </c>
      <c r="N27" s="69" t="s">
        <v>72</v>
      </c>
      <c r="O27" s="70">
        <f>$L$17</f>
        <v>1640114</v>
      </c>
      <c r="P27" s="71">
        <f>$M$17</f>
        <v>0.26308449622499991</v>
      </c>
      <c r="Q27" s="69" t="s">
        <v>72</v>
      </c>
      <c r="R27" s="70">
        <f>$L$17</f>
        <v>1640114</v>
      </c>
      <c r="S27" s="71">
        <f>$M$17</f>
        <v>0.26308449622499991</v>
      </c>
      <c r="T27" s="437"/>
      <c r="U27" s="437"/>
      <c r="V27" s="437"/>
    </row>
    <row r="28" spans="1:22" s="189" customFormat="1" x14ac:dyDescent="0.3">
      <c r="A28" s="183"/>
      <c r="B28" s="184"/>
      <c r="C28" s="184"/>
      <c r="D28" s="185"/>
      <c r="G28" s="852"/>
      <c r="I28" s="852"/>
      <c r="K28" s="69"/>
      <c r="L28" s="70"/>
      <c r="M28" s="71"/>
      <c r="N28" s="69" t="s">
        <v>73</v>
      </c>
      <c r="O28" s="70">
        <f>$O$21</f>
        <v>612923</v>
      </c>
      <c r="P28" s="71">
        <f>$P$21</f>
        <v>9.8316664987748173E-2</v>
      </c>
      <c r="Q28" s="69" t="s">
        <v>73</v>
      </c>
      <c r="R28" s="70">
        <f>$O$21</f>
        <v>612923</v>
      </c>
      <c r="S28" s="71">
        <f>$P$21</f>
        <v>9.8316664987748173E-2</v>
      </c>
      <c r="T28" s="437"/>
      <c r="U28" s="437"/>
      <c r="V28" s="437"/>
    </row>
    <row r="29" spans="1:22" s="189" customFormat="1" x14ac:dyDescent="0.3">
      <c r="A29" s="183"/>
      <c r="B29" s="184"/>
      <c r="C29" s="184"/>
      <c r="D29" s="185"/>
      <c r="G29" s="852"/>
      <c r="I29" s="852"/>
      <c r="K29" s="72" t="s">
        <v>1</v>
      </c>
      <c r="L29" s="105">
        <f>SUM(L27:L27)</f>
        <v>1640114</v>
      </c>
      <c r="M29" s="73">
        <f>SUM(M27:M27)</f>
        <v>0.26308449622499991</v>
      </c>
      <c r="N29" s="72" t="s">
        <v>1</v>
      </c>
      <c r="O29" s="105">
        <f>SUM(O27:O28)</f>
        <v>2253037</v>
      </c>
      <c r="P29" s="73">
        <f>SUM(P27:P28)</f>
        <v>0.36140116121274807</v>
      </c>
      <c r="Q29" s="69" t="s">
        <v>74</v>
      </c>
      <c r="R29" s="70">
        <f>$R$21</f>
        <v>0</v>
      </c>
      <c r="S29" s="71">
        <f>$S$21</f>
        <v>0</v>
      </c>
      <c r="T29" s="437"/>
      <c r="U29" s="437"/>
      <c r="V29" s="437"/>
    </row>
    <row r="30" spans="1:22" s="189" customFormat="1" x14ac:dyDescent="0.3">
      <c r="A30" s="183"/>
      <c r="B30" s="184"/>
      <c r="C30" s="184"/>
      <c r="D30" s="185"/>
      <c r="G30" s="852"/>
      <c r="I30" s="852"/>
      <c r="K30" s="72" t="s">
        <v>9</v>
      </c>
      <c r="L30" s="1423"/>
      <c r="M30" s="1424"/>
      <c r="N30" s="72" t="s">
        <v>9</v>
      </c>
      <c r="O30" s="1423"/>
      <c r="P30" s="1424"/>
      <c r="Q30" s="72" t="s">
        <v>1</v>
      </c>
      <c r="R30" s="105">
        <f>SUM(R27:R29)</f>
        <v>2253037</v>
      </c>
      <c r="S30" s="73">
        <f>SUM(S27:S29)</f>
        <v>0.36140116121274807</v>
      </c>
      <c r="T30" s="437"/>
      <c r="U30" s="437"/>
      <c r="V30" s="437"/>
    </row>
    <row r="31" spans="1:22" s="189" customFormat="1" x14ac:dyDescent="0.3">
      <c r="A31" s="183"/>
      <c r="B31" s="184"/>
      <c r="C31" s="184"/>
      <c r="D31" s="185"/>
      <c r="G31" s="852"/>
      <c r="I31" s="852"/>
      <c r="K31" s="440" t="s">
        <v>78</v>
      </c>
      <c r="L31" s="1423" t="s">
        <v>228</v>
      </c>
      <c r="M31" s="1424"/>
      <c r="N31" s="440" t="s">
        <v>78</v>
      </c>
      <c r="O31" s="1423" t="s">
        <v>228</v>
      </c>
      <c r="P31" s="1424"/>
      <c r="Q31" s="72" t="s">
        <v>9</v>
      </c>
      <c r="R31" s="1423"/>
      <c r="S31" s="1424"/>
      <c r="T31" s="437"/>
      <c r="U31" s="437"/>
      <c r="V31" s="437"/>
    </row>
    <row r="32" spans="1:22" s="189" customFormat="1" x14ac:dyDescent="0.3">
      <c r="A32" s="183"/>
      <c r="B32" s="184"/>
      <c r="C32" s="184"/>
      <c r="D32" s="185"/>
      <c r="G32" s="852"/>
      <c r="I32" s="852"/>
      <c r="K32" s="439" t="s">
        <v>8</v>
      </c>
      <c r="L32" s="1425"/>
      <c r="M32" s="1426"/>
      <c r="N32" s="439" t="s">
        <v>8</v>
      </c>
      <c r="O32" s="1425"/>
      <c r="P32" s="1426"/>
      <c r="Q32" s="440" t="s">
        <v>78</v>
      </c>
      <c r="R32" s="1423" t="s">
        <v>228</v>
      </c>
      <c r="S32" s="1424"/>
      <c r="T32" s="437"/>
      <c r="U32" s="437"/>
      <c r="V32" s="437"/>
    </row>
    <row r="33" spans="1:19" s="189" customFormat="1" x14ac:dyDescent="0.3">
      <c r="A33" s="183"/>
      <c r="B33" s="184"/>
      <c r="C33" s="184"/>
      <c r="D33" s="185" t="s">
        <v>75</v>
      </c>
      <c r="G33" s="852"/>
      <c r="I33" s="852"/>
      <c r="Q33" s="439" t="s">
        <v>8</v>
      </c>
      <c r="R33" s="1425"/>
      <c r="S33" s="1426"/>
    </row>
    <row r="34" spans="1:19" s="189" customFormat="1" x14ac:dyDescent="0.3">
      <c r="A34" s="183" t="s">
        <v>76</v>
      </c>
      <c r="B34" s="180"/>
      <c r="C34" s="180"/>
      <c r="D34" s="185" t="s">
        <v>77</v>
      </c>
      <c r="G34" s="852"/>
      <c r="I34" s="852"/>
      <c r="Q34" s="1055"/>
      <c r="R34" s="1055"/>
      <c r="S34" s="1055"/>
    </row>
    <row r="35" spans="1:19" s="189" customFormat="1" ht="26.4" x14ac:dyDescent="0.3">
      <c r="A35" s="183" t="s">
        <v>79</v>
      </c>
      <c r="B35" s="180"/>
      <c r="C35" s="180"/>
      <c r="D35" s="185" t="s">
        <v>80</v>
      </c>
      <c r="G35" s="852"/>
      <c r="I35" s="852"/>
      <c r="Q35" s="1055"/>
      <c r="R35" s="1055"/>
      <c r="S35" s="1055"/>
    </row>
    <row r="36" spans="1:19" x14ac:dyDescent="0.3">
      <c r="Q36" s="1055"/>
      <c r="R36" s="1055"/>
      <c r="S36" s="1055"/>
    </row>
  </sheetData>
  <sheetProtection formatCells="0" formatColumns="0" formatRows="0" insertColumns="0" insertRows="0" insertHyperlinks="0" deleteColumns="0" deleteRows="0" sort="0" autoFilter="0" pivotTables="0"/>
  <mergeCells count="29">
    <mergeCell ref="R31:S31"/>
    <mergeCell ref="R32:S32"/>
    <mergeCell ref="B14:B16"/>
    <mergeCell ref="J14:J16"/>
    <mergeCell ref="N11:P12"/>
    <mergeCell ref="O30:P30"/>
    <mergeCell ref="O31:P31"/>
    <mergeCell ref="T1:V1"/>
    <mergeCell ref="T2:V2"/>
    <mergeCell ref="A3:V3"/>
    <mergeCell ref="A4:V4"/>
    <mergeCell ref="A5:V5"/>
    <mergeCell ref="C1:P2"/>
    <mergeCell ref="R33:S33"/>
    <mergeCell ref="A6:V6"/>
    <mergeCell ref="A7:V7"/>
    <mergeCell ref="A8:V8"/>
    <mergeCell ref="A9:V9"/>
    <mergeCell ref="L32:M32"/>
    <mergeCell ref="A10:V10"/>
    <mergeCell ref="B11:J11"/>
    <mergeCell ref="K11:M12"/>
    <mergeCell ref="T11:V12"/>
    <mergeCell ref="B12:J12"/>
    <mergeCell ref="L30:M30"/>
    <mergeCell ref="L31:M31"/>
    <mergeCell ref="A14:A16"/>
    <mergeCell ref="O32:P32"/>
    <mergeCell ref="Q11:S12"/>
  </mergeCells>
  <pageMargins left="0.7" right="0.7" top="0.75" bottom="0.75" header="0.3" footer="0.3"/>
  <pageSetup scale="67" orientation="landscape" r:id="rId1"/>
  <drawing r:id="rId2"/>
  <legacyDrawingHF r:id="rId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0">
    <tabColor theme="1"/>
  </sheetPr>
  <dimension ref="A1:G49"/>
  <sheetViews>
    <sheetView topLeftCell="A19" zoomScaleNormal="10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RESUMEN!G86</f>
        <v>Proyecto: Alternativa para Maniobra de montaje de poste P5 de LT Termozipa Agafano Leona Gran Sabana</v>
      </c>
      <c r="C5" s="1281"/>
      <c r="D5" s="1281"/>
      <c r="E5" s="1281"/>
      <c r="F5" s="1281"/>
      <c r="G5" s="1282"/>
    </row>
    <row r="6" spans="1:7" x14ac:dyDescent="0.25">
      <c r="A6" s="1177"/>
      <c r="B6" s="1177"/>
      <c r="C6" s="1177"/>
      <c r="D6" s="1177"/>
      <c r="E6" s="1177"/>
      <c r="F6" s="1177"/>
      <c r="G6" s="1177"/>
    </row>
    <row r="7" spans="1:7" x14ac:dyDescent="0.25">
      <c r="A7" s="271" t="s">
        <v>0</v>
      </c>
      <c r="B7" s="1264" t="str">
        <f>RESUMEN!B86</f>
        <v>D00255084</v>
      </c>
      <c r="C7" s="1265"/>
      <c r="D7" s="1177"/>
      <c r="E7" s="1266" t="s">
        <v>627</v>
      </c>
      <c r="F7" s="1267"/>
      <c r="G7" s="280" t="str">
        <f>RESUMEN!E86</f>
        <v>17-337</v>
      </c>
    </row>
    <row r="8" spans="1:7" x14ac:dyDescent="0.25">
      <c r="A8" s="271" t="s">
        <v>628</v>
      </c>
      <c r="B8" s="1264" t="str">
        <f>RESUMEN!C86</f>
        <v>D00255084000</v>
      </c>
      <c r="C8" s="1265"/>
      <c r="D8" s="1177"/>
      <c r="E8" s="1266" t="s">
        <v>629</v>
      </c>
      <c r="F8" s="1267"/>
      <c r="G8" s="280" t="str">
        <f>RESUMEN!U86</f>
        <v>Acta N° 1: Marzo</v>
      </c>
    </row>
    <row r="9" spans="1:7" x14ac:dyDescent="0.25">
      <c r="A9" s="271" t="s">
        <v>630</v>
      </c>
      <c r="B9" s="1283" t="s">
        <v>631</v>
      </c>
      <c r="C9" s="1265"/>
      <c r="D9" s="1177"/>
      <c r="E9" s="1266" t="s">
        <v>632</v>
      </c>
      <c r="F9" s="1267"/>
      <c r="G9" s="1178">
        <f>RESUMEN!H86</f>
        <v>2228604</v>
      </c>
    </row>
    <row r="10" spans="1:7" x14ac:dyDescent="0.25">
      <c r="A10" s="271" t="s">
        <v>633</v>
      </c>
      <c r="B10" s="1283" t="str">
        <f>RESUMEN!D86</f>
        <v xml:space="preserve"> LLTT TERMOZIPA - AGAFA</v>
      </c>
      <c r="C10" s="1265"/>
      <c r="D10" s="1177"/>
      <c r="E10" s="1266" t="s">
        <v>634</v>
      </c>
      <c r="F10" s="1267"/>
      <c r="G10" s="1178">
        <f>RESUMEN!R86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Alternativa para Maniobra de montaje de poste P5 de LT Termozipa Agafano Leona Gran Sabana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RESUMEN!N86</f>
        <v>0</v>
      </c>
      <c r="F19" s="1248"/>
      <c r="G19" s="1177"/>
    </row>
    <row r="20" spans="1:7" ht="27" customHeight="1" x14ac:dyDescent="0.25">
      <c r="A20" s="1177"/>
      <c r="B20" s="1244" t="s">
        <v>1498</v>
      </c>
      <c r="C20" s="1245"/>
      <c r="D20" s="1246"/>
      <c r="E20" s="1247">
        <f>RESUMEN!P86</f>
        <v>0</v>
      </c>
      <c r="F20" s="1248"/>
      <c r="G20" s="1177"/>
    </row>
    <row r="21" spans="1:7" ht="27" customHeight="1" x14ac:dyDescent="0.25">
      <c r="A21" s="1177"/>
      <c r="B21" s="1244" t="s">
        <v>1499</v>
      </c>
      <c r="C21" s="1245"/>
      <c r="D21" s="1246"/>
      <c r="E21" s="1247">
        <f>RESUMEN!Q86</f>
        <v>0</v>
      </c>
      <c r="F21" s="1248"/>
      <c r="G21" s="1177"/>
    </row>
    <row r="22" spans="1:7" x14ac:dyDescent="0.25">
      <c r="A22" s="1177"/>
      <c r="B22" s="1254" t="s">
        <v>64</v>
      </c>
      <c r="C22" s="1254"/>
      <c r="D22" s="1254"/>
      <c r="E22" s="1255">
        <f>RESUMEN!R86</f>
        <v>0</v>
      </c>
      <c r="F22" s="1255"/>
      <c r="G22" s="1177"/>
    </row>
    <row r="23" spans="1:7" x14ac:dyDescent="0.25">
      <c r="A23" s="1177"/>
      <c r="B23" s="1256" t="s">
        <v>66</v>
      </c>
      <c r="C23" s="1256"/>
      <c r="D23" s="1256"/>
      <c r="E23" s="1257">
        <f>RESUMEN!S86</f>
        <v>0</v>
      </c>
      <c r="F23" s="1257"/>
      <c r="G23" s="1177"/>
    </row>
    <row r="24" spans="1:7" x14ac:dyDescent="0.25">
      <c r="A24" s="1177"/>
      <c r="B24" s="1258" t="s">
        <v>1</v>
      </c>
      <c r="C24" s="1258"/>
      <c r="D24" s="1258"/>
      <c r="E24" s="1259">
        <f>RESUMEN!T86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+'OT17-337 LLTT TERMOZIPA - AGAFA'!K25</f>
        <v>ACTA 1</v>
      </c>
      <c r="C28" s="1253">
        <f>+'OT17-337 LLTT TERMOZIPA - AGAFA'!L25</f>
        <v>0</v>
      </c>
      <c r="D28" s="1253"/>
      <c r="E28" s="267">
        <f>+'OT17-337 LLTT TERMOZIPA - AGAFA'!M25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RESUMEN!V86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1">
    <tabColor theme="7"/>
  </sheetPr>
  <dimension ref="A1:P32"/>
  <sheetViews>
    <sheetView zoomScale="55" zoomScaleNormal="55" zoomScaleSheetLayoutView="90" workbookViewId="0">
      <selection activeCell="E14" sqref="E14"/>
    </sheetView>
  </sheetViews>
  <sheetFormatPr baseColWidth="10" defaultColWidth="9.109375" defaultRowHeight="14.4" x14ac:dyDescent="0.3"/>
  <cols>
    <col min="1" max="1" width="13.6640625" style="302" customWidth="1"/>
    <col min="2" max="2" width="23.33203125" style="302" customWidth="1"/>
    <col min="3" max="3" width="34.109375" style="302" customWidth="1"/>
    <col min="4" max="4" width="26.88671875" style="302" bestFit="1" customWidth="1"/>
    <col min="5" max="5" width="13" style="302" customWidth="1"/>
    <col min="6" max="6" width="17.88671875" style="302" customWidth="1"/>
    <col min="7" max="7" width="17.88671875" style="849" customWidth="1"/>
    <col min="8" max="8" width="16.6640625" style="302" bestFit="1" customWidth="1"/>
    <col min="9" max="9" width="16.6640625" style="849" customWidth="1"/>
    <col min="10" max="10" width="47.88671875" style="302" customWidth="1"/>
    <col min="11" max="11" width="17.88671875" style="302" bestFit="1" customWidth="1"/>
    <col min="12" max="12" width="18" style="302" bestFit="1" customWidth="1"/>
    <col min="13" max="13" width="9.109375" style="302"/>
    <col min="14" max="14" width="17.88671875" style="302" bestFit="1" customWidth="1"/>
    <col min="15" max="15" width="12.88671875" style="302" bestFit="1" customWidth="1"/>
    <col min="16" max="16384" width="9.109375" style="302"/>
  </cols>
  <sheetData>
    <row r="1" spans="1:16" s="437" customFormat="1" ht="66.75" customHeight="1" thickBot="1" x14ac:dyDescent="0.35">
      <c r="A1" s="169"/>
      <c r="B1" s="188"/>
      <c r="C1" s="1307" t="s">
        <v>40</v>
      </c>
      <c r="D1" s="1308"/>
      <c r="E1" s="1308"/>
      <c r="F1" s="1308"/>
      <c r="G1" s="1308"/>
      <c r="H1" s="1308"/>
      <c r="I1" s="1308"/>
      <c r="J1" s="1308"/>
      <c r="K1" s="1308"/>
      <c r="L1" s="1308"/>
      <c r="M1" s="1308"/>
      <c r="N1" s="1328" t="s">
        <v>1425</v>
      </c>
      <c r="O1" s="1303"/>
      <c r="P1" s="1304"/>
    </row>
    <row r="2" spans="1:16" s="437" customFormat="1" ht="13.5" customHeight="1" thickBot="1" x14ac:dyDescent="0.35">
      <c r="A2" s="170"/>
      <c r="B2" s="190"/>
      <c r="C2" s="1310"/>
      <c r="D2" s="1311"/>
      <c r="E2" s="1311"/>
      <c r="F2" s="1311"/>
      <c r="G2" s="1311"/>
      <c r="H2" s="1311"/>
      <c r="I2" s="1311"/>
      <c r="J2" s="1311"/>
      <c r="K2" s="1311"/>
      <c r="L2" s="1311"/>
      <c r="M2" s="1311"/>
      <c r="N2" s="1329" t="s">
        <v>41</v>
      </c>
      <c r="O2" s="1305"/>
      <c r="P2" s="1306"/>
    </row>
    <row r="3" spans="1:16" s="437" customFormat="1" ht="13.5" customHeight="1" x14ac:dyDescent="0.3">
      <c r="A3" s="1292" t="s">
        <v>42</v>
      </c>
      <c r="B3" s="1292"/>
      <c r="C3" s="1292"/>
      <c r="D3" s="1292"/>
      <c r="E3" s="1292"/>
      <c r="F3" s="1292"/>
      <c r="G3" s="1292"/>
      <c r="H3" s="1292"/>
      <c r="I3" s="1292"/>
      <c r="J3" s="1292"/>
      <c r="K3" s="1292"/>
      <c r="L3" s="1292"/>
      <c r="M3" s="1292"/>
      <c r="N3" s="1292"/>
      <c r="O3" s="1292"/>
      <c r="P3" s="1292"/>
    </row>
    <row r="4" spans="1:16" s="437" customFormat="1" ht="13.5" customHeight="1" x14ac:dyDescent="0.3">
      <c r="A4" s="1292" t="s">
        <v>43</v>
      </c>
      <c r="B4" s="1292"/>
      <c r="C4" s="1292"/>
      <c r="D4" s="1292"/>
      <c r="E4" s="1292"/>
      <c r="F4" s="1292"/>
      <c r="G4" s="1292"/>
      <c r="H4" s="1292"/>
      <c r="I4" s="1292"/>
      <c r="J4" s="1292"/>
      <c r="K4" s="1292"/>
      <c r="L4" s="1292"/>
      <c r="M4" s="1292"/>
      <c r="N4" s="1292"/>
      <c r="O4" s="1292"/>
      <c r="P4" s="1292"/>
    </row>
    <row r="5" spans="1:16" s="437" customFormat="1" ht="13.5" customHeight="1" x14ac:dyDescent="0.3">
      <c r="A5" s="1292" t="s">
        <v>44</v>
      </c>
      <c r="B5" s="1292"/>
      <c r="C5" s="1292"/>
      <c r="D5" s="1292"/>
      <c r="E5" s="1292"/>
      <c r="F5" s="1292"/>
      <c r="G5" s="1292"/>
      <c r="H5" s="1292"/>
      <c r="I5" s="1292"/>
      <c r="J5" s="1292"/>
      <c r="K5" s="1292"/>
      <c r="L5" s="1292"/>
      <c r="M5" s="1292"/>
      <c r="N5" s="1292"/>
      <c r="O5" s="1292"/>
      <c r="P5" s="1292"/>
    </row>
    <row r="6" spans="1:16" s="437" customFormat="1" ht="13.5" customHeight="1" x14ac:dyDescent="0.3">
      <c r="A6" s="1292" t="s">
        <v>45</v>
      </c>
      <c r="B6" s="1292"/>
      <c r="C6" s="1292"/>
      <c r="D6" s="1292"/>
      <c r="E6" s="1292"/>
      <c r="F6" s="1292"/>
      <c r="G6" s="1292"/>
      <c r="H6" s="1292"/>
      <c r="I6" s="1292"/>
      <c r="J6" s="1292"/>
      <c r="K6" s="1292"/>
      <c r="L6" s="1292"/>
      <c r="M6" s="1292"/>
      <c r="N6" s="1292"/>
      <c r="O6" s="1292"/>
      <c r="P6" s="1292"/>
    </row>
    <row r="7" spans="1:16" s="437" customFormat="1" x14ac:dyDescent="0.3">
      <c r="A7" s="1291" t="s">
        <v>1426</v>
      </c>
      <c r="B7" s="1292"/>
      <c r="C7" s="1292"/>
      <c r="D7" s="1292"/>
      <c r="E7" s="1292"/>
      <c r="F7" s="1292"/>
      <c r="G7" s="1292"/>
      <c r="H7" s="1292"/>
      <c r="I7" s="1292"/>
      <c r="J7" s="1292"/>
      <c r="K7" s="1292"/>
      <c r="L7" s="1292"/>
      <c r="M7" s="1292"/>
      <c r="N7" s="1292"/>
      <c r="O7" s="1292"/>
      <c r="P7" s="1292"/>
    </row>
    <row r="8" spans="1:16" s="437" customFormat="1" ht="13.5" customHeight="1" x14ac:dyDescent="0.3">
      <c r="A8" s="1292" t="s">
        <v>2312</v>
      </c>
      <c r="B8" s="1292"/>
      <c r="C8" s="1292"/>
      <c r="D8" s="1292"/>
      <c r="E8" s="1292"/>
      <c r="F8" s="1292"/>
      <c r="G8" s="1292"/>
      <c r="H8" s="1292"/>
      <c r="I8" s="1292"/>
      <c r="J8" s="1292"/>
      <c r="K8" s="1292"/>
      <c r="L8" s="1292"/>
      <c r="M8" s="1292"/>
      <c r="N8" s="1292"/>
      <c r="O8" s="1292"/>
      <c r="P8" s="1292"/>
    </row>
    <row r="9" spans="1:16" s="437" customFormat="1" ht="13.5" customHeight="1" x14ac:dyDescent="0.3">
      <c r="A9" s="1292" t="s">
        <v>2305</v>
      </c>
      <c r="B9" s="1292"/>
      <c r="C9" s="1292"/>
      <c r="D9" s="1292"/>
      <c r="E9" s="1292"/>
      <c r="F9" s="1292"/>
      <c r="G9" s="1292"/>
      <c r="H9" s="1292"/>
      <c r="I9" s="1292"/>
      <c r="J9" s="1292"/>
      <c r="K9" s="1292"/>
      <c r="L9" s="1292"/>
      <c r="M9" s="1292"/>
      <c r="N9" s="1292"/>
      <c r="O9" s="1292"/>
      <c r="P9" s="1292"/>
    </row>
    <row r="10" spans="1:16" s="437" customFormat="1" ht="13.5" customHeight="1" x14ac:dyDescent="0.3">
      <c r="A10" s="1292" t="s">
        <v>1427</v>
      </c>
      <c r="B10" s="1292"/>
      <c r="C10" s="1292"/>
      <c r="D10" s="1292"/>
      <c r="E10" s="1292"/>
      <c r="F10" s="1292"/>
      <c r="G10" s="1292"/>
      <c r="H10" s="1292"/>
      <c r="I10" s="1292"/>
      <c r="J10" s="1292"/>
      <c r="K10" s="1292"/>
      <c r="L10" s="1292"/>
      <c r="M10" s="1292"/>
      <c r="N10" s="1292"/>
      <c r="O10" s="1292"/>
      <c r="P10" s="1292"/>
    </row>
    <row r="11" spans="1:16" s="437" customFormat="1" ht="13.5" customHeight="1" x14ac:dyDescent="0.3">
      <c r="A11" s="477"/>
      <c r="B11" s="1301"/>
      <c r="C11" s="1313"/>
      <c r="D11" s="1313"/>
      <c r="E11" s="1313"/>
      <c r="F11" s="1313"/>
      <c r="G11" s="1313"/>
      <c r="H11" s="1313"/>
      <c r="I11" s="1313"/>
      <c r="J11" s="1313"/>
      <c r="K11" s="1293" t="s">
        <v>2313</v>
      </c>
      <c r="L11" s="1294"/>
      <c r="M11" s="1295"/>
      <c r="N11" s="1299" t="s">
        <v>49</v>
      </c>
      <c r="O11" s="1299"/>
      <c r="P11" s="1299"/>
    </row>
    <row r="12" spans="1:16" s="437" customFormat="1" ht="13.5" customHeight="1" x14ac:dyDescent="0.3">
      <c r="A12" s="171"/>
      <c r="B12" s="1301"/>
      <c r="C12" s="1302"/>
      <c r="D12" s="1302"/>
      <c r="E12" s="1302"/>
      <c r="F12" s="1302"/>
      <c r="G12" s="1302"/>
      <c r="H12" s="1302"/>
      <c r="I12" s="1302"/>
      <c r="J12" s="1302"/>
      <c r="K12" s="1325"/>
      <c r="L12" s="1326"/>
      <c r="M12" s="1327"/>
      <c r="N12" s="1300"/>
      <c r="O12" s="1300"/>
      <c r="P12" s="1300"/>
    </row>
    <row r="13" spans="1:16" ht="28.8" x14ac:dyDescent="0.3">
      <c r="A13" s="159" t="s">
        <v>50</v>
      </c>
      <c r="B13" s="159" t="s">
        <v>51</v>
      </c>
      <c r="C13" s="159" t="s">
        <v>52</v>
      </c>
      <c r="D13" s="159" t="s">
        <v>164</v>
      </c>
      <c r="E13" s="159" t="s">
        <v>54</v>
      </c>
      <c r="F13" s="141" t="s">
        <v>55</v>
      </c>
      <c r="G13" s="821" t="s">
        <v>2007</v>
      </c>
      <c r="H13" s="159" t="s">
        <v>56</v>
      </c>
      <c r="I13" s="822" t="s">
        <v>56</v>
      </c>
      <c r="J13" s="159" t="s">
        <v>57</v>
      </c>
      <c r="K13" s="471" t="s">
        <v>54</v>
      </c>
      <c r="L13" s="471" t="s">
        <v>56</v>
      </c>
      <c r="M13" s="471" t="s">
        <v>58</v>
      </c>
      <c r="N13" s="174" t="s">
        <v>54</v>
      </c>
      <c r="O13" s="172" t="s">
        <v>56</v>
      </c>
      <c r="P13" s="471" t="s">
        <v>58</v>
      </c>
    </row>
    <row r="14" spans="1:16" ht="93.75" customHeight="1" x14ac:dyDescent="0.3">
      <c r="A14" s="1290" t="s">
        <v>1422</v>
      </c>
      <c r="B14" s="1289" t="s">
        <v>1423</v>
      </c>
      <c r="C14" s="478" t="s">
        <v>270</v>
      </c>
      <c r="D14" s="478" t="s">
        <v>271</v>
      </c>
      <c r="E14" s="478">
        <v>0.4</v>
      </c>
      <c r="F14" s="32">
        <v>5571510</v>
      </c>
      <c r="G14" s="32">
        <f>+ROUND(F14*1.051,0)</f>
        <v>5855657</v>
      </c>
      <c r="H14" s="32">
        <f>ROUND((E14*F14),0)</f>
        <v>2228604</v>
      </c>
      <c r="I14" s="32">
        <f>+ROUND(G14*E14,0)</f>
        <v>2342263</v>
      </c>
      <c r="J14" s="1289" t="s">
        <v>1424</v>
      </c>
      <c r="K14" s="452">
        <v>0</v>
      </c>
      <c r="L14" s="425">
        <f>ROUND(K14*$G$14,0)</f>
        <v>0</v>
      </c>
      <c r="M14" s="426">
        <f>L14/I14</f>
        <v>0</v>
      </c>
      <c r="N14" s="450">
        <f>K14</f>
        <v>0</v>
      </c>
      <c r="O14" s="175">
        <f>L14</f>
        <v>0</v>
      </c>
      <c r="P14" s="176">
        <f>O14/H14</f>
        <v>0</v>
      </c>
    </row>
    <row r="15" spans="1:16" x14ac:dyDescent="0.3">
      <c r="A15" s="1289"/>
      <c r="B15" s="1289"/>
      <c r="C15" s="377"/>
      <c r="D15" s="377" t="s">
        <v>215</v>
      </c>
      <c r="E15" s="378"/>
      <c r="F15" s="378"/>
      <c r="G15" s="378"/>
      <c r="H15" s="379">
        <f>H14</f>
        <v>2228604</v>
      </c>
      <c r="I15" s="379"/>
      <c r="J15" s="1289"/>
      <c r="K15" s="431"/>
      <c r="L15" s="179">
        <f>SUM(L14)</f>
        <v>0</v>
      </c>
      <c r="M15" s="431">
        <f>L15/H15</f>
        <v>0</v>
      </c>
      <c r="N15" s="446"/>
      <c r="O15" s="307">
        <f>L15</f>
        <v>0</v>
      </c>
      <c r="P15" s="431">
        <f>O15/H15</f>
        <v>0</v>
      </c>
    </row>
    <row r="16" spans="1:16" x14ac:dyDescent="0.3">
      <c r="F16" s="445" t="s">
        <v>64</v>
      </c>
      <c r="G16" s="445"/>
      <c r="H16" s="181">
        <f>SUM(H4:H15)/2</f>
        <v>2228604</v>
      </c>
      <c r="I16" s="181">
        <f>SUM(I4:I15)/2</f>
        <v>1171131.5</v>
      </c>
      <c r="K16" s="547" t="s">
        <v>64</v>
      </c>
      <c r="L16" s="481">
        <f>SUM(L4:L15)/2</f>
        <v>0</v>
      </c>
      <c r="N16" s="445" t="s">
        <v>64</v>
      </c>
      <c r="O16" s="181">
        <f>SUM(O4:O15)/2</f>
        <v>0</v>
      </c>
      <c r="P16" s="322">
        <f>O20/H16</f>
        <v>0</v>
      </c>
    </row>
    <row r="17" spans="1:16" x14ac:dyDescent="0.3">
      <c r="F17" s="444" t="s">
        <v>65</v>
      </c>
      <c r="G17" s="444"/>
      <c r="H17" s="181">
        <v>0</v>
      </c>
      <c r="I17" s="181">
        <v>0</v>
      </c>
      <c r="K17" s="548" t="s">
        <v>65</v>
      </c>
      <c r="L17" s="481">
        <v>0</v>
      </c>
      <c r="N17" s="444" t="s">
        <v>65</v>
      </c>
      <c r="O17" s="181">
        <v>0</v>
      </c>
    </row>
    <row r="18" spans="1:16" x14ac:dyDescent="0.3">
      <c r="F18" s="443" t="s">
        <v>64</v>
      </c>
      <c r="G18" s="443"/>
      <c r="H18" s="340">
        <f>SUM(H16:H17)</f>
        <v>2228604</v>
      </c>
      <c r="I18" s="340">
        <f>SUM(I16:I17)</f>
        <v>1171131.5</v>
      </c>
      <c r="K18" s="549" t="s">
        <v>64</v>
      </c>
      <c r="L18" s="550">
        <f>SUM(L16:L17)</f>
        <v>0</v>
      </c>
      <c r="N18" s="443" t="s">
        <v>64</v>
      </c>
      <c r="O18" s="340">
        <f>SUM(O16:O17)</f>
        <v>0</v>
      </c>
    </row>
    <row r="19" spans="1:16" ht="26.4" x14ac:dyDescent="0.3">
      <c r="F19" s="443"/>
      <c r="G19" s="443"/>
      <c r="H19" s="340"/>
      <c r="I19" s="340"/>
      <c r="K19" s="484" t="s">
        <v>1439</v>
      </c>
      <c r="L19" s="483">
        <f>ROUND(L18*0.015,0)</f>
        <v>0</v>
      </c>
      <c r="N19" s="484" t="s">
        <v>1439</v>
      </c>
      <c r="O19" s="340">
        <f>L19</f>
        <v>0</v>
      </c>
    </row>
    <row r="20" spans="1:16" ht="26.4" x14ac:dyDescent="0.3">
      <c r="F20" s="443"/>
      <c r="G20" s="443"/>
      <c r="H20" s="340"/>
      <c r="I20" s="340"/>
      <c r="K20" s="152" t="s">
        <v>1440</v>
      </c>
      <c r="L20" s="182">
        <f>L18+L19</f>
        <v>0</v>
      </c>
      <c r="M20" s="322">
        <f>L20/H16</f>
        <v>0</v>
      </c>
      <c r="N20" s="152" t="s">
        <v>1440</v>
      </c>
      <c r="O20" s="182">
        <f>O18+O19</f>
        <v>0</v>
      </c>
    </row>
    <row r="21" spans="1:16" x14ac:dyDescent="0.3">
      <c r="F21" s="442" t="s">
        <v>66</v>
      </c>
      <c r="G21" s="442"/>
      <c r="H21" s="181">
        <f>+H18*19%</f>
        <v>423434.76</v>
      </c>
      <c r="I21" s="181">
        <f>+I18*19%</f>
        <v>222514.98500000002</v>
      </c>
      <c r="K21" s="551" t="s">
        <v>66</v>
      </c>
      <c r="L21" s="483">
        <f>ROUND(L20*0.19,0)</f>
        <v>0</v>
      </c>
      <c r="N21" s="442" t="s">
        <v>66</v>
      </c>
      <c r="O21" s="182">
        <f>ROUND(O20*0.19,0)</f>
        <v>0</v>
      </c>
    </row>
    <row r="22" spans="1:16" x14ac:dyDescent="0.3">
      <c r="F22" s="441" t="s">
        <v>69</v>
      </c>
      <c r="G22" s="441"/>
      <c r="H22" s="181">
        <f>+H18+H21</f>
        <v>2652038.7599999998</v>
      </c>
      <c r="I22" s="181">
        <f>+I18+I21</f>
        <v>1393646.4850000001</v>
      </c>
      <c r="K22" s="552" t="s">
        <v>69</v>
      </c>
      <c r="L22" s="481">
        <f>L20+L21</f>
        <v>0</v>
      </c>
      <c r="N22" s="441" t="s">
        <v>69</v>
      </c>
      <c r="O22" s="181">
        <f>O20+O21</f>
        <v>0</v>
      </c>
    </row>
    <row r="24" spans="1:16" s="189" customFormat="1" x14ac:dyDescent="0.3">
      <c r="A24" s="183" t="s">
        <v>67</v>
      </c>
      <c r="B24" s="184"/>
      <c r="C24" s="184"/>
      <c r="D24" s="185" t="s">
        <v>68</v>
      </c>
      <c r="G24" s="852"/>
      <c r="I24" s="852"/>
      <c r="K24" s="186" t="s">
        <v>70</v>
      </c>
      <c r="L24" s="187" t="s">
        <v>71</v>
      </c>
      <c r="M24" s="186" t="s">
        <v>58</v>
      </c>
      <c r="N24" s="437"/>
      <c r="O24" s="437"/>
      <c r="P24" s="437"/>
    </row>
    <row r="25" spans="1:16" s="189" customFormat="1" x14ac:dyDescent="0.3">
      <c r="A25" s="183"/>
      <c r="B25" s="184"/>
      <c r="C25" s="184"/>
      <c r="D25" s="185"/>
      <c r="G25" s="852"/>
      <c r="I25" s="852"/>
      <c r="K25" s="69" t="s">
        <v>72</v>
      </c>
      <c r="L25" s="70">
        <f>$L$20</f>
        <v>0</v>
      </c>
      <c r="M25" s="71">
        <f>$M$20</f>
        <v>0</v>
      </c>
      <c r="N25" s="437"/>
      <c r="O25" s="437"/>
      <c r="P25" s="437"/>
    </row>
    <row r="26" spans="1:16" s="189" customFormat="1" x14ac:dyDescent="0.3">
      <c r="A26" s="183"/>
      <c r="B26" s="184"/>
      <c r="C26" s="184"/>
      <c r="D26" s="185"/>
      <c r="G26" s="852"/>
      <c r="I26" s="852"/>
      <c r="K26" s="72" t="s">
        <v>1</v>
      </c>
      <c r="L26" s="105">
        <f>SUM(L25:L25)</f>
        <v>0</v>
      </c>
      <c r="M26" s="73">
        <f>SUM(M25:M25)</f>
        <v>0</v>
      </c>
      <c r="N26" s="437"/>
      <c r="O26" s="437"/>
      <c r="P26" s="437"/>
    </row>
    <row r="27" spans="1:16" s="189" customFormat="1" x14ac:dyDescent="0.3">
      <c r="A27" s="183"/>
      <c r="B27" s="184"/>
      <c r="C27" s="184"/>
      <c r="D27" s="185"/>
      <c r="G27" s="852"/>
      <c r="I27" s="852"/>
      <c r="K27" s="72" t="s">
        <v>9</v>
      </c>
      <c r="L27" s="1423"/>
      <c r="M27" s="1424"/>
      <c r="N27" s="437"/>
      <c r="O27" s="437"/>
      <c r="P27" s="437"/>
    </row>
    <row r="28" spans="1:16" s="189" customFormat="1" x14ac:dyDescent="0.3">
      <c r="A28" s="183"/>
      <c r="B28" s="184"/>
      <c r="C28" s="184"/>
      <c r="D28" s="185"/>
      <c r="G28" s="852"/>
      <c r="I28" s="852"/>
      <c r="K28" s="440" t="s">
        <v>78</v>
      </c>
      <c r="L28" s="1423" t="s">
        <v>1366</v>
      </c>
      <c r="M28" s="1424"/>
      <c r="N28" s="437"/>
      <c r="O28" s="437"/>
      <c r="P28" s="437"/>
    </row>
    <row r="29" spans="1:16" s="189" customFormat="1" x14ac:dyDescent="0.3">
      <c r="A29" s="183"/>
      <c r="B29" s="184"/>
      <c r="C29" s="184"/>
      <c r="D29" s="185"/>
      <c r="G29" s="852"/>
      <c r="I29" s="852"/>
      <c r="K29" s="439" t="s">
        <v>8</v>
      </c>
      <c r="L29" s="1425" t="s">
        <v>1365</v>
      </c>
      <c r="M29" s="1426"/>
      <c r="N29" s="437"/>
      <c r="O29" s="437"/>
      <c r="P29" s="437"/>
    </row>
    <row r="30" spans="1:16" s="189" customFormat="1" x14ac:dyDescent="0.3">
      <c r="A30" s="183"/>
      <c r="B30" s="184"/>
      <c r="C30" s="184"/>
      <c r="D30" s="185" t="s">
        <v>75</v>
      </c>
      <c r="G30" s="852"/>
      <c r="I30" s="852"/>
    </row>
    <row r="31" spans="1:16" s="189" customFormat="1" x14ac:dyDescent="0.3">
      <c r="A31" s="183" t="s">
        <v>76</v>
      </c>
      <c r="B31" s="180"/>
      <c r="C31" s="180"/>
      <c r="D31" s="185" t="s">
        <v>77</v>
      </c>
      <c r="G31" s="852"/>
      <c r="I31" s="852"/>
    </row>
    <row r="32" spans="1:16" s="189" customFormat="1" ht="26.4" x14ac:dyDescent="0.3">
      <c r="A32" s="183" t="s">
        <v>79</v>
      </c>
      <c r="B32" s="180"/>
      <c r="C32" s="180"/>
      <c r="D32" s="185" t="s">
        <v>80</v>
      </c>
      <c r="G32" s="852"/>
      <c r="I32" s="852"/>
    </row>
  </sheetData>
  <sheetProtection formatCells="0" formatColumns="0" formatRows="0" insertColumns="0" insertRows="0" insertHyperlinks="0" deleteColumns="0" deleteRows="0" sort="0" autoFilter="0" pivotTables="0"/>
  <mergeCells count="21">
    <mergeCell ref="L29:M29"/>
    <mergeCell ref="B11:J11"/>
    <mergeCell ref="K11:M12"/>
    <mergeCell ref="N11:P12"/>
    <mergeCell ref="B12:J12"/>
    <mergeCell ref="L27:M27"/>
    <mergeCell ref="L28:M28"/>
    <mergeCell ref="A6:P6"/>
    <mergeCell ref="A14:A15"/>
    <mergeCell ref="B14:B15"/>
    <mergeCell ref="J14:J15"/>
    <mergeCell ref="C1:M2"/>
    <mergeCell ref="A7:P7"/>
    <mergeCell ref="A8:P8"/>
    <mergeCell ref="A9:P9"/>
    <mergeCell ref="A10:P10"/>
    <mergeCell ref="N1:P1"/>
    <mergeCell ref="N2:P2"/>
    <mergeCell ref="A3:P3"/>
    <mergeCell ref="A4:P4"/>
    <mergeCell ref="A5:P5"/>
  </mergeCells>
  <pageMargins left="0.7" right="0.7" top="0.75" bottom="0.75" header="0.3" footer="0.3"/>
  <pageSetup scale="47" orientation="portrait" r:id="rId1"/>
  <drawing r:id="rId2"/>
  <legacyDrawingHF r:id="rId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2">
    <tabColor theme="1"/>
  </sheetPr>
  <dimension ref="A1:G49"/>
  <sheetViews>
    <sheetView topLeftCell="A16" zoomScaleNormal="100" workbookViewId="0">
      <selection activeCell="H29" sqref="H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RESUMEN!G87</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RESUMEN!B87</f>
        <v>D00249389</v>
      </c>
      <c r="C7" s="1265"/>
      <c r="D7" s="1177"/>
      <c r="E7" s="1266" t="s">
        <v>627</v>
      </c>
      <c r="F7" s="1267"/>
      <c r="G7" s="280" t="str">
        <f>RESUMEN!E87</f>
        <v xml:space="preserve">17-339 </v>
      </c>
    </row>
    <row r="8" spans="1:7" x14ac:dyDescent="0.25">
      <c r="A8" s="271" t="s">
        <v>628</v>
      </c>
      <c r="B8" s="1264" t="str">
        <f>RESUMEN!C87</f>
        <v>D00249389000</v>
      </c>
      <c r="C8" s="1265"/>
      <c r="D8" s="1177"/>
      <c r="E8" s="1266" t="s">
        <v>629</v>
      </c>
      <c r="F8" s="1267"/>
      <c r="G8" s="280" t="str">
        <f>RESUMEN!U87</f>
        <v>Acta N° 2: Marzo</v>
      </c>
    </row>
    <row r="9" spans="1:7" x14ac:dyDescent="0.25">
      <c r="A9" s="271" t="s">
        <v>630</v>
      </c>
      <c r="B9" s="1283" t="s">
        <v>631</v>
      </c>
      <c r="C9" s="1265"/>
      <c r="D9" s="1177"/>
      <c r="E9" s="1266" t="s">
        <v>632</v>
      </c>
      <c r="F9" s="1267"/>
      <c r="G9" s="1178">
        <f>RESUMEN!H87</f>
        <v>680769</v>
      </c>
    </row>
    <row r="10" spans="1:7" x14ac:dyDescent="0.25">
      <c r="A10" s="271" t="s">
        <v>633</v>
      </c>
      <c r="B10" s="1283" t="str">
        <f>RESUMEN!D87</f>
        <v>CALLE 51</v>
      </c>
      <c r="C10" s="1265"/>
      <c r="D10" s="1177"/>
      <c r="E10" s="1266" t="s">
        <v>634</v>
      </c>
      <c r="F10" s="1267"/>
      <c r="G10" s="1178">
        <f>RESUMEN!R87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RESUMEN!N87</f>
        <v>0</v>
      </c>
      <c r="F19" s="1248"/>
      <c r="G19" s="1177"/>
    </row>
    <row r="20" spans="1:7" ht="27" customHeight="1" x14ac:dyDescent="0.25">
      <c r="A20" s="1177"/>
      <c r="B20" s="1244" t="s">
        <v>1498</v>
      </c>
      <c r="C20" s="1245"/>
      <c r="D20" s="1246"/>
      <c r="E20" s="1247">
        <f>RESUMEN!P87</f>
        <v>0</v>
      </c>
      <c r="F20" s="1248"/>
      <c r="G20" s="1177"/>
    </row>
    <row r="21" spans="1:7" ht="27" customHeight="1" x14ac:dyDescent="0.25">
      <c r="A21" s="1177"/>
      <c r="B21" s="1244" t="s">
        <v>1499</v>
      </c>
      <c r="C21" s="1245"/>
      <c r="D21" s="1246"/>
      <c r="E21" s="1247">
        <f>RESUMEN!Q87</f>
        <v>0</v>
      </c>
      <c r="F21" s="1248"/>
      <c r="G21" s="1177"/>
    </row>
    <row r="22" spans="1:7" x14ac:dyDescent="0.25">
      <c r="A22" s="1177"/>
      <c r="B22" s="1254" t="s">
        <v>64</v>
      </c>
      <c r="C22" s="1254"/>
      <c r="D22" s="1254"/>
      <c r="E22" s="1255">
        <f>RESUMEN!R87</f>
        <v>0</v>
      </c>
      <c r="F22" s="1255"/>
      <c r="G22" s="1177"/>
    </row>
    <row r="23" spans="1:7" x14ac:dyDescent="0.25">
      <c r="A23" s="1177"/>
      <c r="B23" s="1256" t="s">
        <v>66</v>
      </c>
      <c r="C23" s="1256"/>
      <c r="D23" s="1256"/>
      <c r="E23" s="1257">
        <f>RESUMEN!S87</f>
        <v>0</v>
      </c>
      <c r="F23" s="1257"/>
      <c r="G23" s="1177"/>
    </row>
    <row r="24" spans="1:7" x14ac:dyDescent="0.25">
      <c r="A24" s="1177"/>
      <c r="B24" s="1258" t="s">
        <v>1</v>
      </c>
      <c r="C24" s="1258"/>
      <c r="D24" s="1258"/>
      <c r="E24" s="1259">
        <f>RESUMEN!T87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+'OT17-339 CALLE 51'!L42</f>
        <v>ACTA 1</v>
      </c>
      <c r="C28" s="1253">
        <f>+'OT17-339 CALLE 51'!M42</f>
        <v>556673</v>
      </c>
      <c r="D28" s="1253"/>
      <c r="E28" s="267">
        <f>+'OT17-339 CALLE 51'!N42</f>
        <v>0.81771202860294756</v>
      </c>
      <c r="F28" s="1177"/>
      <c r="G28" s="1177"/>
    </row>
    <row r="29" spans="1:7" x14ac:dyDescent="0.25">
      <c r="A29" s="1177"/>
      <c r="B29" s="280" t="str">
        <f>+'OT17-339 CALLE 51'!L43</f>
        <v xml:space="preserve">ACTA 2 </v>
      </c>
      <c r="C29" s="1253">
        <f>+'OT17-339 CALLE 51'!M43</f>
        <v>0</v>
      </c>
      <c r="D29" s="1253"/>
      <c r="E29" s="267">
        <f>+'OT17-339 CALLE 51'!N43</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556673</v>
      </c>
      <c r="D34" s="1251"/>
      <c r="E34" s="264">
        <f>SUM(E28:E33)</f>
        <v>0.81771202860294756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RESUMEN!V87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3">
    <tabColor rgb="FFFF0000"/>
  </sheetPr>
  <dimension ref="A1:Q50"/>
  <sheetViews>
    <sheetView topLeftCell="A22" zoomScale="70" zoomScaleNormal="70" workbookViewId="0">
      <selection activeCell="L13" sqref="L13"/>
    </sheetView>
  </sheetViews>
  <sheetFormatPr baseColWidth="10" defaultColWidth="9.109375" defaultRowHeight="14.4" x14ac:dyDescent="0.3"/>
  <cols>
    <col min="1" max="1" width="18.33203125" style="437" customWidth="1"/>
    <col min="2" max="2" width="24.33203125" style="437" customWidth="1"/>
    <col min="3" max="3" width="32.109375" style="437" customWidth="1"/>
    <col min="4" max="4" width="23.44140625" style="437" customWidth="1"/>
    <col min="5" max="5" width="13" style="437" customWidth="1"/>
    <col min="6" max="6" width="17.88671875" style="437" customWidth="1"/>
    <col min="7" max="7" width="16.6640625" style="437" customWidth="1"/>
    <col min="8" max="8" width="48.6640625" style="437" customWidth="1"/>
    <col min="9" max="9" width="17.88671875" style="437" customWidth="1"/>
    <col min="10" max="10" width="18" style="437" bestFit="1" customWidth="1"/>
    <col min="11" max="11" width="9.109375" style="437"/>
    <col min="12" max="12" width="18.77734375" style="437" customWidth="1"/>
    <col min="13" max="13" width="13.88671875" style="437" customWidth="1"/>
    <col min="14" max="14" width="12.5546875" style="437" customWidth="1"/>
    <col min="15" max="15" width="17.88671875" style="437" bestFit="1" customWidth="1"/>
    <col min="16" max="16" width="14.6640625" style="437" bestFit="1" customWidth="1"/>
    <col min="17" max="16384" width="9.109375" style="437"/>
  </cols>
  <sheetData>
    <row r="1" spans="1:17" ht="22.5" customHeight="1" thickBot="1" x14ac:dyDescent="0.35">
      <c r="A1" s="169"/>
      <c r="B1" s="188"/>
      <c r="C1" s="1307" t="s">
        <v>40</v>
      </c>
      <c r="D1" s="1308"/>
      <c r="E1" s="1308"/>
      <c r="F1" s="1308"/>
      <c r="G1" s="1308"/>
      <c r="H1" s="1308"/>
      <c r="I1" s="1308"/>
      <c r="J1" s="1308"/>
      <c r="K1" s="1308"/>
      <c r="L1" s="1052"/>
      <c r="M1" s="1052"/>
      <c r="N1" s="1052"/>
      <c r="O1" s="1328" t="s">
        <v>163</v>
      </c>
      <c r="P1" s="1303"/>
      <c r="Q1" s="1304"/>
    </row>
    <row r="2" spans="1:17" ht="13.5" customHeight="1" thickBot="1" x14ac:dyDescent="0.35">
      <c r="A2" s="170"/>
      <c r="B2" s="190"/>
      <c r="C2" s="1310"/>
      <c r="D2" s="1311"/>
      <c r="E2" s="1311"/>
      <c r="F2" s="1311"/>
      <c r="G2" s="1311"/>
      <c r="H2" s="1311"/>
      <c r="I2" s="1311"/>
      <c r="J2" s="1311"/>
      <c r="K2" s="1311"/>
      <c r="L2" s="1053"/>
      <c r="M2" s="1053"/>
      <c r="N2" s="1053"/>
      <c r="O2" s="1329" t="s">
        <v>41</v>
      </c>
      <c r="P2" s="1305"/>
      <c r="Q2" s="1306"/>
    </row>
    <row r="3" spans="1:17" ht="13.5" customHeight="1" x14ac:dyDescent="0.3">
      <c r="A3" s="1292" t="s">
        <v>42</v>
      </c>
      <c r="B3" s="1292"/>
      <c r="C3" s="1292"/>
      <c r="D3" s="1292"/>
      <c r="E3" s="1292"/>
      <c r="F3" s="1292"/>
      <c r="G3" s="1292"/>
      <c r="H3" s="1292"/>
      <c r="I3" s="1292"/>
      <c r="J3" s="1292"/>
      <c r="K3" s="1292"/>
      <c r="L3" s="1292"/>
      <c r="M3" s="1292"/>
      <c r="N3" s="1292"/>
      <c r="O3" s="1292"/>
      <c r="P3" s="1292"/>
      <c r="Q3" s="1292"/>
    </row>
    <row r="4" spans="1:17" ht="13.5" customHeight="1" x14ac:dyDescent="0.3">
      <c r="A4" s="1292" t="s">
        <v>43</v>
      </c>
      <c r="B4" s="1292"/>
      <c r="C4" s="1292"/>
      <c r="D4" s="1292"/>
      <c r="E4" s="1292"/>
      <c r="F4" s="1292"/>
      <c r="G4" s="1292"/>
      <c r="H4" s="1292"/>
      <c r="I4" s="1292"/>
      <c r="J4" s="1292"/>
      <c r="K4" s="1292"/>
      <c r="L4" s="1292"/>
      <c r="M4" s="1292"/>
      <c r="N4" s="1292"/>
      <c r="O4" s="1292"/>
      <c r="P4" s="1292"/>
      <c r="Q4" s="1292"/>
    </row>
    <row r="5" spans="1:17" ht="13.5" customHeight="1" x14ac:dyDescent="0.3">
      <c r="A5" s="1292" t="s">
        <v>44</v>
      </c>
      <c r="B5" s="1292"/>
      <c r="C5" s="1292"/>
      <c r="D5" s="1292"/>
      <c r="E5" s="1292"/>
      <c r="F5" s="1292"/>
      <c r="G5" s="1292"/>
      <c r="H5" s="1292"/>
      <c r="I5" s="1292"/>
      <c r="J5" s="1292"/>
      <c r="K5" s="1292"/>
      <c r="L5" s="1292"/>
      <c r="M5" s="1292"/>
      <c r="N5" s="1292"/>
      <c r="O5" s="1292"/>
      <c r="P5" s="1292"/>
      <c r="Q5" s="1292"/>
    </row>
    <row r="6" spans="1:17" ht="13.5" customHeight="1" x14ac:dyDescent="0.3">
      <c r="A6" s="1292" t="s">
        <v>45</v>
      </c>
      <c r="B6" s="1292"/>
      <c r="C6" s="1292"/>
      <c r="D6" s="1292"/>
      <c r="E6" s="1292"/>
      <c r="F6" s="1292"/>
      <c r="G6" s="1292"/>
      <c r="H6" s="1292"/>
      <c r="I6" s="1292"/>
      <c r="J6" s="1292"/>
      <c r="K6" s="1292"/>
      <c r="L6" s="1292"/>
      <c r="M6" s="1292"/>
      <c r="N6" s="1292"/>
      <c r="O6" s="1292"/>
      <c r="P6" s="1292"/>
      <c r="Q6" s="1292"/>
    </row>
    <row r="7" spans="1:17" x14ac:dyDescent="0.3">
      <c r="A7" s="1291" t="s">
        <v>312</v>
      </c>
      <c r="B7" s="1292"/>
      <c r="C7" s="1292"/>
      <c r="D7" s="1292"/>
      <c r="E7" s="1292"/>
      <c r="F7" s="1292"/>
      <c r="G7" s="1292"/>
      <c r="H7" s="1292"/>
      <c r="I7" s="1292"/>
      <c r="J7" s="1292"/>
      <c r="K7" s="1292"/>
      <c r="L7" s="1292"/>
      <c r="M7" s="1292"/>
      <c r="N7" s="1292"/>
      <c r="O7" s="1292"/>
      <c r="P7" s="1292"/>
      <c r="Q7" s="1292"/>
    </row>
    <row r="8" spans="1:17" ht="13.5" customHeight="1" x14ac:dyDescent="0.3">
      <c r="A8" s="1292" t="s">
        <v>2323</v>
      </c>
      <c r="B8" s="1292"/>
      <c r="C8" s="1292"/>
      <c r="D8" s="1292"/>
      <c r="E8" s="1292"/>
      <c r="F8" s="1292"/>
      <c r="G8" s="1292"/>
      <c r="H8" s="1292"/>
      <c r="I8" s="1292"/>
      <c r="J8" s="1292"/>
      <c r="K8" s="1292"/>
      <c r="L8" s="1292"/>
      <c r="M8" s="1292"/>
      <c r="N8" s="1292"/>
      <c r="O8" s="1292"/>
      <c r="P8" s="1292"/>
      <c r="Q8" s="1292"/>
    </row>
    <row r="9" spans="1:17" ht="13.5" customHeight="1" x14ac:dyDescent="0.3">
      <c r="A9" s="1292" t="s">
        <v>2305</v>
      </c>
      <c r="B9" s="1292"/>
      <c r="C9" s="1292"/>
      <c r="D9" s="1292"/>
      <c r="E9" s="1292"/>
      <c r="F9" s="1292"/>
      <c r="G9" s="1292"/>
      <c r="H9" s="1292"/>
      <c r="I9" s="1292"/>
      <c r="J9" s="1292"/>
      <c r="K9" s="1292"/>
      <c r="L9" s="1292"/>
      <c r="M9" s="1292"/>
      <c r="N9" s="1292"/>
      <c r="O9" s="1292"/>
      <c r="P9" s="1292"/>
      <c r="Q9" s="1292"/>
    </row>
    <row r="10" spans="1:17" ht="13.5" customHeight="1" x14ac:dyDescent="0.3">
      <c r="A10" s="1292" t="s">
        <v>1391</v>
      </c>
      <c r="B10" s="1292"/>
      <c r="C10" s="1292"/>
      <c r="D10" s="1292"/>
      <c r="E10" s="1292"/>
      <c r="F10" s="1292"/>
      <c r="G10" s="1292"/>
      <c r="H10" s="1292"/>
      <c r="I10" s="1292"/>
      <c r="J10" s="1292"/>
      <c r="K10" s="1292"/>
      <c r="L10" s="1292"/>
      <c r="M10" s="1292"/>
      <c r="N10" s="1292"/>
      <c r="O10" s="1292"/>
      <c r="P10" s="1292"/>
      <c r="Q10" s="1292"/>
    </row>
    <row r="11" spans="1:17" ht="13.5" customHeight="1" x14ac:dyDescent="0.3">
      <c r="A11" s="436"/>
      <c r="B11" s="1301"/>
      <c r="C11" s="1313"/>
      <c r="D11" s="1313"/>
      <c r="E11" s="1313"/>
      <c r="F11" s="1313"/>
      <c r="G11" s="1313"/>
      <c r="H11" s="1313"/>
      <c r="I11" s="1293" t="s">
        <v>1980</v>
      </c>
      <c r="J11" s="1294"/>
      <c r="K11" s="1295"/>
      <c r="L11" s="1293" t="s">
        <v>2313</v>
      </c>
      <c r="M11" s="1294"/>
      <c r="N11" s="1295"/>
      <c r="O11" s="1299" t="s">
        <v>49</v>
      </c>
      <c r="P11" s="1299"/>
      <c r="Q11" s="1299"/>
    </row>
    <row r="12" spans="1:17" ht="13.5" customHeight="1" x14ac:dyDescent="0.3">
      <c r="A12" s="171"/>
      <c r="B12" s="1301"/>
      <c r="C12" s="1302"/>
      <c r="D12" s="1302"/>
      <c r="E12" s="1302"/>
      <c r="F12" s="1302"/>
      <c r="G12" s="1302"/>
      <c r="H12" s="1302"/>
      <c r="I12" s="1325"/>
      <c r="J12" s="1326"/>
      <c r="K12" s="1327"/>
      <c r="L12" s="1325"/>
      <c r="M12" s="1326"/>
      <c r="N12" s="1327"/>
      <c r="O12" s="1300"/>
      <c r="P12" s="1300"/>
      <c r="Q12" s="1300"/>
    </row>
    <row r="13" spans="1:17" ht="28.8" x14ac:dyDescent="0.3">
      <c r="A13" s="461" t="s">
        <v>50</v>
      </c>
      <c r="B13" s="461" t="s">
        <v>51</v>
      </c>
      <c r="C13" s="461" t="s">
        <v>52</v>
      </c>
      <c r="D13" s="461" t="s">
        <v>164</v>
      </c>
      <c r="E13" s="461" t="s">
        <v>54</v>
      </c>
      <c r="F13" s="462" t="s">
        <v>55</v>
      </c>
      <c r="G13" s="461" t="s">
        <v>56</v>
      </c>
      <c r="H13" s="461" t="s">
        <v>57</v>
      </c>
      <c r="I13" s="471" t="s">
        <v>54</v>
      </c>
      <c r="J13" s="471" t="s">
        <v>56</v>
      </c>
      <c r="K13" s="471" t="s">
        <v>58</v>
      </c>
      <c r="L13" s="471" t="s">
        <v>54</v>
      </c>
      <c r="M13" s="471" t="s">
        <v>56</v>
      </c>
      <c r="N13" s="471" t="s">
        <v>58</v>
      </c>
      <c r="O13" s="174" t="s">
        <v>54</v>
      </c>
      <c r="P13" s="172" t="s">
        <v>56</v>
      </c>
      <c r="Q13" s="471" t="s">
        <v>58</v>
      </c>
    </row>
    <row r="14" spans="1:17" ht="30" customHeight="1" x14ac:dyDescent="0.3">
      <c r="A14" s="1441" t="s">
        <v>201</v>
      </c>
      <c r="B14" s="1441" t="s">
        <v>165</v>
      </c>
      <c r="C14" s="454" t="s">
        <v>81</v>
      </c>
      <c r="D14" s="454" t="s">
        <v>166</v>
      </c>
      <c r="E14" s="454">
        <v>0</v>
      </c>
      <c r="F14" s="453">
        <v>1149124</v>
      </c>
      <c r="G14" s="453">
        <f>ROUND((E14*F14),0)</f>
        <v>0</v>
      </c>
      <c r="H14" s="1441" t="s">
        <v>1390</v>
      </c>
      <c r="I14" s="452">
        <v>0</v>
      </c>
      <c r="J14" s="425">
        <f>ROUND(I14*$F$14,0)</f>
        <v>0</v>
      </c>
      <c r="K14" s="426">
        <v>0</v>
      </c>
      <c r="L14" s="452">
        <v>0</v>
      </c>
      <c r="M14" s="425">
        <f>ROUND(L14*$F$14,0)</f>
        <v>0</v>
      </c>
      <c r="N14" s="426">
        <v>0</v>
      </c>
      <c r="O14" s="450">
        <f>I14+L14</f>
        <v>0</v>
      </c>
      <c r="P14" s="175">
        <f>J14+M14</f>
        <v>0</v>
      </c>
      <c r="Q14" s="176">
        <v>0</v>
      </c>
    </row>
    <row r="15" spans="1:17" ht="30" customHeight="1" x14ac:dyDescent="0.3">
      <c r="A15" s="1441"/>
      <c r="B15" s="1441"/>
      <c r="C15" s="454" t="s">
        <v>83</v>
      </c>
      <c r="D15" s="454" t="s">
        <v>167</v>
      </c>
      <c r="E15" s="454">
        <v>0.05</v>
      </c>
      <c r="F15" s="453">
        <v>2646468</v>
      </c>
      <c r="G15" s="453">
        <f>ROUND((E15*F15),0)</f>
        <v>132323</v>
      </c>
      <c r="H15" s="1441"/>
      <c r="I15" s="452">
        <v>0</v>
      </c>
      <c r="J15" s="425">
        <f>ROUND(I15*F15,0)</f>
        <v>0</v>
      </c>
      <c r="K15" s="426">
        <f>J15/$G$15</f>
        <v>0</v>
      </c>
      <c r="L15" s="452">
        <v>0</v>
      </c>
      <c r="M15" s="425">
        <f>ROUND(L15*IF15,0)</f>
        <v>0</v>
      </c>
      <c r="N15" s="426">
        <f>M15/G15</f>
        <v>0</v>
      </c>
      <c r="O15" s="450">
        <f t="shared" ref="O15:O30" si="0">I15+L15</f>
        <v>0</v>
      </c>
      <c r="P15" s="175">
        <f t="shared" ref="P15:P31" si="1">J15+M15</f>
        <v>0</v>
      </c>
      <c r="Q15" s="176">
        <f>P15/G15</f>
        <v>0</v>
      </c>
    </row>
    <row r="16" spans="1:17" ht="30" customHeight="1" x14ac:dyDescent="0.3">
      <c r="A16" s="1441"/>
      <c r="B16" s="1441"/>
      <c r="C16" s="454" t="s">
        <v>61</v>
      </c>
      <c r="D16" s="454" t="s">
        <v>168</v>
      </c>
      <c r="E16" s="454">
        <v>0.05</v>
      </c>
      <c r="F16" s="453">
        <v>2542001</v>
      </c>
      <c r="G16" s="453">
        <f>ROUND((E16*F16),0)</f>
        <v>127100</v>
      </c>
      <c r="H16" s="1441"/>
      <c r="I16" s="474">
        <v>0.05</v>
      </c>
      <c r="J16" s="429">
        <f>ROUND(I16*F16,0)</f>
        <v>127100</v>
      </c>
      <c r="K16" s="430">
        <f>J16/G16</f>
        <v>1</v>
      </c>
      <c r="L16" s="452">
        <v>0</v>
      </c>
      <c r="M16" s="425">
        <f>ROUND(L16*F16,0)</f>
        <v>0</v>
      </c>
      <c r="N16" s="426">
        <f t="shared" ref="N16:N31" si="2">M16/G16</f>
        <v>0</v>
      </c>
      <c r="O16" s="450">
        <f t="shared" si="0"/>
        <v>0.05</v>
      </c>
      <c r="P16" s="175">
        <f t="shared" si="1"/>
        <v>127100</v>
      </c>
      <c r="Q16" s="176">
        <f>P16/G16</f>
        <v>1</v>
      </c>
    </row>
    <row r="17" spans="1:17" x14ac:dyDescent="0.3">
      <c r="A17" s="1441"/>
      <c r="B17" s="1441"/>
      <c r="C17" s="459"/>
      <c r="D17" s="459" t="s">
        <v>169</v>
      </c>
      <c r="E17" s="458"/>
      <c r="F17" s="458"/>
      <c r="G17" s="457">
        <f>SUM(G14:G16)</f>
        <v>259423</v>
      </c>
      <c r="H17" s="1441"/>
      <c r="I17" s="431"/>
      <c r="J17" s="179">
        <f>SUM(J14:J16)</f>
        <v>127100</v>
      </c>
      <c r="K17" s="431">
        <f>J17/$G$17</f>
        <v>0.48993342918708055</v>
      </c>
      <c r="L17" s="431"/>
      <c r="M17" s="179">
        <f>SUM(M14:M16)</f>
        <v>0</v>
      </c>
      <c r="N17" s="1091">
        <f t="shared" si="2"/>
        <v>0</v>
      </c>
      <c r="O17" s="1089">
        <f t="shared" si="0"/>
        <v>0</v>
      </c>
      <c r="P17" s="1078">
        <f t="shared" si="1"/>
        <v>127100</v>
      </c>
      <c r="Q17" s="431">
        <f>P17/G17</f>
        <v>0.48993342918708055</v>
      </c>
    </row>
    <row r="18" spans="1:17" ht="30" customHeight="1" x14ac:dyDescent="0.3">
      <c r="A18" s="1441" t="s">
        <v>151</v>
      </c>
      <c r="B18" s="1441" t="s">
        <v>217</v>
      </c>
      <c r="C18" s="454" t="s">
        <v>81</v>
      </c>
      <c r="D18" s="454" t="s">
        <v>218</v>
      </c>
      <c r="E18" s="454">
        <v>0</v>
      </c>
      <c r="F18" s="453">
        <v>1149124</v>
      </c>
      <c r="G18" s="453">
        <f>ROUND((E18*F18),0)</f>
        <v>0</v>
      </c>
      <c r="H18" s="1441" t="s">
        <v>1389</v>
      </c>
      <c r="I18" s="452">
        <v>0</v>
      </c>
      <c r="J18" s="425">
        <f>ROUND(I18*$F$18,0)</f>
        <v>0</v>
      </c>
      <c r="K18" s="426">
        <v>0</v>
      </c>
      <c r="L18" s="452">
        <v>0</v>
      </c>
      <c r="M18" s="425">
        <f>ROUND(L18*$F$18,0)</f>
        <v>0</v>
      </c>
      <c r="N18" s="426">
        <v>0</v>
      </c>
      <c r="O18" s="450">
        <f t="shared" si="0"/>
        <v>0</v>
      </c>
      <c r="P18" s="175">
        <f t="shared" si="1"/>
        <v>0</v>
      </c>
      <c r="Q18" s="176">
        <v>0</v>
      </c>
    </row>
    <row r="19" spans="1:17" ht="30" customHeight="1" x14ac:dyDescent="0.3">
      <c r="A19" s="1441"/>
      <c r="B19" s="1441"/>
      <c r="C19" s="454" t="s">
        <v>83</v>
      </c>
      <c r="D19" s="454" t="s">
        <v>219</v>
      </c>
      <c r="E19" s="454">
        <v>0</v>
      </c>
      <c r="F19" s="453">
        <v>2646468</v>
      </c>
      <c r="G19" s="453">
        <f>ROUND((E19*F19),0)</f>
        <v>0</v>
      </c>
      <c r="H19" s="1441"/>
      <c r="I19" s="452">
        <v>0</v>
      </c>
      <c r="J19" s="425">
        <f>ROUND(I19*$F$19,0)</f>
        <v>0</v>
      </c>
      <c r="K19" s="426">
        <v>0</v>
      </c>
      <c r="L19" s="452">
        <v>0</v>
      </c>
      <c r="M19" s="425">
        <f>ROUND(L19*$F$19,0)</f>
        <v>0</v>
      </c>
      <c r="N19" s="426">
        <v>0</v>
      </c>
      <c r="O19" s="450">
        <f t="shared" si="0"/>
        <v>0</v>
      </c>
      <c r="P19" s="175">
        <f t="shared" si="1"/>
        <v>0</v>
      </c>
      <c r="Q19" s="176">
        <v>0</v>
      </c>
    </row>
    <row r="20" spans="1:17" ht="30" customHeight="1" x14ac:dyDescent="0.3">
      <c r="A20" s="1441"/>
      <c r="B20" s="1441"/>
      <c r="C20" s="454" t="s">
        <v>61</v>
      </c>
      <c r="D20" s="454" t="s">
        <v>220</v>
      </c>
      <c r="E20" s="454">
        <v>0.05</v>
      </c>
      <c r="F20" s="453">
        <v>3203618</v>
      </c>
      <c r="G20" s="453">
        <f>ROUND((E20*F20),0)</f>
        <v>160181</v>
      </c>
      <c r="H20" s="1441"/>
      <c r="I20" s="474">
        <v>0.05</v>
      </c>
      <c r="J20" s="429">
        <f>ROUND(I20*F20,0)</f>
        <v>160181</v>
      </c>
      <c r="K20" s="430">
        <f>J20/G20</f>
        <v>1</v>
      </c>
      <c r="L20" s="452">
        <v>0</v>
      </c>
      <c r="M20" s="425">
        <f>ROUND(L20*F20,0)</f>
        <v>0</v>
      </c>
      <c r="N20" s="426">
        <f t="shared" si="2"/>
        <v>0</v>
      </c>
      <c r="O20" s="450">
        <f t="shared" si="0"/>
        <v>0.05</v>
      </c>
      <c r="P20" s="175">
        <f t="shared" si="1"/>
        <v>160181</v>
      </c>
      <c r="Q20" s="176">
        <f>P20/G20</f>
        <v>1</v>
      </c>
    </row>
    <row r="21" spans="1:17" x14ac:dyDescent="0.3">
      <c r="A21" s="1441"/>
      <c r="B21" s="1441"/>
      <c r="C21" s="459"/>
      <c r="D21" s="459" t="s">
        <v>221</v>
      </c>
      <c r="E21" s="458"/>
      <c r="F21" s="458"/>
      <c r="G21" s="457">
        <f>SUM(G18:G20)</f>
        <v>160181</v>
      </c>
      <c r="H21" s="1441"/>
      <c r="I21" s="431"/>
      <c r="J21" s="179">
        <f>SUM(J18:J20)</f>
        <v>160181</v>
      </c>
      <c r="K21" s="431">
        <f>J21/$G$21</f>
        <v>1</v>
      </c>
      <c r="L21" s="431"/>
      <c r="M21" s="179">
        <f>SUM(M18:M20)</f>
        <v>0</v>
      </c>
      <c r="N21" s="1091">
        <f t="shared" si="2"/>
        <v>0</v>
      </c>
      <c r="O21" s="1089">
        <f t="shared" si="0"/>
        <v>0</v>
      </c>
      <c r="P21" s="1078">
        <f t="shared" si="1"/>
        <v>160181</v>
      </c>
      <c r="Q21" s="431">
        <f>P21/G21</f>
        <v>1</v>
      </c>
    </row>
    <row r="22" spans="1:17" ht="30" customHeight="1" x14ac:dyDescent="0.3">
      <c r="A22" s="1441" t="s">
        <v>151</v>
      </c>
      <c r="B22" s="1441" t="s">
        <v>170</v>
      </c>
      <c r="C22" s="454" t="s">
        <v>83</v>
      </c>
      <c r="D22" s="454" t="s">
        <v>123</v>
      </c>
      <c r="E22" s="454">
        <v>0</v>
      </c>
      <c r="F22" s="453">
        <v>1044658</v>
      </c>
      <c r="G22" s="453">
        <f>ROUND((E22*F22),0)</f>
        <v>0</v>
      </c>
      <c r="H22" s="1441" t="s">
        <v>741</v>
      </c>
      <c r="I22" s="452">
        <v>0</v>
      </c>
      <c r="J22" s="425">
        <f>ROUND(I22*$F$22,0)</f>
        <v>0</v>
      </c>
      <c r="K22" s="426">
        <v>0</v>
      </c>
      <c r="L22" s="452">
        <v>0</v>
      </c>
      <c r="M22" s="425">
        <f>ROUND(L22*$F$22,0)</f>
        <v>0</v>
      </c>
      <c r="N22" s="426">
        <v>0</v>
      </c>
      <c r="O22" s="450">
        <f t="shared" si="0"/>
        <v>0</v>
      </c>
      <c r="P22" s="175">
        <f t="shared" si="1"/>
        <v>0</v>
      </c>
      <c r="Q22" s="176">
        <v>0</v>
      </c>
    </row>
    <row r="23" spans="1:17" ht="30" customHeight="1" x14ac:dyDescent="0.3">
      <c r="A23" s="1441"/>
      <c r="B23" s="1441"/>
      <c r="C23" s="454" t="s">
        <v>61</v>
      </c>
      <c r="D23" s="454" t="s">
        <v>125</v>
      </c>
      <c r="E23" s="454">
        <v>0.05</v>
      </c>
      <c r="F23" s="453">
        <v>1009836</v>
      </c>
      <c r="G23" s="453">
        <f>ROUND((E23*F23),0)</f>
        <v>50492</v>
      </c>
      <c r="H23" s="1441"/>
      <c r="I23" s="474">
        <v>0.05</v>
      </c>
      <c r="J23" s="429">
        <f>ROUND(I23*F23,0)</f>
        <v>50492</v>
      </c>
      <c r="K23" s="430">
        <f>J23/G23</f>
        <v>1</v>
      </c>
      <c r="L23" s="452">
        <v>0</v>
      </c>
      <c r="M23" s="425">
        <f>ROUND(L23*F23,0)</f>
        <v>0</v>
      </c>
      <c r="N23" s="426">
        <f t="shared" si="2"/>
        <v>0</v>
      </c>
      <c r="O23" s="450">
        <f t="shared" si="0"/>
        <v>0.05</v>
      </c>
      <c r="P23" s="175">
        <f t="shared" si="1"/>
        <v>50492</v>
      </c>
      <c r="Q23" s="176">
        <f>P23/G23</f>
        <v>1</v>
      </c>
    </row>
    <row r="24" spans="1:17" x14ac:dyDescent="0.3">
      <c r="A24" s="1441"/>
      <c r="B24" s="1441"/>
      <c r="C24" s="459"/>
      <c r="D24" s="459" t="s">
        <v>126</v>
      </c>
      <c r="E24" s="458"/>
      <c r="F24" s="458"/>
      <c r="G24" s="457">
        <f>SUM(G22:G23)</f>
        <v>50492</v>
      </c>
      <c r="H24" s="1441"/>
      <c r="I24" s="431"/>
      <c r="J24" s="179">
        <f>SUM(J22:J23)</f>
        <v>50492</v>
      </c>
      <c r="K24" s="431">
        <f>J24/$G$24</f>
        <v>1</v>
      </c>
      <c r="L24" s="431"/>
      <c r="M24" s="179">
        <f>SUM(M22:M23)</f>
        <v>0</v>
      </c>
      <c r="N24" s="1091">
        <f t="shared" si="2"/>
        <v>0</v>
      </c>
      <c r="O24" s="1089">
        <f t="shared" si="0"/>
        <v>0</v>
      </c>
      <c r="P24" s="1078">
        <f t="shared" si="1"/>
        <v>50492</v>
      </c>
      <c r="Q24" s="431">
        <f>P24/G24</f>
        <v>1</v>
      </c>
    </row>
    <row r="25" spans="1:17" ht="30" customHeight="1" x14ac:dyDescent="0.3">
      <c r="A25" s="1441" t="s">
        <v>109</v>
      </c>
      <c r="B25" s="1441" t="s">
        <v>217</v>
      </c>
      <c r="C25" s="454" t="s">
        <v>81</v>
      </c>
      <c r="D25" s="454" t="s">
        <v>218</v>
      </c>
      <c r="E25" s="454">
        <v>0</v>
      </c>
      <c r="F25" s="453">
        <v>1149124</v>
      </c>
      <c r="G25" s="453">
        <f>ROUND((E25*F25),0)</f>
        <v>0</v>
      </c>
      <c r="H25" s="1442" t="s">
        <v>1389</v>
      </c>
      <c r="I25" s="452">
        <v>0</v>
      </c>
      <c r="J25" s="425">
        <f>ROUND(I25*$F$25,0)</f>
        <v>0</v>
      </c>
      <c r="K25" s="426">
        <v>0</v>
      </c>
      <c r="L25" s="452">
        <v>0</v>
      </c>
      <c r="M25" s="425">
        <f>ROUND(L25*$F$25,0)</f>
        <v>0</v>
      </c>
      <c r="N25" s="426">
        <v>0</v>
      </c>
      <c r="O25" s="450">
        <f t="shared" si="0"/>
        <v>0</v>
      </c>
      <c r="P25" s="175">
        <f t="shared" si="1"/>
        <v>0</v>
      </c>
      <c r="Q25" s="176">
        <v>0</v>
      </c>
    </row>
    <row r="26" spans="1:17" ht="30" customHeight="1" x14ac:dyDescent="0.3">
      <c r="A26" s="1441"/>
      <c r="B26" s="1441"/>
      <c r="C26" s="454" t="s">
        <v>83</v>
      </c>
      <c r="D26" s="454" t="s">
        <v>219</v>
      </c>
      <c r="E26" s="454">
        <v>0</v>
      </c>
      <c r="F26" s="453">
        <v>2646468</v>
      </c>
      <c r="G26" s="453">
        <f>ROUND((E26*F26),0)</f>
        <v>0</v>
      </c>
      <c r="H26" s="1441"/>
      <c r="I26" s="452">
        <v>0</v>
      </c>
      <c r="J26" s="425">
        <f>ROUND(I26*$F$26,0)</f>
        <v>0</v>
      </c>
      <c r="K26" s="426">
        <v>0</v>
      </c>
      <c r="L26" s="452">
        <v>0</v>
      </c>
      <c r="M26" s="425">
        <f>ROUND(L26*$F$26,0)</f>
        <v>0</v>
      </c>
      <c r="N26" s="426">
        <v>0</v>
      </c>
      <c r="O26" s="450">
        <f t="shared" si="0"/>
        <v>0</v>
      </c>
      <c r="P26" s="175">
        <f t="shared" si="1"/>
        <v>0</v>
      </c>
      <c r="Q26" s="176">
        <v>0</v>
      </c>
    </row>
    <row r="27" spans="1:17" ht="30" customHeight="1" x14ac:dyDescent="0.3">
      <c r="A27" s="1441"/>
      <c r="B27" s="1441"/>
      <c r="C27" s="454" t="s">
        <v>61</v>
      </c>
      <c r="D27" s="454" t="s">
        <v>220</v>
      </c>
      <c r="E27" s="454">
        <v>0.05</v>
      </c>
      <c r="F27" s="453">
        <v>3203618</v>
      </c>
      <c r="G27" s="453">
        <f>ROUND((E27*F27),0)</f>
        <v>160181</v>
      </c>
      <c r="H27" s="1441"/>
      <c r="I27" s="474">
        <v>0.05</v>
      </c>
      <c r="J27" s="429">
        <f>ROUND(I27*F27,0)</f>
        <v>160181</v>
      </c>
      <c r="K27" s="430">
        <f>J27/G27</f>
        <v>1</v>
      </c>
      <c r="L27" s="452">
        <v>0</v>
      </c>
      <c r="M27" s="425">
        <f>ROUND(L27*F27,0)</f>
        <v>0</v>
      </c>
      <c r="N27" s="426">
        <f t="shared" si="2"/>
        <v>0</v>
      </c>
      <c r="O27" s="450">
        <f t="shared" si="0"/>
        <v>0.05</v>
      </c>
      <c r="P27" s="175">
        <f t="shared" si="1"/>
        <v>160181</v>
      </c>
      <c r="Q27" s="176">
        <f>P27/G27</f>
        <v>1</v>
      </c>
    </row>
    <row r="28" spans="1:17" x14ac:dyDescent="0.3">
      <c r="A28" s="1441"/>
      <c r="B28" s="1441"/>
      <c r="C28" s="459"/>
      <c r="D28" s="459" t="s">
        <v>221</v>
      </c>
      <c r="E28" s="458"/>
      <c r="F28" s="458"/>
      <c r="G28" s="457">
        <f>SUM(G25:G27)</f>
        <v>160181</v>
      </c>
      <c r="H28" s="1441"/>
      <c r="I28" s="431"/>
      <c r="J28" s="179">
        <f>SUM(J25:J27)</f>
        <v>160181</v>
      </c>
      <c r="K28" s="431">
        <f>J28/$G$28</f>
        <v>1</v>
      </c>
      <c r="L28" s="431"/>
      <c r="M28" s="179">
        <f>SUM(M25:M27)</f>
        <v>0</v>
      </c>
      <c r="N28" s="1091">
        <f t="shared" si="2"/>
        <v>0</v>
      </c>
      <c r="O28" s="1089">
        <f t="shared" si="0"/>
        <v>0</v>
      </c>
      <c r="P28" s="1078">
        <f t="shared" si="1"/>
        <v>160181</v>
      </c>
      <c r="Q28" s="431">
        <f>P28/G28</f>
        <v>1</v>
      </c>
    </row>
    <row r="29" spans="1:17" ht="30" customHeight="1" x14ac:dyDescent="0.3">
      <c r="A29" s="1441" t="s">
        <v>109</v>
      </c>
      <c r="B29" s="1441" t="s">
        <v>170</v>
      </c>
      <c r="C29" s="454" t="s">
        <v>83</v>
      </c>
      <c r="D29" s="454" t="s">
        <v>123</v>
      </c>
      <c r="E29" s="454">
        <v>0</v>
      </c>
      <c r="F29" s="453">
        <v>1044658</v>
      </c>
      <c r="G29" s="453">
        <f>ROUND((E29*F29),0)</f>
        <v>0</v>
      </c>
      <c r="H29" s="1442" t="s">
        <v>741</v>
      </c>
      <c r="I29" s="452">
        <v>0</v>
      </c>
      <c r="J29" s="425">
        <f>ROUND(I29*$F$29,0)</f>
        <v>0</v>
      </c>
      <c r="K29" s="426">
        <v>0</v>
      </c>
      <c r="L29" s="452">
        <v>0</v>
      </c>
      <c r="M29" s="425">
        <f>ROUND(L29*$F$29,0)</f>
        <v>0</v>
      </c>
      <c r="N29" s="426">
        <v>0</v>
      </c>
      <c r="O29" s="450">
        <f t="shared" si="0"/>
        <v>0</v>
      </c>
      <c r="P29" s="175">
        <f t="shared" si="1"/>
        <v>0</v>
      </c>
      <c r="Q29" s="176">
        <v>0</v>
      </c>
    </row>
    <row r="30" spans="1:17" ht="30" customHeight="1" x14ac:dyDescent="0.3">
      <c r="A30" s="1441"/>
      <c r="B30" s="1441"/>
      <c r="C30" s="454" t="s">
        <v>61</v>
      </c>
      <c r="D30" s="454" t="s">
        <v>125</v>
      </c>
      <c r="E30" s="454">
        <v>0.05</v>
      </c>
      <c r="F30" s="453">
        <v>1009836</v>
      </c>
      <c r="G30" s="453">
        <f>ROUND((E30*F30),0)</f>
        <v>50492</v>
      </c>
      <c r="H30" s="1441"/>
      <c r="I30" s="474">
        <v>0.05</v>
      </c>
      <c r="J30" s="429">
        <f>ROUND(I30*F30,0)</f>
        <v>50492</v>
      </c>
      <c r="K30" s="430">
        <f>J30/G30</f>
        <v>1</v>
      </c>
      <c r="L30" s="452">
        <v>0</v>
      </c>
      <c r="M30" s="425">
        <f>ROUND(L30*F30,0)</f>
        <v>0</v>
      </c>
      <c r="N30" s="426">
        <f t="shared" si="2"/>
        <v>0</v>
      </c>
      <c r="O30" s="450">
        <f t="shared" si="0"/>
        <v>0.05</v>
      </c>
      <c r="P30" s="175">
        <f t="shared" si="1"/>
        <v>50492</v>
      </c>
      <c r="Q30" s="176">
        <f>P30/G30</f>
        <v>1</v>
      </c>
    </row>
    <row r="31" spans="1:17" x14ac:dyDescent="0.3">
      <c r="A31" s="1441"/>
      <c r="B31" s="1441"/>
      <c r="C31" s="459"/>
      <c r="D31" s="459" t="s">
        <v>126</v>
      </c>
      <c r="E31" s="458"/>
      <c r="F31" s="458"/>
      <c r="G31" s="457">
        <f>SUM(G29:G30)</f>
        <v>50492</v>
      </c>
      <c r="H31" s="1441"/>
      <c r="I31" s="431"/>
      <c r="J31" s="179">
        <f>SUM(J29:J30)</f>
        <v>50492</v>
      </c>
      <c r="K31" s="431">
        <f>J31/$G$31</f>
        <v>1</v>
      </c>
      <c r="L31" s="431"/>
      <c r="M31" s="179">
        <f>SUM(M29:M30)</f>
        <v>0</v>
      </c>
      <c r="N31" s="1091">
        <f t="shared" si="2"/>
        <v>0</v>
      </c>
      <c r="O31" s="1101"/>
      <c r="P31" s="1078">
        <f t="shared" si="1"/>
        <v>50492</v>
      </c>
      <c r="Q31" s="431">
        <f>P31/G31</f>
        <v>1</v>
      </c>
    </row>
    <row r="32" spans="1:17" x14ac:dyDescent="0.3">
      <c r="F32" s="445" t="s">
        <v>64</v>
      </c>
      <c r="G32" s="181">
        <f>SUM(G7:G31)/2</f>
        <v>680769</v>
      </c>
      <c r="I32" s="547" t="s">
        <v>64</v>
      </c>
      <c r="J32" s="481">
        <f>SUM(J7:J31)/2</f>
        <v>548446</v>
      </c>
      <c r="L32" s="547" t="s">
        <v>64</v>
      </c>
      <c r="M32" s="481">
        <f>SUM(M7:M31)/2</f>
        <v>0</v>
      </c>
      <c r="O32" s="547" t="s">
        <v>64</v>
      </c>
      <c r="P32" s="481">
        <f>SUM(P7:P31)/2</f>
        <v>548446</v>
      </c>
    </row>
    <row r="33" spans="1:17" x14ac:dyDescent="0.3">
      <c r="F33" s="444" t="s">
        <v>65</v>
      </c>
      <c r="G33" s="181">
        <v>0</v>
      </c>
      <c r="I33" s="548" t="s">
        <v>65</v>
      </c>
      <c r="J33" s="481">
        <v>0</v>
      </c>
      <c r="L33" s="548" t="s">
        <v>65</v>
      </c>
      <c r="M33" s="481">
        <v>0</v>
      </c>
      <c r="O33" s="548" t="s">
        <v>65</v>
      </c>
      <c r="P33" s="481">
        <v>0</v>
      </c>
    </row>
    <row r="34" spans="1:17" x14ac:dyDescent="0.3">
      <c r="F34" s="443" t="s">
        <v>64</v>
      </c>
      <c r="G34" s="340">
        <f>SUM(G32:G33)</f>
        <v>680769</v>
      </c>
      <c r="I34" s="549" t="s">
        <v>64</v>
      </c>
      <c r="J34" s="550">
        <f>SUM(J32:J33)</f>
        <v>548446</v>
      </c>
      <c r="L34" s="549" t="s">
        <v>64</v>
      </c>
      <c r="M34" s="550">
        <f>SUM(M32:M33)</f>
        <v>0</v>
      </c>
      <c r="O34" s="549" t="s">
        <v>64</v>
      </c>
      <c r="P34" s="550">
        <f>SUM(P32:P33)</f>
        <v>548446</v>
      </c>
    </row>
    <row r="35" spans="1:17" ht="26.4" x14ac:dyDescent="0.3">
      <c r="F35" s="443"/>
      <c r="G35" s="340"/>
      <c r="I35" s="484" t="s">
        <v>1439</v>
      </c>
      <c r="J35" s="483">
        <f>ROUND(J34*0.015,0)</f>
        <v>8227</v>
      </c>
      <c r="L35" s="484" t="s">
        <v>1439</v>
      </c>
      <c r="M35" s="483">
        <f>ROUND(M34*0.015,0)</f>
        <v>0</v>
      </c>
      <c r="O35" s="484" t="s">
        <v>1439</v>
      </c>
      <c r="P35" s="550">
        <f>J35+M35</f>
        <v>8227</v>
      </c>
    </row>
    <row r="36" spans="1:17" ht="26.4" x14ac:dyDescent="0.3">
      <c r="F36" s="443"/>
      <c r="G36" s="340"/>
      <c r="I36" s="152" t="s">
        <v>1440</v>
      </c>
      <c r="J36" s="182">
        <f>J34+J35</f>
        <v>556673</v>
      </c>
      <c r="K36" s="463">
        <f>J36/$G$32</f>
        <v>0.81771202860294756</v>
      </c>
      <c r="L36" s="152" t="s">
        <v>1440</v>
      </c>
      <c r="M36" s="182">
        <f>M34+M35</f>
        <v>0</v>
      </c>
      <c r="N36" s="463">
        <f>M36/$G$32</f>
        <v>0</v>
      </c>
      <c r="O36" s="152" t="s">
        <v>1440</v>
      </c>
      <c r="P36" s="182">
        <f>P34+P35</f>
        <v>556673</v>
      </c>
      <c r="Q36" s="463">
        <f>P36/G32</f>
        <v>0.81771202860294756</v>
      </c>
    </row>
    <row r="37" spans="1:17" x14ac:dyDescent="0.3">
      <c r="F37" s="442" t="s">
        <v>66</v>
      </c>
      <c r="G37" s="181">
        <f>+G34*19%</f>
        <v>129346.11</v>
      </c>
      <c r="I37" s="551" t="s">
        <v>66</v>
      </c>
      <c r="J37" s="483">
        <f>ROUND(J36*0.19,0)</f>
        <v>105768</v>
      </c>
      <c r="L37" s="551" t="s">
        <v>66</v>
      </c>
      <c r="M37" s="483">
        <f>ROUND(M36*0.19,0)</f>
        <v>0</v>
      </c>
      <c r="O37" s="551" t="s">
        <v>66</v>
      </c>
      <c r="P37" s="483">
        <f>ROUND(P36*0.19,0)</f>
        <v>105768</v>
      </c>
    </row>
    <row r="38" spans="1:17" x14ac:dyDescent="0.3">
      <c r="F38" s="441" t="s">
        <v>69</v>
      </c>
      <c r="G38" s="181">
        <f>+G34+G37</f>
        <v>810115.11</v>
      </c>
      <c r="I38" s="552" t="s">
        <v>69</v>
      </c>
      <c r="J38" s="481">
        <f>J36+J37</f>
        <v>662441</v>
      </c>
      <c r="L38" s="552" t="s">
        <v>69</v>
      </c>
      <c r="M38" s="481">
        <f>M36+M37</f>
        <v>0</v>
      </c>
      <c r="O38" s="552" t="s">
        <v>69</v>
      </c>
      <c r="P38" s="481">
        <f>P36+P37</f>
        <v>662441</v>
      </c>
    </row>
    <row r="41" spans="1:17" s="189" customFormat="1" ht="26.4" x14ac:dyDescent="0.3">
      <c r="A41" s="183" t="s">
        <v>67</v>
      </c>
      <c r="B41" s="184"/>
      <c r="C41" s="184"/>
      <c r="D41" s="185" t="s">
        <v>68</v>
      </c>
      <c r="I41" s="186" t="s">
        <v>70</v>
      </c>
      <c r="J41" s="187" t="s">
        <v>71</v>
      </c>
      <c r="K41" s="186" t="s">
        <v>58</v>
      </c>
      <c r="L41" s="186" t="s">
        <v>70</v>
      </c>
      <c r="M41" s="187" t="s">
        <v>71</v>
      </c>
      <c r="N41" s="186" t="s">
        <v>58</v>
      </c>
      <c r="O41" s="437"/>
      <c r="P41" s="437"/>
      <c r="Q41" s="437"/>
    </row>
    <row r="42" spans="1:17" s="189" customFormat="1" x14ac:dyDescent="0.3">
      <c r="A42" s="183"/>
      <c r="B42" s="184"/>
      <c r="C42" s="184"/>
      <c r="D42" s="185"/>
      <c r="I42" s="69" t="s">
        <v>72</v>
      </c>
      <c r="J42" s="70">
        <f>$J$36</f>
        <v>556673</v>
      </c>
      <c r="K42" s="71">
        <f>$K$36</f>
        <v>0.81771202860294756</v>
      </c>
      <c r="L42" s="69" t="s">
        <v>72</v>
      </c>
      <c r="M42" s="70">
        <f>$J$36</f>
        <v>556673</v>
      </c>
      <c r="N42" s="71">
        <f>$K$36</f>
        <v>0.81771202860294756</v>
      </c>
      <c r="O42" s="437"/>
      <c r="P42" s="437"/>
      <c r="Q42" s="437"/>
    </row>
    <row r="43" spans="1:17" s="189" customFormat="1" x14ac:dyDescent="0.3">
      <c r="A43" s="183"/>
      <c r="B43" s="184"/>
      <c r="C43" s="184"/>
      <c r="D43" s="185"/>
      <c r="I43" s="72" t="s">
        <v>1</v>
      </c>
      <c r="J43" s="105">
        <f>SUM(J42:J42)</f>
        <v>556673</v>
      </c>
      <c r="K43" s="73">
        <f>SUM(K42:K42)</f>
        <v>0.81771202860294756</v>
      </c>
      <c r="L43" s="69" t="s">
        <v>2339</v>
      </c>
      <c r="M43" s="70">
        <f>$M$36</f>
        <v>0</v>
      </c>
      <c r="N43" s="71">
        <f>$N$36</f>
        <v>0</v>
      </c>
      <c r="O43" s="437"/>
      <c r="P43" s="437"/>
      <c r="Q43" s="437"/>
    </row>
    <row r="44" spans="1:17" s="189" customFormat="1" x14ac:dyDescent="0.3">
      <c r="A44" s="183"/>
      <c r="B44" s="184"/>
      <c r="C44" s="184"/>
      <c r="D44" s="185"/>
      <c r="I44" s="72" t="s">
        <v>9</v>
      </c>
      <c r="J44" s="1423"/>
      <c r="K44" s="1424"/>
      <c r="L44" s="72" t="s">
        <v>1</v>
      </c>
      <c r="M44" s="105">
        <f>SUM(M42:M43)</f>
        <v>556673</v>
      </c>
      <c r="N44" s="73">
        <f>SUM(N42:N43)</f>
        <v>0.81771202860294756</v>
      </c>
      <c r="O44" s="437"/>
      <c r="P44" s="437"/>
      <c r="Q44" s="437"/>
    </row>
    <row r="45" spans="1:17" s="189" customFormat="1" x14ac:dyDescent="0.3">
      <c r="A45" s="183"/>
      <c r="B45" s="184"/>
      <c r="C45" s="184"/>
      <c r="D45" s="185"/>
      <c r="I45" s="440" t="s">
        <v>78</v>
      </c>
      <c r="J45" s="1423" t="s">
        <v>1986</v>
      </c>
      <c r="K45" s="1424"/>
      <c r="L45" s="72" t="s">
        <v>9</v>
      </c>
      <c r="M45" s="1423"/>
      <c r="N45" s="1424"/>
      <c r="O45" s="437"/>
      <c r="P45" s="437"/>
      <c r="Q45" s="437"/>
    </row>
    <row r="46" spans="1:17" s="189" customFormat="1" x14ac:dyDescent="0.3">
      <c r="A46" s="183"/>
      <c r="B46" s="184"/>
      <c r="C46" s="184"/>
      <c r="D46" s="185"/>
      <c r="I46" s="439" t="s">
        <v>8</v>
      </c>
      <c r="J46" s="1423" t="s">
        <v>1987</v>
      </c>
      <c r="K46" s="1424"/>
      <c r="L46" s="440" t="s">
        <v>78</v>
      </c>
      <c r="M46" s="1423" t="s">
        <v>1986</v>
      </c>
      <c r="N46" s="1424"/>
      <c r="O46" s="437"/>
      <c r="P46" s="437"/>
      <c r="Q46" s="437"/>
    </row>
    <row r="47" spans="1:17" s="189" customFormat="1" x14ac:dyDescent="0.3">
      <c r="A47" s="183"/>
      <c r="B47" s="184"/>
      <c r="C47" s="184"/>
      <c r="D47" s="185" t="s">
        <v>75</v>
      </c>
      <c r="L47" s="439" t="s">
        <v>8</v>
      </c>
      <c r="M47" s="1423" t="s">
        <v>1987</v>
      </c>
      <c r="N47" s="1424"/>
    </row>
    <row r="48" spans="1:17" s="189" customFormat="1" x14ac:dyDescent="0.3">
      <c r="A48" s="183" t="s">
        <v>76</v>
      </c>
      <c r="B48" s="180"/>
      <c r="C48" s="180"/>
      <c r="D48" s="185" t="s">
        <v>77</v>
      </c>
      <c r="L48" s="1055"/>
      <c r="M48" s="1055"/>
      <c r="N48" s="1055"/>
    </row>
    <row r="49" spans="1:14" s="189" customFormat="1" x14ac:dyDescent="0.3">
      <c r="A49" s="183" t="s">
        <v>79</v>
      </c>
      <c r="B49" s="180"/>
      <c r="C49" s="180"/>
      <c r="D49" s="185" t="s">
        <v>80</v>
      </c>
      <c r="L49" s="1055"/>
      <c r="M49" s="1055"/>
      <c r="N49" s="1055"/>
    </row>
    <row r="50" spans="1:14" x14ac:dyDescent="0.3">
      <c r="L50" s="1055"/>
      <c r="M50" s="1055"/>
      <c r="N50" s="1055"/>
    </row>
  </sheetData>
  <sheetProtection formatCells="0" formatColumns="0" formatRows="0" insertColumns="0" insertRows="0" insertHyperlinks="0" deleteColumns="0" deleteRows="0" sort="0" autoFilter="0" pivotTables="0"/>
  <mergeCells count="37">
    <mergeCell ref="B25:B28"/>
    <mergeCell ref="H25:H28"/>
    <mergeCell ref="A29:A31"/>
    <mergeCell ref="B29:B31"/>
    <mergeCell ref="H29:H31"/>
    <mergeCell ref="M45:N45"/>
    <mergeCell ref="A6:Q6"/>
    <mergeCell ref="A7:Q7"/>
    <mergeCell ref="A8:Q8"/>
    <mergeCell ref="A9:Q9"/>
    <mergeCell ref="A10:Q10"/>
    <mergeCell ref="A22:A24"/>
    <mergeCell ref="B22:B24"/>
    <mergeCell ref="H22:H24"/>
    <mergeCell ref="A14:A17"/>
    <mergeCell ref="B14:B17"/>
    <mergeCell ref="H14:H17"/>
    <mergeCell ref="A18:A21"/>
    <mergeCell ref="B18:B21"/>
    <mergeCell ref="H18:H21"/>
    <mergeCell ref="A25:A28"/>
    <mergeCell ref="M46:N46"/>
    <mergeCell ref="M47:N47"/>
    <mergeCell ref="J46:K46"/>
    <mergeCell ref="B12:H12"/>
    <mergeCell ref="O1:Q1"/>
    <mergeCell ref="O2:Q2"/>
    <mergeCell ref="A3:Q3"/>
    <mergeCell ref="A4:Q4"/>
    <mergeCell ref="A5:Q5"/>
    <mergeCell ref="C1:K2"/>
    <mergeCell ref="B11:H11"/>
    <mergeCell ref="I11:K12"/>
    <mergeCell ref="O11:Q12"/>
    <mergeCell ref="J44:K44"/>
    <mergeCell ref="J45:K45"/>
    <mergeCell ref="L11:N12"/>
  </mergeCells>
  <pageMargins left="0.7" right="0.7" top="0.75" bottom="0.75" header="0.3" footer="0.3"/>
  <pageSetup paperSize="9" scale="46" orientation="landscape" r:id="rId1"/>
  <drawing r:id="rId2"/>
  <legacyDrawingHF r:id="rId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4">
    <tabColor theme="1"/>
  </sheetPr>
  <dimension ref="A1:G49"/>
  <sheetViews>
    <sheetView topLeftCell="A16"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RESUMEN!G88</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RESUMEN!B88</f>
        <v>D00249389</v>
      </c>
      <c r="C7" s="1265"/>
      <c r="D7" s="1177"/>
      <c r="E7" s="1266" t="s">
        <v>627</v>
      </c>
      <c r="F7" s="1267"/>
      <c r="G7" s="280" t="str">
        <f>RESUMEN!E88</f>
        <v>17-341</v>
      </c>
    </row>
    <row r="8" spans="1:7" x14ac:dyDescent="0.25">
      <c r="A8" s="271" t="s">
        <v>628</v>
      </c>
      <c r="B8" s="1264" t="str">
        <f>RESUMEN!C88</f>
        <v>D00249389000</v>
      </c>
      <c r="C8" s="1265"/>
      <c r="D8" s="1177"/>
      <c r="E8" s="1266" t="s">
        <v>629</v>
      </c>
      <c r="F8" s="1267"/>
      <c r="G8" s="280" t="str">
        <f>RESUMEN!U88</f>
        <v>Acta N° 2: Marzo</v>
      </c>
    </row>
    <row r="9" spans="1:7" x14ac:dyDescent="0.25">
      <c r="A9" s="271" t="s">
        <v>630</v>
      </c>
      <c r="B9" s="1283" t="s">
        <v>631</v>
      </c>
      <c r="C9" s="1265"/>
      <c r="D9" s="1177"/>
      <c r="E9" s="1266" t="s">
        <v>632</v>
      </c>
      <c r="F9" s="1267"/>
      <c r="G9" s="1178">
        <f>RESUMEN!H88</f>
        <v>1023765</v>
      </c>
    </row>
    <row r="10" spans="1:7" x14ac:dyDescent="0.25">
      <c r="A10" s="271" t="s">
        <v>633</v>
      </c>
      <c r="B10" s="1283" t="str">
        <f>RESUMEN!D88</f>
        <v xml:space="preserve"> BOLIVIA</v>
      </c>
      <c r="C10" s="1265"/>
      <c r="D10" s="1177"/>
      <c r="E10" s="1266" t="s">
        <v>634</v>
      </c>
      <c r="F10" s="1267"/>
      <c r="G10" s="1178">
        <f>RESUMEN!R88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RESUMEN!N88</f>
        <v>0</v>
      </c>
      <c r="F19" s="1248"/>
      <c r="G19" s="1177"/>
    </row>
    <row r="20" spans="1:7" ht="27" customHeight="1" x14ac:dyDescent="0.25">
      <c r="A20" s="1177"/>
      <c r="B20" s="1244" t="s">
        <v>1498</v>
      </c>
      <c r="C20" s="1245"/>
      <c r="D20" s="1246"/>
      <c r="E20" s="1247">
        <f>RESUMEN!P88</f>
        <v>0</v>
      </c>
      <c r="F20" s="1248"/>
      <c r="G20" s="1177"/>
    </row>
    <row r="21" spans="1:7" ht="27" customHeight="1" x14ac:dyDescent="0.25">
      <c r="A21" s="1177"/>
      <c r="B21" s="1244" t="s">
        <v>1499</v>
      </c>
      <c r="C21" s="1245"/>
      <c r="D21" s="1246"/>
      <c r="E21" s="1247">
        <f>RESUMEN!Q88</f>
        <v>0</v>
      </c>
      <c r="F21" s="1248"/>
      <c r="G21" s="1177"/>
    </row>
    <row r="22" spans="1:7" x14ac:dyDescent="0.25">
      <c r="A22" s="1177"/>
      <c r="B22" s="1254" t="s">
        <v>64</v>
      </c>
      <c r="C22" s="1254"/>
      <c r="D22" s="1254"/>
      <c r="E22" s="1255">
        <f>RESUMEN!R88</f>
        <v>0</v>
      </c>
      <c r="F22" s="1255"/>
      <c r="G22" s="1177"/>
    </row>
    <row r="23" spans="1:7" x14ac:dyDescent="0.25">
      <c r="A23" s="1177"/>
      <c r="B23" s="1256" t="s">
        <v>66</v>
      </c>
      <c r="C23" s="1256"/>
      <c r="D23" s="1256"/>
      <c r="E23" s="1257">
        <f>RESUMEN!S88</f>
        <v>0</v>
      </c>
      <c r="F23" s="1257"/>
      <c r="G23" s="1177"/>
    </row>
    <row r="24" spans="1:7" x14ac:dyDescent="0.25">
      <c r="A24" s="1177"/>
      <c r="B24" s="1258" t="s">
        <v>1</v>
      </c>
      <c r="C24" s="1258"/>
      <c r="D24" s="1258"/>
      <c r="E24" s="1259">
        <f>RESUMEN!T88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+'OT17-341 BOLIVIA'!L49</f>
        <v>ACTA 1</v>
      </c>
      <c r="C28" s="1253">
        <f>+'OT17-341 BOLIVIA'!M49</f>
        <v>770506</v>
      </c>
      <c r="D28" s="1253"/>
      <c r="E28" s="267">
        <f>+'OT17-341 BOLIVIA'!N49</f>
        <v>0.75261998603195068</v>
      </c>
      <c r="F28" s="1177"/>
      <c r="G28" s="1177"/>
    </row>
    <row r="29" spans="1:7" x14ac:dyDescent="0.25">
      <c r="A29" s="1177"/>
      <c r="B29" s="280" t="str">
        <f>+'OT17-341 BOLIVIA'!L50</f>
        <v>ACTA 2</v>
      </c>
      <c r="C29" s="1253">
        <f>+'OT17-341 BOLIVIA'!M50</f>
        <v>0</v>
      </c>
      <c r="D29" s="1253"/>
      <c r="E29" s="267">
        <f>+'OT17-341 BOLIVIA'!N50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770506</v>
      </c>
      <c r="D34" s="1251"/>
      <c r="E34" s="264">
        <f>SUM(E28:E33)</f>
        <v>0.75261998603195068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RESUMEN!V88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6">
    <tabColor rgb="FFFF0000"/>
  </sheetPr>
  <dimension ref="A1:Q57"/>
  <sheetViews>
    <sheetView topLeftCell="A25" zoomScale="60" zoomScaleNormal="60" workbookViewId="0">
      <selection activeCell="H29" sqref="H29:H31"/>
    </sheetView>
  </sheetViews>
  <sheetFormatPr baseColWidth="10" defaultColWidth="9.109375" defaultRowHeight="14.4" x14ac:dyDescent="0.3"/>
  <cols>
    <col min="1" max="1" width="14.88671875" style="437" customWidth="1"/>
    <col min="2" max="2" width="24" style="437" customWidth="1"/>
    <col min="3" max="3" width="34.5546875" style="437" customWidth="1"/>
    <col min="4" max="4" width="23.5546875" style="437" customWidth="1"/>
    <col min="5" max="5" width="13" style="437" customWidth="1"/>
    <col min="6" max="6" width="17.88671875" style="437" customWidth="1"/>
    <col min="7" max="7" width="15.6640625" style="437" bestFit="1" customWidth="1"/>
    <col min="8" max="8" width="37.33203125" style="437" customWidth="1"/>
    <col min="9" max="9" width="17.88671875" style="437" bestFit="1" customWidth="1"/>
    <col min="10" max="10" width="18" style="437" bestFit="1" customWidth="1"/>
    <col min="11" max="11" width="10.5546875" style="437" customWidth="1"/>
    <col min="12" max="12" width="14.77734375" style="437" customWidth="1"/>
    <col min="13" max="13" width="15.88671875" style="437" customWidth="1"/>
    <col min="14" max="14" width="14.44140625" style="437" customWidth="1"/>
    <col min="15" max="15" width="17.88671875" style="437" bestFit="1" customWidth="1"/>
    <col min="16" max="16" width="14.6640625" style="437" bestFit="1" customWidth="1"/>
    <col min="17" max="16384" width="9.109375" style="437"/>
  </cols>
  <sheetData>
    <row r="1" spans="1:17" ht="22.5" customHeight="1" thickBot="1" x14ac:dyDescent="0.35">
      <c r="A1" s="169"/>
      <c r="B1" s="188"/>
      <c r="C1" s="1307" t="s">
        <v>40</v>
      </c>
      <c r="D1" s="1308"/>
      <c r="E1" s="1308"/>
      <c r="F1" s="1308"/>
      <c r="G1" s="1308"/>
      <c r="H1" s="1308"/>
      <c r="I1" s="1308"/>
      <c r="J1" s="1308"/>
      <c r="K1" s="1308"/>
      <c r="L1" s="1052"/>
      <c r="M1" s="1052"/>
      <c r="N1" s="1052"/>
      <c r="O1" s="1328" t="s">
        <v>1400</v>
      </c>
      <c r="P1" s="1303"/>
      <c r="Q1" s="1304"/>
    </row>
    <row r="2" spans="1:17" ht="13.5" customHeight="1" thickBot="1" x14ac:dyDescent="0.35">
      <c r="A2" s="170"/>
      <c r="B2" s="190"/>
      <c r="C2" s="1310"/>
      <c r="D2" s="1311"/>
      <c r="E2" s="1311"/>
      <c r="F2" s="1311"/>
      <c r="G2" s="1311"/>
      <c r="H2" s="1311"/>
      <c r="I2" s="1311"/>
      <c r="J2" s="1311"/>
      <c r="K2" s="1311"/>
      <c r="L2" s="1053"/>
      <c r="M2" s="1053"/>
      <c r="N2" s="1053"/>
      <c r="O2" s="1329" t="s">
        <v>41</v>
      </c>
      <c r="P2" s="1305"/>
      <c r="Q2" s="1306"/>
    </row>
    <row r="3" spans="1:17" ht="13.5" customHeight="1" x14ac:dyDescent="0.3">
      <c r="A3" s="1292" t="s">
        <v>42</v>
      </c>
      <c r="B3" s="1292"/>
      <c r="C3" s="1292"/>
      <c r="D3" s="1292"/>
      <c r="E3" s="1292"/>
      <c r="F3" s="1292"/>
      <c r="G3" s="1292"/>
      <c r="H3" s="1292"/>
      <c r="I3" s="1292"/>
      <c r="J3" s="1292"/>
      <c r="K3" s="1292"/>
      <c r="L3" s="1292"/>
      <c r="M3" s="1292"/>
      <c r="N3" s="1292"/>
      <c r="O3" s="1292"/>
      <c r="P3" s="1292"/>
      <c r="Q3" s="1292"/>
    </row>
    <row r="4" spans="1:17" ht="13.5" customHeight="1" x14ac:dyDescent="0.3">
      <c r="A4" s="1292" t="s">
        <v>43</v>
      </c>
      <c r="B4" s="1292"/>
      <c r="C4" s="1292"/>
      <c r="D4" s="1292"/>
      <c r="E4" s="1292"/>
      <c r="F4" s="1292"/>
      <c r="G4" s="1292"/>
      <c r="H4" s="1292"/>
      <c r="I4" s="1292"/>
      <c r="J4" s="1292"/>
      <c r="K4" s="1292"/>
      <c r="L4" s="1292"/>
      <c r="M4" s="1292"/>
      <c r="N4" s="1292"/>
      <c r="O4" s="1292"/>
      <c r="P4" s="1292"/>
      <c r="Q4" s="1292"/>
    </row>
    <row r="5" spans="1:17" ht="13.5" customHeight="1" x14ac:dyDescent="0.3">
      <c r="A5" s="1292" t="s">
        <v>44</v>
      </c>
      <c r="B5" s="1292"/>
      <c r="C5" s="1292"/>
      <c r="D5" s="1292"/>
      <c r="E5" s="1292"/>
      <c r="F5" s="1292"/>
      <c r="G5" s="1292"/>
      <c r="H5" s="1292"/>
      <c r="I5" s="1292"/>
      <c r="J5" s="1292"/>
      <c r="K5" s="1292"/>
      <c r="L5" s="1292"/>
      <c r="M5" s="1292"/>
      <c r="N5" s="1292"/>
      <c r="O5" s="1292"/>
      <c r="P5" s="1292"/>
      <c r="Q5" s="1292"/>
    </row>
    <row r="6" spans="1:17" ht="13.5" customHeight="1" x14ac:dyDescent="0.3">
      <c r="A6" s="1292" t="s">
        <v>45</v>
      </c>
      <c r="B6" s="1292"/>
      <c r="C6" s="1292"/>
      <c r="D6" s="1292"/>
      <c r="E6" s="1292"/>
      <c r="F6" s="1292"/>
      <c r="G6" s="1292"/>
      <c r="H6" s="1292"/>
      <c r="I6" s="1292"/>
      <c r="J6" s="1292"/>
      <c r="K6" s="1292"/>
      <c r="L6" s="1292"/>
      <c r="M6" s="1292"/>
      <c r="N6" s="1292"/>
      <c r="O6" s="1292"/>
      <c r="P6" s="1292"/>
      <c r="Q6" s="1292"/>
    </row>
    <row r="7" spans="1:17" x14ac:dyDescent="0.3">
      <c r="A7" s="1291" t="s">
        <v>312</v>
      </c>
      <c r="B7" s="1292"/>
      <c r="C7" s="1292"/>
      <c r="D7" s="1292"/>
      <c r="E7" s="1292"/>
      <c r="F7" s="1292"/>
      <c r="G7" s="1292"/>
      <c r="H7" s="1292"/>
      <c r="I7" s="1292"/>
      <c r="J7" s="1292"/>
      <c r="K7" s="1292"/>
      <c r="L7" s="1292"/>
      <c r="M7" s="1292"/>
      <c r="N7" s="1292"/>
      <c r="O7" s="1292"/>
      <c r="P7" s="1292"/>
      <c r="Q7" s="1292"/>
    </row>
    <row r="8" spans="1:17" ht="13.5" customHeight="1" x14ac:dyDescent="0.3">
      <c r="A8" s="1292" t="s">
        <v>2323</v>
      </c>
      <c r="B8" s="1292"/>
      <c r="C8" s="1292"/>
      <c r="D8" s="1292"/>
      <c r="E8" s="1292"/>
      <c r="F8" s="1292"/>
      <c r="G8" s="1292"/>
      <c r="H8" s="1292"/>
      <c r="I8" s="1292"/>
      <c r="J8" s="1292"/>
      <c r="K8" s="1292"/>
      <c r="L8" s="1292"/>
      <c r="M8" s="1292"/>
      <c r="N8" s="1292"/>
      <c r="O8" s="1292"/>
      <c r="P8" s="1292"/>
      <c r="Q8" s="1292"/>
    </row>
    <row r="9" spans="1:17" ht="13.5" customHeight="1" x14ac:dyDescent="0.3">
      <c r="A9" s="1292" t="s">
        <v>2305</v>
      </c>
      <c r="B9" s="1292"/>
      <c r="C9" s="1292"/>
      <c r="D9" s="1292"/>
      <c r="E9" s="1292"/>
      <c r="F9" s="1292"/>
      <c r="G9" s="1292"/>
      <c r="H9" s="1292"/>
      <c r="I9" s="1292"/>
      <c r="J9" s="1292"/>
      <c r="K9" s="1292"/>
      <c r="L9" s="1292"/>
      <c r="M9" s="1292"/>
      <c r="N9" s="1292"/>
      <c r="O9" s="1292"/>
      <c r="P9" s="1292"/>
      <c r="Q9" s="1292"/>
    </row>
    <row r="10" spans="1:17" ht="13.5" customHeight="1" x14ac:dyDescent="0.3">
      <c r="A10" s="1292" t="s">
        <v>1399</v>
      </c>
      <c r="B10" s="1292"/>
      <c r="C10" s="1292"/>
      <c r="D10" s="1292"/>
      <c r="E10" s="1292"/>
      <c r="F10" s="1292"/>
      <c r="G10" s="1292"/>
      <c r="H10" s="1292"/>
      <c r="I10" s="1292"/>
      <c r="J10" s="1292"/>
      <c r="K10" s="1292"/>
      <c r="L10" s="1292"/>
      <c r="M10" s="1292"/>
      <c r="N10" s="1292"/>
      <c r="O10" s="1292"/>
      <c r="P10" s="1292"/>
      <c r="Q10" s="1292"/>
    </row>
    <row r="11" spans="1:17" ht="13.5" customHeight="1" x14ac:dyDescent="0.3">
      <c r="A11" s="436"/>
      <c r="B11" s="1301"/>
      <c r="C11" s="1313"/>
      <c r="D11" s="1313"/>
      <c r="E11" s="1313"/>
      <c r="F11" s="1313"/>
      <c r="G11" s="1313"/>
      <c r="H11" s="1313"/>
      <c r="I11" s="1293" t="s">
        <v>1980</v>
      </c>
      <c r="J11" s="1294"/>
      <c r="K11" s="1295"/>
      <c r="L11" s="1293" t="s">
        <v>2324</v>
      </c>
      <c r="M11" s="1294"/>
      <c r="N11" s="1295"/>
      <c r="O11" s="1299" t="s">
        <v>49</v>
      </c>
      <c r="P11" s="1299"/>
      <c r="Q11" s="1299"/>
    </row>
    <row r="12" spans="1:17" ht="13.5" customHeight="1" x14ac:dyDescent="0.3">
      <c r="A12" s="171"/>
      <c r="B12" s="1301"/>
      <c r="C12" s="1302"/>
      <c r="D12" s="1302"/>
      <c r="E12" s="1302"/>
      <c r="F12" s="1302"/>
      <c r="G12" s="1302"/>
      <c r="H12" s="1302"/>
      <c r="I12" s="1325"/>
      <c r="J12" s="1326"/>
      <c r="K12" s="1327"/>
      <c r="L12" s="1325"/>
      <c r="M12" s="1326"/>
      <c r="N12" s="1327"/>
      <c r="O12" s="1300"/>
      <c r="P12" s="1300"/>
      <c r="Q12" s="1300"/>
    </row>
    <row r="13" spans="1:17" ht="28.8" x14ac:dyDescent="0.3">
      <c r="A13" s="461" t="s">
        <v>50</v>
      </c>
      <c r="B13" s="461" t="s">
        <v>51</v>
      </c>
      <c r="C13" s="461" t="s">
        <v>52</v>
      </c>
      <c r="D13" s="461" t="s">
        <v>164</v>
      </c>
      <c r="E13" s="461" t="s">
        <v>54</v>
      </c>
      <c r="F13" s="462" t="s">
        <v>55</v>
      </c>
      <c r="G13" s="461" t="s">
        <v>56</v>
      </c>
      <c r="H13" s="461" t="s">
        <v>57</v>
      </c>
      <c r="I13" s="471" t="s">
        <v>54</v>
      </c>
      <c r="J13" s="471" t="s">
        <v>56</v>
      </c>
      <c r="K13" s="471" t="s">
        <v>58</v>
      </c>
      <c r="L13" s="471" t="s">
        <v>54</v>
      </c>
      <c r="M13" s="471" t="s">
        <v>56</v>
      </c>
      <c r="N13" s="471" t="s">
        <v>58</v>
      </c>
      <c r="O13" s="174" t="s">
        <v>54</v>
      </c>
      <c r="P13" s="172" t="s">
        <v>56</v>
      </c>
      <c r="Q13" s="471" t="s">
        <v>58</v>
      </c>
    </row>
    <row r="14" spans="1:17" ht="28.8" x14ac:dyDescent="0.3">
      <c r="A14" s="1441" t="s">
        <v>201</v>
      </c>
      <c r="B14" s="1441" t="s">
        <v>1398</v>
      </c>
      <c r="C14" s="454" t="s">
        <v>81</v>
      </c>
      <c r="D14" s="454" t="s">
        <v>166</v>
      </c>
      <c r="E14" s="454">
        <v>0</v>
      </c>
      <c r="F14" s="453">
        <v>1149124</v>
      </c>
      <c r="G14" s="453">
        <f>ROUND((E14*F14),0)</f>
        <v>0</v>
      </c>
      <c r="H14" s="1441" t="s">
        <v>1397</v>
      </c>
      <c r="I14" s="452">
        <v>0</v>
      </c>
      <c r="J14" s="425">
        <f>ROUND(I14*$F$14,0)</f>
        <v>0</v>
      </c>
      <c r="K14" s="426">
        <v>0</v>
      </c>
      <c r="L14" s="452">
        <v>0</v>
      </c>
      <c r="M14" s="425">
        <f>ROUND(L14*$F$14,0)</f>
        <v>0</v>
      </c>
      <c r="N14" s="426">
        <v>0</v>
      </c>
      <c r="O14" s="450">
        <f>+L14+I14</f>
        <v>0</v>
      </c>
      <c r="P14" s="175">
        <f>J14+M14</f>
        <v>0</v>
      </c>
      <c r="Q14" s="176">
        <v>0</v>
      </c>
    </row>
    <row r="15" spans="1:17" ht="28.8" x14ac:dyDescent="0.3">
      <c r="A15" s="1441"/>
      <c r="B15" s="1441"/>
      <c r="C15" s="454" t="s">
        <v>83</v>
      </c>
      <c r="D15" s="454" t="s">
        <v>167</v>
      </c>
      <c r="E15" s="454">
        <v>0.05</v>
      </c>
      <c r="F15" s="453">
        <v>2646468</v>
      </c>
      <c r="G15" s="453">
        <f>ROUND((E15*F15),0)</f>
        <v>132323</v>
      </c>
      <c r="H15" s="1441"/>
      <c r="I15" s="452">
        <v>0</v>
      </c>
      <c r="J15" s="425">
        <f>ROUND(I15*$F$15,0)</f>
        <v>0</v>
      </c>
      <c r="K15" s="426">
        <f>J15/$G$15</f>
        <v>0</v>
      </c>
      <c r="L15" s="452">
        <v>0</v>
      </c>
      <c r="M15" s="425">
        <f>ROUND(L15*$F$15,0)</f>
        <v>0</v>
      </c>
      <c r="N15" s="426">
        <f>M15/$G$15</f>
        <v>0</v>
      </c>
      <c r="O15" s="450">
        <f t="shared" ref="O15:O37" si="0">+L15+I15</f>
        <v>0</v>
      </c>
      <c r="P15" s="175">
        <f t="shared" ref="P15:P38" si="1">J15+M15</f>
        <v>0</v>
      </c>
      <c r="Q15" s="176">
        <f>P15/G15</f>
        <v>0</v>
      </c>
    </row>
    <row r="16" spans="1:17" ht="28.8" x14ac:dyDescent="0.3">
      <c r="A16" s="1441"/>
      <c r="B16" s="1441"/>
      <c r="C16" s="454" t="s">
        <v>61</v>
      </c>
      <c r="D16" s="454" t="s">
        <v>168</v>
      </c>
      <c r="E16" s="454">
        <v>0.05</v>
      </c>
      <c r="F16" s="453">
        <v>2542001</v>
      </c>
      <c r="G16" s="453">
        <f>ROUND((E16*F16),0)</f>
        <v>127100</v>
      </c>
      <c r="H16" s="1441"/>
      <c r="I16" s="474">
        <v>0.05</v>
      </c>
      <c r="J16" s="429">
        <f>ROUND(I16*$F$16,0)</f>
        <v>127100</v>
      </c>
      <c r="K16" s="430">
        <f>J16/$G$16</f>
        <v>1</v>
      </c>
      <c r="L16" s="452">
        <v>0</v>
      </c>
      <c r="M16" s="425">
        <f>ROUND(L16*$F$16,0)</f>
        <v>0</v>
      </c>
      <c r="N16" s="426">
        <f>M16/$G$16</f>
        <v>0</v>
      </c>
      <c r="O16" s="450">
        <f t="shared" si="0"/>
        <v>0.05</v>
      </c>
      <c r="P16" s="175">
        <f t="shared" si="1"/>
        <v>127100</v>
      </c>
      <c r="Q16" s="176">
        <f>P16/G16</f>
        <v>1</v>
      </c>
    </row>
    <row r="17" spans="1:17" x14ac:dyDescent="0.3">
      <c r="A17" s="1441"/>
      <c r="B17" s="1441"/>
      <c r="C17" s="459"/>
      <c r="D17" s="459" t="s">
        <v>169</v>
      </c>
      <c r="E17" s="458"/>
      <c r="F17" s="458"/>
      <c r="G17" s="457">
        <f>SUM(G14:G16)</f>
        <v>259423</v>
      </c>
      <c r="H17" s="1441"/>
      <c r="I17" s="431"/>
      <c r="J17" s="179">
        <f>SUM(J14:J16)</f>
        <v>127100</v>
      </c>
      <c r="K17" s="431">
        <f>J17/$G$17</f>
        <v>0.48993342918708055</v>
      </c>
      <c r="L17" s="431"/>
      <c r="M17" s="179">
        <f>SUM(M14:M16)</f>
        <v>0</v>
      </c>
      <c r="N17" s="431">
        <f>M17/$G$17</f>
        <v>0</v>
      </c>
      <c r="O17" s="1089">
        <f t="shared" si="0"/>
        <v>0</v>
      </c>
      <c r="P17" s="1078">
        <f t="shared" si="1"/>
        <v>127100</v>
      </c>
      <c r="Q17" s="431">
        <f>P17/G17</f>
        <v>0.48993342918708055</v>
      </c>
    </row>
    <row r="18" spans="1:17" ht="28.8" x14ac:dyDescent="0.3">
      <c r="A18" s="1441" t="s">
        <v>151</v>
      </c>
      <c r="B18" s="1441" t="s">
        <v>1395</v>
      </c>
      <c r="C18" s="454" t="s">
        <v>81</v>
      </c>
      <c r="D18" s="454" t="s">
        <v>218</v>
      </c>
      <c r="E18" s="454">
        <v>0</v>
      </c>
      <c r="F18" s="453">
        <v>1149124</v>
      </c>
      <c r="G18" s="453">
        <f>ROUND((E18*F18),0)</f>
        <v>0</v>
      </c>
      <c r="H18" s="1441" t="s">
        <v>1396</v>
      </c>
      <c r="I18" s="452">
        <v>0</v>
      </c>
      <c r="J18" s="425">
        <f>ROUND(I18*$F$18,0)</f>
        <v>0</v>
      </c>
      <c r="K18" s="426">
        <v>0</v>
      </c>
      <c r="L18" s="452">
        <v>0</v>
      </c>
      <c r="M18" s="425">
        <f>ROUND(L18*$F$18,0)</f>
        <v>0</v>
      </c>
      <c r="N18" s="426">
        <v>0</v>
      </c>
      <c r="O18" s="450">
        <f t="shared" si="0"/>
        <v>0</v>
      </c>
      <c r="P18" s="175">
        <f t="shared" si="1"/>
        <v>0</v>
      </c>
      <c r="Q18" s="176">
        <v>0</v>
      </c>
    </row>
    <row r="19" spans="1:17" ht="28.8" x14ac:dyDescent="0.3">
      <c r="A19" s="1441"/>
      <c r="B19" s="1441"/>
      <c r="C19" s="454" t="s">
        <v>83</v>
      </c>
      <c r="D19" s="454" t="s">
        <v>219</v>
      </c>
      <c r="E19" s="454">
        <v>0</v>
      </c>
      <c r="F19" s="453">
        <v>2646468</v>
      </c>
      <c r="G19" s="453">
        <f>ROUND((E19*F19),0)</f>
        <v>0</v>
      </c>
      <c r="H19" s="1441"/>
      <c r="I19" s="452">
        <v>0</v>
      </c>
      <c r="J19" s="425">
        <f>ROUND(I19*$F$19,0)</f>
        <v>0</v>
      </c>
      <c r="K19" s="426">
        <v>0</v>
      </c>
      <c r="L19" s="452">
        <v>0</v>
      </c>
      <c r="M19" s="425">
        <f>ROUND(L19*$F$19,0)</f>
        <v>0</v>
      </c>
      <c r="N19" s="426">
        <v>0</v>
      </c>
      <c r="O19" s="450">
        <f t="shared" si="0"/>
        <v>0</v>
      </c>
      <c r="P19" s="175">
        <f t="shared" si="1"/>
        <v>0</v>
      </c>
      <c r="Q19" s="176">
        <v>0</v>
      </c>
    </row>
    <row r="20" spans="1:17" ht="28.8" x14ac:dyDescent="0.3">
      <c r="A20" s="1441"/>
      <c r="B20" s="1441"/>
      <c r="C20" s="454" t="s">
        <v>61</v>
      </c>
      <c r="D20" s="454" t="s">
        <v>220</v>
      </c>
      <c r="E20" s="454">
        <v>0.05</v>
      </c>
      <c r="F20" s="453">
        <v>3203618</v>
      </c>
      <c r="G20" s="453">
        <f>ROUND((E20*F20),0)</f>
        <v>160181</v>
      </c>
      <c r="H20" s="1441"/>
      <c r="I20" s="474">
        <v>0.05</v>
      </c>
      <c r="J20" s="429">
        <f>ROUND(I20*$F$20,0)</f>
        <v>160181</v>
      </c>
      <c r="K20" s="430">
        <f>J20/$G$20</f>
        <v>1</v>
      </c>
      <c r="L20" s="452">
        <v>0</v>
      </c>
      <c r="M20" s="425">
        <f>ROUND(L20*$F$20,0)</f>
        <v>0</v>
      </c>
      <c r="N20" s="426">
        <f>M20/$G$20</f>
        <v>0</v>
      </c>
      <c r="O20" s="450">
        <f t="shared" si="0"/>
        <v>0.05</v>
      </c>
      <c r="P20" s="175">
        <f t="shared" si="1"/>
        <v>160181</v>
      </c>
      <c r="Q20" s="176">
        <f>P20/G20</f>
        <v>1</v>
      </c>
    </row>
    <row r="21" spans="1:17" x14ac:dyDescent="0.3">
      <c r="A21" s="1441"/>
      <c r="B21" s="1441"/>
      <c r="C21" s="459"/>
      <c r="D21" s="459" t="s">
        <v>221</v>
      </c>
      <c r="E21" s="458"/>
      <c r="F21" s="458"/>
      <c r="G21" s="457">
        <f>SUM(G18:G20)</f>
        <v>160181</v>
      </c>
      <c r="H21" s="1441"/>
      <c r="I21" s="431"/>
      <c r="J21" s="179">
        <f>SUM(J18:J20)</f>
        <v>160181</v>
      </c>
      <c r="K21" s="431">
        <f>J21/$G$21</f>
        <v>1</v>
      </c>
      <c r="L21" s="431"/>
      <c r="M21" s="179">
        <f>SUM(M18:M20)</f>
        <v>0</v>
      </c>
      <c r="N21" s="431">
        <f>M21/$G$21</f>
        <v>0</v>
      </c>
      <c r="O21" s="1089">
        <f t="shared" si="0"/>
        <v>0</v>
      </c>
      <c r="P21" s="1078">
        <f t="shared" si="1"/>
        <v>160181</v>
      </c>
      <c r="Q21" s="431">
        <f>P21/G21</f>
        <v>1</v>
      </c>
    </row>
    <row r="22" spans="1:17" ht="28.8" x14ac:dyDescent="0.3">
      <c r="A22" s="1441" t="s">
        <v>151</v>
      </c>
      <c r="B22" s="1441" t="s">
        <v>1393</v>
      </c>
      <c r="C22" s="454" t="s">
        <v>83</v>
      </c>
      <c r="D22" s="454" t="s">
        <v>123</v>
      </c>
      <c r="E22" s="454">
        <v>0</v>
      </c>
      <c r="F22" s="453">
        <v>1044658</v>
      </c>
      <c r="G22" s="453">
        <f>ROUND((E22*F22),0)</f>
        <v>0</v>
      </c>
      <c r="H22" s="1441" t="s">
        <v>1392</v>
      </c>
      <c r="I22" s="452">
        <v>0</v>
      </c>
      <c r="J22" s="425">
        <f>ROUND(I22*$F$22,0)</f>
        <v>0</v>
      </c>
      <c r="K22" s="426">
        <v>0</v>
      </c>
      <c r="L22" s="452">
        <v>0</v>
      </c>
      <c r="M22" s="425">
        <f>ROUND(L22*$F$22,0)</f>
        <v>0</v>
      </c>
      <c r="N22" s="426">
        <v>0</v>
      </c>
      <c r="O22" s="450">
        <f t="shared" si="0"/>
        <v>0</v>
      </c>
      <c r="P22" s="175">
        <f t="shared" si="1"/>
        <v>0</v>
      </c>
      <c r="Q22" s="176">
        <v>0</v>
      </c>
    </row>
    <row r="23" spans="1:17" ht="28.8" x14ac:dyDescent="0.3">
      <c r="A23" s="1441"/>
      <c r="B23" s="1441"/>
      <c r="C23" s="454" t="s">
        <v>61</v>
      </c>
      <c r="D23" s="454" t="s">
        <v>125</v>
      </c>
      <c r="E23" s="454">
        <v>0.05</v>
      </c>
      <c r="F23" s="453">
        <v>1009836</v>
      </c>
      <c r="G23" s="453">
        <f>ROUND((E23*F23),0)</f>
        <v>50492</v>
      </c>
      <c r="H23" s="1441"/>
      <c r="I23" s="474">
        <v>0.05</v>
      </c>
      <c r="J23" s="429">
        <f>ROUND(I23*$F$23,0)</f>
        <v>50492</v>
      </c>
      <c r="K23" s="430">
        <f>J23/$G$23</f>
        <v>1</v>
      </c>
      <c r="L23" s="452">
        <v>0</v>
      </c>
      <c r="M23" s="425">
        <f>ROUND(L23*$F$23,0)</f>
        <v>0</v>
      </c>
      <c r="N23" s="426">
        <f>M23/$G$23</f>
        <v>0</v>
      </c>
      <c r="O23" s="450">
        <f t="shared" si="0"/>
        <v>0.05</v>
      </c>
      <c r="P23" s="175">
        <f t="shared" si="1"/>
        <v>50492</v>
      </c>
      <c r="Q23" s="176">
        <f>P23/G23</f>
        <v>1</v>
      </c>
    </row>
    <row r="24" spans="1:17" x14ac:dyDescent="0.3">
      <c r="A24" s="1441"/>
      <c r="B24" s="1441"/>
      <c r="C24" s="459"/>
      <c r="D24" s="459" t="s">
        <v>126</v>
      </c>
      <c r="E24" s="458"/>
      <c r="F24" s="458"/>
      <c r="G24" s="457">
        <f>SUM(G22:G23)</f>
        <v>50492</v>
      </c>
      <c r="H24" s="1441"/>
      <c r="I24" s="431"/>
      <c r="J24" s="179">
        <f>SUM(J22:J23)</f>
        <v>50492</v>
      </c>
      <c r="K24" s="431">
        <f>J24/$G$24</f>
        <v>1</v>
      </c>
      <c r="L24" s="431"/>
      <c r="M24" s="179">
        <f>SUM(M22:M23)</f>
        <v>0</v>
      </c>
      <c r="N24" s="431">
        <f>M24/$G$24</f>
        <v>0</v>
      </c>
      <c r="O24" s="1089">
        <f t="shared" si="0"/>
        <v>0</v>
      </c>
      <c r="P24" s="1078">
        <f t="shared" si="1"/>
        <v>50492</v>
      </c>
      <c r="Q24" s="431">
        <f>P24/G24</f>
        <v>1</v>
      </c>
    </row>
    <row r="25" spans="1:17" ht="28.8" x14ac:dyDescent="0.3">
      <c r="A25" s="1441" t="s">
        <v>109</v>
      </c>
      <c r="B25" s="1441" t="s">
        <v>1395</v>
      </c>
      <c r="C25" s="454" t="s">
        <v>81</v>
      </c>
      <c r="D25" s="454" t="s">
        <v>218</v>
      </c>
      <c r="E25" s="454">
        <v>0</v>
      </c>
      <c r="F25" s="453">
        <v>1149124</v>
      </c>
      <c r="G25" s="453">
        <f>ROUND((E25*F25),0)</f>
        <v>0</v>
      </c>
      <c r="H25" s="1441" t="s">
        <v>1396</v>
      </c>
      <c r="I25" s="452">
        <v>0</v>
      </c>
      <c r="J25" s="425">
        <f>ROUND(I25*$F$25,0)</f>
        <v>0</v>
      </c>
      <c r="K25" s="426">
        <v>0</v>
      </c>
      <c r="L25" s="452">
        <v>0</v>
      </c>
      <c r="M25" s="425">
        <f>ROUND(L25*$F$25,0)</f>
        <v>0</v>
      </c>
      <c r="N25" s="426">
        <v>0</v>
      </c>
      <c r="O25" s="450">
        <f t="shared" si="0"/>
        <v>0</v>
      </c>
      <c r="P25" s="175">
        <f t="shared" si="1"/>
        <v>0</v>
      </c>
      <c r="Q25" s="176">
        <v>0</v>
      </c>
    </row>
    <row r="26" spans="1:17" ht="28.8" x14ac:dyDescent="0.3">
      <c r="A26" s="1441"/>
      <c r="B26" s="1441"/>
      <c r="C26" s="454" t="s">
        <v>83</v>
      </c>
      <c r="D26" s="454" t="s">
        <v>219</v>
      </c>
      <c r="E26" s="454">
        <v>0</v>
      </c>
      <c r="F26" s="453">
        <v>2646468</v>
      </c>
      <c r="G26" s="453">
        <f>ROUND((E26*F26),0)</f>
        <v>0</v>
      </c>
      <c r="H26" s="1441"/>
      <c r="I26" s="452">
        <v>0</v>
      </c>
      <c r="J26" s="425">
        <f>ROUND(I26*$F$26,0)</f>
        <v>0</v>
      </c>
      <c r="K26" s="426">
        <v>0</v>
      </c>
      <c r="L26" s="452">
        <v>0</v>
      </c>
      <c r="M26" s="425">
        <f>ROUND(L26*$F$26,0)</f>
        <v>0</v>
      </c>
      <c r="N26" s="426">
        <v>0</v>
      </c>
      <c r="O26" s="450">
        <f t="shared" si="0"/>
        <v>0</v>
      </c>
      <c r="P26" s="175">
        <f t="shared" si="1"/>
        <v>0</v>
      </c>
      <c r="Q26" s="176">
        <v>0</v>
      </c>
    </row>
    <row r="27" spans="1:17" ht="28.8" x14ac:dyDescent="0.3">
      <c r="A27" s="1441"/>
      <c r="B27" s="1441"/>
      <c r="C27" s="454" t="s">
        <v>61</v>
      </c>
      <c r="D27" s="454" t="s">
        <v>220</v>
      </c>
      <c r="E27" s="454">
        <v>0.05</v>
      </c>
      <c r="F27" s="453">
        <v>3203618</v>
      </c>
      <c r="G27" s="453">
        <f>ROUND((E27*F27),0)</f>
        <v>160181</v>
      </c>
      <c r="H27" s="1441"/>
      <c r="I27" s="474">
        <v>0.05</v>
      </c>
      <c r="J27" s="429">
        <f>ROUND(I27*$F$27,0)</f>
        <v>160181</v>
      </c>
      <c r="K27" s="430">
        <f>J27/$G$27</f>
        <v>1</v>
      </c>
      <c r="L27" s="452">
        <v>0</v>
      </c>
      <c r="M27" s="425">
        <f>ROUND(L27*$F$27,0)</f>
        <v>0</v>
      </c>
      <c r="N27" s="426">
        <f>M27/$G$27</f>
        <v>0</v>
      </c>
      <c r="O27" s="450">
        <f t="shared" si="0"/>
        <v>0.05</v>
      </c>
      <c r="P27" s="175">
        <f t="shared" si="1"/>
        <v>160181</v>
      </c>
      <c r="Q27" s="176">
        <f>P27/G27</f>
        <v>1</v>
      </c>
    </row>
    <row r="28" spans="1:17" x14ac:dyDescent="0.3">
      <c r="A28" s="1441"/>
      <c r="B28" s="1441"/>
      <c r="C28" s="459"/>
      <c r="D28" s="459" t="s">
        <v>221</v>
      </c>
      <c r="E28" s="458"/>
      <c r="F28" s="458"/>
      <c r="G28" s="457">
        <f>SUM(G25:G27)</f>
        <v>160181</v>
      </c>
      <c r="H28" s="1441"/>
      <c r="I28" s="431"/>
      <c r="J28" s="179">
        <f>SUM(J25:J27)</f>
        <v>160181</v>
      </c>
      <c r="K28" s="431">
        <f>J28/$G$28</f>
        <v>1</v>
      </c>
      <c r="L28" s="431"/>
      <c r="M28" s="179">
        <f>SUM(M25:M27)</f>
        <v>0</v>
      </c>
      <c r="N28" s="431">
        <f>M28/$G$28</f>
        <v>0</v>
      </c>
      <c r="O28" s="1089">
        <f t="shared" si="0"/>
        <v>0</v>
      </c>
      <c r="P28" s="1078">
        <f t="shared" si="1"/>
        <v>160181</v>
      </c>
      <c r="Q28" s="431">
        <f>P28/G28</f>
        <v>1</v>
      </c>
    </row>
    <row r="29" spans="1:17" ht="28.8" x14ac:dyDescent="0.3">
      <c r="A29" s="1441" t="s">
        <v>109</v>
      </c>
      <c r="B29" s="1441" t="s">
        <v>1393</v>
      </c>
      <c r="C29" s="454" t="s">
        <v>83</v>
      </c>
      <c r="D29" s="454" t="s">
        <v>123</v>
      </c>
      <c r="E29" s="454">
        <v>0</v>
      </c>
      <c r="F29" s="453">
        <v>1044658</v>
      </c>
      <c r="G29" s="453">
        <f>ROUND((E29*F29),0)</f>
        <v>0</v>
      </c>
      <c r="H29" s="1441" t="s">
        <v>1392</v>
      </c>
      <c r="I29" s="452">
        <v>0</v>
      </c>
      <c r="J29" s="425">
        <f>ROUND(I29*$F$29,0)</f>
        <v>0</v>
      </c>
      <c r="K29" s="426">
        <v>0</v>
      </c>
      <c r="L29" s="452">
        <v>0</v>
      </c>
      <c r="M29" s="425">
        <f>ROUND(L29*$F$29,0)</f>
        <v>0</v>
      </c>
      <c r="N29" s="426">
        <v>0</v>
      </c>
      <c r="O29" s="450">
        <f t="shared" si="0"/>
        <v>0</v>
      </c>
      <c r="P29" s="175">
        <f t="shared" si="1"/>
        <v>0</v>
      </c>
      <c r="Q29" s="176">
        <v>0</v>
      </c>
    </row>
    <row r="30" spans="1:17" ht="28.8" x14ac:dyDescent="0.3">
      <c r="A30" s="1441"/>
      <c r="B30" s="1441"/>
      <c r="C30" s="454" t="s">
        <v>61</v>
      </c>
      <c r="D30" s="454" t="s">
        <v>125</v>
      </c>
      <c r="E30" s="454">
        <v>0.05</v>
      </c>
      <c r="F30" s="453">
        <v>1009836</v>
      </c>
      <c r="G30" s="453">
        <f>ROUND((E30*F30),0)</f>
        <v>50492</v>
      </c>
      <c r="H30" s="1441"/>
      <c r="I30" s="474">
        <v>0.05</v>
      </c>
      <c r="J30" s="429">
        <f>ROUND(I30*$F$30,0)</f>
        <v>50492</v>
      </c>
      <c r="K30" s="430">
        <f>J30/$G$30</f>
        <v>1</v>
      </c>
      <c r="L30" s="452">
        <v>0</v>
      </c>
      <c r="M30" s="425">
        <f>ROUND(L30*$F$30,0)</f>
        <v>0</v>
      </c>
      <c r="N30" s="426">
        <f>M30/$G$30</f>
        <v>0</v>
      </c>
      <c r="O30" s="450">
        <f t="shared" si="0"/>
        <v>0.05</v>
      </c>
      <c r="P30" s="175">
        <f t="shared" si="1"/>
        <v>50492</v>
      </c>
      <c r="Q30" s="176">
        <f>P30/G30</f>
        <v>1</v>
      </c>
    </row>
    <row r="31" spans="1:17" x14ac:dyDescent="0.3">
      <c r="A31" s="1441"/>
      <c r="B31" s="1441"/>
      <c r="C31" s="459"/>
      <c r="D31" s="459" t="s">
        <v>126</v>
      </c>
      <c r="E31" s="458"/>
      <c r="F31" s="458"/>
      <c r="G31" s="457">
        <f>SUM(G29:G30)</f>
        <v>50492</v>
      </c>
      <c r="H31" s="1441"/>
      <c r="I31" s="431"/>
      <c r="J31" s="179">
        <f>SUM(J29:J30)</f>
        <v>50492</v>
      </c>
      <c r="K31" s="431">
        <f>J31/$G$31</f>
        <v>1</v>
      </c>
      <c r="L31" s="431"/>
      <c r="M31" s="179">
        <f>SUM(M29:M30)</f>
        <v>0</v>
      </c>
      <c r="N31" s="431">
        <f>M31/$G$31</f>
        <v>0</v>
      </c>
      <c r="O31" s="1089">
        <f t="shared" si="0"/>
        <v>0</v>
      </c>
      <c r="P31" s="1078">
        <f t="shared" si="1"/>
        <v>50492</v>
      </c>
      <c r="Q31" s="431">
        <f>P31/G31</f>
        <v>1</v>
      </c>
    </row>
    <row r="32" spans="1:17" ht="28.8" x14ac:dyDescent="0.3">
      <c r="A32" s="1441" t="s">
        <v>922</v>
      </c>
      <c r="B32" s="1441" t="s">
        <v>1395</v>
      </c>
      <c r="C32" s="454" t="s">
        <v>81</v>
      </c>
      <c r="D32" s="454" t="s">
        <v>218</v>
      </c>
      <c r="E32" s="454">
        <v>0</v>
      </c>
      <c r="F32" s="453">
        <v>1149124</v>
      </c>
      <c r="G32" s="453">
        <f>ROUND((E32*F32),0)</f>
        <v>0</v>
      </c>
      <c r="H32" s="1441" t="s">
        <v>1394</v>
      </c>
      <c r="I32" s="452">
        <v>0</v>
      </c>
      <c r="J32" s="425">
        <f>ROUND(I32*$F$32,0)</f>
        <v>0</v>
      </c>
      <c r="K32" s="426">
        <v>0</v>
      </c>
      <c r="L32" s="452">
        <v>0</v>
      </c>
      <c r="M32" s="425">
        <f>ROUND(L32*$F$32,0)</f>
        <v>0</v>
      </c>
      <c r="N32" s="426">
        <v>0</v>
      </c>
      <c r="O32" s="450">
        <f t="shared" si="0"/>
        <v>0</v>
      </c>
      <c r="P32" s="175">
        <f t="shared" si="1"/>
        <v>0</v>
      </c>
      <c r="Q32" s="176">
        <v>0</v>
      </c>
    </row>
    <row r="33" spans="1:17" ht="28.8" x14ac:dyDescent="0.3">
      <c r="A33" s="1441"/>
      <c r="B33" s="1441"/>
      <c r="C33" s="454" t="s">
        <v>83</v>
      </c>
      <c r="D33" s="454" t="s">
        <v>219</v>
      </c>
      <c r="E33" s="454">
        <v>0.05</v>
      </c>
      <c r="F33" s="453">
        <v>2646468</v>
      </c>
      <c r="G33" s="453">
        <f>ROUND((E33*F33),0)</f>
        <v>132323</v>
      </c>
      <c r="H33" s="1441"/>
      <c r="I33" s="452">
        <v>0</v>
      </c>
      <c r="J33" s="425">
        <f>ROUND(I33*$F$33,0)</f>
        <v>0</v>
      </c>
      <c r="K33" s="426">
        <f>J33/$G$33</f>
        <v>0</v>
      </c>
      <c r="L33" s="452">
        <v>0</v>
      </c>
      <c r="M33" s="425">
        <f>ROUND(L33*$F$33,0)</f>
        <v>0</v>
      </c>
      <c r="N33" s="426">
        <f>M33/$G$33</f>
        <v>0</v>
      </c>
      <c r="O33" s="450">
        <f t="shared" si="0"/>
        <v>0</v>
      </c>
      <c r="P33" s="175">
        <f t="shared" si="1"/>
        <v>0</v>
      </c>
      <c r="Q33" s="176">
        <f>P33/G33</f>
        <v>0</v>
      </c>
    </row>
    <row r="34" spans="1:17" ht="28.8" x14ac:dyDescent="0.3">
      <c r="A34" s="1441"/>
      <c r="B34" s="1441"/>
      <c r="C34" s="454" t="s">
        <v>61</v>
      </c>
      <c r="D34" s="454" t="s">
        <v>220</v>
      </c>
      <c r="E34" s="454">
        <v>0.05</v>
      </c>
      <c r="F34" s="453">
        <v>3203618</v>
      </c>
      <c r="G34" s="453">
        <f>ROUND((E34*F34),0)</f>
        <v>160181</v>
      </c>
      <c r="H34" s="1441"/>
      <c r="I34" s="474">
        <v>0.05</v>
      </c>
      <c r="J34" s="429">
        <f>ROUND(I34*$F$34,0)</f>
        <v>160181</v>
      </c>
      <c r="K34" s="430">
        <f>J34/$G$34</f>
        <v>1</v>
      </c>
      <c r="L34" s="452">
        <v>0</v>
      </c>
      <c r="M34" s="425">
        <f>ROUND(L34*$F$34,0)</f>
        <v>0</v>
      </c>
      <c r="N34" s="426">
        <f>M34/$G$34</f>
        <v>0</v>
      </c>
      <c r="O34" s="450">
        <f t="shared" si="0"/>
        <v>0.05</v>
      </c>
      <c r="P34" s="175">
        <f t="shared" si="1"/>
        <v>160181</v>
      </c>
      <c r="Q34" s="176">
        <f>P34/G34</f>
        <v>1</v>
      </c>
    </row>
    <row r="35" spans="1:17" x14ac:dyDescent="0.3">
      <c r="A35" s="1441"/>
      <c r="B35" s="1441"/>
      <c r="C35" s="459"/>
      <c r="D35" s="459" t="s">
        <v>221</v>
      </c>
      <c r="E35" s="458"/>
      <c r="F35" s="458"/>
      <c r="G35" s="457">
        <f>SUM(G32:G34)</f>
        <v>292504</v>
      </c>
      <c r="H35" s="1441"/>
      <c r="I35" s="431"/>
      <c r="J35" s="179">
        <f>SUM(J32:J34)</f>
        <v>160181</v>
      </c>
      <c r="K35" s="431">
        <f>J35/$G$35</f>
        <v>0.54761986160873011</v>
      </c>
      <c r="L35" s="431"/>
      <c r="M35" s="179">
        <f>SUM(M32:M34)</f>
        <v>0</v>
      </c>
      <c r="N35" s="431">
        <f>M35/$G$35</f>
        <v>0</v>
      </c>
      <c r="O35" s="1089">
        <f t="shared" si="0"/>
        <v>0</v>
      </c>
      <c r="P35" s="1078">
        <f t="shared" si="1"/>
        <v>160181</v>
      </c>
      <c r="Q35" s="431">
        <f>P35/G35</f>
        <v>0.54761986160873011</v>
      </c>
    </row>
    <row r="36" spans="1:17" ht="28.8" x14ac:dyDescent="0.3">
      <c r="A36" s="1441" t="s">
        <v>922</v>
      </c>
      <c r="B36" s="1441" t="s">
        <v>1393</v>
      </c>
      <c r="C36" s="454" t="s">
        <v>83</v>
      </c>
      <c r="D36" s="454" t="s">
        <v>123</v>
      </c>
      <c r="E36" s="454">
        <v>0</v>
      </c>
      <c r="F36" s="453">
        <v>1044658</v>
      </c>
      <c r="G36" s="453">
        <f>ROUND((E36*F36),0)</f>
        <v>0</v>
      </c>
      <c r="H36" s="1441" t="s">
        <v>1392</v>
      </c>
      <c r="I36" s="452">
        <v>0</v>
      </c>
      <c r="J36" s="425">
        <f>ROUND(I36*$F$36,0)</f>
        <v>0</v>
      </c>
      <c r="K36" s="426">
        <v>0</v>
      </c>
      <c r="L36" s="452">
        <v>0</v>
      </c>
      <c r="M36" s="425">
        <f>ROUND(L36*$F$36,0)</f>
        <v>0</v>
      </c>
      <c r="N36" s="426">
        <v>0</v>
      </c>
      <c r="O36" s="450">
        <f t="shared" si="0"/>
        <v>0</v>
      </c>
      <c r="P36" s="175">
        <f t="shared" si="1"/>
        <v>0</v>
      </c>
      <c r="Q36" s="176">
        <v>0</v>
      </c>
    </row>
    <row r="37" spans="1:17" ht="28.8" x14ac:dyDescent="0.3">
      <c r="A37" s="1441"/>
      <c r="B37" s="1441"/>
      <c r="C37" s="454" t="s">
        <v>61</v>
      </c>
      <c r="D37" s="454" t="s">
        <v>125</v>
      </c>
      <c r="E37" s="454">
        <v>0.05</v>
      </c>
      <c r="F37" s="453">
        <v>1009836</v>
      </c>
      <c r="G37" s="453">
        <f>ROUND((E37*F37),0)</f>
        <v>50492</v>
      </c>
      <c r="H37" s="1441"/>
      <c r="I37" s="474">
        <v>0.05</v>
      </c>
      <c r="J37" s="429">
        <f>ROUND(I37*$F$37,0)</f>
        <v>50492</v>
      </c>
      <c r="K37" s="430">
        <f>J37/$G$37</f>
        <v>1</v>
      </c>
      <c r="L37" s="452">
        <v>0</v>
      </c>
      <c r="M37" s="425">
        <f>ROUND(L37*$F$37,0)</f>
        <v>0</v>
      </c>
      <c r="N37" s="426">
        <f>M37/$G$37</f>
        <v>0</v>
      </c>
      <c r="O37" s="450">
        <f t="shared" si="0"/>
        <v>0.05</v>
      </c>
      <c r="P37" s="175">
        <f t="shared" si="1"/>
        <v>50492</v>
      </c>
      <c r="Q37" s="176">
        <f>P37/G37</f>
        <v>1</v>
      </c>
    </row>
    <row r="38" spans="1:17" x14ac:dyDescent="0.3">
      <c r="A38" s="1441"/>
      <c r="B38" s="1441"/>
      <c r="C38" s="459"/>
      <c r="D38" s="459" t="s">
        <v>126</v>
      </c>
      <c r="E38" s="458"/>
      <c r="F38" s="458"/>
      <c r="G38" s="457">
        <f>SUM(G36:G37)</f>
        <v>50492</v>
      </c>
      <c r="H38" s="1441"/>
      <c r="I38" s="431"/>
      <c r="J38" s="179">
        <f>SUM(J36:J37)</f>
        <v>50492</v>
      </c>
      <c r="K38" s="431">
        <f>J38/$G$38</f>
        <v>1</v>
      </c>
      <c r="L38" s="431"/>
      <c r="M38" s="179">
        <f>SUM(M36:M37)</f>
        <v>0</v>
      </c>
      <c r="N38" s="431">
        <f>M38/$G$38</f>
        <v>0</v>
      </c>
      <c r="O38" s="446"/>
      <c r="P38" s="1078">
        <f t="shared" si="1"/>
        <v>50492</v>
      </c>
      <c r="Q38" s="431">
        <f>P38/G38</f>
        <v>1</v>
      </c>
    </row>
    <row r="39" spans="1:17" x14ac:dyDescent="0.3">
      <c r="F39" s="445" t="s">
        <v>64</v>
      </c>
      <c r="G39" s="181">
        <f>SUM(G14:G38)/2</f>
        <v>1023765</v>
      </c>
      <c r="I39" s="547" t="s">
        <v>64</v>
      </c>
      <c r="J39" s="481">
        <f>SUM(J14:J38)/2</f>
        <v>759119</v>
      </c>
      <c r="L39" s="547" t="s">
        <v>64</v>
      </c>
      <c r="M39" s="481">
        <f>SUM(M14:M38)/2</f>
        <v>0</v>
      </c>
      <c r="O39" s="547" t="s">
        <v>64</v>
      </c>
      <c r="P39" s="481">
        <f>SUM(P14:P38)/2</f>
        <v>759119</v>
      </c>
    </row>
    <row r="40" spans="1:17" x14ac:dyDescent="0.3">
      <c r="F40" s="444" t="s">
        <v>65</v>
      </c>
      <c r="G40" s="181">
        <v>0</v>
      </c>
      <c r="I40" s="548" t="s">
        <v>65</v>
      </c>
      <c r="J40" s="481">
        <v>0</v>
      </c>
      <c r="L40" s="548" t="s">
        <v>65</v>
      </c>
      <c r="M40" s="481">
        <v>0</v>
      </c>
      <c r="O40" s="548" t="s">
        <v>65</v>
      </c>
      <c r="P40" s="481">
        <v>0</v>
      </c>
    </row>
    <row r="41" spans="1:17" x14ac:dyDescent="0.3">
      <c r="F41" s="443" t="s">
        <v>64</v>
      </c>
      <c r="G41" s="340">
        <f>SUM(G39:G40)</f>
        <v>1023765</v>
      </c>
      <c r="I41" s="549" t="s">
        <v>64</v>
      </c>
      <c r="J41" s="550">
        <f>SUM(J39:J40)</f>
        <v>759119</v>
      </c>
      <c r="L41" s="549" t="s">
        <v>64</v>
      </c>
      <c r="M41" s="550">
        <f>SUM(M39:M40)</f>
        <v>0</v>
      </c>
      <c r="O41" s="549" t="s">
        <v>64</v>
      </c>
      <c r="P41" s="550">
        <f>SUM(P39:P40)</f>
        <v>759119</v>
      </c>
    </row>
    <row r="42" spans="1:17" ht="26.4" x14ac:dyDescent="0.3">
      <c r="F42" s="443"/>
      <c r="G42" s="340"/>
      <c r="I42" s="484" t="s">
        <v>1439</v>
      </c>
      <c r="J42" s="483">
        <f>ROUND(J41*0.015,0)</f>
        <v>11387</v>
      </c>
      <c r="L42" s="484" t="s">
        <v>1439</v>
      </c>
      <c r="M42" s="483">
        <f>ROUND(M41*0.015,0)</f>
        <v>0</v>
      </c>
      <c r="O42" s="484" t="s">
        <v>1439</v>
      </c>
      <c r="P42" s="550">
        <f>J42+M42</f>
        <v>11387</v>
      </c>
    </row>
    <row r="43" spans="1:17" ht="39.6" x14ac:dyDescent="0.3">
      <c r="F43" s="443"/>
      <c r="G43" s="340"/>
      <c r="I43" s="152" t="s">
        <v>1440</v>
      </c>
      <c r="J43" s="182">
        <f>J41+J42</f>
        <v>770506</v>
      </c>
      <c r="K43" s="463">
        <f>J43/$G$41</f>
        <v>0.75261998603195068</v>
      </c>
      <c r="L43" s="152" t="s">
        <v>1440</v>
      </c>
      <c r="M43" s="182">
        <f>M41+M42</f>
        <v>0</v>
      </c>
      <c r="N43" s="463">
        <f>M43/$G$41</f>
        <v>0</v>
      </c>
      <c r="O43" s="152" t="s">
        <v>1440</v>
      </c>
      <c r="P43" s="182">
        <f>P41+P42</f>
        <v>770506</v>
      </c>
      <c r="Q43" s="463">
        <f>P43/G41</f>
        <v>0.75261998603195068</v>
      </c>
    </row>
    <row r="44" spans="1:17" x14ac:dyDescent="0.3">
      <c r="F44" s="442" t="s">
        <v>66</v>
      </c>
      <c r="G44" s="181">
        <f>+G41*19%</f>
        <v>194515.35</v>
      </c>
      <c r="I44" s="551" t="s">
        <v>66</v>
      </c>
      <c r="J44" s="483">
        <f>ROUND(J43*0.19,0)</f>
        <v>146396</v>
      </c>
      <c r="L44" s="551" t="s">
        <v>66</v>
      </c>
      <c r="M44" s="483">
        <f>ROUND(M43*0.19,0)</f>
        <v>0</v>
      </c>
      <c r="O44" s="551" t="s">
        <v>66</v>
      </c>
      <c r="P44" s="483">
        <f>ROUND(P43*0.19,0)</f>
        <v>146396</v>
      </c>
    </row>
    <row r="45" spans="1:17" x14ac:dyDescent="0.3">
      <c r="F45" s="441" t="s">
        <v>69</v>
      </c>
      <c r="G45" s="181">
        <f>+G41+G44</f>
        <v>1218280.3500000001</v>
      </c>
      <c r="I45" s="552" t="s">
        <v>69</v>
      </c>
      <c r="J45" s="481">
        <f>J43+J44</f>
        <v>916902</v>
      </c>
      <c r="L45" s="552" t="s">
        <v>69</v>
      </c>
      <c r="M45" s="481">
        <f>M43+M44</f>
        <v>0</v>
      </c>
      <c r="O45" s="552" t="s">
        <v>69</v>
      </c>
      <c r="P45" s="481">
        <f>P43+P44</f>
        <v>916902</v>
      </c>
    </row>
    <row r="48" spans="1:17" s="189" customFormat="1" ht="27.75" customHeight="1" x14ac:dyDescent="0.3">
      <c r="A48" s="183" t="s">
        <v>67</v>
      </c>
      <c r="B48" s="184"/>
      <c r="C48" s="184"/>
      <c r="D48" s="185" t="s">
        <v>68</v>
      </c>
      <c r="I48" s="186" t="s">
        <v>70</v>
      </c>
      <c r="J48" s="187" t="s">
        <v>71</v>
      </c>
      <c r="K48" s="186" t="s">
        <v>58</v>
      </c>
      <c r="L48" s="186" t="s">
        <v>70</v>
      </c>
      <c r="M48" s="187" t="s">
        <v>71</v>
      </c>
      <c r="N48" s="186" t="s">
        <v>58</v>
      </c>
      <c r="O48" s="437"/>
      <c r="P48" s="437"/>
      <c r="Q48" s="437"/>
    </row>
    <row r="49" spans="1:17" s="189" customFormat="1" x14ac:dyDescent="0.3">
      <c r="A49" s="183"/>
      <c r="B49" s="184"/>
      <c r="C49" s="184"/>
      <c r="D49" s="185"/>
      <c r="I49" s="69" t="s">
        <v>72</v>
      </c>
      <c r="J49" s="70">
        <f>$J$43</f>
        <v>770506</v>
      </c>
      <c r="K49" s="71">
        <f>$K$43</f>
        <v>0.75261998603195068</v>
      </c>
      <c r="L49" s="69" t="s">
        <v>72</v>
      </c>
      <c r="M49" s="70">
        <f>$J$43</f>
        <v>770506</v>
      </c>
      <c r="N49" s="71">
        <f>$K$43</f>
        <v>0.75261998603195068</v>
      </c>
      <c r="O49" s="437"/>
      <c r="P49" s="437"/>
      <c r="Q49" s="437"/>
    </row>
    <row r="50" spans="1:17" s="189" customFormat="1" x14ac:dyDescent="0.3">
      <c r="A50" s="183"/>
      <c r="B50" s="184"/>
      <c r="C50" s="184"/>
      <c r="D50" s="185"/>
      <c r="I50" s="72" t="s">
        <v>1</v>
      </c>
      <c r="J50" s="105">
        <f>SUM(J49:J49)</f>
        <v>770506</v>
      </c>
      <c r="K50" s="73">
        <f>SUM(K49:K49)</f>
        <v>0.75261998603195068</v>
      </c>
      <c r="L50" s="69" t="s">
        <v>73</v>
      </c>
      <c r="M50" s="70">
        <f>$M$43</f>
        <v>0</v>
      </c>
      <c r="N50" s="71">
        <f>$N$43</f>
        <v>0</v>
      </c>
      <c r="O50" s="437"/>
      <c r="P50" s="437"/>
      <c r="Q50" s="437"/>
    </row>
    <row r="51" spans="1:17" s="189" customFormat="1" x14ac:dyDescent="0.3">
      <c r="A51" s="183"/>
      <c r="B51" s="184"/>
      <c r="C51" s="184"/>
      <c r="D51" s="185"/>
      <c r="I51" s="72" t="s">
        <v>9</v>
      </c>
      <c r="J51" s="1423"/>
      <c r="K51" s="1424"/>
      <c r="L51" s="72" t="s">
        <v>1</v>
      </c>
      <c r="M51" s="105">
        <f>SUM(M49:M50)</f>
        <v>770506</v>
      </c>
      <c r="N51" s="73">
        <f>SUM(N49:N50)</f>
        <v>0.75261998603195068</v>
      </c>
      <c r="O51" s="437"/>
      <c r="P51" s="437"/>
      <c r="Q51" s="437"/>
    </row>
    <row r="52" spans="1:17" s="189" customFormat="1" x14ac:dyDescent="0.3">
      <c r="A52" s="183"/>
      <c r="B52" s="184"/>
      <c r="C52" s="184"/>
      <c r="D52" s="185"/>
      <c r="I52" s="440" t="s">
        <v>78</v>
      </c>
      <c r="J52" s="1423" t="s">
        <v>1986</v>
      </c>
      <c r="K52" s="1424"/>
      <c r="L52" s="72" t="s">
        <v>9</v>
      </c>
      <c r="M52" s="1423"/>
      <c r="N52" s="1424"/>
      <c r="O52" s="437"/>
      <c r="P52" s="437"/>
      <c r="Q52" s="437"/>
    </row>
    <row r="53" spans="1:17" s="189" customFormat="1" x14ac:dyDescent="0.3">
      <c r="A53" s="183"/>
      <c r="B53" s="184"/>
      <c r="C53" s="184"/>
      <c r="D53" s="185"/>
      <c r="I53" s="439" t="s">
        <v>8</v>
      </c>
      <c r="J53" s="1423" t="s">
        <v>1987</v>
      </c>
      <c r="K53" s="1424"/>
      <c r="L53" s="440" t="s">
        <v>78</v>
      </c>
      <c r="M53" s="1423" t="s">
        <v>1986</v>
      </c>
      <c r="N53" s="1424"/>
      <c r="O53" s="437"/>
      <c r="P53" s="437"/>
      <c r="Q53" s="437"/>
    </row>
    <row r="54" spans="1:17" s="189" customFormat="1" x14ac:dyDescent="0.3">
      <c r="A54" s="183"/>
      <c r="B54" s="184"/>
      <c r="C54" s="184"/>
      <c r="D54" s="185" t="s">
        <v>75</v>
      </c>
      <c r="L54" s="439" t="s">
        <v>8</v>
      </c>
      <c r="M54" s="1423" t="s">
        <v>1987</v>
      </c>
      <c r="N54" s="1424"/>
    </row>
    <row r="55" spans="1:17" s="189" customFormat="1" x14ac:dyDescent="0.3">
      <c r="A55" s="183" t="s">
        <v>76</v>
      </c>
      <c r="B55" s="180"/>
      <c r="C55" s="180"/>
      <c r="D55" s="185" t="s">
        <v>77</v>
      </c>
      <c r="L55" s="1055"/>
      <c r="M55" s="1055"/>
      <c r="N55" s="1055"/>
    </row>
    <row r="56" spans="1:17" s="189" customFormat="1" ht="26.4" x14ac:dyDescent="0.3">
      <c r="A56" s="183" t="s">
        <v>79</v>
      </c>
      <c r="B56" s="180"/>
      <c r="C56" s="180"/>
      <c r="D56" s="185" t="s">
        <v>80</v>
      </c>
      <c r="L56" s="1055"/>
      <c r="M56" s="1055"/>
      <c r="N56" s="1055"/>
    </row>
    <row r="57" spans="1:17" x14ac:dyDescent="0.3">
      <c r="L57" s="1055"/>
      <c r="M57" s="1055"/>
      <c r="N57" s="1055"/>
    </row>
  </sheetData>
  <sheetProtection formatCells="0" formatColumns="0" formatRows="0" insertColumns="0" insertRows="0" insertHyperlinks="0" deleteColumns="0" deleteRows="0" sort="0" autoFilter="0" pivotTables="0"/>
  <mergeCells count="43">
    <mergeCell ref="A32:A35"/>
    <mergeCell ref="B32:B35"/>
    <mergeCell ref="H32:H35"/>
    <mergeCell ref="A36:A38"/>
    <mergeCell ref="B36:B38"/>
    <mergeCell ref="H36:H38"/>
    <mergeCell ref="A14:A17"/>
    <mergeCell ref="B14:B17"/>
    <mergeCell ref="H14:H17"/>
    <mergeCell ref="A18:A21"/>
    <mergeCell ref="B18:B21"/>
    <mergeCell ref="H18:H21"/>
    <mergeCell ref="A29:A31"/>
    <mergeCell ref="B29:B31"/>
    <mergeCell ref="H29:H31"/>
    <mergeCell ref="A22:A24"/>
    <mergeCell ref="B22:B24"/>
    <mergeCell ref="H22:H24"/>
    <mergeCell ref="A25:A28"/>
    <mergeCell ref="B25:B28"/>
    <mergeCell ref="H25:H28"/>
    <mergeCell ref="B12:H12"/>
    <mergeCell ref="O1:Q1"/>
    <mergeCell ref="O2:Q2"/>
    <mergeCell ref="A3:Q3"/>
    <mergeCell ref="A4:Q4"/>
    <mergeCell ref="A5:Q5"/>
    <mergeCell ref="C1:K2"/>
    <mergeCell ref="B11:H11"/>
    <mergeCell ref="I11:K12"/>
    <mergeCell ref="O11:Q12"/>
    <mergeCell ref="A6:Q6"/>
    <mergeCell ref="A7:Q7"/>
    <mergeCell ref="A8:Q8"/>
    <mergeCell ref="A9:Q9"/>
    <mergeCell ref="A10:Q10"/>
    <mergeCell ref="L11:N12"/>
    <mergeCell ref="M52:N52"/>
    <mergeCell ref="M53:N53"/>
    <mergeCell ref="M54:N54"/>
    <mergeCell ref="J53:K53"/>
    <mergeCell ref="J51:K51"/>
    <mergeCell ref="J52:K52"/>
  </mergeCells>
  <pageMargins left="0.7" right="0.7" top="0.75" bottom="0.75" header="0.3" footer="0.3"/>
  <pageSetup paperSize="9" scale="44" orientation="landscape" r:id="rId1"/>
  <drawing r:id="rId2"/>
  <legacyDrawingHF r:id="rId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7">
    <tabColor theme="1"/>
  </sheetPr>
  <dimension ref="A1:G49"/>
  <sheetViews>
    <sheetView zoomScaleNormal="100" workbookViewId="0">
      <selection sqref="A1:XFD104857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RESUMEN!G89</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RESUMEN!B89</f>
        <v>D00249389</v>
      </c>
      <c r="C7" s="1265"/>
      <c r="D7" s="1177"/>
      <c r="E7" s="1266" t="s">
        <v>627</v>
      </c>
      <c r="F7" s="1267"/>
      <c r="G7" s="280" t="str">
        <f>RESUMEN!E89</f>
        <v>17-342</v>
      </c>
    </row>
    <row r="8" spans="1:7" x14ac:dyDescent="0.25">
      <c r="A8" s="271" t="s">
        <v>628</v>
      </c>
      <c r="B8" s="1264" t="str">
        <f>RESUMEN!C89</f>
        <v>D00249389000</v>
      </c>
      <c r="C8" s="1265"/>
      <c r="D8" s="1177"/>
      <c r="E8" s="1266" t="s">
        <v>629</v>
      </c>
      <c r="F8" s="1267"/>
      <c r="G8" s="280" t="str">
        <f>RESUMEN!U89</f>
        <v>Acta N° 2: Febrero</v>
      </c>
    </row>
    <row r="9" spans="1:7" x14ac:dyDescent="0.25">
      <c r="A9" s="271" t="s">
        <v>630</v>
      </c>
      <c r="B9" s="1283" t="s">
        <v>631</v>
      </c>
      <c r="C9" s="1265"/>
      <c r="D9" s="1177"/>
      <c r="E9" s="1266" t="s">
        <v>632</v>
      </c>
      <c r="F9" s="1267"/>
      <c r="G9" s="1178">
        <f>RESUMEN!H89</f>
        <v>503177</v>
      </c>
    </row>
    <row r="10" spans="1:7" x14ac:dyDescent="0.25">
      <c r="A10" s="271" t="s">
        <v>633</v>
      </c>
      <c r="B10" s="1283" t="str">
        <f>RESUMEN!D89</f>
        <v>TORCA</v>
      </c>
      <c r="C10" s="1265"/>
      <c r="D10" s="1177"/>
      <c r="E10" s="1266" t="s">
        <v>634</v>
      </c>
      <c r="F10" s="1267"/>
      <c r="G10" s="1178">
        <f>RESUMEN!R89</f>
        <v>141158</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RESUMEN!V89,"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",RESUMEN!G89)</f>
        <v>A los 14 días del mes de Marzo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RESUMEN!N89</f>
        <v>139072</v>
      </c>
      <c r="F19" s="1248"/>
      <c r="G19" s="1177"/>
    </row>
    <row r="20" spans="1:7" ht="27" customHeight="1" x14ac:dyDescent="0.25">
      <c r="A20" s="1177"/>
      <c r="B20" s="1244" t="s">
        <v>1498</v>
      </c>
      <c r="C20" s="1245"/>
      <c r="D20" s="1246"/>
      <c r="E20" s="1247">
        <f>RESUMEN!P89</f>
        <v>0</v>
      </c>
      <c r="F20" s="1248"/>
      <c r="G20" s="1177"/>
    </row>
    <row r="21" spans="1:7" ht="27" customHeight="1" x14ac:dyDescent="0.25">
      <c r="A21" s="1177"/>
      <c r="B21" s="1244" t="s">
        <v>1499</v>
      </c>
      <c r="C21" s="1245"/>
      <c r="D21" s="1246"/>
      <c r="E21" s="1247">
        <f>RESUMEN!Q89</f>
        <v>2086</v>
      </c>
      <c r="F21" s="1248"/>
      <c r="G21" s="1177"/>
    </row>
    <row r="22" spans="1:7" x14ac:dyDescent="0.25">
      <c r="A22" s="1177"/>
      <c r="B22" s="1254" t="s">
        <v>64</v>
      </c>
      <c r="C22" s="1254"/>
      <c r="D22" s="1254"/>
      <c r="E22" s="1255">
        <f>RESUMEN!R89</f>
        <v>141158</v>
      </c>
      <c r="F22" s="1255"/>
      <c r="G22" s="1177"/>
    </row>
    <row r="23" spans="1:7" x14ac:dyDescent="0.25">
      <c r="A23" s="1177"/>
      <c r="B23" s="1256" t="s">
        <v>66</v>
      </c>
      <c r="C23" s="1256"/>
      <c r="D23" s="1256"/>
      <c r="E23" s="1257">
        <f>RESUMEN!S89</f>
        <v>26820</v>
      </c>
      <c r="F23" s="1257"/>
      <c r="G23" s="1177"/>
    </row>
    <row r="24" spans="1:7" x14ac:dyDescent="0.25">
      <c r="A24" s="1177"/>
      <c r="B24" s="1258" t="s">
        <v>1</v>
      </c>
      <c r="C24" s="1258"/>
      <c r="D24" s="1258"/>
      <c r="E24" s="1259">
        <f>RESUMEN!T89</f>
        <v>167978</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+'OT17-342 TORCA'!N36</f>
        <v>ACTA 1</v>
      </c>
      <c r="C28" s="1253">
        <f>+'OT17-342 TORCA'!O36</f>
        <v>376417</v>
      </c>
      <c r="D28" s="1253"/>
      <c r="E28" s="267">
        <f>+'OT17-342 TORCA'!P36</f>
        <v>0.74808069526230336</v>
      </c>
      <c r="F28" s="1177"/>
      <c r="G28" s="1177"/>
    </row>
    <row r="29" spans="1:7" x14ac:dyDescent="0.25">
      <c r="A29" s="1177"/>
      <c r="B29" s="280" t="str">
        <f>+'OT17-342 TORCA'!N37</f>
        <v>ACTA 2</v>
      </c>
      <c r="C29" s="1253">
        <f>+'OT17-342 TORCA'!O37</f>
        <v>141158</v>
      </c>
      <c r="D29" s="1253"/>
      <c r="E29" s="267">
        <f>+'OT17-342 TORCA'!P37</f>
        <v>0.28053349020324858</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517575</v>
      </c>
      <c r="D34" s="1251"/>
      <c r="E34" s="264">
        <f>SUM(E28:E33)</f>
        <v>1.0286141854655519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RESUMEN!V89</f>
        <v>Ing. Hernán Giraldo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8">
    <tabColor rgb="FF72104A"/>
  </sheetPr>
  <dimension ref="A1:S44"/>
  <sheetViews>
    <sheetView view="pageBreakPreview" topLeftCell="D10" zoomScale="60" zoomScaleNormal="60" workbookViewId="0">
      <selection activeCell="A12" sqref="A12:J12"/>
    </sheetView>
  </sheetViews>
  <sheetFormatPr baseColWidth="10" defaultColWidth="9.109375" defaultRowHeight="14.4" x14ac:dyDescent="0.3"/>
  <cols>
    <col min="1" max="1" width="14.33203125" style="437" customWidth="1"/>
    <col min="2" max="2" width="24.109375" style="437" customWidth="1"/>
    <col min="3" max="3" width="32.33203125" style="437" customWidth="1"/>
    <col min="4" max="4" width="23.109375" style="437" customWidth="1"/>
    <col min="5" max="5" width="13" style="437" customWidth="1"/>
    <col min="6" max="6" width="18.44140625" style="437" bestFit="1" customWidth="1"/>
    <col min="7" max="7" width="18.44140625" style="437" customWidth="1"/>
    <col min="8" max="8" width="14.109375" style="437" bestFit="1" customWidth="1"/>
    <col min="9" max="9" width="14.109375" style="437" customWidth="1"/>
    <col min="10" max="10" width="42.5546875" style="437" customWidth="1"/>
    <col min="11" max="11" width="20.109375" style="437" hidden="1" customWidth="1"/>
    <col min="12" max="12" width="20.44140625" style="437" hidden="1" customWidth="1"/>
    <col min="13" max="13" width="0" style="437" hidden="1" customWidth="1"/>
    <col min="14" max="14" width="20.109375" style="437" customWidth="1"/>
    <col min="15" max="15" width="20.44140625" style="437" customWidth="1"/>
    <col min="16" max="16" width="9.109375" style="437"/>
    <col min="17" max="17" width="17.88671875" style="437" bestFit="1" customWidth="1"/>
    <col min="18" max="18" width="17.109375" style="437"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1400</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1405</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36"/>
      <c r="B11" s="1301"/>
      <c r="C11" s="1313"/>
      <c r="D11" s="1313"/>
      <c r="E11" s="1313"/>
      <c r="F11" s="1313"/>
      <c r="G11" s="1313"/>
      <c r="H11" s="1313"/>
      <c r="I11" s="1313"/>
      <c r="J11" s="1313"/>
      <c r="K11" s="1293" t="s">
        <v>1980</v>
      </c>
      <c r="L11" s="1294"/>
      <c r="M11" s="1295"/>
      <c r="N11" s="1293" t="s">
        <v>2094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471" t="s">
        <v>54</v>
      </c>
      <c r="L13" s="471" t="s">
        <v>56</v>
      </c>
      <c r="M13" s="471" t="s">
        <v>58</v>
      </c>
      <c r="N13" s="471" t="s">
        <v>54</v>
      </c>
      <c r="O13" s="471" t="s">
        <v>56</v>
      </c>
      <c r="P13" s="471" t="s">
        <v>58</v>
      </c>
      <c r="Q13" s="174" t="s">
        <v>54</v>
      </c>
      <c r="R13" s="172" t="s">
        <v>56</v>
      </c>
      <c r="S13" s="471" t="s">
        <v>58</v>
      </c>
    </row>
    <row r="14" spans="1:19" ht="30" customHeight="1" x14ac:dyDescent="0.3">
      <c r="A14" s="1441" t="s">
        <v>1404</v>
      </c>
      <c r="B14" s="1441" t="s">
        <v>1388</v>
      </c>
      <c r="C14" s="454" t="s">
        <v>81</v>
      </c>
      <c r="D14" s="454" t="s">
        <v>218</v>
      </c>
      <c r="E14" s="454">
        <v>0</v>
      </c>
      <c r="F14" s="453">
        <v>1149124</v>
      </c>
      <c r="G14" s="32">
        <f>+ROUND(F14*1.051,0)</f>
        <v>1207729</v>
      </c>
      <c r="H14" s="453">
        <f>ROUND((E14*F14),0)</f>
        <v>0</v>
      </c>
      <c r="I14" s="32">
        <f>+ROUND(G14*E14,0)</f>
        <v>0</v>
      </c>
      <c r="J14" s="1441" t="s">
        <v>1401</v>
      </c>
      <c r="K14" s="452">
        <v>0</v>
      </c>
      <c r="L14" s="425">
        <f>ROUND(K14*F14,0)</f>
        <v>0</v>
      </c>
      <c r="M14" s="426">
        <v>0</v>
      </c>
      <c r="N14" s="452">
        <v>0</v>
      </c>
      <c r="O14" s="425">
        <f>ROUND(N14*G14,0)</f>
        <v>0</v>
      </c>
      <c r="P14" s="451">
        <v>0</v>
      </c>
      <c r="Q14" s="450">
        <f>K14+N14</f>
        <v>0</v>
      </c>
      <c r="R14" s="175">
        <f>L14+O14</f>
        <v>0</v>
      </c>
      <c r="S14" s="176">
        <v>0</v>
      </c>
    </row>
    <row r="15" spans="1:19" ht="30" customHeight="1" x14ac:dyDescent="0.3">
      <c r="A15" s="1441"/>
      <c r="B15" s="1441"/>
      <c r="C15" s="454" t="s">
        <v>83</v>
      </c>
      <c r="D15" s="454" t="s">
        <v>219</v>
      </c>
      <c r="E15" s="454">
        <v>0</v>
      </c>
      <c r="F15" s="453">
        <v>2646468</v>
      </c>
      <c r="G15" s="32">
        <f>+ROUND(F15*1.051,0)</f>
        <v>2781438</v>
      </c>
      <c r="H15" s="453">
        <f>ROUND((E15*F15),0)</f>
        <v>0</v>
      </c>
      <c r="I15" s="32">
        <f>+ROUND(G15*E15,0)</f>
        <v>0</v>
      </c>
      <c r="J15" s="1441"/>
      <c r="K15" s="452">
        <v>0</v>
      </c>
      <c r="L15" s="425">
        <f>ROUND(K15*F15,0)</f>
        <v>0</v>
      </c>
      <c r="M15" s="426">
        <v>0</v>
      </c>
      <c r="N15" s="452">
        <v>0</v>
      </c>
      <c r="O15" s="425">
        <f t="shared" ref="O15:O16" si="0">ROUND(N15*G15,0)</f>
        <v>0</v>
      </c>
      <c r="P15" s="451">
        <v>0</v>
      </c>
      <c r="Q15" s="450">
        <f t="shared" ref="Q15:Q16" si="1">K15+N15</f>
        <v>0</v>
      </c>
      <c r="R15" s="175">
        <f t="shared" ref="R15" si="2">L15+O15</f>
        <v>0</v>
      </c>
      <c r="S15" s="176">
        <v>0</v>
      </c>
    </row>
    <row r="16" spans="1:19" ht="30" customHeight="1" x14ac:dyDescent="0.3">
      <c r="A16" s="1441"/>
      <c r="B16" s="1441"/>
      <c r="C16" s="454" t="s">
        <v>61</v>
      </c>
      <c r="D16" s="454" t="s">
        <v>220</v>
      </c>
      <c r="E16" s="454">
        <v>0.05</v>
      </c>
      <c r="F16" s="453">
        <v>3203618</v>
      </c>
      <c r="G16" s="32">
        <f>+ROUND(F16*1.051,0)</f>
        <v>3367003</v>
      </c>
      <c r="H16" s="453">
        <f>ROUND((E16*F16),0)</f>
        <v>160181</v>
      </c>
      <c r="I16" s="32">
        <f>+ROUND(G16*E16,0)</f>
        <v>168350</v>
      </c>
      <c r="J16" s="1441"/>
      <c r="K16" s="474">
        <v>0.05</v>
      </c>
      <c r="L16" s="429">
        <f>ROUND(K16*F16,0)</f>
        <v>160181</v>
      </c>
      <c r="M16" s="430">
        <f>L16/H16</f>
        <v>1</v>
      </c>
      <c r="N16" s="452">
        <v>0</v>
      </c>
      <c r="O16" s="425">
        <f t="shared" si="0"/>
        <v>0</v>
      </c>
      <c r="P16" s="451">
        <f t="shared" ref="P16" si="3">+O16/I16</f>
        <v>0</v>
      </c>
      <c r="Q16" s="450">
        <f t="shared" si="1"/>
        <v>0.05</v>
      </c>
      <c r="R16" s="175">
        <f>L16+O16</f>
        <v>160181</v>
      </c>
      <c r="S16" s="176">
        <f>R16/H16</f>
        <v>1</v>
      </c>
    </row>
    <row r="17" spans="1:19" ht="15" customHeight="1" x14ac:dyDescent="0.3">
      <c r="A17" s="1441"/>
      <c r="B17" s="1441"/>
      <c r="C17" s="449"/>
      <c r="D17" s="449" t="s">
        <v>221</v>
      </c>
      <c r="E17" s="448"/>
      <c r="F17" s="448"/>
      <c r="G17" s="448"/>
      <c r="H17" s="447">
        <f>SUM(H14:H16)</f>
        <v>160181</v>
      </c>
      <c r="I17" s="447">
        <f>SUM(I14:I16)</f>
        <v>168350</v>
      </c>
      <c r="J17" s="1441"/>
      <c r="K17" s="431"/>
      <c r="L17" s="179">
        <f>SUM(L14:L16)</f>
        <v>160181</v>
      </c>
      <c r="M17" s="431">
        <f>L17/H17</f>
        <v>1</v>
      </c>
      <c r="N17" s="431"/>
      <c r="O17" s="179">
        <f>SUM(O14:O16)</f>
        <v>0</v>
      </c>
      <c r="P17" s="431">
        <f>O17/L17</f>
        <v>0</v>
      </c>
      <c r="Q17" s="446"/>
      <c r="R17" s="307">
        <f t="shared" ref="R17:R20" si="4">L17</f>
        <v>160181</v>
      </c>
      <c r="S17" s="431">
        <f>R17/H17</f>
        <v>1</v>
      </c>
    </row>
    <row r="18" spans="1:19" ht="30" customHeight="1" x14ac:dyDescent="0.3">
      <c r="A18" s="1441" t="s">
        <v>1404</v>
      </c>
      <c r="B18" s="1441" t="s">
        <v>990</v>
      </c>
      <c r="C18" s="454" t="s">
        <v>83</v>
      </c>
      <c r="D18" s="454" t="s">
        <v>123</v>
      </c>
      <c r="E18" s="454">
        <v>0</v>
      </c>
      <c r="F18" s="453">
        <v>1044658</v>
      </c>
      <c r="G18" s="32">
        <f>+ROUND(F18*1.051,0)</f>
        <v>1097936</v>
      </c>
      <c r="H18" s="453">
        <f>ROUND((E18*F18),0)</f>
        <v>0</v>
      </c>
      <c r="I18" s="32">
        <f>+ROUND(G18*E18,0)</f>
        <v>0</v>
      </c>
      <c r="J18" s="1441" t="s">
        <v>1403</v>
      </c>
      <c r="K18" s="452">
        <v>0</v>
      </c>
      <c r="L18" s="425">
        <f>ROUND(K18*F18,0)</f>
        <v>0</v>
      </c>
      <c r="M18" s="426">
        <v>0</v>
      </c>
      <c r="N18" s="452">
        <v>0</v>
      </c>
      <c r="O18" s="425">
        <f t="shared" ref="O18:O19" si="5">ROUND(N18*G18,0)</f>
        <v>0</v>
      </c>
      <c r="P18" s="451">
        <v>0</v>
      </c>
      <c r="Q18" s="450">
        <f t="shared" ref="Q18:Q19" si="6">K18+N18</f>
        <v>0</v>
      </c>
      <c r="R18" s="175">
        <f t="shared" ref="R18:R19" si="7">L18+O18</f>
        <v>0</v>
      </c>
      <c r="S18" s="176">
        <v>0</v>
      </c>
    </row>
    <row r="19" spans="1:19" ht="30" customHeight="1" x14ac:dyDescent="0.3">
      <c r="A19" s="1441"/>
      <c r="B19" s="1441"/>
      <c r="C19" s="454" t="s">
        <v>61</v>
      </c>
      <c r="D19" s="454" t="s">
        <v>125</v>
      </c>
      <c r="E19" s="454">
        <v>0.05</v>
      </c>
      <c r="F19" s="453">
        <v>1009836</v>
      </c>
      <c r="G19" s="32">
        <f>+ROUND(F19*1.051,0)</f>
        <v>1061338</v>
      </c>
      <c r="H19" s="453">
        <f>ROUND((E19*F19),0)</f>
        <v>50492</v>
      </c>
      <c r="I19" s="32">
        <f>+ROUND(G19*E19,0)</f>
        <v>53067</v>
      </c>
      <c r="J19" s="1441"/>
      <c r="K19" s="474">
        <v>0.05</v>
      </c>
      <c r="L19" s="429">
        <f>ROUND(K19*F19,0)</f>
        <v>50492</v>
      </c>
      <c r="M19" s="430">
        <f>L19/H19</f>
        <v>1</v>
      </c>
      <c r="N19" s="452">
        <v>0</v>
      </c>
      <c r="O19" s="425">
        <f t="shared" si="5"/>
        <v>0</v>
      </c>
      <c r="P19" s="451">
        <f t="shared" ref="P19" si="8">+O19/I19</f>
        <v>0</v>
      </c>
      <c r="Q19" s="450">
        <f t="shared" si="6"/>
        <v>0.05</v>
      </c>
      <c r="R19" s="175">
        <f t="shared" si="7"/>
        <v>50492</v>
      </c>
      <c r="S19" s="176">
        <f>R19/H19</f>
        <v>1</v>
      </c>
    </row>
    <row r="20" spans="1:19" ht="15" customHeight="1" x14ac:dyDescent="0.3">
      <c r="A20" s="1441"/>
      <c r="B20" s="1441"/>
      <c r="C20" s="449"/>
      <c r="D20" s="449" t="s">
        <v>126</v>
      </c>
      <c r="E20" s="448"/>
      <c r="F20" s="448"/>
      <c r="G20" s="448"/>
      <c r="H20" s="447">
        <f>SUM(H18:H19)</f>
        <v>50492</v>
      </c>
      <c r="I20" s="447">
        <f>SUM(I18:I19)</f>
        <v>53067</v>
      </c>
      <c r="J20" s="1441"/>
      <c r="K20" s="431"/>
      <c r="L20" s="179">
        <f>SUM(L18:L19)</f>
        <v>50492</v>
      </c>
      <c r="M20" s="431">
        <f>L20/H20</f>
        <v>1</v>
      </c>
      <c r="N20" s="431"/>
      <c r="O20" s="179">
        <f>SUM(O18:O19)</f>
        <v>0</v>
      </c>
      <c r="P20" s="431">
        <f>O20/L20</f>
        <v>0</v>
      </c>
      <c r="Q20" s="446"/>
      <c r="R20" s="307">
        <f t="shared" si="4"/>
        <v>50492</v>
      </c>
      <c r="S20" s="431">
        <f>R20/H20</f>
        <v>1</v>
      </c>
    </row>
    <row r="21" spans="1:19" ht="30" customHeight="1" x14ac:dyDescent="0.3">
      <c r="A21" s="1441" t="s">
        <v>1402</v>
      </c>
      <c r="B21" s="1441" t="s">
        <v>1388</v>
      </c>
      <c r="C21" s="454" t="s">
        <v>81</v>
      </c>
      <c r="D21" s="454" t="s">
        <v>218</v>
      </c>
      <c r="E21" s="454">
        <v>0</v>
      </c>
      <c r="F21" s="453">
        <v>1149124</v>
      </c>
      <c r="G21" s="32">
        <f>+ROUND(F21*1.051,0)</f>
        <v>1207729</v>
      </c>
      <c r="H21" s="453">
        <f>ROUND((E21*F21),0)</f>
        <v>0</v>
      </c>
      <c r="I21" s="32">
        <f>+ROUND(G21*E21,0)</f>
        <v>0</v>
      </c>
      <c r="J21" s="1441" t="s">
        <v>1401</v>
      </c>
      <c r="K21" s="452">
        <v>0</v>
      </c>
      <c r="L21" s="425">
        <f>ROUND(K21*F21,0)</f>
        <v>0</v>
      </c>
      <c r="M21" s="426">
        <v>0</v>
      </c>
      <c r="N21" s="452">
        <v>0</v>
      </c>
      <c r="O21" s="425">
        <f t="shared" ref="O21:O23" si="9">ROUND(N21*G21,0)</f>
        <v>0</v>
      </c>
      <c r="P21" s="451">
        <v>0</v>
      </c>
      <c r="Q21" s="450">
        <f t="shared" ref="Q21:Q23" si="10">K21+N21</f>
        <v>0</v>
      </c>
      <c r="R21" s="175">
        <f t="shared" ref="R21:R23" si="11">L21+O21</f>
        <v>0</v>
      </c>
      <c r="S21" s="176">
        <v>0</v>
      </c>
    </row>
    <row r="22" spans="1:19" ht="30" customHeight="1" x14ac:dyDescent="0.3">
      <c r="A22" s="1441"/>
      <c r="B22" s="1441"/>
      <c r="C22" s="454" t="s">
        <v>83</v>
      </c>
      <c r="D22" s="454" t="s">
        <v>219</v>
      </c>
      <c r="E22" s="454">
        <v>0.05</v>
      </c>
      <c r="F22" s="453">
        <v>2646468</v>
      </c>
      <c r="G22" s="32">
        <f>+ROUND(F22*1.051,0)</f>
        <v>2781438</v>
      </c>
      <c r="H22" s="453">
        <f>ROUND((E22*F22),0)</f>
        <v>132323</v>
      </c>
      <c r="I22" s="32">
        <f>+ROUND(G22*E22,0)</f>
        <v>139072</v>
      </c>
      <c r="J22" s="1441"/>
      <c r="K22" s="452">
        <v>0</v>
      </c>
      <c r="L22" s="425">
        <f>ROUND(K22*F22,0)</f>
        <v>0</v>
      </c>
      <c r="M22" s="426">
        <f>L22/H22</f>
        <v>0</v>
      </c>
      <c r="N22" s="474">
        <v>0.05</v>
      </c>
      <c r="O22" s="429">
        <f t="shared" si="9"/>
        <v>139072</v>
      </c>
      <c r="P22" s="534">
        <f>+O22/H22</f>
        <v>1.0510039826787483</v>
      </c>
      <c r="Q22" s="450">
        <f t="shared" si="10"/>
        <v>0.05</v>
      </c>
      <c r="R22" s="175">
        <f t="shared" si="11"/>
        <v>139072</v>
      </c>
      <c r="S22" s="176">
        <f>R22/H22</f>
        <v>1.0510039826787483</v>
      </c>
    </row>
    <row r="23" spans="1:19" ht="30" customHeight="1" x14ac:dyDescent="0.3">
      <c r="A23" s="1441"/>
      <c r="B23" s="1441"/>
      <c r="C23" s="454" t="s">
        <v>61</v>
      </c>
      <c r="D23" s="454" t="s">
        <v>220</v>
      </c>
      <c r="E23" s="454">
        <v>0.05</v>
      </c>
      <c r="F23" s="453">
        <v>3203618</v>
      </c>
      <c r="G23" s="32">
        <f>+ROUND(F23*1.051,0)</f>
        <v>3367003</v>
      </c>
      <c r="H23" s="453">
        <f>ROUND((E23*F23),0)</f>
        <v>160181</v>
      </c>
      <c r="I23" s="32">
        <f>+ROUND(G23*E23,0)</f>
        <v>168350</v>
      </c>
      <c r="J23" s="1441"/>
      <c r="K23" s="474">
        <v>0.05</v>
      </c>
      <c r="L23" s="429">
        <f>ROUND(K23*F23,0)</f>
        <v>160181</v>
      </c>
      <c r="M23" s="430">
        <f>L23/H23</f>
        <v>1</v>
      </c>
      <c r="N23" s="452">
        <v>0</v>
      </c>
      <c r="O23" s="425">
        <f t="shared" si="9"/>
        <v>0</v>
      </c>
      <c r="P23" s="451">
        <f t="shared" ref="P23" si="12">+O23/I23</f>
        <v>0</v>
      </c>
      <c r="Q23" s="450">
        <f t="shared" si="10"/>
        <v>0.05</v>
      </c>
      <c r="R23" s="175">
        <f t="shared" si="11"/>
        <v>160181</v>
      </c>
      <c r="S23" s="176">
        <f>R23/H23</f>
        <v>1</v>
      </c>
    </row>
    <row r="24" spans="1:19" ht="15" customHeight="1" x14ac:dyDescent="0.3">
      <c r="A24" s="1441"/>
      <c r="B24" s="1441"/>
      <c r="C24" s="449"/>
      <c r="D24" s="449" t="s">
        <v>221</v>
      </c>
      <c r="E24" s="448"/>
      <c r="F24" s="448"/>
      <c r="G24" s="448"/>
      <c r="H24" s="447">
        <f>SUM(H21:H23)</f>
        <v>292504</v>
      </c>
      <c r="I24" s="447">
        <f>SUM(I21:I23)</f>
        <v>307422</v>
      </c>
      <c r="J24" s="1441"/>
      <c r="K24" s="431"/>
      <c r="L24" s="179">
        <f>SUM(L21:L23)</f>
        <v>160181</v>
      </c>
      <c r="M24" s="431">
        <f>L24/H24</f>
        <v>0.54761986160873011</v>
      </c>
      <c r="N24" s="431"/>
      <c r="O24" s="179">
        <f>SUM(O21:O23)</f>
        <v>139072</v>
      </c>
      <c r="P24" s="431">
        <f>O24/L24</f>
        <v>0.86821782858141727</v>
      </c>
      <c r="Q24" s="446"/>
      <c r="R24" s="307">
        <f>L24+O24</f>
        <v>299253</v>
      </c>
      <c r="S24" s="431">
        <f>R24/H24</f>
        <v>1.023073188742718</v>
      </c>
    </row>
    <row r="25" spans="1:19" x14ac:dyDescent="0.3">
      <c r="F25" s="445" t="s">
        <v>64</v>
      </c>
      <c r="G25" s="445"/>
      <c r="H25" s="181">
        <f>SUM(H14:H24)/2</f>
        <v>503177</v>
      </c>
      <c r="I25" s="181">
        <f>SUM(I14:I24)/2</f>
        <v>528839</v>
      </c>
      <c r="K25" s="445" t="s">
        <v>64</v>
      </c>
      <c r="L25" s="181">
        <f>SUM(L14:L24)/2</f>
        <v>370854</v>
      </c>
      <c r="N25" s="445" t="s">
        <v>64</v>
      </c>
      <c r="O25" s="181">
        <f>SUM(O14:O24)/2</f>
        <v>139072</v>
      </c>
      <c r="Q25" s="445" t="s">
        <v>64</v>
      </c>
      <c r="R25" s="181">
        <f>SUM(R14:R24)/2</f>
        <v>509926</v>
      </c>
    </row>
    <row r="26" spans="1:19" x14ac:dyDescent="0.3">
      <c r="F26" s="444" t="s">
        <v>65</v>
      </c>
      <c r="G26" s="444"/>
      <c r="H26" s="181">
        <v>0</v>
      </c>
      <c r="I26" s="181">
        <v>0</v>
      </c>
      <c r="K26" s="444" t="s">
        <v>65</v>
      </c>
      <c r="L26" s="181">
        <v>0</v>
      </c>
      <c r="N26" s="444" t="s">
        <v>65</v>
      </c>
      <c r="O26" s="181">
        <v>0</v>
      </c>
      <c r="Q26" s="444" t="s">
        <v>65</v>
      </c>
      <c r="R26" s="181">
        <v>0</v>
      </c>
    </row>
    <row r="27" spans="1:19" x14ac:dyDescent="0.3">
      <c r="F27" s="443" t="s">
        <v>64</v>
      </c>
      <c r="G27" s="443"/>
      <c r="H27" s="340">
        <f>SUM(H25:H26)</f>
        <v>503177</v>
      </c>
      <c r="I27" s="340">
        <f>SUM(I25:I26)</f>
        <v>528839</v>
      </c>
      <c r="K27" s="443" t="s">
        <v>64</v>
      </c>
      <c r="L27" s="340">
        <f>SUM(L25:L26)</f>
        <v>370854</v>
      </c>
      <c r="N27" s="443" t="s">
        <v>64</v>
      </c>
      <c r="O27" s="340">
        <f>SUM(O25:O26)</f>
        <v>139072</v>
      </c>
      <c r="Q27" s="443" t="s">
        <v>64</v>
      </c>
      <c r="R27" s="340">
        <f>SUM(R25:R26)</f>
        <v>509926</v>
      </c>
    </row>
    <row r="28" spans="1:19" ht="26.4" x14ac:dyDescent="0.3">
      <c r="E28" s="463"/>
      <c r="F28" s="443"/>
      <c r="G28" s="443"/>
      <c r="H28" s="340"/>
      <c r="I28" s="340"/>
      <c r="K28" s="484" t="s">
        <v>1439</v>
      </c>
      <c r="L28" s="182">
        <f>ROUND(L27*0.015,0)</f>
        <v>5563</v>
      </c>
      <c r="N28" s="484" t="s">
        <v>1439</v>
      </c>
      <c r="O28" s="182">
        <f>ROUND(O27*0.015,0)</f>
        <v>2086</v>
      </c>
      <c r="Q28" s="484" t="s">
        <v>1439</v>
      </c>
      <c r="R28" s="340">
        <f>L28+O28</f>
        <v>7649</v>
      </c>
    </row>
    <row r="29" spans="1:19" ht="26.4" x14ac:dyDescent="0.3">
      <c r="E29" s="463"/>
      <c r="F29" s="443"/>
      <c r="G29" s="443"/>
      <c r="H29" s="340"/>
      <c r="I29" s="340"/>
      <c r="K29" s="152" t="s">
        <v>1440</v>
      </c>
      <c r="L29" s="182">
        <f>L27+L28</f>
        <v>376417</v>
      </c>
      <c r="M29" s="463">
        <f>L29/H27</f>
        <v>0.74808069526230336</v>
      </c>
      <c r="N29" s="152" t="s">
        <v>1440</v>
      </c>
      <c r="O29" s="182">
        <f>O27+O28</f>
        <v>141158</v>
      </c>
      <c r="P29" s="463">
        <f>O29/H27</f>
        <v>0.28053349020324858</v>
      </c>
      <c r="Q29" s="152" t="s">
        <v>1440</v>
      </c>
      <c r="R29" s="182">
        <f>R27+R28</f>
        <v>517575</v>
      </c>
      <c r="S29" s="463">
        <f>R29/H27</f>
        <v>1.0286141854655519</v>
      </c>
    </row>
    <row r="30" spans="1:19" x14ac:dyDescent="0.3">
      <c r="E30" s="463"/>
      <c r="F30" s="442" t="s">
        <v>66</v>
      </c>
      <c r="G30" s="442"/>
      <c r="H30" s="181">
        <f>+H27*19%</f>
        <v>95603.63</v>
      </c>
      <c r="I30" s="181">
        <f>+I27*19%</f>
        <v>100479.41</v>
      </c>
      <c r="K30" s="442" t="s">
        <v>66</v>
      </c>
      <c r="L30" s="182">
        <f>ROUND(L29*0.19,0)</f>
        <v>71519</v>
      </c>
      <c r="N30" s="442" t="s">
        <v>66</v>
      </c>
      <c r="O30" s="182">
        <f>ROUND(O29*0.19,0)</f>
        <v>26820</v>
      </c>
      <c r="Q30" s="442" t="s">
        <v>66</v>
      </c>
      <c r="R30" s="182">
        <f>ROUND(R29*0.19,0)</f>
        <v>98339</v>
      </c>
    </row>
    <row r="31" spans="1:19" x14ac:dyDescent="0.3">
      <c r="E31" s="463"/>
      <c r="F31" s="441" t="s">
        <v>69</v>
      </c>
      <c r="G31" s="441"/>
      <c r="H31" s="181">
        <f>+H27+H30</f>
        <v>598780.63</v>
      </c>
      <c r="I31" s="181">
        <f>+I27+I30</f>
        <v>629318.41</v>
      </c>
      <c r="K31" s="441" t="s">
        <v>69</v>
      </c>
      <c r="L31" s="181">
        <f>L29+L30</f>
        <v>447936</v>
      </c>
      <c r="N31" s="441" t="s">
        <v>69</v>
      </c>
      <c r="O31" s="181">
        <f>O29+O30</f>
        <v>167978</v>
      </c>
      <c r="Q31" s="441" t="s">
        <v>69</v>
      </c>
      <c r="R31" s="181">
        <f>R29+R30</f>
        <v>615914</v>
      </c>
    </row>
    <row r="32" spans="1:19" x14ac:dyDescent="0.3">
      <c r="E32" s="463"/>
    </row>
    <row r="33" spans="1:19" x14ac:dyDescent="0.3">
      <c r="E33" s="463"/>
    </row>
    <row r="35" spans="1:19" s="189" customFormat="1" x14ac:dyDescent="0.3">
      <c r="A35" s="183" t="s">
        <v>67</v>
      </c>
      <c r="B35" s="184"/>
      <c r="C35" s="184"/>
      <c r="D35" s="185" t="s">
        <v>68</v>
      </c>
      <c r="G35" s="852"/>
      <c r="I35" s="852"/>
      <c r="K35" s="186" t="s">
        <v>70</v>
      </c>
      <c r="L35" s="187" t="s">
        <v>71</v>
      </c>
      <c r="M35" s="186" t="s">
        <v>58</v>
      </c>
      <c r="N35" s="186" t="s">
        <v>70</v>
      </c>
      <c r="O35" s="187" t="s">
        <v>71</v>
      </c>
      <c r="P35" s="186" t="s">
        <v>58</v>
      </c>
      <c r="Q35" s="437"/>
      <c r="R35" s="437"/>
      <c r="S35" s="437"/>
    </row>
    <row r="36" spans="1:19" s="189" customFormat="1" x14ac:dyDescent="0.3">
      <c r="A36" s="183"/>
      <c r="B36" s="184"/>
      <c r="C36" s="184"/>
      <c r="D36" s="185"/>
      <c r="G36" s="852"/>
      <c r="I36" s="852"/>
      <c r="K36" s="69" t="s">
        <v>72</v>
      </c>
      <c r="L36" s="70">
        <f>$L$29</f>
        <v>376417</v>
      </c>
      <c r="M36" s="71">
        <f>$M$29</f>
        <v>0.74808069526230336</v>
      </c>
      <c r="N36" s="69" t="s">
        <v>72</v>
      </c>
      <c r="O36" s="70">
        <f>$L$29</f>
        <v>376417</v>
      </c>
      <c r="P36" s="71">
        <f>$M$29</f>
        <v>0.74808069526230336</v>
      </c>
      <c r="Q36" s="437"/>
      <c r="R36" s="437"/>
      <c r="S36" s="437"/>
    </row>
    <row r="37" spans="1:19" s="852" customFormat="1" x14ac:dyDescent="0.3">
      <c r="A37" s="183"/>
      <c r="B37" s="184"/>
      <c r="C37" s="184"/>
      <c r="D37" s="185"/>
      <c r="K37" s="69"/>
      <c r="L37" s="70"/>
      <c r="M37" s="71"/>
      <c r="N37" s="69" t="s">
        <v>73</v>
      </c>
      <c r="O37" s="70">
        <f>+O29</f>
        <v>141158</v>
      </c>
      <c r="P37" s="71">
        <f>+P29</f>
        <v>0.28053349020324858</v>
      </c>
      <c r="Q37" s="437"/>
      <c r="R37" s="437"/>
      <c r="S37" s="437"/>
    </row>
    <row r="38" spans="1:19" s="189" customFormat="1" x14ac:dyDescent="0.3">
      <c r="A38" s="183"/>
      <c r="B38" s="184"/>
      <c r="C38" s="184"/>
      <c r="D38" s="185"/>
      <c r="G38" s="852"/>
      <c r="I38" s="852"/>
      <c r="K38" s="72" t="s">
        <v>1</v>
      </c>
      <c r="L38" s="105">
        <f>SUM(L36:L36)</f>
        <v>376417</v>
      </c>
      <c r="M38" s="73">
        <f>SUM(M36:M36)</f>
        <v>0.74808069526230336</v>
      </c>
      <c r="N38" s="72" t="s">
        <v>1</v>
      </c>
      <c r="O38" s="105">
        <f>SUM(O36:O37)</f>
        <v>517575</v>
      </c>
      <c r="P38" s="73">
        <f>SUM(P36:P37)</f>
        <v>1.0286141854655519</v>
      </c>
      <c r="Q38" s="437"/>
      <c r="R38" s="437"/>
      <c r="S38" s="437"/>
    </row>
    <row r="39" spans="1:19" s="189" customFormat="1" x14ac:dyDescent="0.3">
      <c r="A39" s="183"/>
      <c r="B39" s="184"/>
      <c r="C39" s="184"/>
      <c r="D39" s="185"/>
      <c r="G39" s="852"/>
      <c r="I39" s="852"/>
      <c r="K39" s="72" t="s">
        <v>9</v>
      </c>
      <c r="L39" s="1423"/>
      <c r="M39" s="1424"/>
      <c r="N39" s="72" t="s">
        <v>9</v>
      </c>
      <c r="O39" s="1423"/>
      <c r="P39" s="1424"/>
      <c r="Q39" s="437"/>
      <c r="R39" s="437"/>
      <c r="S39" s="437"/>
    </row>
    <row r="40" spans="1:19" s="189" customFormat="1" x14ac:dyDescent="0.3">
      <c r="A40" s="183"/>
      <c r="B40" s="184"/>
      <c r="C40" s="184"/>
      <c r="D40" s="185"/>
      <c r="G40" s="852"/>
      <c r="I40" s="852"/>
      <c r="K40" s="440" t="s">
        <v>78</v>
      </c>
      <c r="L40" s="1423" t="s">
        <v>1986</v>
      </c>
      <c r="M40" s="1424"/>
      <c r="N40" s="440" t="s">
        <v>78</v>
      </c>
      <c r="O40" s="1423" t="s">
        <v>1986</v>
      </c>
      <c r="P40" s="1424"/>
      <c r="Q40" s="437"/>
      <c r="R40" s="437"/>
      <c r="S40" s="437"/>
    </row>
    <row r="41" spans="1:19" s="189" customFormat="1" x14ac:dyDescent="0.3">
      <c r="A41" s="183"/>
      <c r="B41" s="184"/>
      <c r="C41" s="184"/>
      <c r="D41" s="185"/>
      <c r="G41" s="852"/>
      <c r="I41" s="852"/>
      <c r="K41" s="439" t="s">
        <v>8</v>
      </c>
      <c r="L41" s="1423" t="s">
        <v>1987</v>
      </c>
      <c r="M41" s="1424"/>
      <c r="N41" s="439" t="s">
        <v>8</v>
      </c>
      <c r="O41" s="1423" t="s">
        <v>1987</v>
      </c>
      <c r="P41" s="1424"/>
      <c r="Q41" s="437"/>
      <c r="R41" s="437"/>
      <c r="S41" s="437"/>
    </row>
    <row r="42" spans="1:19" s="189" customFormat="1" x14ac:dyDescent="0.3">
      <c r="A42" s="183"/>
      <c r="B42" s="184"/>
      <c r="C42" s="184"/>
      <c r="D42" s="185" t="s">
        <v>75</v>
      </c>
      <c r="G42" s="852"/>
      <c r="I42" s="852"/>
      <c r="N42" s="852"/>
      <c r="O42" s="852"/>
      <c r="P42" s="852"/>
    </row>
    <row r="43" spans="1:19" s="189" customFormat="1" x14ac:dyDescent="0.3">
      <c r="A43" s="183" t="s">
        <v>76</v>
      </c>
      <c r="B43" s="180"/>
      <c r="C43" s="180"/>
      <c r="D43" s="185" t="s">
        <v>77</v>
      </c>
      <c r="G43" s="852"/>
      <c r="I43" s="852"/>
      <c r="N43" s="852"/>
      <c r="O43" s="852"/>
      <c r="P43" s="852"/>
    </row>
    <row r="44" spans="1:19" s="189" customFormat="1" ht="26.4" x14ac:dyDescent="0.3">
      <c r="A44" s="183" t="s">
        <v>79</v>
      </c>
      <c r="B44" s="180"/>
      <c r="C44" s="180"/>
      <c r="D44" s="185" t="s">
        <v>80</v>
      </c>
      <c r="G44" s="852"/>
      <c r="I44" s="852"/>
      <c r="N44" s="852"/>
      <c r="O44" s="852"/>
      <c r="P44" s="852"/>
    </row>
  </sheetData>
  <sheetProtection formatCells="0" formatColumns="0" formatRows="0" insertColumns="0" insertRows="0" insertHyperlinks="0" deleteColumns="0" deleteRows="0" sort="0" autoFilter="0" pivotTables="0"/>
  <mergeCells count="31">
    <mergeCell ref="C1:M2"/>
    <mergeCell ref="Q1:S1"/>
    <mergeCell ref="Q2:S2"/>
    <mergeCell ref="A3:S3"/>
    <mergeCell ref="A4:S4"/>
    <mergeCell ref="A14:A17"/>
    <mergeCell ref="B14:B17"/>
    <mergeCell ref="J14:J17"/>
    <mergeCell ref="A18:A20"/>
    <mergeCell ref="A5:S5"/>
    <mergeCell ref="A6:S6"/>
    <mergeCell ref="A7:S7"/>
    <mergeCell ref="A8:S8"/>
    <mergeCell ref="A9:S9"/>
    <mergeCell ref="N11:P12"/>
    <mergeCell ref="A10:S10"/>
    <mergeCell ref="B11:J11"/>
    <mergeCell ref="Q11:S12"/>
    <mergeCell ref="B12:J12"/>
    <mergeCell ref="K11:M12"/>
    <mergeCell ref="B18:B20"/>
    <mergeCell ref="A21:A24"/>
    <mergeCell ref="B21:B24"/>
    <mergeCell ref="J21:J24"/>
    <mergeCell ref="O39:P39"/>
    <mergeCell ref="O40:P40"/>
    <mergeCell ref="J18:J20"/>
    <mergeCell ref="O41:P41"/>
    <mergeCell ref="L39:M39"/>
    <mergeCell ref="L40:M40"/>
    <mergeCell ref="L41:M41"/>
  </mergeCells>
  <pageMargins left="0.7" right="0.7" top="0.75" bottom="0.75" header="0.3" footer="0.3"/>
  <pageSetup scale="38" orientation="landscape" r:id="rId1"/>
  <drawing r:id="rId2"/>
  <legacyDrawingHF r:id="rId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9">
    <tabColor theme="1"/>
  </sheetPr>
  <dimension ref="A1:G49"/>
  <sheetViews>
    <sheetView topLeftCell="A19"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RESUMEN!G90</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RESUMEN!B90</f>
        <v>D00235026</v>
      </c>
      <c r="C7" s="1265"/>
      <c r="D7" s="1177"/>
      <c r="E7" s="1266" t="s">
        <v>627</v>
      </c>
      <c r="F7" s="1267"/>
      <c r="G7" s="280" t="str">
        <f>RESUMEN!E90</f>
        <v xml:space="preserve">17-349 </v>
      </c>
    </row>
    <row r="8" spans="1:7" x14ac:dyDescent="0.25">
      <c r="A8" s="271" t="s">
        <v>628</v>
      </c>
      <c r="B8" s="1264" t="str">
        <f>RESUMEN!C90</f>
        <v>D00235026000</v>
      </c>
      <c r="C8" s="1265"/>
      <c r="D8" s="1177"/>
      <c r="E8" s="1266" t="s">
        <v>629</v>
      </c>
      <c r="F8" s="1267"/>
      <c r="G8" s="280" t="str">
        <f>RESUMEN!U90</f>
        <v>Acta N° 2: Marzo</v>
      </c>
    </row>
    <row r="9" spans="1:7" x14ac:dyDescent="0.25">
      <c r="A9" s="271" t="s">
        <v>630</v>
      </c>
      <c r="B9" s="1283" t="s">
        <v>631</v>
      </c>
      <c r="C9" s="1265"/>
      <c r="D9" s="1177"/>
      <c r="E9" s="1266" t="s">
        <v>632</v>
      </c>
      <c r="F9" s="1267"/>
      <c r="G9" s="1178">
        <f>RESUMEN!H90</f>
        <v>292504</v>
      </c>
    </row>
    <row r="10" spans="1:7" x14ac:dyDescent="0.25">
      <c r="A10" s="271" t="s">
        <v>633</v>
      </c>
      <c r="B10" s="1283" t="str">
        <f>RESUMEN!D90</f>
        <v>TERMOZIPA</v>
      </c>
      <c r="C10" s="1265"/>
      <c r="D10" s="1177"/>
      <c r="E10" s="1266" t="s">
        <v>634</v>
      </c>
      <c r="F10" s="1267"/>
      <c r="G10" s="1178">
        <f>RESUMEN!R90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RESUMEN!N90</f>
        <v>0</v>
      </c>
      <c r="F19" s="1248"/>
      <c r="G19" s="1177"/>
    </row>
    <row r="20" spans="1:7" ht="27" customHeight="1" x14ac:dyDescent="0.25">
      <c r="A20" s="1177"/>
      <c r="B20" s="1244" t="s">
        <v>1498</v>
      </c>
      <c r="C20" s="1245"/>
      <c r="D20" s="1246"/>
      <c r="E20" s="1247">
        <f>RESUMEN!P90</f>
        <v>0</v>
      </c>
      <c r="F20" s="1248"/>
      <c r="G20" s="1177"/>
    </row>
    <row r="21" spans="1:7" ht="27" customHeight="1" x14ac:dyDescent="0.25">
      <c r="A21" s="1177"/>
      <c r="B21" s="1244" t="s">
        <v>1499</v>
      </c>
      <c r="C21" s="1245"/>
      <c r="D21" s="1246"/>
      <c r="E21" s="1247">
        <f>RESUMEN!Q90</f>
        <v>0</v>
      </c>
      <c r="F21" s="1248"/>
      <c r="G21" s="1177"/>
    </row>
    <row r="22" spans="1:7" x14ac:dyDescent="0.25">
      <c r="A22" s="1177"/>
      <c r="B22" s="1254" t="s">
        <v>64</v>
      </c>
      <c r="C22" s="1254"/>
      <c r="D22" s="1254"/>
      <c r="E22" s="1255">
        <f>RESUMEN!R90</f>
        <v>0</v>
      </c>
      <c r="F22" s="1255"/>
      <c r="G22" s="1177"/>
    </row>
    <row r="23" spans="1:7" x14ac:dyDescent="0.25">
      <c r="A23" s="1177"/>
      <c r="B23" s="1256" t="s">
        <v>66</v>
      </c>
      <c r="C23" s="1256"/>
      <c r="D23" s="1256"/>
      <c r="E23" s="1257">
        <f>RESUMEN!S90</f>
        <v>0</v>
      </c>
      <c r="F23" s="1257"/>
      <c r="G23" s="1177"/>
    </row>
    <row r="24" spans="1:7" x14ac:dyDescent="0.25">
      <c r="A24" s="1177"/>
      <c r="B24" s="1258" t="s">
        <v>1</v>
      </c>
      <c r="C24" s="1258"/>
      <c r="D24" s="1258"/>
      <c r="E24" s="1259">
        <f>RESUMEN!T90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+'OT17-349 TERMOZIPA'!N27</f>
        <v>ACTA 1</v>
      </c>
      <c r="C28" s="1253">
        <f>+'OT17-349 TERMOZIPA'!O27</f>
        <v>204753</v>
      </c>
      <c r="D28" s="1253"/>
      <c r="E28" s="267">
        <f>+'OT17-349 TERMOZIPA'!P27</f>
        <v>0.70000068375133329</v>
      </c>
      <c r="F28" s="1177"/>
      <c r="G28" s="1177"/>
    </row>
    <row r="29" spans="1:7" x14ac:dyDescent="0.25">
      <c r="A29" s="1177"/>
      <c r="B29" s="280" t="str">
        <f>+'OT17-349 TERMOZIPA'!N28</f>
        <v>ACTA 2</v>
      </c>
      <c r="C29" s="1253">
        <f>+'OT17-349 TERMOZIPA'!O28</f>
        <v>0</v>
      </c>
      <c r="D29" s="1253"/>
      <c r="E29" s="267">
        <f>+'OT17-349 TERMOZIPA'!P28</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204753</v>
      </c>
      <c r="D34" s="1251"/>
      <c r="E34" s="264">
        <f>SUM(E28:E33)</f>
        <v>0.70000068375133329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0">
    <tabColor theme="7"/>
  </sheetPr>
  <dimension ref="A1:S35"/>
  <sheetViews>
    <sheetView zoomScale="55" zoomScaleNormal="55" workbookViewId="0">
      <selection activeCell="O27" sqref="O27"/>
    </sheetView>
  </sheetViews>
  <sheetFormatPr baseColWidth="10" defaultColWidth="9.109375" defaultRowHeight="14.4" x14ac:dyDescent="0.3"/>
  <cols>
    <col min="1" max="1" width="13" style="437" customWidth="1"/>
    <col min="2" max="2" width="24" style="437" customWidth="1"/>
    <col min="3" max="3" width="26.109375" style="437" customWidth="1"/>
    <col min="4" max="4" width="22.33203125" style="437" bestFit="1" customWidth="1"/>
    <col min="5" max="5" width="13" style="437" customWidth="1"/>
    <col min="6" max="7" width="17.88671875" style="437" customWidth="1"/>
    <col min="8" max="8" width="14.109375" style="437" bestFit="1" customWidth="1"/>
    <col min="9" max="9" width="14.109375" style="437" customWidth="1"/>
    <col min="10" max="10" width="46.664062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9.109375" style="437"/>
    <col min="17" max="17" width="17.88671875" style="437" bestFit="1" customWidth="1"/>
    <col min="18" max="18" width="14.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846"/>
      <c r="O1" s="846"/>
      <c r="P1" s="846"/>
      <c r="Q1" s="1328" t="s">
        <v>163</v>
      </c>
      <c r="R1" s="1303"/>
      <c r="S1" s="1304"/>
    </row>
    <row r="2" spans="1:19" ht="13.5" customHeight="1"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1530</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1409</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159"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1" t="s">
        <v>1528</v>
      </c>
      <c r="B14" s="1441" t="s">
        <v>1374</v>
      </c>
      <c r="C14" s="493" t="s">
        <v>81</v>
      </c>
      <c r="D14" s="493" t="s">
        <v>105</v>
      </c>
      <c r="E14" s="493">
        <v>0.7</v>
      </c>
      <c r="F14" s="453">
        <v>417863</v>
      </c>
      <c r="G14" s="32">
        <f>+ROUND(F14*1.051,0)</f>
        <v>439174</v>
      </c>
      <c r="H14" s="453">
        <f>ROUND((E14*F14),0)</f>
        <v>292504</v>
      </c>
      <c r="I14" s="32">
        <f>+ROUND(G14*E14,0)</f>
        <v>307422</v>
      </c>
      <c r="J14" s="1442" t="s">
        <v>1527</v>
      </c>
      <c r="K14" s="558">
        <f>0.7*70%</f>
        <v>0.48999999999999994</v>
      </c>
      <c r="L14" s="429">
        <f>ROUND(K14*F14,0)</f>
        <v>204753</v>
      </c>
      <c r="M14" s="430">
        <f>L14/H14</f>
        <v>0.70000068375133329</v>
      </c>
      <c r="N14" s="452">
        <v>0</v>
      </c>
      <c r="O14" s="425">
        <f>ROUND(N14*G14,0)</f>
        <v>0</v>
      </c>
      <c r="P14" s="426">
        <f>O14/I14</f>
        <v>0</v>
      </c>
      <c r="Q14" s="450">
        <f>K14+N14</f>
        <v>0.48999999999999994</v>
      </c>
      <c r="R14" s="175">
        <f>L14+O14</f>
        <v>204753</v>
      </c>
      <c r="S14" s="176">
        <f>R14/H14</f>
        <v>0.70000068375133329</v>
      </c>
    </row>
    <row r="15" spans="1:19" ht="30" customHeight="1" x14ac:dyDescent="0.3">
      <c r="A15" s="1441"/>
      <c r="B15" s="1441"/>
      <c r="C15" s="493" t="s">
        <v>83</v>
      </c>
      <c r="D15" s="493" t="s">
        <v>107</v>
      </c>
      <c r="E15" s="493">
        <v>0</v>
      </c>
      <c r="F15" s="453">
        <v>1845563</v>
      </c>
      <c r="G15" s="32">
        <f>+ROUND(F15*1.051,0)</f>
        <v>1939687</v>
      </c>
      <c r="H15" s="453">
        <f>ROUND((E15*F15),0)</f>
        <v>0</v>
      </c>
      <c r="I15" s="32">
        <f>+ROUND(G15*E15,0)</f>
        <v>0</v>
      </c>
      <c r="J15" s="1441"/>
      <c r="K15" s="452">
        <v>0</v>
      </c>
      <c r="L15" s="425">
        <f>ROUND(K15*F15,0)</f>
        <v>0</v>
      </c>
      <c r="M15" s="426">
        <v>0</v>
      </c>
      <c r="N15" s="452">
        <v>0</v>
      </c>
      <c r="O15" s="425">
        <f>ROUND(N15*G15,0)</f>
        <v>0</v>
      </c>
      <c r="P15" s="426">
        <v>0</v>
      </c>
      <c r="Q15" s="450">
        <f>K15+N15</f>
        <v>0</v>
      </c>
      <c r="R15" s="175">
        <f t="shared" ref="R15:R16" si="0">L15+O15</f>
        <v>0</v>
      </c>
      <c r="S15" s="176">
        <v>0</v>
      </c>
    </row>
    <row r="16" spans="1:19" ht="15" customHeight="1" x14ac:dyDescent="0.3">
      <c r="A16" s="1441"/>
      <c r="B16" s="1441"/>
      <c r="C16" s="449"/>
      <c r="D16" s="449" t="s">
        <v>108</v>
      </c>
      <c r="E16" s="448"/>
      <c r="F16" s="448"/>
      <c r="G16" s="448"/>
      <c r="H16" s="447">
        <f>SUM(H14:H15)</f>
        <v>292504</v>
      </c>
      <c r="I16" s="447">
        <f>SUM(I14:I15)</f>
        <v>307422</v>
      </c>
      <c r="J16" s="1441"/>
      <c r="K16" s="431"/>
      <c r="L16" s="179">
        <f>SUM(L14:L15)</f>
        <v>204753</v>
      </c>
      <c r="M16" s="431">
        <f>L16/H16</f>
        <v>0.70000068375133329</v>
      </c>
      <c r="N16" s="431"/>
      <c r="O16" s="179">
        <f>SUM(O14:O15)</f>
        <v>0</v>
      </c>
      <c r="P16" s="431">
        <f>O16/L16</f>
        <v>0</v>
      </c>
      <c r="Q16" s="446"/>
      <c r="R16" s="175">
        <f t="shared" si="0"/>
        <v>204753</v>
      </c>
      <c r="S16" s="431">
        <f>R16/H16</f>
        <v>0.70000068375133329</v>
      </c>
    </row>
    <row r="17" spans="1:19" x14ac:dyDescent="0.3">
      <c r="F17" s="445" t="s">
        <v>64</v>
      </c>
      <c r="G17" s="445"/>
      <c r="H17" s="181">
        <f>SUM(H14:H16)/2</f>
        <v>292504</v>
      </c>
      <c r="I17" s="181">
        <f>SUM(I14:I16)/2</f>
        <v>307422</v>
      </c>
      <c r="K17" s="445" t="s">
        <v>64</v>
      </c>
      <c r="L17" s="181">
        <f>SUM(L14:L16)/2</f>
        <v>204753</v>
      </c>
      <c r="M17" s="463">
        <f>L17/H17</f>
        <v>0.70000068375133329</v>
      </c>
      <c r="N17" s="547" t="s">
        <v>64</v>
      </c>
      <c r="O17" s="481">
        <f>SUM(O14:O16)/2</f>
        <v>0</v>
      </c>
      <c r="Q17" s="445" t="s">
        <v>64</v>
      </c>
      <c r="R17" s="181">
        <f>SUM(R14:R16)/2</f>
        <v>204753</v>
      </c>
      <c r="S17" s="463">
        <f>R17/H17</f>
        <v>0.70000068375133329</v>
      </c>
    </row>
    <row r="18" spans="1:19" x14ac:dyDescent="0.3">
      <c r="F18" s="444" t="s">
        <v>65</v>
      </c>
      <c r="G18" s="444"/>
      <c r="H18" s="181">
        <v>0</v>
      </c>
      <c r="I18" s="181">
        <v>0</v>
      </c>
      <c r="K18" s="444" t="s">
        <v>65</v>
      </c>
      <c r="L18" s="181">
        <v>0</v>
      </c>
      <c r="N18" s="548" t="s">
        <v>65</v>
      </c>
      <c r="O18" s="481">
        <v>0</v>
      </c>
      <c r="Q18" s="444" t="s">
        <v>65</v>
      </c>
      <c r="R18" s="181">
        <v>0</v>
      </c>
    </row>
    <row r="19" spans="1:19" x14ac:dyDescent="0.3">
      <c r="F19" s="443" t="s">
        <v>64</v>
      </c>
      <c r="G19" s="443"/>
      <c r="H19" s="340">
        <f>SUM(H17:H18)</f>
        <v>292504</v>
      </c>
      <c r="I19" s="340">
        <f>SUM(I17:I18)</f>
        <v>307422</v>
      </c>
      <c r="K19" s="443" t="s">
        <v>64</v>
      </c>
      <c r="L19" s="340">
        <f>SUM(L17:L18)</f>
        <v>204753</v>
      </c>
      <c r="N19" s="549" t="s">
        <v>64</v>
      </c>
      <c r="O19" s="550">
        <f>SUM(O17:O18)</f>
        <v>0</v>
      </c>
      <c r="Q19" s="443" t="s">
        <v>64</v>
      </c>
      <c r="R19" s="340">
        <f>SUM(R17:R18)</f>
        <v>204753</v>
      </c>
    </row>
    <row r="20" spans="1:19" ht="26.4" x14ac:dyDescent="0.3">
      <c r="F20" s="443"/>
      <c r="G20" s="443"/>
      <c r="H20" s="340"/>
      <c r="I20" s="340"/>
      <c r="K20" s="501" t="s">
        <v>1439</v>
      </c>
      <c r="L20" s="182">
        <f>ROUND(L19*0.015,0)</f>
        <v>3071</v>
      </c>
      <c r="N20" s="501" t="s">
        <v>1439</v>
      </c>
      <c r="O20" s="483">
        <f>ROUND(O19*0.015,0)</f>
        <v>0</v>
      </c>
      <c r="Q20" s="501" t="s">
        <v>1439</v>
      </c>
      <c r="R20" s="340">
        <f>L20+O20</f>
        <v>3071</v>
      </c>
    </row>
    <row r="21" spans="1:19" ht="26.4" x14ac:dyDescent="0.3">
      <c r="F21" s="443"/>
      <c r="G21" s="443"/>
      <c r="H21" s="340"/>
      <c r="I21" s="340"/>
      <c r="K21" s="96" t="s">
        <v>1440</v>
      </c>
      <c r="L21" s="182">
        <f>L19+L20</f>
        <v>207824</v>
      </c>
      <c r="N21" s="96" t="s">
        <v>1440</v>
      </c>
      <c r="O21" s="182">
        <f>O19+O20</f>
        <v>0</v>
      </c>
      <c r="P21" s="463">
        <f>O21/H17</f>
        <v>0</v>
      </c>
      <c r="Q21" s="96" t="s">
        <v>1440</v>
      </c>
      <c r="R21" s="182">
        <f>R19+R20</f>
        <v>207824</v>
      </c>
    </row>
    <row r="22" spans="1:19" x14ac:dyDescent="0.3">
      <c r="F22" s="442" t="s">
        <v>66</v>
      </c>
      <c r="G22" s="442"/>
      <c r="H22" s="181">
        <f>+H19*19%</f>
        <v>55575.76</v>
      </c>
      <c r="I22" s="181">
        <f>+I19*19%</f>
        <v>58410.18</v>
      </c>
      <c r="K22" s="442" t="s">
        <v>66</v>
      </c>
      <c r="L22" s="182">
        <f>L21*0.19</f>
        <v>39486.559999999998</v>
      </c>
      <c r="N22" s="551" t="s">
        <v>66</v>
      </c>
      <c r="O22" s="483">
        <f>O21*0.19</f>
        <v>0</v>
      </c>
      <c r="Q22" s="442" t="s">
        <v>66</v>
      </c>
      <c r="R22" s="182">
        <f>R21*0.19</f>
        <v>39486.559999999998</v>
      </c>
    </row>
    <row r="23" spans="1:19" x14ac:dyDescent="0.3">
      <c r="F23" s="441" t="s">
        <v>69</v>
      </c>
      <c r="G23" s="441"/>
      <c r="H23" s="181">
        <f>+H19+H22</f>
        <v>348079.76</v>
      </c>
      <c r="I23" s="181">
        <f>+I19+I22</f>
        <v>365832.18</v>
      </c>
      <c r="K23" s="441" t="s">
        <v>69</v>
      </c>
      <c r="L23" s="181">
        <f>L21+L22</f>
        <v>247310.56</v>
      </c>
      <c r="N23" s="552" t="s">
        <v>69</v>
      </c>
      <c r="O23" s="481">
        <f>O21+O22</f>
        <v>0</v>
      </c>
      <c r="Q23" s="441" t="s">
        <v>69</v>
      </c>
      <c r="R23" s="181">
        <f>R21+R22</f>
        <v>247310.56</v>
      </c>
    </row>
    <row r="26" spans="1:19" s="189" customFormat="1" ht="26.4" x14ac:dyDescent="0.3">
      <c r="A26" s="183" t="s">
        <v>67</v>
      </c>
      <c r="B26" s="184"/>
      <c r="C26" s="184"/>
      <c r="D26" s="185" t="s">
        <v>68</v>
      </c>
      <c r="G26" s="852"/>
      <c r="I26" s="852"/>
      <c r="K26" s="186" t="s">
        <v>70</v>
      </c>
      <c r="L26" s="187" t="s">
        <v>71</v>
      </c>
      <c r="M26" s="186" t="s">
        <v>58</v>
      </c>
      <c r="N26" s="186" t="s">
        <v>70</v>
      </c>
      <c r="O26" s="187" t="s">
        <v>71</v>
      </c>
      <c r="P26" s="186" t="s">
        <v>58</v>
      </c>
      <c r="Q26" s="437"/>
      <c r="R26" s="437"/>
      <c r="S26" s="437"/>
    </row>
    <row r="27" spans="1:19" s="189" customFormat="1" x14ac:dyDescent="0.3">
      <c r="A27" s="183"/>
      <c r="B27" s="184"/>
      <c r="C27" s="184"/>
      <c r="D27" s="185"/>
      <c r="G27" s="852"/>
      <c r="I27" s="852"/>
      <c r="K27" s="69" t="s">
        <v>72</v>
      </c>
      <c r="L27" s="70">
        <f>$L$17</f>
        <v>204753</v>
      </c>
      <c r="M27" s="71">
        <f>M17</f>
        <v>0.70000068375133329</v>
      </c>
      <c r="N27" s="69" t="s">
        <v>72</v>
      </c>
      <c r="O27" s="70">
        <f>$L$17</f>
        <v>204753</v>
      </c>
      <c r="P27" s="71">
        <f>M17</f>
        <v>0.70000068375133329</v>
      </c>
      <c r="Q27" s="437"/>
      <c r="R27" s="437"/>
      <c r="S27" s="437"/>
    </row>
    <row r="28" spans="1:19" s="852" customFormat="1" x14ac:dyDescent="0.3">
      <c r="A28" s="183"/>
      <c r="B28" s="184"/>
      <c r="C28" s="184"/>
      <c r="D28" s="185"/>
      <c r="K28" s="69"/>
      <c r="L28" s="70"/>
      <c r="M28" s="71"/>
      <c r="N28" s="69" t="s">
        <v>73</v>
      </c>
      <c r="O28" s="70">
        <f>+O21</f>
        <v>0</v>
      </c>
      <c r="P28" s="71">
        <f>+P21</f>
        <v>0</v>
      </c>
      <c r="Q28" s="437"/>
      <c r="R28" s="437"/>
      <c r="S28" s="437"/>
    </row>
    <row r="29" spans="1:19" s="189" customFormat="1" x14ac:dyDescent="0.3">
      <c r="A29" s="183"/>
      <c r="B29" s="184"/>
      <c r="C29" s="184"/>
      <c r="D29" s="185"/>
      <c r="G29" s="852"/>
      <c r="I29" s="852"/>
      <c r="K29" s="72" t="s">
        <v>1</v>
      </c>
      <c r="L29" s="105">
        <f>SUM(L27:L27)</f>
        <v>204753</v>
      </c>
      <c r="M29" s="73">
        <f>SUM(M27:M27)</f>
        <v>0.70000068375133329</v>
      </c>
      <c r="N29" s="72" t="s">
        <v>1</v>
      </c>
      <c r="O29" s="105">
        <f>SUM(O27:O28)</f>
        <v>204753</v>
      </c>
      <c r="P29" s="73">
        <f>SUM(P27:P28)</f>
        <v>0.70000068375133329</v>
      </c>
      <c r="Q29" s="437"/>
      <c r="R29" s="437"/>
      <c r="S29" s="437"/>
    </row>
    <row r="30" spans="1:19" s="189" customFormat="1" x14ac:dyDescent="0.3">
      <c r="A30" s="183"/>
      <c r="B30" s="184"/>
      <c r="C30" s="184"/>
      <c r="D30" s="185"/>
      <c r="G30" s="852"/>
      <c r="I30" s="852"/>
      <c r="K30" s="72" t="s">
        <v>9</v>
      </c>
      <c r="L30" s="1423"/>
      <c r="M30" s="1424"/>
      <c r="N30" s="72" t="s">
        <v>9</v>
      </c>
      <c r="O30" s="1423"/>
      <c r="P30" s="1424"/>
      <c r="Q30" s="437"/>
      <c r="R30" s="437"/>
      <c r="S30" s="437"/>
    </row>
    <row r="31" spans="1:19" s="189" customFormat="1" x14ac:dyDescent="0.3">
      <c r="A31" s="183"/>
      <c r="B31" s="184"/>
      <c r="C31" s="184"/>
      <c r="D31" s="185"/>
      <c r="G31" s="852"/>
      <c r="I31" s="852"/>
      <c r="K31" s="440" t="s">
        <v>78</v>
      </c>
      <c r="L31" s="1423" t="s">
        <v>310</v>
      </c>
      <c r="M31" s="1424"/>
      <c r="N31" s="440" t="s">
        <v>78</v>
      </c>
      <c r="O31" s="1423" t="s">
        <v>310</v>
      </c>
      <c r="P31" s="1424"/>
      <c r="Q31" s="437"/>
      <c r="R31" s="437"/>
      <c r="S31" s="437"/>
    </row>
    <row r="32" spans="1:19" s="189" customFormat="1" x14ac:dyDescent="0.3">
      <c r="A32" s="183"/>
      <c r="B32" s="184"/>
      <c r="C32" s="184"/>
      <c r="D32" s="185"/>
      <c r="G32" s="852"/>
      <c r="I32" s="852"/>
      <c r="K32" s="439" t="s">
        <v>8</v>
      </c>
      <c r="L32" s="1425" t="s">
        <v>311</v>
      </c>
      <c r="M32" s="1426"/>
      <c r="N32" s="439" t="s">
        <v>8</v>
      </c>
      <c r="O32" s="1425" t="s">
        <v>311</v>
      </c>
      <c r="P32" s="1426"/>
      <c r="Q32" s="437"/>
      <c r="R32" s="437"/>
      <c r="S32" s="437"/>
    </row>
    <row r="33" spans="1:16" s="189" customFormat="1" x14ac:dyDescent="0.3">
      <c r="A33" s="183"/>
      <c r="B33" s="184"/>
      <c r="C33" s="184"/>
      <c r="D33" s="185" t="s">
        <v>75</v>
      </c>
      <c r="G33" s="852"/>
      <c r="I33" s="852"/>
      <c r="N33" s="852"/>
      <c r="O33" s="852"/>
      <c r="P33" s="852"/>
    </row>
    <row r="34" spans="1:16" s="189" customFormat="1" x14ac:dyDescent="0.3">
      <c r="A34" s="183" t="s">
        <v>76</v>
      </c>
      <c r="B34" s="180"/>
      <c r="C34" s="180"/>
      <c r="D34" s="185" t="s">
        <v>77</v>
      </c>
      <c r="G34" s="852"/>
      <c r="I34" s="852"/>
      <c r="N34" s="852"/>
      <c r="O34" s="852"/>
      <c r="P34" s="852"/>
    </row>
    <row r="35" spans="1:16" s="189" customFormat="1" ht="26.4" x14ac:dyDescent="0.3">
      <c r="A35" s="183" t="s">
        <v>79</v>
      </c>
      <c r="B35" s="180"/>
      <c r="C35" s="180"/>
      <c r="D35" s="185" t="s">
        <v>80</v>
      </c>
      <c r="G35" s="852"/>
      <c r="I35" s="852"/>
      <c r="N35" s="852"/>
      <c r="O35" s="852"/>
      <c r="P35" s="852"/>
    </row>
  </sheetData>
  <sheetProtection formatCells="0" formatColumns="0" formatRows="0" insertColumns="0" insertRows="0" insertHyperlinks="0" deleteColumns="0" deleteRows="0" sort="0" autoFilter="0" pivotTables="0"/>
  <mergeCells count="25">
    <mergeCell ref="O32:P32"/>
    <mergeCell ref="L32:M32"/>
    <mergeCell ref="A14:A16"/>
    <mergeCell ref="B14:B16"/>
    <mergeCell ref="A10:S10"/>
    <mergeCell ref="B11:J11"/>
    <mergeCell ref="K11:M12"/>
    <mergeCell ref="Q11:S12"/>
    <mergeCell ref="B12:J12"/>
    <mergeCell ref="L30:M30"/>
    <mergeCell ref="L31:M31"/>
    <mergeCell ref="N11:P12"/>
    <mergeCell ref="O30:P30"/>
    <mergeCell ref="O31:P31"/>
    <mergeCell ref="J14:J16"/>
    <mergeCell ref="A6:S6"/>
    <mergeCell ref="A7:S7"/>
    <mergeCell ref="A8:S8"/>
    <mergeCell ref="A9:S9"/>
    <mergeCell ref="Q1:S1"/>
    <mergeCell ref="Q2:S2"/>
    <mergeCell ref="A3:S3"/>
    <mergeCell ref="A4:S4"/>
    <mergeCell ref="A5:S5"/>
    <mergeCell ref="C1:M2"/>
  </mergeCells>
  <pageMargins left="0.7" right="0.7" top="0.75" bottom="0.75" header="0.3" footer="0.3"/>
  <pageSetup scale="72" orientation="landscape" r:id="rId1"/>
  <drawing r:id="rId2"/>
  <legacyDrawing r:id="rId3"/>
  <legacyDrawingHF r:id="rId4"/>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1">
    <tabColor theme="1"/>
  </sheetPr>
  <dimension ref="A1:G49"/>
  <sheetViews>
    <sheetView topLeftCell="A13" zoomScaleNormal="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RESUMEN!B91</f>
        <v>D00243137</v>
      </c>
      <c r="C7" s="1265"/>
      <c r="D7" s="1177"/>
      <c r="E7" s="1266" t="s">
        <v>627</v>
      </c>
      <c r="F7" s="1267"/>
      <c r="G7" s="280" t="str">
        <f>RESUMEN!E91</f>
        <v xml:space="preserve">17-359 </v>
      </c>
    </row>
    <row r="8" spans="1:7" x14ac:dyDescent="0.25">
      <c r="A8" s="271" t="s">
        <v>628</v>
      </c>
      <c r="B8" s="1264" t="str">
        <f>RESUMEN!C91</f>
        <v>D00243137000</v>
      </c>
      <c r="C8" s="1265"/>
      <c r="D8" s="1177"/>
      <c r="E8" s="1266" t="s">
        <v>629</v>
      </c>
      <c r="F8" s="1267"/>
      <c r="G8" s="280" t="str">
        <f>RESUMEN!U91</f>
        <v>Acta N° 2: Marzo</v>
      </c>
    </row>
    <row r="9" spans="1:7" x14ac:dyDescent="0.25">
      <c r="A9" s="271" t="s">
        <v>630</v>
      </c>
      <c r="B9" s="1283" t="s">
        <v>631</v>
      </c>
      <c r="C9" s="1265"/>
      <c r="D9" s="1177"/>
      <c r="E9" s="1266" t="s">
        <v>632</v>
      </c>
      <c r="F9" s="1267"/>
      <c r="G9" s="1178">
        <f>RESUMEN!H91</f>
        <v>10564978</v>
      </c>
    </row>
    <row r="10" spans="1:7" x14ac:dyDescent="0.25">
      <c r="A10" s="271" t="s">
        <v>633</v>
      </c>
      <c r="B10" s="1283" t="str">
        <f>RESUMEN!D91</f>
        <v>LA PITALA</v>
      </c>
      <c r="C10" s="1265"/>
      <c r="D10" s="1177"/>
      <c r="E10" s="1266" t="s">
        <v>634</v>
      </c>
      <c r="F10" s="1267"/>
      <c r="G10" s="1178">
        <f>RESUMEN!R91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RESUMEN!N91</f>
        <v>0</v>
      </c>
      <c r="F19" s="1248"/>
      <c r="G19" s="1177"/>
    </row>
    <row r="20" spans="1:7" ht="27" customHeight="1" x14ac:dyDescent="0.25">
      <c r="A20" s="1177"/>
      <c r="B20" s="1244" t="s">
        <v>1498</v>
      </c>
      <c r="C20" s="1245"/>
      <c r="D20" s="1246"/>
      <c r="E20" s="1247">
        <f>RESUMEN!P91</f>
        <v>0</v>
      </c>
      <c r="F20" s="1248"/>
      <c r="G20" s="1177"/>
    </row>
    <row r="21" spans="1:7" ht="27" customHeight="1" x14ac:dyDescent="0.25">
      <c r="A21" s="1177"/>
      <c r="B21" s="1244" t="s">
        <v>1499</v>
      </c>
      <c r="C21" s="1245"/>
      <c r="D21" s="1246"/>
      <c r="E21" s="1247">
        <f>RESUMEN!Q91</f>
        <v>0</v>
      </c>
      <c r="F21" s="1248"/>
      <c r="G21" s="1177"/>
    </row>
    <row r="22" spans="1:7" x14ac:dyDescent="0.25">
      <c r="A22" s="1177"/>
      <c r="B22" s="1254" t="s">
        <v>64</v>
      </c>
      <c r="C22" s="1254"/>
      <c r="D22" s="1254"/>
      <c r="E22" s="1255">
        <f>RESUMEN!R91</f>
        <v>0</v>
      </c>
      <c r="F22" s="1255"/>
      <c r="G22" s="1177"/>
    </row>
    <row r="23" spans="1:7" x14ac:dyDescent="0.25">
      <c r="A23" s="1177"/>
      <c r="B23" s="1256" t="s">
        <v>66</v>
      </c>
      <c r="C23" s="1256"/>
      <c r="D23" s="1256"/>
      <c r="E23" s="1257">
        <f>RESUMEN!S91</f>
        <v>0</v>
      </c>
      <c r="F23" s="1257"/>
      <c r="G23" s="1177"/>
    </row>
    <row r="24" spans="1:7" x14ac:dyDescent="0.25">
      <c r="A24" s="1177"/>
      <c r="B24" s="1258" t="s">
        <v>1</v>
      </c>
      <c r="C24" s="1258"/>
      <c r="D24" s="1258"/>
      <c r="E24" s="1259">
        <f>RESUMEN!T91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+'OT17-359 LA PITALA'!N47</f>
        <v>ACTA 1</v>
      </c>
      <c r="C28" s="1253">
        <f>+'OT17-359 LA PITALA'!O47</f>
        <v>6985087.8300000001</v>
      </c>
      <c r="D28" s="1253"/>
      <c r="E28" s="267">
        <f>+'OT17-359 LA PITALA'!P47</f>
        <v>0.65978495929914271</v>
      </c>
      <c r="F28" s="1177"/>
      <c r="G28" s="1177"/>
    </row>
    <row r="29" spans="1:7" x14ac:dyDescent="0.25">
      <c r="A29" s="1177"/>
      <c r="B29" s="280" t="str">
        <f>+'OT17-359 LA PITALA'!N48</f>
        <v>ACTA 2</v>
      </c>
      <c r="C29" s="1253">
        <f>+'OT17-359 LA PITALA'!O48</f>
        <v>0</v>
      </c>
      <c r="D29" s="1253"/>
      <c r="E29" s="267">
        <f>+'OT17-359 LA PITALA'!P48</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6985087.8300000001</v>
      </c>
      <c r="D34" s="1251"/>
      <c r="E34" s="264">
        <f>SUM(E28:E33)</f>
        <v>0.65978495929914271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1.3130314960629921" bottom="0.74803149606299213" header="0.31496062992125984" footer="0.31496062992125984"/>
  <pageSetup paperSize="9" scale="82" orientation="portrait" r:id="rId1"/>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2">
    <tabColor rgb="FF92D050"/>
  </sheetPr>
  <dimension ref="A1:S54"/>
  <sheetViews>
    <sheetView view="pageBreakPreview" topLeftCell="C25" zoomScale="60" zoomScaleNormal="70" workbookViewId="0">
      <selection activeCell="M47" sqref="M47"/>
    </sheetView>
  </sheetViews>
  <sheetFormatPr baseColWidth="10" defaultColWidth="11.44140625" defaultRowHeight="14.4" x14ac:dyDescent="0.3"/>
  <cols>
    <col min="1" max="1" width="17.44140625" style="437" customWidth="1"/>
    <col min="2" max="2" width="25.88671875" style="437" customWidth="1"/>
    <col min="3" max="3" width="34" style="437" customWidth="1"/>
    <col min="4" max="4" width="24.44140625" style="437" customWidth="1"/>
    <col min="5" max="5" width="13" style="437" customWidth="1"/>
    <col min="6" max="7" width="17.88671875" style="437" customWidth="1"/>
    <col min="8" max="8" width="17.33203125" style="437" bestFit="1" customWidth="1"/>
    <col min="9" max="9" width="17.33203125" style="437" customWidth="1"/>
    <col min="10" max="10" width="38.44140625" style="437" customWidth="1"/>
    <col min="11" max="11" width="17.88671875" style="437" bestFit="1" customWidth="1"/>
    <col min="12" max="12" width="18" style="437" bestFit="1" customWidth="1"/>
    <col min="13" max="13" width="11.44140625" style="437"/>
    <col min="14" max="14" width="17.88671875" style="437" bestFit="1" customWidth="1"/>
    <col min="15" max="15" width="18" style="437" bestFit="1" customWidth="1"/>
    <col min="16" max="16" width="11.44140625" style="437"/>
    <col min="17" max="17" width="17.88671875" style="437" bestFit="1" customWidth="1"/>
    <col min="18" max="18" width="16.6640625" style="437" bestFit="1" customWidth="1"/>
    <col min="19" max="16384" width="11.44140625" style="437"/>
  </cols>
  <sheetData>
    <row r="1" spans="1:19" ht="22.5" customHeight="1" thickBot="1" x14ac:dyDescent="0.35">
      <c r="A1" s="169"/>
      <c r="B1" s="188"/>
      <c r="C1" s="1307" t="s">
        <v>40</v>
      </c>
      <c r="D1" s="1308"/>
      <c r="E1" s="1308"/>
      <c r="F1" s="1308"/>
      <c r="G1" s="1308"/>
      <c r="H1" s="1308"/>
      <c r="I1" s="1308"/>
      <c r="J1" s="1308"/>
      <c r="K1" s="1308"/>
      <c r="L1" s="1308"/>
      <c r="M1" s="1308"/>
      <c r="N1" s="721"/>
      <c r="O1" s="721"/>
      <c r="P1" s="721"/>
      <c r="Q1" s="1328" t="s">
        <v>163</v>
      </c>
      <c r="R1" s="1303"/>
      <c r="S1" s="1304"/>
    </row>
    <row r="2" spans="1:19" ht="13.5" customHeight="1" thickBot="1" x14ac:dyDescent="0.35">
      <c r="A2" s="170"/>
      <c r="B2" s="190"/>
      <c r="C2" s="1310"/>
      <c r="D2" s="1311"/>
      <c r="E2" s="1311"/>
      <c r="F2" s="1311"/>
      <c r="G2" s="1311"/>
      <c r="H2" s="1311"/>
      <c r="I2" s="1311"/>
      <c r="J2" s="1311"/>
      <c r="K2" s="1311"/>
      <c r="L2" s="1311"/>
      <c r="M2" s="1311"/>
      <c r="N2" s="722"/>
      <c r="O2" s="722"/>
      <c r="P2" s="72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1538</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1" t="s">
        <v>319</v>
      </c>
      <c r="B14" s="1441" t="s">
        <v>1535</v>
      </c>
      <c r="C14" s="493" t="s">
        <v>81</v>
      </c>
      <c r="D14" s="493" t="s">
        <v>207</v>
      </c>
      <c r="E14" s="493">
        <v>0</v>
      </c>
      <c r="F14" s="453">
        <v>800905</v>
      </c>
      <c r="G14" s="32">
        <f>+ROUND(F14*1.051,0)</f>
        <v>841751</v>
      </c>
      <c r="H14" s="453">
        <f>ROUND((E14*F14),0)</f>
        <v>0</v>
      </c>
      <c r="I14" s="32">
        <f>+ROUND(G14*E14,0)</f>
        <v>0</v>
      </c>
      <c r="J14" s="1442" t="s">
        <v>714</v>
      </c>
      <c r="K14" s="452">
        <v>0</v>
      </c>
      <c r="L14" s="425">
        <f>ROUND(K14*F14,0)</f>
        <v>0</v>
      </c>
      <c r="M14" s="426">
        <v>0</v>
      </c>
      <c r="N14" s="452">
        <v>0</v>
      </c>
      <c r="O14" s="425">
        <f>ROUND(N14*G14,0)</f>
        <v>0</v>
      </c>
      <c r="P14" s="426">
        <v>0</v>
      </c>
      <c r="Q14" s="450">
        <f>K14+N14</f>
        <v>0</v>
      </c>
      <c r="R14" s="175">
        <f>L14+O14</f>
        <v>0</v>
      </c>
      <c r="S14" s="176">
        <v>0</v>
      </c>
    </row>
    <row r="15" spans="1:19" ht="30" customHeight="1" x14ac:dyDescent="0.3">
      <c r="A15" s="1441"/>
      <c r="B15" s="1441"/>
      <c r="C15" s="493" t="s">
        <v>83</v>
      </c>
      <c r="D15" s="493" t="s">
        <v>208</v>
      </c>
      <c r="E15" s="493">
        <v>0</v>
      </c>
      <c r="F15" s="453">
        <v>2646468</v>
      </c>
      <c r="G15" s="32">
        <f t="shared" ref="G15:G35" si="0">+ROUND(F15*1.051,0)</f>
        <v>2781438</v>
      </c>
      <c r="H15" s="453">
        <f>ROUND((E15*F15),0)</f>
        <v>0</v>
      </c>
      <c r="I15" s="32">
        <f t="shared" ref="I15:I35" si="1">+ROUND(G15*E15,0)</f>
        <v>0</v>
      </c>
      <c r="J15" s="1441"/>
      <c r="K15" s="452">
        <v>0</v>
      </c>
      <c r="L15" s="425">
        <f>ROUND(K15*F15,0)</f>
        <v>0</v>
      </c>
      <c r="M15" s="426">
        <v>0</v>
      </c>
      <c r="N15" s="452">
        <v>0</v>
      </c>
      <c r="O15" s="425">
        <f t="shared" ref="O15:O16" si="2">ROUND(N15*G15,0)</f>
        <v>0</v>
      </c>
      <c r="P15" s="426">
        <v>0</v>
      </c>
      <c r="Q15" s="450">
        <f t="shared" ref="Q15:Q16" si="3">K15+N15</f>
        <v>0</v>
      </c>
      <c r="R15" s="175">
        <f t="shared" ref="R15:R16" si="4">L15+O15</f>
        <v>0</v>
      </c>
      <c r="S15" s="176">
        <v>0</v>
      </c>
    </row>
    <row r="16" spans="1:19" ht="30" customHeight="1" x14ac:dyDescent="0.3">
      <c r="A16" s="1441"/>
      <c r="B16" s="1441"/>
      <c r="C16" s="493" t="s">
        <v>61</v>
      </c>
      <c r="D16" s="493" t="s">
        <v>209</v>
      </c>
      <c r="E16" s="493">
        <v>0.5</v>
      </c>
      <c r="F16" s="453">
        <v>1775919</v>
      </c>
      <c r="G16" s="32">
        <f t="shared" si="0"/>
        <v>1866491</v>
      </c>
      <c r="H16" s="453">
        <f>ROUND((E16*F16),0)</f>
        <v>887960</v>
      </c>
      <c r="I16" s="32">
        <f t="shared" si="1"/>
        <v>933246</v>
      </c>
      <c r="J16" s="1441"/>
      <c r="K16" s="474">
        <v>0.5</v>
      </c>
      <c r="L16" s="429">
        <f>ROUND(K16*F16,0)</f>
        <v>887960</v>
      </c>
      <c r="M16" s="430">
        <f>L16/H16</f>
        <v>1</v>
      </c>
      <c r="N16" s="452">
        <v>0</v>
      </c>
      <c r="O16" s="425">
        <f t="shared" si="2"/>
        <v>0</v>
      </c>
      <c r="P16" s="426">
        <f t="shared" ref="P16" si="5">O16/I16</f>
        <v>0</v>
      </c>
      <c r="Q16" s="450">
        <f t="shared" si="3"/>
        <v>0.5</v>
      </c>
      <c r="R16" s="175">
        <f t="shared" si="4"/>
        <v>887960</v>
      </c>
      <c r="S16" s="176">
        <f>R16/H16</f>
        <v>1</v>
      </c>
    </row>
    <row r="17" spans="1:19" x14ac:dyDescent="0.3">
      <c r="A17" s="1441"/>
      <c r="B17" s="1441"/>
      <c r="C17" s="449"/>
      <c r="D17" s="449" t="s">
        <v>136</v>
      </c>
      <c r="E17" s="448"/>
      <c r="F17" s="448"/>
      <c r="G17" s="448"/>
      <c r="H17" s="447">
        <f>+H16+H15+H14</f>
        <v>887960</v>
      </c>
      <c r="I17" s="447">
        <f>SUM(I14:I16)</f>
        <v>933246</v>
      </c>
      <c r="J17" s="1441"/>
      <c r="K17" s="431"/>
      <c r="L17" s="179">
        <f>SUM(L14:L16)</f>
        <v>887960</v>
      </c>
      <c r="M17" s="431">
        <f>L17/H17</f>
        <v>1</v>
      </c>
      <c r="N17" s="431"/>
      <c r="O17" s="179">
        <f>SUM(O14:O16)</f>
        <v>0</v>
      </c>
      <c r="P17" s="431">
        <f>O17/L17</f>
        <v>0</v>
      </c>
      <c r="Q17" s="446"/>
      <c r="R17" s="307">
        <f>L17+O17</f>
        <v>887960</v>
      </c>
      <c r="S17" s="431">
        <f>R17/H17</f>
        <v>1</v>
      </c>
    </row>
    <row r="18" spans="1:19" ht="30" customHeight="1" x14ac:dyDescent="0.3">
      <c r="A18" s="1441" t="s">
        <v>280</v>
      </c>
      <c r="B18" s="1441" t="s">
        <v>1533</v>
      </c>
      <c r="C18" s="493" t="s">
        <v>59</v>
      </c>
      <c r="D18" s="493" t="s">
        <v>241</v>
      </c>
      <c r="E18" s="493">
        <v>0.3</v>
      </c>
      <c r="F18" s="453">
        <v>2437535</v>
      </c>
      <c r="G18" s="32">
        <f t="shared" si="0"/>
        <v>2561849</v>
      </c>
      <c r="H18" s="453">
        <f>ROUND((E18*F18),0)</f>
        <v>731261</v>
      </c>
      <c r="I18" s="32">
        <f t="shared" si="1"/>
        <v>768555</v>
      </c>
      <c r="J18" s="1441" t="s">
        <v>1532</v>
      </c>
      <c r="K18" s="474">
        <v>0.3</v>
      </c>
      <c r="L18" s="429">
        <f>ROUND(K18*F18,0)</f>
        <v>731261</v>
      </c>
      <c r="M18" s="430">
        <f>L18/H18</f>
        <v>1</v>
      </c>
      <c r="N18" s="452">
        <v>0</v>
      </c>
      <c r="O18" s="425">
        <f>ROUND(N18*G18,0)</f>
        <v>0</v>
      </c>
      <c r="P18" s="426">
        <f>O18/I18</f>
        <v>0</v>
      </c>
      <c r="Q18" s="450">
        <f>K18+N18</f>
        <v>0.3</v>
      </c>
      <c r="R18" s="175">
        <f>L18+O18</f>
        <v>731261</v>
      </c>
      <c r="S18" s="176">
        <f>R18/H18</f>
        <v>1</v>
      </c>
    </row>
    <row r="19" spans="1:19" x14ac:dyDescent="0.3">
      <c r="A19" s="1441"/>
      <c r="B19" s="1441"/>
      <c r="C19" s="459"/>
      <c r="D19" s="459" t="s">
        <v>242</v>
      </c>
      <c r="E19" s="458"/>
      <c r="F19" s="458"/>
      <c r="G19" s="458"/>
      <c r="H19" s="457">
        <f>H18</f>
        <v>731261</v>
      </c>
      <c r="I19" s="457">
        <f>SUM(I18)</f>
        <v>768555</v>
      </c>
      <c r="J19" s="1441"/>
      <c r="K19" s="431"/>
      <c r="L19" s="179">
        <f>L18</f>
        <v>731261</v>
      </c>
      <c r="M19" s="431">
        <f>L19/H19</f>
        <v>1</v>
      </c>
      <c r="N19" s="431"/>
      <c r="O19" s="179">
        <f>O18</f>
        <v>0</v>
      </c>
      <c r="P19" s="431">
        <f>O19/L19</f>
        <v>0</v>
      </c>
      <c r="Q19" s="446"/>
      <c r="R19" s="307">
        <f>L19+O19</f>
        <v>731261</v>
      </c>
      <c r="S19" s="431">
        <f>R19/H19</f>
        <v>1</v>
      </c>
    </row>
    <row r="20" spans="1:19" ht="30" customHeight="1" x14ac:dyDescent="0.3">
      <c r="A20" s="1441" t="s">
        <v>280</v>
      </c>
      <c r="B20" s="1441" t="s">
        <v>1393</v>
      </c>
      <c r="C20" s="493" t="s">
        <v>83</v>
      </c>
      <c r="D20" s="493" t="s">
        <v>123</v>
      </c>
      <c r="E20" s="493">
        <v>0</v>
      </c>
      <c r="F20" s="453">
        <v>1044658</v>
      </c>
      <c r="G20" s="32">
        <f t="shared" si="0"/>
        <v>1097936</v>
      </c>
      <c r="H20" s="453">
        <f>ROUND((E20*F20),0)</f>
        <v>0</v>
      </c>
      <c r="I20" s="32">
        <f t="shared" si="1"/>
        <v>0</v>
      </c>
      <c r="J20" s="1441" t="s">
        <v>663</v>
      </c>
      <c r="K20" s="452">
        <v>0</v>
      </c>
      <c r="L20" s="425">
        <f>ROUND(K20*F20,0)</f>
        <v>0</v>
      </c>
      <c r="M20" s="426">
        <v>0</v>
      </c>
      <c r="N20" s="452">
        <v>0</v>
      </c>
      <c r="O20" s="425">
        <f t="shared" ref="O20:O21" si="6">ROUND(N20*G20,0)</f>
        <v>0</v>
      </c>
      <c r="P20" s="426">
        <v>0</v>
      </c>
      <c r="Q20" s="450">
        <f t="shared" ref="Q20:Q21" si="7">K20+N20</f>
        <v>0</v>
      </c>
      <c r="R20" s="175">
        <f t="shared" ref="R20:R21" si="8">L20+O20</f>
        <v>0</v>
      </c>
      <c r="S20" s="176">
        <v>0</v>
      </c>
    </row>
    <row r="21" spans="1:19" ht="30" customHeight="1" x14ac:dyDescent="0.3">
      <c r="A21" s="1441"/>
      <c r="B21" s="1441"/>
      <c r="C21" s="493" t="s">
        <v>61</v>
      </c>
      <c r="D21" s="493" t="s">
        <v>125</v>
      </c>
      <c r="E21" s="493">
        <v>0.7</v>
      </c>
      <c r="F21" s="453">
        <v>1009836</v>
      </c>
      <c r="G21" s="32">
        <f t="shared" si="0"/>
        <v>1061338</v>
      </c>
      <c r="H21" s="453">
        <f>ROUND((E21*F21),0)</f>
        <v>706885</v>
      </c>
      <c r="I21" s="32">
        <f t="shared" si="1"/>
        <v>742937</v>
      </c>
      <c r="J21" s="1441"/>
      <c r="K21" s="474">
        <v>0.7</v>
      </c>
      <c r="L21" s="429">
        <f>ROUND(K21*F21,0)</f>
        <v>706885</v>
      </c>
      <c r="M21" s="430">
        <f>L21/H21</f>
        <v>1</v>
      </c>
      <c r="N21" s="452">
        <v>0</v>
      </c>
      <c r="O21" s="425">
        <f t="shared" si="6"/>
        <v>0</v>
      </c>
      <c r="P21" s="426">
        <f t="shared" ref="P21" si="9">O21/I21</f>
        <v>0</v>
      </c>
      <c r="Q21" s="450">
        <f t="shared" si="7"/>
        <v>0.7</v>
      </c>
      <c r="R21" s="175">
        <f t="shared" si="8"/>
        <v>706885</v>
      </c>
      <c r="S21" s="176">
        <f>R21/H21</f>
        <v>1</v>
      </c>
    </row>
    <row r="22" spans="1:19" x14ac:dyDescent="0.3">
      <c r="A22" s="1441"/>
      <c r="B22" s="1441"/>
      <c r="C22" s="459"/>
      <c r="D22" s="459" t="s">
        <v>126</v>
      </c>
      <c r="E22" s="458"/>
      <c r="F22" s="458"/>
      <c r="G22" s="458"/>
      <c r="H22" s="457">
        <f>SUM(H20:H21)</f>
        <v>706885</v>
      </c>
      <c r="I22" s="457">
        <f>SUM(I20:I21)</f>
        <v>742937</v>
      </c>
      <c r="J22" s="1441"/>
      <c r="K22" s="431"/>
      <c r="L22" s="179">
        <f>SUM(L20:L21)</f>
        <v>706885</v>
      </c>
      <c r="M22" s="431">
        <f>L22/H22</f>
        <v>1</v>
      </c>
      <c r="N22" s="431"/>
      <c r="O22" s="179">
        <f>SUM(O20:O21)</f>
        <v>0</v>
      </c>
      <c r="P22" s="431">
        <f>O22/L22</f>
        <v>0</v>
      </c>
      <c r="Q22" s="446"/>
      <c r="R22" s="307">
        <f>L22+O22</f>
        <v>706885</v>
      </c>
      <c r="S22" s="431">
        <f>R22/H22</f>
        <v>1</v>
      </c>
    </row>
    <row r="23" spans="1:19" ht="30" customHeight="1" x14ac:dyDescent="0.3">
      <c r="A23" s="1441" t="s">
        <v>1084</v>
      </c>
      <c r="B23" s="1441" t="s">
        <v>1531</v>
      </c>
      <c r="C23" s="493" t="s">
        <v>81</v>
      </c>
      <c r="D23" s="493" t="s">
        <v>212</v>
      </c>
      <c r="E23" s="493">
        <v>0</v>
      </c>
      <c r="F23" s="453">
        <v>800905</v>
      </c>
      <c r="G23" s="32">
        <f t="shared" si="0"/>
        <v>841751</v>
      </c>
      <c r="H23" s="453">
        <f>ROUND((E23*F23),0)</f>
        <v>0</v>
      </c>
      <c r="I23" s="32">
        <f t="shared" si="1"/>
        <v>0</v>
      </c>
      <c r="J23" s="1441" t="s">
        <v>1534</v>
      </c>
      <c r="K23" s="452">
        <v>0</v>
      </c>
      <c r="L23" s="425">
        <f>ROUND(K23*F23,0)</f>
        <v>0</v>
      </c>
      <c r="M23" s="426">
        <v>0</v>
      </c>
      <c r="N23" s="452">
        <v>0</v>
      </c>
      <c r="O23" s="425">
        <f t="shared" ref="O23:O25" si="10">ROUND(N23*G23,0)</f>
        <v>0</v>
      </c>
      <c r="P23" s="426">
        <v>0</v>
      </c>
      <c r="Q23" s="450">
        <f t="shared" ref="Q23:Q25" si="11">K23+N23</f>
        <v>0</v>
      </c>
      <c r="R23" s="175">
        <f t="shared" ref="R23:R25" si="12">L23+O23</f>
        <v>0</v>
      </c>
      <c r="S23" s="176">
        <v>0</v>
      </c>
    </row>
    <row r="24" spans="1:19" ht="30" customHeight="1" x14ac:dyDescent="0.3">
      <c r="A24" s="1441"/>
      <c r="B24" s="1441"/>
      <c r="C24" s="493" t="s">
        <v>83</v>
      </c>
      <c r="D24" s="493" t="s">
        <v>213</v>
      </c>
      <c r="E24" s="493">
        <v>0.7</v>
      </c>
      <c r="F24" s="453">
        <v>2646468</v>
      </c>
      <c r="G24" s="32">
        <f t="shared" si="0"/>
        <v>2781438</v>
      </c>
      <c r="H24" s="453">
        <f>ROUND((E24*F24),0)</f>
        <v>1852528</v>
      </c>
      <c r="I24" s="32">
        <f t="shared" si="1"/>
        <v>1947007</v>
      </c>
      <c r="J24" s="1441"/>
      <c r="K24" s="452">
        <v>0</v>
      </c>
      <c r="L24" s="425">
        <f>ROUND(K24*F24,0)</f>
        <v>0</v>
      </c>
      <c r="M24" s="426">
        <f>L24/H24</f>
        <v>0</v>
      </c>
      <c r="N24" s="452">
        <v>0</v>
      </c>
      <c r="O24" s="425">
        <f t="shared" si="10"/>
        <v>0</v>
      </c>
      <c r="P24" s="426">
        <f t="shared" ref="P24:P25" si="13">O24/I24</f>
        <v>0</v>
      </c>
      <c r="Q24" s="450">
        <f t="shared" si="11"/>
        <v>0</v>
      </c>
      <c r="R24" s="175">
        <f t="shared" si="12"/>
        <v>0</v>
      </c>
      <c r="S24" s="176">
        <f>R24/H24</f>
        <v>0</v>
      </c>
    </row>
    <row r="25" spans="1:19" ht="30" customHeight="1" x14ac:dyDescent="0.3">
      <c r="A25" s="1441"/>
      <c r="B25" s="1441"/>
      <c r="C25" s="493" t="s">
        <v>61</v>
      </c>
      <c r="D25" s="493" t="s">
        <v>214</v>
      </c>
      <c r="E25" s="493">
        <v>0.7</v>
      </c>
      <c r="F25" s="453">
        <v>2228604</v>
      </c>
      <c r="G25" s="32">
        <f t="shared" si="0"/>
        <v>2342263</v>
      </c>
      <c r="H25" s="453">
        <f>ROUND((E25*F25),0)</f>
        <v>1560023</v>
      </c>
      <c r="I25" s="32">
        <f t="shared" si="1"/>
        <v>1639584</v>
      </c>
      <c r="J25" s="1441"/>
      <c r="K25" s="474">
        <v>0.7</v>
      </c>
      <c r="L25" s="429">
        <f>ROUND(K25*F25,0)</f>
        <v>1560023</v>
      </c>
      <c r="M25" s="430">
        <f>L25/H25</f>
        <v>1</v>
      </c>
      <c r="N25" s="452">
        <v>0</v>
      </c>
      <c r="O25" s="425">
        <f t="shared" si="10"/>
        <v>0</v>
      </c>
      <c r="P25" s="426">
        <f t="shared" si="13"/>
        <v>0</v>
      </c>
      <c r="Q25" s="450">
        <f t="shared" si="11"/>
        <v>0.7</v>
      </c>
      <c r="R25" s="175">
        <f t="shared" si="12"/>
        <v>1560023</v>
      </c>
      <c r="S25" s="176">
        <f>R25/H25</f>
        <v>1</v>
      </c>
    </row>
    <row r="26" spans="1:19" x14ac:dyDescent="0.3">
      <c r="A26" s="1441"/>
      <c r="B26" s="1441"/>
      <c r="C26" s="459"/>
      <c r="D26" s="459" t="s">
        <v>215</v>
      </c>
      <c r="E26" s="458"/>
      <c r="F26" s="458"/>
      <c r="G26" s="458"/>
      <c r="H26" s="457">
        <f>SUM(H23:H25)</f>
        <v>3412551</v>
      </c>
      <c r="I26" s="457">
        <f>SUM(I23:I25)</f>
        <v>3586591</v>
      </c>
      <c r="J26" s="1441"/>
      <c r="K26" s="431"/>
      <c r="L26" s="179">
        <f>SUM(L23:L25)</f>
        <v>1560023</v>
      </c>
      <c r="M26" s="431">
        <f>L26/H26</f>
        <v>0.45714276504585571</v>
      </c>
      <c r="N26" s="431"/>
      <c r="O26" s="179">
        <f>SUM(O23:O25)</f>
        <v>0</v>
      </c>
      <c r="P26" s="431">
        <f>O26/L26</f>
        <v>0</v>
      </c>
      <c r="Q26" s="446"/>
      <c r="R26" s="307">
        <f>L26+O26</f>
        <v>1560023</v>
      </c>
      <c r="S26" s="431">
        <f>R26/H26</f>
        <v>0.45714276504585571</v>
      </c>
    </row>
    <row r="27" spans="1:19" ht="30" customHeight="1" x14ac:dyDescent="0.3">
      <c r="A27" s="1441" t="s">
        <v>1537</v>
      </c>
      <c r="B27" s="1441" t="s">
        <v>1393</v>
      </c>
      <c r="C27" s="493" t="s">
        <v>83</v>
      </c>
      <c r="D27" s="493" t="s">
        <v>123</v>
      </c>
      <c r="E27" s="493">
        <v>0</v>
      </c>
      <c r="F27" s="453">
        <v>1044658</v>
      </c>
      <c r="G27" s="32">
        <f t="shared" si="0"/>
        <v>1097936</v>
      </c>
      <c r="H27" s="453">
        <f>ROUND((E27*F27),0)</f>
        <v>0</v>
      </c>
      <c r="I27" s="32">
        <f t="shared" si="1"/>
        <v>0</v>
      </c>
      <c r="J27" s="1441" t="s">
        <v>1536</v>
      </c>
      <c r="K27" s="452">
        <v>0</v>
      </c>
      <c r="L27" s="425">
        <f>ROUND(K27*F27,0)</f>
        <v>0</v>
      </c>
      <c r="M27" s="426">
        <v>0</v>
      </c>
      <c r="N27" s="452">
        <v>0</v>
      </c>
      <c r="O27" s="425">
        <f t="shared" ref="O27:O28" si="14">ROUND(N27*G27,0)</f>
        <v>0</v>
      </c>
      <c r="P27" s="426">
        <v>0</v>
      </c>
      <c r="Q27" s="450">
        <f t="shared" ref="Q27:Q28" si="15">K27+N27</f>
        <v>0</v>
      </c>
      <c r="R27" s="175">
        <f t="shared" ref="R27:R28" si="16">L27+O27</f>
        <v>0</v>
      </c>
      <c r="S27" s="176">
        <v>0</v>
      </c>
    </row>
    <row r="28" spans="1:19" ht="30" customHeight="1" x14ac:dyDescent="0.3">
      <c r="A28" s="1441"/>
      <c r="B28" s="1441"/>
      <c r="C28" s="493" t="s">
        <v>61</v>
      </c>
      <c r="D28" s="493" t="s">
        <v>125</v>
      </c>
      <c r="E28" s="493">
        <v>0.7</v>
      </c>
      <c r="F28" s="453">
        <v>1009836</v>
      </c>
      <c r="G28" s="32">
        <f t="shared" si="0"/>
        <v>1061338</v>
      </c>
      <c r="H28" s="453">
        <f>ROUND((E28*F28),0)</f>
        <v>706885</v>
      </c>
      <c r="I28" s="32">
        <f t="shared" si="1"/>
        <v>742937</v>
      </c>
      <c r="J28" s="1441"/>
      <c r="K28" s="474">
        <v>0.7</v>
      </c>
      <c r="L28" s="429">
        <f>ROUND(K28*F28,0)</f>
        <v>706885</v>
      </c>
      <c r="M28" s="430">
        <f>L28/H28</f>
        <v>1</v>
      </c>
      <c r="N28" s="452">
        <v>0</v>
      </c>
      <c r="O28" s="425">
        <f t="shared" si="14"/>
        <v>0</v>
      </c>
      <c r="P28" s="426">
        <f t="shared" ref="P28" si="17">O28/I28</f>
        <v>0</v>
      </c>
      <c r="Q28" s="450">
        <f t="shared" si="15"/>
        <v>0.7</v>
      </c>
      <c r="R28" s="175">
        <f t="shared" si="16"/>
        <v>706885</v>
      </c>
      <c r="S28" s="176">
        <f>R28/H28</f>
        <v>1</v>
      </c>
    </row>
    <row r="29" spans="1:19" x14ac:dyDescent="0.3">
      <c r="A29" s="1441"/>
      <c r="B29" s="1441"/>
      <c r="C29" s="459"/>
      <c r="D29" s="459" t="s">
        <v>126</v>
      </c>
      <c r="E29" s="458"/>
      <c r="F29" s="458"/>
      <c r="G29" s="458"/>
      <c r="H29" s="457">
        <f>SUM(H27:H28)</f>
        <v>706885</v>
      </c>
      <c r="I29" s="457">
        <f>SUM(I27:I28)</f>
        <v>742937</v>
      </c>
      <c r="J29" s="1441"/>
      <c r="K29" s="431"/>
      <c r="L29" s="179">
        <f>SUM(L27:L28)</f>
        <v>706885</v>
      </c>
      <c r="M29" s="431">
        <f>L29/H29</f>
        <v>1</v>
      </c>
      <c r="N29" s="431"/>
      <c r="O29" s="179">
        <f>SUM(O27:O28)</f>
        <v>0</v>
      </c>
      <c r="P29" s="431">
        <f>O29/L29</f>
        <v>0</v>
      </c>
      <c r="Q29" s="446"/>
      <c r="R29" s="307">
        <f>L29+O29</f>
        <v>706885</v>
      </c>
      <c r="S29" s="431">
        <f>R29/H29</f>
        <v>1</v>
      </c>
    </row>
    <row r="30" spans="1:19" ht="30" customHeight="1" x14ac:dyDescent="0.3">
      <c r="A30" s="1441" t="s">
        <v>1085</v>
      </c>
      <c r="B30" s="1441" t="s">
        <v>1531</v>
      </c>
      <c r="C30" s="493" t="s">
        <v>81</v>
      </c>
      <c r="D30" s="493" t="s">
        <v>212</v>
      </c>
      <c r="E30" s="493">
        <v>0</v>
      </c>
      <c r="F30" s="453">
        <v>800905</v>
      </c>
      <c r="G30" s="32">
        <f t="shared" si="0"/>
        <v>841751</v>
      </c>
      <c r="H30" s="453">
        <f>ROUND((E30*F30),0)</f>
        <v>0</v>
      </c>
      <c r="I30" s="32">
        <f t="shared" si="1"/>
        <v>0</v>
      </c>
      <c r="J30" s="1441" t="s">
        <v>1534</v>
      </c>
      <c r="K30" s="452">
        <v>0</v>
      </c>
      <c r="L30" s="425">
        <f>ROUND(K30*F30,0)</f>
        <v>0</v>
      </c>
      <c r="M30" s="426">
        <v>0</v>
      </c>
      <c r="N30" s="452">
        <v>0</v>
      </c>
      <c r="O30" s="425">
        <f t="shared" ref="O30:O32" si="18">ROUND(N30*G30,0)</f>
        <v>0</v>
      </c>
      <c r="P30" s="426">
        <v>0</v>
      </c>
      <c r="Q30" s="450">
        <f t="shared" ref="Q30:Q32" si="19">K30+N30</f>
        <v>0</v>
      </c>
      <c r="R30" s="175">
        <f t="shared" ref="R30:R32" si="20">L30+O30</f>
        <v>0</v>
      </c>
      <c r="S30" s="176">
        <v>0</v>
      </c>
    </row>
    <row r="31" spans="1:19" ht="30" customHeight="1" x14ac:dyDescent="0.3">
      <c r="A31" s="1441"/>
      <c r="B31" s="1441"/>
      <c r="C31" s="493" t="s">
        <v>83</v>
      </c>
      <c r="D31" s="493" t="s">
        <v>213</v>
      </c>
      <c r="E31" s="493">
        <v>0.7</v>
      </c>
      <c r="F31" s="453">
        <v>2646468</v>
      </c>
      <c r="G31" s="32">
        <f t="shared" si="0"/>
        <v>2781438</v>
      </c>
      <c r="H31" s="453">
        <f>ROUND((E31*F31),0)</f>
        <v>1852528</v>
      </c>
      <c r="I31" s="32">
        <f t="shared" si="1"/>
        <v>1947007</v>
      </c>
      <c r="J31" s="1441"/>
      <c r="K31" s="452">
        <v>0</v>
      </c>
      <c r="L31" s="425">
        <f>ROUND(K31*F31,0)</f>
        <v>0</v>
      </c>
      <c r="M31" s="426">
        <f>L31/H31</f>
        <v>0</v>
      </c>
      <c r="N31" s="452">
        <v>0</v>
      </c>
      <c r="O31" s="425">
        <f t="shared" si="18"/>
        <v>0</v>
      </c>
      <c r="P31" s="426">
        <f t="shared" ref="P31:P32" si="21">O31/I31</f>
        <v>0</v>
      </c>
      <c r="Q31" s="450">
        <f t="shared" si="19"/>
        <v>0</v>
      </c>
      <c r="R31" s="175">
        <f t="shared" si="20"/>
        <v>0</v>
      </c>
      <c r="S31" s="176">
        <f>R31/H31</f>
        <v>0</v>
      </c>
    </row>
    <row r="32" spans="1:19" ht="30" customHeight="1" x14ac:dyDescent="0.3">
      <c r="A32" s="1441"/>
      <c r="B32" s="1441"/>
      <c r="C32" s="493" t="s">
        <v>61</v>
      </c>
      <c r="D32" s="493" t="s">
        <v>214</v>
      </c>
      <c r="E32" s="493">
        <v>0.7</v>
      </c>
      <c r="F32" s="453">
        <v>2228604</v>
      </c>
      <c r="G32" s="32">
        <f t="shared" si="0"/>
        <v>2342263</v>
      </c>
      <c r="H32" s="453">
        <f>ROUND((E32*F32),0)</f>
        <v>1560023</v>
      </c>
      <c r="I32" s="32">
        <f t="shared" si="1"/>
        <v>1639584</v>
      </c>
      <c r="J32" s="1441"/>
      <c r="K32" s="474">
        <v>0.7</v>
      </c>
      <c r="L32" s="429">
        <f>ROUND(K32*F32,0)</f>
        <v>1560023</v>
      </c>
      <c r="M32" s="430">
        <f>L32/H32</f>
        <v>1</v>
      </c>
      <c r="N32" s="452">
        <v>0</v>
      </c>
      <c r="O32" s="425">
        <f t="shared" si="18"/>
        <v>0</v>
      </c>
      <c r="P32" s="426">
        <f t="shared" si="21"/>
        <v>0</v>
      </c>
      <c r="Q32" s="450">
        <f t="shared" si="19"/>
        <v>0.7</v>
      </c>
      <c r="R32" s="175">
        <f t="shared" si="20"/>
        <v>1560023</v>
      </c>
      <c r="S32" s="176">
        <f>R32/H32</f>
        <v>1</v>
      </c>
    </row>
    <row r="33" spans="1:19" x14ac:dyDescent="0.3">
      <c r="A33" s="1441"/>
      <c r="B33" s="1441"/>
      <c r="C33" s="459"/>
      <c r="D33" s="459" t="s">
        <v>215</v>
      </c>
      <c r="E33" s="458"/>
      <c r="F33" s="458"/>
      <c r="G33" s="458"/>
      <c r="H33" s="457">
        <f>SUM(H30:H32)</f>
        <v>3412551</v>
      </c>
      <c r="I33" s="457">
        <f>SUM(I30:I32)</f>
        <v>3586591</v>
      </c>
      <c r="J33" s="1441"/>
      <c r="K33" s="431"/>
      <c r="L33" s="179">
        <f>SUM(L30:L32)</f>
        <v>1560023</v>
      </c>
      <c r="M33" s="431">
        <f>L33/H33</f>
        <v>0.45714276504585571</v>
      </c>
      <c r="N33" s="431"/>
      <c r="O33" s="179">
        <f>SUM(O30:O32)</f>
        <v>0</v>
      </c>
      <c r="P33" s="431">
        <f>O33/L33</f>
        <v>0</v>
      </c>
      <c r="Q33" s="446"/>
      <c r="R33" s="307">
        <f>L33+O33</f>
        <v>1560023</v>
      </c>
      <c r="S33" s="431">
        <f>R33/H33</f>
        <v>0.45714276504585571</v>
      </c>
    </row>
    <row r="34" spans="1:19" ht="30" customHeight="1" x14ac:dyDescent="0.3">
      <c r="A34" s="1441" t="s">
        <v>1085</v>
      </c>
      <c r="B34" s="1441" t="s">
        <v>1393</v>
      </c>
      <c r="C34" s="493" t="s">
        <v>83</v>
      </c>
      <c r="D34" s="493" t="s">
        <v>123</v>
      </c>
      <c r="E34" s="493">
        <v>0</v>
      </c>
      <c r="F34" s="453">
        <v>1044658</v>
      </c>
      <c r="G34" s="32">
        <f t="shared" si="0"/>
        <v>1097936</v>
      </c>
      <c r="H34" s="453">
        <f>ROUND((E34*F34),0)</f>
        <v>0</v>
      </c>
      <c r="I34" s="32">
        <f t="shared" si="1"/>
        <v>0</v>
      </c>
      <c r="J34" s="1441" t="s">
        <v>1536</v>
      </c>
      <c r="K34" s="452">
        <v>0</v>
      </c>
      <c r="L34" s="425">
        <f>ROUND(K34*F34,0)</f>
        <v>0</v>
      </c>
      <c r="M34" s="426">
        <v>0</v>
      </c>
      <c r="N34" s="452">
        <v>0</v>
      </c>
      <c r="O34" s="425">
        <f t="shared" ref="O34" si="22">ROUND(N34*G34,0)</f>
        <v>0</v>
      </c>
      <c r="P34" s="426">
        <v>0</v>
      </c>
      <c r="Q34" s="450">
        <f t="shared" ref="Q34:Q35" si="23">K34+N34</f>
        <v>0</v>
      </c>
      <c r="R34" s="175">
        <f t="shared" ref="R34:R35" si="24">L34+O34</f>
        <v>0</v>
      </c>
      <c r="S34" s="176">
        <v>0</v>
      </c>
    </row>
    <row r="35" spans="1:19" ht="30" customHeight="1" x14ac:dyDescent="0.3">
      <c r="A35" s="1441"/>
      <c r="B35" s="1441"/>
      <c r="C35" s="493" t="s">
        <v>61</v>
      </c>
      <c r="D35" s="493" t="s">
        <v>125</v>
      </c>
      <c r="E35" s="493">
        <v>0.7</v>
      </c>
      <c r="F35" s="453">
        <v>1009836</v>
      </c>
      <c r="G35" s="32">
        <f t="shared" si="0"/>
        <v>1061338</v>
      </c>
      <c r="H35" s="453">
        <f>ROUND((E35*F35),0)</f>
        <v>706885</v>
      </c>
      <c r="I35" s="32">
        <f t="shared" si="1"/>
        <v>742937</v>
      </c>
      <c r="J35" s="1441"/>
      <c r="K35" s="474">
        <v>0.7</v>
      </c>
      <c r="L35" s="429">
        <f>ROUND(K35*F35,0)</f>
        <v>706885</v>
      </c>
      <c r="M35" s="430">
        <f>L35/H35</f>
        <v>1</v>
      </c>
      <c r="N35" s="452">
        <v>0</v>
      </c>
      <c r="O35" s="425">
        <f>ROUND(N35*G35,0)</f>
        <v>0</v>
      </c>
      <c r="P35" s="426">
        <f t="shared" ref="P35" si="25">O35/I35</f>
        <v>0</v>
      </c>
      <c r="Q35" s="450">
        <f t="shared" si="23"/>
        <v>0.7</v>
      </c>
      <c r="R35" s="175">
        <f t="shared" si="24"/>
        <v>706885</v>
      </c>
      <c r="S35" s="176">
        <f>R35/H35</f>
        <v>1</v>
      </c>
    </row>
    <row r="36" spans="1:19" x14ac:dyDescent="0.3">
      <c r="A36" s="1441"/>
      <c r="B36" s="1441"/>
      <c r="C36" s="459"/>
      <c r="D36" s="459" t="s">
        <v>126</v>
      </c>
      <c r="E36" s="458"/>
      <c r="F36" s="458"/>
      <c r="G36" s="458"/>
      <c r="H36" s="457">
        <f>SUM(H34:H35)</f>
        <v>706885</v>
      </c>
      <c r="I36" s="457">
        <f>SUM(I34:I35)</f>
        <v>742937</v>
      </c>
      <c r="J36" s="1441"/>
      <c r="K36" s="431"/>
      <c r="L36" s="179">
        <f>SUM(L34:L35)</f>
        <v>706885</v>
      </c>
      <c r="M36" s="431">
        <f>L36/H36</f>
        <v>1</v>
      </c>
      <c r="N36" s="431"/>
      <c r="O36" s="179">
        <f>SUM(O34:O35)</f>
        <v>0</v>
      </c>
      <c r="P36" s="431">
        <f>O36/L36</f>
        <v>0</v>
      </c>
      <c r="Q36" s="562"/>
      <c r="R36" s="307">
        <f>L36+O36</f>
        <v>706885</v>
      </c>
      <c r="S36" s="431">
        <f>R36/H36</f>
        <v>1</v>
      </c>
    </row>
    <row r="37" spans="1:19" x14ac:dyDescent="0.3">
      <c r="F37" s="445" t="s">
        <v>64</v>
      </c>
      <c r="G37" s="445"/>
      <c r="H37" s="181">
        <f>SUM(H14:H36)/2</f>
        <v>10564978</v>
      </c>
      <c r="I37" s="181">
        <f>SUM(I14:I36)/2</f>
        <v>11103794</v>
      </c>
      <c r="K37" s="547" t="s">
        <v>64</v>
      </c>
      <c r="L37" s="481">
        <f>SUM(L14:L36)/2</f>
        <v>6859922</v>
      </c>
      <c r="N37" s="547" t="s">
        <v>64</v>
      </c>
      <c r="O37" s="481">
        <f>SUM(O14:O36)/2</f>
        <v>0</v>
      </c>
      <c r="Q37" s="547" t="s">
        <v>64</v>
      </c>
      <c r="R37" s="481">
        <f>SUM(R14:R36)/2</f>
        <v>6859922</v>
      </c>
    </row>
    <row r="38" spans="1:19" x14ac:dyDescent="0.3">
      <c r="F38" s="444" t="s">
        <v>65</v>
      </c>
      <c r="G38" s="444"/>
      <c r="H38" s="181">
        <f>(H19*0.03)</f>
        <v>21937.829999999998</v>
      </c>
      <c r="I38" s="181">
        <f>(I19*0.03)</f>
        <v>23056.649999999998</v>
      </c>
      <c r="K38" s="548" t="s">
        <v>65</v>
      </c>
      <c r="L38" s="481">
        <f>(L19*0.03)</f>
        <v>21937.829999999998</v>
      </c>
      <c r="N38" s="548" t="s">
        <v>65</v>
      </c>
      <c r="O38" s="481">
        <v>0</v>
      </c>
      <c r="Q38" s="548" t="s">
        <v>65</v>
      </c>
      <c r="R38" s="481">
        <f>(R19*0.03)</f>
        <v>21937.829999999998</v>
      </c>
    </row>
    <row r="39" spans="1:19" x14ac:dyDescent="0.3">
      <c r="F39" s="443" t="s">
        <v>64</v>
      </c>
      <c r="G39" s="443"/>
      <c r="H39" s="340">
        <f>SUM(H37:H38)</f>
        <v>10586915.83</v>
      </c>
      <c r="I39" s="340">
        <f>SUM(I37:I38)</f>
        <v>11126850.65</v>
      </c>
      <c r="K39" s="549" t="s">
        <v>64</v>
      </c>
      <c r="L39" s="550">
        <f>SUM(L37:L38)</f>
        <v>6881859.8300000001</v>
      </c>
      <c r="N39" s="549" t="s">
        <v>64</v>
      </c>
      <c r="O39" s="550">
        <f>SUM(O37:O38)</f>
        <v>0</v>
      </c>
      <c r="Q39" s="549" t="s">
        <v>64</v>
      </c>
      <c r="R39" s="550">
        <f>SUM(R37:R38)</f>
        <v>6881859.8300000001</v>
      </c>
    </row>
    <row r="40" spans="1:19" ht="26.4" x14ac:dyDescent="0.3">
      <c r="F40" s="443"/>
      <c r="G40" s="443"/>
      <c r="H40" s="340"/>
      <c r="I40" s="340"/>
      <c r="K40" s="501" t="s">
        <v>1439</v>
      </c>
      <c r="L40" s="483">
        <f>ROUND(L39*0.015,0)</f>
        <v>103228</v>
      </c>
      <c r="N40" s="501" t="s">
        <v>1439</v>
      </c>
      <c r="O40" s="483">
        <f>ROUND(O39*0.015,0)</f>
        <v>0</v>
      </c>
      <c r="Q40" s="501" t="s">
        <v>1439</v>
      </c>
      <c r="R40" s="550">
        <f>L40+O40</f>
        <v>103228</v>
      </c>
    </row>
    <row r="41" spans="1:19" ht="26.4" x14ac:dyDescent="0.3">
      <c r="F41" s="443"/>
      <c r="G41" s="443"/>
      <c r="H41" s="340"/>
      <c r="I41" s="340"/>
      <c r="K41" s="96" t="s">
        <v>1440</v>
      </c>
      <c r="L41" s="182">
        <f>L39+L40</f>
        <v>6985087.8300000001</v>
      </c>
      <c r="M41" s="463">
        <f>L41/H39</f>
        <v>0.65978495929914271</v>
      </c>
      <c r="N41" s="96" t="s">
        <v>1440</v>
      </c>
      <c r="O41" s="182">
        <f>O39+O40</f>
        <v>0</v>
      </c>
      <c r="P41" s="463">
        <f>O41/H39</f>
        <v>0</v>
      </c>
      <c r="Q41" s="96" t="s">
        <v>1440</v>
      </c>
      <c r="R41" s="182">
        <f>R39+R40</f>
        <v>6985087.8300000001</v>
      </c>
      <c r="S41" s="463">
        <f>R41/H39</f>
        <v>0.65978495929914271</v>
      </c>
    </row>
    <row r="42" spans="1:19" x14ac:dyDescent="0.3">
      <c r="F42" s="442" t="s">
        <v>66</v>
      </c>
      <c r="G42" s="442"/>
      <c r="H42" s="181">
        <f>+H39*19%</f>
        <v>2011514.0077</v>
      </c>
      <c r="I42" s="181">
        <f>+I39*19%</f>
        <v>2114101.6235000002</v>
      </c>
      <c r="K42" s="551" t="s">
        <v>66</v>
      </c>
      <c r="L42" s="483">
        <f>L41*0.19</f>
        <v>1327166.6877000001</v>
      </c>
      <c r="N42" s="551" t="s">
        <v>66</v>
      </c>
      <c r="O42" s="483">
        <f>O41*0.19</f>
        <v>0</v>
      </c>
      <c r="Q42" s="551" t="s">
        <v>66</v>
      </c>
      <c r="R42" s="483">
        <f>R41*0.19</f>
        <v>1327166.6877000001</v>
      </c>
    </row>
    <row r="43" spans="1:19" x14ac:dyDescent="0.3">
      <c r="F43" s="441" t="s">
        <v>69</v>
      </c>
      <c r="G43" s="441"/>
      <c r="H43" s="181">
        <f>+H39+H42</f>
        <v>12598429.8377</v>
      </c>
      <c r="I43" s="181">
        <f>+I39+I42</f>
        <v>13240952.273500001</v>
      </c>
      <c r="K43" s="552" t="s">
        <v>69</v>
      </c>
      <c r="L43" s="481">
        <f>L41+L42</f>
        <v>8312254.5176999997</v>
      </c>
      <c r="N43" s="552" t="s">
        <v>69</v>
      </c>
      <c r="O43" s="481">
        <f>O41+O42</f>
        <v>0</v>
      </c>
      <c r="Q43" s="552" t="s">
        <v>69</v>
      </c>
      <c r="R43" s="481">
        <f>R41+R42</f>
        <v>8312254.5176999997</v>
      </c>
    </row>
    <row r="46" spans="1:19" s="189" customFormat="1" x14ac:dyDescent="0.3">
      <c r="A46" s="183" t="s">
        <v>67</v>
      </c>
      <c r="B46" s="184"/>
      <c r="C46" s="184"/>
      <c r="D46" s="185" t="s">
        <v>68</v>
      </c>
      <c r="G46" s="852"/>
      <c r="I46" s="852"/>
      <c r="K46" s="186" t="s">
        <v>70</v>
      </c>
      <c r="L46" s="187" t="s">
        <v>71</v>
      </c>
      <c r="M46" s="186" t="s">
        <v>58</v>
      </c>
      <c r="N46" s="186" t="s">
        <v>70</v>
      </c>
      <c r="O46" s="187" t="s">
        <v>71</v>
      </c>
      <c r="P46" s="186" t="s">
        <v>58</v>
      </c>
      <c r="Q46" s="437"/>
      <c r="R46" s="437"/>
      <c r="S46" s="437"/>
    </row>
    <row r="47" spans="1:19" s="189" customFormat="1" x14ac:dyDescent="0.3">
      <c r="A47" s="183"/>
      <c r="B47" s="184"/>
      <c r="C47" s="184"/>
      <c r="D47" s="185"/>
      <c r="G47" s="852"/>
      <c r="I47" s="852"/>
      <c r="K47" s="69" t="s">
        <v>72</v>
      </c>
      <c r="L47" s="70">
        <f>$L$41</f>
        <v>6985087.8300000001</v>
      </c>
      <c r="M47" s="71">
        <f>M41</f>
        <v>0.65978495929914271</v>
      </c>
      <c r="N47" s="69" t="s">
        <v>72</v>
      </c>
      <c r="O47" s="70">
        <f>L41</f>
        <v>6985087.8300000001</v>
      </c>
      <c r="P47" s="71">
        <f>M41</f>
        <v>0.65978495929914271</v>
      </c>
      <c r="Q47" s="437"/>
      <c r="R47" s="437"/>
      <c r="S47" s="437"/>
    </row>
    <row r="48" spans="1:19" s="189" customFormat="1" x14ac:dyDescent="0.3">
      <c r="A48" s="183"/>
      <c r="B48" s="184"/>
      <c r="C48" s="184"/>
      <c r="D48" s="185"/>
      <c r="G48" s="852"/>
      <c r="I48" s="852"/>
      <c r="K48" s="72" t="s">
        <v>1</v>
      </c>
      <c r="L48" s="105">
        <f>SUM(L47:L47)</f>
        <v>6985087.8300000001</v>
      </c>
      <c r="M48" s="73">
        <f>SUM(M47:M47)</f>
        <v>0.65978495929914271</v>
      </c>
      <c r="N48" s="69" t="s">
        <v>73</v>
      </c>
      <c r="O48" s="70">
        <f>O41</f>
        <v>0</v>
      </c>
      <c r="P48" s="746">
        <f>P41</f>
        <v>0</v>
      </c>
      <c r="Q48" s="437"/>
      <c r="R48" s="437"/>
      <c r="S48" s="437"/>
    </row>
    <row r="49" spans="1:19" s="189" customFormat="1" x14ac:dyDescent="0.3">
      <c r="A49" s="183"/>
      <c r="B49" s="184"/>
      <c r="C49" s="184"/>
      <c r="D49" s="185"/>
      <c r="G49" s="852"/>
      <c r="I49" s="852"/>
      <c r="K49" s="72" t="s">
        <v>9</v>
      </c>
      <c r="L49" s="1423"/>
      <c r="M49" s="1424"/>
      <c r="N49" s="72" t="s">
        <v>1</v>
      </c>
      <c r="O49" s="105">
        <f>SUM(O47:O48)</f>
        <v>6985087.8300000001</v>
      </c>
      <c r="P49" s="73">
        <f>SUM(P47:P48)</f>
        <v>0.65978495929914271</v>
      </c>
      <c r="Q49" s="437"/>
      <c r="R49" s="437"/>
      <c r="S49" s="437"/>
    </row>
    <row r="50" spans="1:19" s="189" customFormat="1" x14ac:dyDescent="0.3">
      <c r="A50" s="183"/>
      <c r="B50" s="184"/>
      <c r="C50" s="184"/>
      <c r="D50" s="185"/>
      <c r="G50" s="852"/>
      <c r="I50" s="852"/>
      <c r="K50" s="440" t="s">
        <v>78</v>
      </c>
      <c r="L50" s="1423" t="s">
        <v>396</v>
      </c>
      <c r="M50" s="1424"/>
      <c r="N50" s="72" t="s">
        <v>9</v>
      </c>
      <c r="O50" s="723"/>
      <c r="P50" s="724"/>
      <c r="Q50" s="437"/>
      <c r="R50" s="437"/>
      <c r="S50" s="437"/>
    </row>
    <row r="51" spans="1:19" s="189" customFormat="1" x14ac:dyDescent="0.3">
      <c r="A51" s="183"/>
      <c r="B51" s="184"/>
      <c r="C51" s="184"/>
      <c r="D51" s="185"/>
      <c r="G51" s="852"/>
      <c r="I51" s="852"/>
      <c r="K51" s="439" t="s">
        <v>8</v>
      </c>
      <c r="L51" s="1425" t="s">
        <v>397</v>
      </c>
      <c r="M51" s="1426"/>
      <c r="N51" s="440" t="s">
        <v>78</v>
      </c>
      <c r="O51" s="723" t="s">
        <v>396</v>
      </c>
      <c r="P51" s="724"/>
      <c r="Q51" s="437"/>
      <c r="R51" s="437"/>
      <c r="S51" s="437"/>
    </row>
    <row r="52" spans="1:19" s="189" customFormat="1" x14ac:dyDescent="0.3">
      <c r="A52" s="183"/>
      <c r="B52" s="184"/>
      <c r="C52" s="184"/>
      <c r="D52" s="185" t="s">
        <v>75</v>
      </c>
      <c r="G52" s="852"/>
      <c r="I52" s="852"/>
      <c r="N52" s="439" t="s">
        <v>8</v>
      </c>
      <c r="O52" s="725" t="s">
        <v>397</v>
      </c>
      <c r="P52" s="726"/>
    </row>
    <row r="53" spans="1:19" s="189" customFormat="1" x14ac:dyDescent="0.3">
      <c r="A53" s="183" t="s">
        <v>76</v>
      </c>
      <c r="B53" s="180"/>
      <c r="C53" s="180"/>
      <c r="D53" s="185" t="s">
        <v>77</v>
      </c>
      <c r="G53" s="852"/>
      <c r="I53" s="852"/>
      <c r="N53" s="727"/>
      <c r="O53" s="727"/>
      <c r="P53" s="727"/>
    </row>
    <row r="54" spans="1:19" s="189" customFormat="1" ht="26.4" x14ac:dyDescent="0.3">
      <c r="A54" s="183" t="s">
        <v>79</v>
      </c>
      <c r="B54" s="180"/>
      <c r="C54" s="180"/>
      <c r="D54" s="185" t="s">
        <v>80</v>
      </c>
      <c r="G54" s="852"/>
      <c r="I54" s="852"/>
      <c r="N54" s="727"/>
      <c r="O54" s="727"/>
      <c r="P54" s="727"/>
    </row>
  </sheetData>
  <sheetProtection formatCells="0" formatColumns="0" formatRows="0" insertColumns="0" insertRows="0" insertHyperlinks="0" deleteColumns="0" deleteRows="0" sort="0" autoFilter="0" pivotTables="0"/>
  <mergeCells count="40">
    <mergeCell ref="B11:J11"/>
    <mergeCell ref="K11:M12"/>
    <mergeCell ref="Q11:S12"/>
    <mergeCell ref="B12:J12"/>
    <mergeCell ref="Q1:S1"/>
    <mergeCell ref="Q2:S2"/>
    <mergeCell ref="A3:S3"/>
    <mergeCell ref="A4:S4"/>
    <mergeCell ref="A5:S5"/>
    <mergeCell ref="C1:M2"/>
    <mergeCell ref="A6:S6"/>
    <mergeCell ref="A7:S7"/>
    <mergeCell ref="A8:S8"/>
    <mergeCell ref="A9:S9"/>
    <mergeCell ref="A10:S10"/>
    <mergeCell ref="N11:P12"/>
    <mergeCell ref="A20:A22"/>
    <mergeCell ref="B20:B22"/>
    <mergeCell ref="J20:J22"/>
    <mergeCell ref="A14:A17"/>
    <mergeCell ref="B14:B17"/>
    <mergeCell ref="J14:J17"/>
    <mergeCell ref="A18:A19"/>
    <mergeCell ref="B18:B19"/>
    <mergeCell ref="J18:J19"/>
    <mergeCell ref="A23:A26"/>
    <mergeCell ref="B23:B26"/>
    <mergeCell ref="J23:J26"/>
    <mergeCell ref="A27:A29"/>
    <mergeCell ref="B27:B29"/>
    <mergeCell ref="J27:J29"/>
    <mergeCell ref="L49:M49"/>
    <mergeCell ref="L50:M50"/>
    <mergeCell ref="L51:M51"/>
    <mergeCell ref="A30:A33"/>
    <mergeCell ref="B30:B33"/>
    <mergeCell ref="J30:J33"/>
    <mergeCell ref="A34:A36"/>
    <mergeCell ref="B34:B36"/>
    <mergeCell ref="J34:J36"/>
  </mergeCells>
  <pageMargins left="1.2649999999999999" right="0.7" top="0.75" bottom="0.75" header="0.3" footer="0.3"/>
  <pageSetup paperSize="9" scale="37" orientation="landscape" r:id="rId1"/>
  <drawing r:id="rId2"/>
  <legacyDrawingHF r:id="rId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5">
    <tabColor theme="1"/>
  </sheetPr>
  <dimension ref="A1:G49"/>
  <sheetViews>
    <sheetView topLeftCell="A16" zoomScaleNormal="10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RESUMEN!G92</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RESUMEN!B92</f>
        <v>D00249388</v>
      </c>
      <c r="C7" s="1265"/>
      <c r="D7" s="1177"/>
      <c r="E7" s="1266" t="s">
        <v>627</v>
      </c>
      <c r="F7" s="1267"/>
      <c r="G7" s="280" t="str">
        <f>RESUMEN!E92</f>
        <v xml:space="preserve">17-365 </v>
      </c>
    </row>
    <row r="8" spans="1:7" x14ac:dyDescent="0.25">
      <c r="A8" s="271" t="s">
        <v>628</v>
      </c>
      <c r="B8" s="1264" t="str">
        <f>RESUMEN!C92</f>
        <v>D00249388000</v>
      </c>
      <c r="C8" s="1265"/>
      <c r="D8" s="1177"/>
      <c r="E8" s="1266" t="s">
        <v>629</v>
      </c>
      <c r="F8" s="1267"/>
      <c r="G8" s="280" t="str">
        <f>RESUMEN!U92</f>
        <v>Acta N° 3: Marzo</v>
      </c>
    </row>
    <row r="9" spans="1:7" x14ac:dyDescent="0.25">
      <c r="A9" s="271" t="s">
        <v>630</v>
      </c>
      <c r="B9" s="1283" t="s">
        <v>631</v>
      </c>
      <c r="C9" s="1265"/>
      <c r="D9" s="1177"/>
      <c r="E9" s="1266" t="s">
        <v>632</v>
      </c>
      <c r="F9" s="1267"/>
      <c r="G9" s="1178">
        <f>RESUMEN!H92</f>
        <v>9350118</v>
      </c>
    </row>
    <row r="10" spans="1:7" x14ac:dyDescent="0.25">
      <c r="A10" s="271" t="s">
        <v>633</v>
      </c>
      <c r="B10" s="1283" t="str">
        <f>RESUMEN!D92</f>
        <v>LA SALADA</v>
      </c>
      <c r="C10" s="1265"/>
      <c r="D10" s="1177"/>
      <c r="E10" s="1266" t="s">
        <v>634</v>
      </c>
      <c r="F10" s="1267"/>
      <c r="G10" s="1178">
        <f>RESUMEN!R92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RESUMEN!N92</f>
        <v>0</v>
      </c>
      <c r="F19" s="1248"/>
      <c r="G19" s="1177"/>
    </row>
    <row r="20" spans="1:7" ht="27" customHeight="1" x14ac:dyDescent="0.25">
      <c r="A20" s="1177"/>
      <c r="B20" s="1244" t="s">
        <v>1498</v>
      </c>
      <c r="C20" s="1245"/>
      <c r="D20" s="1246"/>
      <c r="E20" s="1247">
        <f>RESUMEN!P92</f>
        <v>0</v>
      </c>
      <c r="F20" s="1248"/>
      <c r="G20" s="1177"/>
    </row>
    <row r="21" spans="1:7" ht="27" customHeight="1" x14ac:dyDescent="0.25">
      <c r="A21" s="1177"/>
      <c r="B21" s="1244" t="s">
        <v>1499</v>
      </c>
      <c r="C21" s="1245"/>
      <c r="D21" s="1246"/>
      <c r="E21" s="1247">
        <f>RESUMEN!Q92</f>
        <v>0</v>
      </c>
      <c r="F21" s="1248"/>
      <c r="G21" s="1177"/>
    </row>
    <row r="22" spans="1:7" x14ac:dyDescent="0.25">
      <c r="A22" s="1177"/>
      <c r="B22" s="1254" t="s">
        <v>64</v>
      </c>
      <c r="C22" s="1254"/>
      <c r="D22" s="1254"/>
      <c r="E22" s="1255">
        <f>RESUMEN!R92</f>
        <v>0</v>
      </c>
      <c r="F22" s="1255"/>
      <c r="G22" s="1177"/>
    </row>
    <row r="23" spans="1:7" x14ac:dyDescent="0.25">
      <c r="A23" s="1177"/>
      <c r="B23" s="1256" t="s">
        <v>66</v>
      </c>
      <c r="C23" s="1256"/>
      <c r="D23" s="1256"/>
      <c r="E23" s="1257">
        <f>RESUMEN!S92</f>
        <v>0</v>
      </c>
      <c r="F23" s="1257"/>
      <c r="G23" s="1177"/>
    </row>
    <row r="24" spans="1:7" x14ac:dyDescent="0.25">
      <c r="A24" s="1177"/>
      <c r="B24" s="1258" t="s">
        <v>1</v>
      </c>
      <c r="C24" s="1258"/>
      <c r="D24" s="1258"/>
      <c r="E24" s="1259">
        <f>RESUMEN!T92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+'OT17-365 LA SALADA'!Q49</f>
        <v>ACTA 1</v>
      </c>
      <c r="C28" s="1253">
        <f>+'OT17-365 LA SALADA'!R49</f>
        <v>5028079</v>
      </c>
      <c r="D28" s="1253"/>
      <c r="E28" s="267">
        <f>+'OT17-365 LA SALADA'!S49</f>
        <v>0.53775567324390983</v>
      </c>
      <c r="F28" s="1177"/>
      <c r="G28" s="1177"/>
    </row>
    <row r="29" spans="1:7" x14ac:dyDescent="0.25">
      <c r="A29" s="1177"/>
      <c r="B29" s="280" t="str">
        <f>+'OT17-365 LA SALADA'!Q50</f>
        <v>ACTA 2</v>
      </c>
      <c r="C29" s="1253">
        <f>+'OT17-365 LA SALADA'!R50</f>
        <v>1448833</v>
      </c>
      <c r="D29" s="1253"/>
      <c r="E29" s="267">
        <f>+'OT17-365 LA SALADA'!S50</f>
        <v>0.15495344550731874</v>
      </c>
      <c r="F29" s="1177"/>
      <c r="G29" s="1177"/>
    </row>
    <row r="30" spans="1:7" x14ac:dyDescent="0.25">
      <c r="A30" s="1177"/>
      <c r="B30" s="280" t="str">
        <f>+'OT17-365 LA SALADA'!Q51</f>
        <v>ACTA 3</v>
      </c>
      <c r="C30" s="1253">
        <f>+'OT17-365 LA SALADA'!R51</f>
        <v>0</v>
      </c>
      <c r="D30" s="1253"/>
      <c r="E30" s="267">
        <f>+'OT17-365 LA SALADA'!S51</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6476912</v>
      </c>
      <c r="D34" s="1251"/>
      <c r="E34" s="264">
        <f>SUM(E28:E33)</f>
        <v>0.69270911875122854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6">
    <tabColor rgb="FF7B2307"/>
  </sheetPr>
  <dimension ref="A1:V57"/>
  <sheetViews>
    <sheetView topLeftCell="E22" zoomScale="60" zoomScaleNormal="60" workbookViewId="0">
      <selection activeCell="R51" sqref="R51"/>
    </sheetView>
  </sheetViews>
  <sheetFormatPr baseColWidth="10" defaultColWidth="9.109375" defaultRowHeight="14.4" x14ac:dyDescent="0.3"/>
  <cols>
    <col min="1" max="1" width="13.6640625" style="437" customWidth="1"/>
    <col min="2" max="2" width="31.33203125" style="437" customWidth="1"/>
    <col min="3" max="3" width="37.33203125" style="437" customWidth="1"/>
    <col min="4" max="4" width="27.5546875" style="437" customWidth="1"/>
    <col min="5" max="5" width="13" style="437" customWidth="1"/>
    <col min="6" max="7" width="17.88671875" style="437" customWidth="1"/>
    <col min="8" max="8" width="17.33203125" style="437" bestFit="1" customWidth="1"/>
    <col min="9" max="9" width="17.33203125" style="437" customWidth="1"/>
    <col min="10" max="10" width="52" style="437" customWidth="1"/>
    <col min="11" max="11" width="17.88671875" style="437" customWidth="1"/>
    <col min="12" max="12" width="18" style="437" customWidth="1"/>
    <col min="13" max="13" width="9.109375" style="437" customWidth="1"/>
    <col min="14" max="14" width="17.88671875" style="437" bestFit="1" customWidth="1"/>
    <col min="15" max="15" width="18" style="437" bestFit="1" customWidth="1"/>
    <col min="16" max="16" width="9.109375" style="437"/>
    <col min="17" max="17" width="17.88671875" style="437" bestFit="1" customWidth="1"/>
    <col min="18" max="18" width="18" style="437" bestFit="1" customWidth="1"/>
    <col min="19" max="19" width="9.109375" style="437"/>
    <col min="20" max="20" width="17.88671875" style="437" customWidth="1"/>
    <col min="21" max="21" width="17.5546875" style="437" bestFit="1" customWidth="1"/>
    <col min="22"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721"/>
      <c r="O1" s="721"/>
      <c r="P1" s="721"/>
      <c r="Q1" s="846"/>
      <c r="R1" s="846"/>
      <c r="S1" s="846"/>
      <c r="T1" s="1328" t="s">
        <v>163</v>
      </c>
      <c r="U1" s="1303"/>
      <c r="V1" s="1304"/>
    </row>
    <row r="2" spans="1:22" ht="13.5" customHeight="1" thickBot="1" x14ac:dyDescent="0.35">
      <c r="A2" s="170"/>
      <c r="B2" s="190"/>
      <c r="C2" s="1310"/>
      <c r="D2" s="1311"/>
      <c r="E2" s="1311"/>
      <c r="F2" s="1311"/>
      <c r="G2" s="1311"/>
      <c r="H2" s="1311"/>
      <c r="I2" s="1311"/>
      <c r="J2" s="1311"/>
      <c r="K2" s="1311"/>
      <c r="L2" s="1311"/>
      <c r="M2" s="1311"/>
      <c r="N2" s="722"/>
      <c r="O2" s="722"/>
      <c r="P2" s="722"/>
      <c r="Q2" s="847"/>
      <c r="R2" s="847"/>
      <c r="S2" s="847"/>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312</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1547</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91"/>
      <c r="B11" s="1301"/>
      <c r="C11" s="1313"/>
      <c r="D11" s="1313"/>
      <c r="E11" s="1313"/>
      <c r="F11" s="1313"/>
      <c r="G11" s="1313"/>
      <c r="H11" s="1313"/>
      <c r="I11" s="1313"/>
      <c r="J11" s="1313"/>
      <c r="K11" s="1293" t="s">
        <v>1726</v>
      </c>
      <c r="L11" s="1294"/>
      <c r="M11" s="1295"/>
      <c r="N11" s="1293" t="s">
        <v>1977</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502" t="s">
        <v>54</v>
      </c>
      <c r="R13" s="502" t="s">
        <v>56</v>
      </c>
      <c r="S13" s="502" t="s">
        <v>58</v>
      </c>
      <c r="T13" s="174" t="s">
        <v>54</v>
      </c>
      <c r="U13" s="172" t="s">
        <v>56</v>
      </c>
      <c r="V13" s="502" t="s">
        <v>58</v>
      </c>
    </row>
    <row r="14" spans="1:22" ht="30" customHeight="1" x14ac:dyDescent="0.3">
      <c r="A14" s="1440" t="s">
        <v>288</v>
      </c>
      <c r="B14" s="1441" t="s">
        <v>170</v>
      </c>
      <c r="C14" s="493" t="s">
        <v>83</v>
      </c>
      <c r="D14" s="493" t="s">
        <v>123</v>
      </c>
      <c r="E14" s="493">
        <v>0</v>
      </c>
      <c r="F14" s="453">
        <v>1044658</v>
      </c>
      <c r="G14" s="32">
        <f>+ROUND(F14*1.051,0)</f>
        <v>1097936</v>
      </c>
      <c r="H14" s="453">
        <f>ROUND((E14*F14),0)</f>
        <v>0</v>
      </c>
      <c r="I14" s="32">
        <f>+ROUND(G14*E14,0)</f>
        <v>0</v>
      </c>
      <c r="J14" s="1442" t="s">
        <v>1546</v>
      </c>
      <c r="K14" s="452">
        <v>0</v>
      </c>
      <c r="L14" s="425">
        <f>ROUND(K14*F14,0)</f>
        <v>0</v>
      </c>
      <c r="M14" s="426">
        <v>0</v>
      </c>
      <c r="N14" s="452">
        <v>0</v>
      </c>
      <c r="O14" s="425">
        <f>ROUND(N14*K14,0)</f>
        <v>0</v>
      </c>
      <c r="P14" s="426">
        <v>0</v>
      </c>
      <c r="Q14" s="452">
        <v>0</v>
      </c>
      <c r="R14" s="425">
        <f>ROUND(Q14*G14,0)</f>
        <v>0</v>
      </c>
      <c r="S14" s="604">
        <v>0</v>
      </c>
      <c r="T14" s="450">
        <f>K14+N14+Q14</f>
        <v>0</v>
      </c>
      <c r="U14" s="175">
        <f>L14+O14+R14</f>
        <v>0</v>
      </c>
      <c r="V14" s="176">
        <v>0</v>
      </c>
    </row>
    <row r="15" spans="1:22" ht="30" customHeight="1" x14ac:dyDescent="0.3">
      <c r="A15" s="1440"/>
      <c r="B15" s="1441"/>
      <c r="C15" s="493" t="s">
        <v>61</v>
      </c>
      <c r="D15" s="493" t="s">
        <v>125</v>
      </c>
      <c r="E15" s="493">
        <v>0.7</v>
      </c>
      <c r="F15" s="453">
        <v>1009836</v>
      </c>
      <c r="G15" s="32">
        <f>+ROUND(F15*1.051,0)</f>
        <v>1061338</v>
      </c>
      <c r="H15" s="453">
        <f>ROUND((E15*F15),0)</f>
        <v>706885</v>
      </c>
      <c r="I15" s="32">
        <f>+ROUND(G15*E15,0)</f>
        <v>742937</v>
      </c>
      <c r="J15" s="1441"/>
      <c r="K15" s="474">
        <v>0.7</v>
      </c>
      <c r="L15" s="429">
        <f>ROUND(K15*F15,0)</f>
        <v>706885</v>
      </c>
      <c r="M15" s="430">
        <f>L15/H15</f>
        <v>1</v>
      </c>
      <c r="N15" s="452">
        <v>0</v>
      </c>
      <c r="O15" s="425">
        <f>ROUND(N15*F15,0)</f>
        <v>0</v>
      </c>
      <c r="P15" s="426">
        <f>O15/H15</f>
        <v>0</v>
      </c>
      <c r="Q15" s="452">
        <v>0</v>
      </c>
      <c r="R15" s="425">
        <f>ROUND(Q15*G15,0)</f>
        <v>0</v>
      </c>
      <c r="S15" s="604">
        <f>+R15/I15</f>
        <v>0</v>
      </c>
      <c r="T15" s="450">
        <f>K15+N15+Q15</f>
        <v>0.7</v>
      </c>
      <c r="U15" s="175">
        <f t="shared" ref="U15:U37" si="0">L15+O15+R15</f>
        <v>706885</v>
      </c>
      <c r="V15" s="176">
        <f>U15/H15</f>
        <v>1</v>
      </c>
    </row>
    <row r="16" spans="1:22" x14ac:dyDescent="0.3">
      <c r="A16" s="1440"/>
      <c r="B16" s="1441"/>
      <c r="C16" s="459"/>
      <c r="D16" s="459" t="s">
        <v>126</v>
      </c>
      <c r="E16" s="458"/>
      <c r="F16" s="458"/>
      <c r="G16" s="458"/>
      <c r="H16" s="457">
        <f>SUM(H14:H15)</f>
        <v>706885</v>
      </c>
      <c r="I16" s="457">
        <f>SUM(I14:I15)</f>
        <v>742937</v>
      </c>
      <c r="J16" s="1441"/>
      <c r="K16" s="431"/>
      <c r="L16" s="179">
        <f>SUM(L14:L15)</f>
        <v>706885</v>
      </c>
      <c r="M16" s="431">
        <f>L16/H16</f>
        <v>1</v>
      </c>
      <c r="N16" s="431"/>
      <c r="O16" s="179">
        <f>SUM(O14:O15)</f>
        <v>0</v>
      </c>
      <c r="P16" s="431">
        <f>O16/L16</f>
        <v>0</v>
      </c>
      <c r="Q16" s="431"/>
      <c r="R16" s="179">
        <f>SUM(R14:R15)</f>
        <v>0</v>
      </c>
      <c r="S16" s="1100">
        <f t="shared" ref="S16:S37" si="1">+R16/I16</f>
        <v>0</v>
      </c>
      <c r="T16" s="1101"/>
      <c r="U16" s="1078">
        <f t="shared" si="0"/>
        <v>706885</v>
      </c>
      <c r="V16" s="431">
        <f>U16/H16</f>
        <v>1</v>
      </c>
    </row>
    <row r="17" spans="1:22" ht="30" customHeight="1" x14ac:dyDescent="0.3">
      <c r="A17" s="1440" t="s">
        <v>288</v>
      </c>
      <c r="B17" s="1441" t="s">
        <v>282</v>
      </c>
      <c r="C17" s="493" t="s">
        <v>81</v>
      </c>
      <c r="D17" s="493" t="s">
        <v>105</v>
      </c>
      <c r="E17" s="493">
        <v>0</v>
      </c>
      <c r="F17" s="453">
        <v>417863</v>
      </c>
      <c r="G17" s="32">
        <f t="shared" ref="G17:G18" si="2">+ROUND(F17*1.051,0)</f>
        <v>439174</v>
      </c>
      <c r="H17" s="453">
        <f>ROUND((E17*F17),0)</f>
        <v>0</v>
      </c>
      <c r="I17" s="32">
        <f t="shared" ref="I17:I18" si="3">+ROUND(G17*E17,0)</f>
        <v>0</v>
      </c>
      <c r="J17" s="1442" t="s">
        <v>1545</v>
      </c>
      <c r="K17" s="452">
        <v>0</v>
      </c>
      <c r="L17" s="425">
        <f>ROUND(K17*F17,0)</f>
        <v>0</v>
      </c>
      <c r="M17" s="426">
        <v>0</v>
      </c>
      <c r="N17" s="452">
        <v>0</v>
      </c>
      <c r="O17" s="425">
        <f>ROUND(N17*F17,0)</f>
        <v>0</v>
      </c>
      <c r="P17" s="426">
        <v>0</v>
      </c>
      <c r="Q17" s="452">
        <v>0</v>
      </c>
      <c r="R17" s="425">
        <f t="shared" ref="R17:R18" si="4">ROUND(Q17*G17,0)</f>
        <v>0</v>
      </c>
      <c r="S17" s="604">
        <v>0</v>
      </c>
      <c r="T17" s="450">
        <f t="shared" ref="T17:T18" si="5">K17+N17+Q17</f>
        <v>0</v>
      </c>
      <c r="U17" s="175">
        <f t="shared" si="0"/>
        <v>0</v>
      </c>
      <c r="V17" s="176">
        <v>0</v>
      </c>
    </row>
    <row r="18" spans="1:22" ht="30" customHeight="1" x14ac:dyDescent="0.3">
      <c r="A18" s="1440"/>
      <c r="B18" s="1441"/>
      <c r="C18" s="493" t="s">
        <v>83</v>
      </c>
      <c r="D18" s="493" t="s">
        <v>107</v>
      </c>
      <c r="E18" s="493">
        <v>8.4000000000000005E-2</v>
      </c>
      <c r="F18" s="453">
        <v>1845563</v>
      </c>
      <c r="G18" s="32">
        <f t="shared" si="2"/>
        <v>1939687</v>
      </c>
      <c r="H18" s="453">
        <f>ROUND((E18*F18),0)</f>
        <v>155027</v>
      </c>
      <c r="I18" s="32">
        <f t="shared" si="3"/>
        <v>162934</v>
      </c>
      <c r="J18" s="1441"/>
      <c r="K18" s="452">
        <v>0</v>
      </c>
      <c r="L18" s="425">
        <f>ROUND(K18*F18,0)</f>
        <v>0</v>
      </c>
      <c r="M18" s="426">
        <f>L18/H18</f>
        <v>0</v>
      </c>
      <c r="N18" s="474">
        <v>8.4000000000000005E-2</v>
      </c>
      <c r="O18" s="429">
        <f>ROUND(N18*F18,0)</f>
        <v>155027</v>
      </c>
      <c r="P18" s="430">
        <f>O18/H18</f>
        <v>1</v>
      </c>
      <c r="Q18" s="452">
        <v>0</v>
      </c>
      <c r="R18" s="425">
        <f t="shared" si="4"/>
        <v>0</v>
      </c>
      <c r="S18" s="604">
        <f t="shared" si="1"/>
        <v>0</v>
      </c>
      <c r="T18" s="450">
        <f t="shared" si="5"/>
        <v>8.4000000000000005E-2</v>
      </c>
      <c r="U18" s="175">
        <f t="shared" si="0"/>
        <v>155027</v>
      </c>
      <c r="V18" s="176">
        <f>U18/H18</f>
        <v>1</v>
      </c>
    </row>
    <row r="19" spans="1:22" x14ac:dyDescent="0.3">
      <c r="A19" s="1440"/>
      <c r="B19" s="1441"/>
      <c r="C19" s="459"/>
      <c r="D19" s="459" t="s">
        <v>108</v>
      </c>
      <c r="E19" s="458"/>
      <c r="F19" s="458"/>
      <c r="G19" s="458"/>
      <c r="H19" s="457">
        <f>SUM(H17:H18)</f>
        <v>155027</v>
      </c>
      <c r="I19" s="457"/>
      <c r="J19" s="1441"/>
      <c r="K19" s="431"/>
      <c r="L19" s="179">
        <f>SUM(L17:L18)</f>
        <v>0</v>
      </c>
      <c r="M19" s="431">
        <f>L19/H19</f>
        <v>0</v>
      </c>
      <c r="N19" s="431"/>
      <c r="O19" s="179">
        <f>SUM(O17:O18)</f>
        <v>155027</v>
      </c>
      <c r="P19" s="431">
        <f>O19/H19</f>
        <v>1</v>
      </c>
      <c r="Q19" s="431"/>
      <c r="R19" s="179">
        <f>SUM(R17:R18)</f>
        <v>0</v>
      </c>
      <c r="S19" s="1105">
        <v>0</v>
      </c>
      <c r="T19" s="1101"/>
      <c r="U19" s="1078">
        <f t="shared" si="0"/>
        <v>155027</v>
      </c>
      <c r="V19" s="431">
        <f>U19/H19</f>
        <v>1</v>
      </c>
    </row>
    <row r="20" spans="1:22" ht="30" customHeight="1" x14ac:dyDescent="0.3">
      <c r="A20" s="1440" t="s">
        <v>279</v>
      </c>
      <c r="B20" s="1441" t="s">
        <v>210</v>
      </c>
      <c r="C20" s="493" t="s">
        <v>81</v>
      </c>
      <c r="D20" s="493" t="s">
        <v>207</v>
      </c>
      <c r="E20" s="493">
        <v>0</v>
      </c>
      <c r="F20" s="453">
        <v>800905</v>
      </c>
      <c r="G20" s="32">
        <f t="shared" ref="G20:G22" si="6">+ROUND(F20*1.051,0)</f>
        <v>841751</v>
      </c>
      <c r="H20" s="453">
        <f>ROUND((E20*F20),0)</f>
        <v>0</v>
      </c>
      <c r="I20" s="32">
        <f>+ROUND(G20*E20,0)</f>
        <v>0</v>
      </c>
      <c r="J20" s="1442" t="s">
        <v>813</v>
      </c>
      <c r="K20" s="452">
        <v>0</v>
      </c>
      <c r="L20" s="425">
        <f>ROUND(K20*F20,0)</f>
        <v>0</v>
      </c>
      <c r="M20" s="426">
        <v>0</v>
      </c>
      <c r="N20" s="452">
        <v>0</v>
      </c>
      <c r="O20" s="425">
        <f>ROUND(N20*F20,0)</f>
        <v>0</v>
      </c>
      <c r="P20" s="426">
        <v>0</v>
      </c>
      <c r="Q20" s="452">
        <v>0</v>
      </c>
      <c r="R20" s="425">
        <f t="shared" ref="R20:R22" si="7">ROUND(Q20*G20,0)</f>
        <v>0</v>
      </c>
      <c r="S20" s="604">
        <v>0</v>
      </c>
      <c r="T20" s="450">
        <f t="shared" ref="T20:T22" si="8">K20+N20+Q20</f>
        <v>0</v>
      </c>
      <c r="U20" s="175">
        <f t="shared" si="0"/>
        <v>0</v>
      </c>
      <c r="V20" s="176">
        <v>0</v>
      </c>
    </row>
    <row r="21" spans="1:22" ht="30" customHeight="1" x14ac:dyDescent="0.3">
      <c r="A21" s="1440"/>
      <c r="B21" s="1441"/>
      <c r="C21" s="493" t="s">
        <v>83</v>
      </c>
      <c r="D21" s="493" t="s">
        <v>208</v>
      </c>
      <c r="E21" s="493">
        <v>0</v>
      </c>
      <c r="F21" s="453">
        <v>2646468</v>
      </c>
      <c r="G21" s="32">
        <f t="shared" si="6"/>
        <v>2781438</v>
      </c>
      <c r="H21" s="453">
        <f>ROUND((E21*F21),0)</f>
        <v>0</v>
      </c>
      <c r="I21" s="32">
        <f t="shared" ref="I21:I22" si="9">+ROUND(G21*E21,0)</f>
        <v>0</v>
      </c>
      <c r="J21" s="1441"/>
      <c r="K21" s="452">
        <v>0</v>
      </c>
      <c r="L21" s="425">
        <f>ROUND(K21*F21,0)</f>
        <v>0</v>
      </c>
      <c r="M21" s="426">
        <v>0</v>
      </c>
      <c r="N21" s="452">
        <v>0</v>
      </c>
      <c r="O21" s="425">
        <f>ROUND(N21*F21,0)</f>
        <v>0</v>
      </c>
      <c r="P21" s="426">
        <v>0</v>
      </c>
      <c r="Q21" s="452">
        <v>0</v>
      </c>
      <c r="R21" s="425">
        <f t="shared" si="7"/>
        <v>0</v>
      </c>
      <c r="S21" s="604">
        <v>0</v>
      </c>
      <c r="T21" s="450">
        <f t="shared" si="8"/>
        <v>0</v>
      </c>
      <c r="U21" s="175">
        <f t="shared" si="0"/>
        <v>0</v>
      </c>
      <c r="V21" s="176">
        <v>0</v>
      </c>
    </row>
    <row r="22" spans="1:22" ht="30" customHeight="1" x14ac:dyDescent="0.3">
      <c r="A22" s="1440"/>
      <c r="B22" s="1441"/>
      <c r="C22" s="493" t="s">
        <v>61</v>
      </c>
      <c r="D22" s="493" t="s">
        <v>209</v>
      </c>
      <c r="E22" s="493">
        <v>0.5</v>
      </c>
      <c r="F22" s="453">
        <v>1775919</v>
      </c>
      <c r="G22" s="32">
        <f t="shared" si="6"/>
        <v>1866491</v>
      </c>
      <c r="H22" s="453">
        <f>ROUND((E22*F22),0)</f>
        <v>887960</v>
      </c>
      <c r="I22" s="32">
        <f t="shared" si="9"/>
        <v>933246</v>
      </c>
      <c r="J22" s="1441"/>
      <c r="K22" s="474">
        <v>0.5</v>
      </c>
      <c r="L22" s="429">
        <f>ROUND(K22*F22,0)</f>
        <v>887960</v>
      </c>
      <c r="M22" s="430">
        <f>L22/H22</f>
        <v>1</v>
      </c>
      <c r="N22" s="452">
        <v>0</v>
      </c>
      <c r="O22" s="425">
        <f>ROUND(N22*F22,0)</f>
        <v>0</v>
      </c>
      <c r="P22" s="426">
        <f>O22/H22</f>
        <v>0</v>
      </c>
      <c r="Q22" s="452">
        <v>0</v>
      </c>
      <c r="R22" s="425">
        <f t="shared" si="7"/>
        <v>0</v>
      </c>
      <c r="S22" s="604">
        <f t="shared" si="1"/>
        <v>0</v>
      </c>
      <c r="T22" s="450">
        <f t="shared" si="8"/>
        <v>0.5</v>
      </c>
      <c r="U22" s="175">
        <f t="shared" si="0"/>
        <v>887960</v>
      </c>
      <c r="V22" s="176">
        <f>U22/H22</f>
        <v>1</v>
      </c>
    </row>
    <row r="23" spans="1:22" x14ac:dyDescent="0.3">
      <c r="A23" s="1440"/>
      <c r="B23" s="1441"/>
      <c r="C23" s="459"/>
      <c r="D23" s="459" t="s">
        <v>136</v>
      </c>
      <c r="E23" s="458"/>
      <c r="F23" s="458"/>
      <c r="G23" s="458"/>
      <c r="H23" s="457">
        <f>SUM(H20:H22)</f>
        <v>887960</v>
      </c>
      <c r="I23" s="457">
        <f>SUM(I20:I22)</f>
        <v>933246</v>
      </c>
      <c r="J23" s="1441"/>
      <c r="K23" s="431"/>
      <c r="L23" s="179">
        <f>SUM(L20:L22)</f>
        <v>887960</v>
      </c>
      <c r="M23" s="431">
        <f>L23/H23</f>
        <v>1</v>
      </c>
      <c r="N23" s="431"/>
      <c r="O23" s="179">
        <f>SUM(O20:O22)</f>
        <v>0</v>
      </c>
      <c r="P23" s="431">
        <f>O23/H23</f>
        <v>0</v>
      </c>
      <c r="Q23" s="431"/>
      <c r="R23" s="179">
        <f>SUM(R20:R22)</f>
        <v>0</v>
      </c>
      <c r="S23" s="1100">
        <f t="shared" si="1"/>
        <v>0</v>
      </c>
      <c r="T23" s="1101"/>
      <c r="U23" s="1078">
        <f t="shared" si="0"/>
        <v>887960</v>
      </c>
      <c r="V23" s="431">
        <f>U23/H23</f>
        <v>1</v>
      </c>
    </row>
    <row r="24" spans="1:22" ht="30" customHeight="1" x14ac:dyDescent="0.3">
      <c r="A24" s="1440" t="s">
        <v>1543</v>
      </c>
      <c r="B24" s="1441" t="s">
        <v>282</v>
      </c>
      <c r="C24" s="493" t="s">
        <v>81</v>
      </c>
      <c r="D24" s="493" t="s">
        <v>105</v>
      </c>
      <c r="E24" s="493">
        <v>0.35</v>
      </c>
      <c r="F24" s="453">
        <v>417863</v>
      </c>
      <c r="G24" s="32">
        <f t="shared" ref="G24:G25" si="10">+ROUND(F24*1.051,0)</f>
        <v>439174</v>
      </c>
      <c r="H24" s="453">
        <f>ROUND((E24*F24),0)</f>
        <v>146252</v>
      </c>
      <c r="I24" s="32">
        <f t="shared" ref="I24:I25" si="11">+ROUND(G24*E24,0)</f>
        <v>153711</v>
      </c>
      <c r="J24" s="1442" t="s">
        <v>1328</v>
      </c>
      <c r="K24" s="452">
        <v>0</v>
      </c>
      <c r="L24" s="425">
        <f>ROUND(K24*F24,0)</f>
        <v>0</v>
      </c>
      <c r="M24" s="426">
        <f>L24/H24</f>
        <v>0</v>
      </c>
      <c r="N24" s="474">
        <f>0.35*0.7</f>
        <v>0.24499999999999997</v>
      </c>
      <c r="O24" s="429">
        <f>ROUND(N24*F24,0)</f>
        <v>102376</v>
      </c>
      <c r="P24" s="430">
        <f>O24/H24</f>
        <v>0.69999726499466675</v>
      </c>
      <c r="Q24" s="452">
        <v>0</v>
      </c>
      <c r="R24" s="425">
        <f t="shared" ref="R24:R25" si="12">ROUND(Q24*G24,0)</f>
        <v>0</v>
      </c>
      <c r="S24" s="604">
        <f t="shared" si="1"/>
        <v>0</v>
      </c>
      <c r="T24" s="450">
        <f t="shared" ref="T24:T25" si="13">K24+N24+Q24</f>
        <v>0.24499999999999997</v>
      </c>
      <c r="U24" s="175">
        <f t="shared" si="0"/>
        <v>102376</v>
      </c>
      <c r="V24" s="176">
        <f>U24/H24</f>
        <v>0.69999726499466675</v>
      </c>
    </row>
    <row r="25" spans="1:22" ht="30" customHeight="1" x14ac:dyDescent="0.3">
      <c r="A25" s="1440"/>
      <c r="B25" s="1441"/>
      <c r="C25" s="493" t="s">
        <v>83</v>
      </c>
      <c r="D25" s="493" t="s">
        <v>107</v>
      </c>
      <c r="E25" s="493">
        <v>0</v>
      </c>
      <c r="F25" s="453">
        <v>1845563</v>
      </c>
      <c r="G25" s="32">
        <f t="shared" si="10"/>
        <v>1939687</v>
      </c>
      <c r="H25" s="453">
        <f>ROUND((E25*F25),0)</f>
        <v>0</v>
      </c>
      <c r="I25" s="32">
        <f t="shared" si="11"/>
        <v>0</v>
      </c>
      <c r="J25" s="1441"/>
      <c r="K25" s="452">
        <v>0</v>
      </c>
      <c r="L25" s="425">
        <f>ROUND(K25*F25,0)</f>
        <v>0</v>
      </c>
      <c r="M25" s="426">
        <v>0</v>
      </c>
      <c r="N25" s="452">
        <v>0</v>
      </c>
      <c r="O25" s="425">
        <f>ROUND(N25*F25,0)</f>
        <v>0</v>
      </c>
      <c r="P25" s="426">
        <v>0</v>
      </c>
      <c r="Q25" s="452">
        <v>0</v>
      </c>
      <c r="R25" s="425">
        <f t="shared" si="12"/>
        <v>0</v>
      </c>
      <c r="S25" s="604">
        <v>0</v>
      </c>
      <c r="T25" s="450">
        <f t="shared" si="13"/>
        <v>0</v>
      </c>
      <c r="U25" s="175">
        <f t="shared" si="0"/>
        <v>0</v>
      </c>
      <c r="V25" s="176">
        <v>0</v>
      </c>
    </row>
    <row r="26" spans="1:22" x14ac:dyDescent="0.3">
      <c r="A26" s="1440"/>
      <c r="B26" s="1441"/>
      <c r="C26" s="459"/>
      <c r="D26" s="459" t="s">
        <v>108</v>
      </c>
      <c r="E26" s="458"/>
      <c r="F26" s="458"/>
      <c r="G26" s="458"/>
      <c r="H26" s="457">
        <f>SUM(H24:H25)</f>
        <v>146252</v>
      </c>
      <c r="I26" s="457">
        <f>SUM(I24:I25)</f>
        <v>153711</v>
      </c>
      <c r="J26" s="1441"/>
      <c r="K26" s="431"/>
      <c r="L26" s="179">
        <f>SUM(L24:L25)</f>
        <v>0</v>
      </c>
      <c r="M26" s="431">
        <f>L26/H26</f>
        <v>0</v>
      </c>
      <c r="N26" s="431"/>
      <c r="O26" s="179">
        <f>SUM(O24:O25)</f>
        <v>102376</v>
      </c>
      <c r="P26" s="431">
        <f>O26/H26</f>
        <v>0.69999726499466675</v>
      </c>
      <c r="Q26" s="431"/>
      <c r="R26" s="179">
        <f>SUM(R24:R25)</f>
        <v>0</v>
      </c>
      <c r="S26" s="1100">
        <f t="shared" si="1"/>
        <v>0</v>
      </c>
      <c r="T26" s="1101"/>
      <c r="U26" s="1078">
        <f t="shared" si="0"/>
        <v>102376</v>
      </c>
      <c r="V26" s="431">
        <f>U26/H26</f>
        <v>0.69999726499466675</v>
      </c>
    </row>
    <row r="27" spans="1:22" ht="30" customHeight="1" x14ac:dyDescent="0.3">
      <c r="A27" s="1440" t="s">
        <v>1543</v>
      </c>
      <c r="B27" s="1441" t="s">
        <v>194</v>
      </c>
      <c r="C27" s="493" t="s">
        <v>160</v>
      </c>
      <c r="D27" s="493" t="s">
        <v>161</v>
      </c>
      <c r="E27" s="493">
        <v>60</v>
      </c>
      <c r="F27" s="453">
        <v>69644</v>
      </c>
      <c r="G27" s="32">
        <f>+ROUND(F27*1.051,0)</f>
        <v>73196</v>
      </c>
      <c r="H27" s="453">
        <f>ROUND((E27*F27),0)</f>
        <v>4178640</v>
      </c>
      <c r="I27" s="32">
        <f>+ROUND(G27*E27,0)</f>
        <v>4391760</v>
      </c>
      <c r="J27" s="1442" t="s">
        <v>1544</v>
      </c>
      <c r="K27" s="474">
        <f>24*70%</f>
        <v>16.799999999999997</v>
      </c>
      <c r="L27" s="429">
        <f>ROUND(K27*F27,0)</f>
        <v>1170019</v>
      </c>
      <c r="M27" s="430">
        <f>L27/H27</f>
        <v>0.27999995213753759</v>
      </c>
      <c r="N27" s="474">
        <v>16.8</v>
      </c>
      <c r="O27" s="429">
        <f>ROUND(N27*F27,0)</f>
        <v>1170019</v>
      </c>
      <c r="P27" s="430">
        <f>O27/H27</f>
        <v>0.27999995213753759</v>
      </c>
      <c r="Q27" s="452">
        <v>0</v>
      </c>
      <c r="R27" s="425">
        <f>ROUND(Q27*G27,0)</f>
        <v>0</v>
      </c>
      <c r="S27" s="604">
        <f t="shared" si="1"/>
        <v>0</v>
      </c>
      <c r="T27" s="450">
        <f>K27+N27+Q27</f>
        <v>33.599999999999994</v>
      </c>
      <c r="U27" s="175">
        <f t="shared" si="0"/>
        <v>2340038</v>
      </c>
      <c r="V27" s="176">
        <f>U27/H27</f>
        <v>0.55999990427507518</v>
      </c>
    </row>
    <row r="28" spans="1:22" x14ac:dyDescent="0.3">
      <c r="A28" s="1440"/>
      <c r="B28" s="1441"/>
      <c r="C28" s="459"/>
      <c r="D28" s="459" t="s">
        <v>162</v>
      </c>
      <c r="E28" s="458"/>
      <c r="F28" s="458"/>
      <c r="G28" s="458"/>
      <c r="H28" s="457">
        <f>H27</f>
        <v>4178640</v>
      </c>
      <c r="I28" s="457">
        <f>SUM(I27)</f>
        <v>4391760</v>
      </c>
      <c r="J28" s="1441"/>
      <c r="K28" s="431"/>
      <c r="L28" s="179">
        <f>L27</f>
        <v>1170019</v>
      </c>
      <c r="M28" s="431">
        <f>L28/H28</f>
        <v>0.27999995213753759</v>
      </c>
      <c r="N28" s="431"/>
      <c r="O28" s="179">
        <f>O27</f>
        <v>1170019</v>
      </c>
      <c r="P28" s="431">
        <f>O28/H28</f>
        <v>0.27999995213753759</v>
      </c>
      <c r="Q28" s="431"/>
      <c r="R28" s="179">
        <f>R27</f>
        <v>0</v>
      </c>
      <c r="S28" s="1100">
        <f t="shared" si="1"/>
        <v>0</v>
      </c>
      <c r="T28" s="1101"/>
      <c r="U28" s="1078">
        <f t="shared" si="0"/>
        <v>2340038</v>
      </c>
      <c r="V28" s="431">
        <f>U28/H28</f>
        <v>0.55999990427507518</v>
      </c>
    </row>
    <row r="29" spans="1:22" ht="30" customHeight="1" x14ac:dyDescent="0.3">
      <c r="A29" s="1440" t="s">
        <v>1543</v>
      </c>
      <c r="B29" s="1441" t="s">
        <v>194</v>
      </c>
      <c r="C29" s="493" t="s">
        <v>160</v>
      </c>
      <c r="D29" s="493" t="s">
        <v>161</v>
      </c>
      <c r="E29" s="493">
        <v>24</v>
      </c>
      <c r="F29" s="453">
        <v>69644</v>
      </c>
      <c r="G29" s="32">
        <f>+ROUND(F29*1.051,0)</f>
        <v>73196</v>
      </c>
      <c r="H29" s="453">
        <f>ROUND((E29*F29),0)</f>
        <v>1671456</v>
      </c>
      <c r="I29" s="32">
        <f>+ROUND(G29*E29,0)</f>
        <v>1756704</v>
      </c>
      <c r="J29" s="1442" t="s">
        <v>1542</v>
      </c>
      <c r="K29" s="747">
        <f>12*0.7</f>
        <v>8.3999999999999986</v>
      </c>
      <c r="L29" s="429">
        <f>ROUND(K29*F29,0)</f>
        <v>585010</v>
      </c>
      <c r="M29" s="430">
        <f>L29/H29</f>
        <v>0.35000023931231217</v>
      </c>
      <c r="N29" s="768">
        <v>0</v>
      </c>
      <c r="O29" s="425">
        <f>ROUND(N29*F29,0)</f>
        <v>0</v>
      </c>
      <c r="P29" s="426">
        <f>O29/H29</f>
        <v>0</v>
      </c>
      <c r="Q29" s="452">
        <v>0</v>
      </c>
      <c r="R29" s="425">
        <f>ROUND(Q29*G29,0)</f>
        <v>0</v>
      </c>
      <c r="S29" s="604">
        <f t="shared" si="1"/>
        <v>0</v>
      </c>
      <c r="T29" s="450">
        <f>K29+N29+Q29</f>
        <v>8.3999999999999986</v>
      </c>
      <c r="U29" s="175">
        <f t="shared" si="0"/>
        <v>585010</v>
      </c>
      <c r="V29" s="176">
        <f>U29/H29</f>
        <v>0.35000023931231217</v>
      </c>
    </row>
    <row r="30" spans="1:22" x14ac:dyDescent="0.3">
      <c r="A30" s="1440"/>
      <c r="B30" s="1441"/>
      <c r="C30" s="459"/>
      <c r="D30" s="459" t="s">
        <v>162</v>
      </c>
      <c r="E30" s="458"/>
      <c r="F30" s="458"/>
      <c r="G30" s="458"/>
      <c r="H30" s="457">
        <f>H29</f>
        <v>1671456</v>
      </c>
      <c r="I30" s="457">
        <f>SUM(I29)</f>
        <v>1756704</v>
      </c>
      <c r="J30" s="1441"/>
      <c r="K30" s="431"/>
      <c r="L30" s="179">
        <f>L29</f>
        <v>585010</v>
      </c>
      <c r="M30" s="431">
        <f>L30/H30</f>
        <v>0.35000023931231217</v>
      </c>
      <c r="N30" s="431"/>
      <c r="O30" s="179">
        <f>O29</f>
        <v>0</v>
      </c>
      <c r="P30" s="431">
        <f>O30/H30</f>
        <v>0</v>
      </c>
      <c r="Q30" s="431"/>
      <c r="R30" s="179">
        <f>R29</f>
        <v>0</v>
      </c>
      <c r="S30" s="1100">
        <f t="shared" si="1"/>
        <v>0</v>
      </c>
      <c r="T30" s="1101"/>
      <c r="U30" s="1078">
        <f t="shared" si="0"/>
        <v>585010</v>
      </c>
      <c r="V30" s="431">
        <f>U30/H30</f>
        <v>0.35000023931231217</v>
      </c>
    </row>
    <row r="31" spans="1:22" ht="30" customHeight="1" x14ac:dyDescent="0.3">
      <c r="A31" s="1440" t="s">
        <v>1540</v>
      </c>
      <c r="B31" s="1441" t="s">
        <v>211</v>
      </c>
      <c r="C31" s="493" t="s">
        <v>81</v>
      </c>
      <c r="D31" s="493" t="s">
        <v>212</v>
      </c>
      <c r="E31" s="493">
        <v>0</v>
      </c>
      <c r="F31" s="453">
        <v>800905</v>
      </c>
      <c r="G31" s="32">
        <f t="shared" ref="G31:G33" si="14">+ROUND(F31*1.051,0)</f>
        <v>841751</v>
      </c>
      <c r="H31" s="453">
        <f>ROUND((E31*F31),0)</f>
        <v>0</v>
      </c>
      <c r="I31" s="32">
        <f t="shared" ref="I31:I33" si="15">+ROUND(G31*E31,0)</f>
        <v>0</v>
      </c>
      <c r="J31" s="1442" t="s">
        <v>1541</v>
      </c>
      <c r="K31" s="452">
        <v>0</v>
      </c>
      <c r="L31" s="425">
        <f>ROUND(K31*F31,0)</f>
        <v>0</v>
      </c>
      <c r="M31" s="426">
        <v>0</v>
      </c>
      <c r="N31" s="452">
        <v>0</v>
      </c>
      <c r="O31" s="425">
        <f>ROUND(N31*F31,0)</f>
        <v>0</v>
      </c>
      <c r="P31" s="426">
        <v>0</v>
      </c>
      <c r="Q31" s="452">
        <v>0</v>
      </c>
      <c r="R31" s="425">
        <f t="shared" ref="R31:R33" si="16">ROUND(Q31*G31,0)</f>
        <v>0</v>
      </c>
      <c r="S31" s="604">
        <v>0</v>
      </c>
      <c r="T31" s="450">
        <f t="shared" ref="T31:T32" si="17">K31+N31+Q31</f>
        <v>0</v>
      </c>
      <c r="U31" s="175">
        <f t="shared" si="0"/>
        <v>0</v>
      </c>
      <c r="V31" s="176">
        <v>0</v>
      </c>
    </row>
    <row r="32" spans="1:22" ht="30" customHeight="1" x14ac:dyDescent="0.3">
      <c r="A32" s="1440"/>
      <c r="B32" s="1441"/>
      <c r="C32" s="493" t="s">
        <v>83</v>
      </c>
      <c r="D32" s="493" t="s">
        <v>213</v>
      </c>
      <c r="E32" s="493"/>
      <c r="F32" s="453">
        <v>2646468</v>
      </c>
      <c r="G32" s="32">
        <f t="shared" si="14"/>
        <v>2781438</v>
      </c>
      <c r="H32" s="453">
        <f>ROUND((E32*F32),0)</f>
        <v>0</v>
      </c>
      <c r="I32" s="32">
        <f t="shared" si="15"/>
        <v>0</v>
      </c>
      <c r="J32" s="1441"/>
      <c r="K32" s="452">
        <v>0</v>
      </c>
      <c r="L32" s="425">
        <f>ROUND(K32*F32,0)</f>
        <v>0</v>
      </c>
      <c r="M32" s="426">
        <v>0</v>
      </c>
      <c r="N32" s="452">
        <v>0</v>
      </c>
      <c r="O32" s="425">
        <f>ROUND(N32*F32,0)</f>
        <v>0</v>
      </c>
      <c r="P32" s="426">
        <v>0</v>
      </c>
      <c r="Q32" s="452">
        <v>0</v>
      </c>
      <c r="R32" s="425">
        <f t="shared" si="16"/>
        <v>0</v>
      </c>
      <c r="S32" s="604">
        <v>0</v>
      </c>
      <c r="T32" s="450">
        <f t="shared" si="17"/>
        <v>0</v>
      </c>
      <c r="U32" s="175">
        <f t="shared" si="0"/>
        <v>0</v>
      </c>
      <c r="V32" s="176">
        <v>0</v>
      </c>
    </row>
    <row r="33" spans="1:22" ht="30" customHeight="1" x14ac:dyDescent="0.3">
      <c r="A33" s="1440"/>
      <c r="B33" s="1441"/>
      <c r="C33" s="493" t="s">
        <v>61</v>
      </c>
      <c r="D33" s="493" t="s">
        <v>214</v>
      </c>
      <c r="E33" s="493">
        <v>0.40250000000000002</v>
      </c>
      <c r="F33" s="453">
        <v>2228604</v>
      </c>
      <c r="G33" s="32">
        <f t="shared" si="14"/>
        <v>2342263</v>
      </c>
      <c r="H33" s="453">
        <f>ROUND((E33*F33),0)</f>
        <v>897013</v>
      </c>
      <c r="I33" s="32">
        <f t="shared" si="15"/>
        <v>942761</v>
      </c>
      <c r="J33" s="1441"/>
      <c r="K33" s="474">
        <v>0.40250000000000002</v>
      </c>
      <c r="L33" s="429">
        <f>ROUND(K33*F33,0)</f>
        <v>897013</v>
      </c>
      <c r="M33" s="430">
        <f>L33/H33</f>
        <v>1</v>
      </c>
      <c r="N33" s="452">
        <v>0</v>
      </c>
      <c r="O33" s="425">
        <f>ROUND(N33*F33,0)</f>
        <v>0</v>
      </c>
      <c r="P33" s="426">
        <f>O33/H33</f>
        <v>0</v>
      </c>
      <c r="Q33" s="452">
        <v>0</v>
      </c>
      <c r="R33" s="425">
        <f t="shared" si="16"/>
        <v>0</v>
      </c>
      <c r="S33" s="604">
        <f t="shared" si="1"/>
        <v>0</v>
      </c>
      <c r="T33" s="450">
        <f>K33+N33+Q33</f>
        <v>0.40250000000000002</v>
      </c>
      <c r="U33" s="175">
        <f t="shared" si="0"/>
        <v>897013</v>
      </c>
      <c r="V33" s="176">
        <f>U33/H33</f>
        <v>1</v>
      </c>
    </row>
    <row r="34" spans="1:22" x14ac:dyDescent="0.3">
      <c r="A34" s="1440"/>
      <c r="B34" s="1441"/>
      <c r="C34" s="459"/>
      <c r="D34" s="459" t="s">
        <v>215</v>
      </c>
      <c r="E34" s="458"/>
      <c r="F34" s="458"/>
      <c r="G34" s="458"/>
      <c r="H34" s="457">
        <f>SUM(H31:H33)</f>
        <v>897013</v>
      </c>
      <c r="I34" s="457">
        <f>SUM(I31:I33)</f>
        <v>942761</v>
      </c>
      <c r="J34" s="1441"/>
      <c r="K34" s="431"/>
      <c r="L34" s="179">
        <f>SUM(L31:L33)</f>
        <v>897013</v>
      </c>
      <c r="M34" s="431">
        <f>L34/H34</f>
        <v>1</v>
      </c>
      <c r="N34" s="431"/>
      <c r="O34" s="179">
        <f>SUM(O31:O33)</f>
        <v>0</v>
      </c>
      <c r="P34" s="431">
        <f>O34/H34</f>
        <v>0</v>
      </c>
      <c r="Q34" s="431"/>
      <c r="R34" s="179">
        <f>SUM(R31:R33)</f>
        <v>0</v>
      </c>
      <c r="S34" s="1100">
        <f t="shared" si="1"/>
        <v>0</v>
      </c>
      <c r="T34" s="1101"/>
      <c r="U34" s="1078">
        <f t="shared" si="0"/>
        <v>897013</v>
      </c>
      <c r="V34" s="431">
        <f>U34/H34</f>
        <v>1</v>
      </c>
    </row>
    <row r="35" spans="1:22" ht="30" customHeight="1" x14ac:dyDescent="0.3">
      <c r="A35" s="1440" t="s">
        <v>1540</v>
      </c>
      <c r="B35" s="1441" t="s">
        <v>170</v>
      </c>
      <c r="C35" s="493" t="s">
        <v>83</v>
      </c>
      <c r="D35" s="493" t="s">
        <v>123</v>
      </c>
      <c r="E35" s="493">
        <v>0</v>
      </c>
      <c r="F35" s="453">
        <v>1044658</v>
      </c>
      <c r="G35" s="32">
        <f t="shared" ref="G35:G36" si="18">+ROUND(F35*1.051,0)</f>
        <v>1097936</v>
      </c>
      <c r="H35" s="453">
        <f>ROUND((E35*F35),0)</f>
        <v>0</v>
      </c>
      <c r="I35" s="32">
        <f t="shared" ref="I35:I36" si="19">+ROUND(G35*E35,0)</f>
        <v>0</v>
      </c>
      <c r="J35" s="1442" t="s">
        <v>1539</v>
      </c>
      <c r="K35" s="452">
        <v>0</v>
      </c>
      <c r="L35" s="425">
        <f>ROUND(K35*F35,0)</f>
        <v>0</v>
      </c>
      <c r="M35" s="426">
        <v>0</v>
      </c>
      <c r="N35" s="452">
        <v>0</v>
      </c>
      <c r="O35" s="425">
        <f>ROUND(N35*F35,0)</f>
        <v>0</v>
      </c>
      <c r="P35" s="426">
        <v>0</v>
      </c>
      <c r="Q35" s="452">
        <v>0</v>
      </c>
      <c r="R35" s="425">
        <f t="shared" ref="R35:R36" si="20">ROUND(Q35*G35,0)</f>
        <v>0</v>
      </c>
      <c r="S35" s="604">
        <v>0</v>
      </c>
      <c r="T35" s="450">
        <f t="shared" ref="T35:T36" si="21">K35+N35+Q35</f>
        <v>0</v>
      </c>
      <c r="U35" s="175">
        <f t="shared" si="0"/>
        <v>0</v>
      </c>
      <c r="V35" s="176">
        <v>0</v>
      </c>
    </row>
    <row r="36" spans="1:22" ht="30" customHeight="1" x14ac:dyDescent="0.3">
      <c r="A36" s="1440"/>
      <c r="B36" s="1441"/>
      <c r="C36" s="493" t="s">
        <v>61</v>
      </c>
      <c r="D36" s="493" t="s">
        <v>125</v>
      </c>
      <c r="E36" s="493">
        <v>0.7</v>
      </c>
      <c r="F36" s="453">
        <v>1009836</v>
      </c>
      <c r="G36" s="32">
        <f t="shared" si="18"/>
        <v>1061338</v>
      </c>
      <c r="H36" s="453">
        <f>ROUND((E36*F36),0)</f>
        <v>706885</v>
      </c>
      <c r="I36" s="32">
        <f t="shared" si="19"/>
        <v>742937</v>
      </c>
      <c r="J36" s="1441"/>
      <c r="K36" s="474">
        <v>0.7</v>
      </c>
      <c r="L36" s="429">
        <f>ROUND(K36*F36,0)</f>
        <v>706885</v>
      </c>
      <c r="M36" s="430">
        <f>L36/H36</f>
        <v>1</v>
      </c>
      <c r="N36" s="452">
        <v>0</v>
      </c>
      <c r="O36" s="425">
        <f>ROUND(N36*F36,0)</f>
        <v>0</v>
      </c>
      <c r="P36" s="426">
        <f>O36/H36</f>
        <v>0</v>
      </c>
      <c r="Q36" s="452">
        <v>0</v>
      </c>
      <c r="R36" s="425">
        <f t="shared" si="20"/>
        <v>0</v>
      </c>
      <c r="S36" s="604">
        <f t="shared" si="1"/>
        <v>0</v>
      </c>
      <c r="T36" s="450">
        <f t="shared" si="21"/>
        <v>0.7</v>
      </c>
      <c r="U36" s="175">
        <f t="shared" si="0"/>
        <v>706885</v>
      </c>
      <c r="V36" s="176">
        <f>U36/H36</f>
        <v>1</v>
      </c>
    </row>
    <row r="37" spans="1:22" x14ac:dyDescent="0.3">
      <c r="A37" s="1440"/>
      <c r="B37" s="1441"/>
      <c r="C37" s="459"/>
      <c r="D37" s="459" t="s">
        <v>126</v>
      </c>
      <c r="E37" s="458"/>
      <c r="F37" s="458"/>
      <c r="G37" s="458"/>
      <c r="H37" s="457">
        <f>SUM(H35:H36)</f>
        <v>706885</v>
      </c>
      <c r="I37" s="457">
        <f>SUM(I35:I36)</f>
        <v>742937</v>
      </c>
      <c r="J37" s="1441"/>
      <c r="K37" s="431"/>
      <c r="L37" s="179">
        <f>SUM(L35:L36)</f>
        <v>706885</v>
      </c>
      <c r="M37" s="431">
        <f>L37/H37</f>
        <v>1</v>
      </c>
      <c r="N37" s="431"/>
      <c r="O37" s="179">
        <f>SUM(O35:O36)</f>
        <v>0</v>
      </c>
      <c r="P37" s="431">
        <f>O37/H37</f>
        <v>0</v>
      </c>
      <c r="Q37" s="431"/>
      <c r="R37" s="179">
        <f>SUM(R35:R36)</f>
        <v>0</v>
      </c>
      <c r="S37" s="1100">
        <f t="shared" si="1"/>
        <v>0</v>
      </c>
      <c r="T37" s="1101"/>
      <c r="U37" s="1078">
        <f t="shared" si="0"/>
        <v>706885</v>
      </c>
      <c r="V37" s="431">
        <f>U37/H37</f>
        <v>1</v>
      </c>
    </row>
    <row r="38" spans="1:22" x14ac:dyDescent="0.3">
      <c r="F38" s="445" t="s">
        <v>64</v>
      </c>
      <c r="G38" s="445"/>
      <c r="H38" s="181">
        <f>SUM(H14:H37)/2</f>
        <v>9350118</v>
      </c>
      <c r="I38" s="181">
        <f>SUM(I14:I37)/2</f>
        <v>9745523</v>
      </c>
      <c r="K38" s="547" t="s">
        <v>64</v>
      </c>
      <c r="L38" s="481">
        <f>SUM(L14:L37)/2</f>
        <v>4953772</v>
      </c>
      <c r="N38" s="547" t="s">
        <v>64</v>
      </c>
      <c r="O38" s="481">
        <f>SUM(O14:O37)/2</f>
        <v>1427422</v>
      </c>
      <c r="Q38" s="547" t="s">
        <v>64</v>
      </c>
      <c r="R38" s="481">
        <f>SUM(R14:R37)/2</f>
        <v>0</v>
      </c>
      <c r="T38" s="547" t="s">
        <v>64</v>
      </c>
      <c r="U38" s="481">
        <f>SUM(U14:U37)/2</f>
        <v>6381194</v>
      </c>
    </row>
    <row r="39" spans="1:22" x14ac:dyDescent="0.3">
      <c r="F39" s="444" t="s">
        <v>65</v>
      </c>
      <c r="G39" s="444"/>
      <c r="H39" s="181">
        <v>0</v>
      </c>
      <c r="I39" s="181">
        <v>0</v>
      </c>
      <c r="K39" s="548" t="s">
        <v>65</v>
      </c>
      <c r="L39" s="481">
        <v>0</v>
      </c>
      <c r="N39" s="548" t="s">
        <v>65</v>
      </c>
      <c r="O39" s="481">
        <v>0</v>
      </c>
      <c r="Q39" s="548" t="s">
        <v>65</v>
      </c>
      <c r="R39" s="481">
        <v>0</v>
      </c>
      <c r="T39" s="548" t="s">
        <v>65</v>
      </c>
      <c r="U39" s="481">
        <v>0</v>
      </c>
    </row>
    <row r="40" spans="1:22" x14ac:dyDescent="0.3">
      <c r="F40" s="443" t="s">
        <v>64</v>
      </c>
      <c r="G40" s="443"/>
      <c r="H40" s="340">
        <f>SUM(H38:H39)</f>
        <v>9350118</v>
      </c>
      <c r="I40" s="340">
        <f>SUM(I38:I39)</f>
        <v>9745523</v>
      </c>
      <c r="K40" s="549" t="s">
        <v>64</v>
      </c>
      <c r="L40" s="550">
        <f>SUM(L38:L39)</f>
        <v>4953772</v>
      </c>
      <c r="N40" s="549" t="s">
        <v>64</v>
      </c>
      <c r="O40" s="550">
        <f>SUM(O38:O39)</f>
        <v>1427422</v>
      </c>
      <c r="Q40" s="549" t="s">
        <v>64</v>
      </c>
      <c r="R40" s="550">
        <f>SUM(R38:R39)</f>
        <v>0</v>
      </c>
      <c r="T40" s="549" t="s">
        <v>64</v>
      </c>
      <c r="U40" s="550">
        <f>SUM(U38:U39)</f>
        <v>6381194</v>
      </c>
    </row>
    <row r="41" spans="1:22" ht="26.4" x14ac:dyDescent="0.3">
      <c r="F41" s="443"/>
      <c r="G41" s="443"/>
      <c r="H41" s="340"/>
      <c r="I41" s="340"/>
      <c r="K41" s="501" t="s">
        <v>1439</v>
      </c>
      <c r="L41" s="483">
        <f>ROUND(L40*0.015,0)</f>
        <v>74307</v>
      </c>
      <c r="N41" s="501" t="s">
        <v>1439</v>
      </c>
      <c r="O41" s="483">
        <f>ROUND(O40*0.015,0)</f>
        <v>21411</v>
      </c>
      <c r="Q41" s="501" t="s">
        <v>1439</v>
      </c>
      <c r="R41" s="483">
        <f>ROUND(R40*0.015,0)</f>
        <v>0</v>
      </c>
      <c r="T41" s="501" t="s">
        <v>1439</v>
      </c>
      <c r="U41" s="550">
        <f>L41+O41+R41</f>
        <v>95718</v>
      </c>
    </row>
    <row r="42" spans="1:22" ht="26.4" x14ac:dyDescent="0.3">
      <c r="F42" s="443"/>
      <c r="G42" s="443"/>
      <c r="H42" s="340"/>
      <c r="I42" s="340"/>
      <c r="K42" s="96" t="s">
        <v>1440</v>
      </c>
      <c r="L42" s="182">
        <f>L40+L41</f>
        <v>5028079</v>
      </c>
      <c r="M42" s="577">
        <f>L42/H40</f>
        <v>0.53775567324390983</v>
      </c>
      <c r="N42" s="96" t="s">
        <v>1440</v>
      </c>
      <c r="O42" s="182">
        <f>O40+O41</f>
        <v>1448833</v>
      </c>
      <c r="P42" s="577">
        <f>O42/H40</f>
        <v>0.15495344550731874</v>
      </c>
      <c r="Q42" s="96" t="s">
        <v>1440</v>
      </c>
      <c r="R42" s="182">
        <f>R40+R41</f>
        <v>0</v>
      </c>
      <c r="S42" s="577">
        <f>R42/H38</f>
        <v>0</v>
      </c>
      <c r="T42" s="96" t="s">
        <v>1440</v>
      </c>
      <c r="U42" s="182">
        <f>U40+U41</f>
        <v>6476912</v>
      </c>
      <c r="V42" s="577">
        <f>U42/H40</f>
        <v>0.69270911875122865</v>
      </c>
    </row>
    <row r="43" spans="1:22" x14ac:dyDescent="0.3">
      <c r="F43" s="442" t="s">
        <v>66</v>
      </c>
      <c r="G43" s="442"/>
      <c r="H43" s="181">
        <f>+H40*19%</f>
        <v>1776522.42</v>
      </c>
      <c r="I43" s="181">
        <f>+I40*19%</f>
        <v>1851649.37</v>
      </c>
      <c r="K43" s="551" t="s">
        <v>66</v>
      </c>
      <c r="L43" s="483">
        <f>L42*0.19</f>
        <v>955335.01</v>
      </c>
      <c r="N43" s="551" t="s">
        <v>66</v>
      </c>
      <c r="O43" s="483">
        <f>O42*0.19</f>
        <v>275278.27</v>
      </c>
      <c r="Q43" s="551" t="s">
        <v>66</v>
      </c>
      <c r="R43" s="483">
        <f>R42*0.19</f>
        <v>0</v>
      </c>
      <c r="T43" s="551" t="s">
        <v>66</v>
      </c>
      <c r="U43" s="483">
        <f>U42*0.19</f>
        <v>1230613.28</v>
      </c>
    </row>
    <row r="44" spans="1:22" x14ac:dyDescent="0.3">
      <c r="F44" s="441" t="s">
        <v>69</v>
      </c>
      <c r="G44" s="441"/>
      <c r="H44" s="181">
        <f>+H40+H43</f>
        <v>11126640.42</v>
      </c>
      <c r="I44" s="181">
        <f>+I40+I43</f>
        <v>11597172.370000001</v>
      </c>
      <c r="K44" s="552" t="s">
        <v>69</v>
      </c>
      <c r="L44" s="481">
        <f>L42+L43</f>
        <v>5983414.0099999998</v>
      </c>
      <c r="N44" s="552" t="s">
        <v>69</v>
      </c>
      <c r="O44" s="481">
        <f>O42+O43</f>
        <v>1724111.27</v>
      </c>
      <c r="Q44" s="552" t="s">
        <v>69</v>
      </c>
      <c r="R44" s="481">
        <f>R42+R43</f>
        <v>0</v>
      </c>
      <c r="T44" s="552" t="s">
        <v>69</v>
      </c>
      <c r="U44" s="481">
        <f>U42+U43</f>
        <v>7707525.2800000003</v>
      </c>
    </row>
    <row r="45" spans="1:22" x14ac:dyDescent="0.3">
      <c r="F45" s="503"/>
      <c r="G45" s="503"/>
      <c r="H45" s="138"/>
      <c r="I45" s="138"/>
      <c r="K45" s="503"/>
      <c r="L45" s="138"/>
      <c r="N45" s="503"/>
      <c r="O45" s="138"/>
      <c r="Q45" s="503"/>
      <c r="R45" s="138"/>
      <c r="T45" s="503"/>
      <c r="U45" s="138"/>
    </row>
    <row r="46" spans="1:22" x14ac:dyDescent="0.3">
      <c r="F46" s="503"/>
      <c r="G46" s="503"/>
      <c r="H46" s="138"/>
      <c r="I46" s="138"/>
      <c r="K46" s="503"/>
      <c r="L46" s="138"/>
      <c r="N46" s="503"/>
      <c r="O46" s="138"/>
      <c r="Q46" s="503"/>
      <c r="R46" s="138"/>
      <c r="T46" s="503"/>
      <c r="U46" s="138"/>
    </row>
    <row r="48" spans="1:22" s="189" customFormat="1" x14ac:dyDescent="0.3">
      <c r="A48" s="183" t="s">
        <v>67</v>
      </c>
      <c r="B48" s="184"/>
      <c r="C48" s="184"/>
      <c r="D48" s="185" t="s">
        <v>68</v>
      </c>
      <c r="G48" s="852"/>
      <c r="I48" s="852"/>
      <c r="K48" s="186" t="s">
        <v>70</v>
      </c>
      <c r="L48" s="187" t="s">
        <v>71</v>
      </c>
      <c r="M48" s="186" t="s">
        <v>58</v>
      </c>
      <c r="N48" s="186" t="s">
        <v>70</v>
      </c>
      <c r="O48" s="187" t="s">
        <v>71</v>
      </c>
      <c r="P48" s="186" t="s">
        <v>58</v>
      </c>
      <c r="Q48" s="186" t="s">
        <v>70</v>
      </c>
      <c r="R48" s="187" t="s">
        <v>71</v>
      </c>
      <c r="S48" s="186" t="s">
        <v>58</v>
      </c>
      <c r="T48" s="437"/>
      <c r="U48" s="437"/>
      <c r="V48" s="437"/>
    </row>
    <row r="49" spans="1:22" s="189" customFormat="1" x14ac:dyDescent="0.3">
      <c r="A49" s="183"/>
      <c r="B49" s="184"/>
      <c r="C49" s="184"/>
      <c r="D49" s="185"/>
      <c r="G49" s="852"/>
      <c r="I49" s="852"/>
      <c r="K49" s="69" t="s">
        <v>72</v>
      </c>
      <c r="L49" s="70">
        <f>L42</f>
        <v>5028079</v>
      </c>
      <c r="M49" s="71">
        <f>M42</f>
        <v>0.53775567324390983</v>
      </c>
      <c r="N49" s="69" t="s">
        <v>72</v>
      </c>
      <c r="O49" s="70">
        <f>L49</f>
        <v>5028079</v>
      </c>
      <c r="P49" s="360">
        <f>M42</f>
        <v>0.53775567324390983</v>
      </c>
      <c r="Q49" s="69" t="s">
        <v>72</v>
      </c>
      <c r="R49" s="70">
        <f>O49</f>
        <v>5028079</v>
      </c>
      <c r="S49" s="360">
        <f>M42</f>
        <v>0.53775567324390983</v>
      </c>
      <c r="T49" s="437"/>
      <c r="U49" s="437"/>
      <c r="V49" s="437"/>
    </row>
    <row r="50" spans="1:22" s="189" customFormat="1" x14ac:dyDescent="0.3">
      <c r="A50" s="183"/>
      <c r="B50" s="184"/>
      <c r="C50" s="184"/>
      <c r="D50" s="185"/>
      <c r="G50" s="852"/>
      <c r="I50" s="852"/>
      <c r="K50" s="72" t="s">
        <v>1</v>
      </c>
      <c r="L50" s="105">
        <f>SUM(L49:L49)</f>
        <v>5028079</v>
      </c>
      <c r="M50" s="73">
        <f>SUM(M49:M49)</f>
        <v>0.53775567324390983</v>
      </c>
      <c r="N50" s="69" t="s">
        <v>73</v>
      </c>
      <c r="O50" s="70">
        <f>O42</f>
        <v>1448833</v>
      </c>
      <c r="P50" s="634">
        <f>P42</f>
        <v>0.15495344550731874</v>
      </c>
      <c r="Q50" s="69" t="s">
        <v>73</v>
      </c>
      <c r="R50" s="70">
        <f>O42</f>
        <v>1448833</v>
      </c>
      <c r="S50" s="634">
        <f>P42</f>
        <v>0.15495344550731874</v>
      </c>
      <c r="T50" s="437"/>
      <c r="U50" s="437"/>
      <c r="V50" s="437"/>
    </row>
    <row r="51" spans="1:22" s="852" customFormat="1" x14ac:dyDescent="0.3">
      <c r="A51" s="183"/>
      <c r="B51" s="184"/>
      <c r="C51" s="184"/>
      <c r="D51" s="185"/>
      <c r="K51" s="72"/>
      <c r="L51" s="869"/>
      <c r="M51" s="870"/>
      <c r="N51" s="69"/>
      <c r="O51" s="70"/>
      <c r="P51" s="634"/>
      <c r="Q51" s="69" t="s">
        <v>74</v>
      </c>
      <c r="R51" s="70">
        <f>+R42</f>
        <v>0</v>
      </c>
      <c r="S51" s="634">
        <f>+S42</f>
        <v>0</v>
      </c>
      <c r="T51" s="437"/>
      <c r="U51" s="437"/>
      <c r="V51" s="437"/>
    </row>
    <row r="52" spans="1:22" s="189" customFormat="1" x14ac:dyDescent="0.3">
      <c r="A52" s="183"/>
      <c r="B52" s="184"/>
      <c r="C52" s="184"/>
      <c r="D52" s="185"/>
      <c r="G52" s="852"/>
      <c r="I52" s="852"/>
      <c r="K52" s="72" t="s">
        <v>9</v>
      </c>
      <c r="L52" s="1423"/>
      <c r="M52" s="1424"/>
      <c r="N52" s="72" t="s">
        <v>1</v>
      </c>
      <c r="O52" s="105">
        <f>SUM(O49:O50)</f>
        <v>6476912</v>
      </c>
      <c r="P52" s="361">
        <f>SUM(P49:P50)</f>
        <v>0.69270911875122854</v>
      </c>
      <c r="Q52" s="72" t="s">
        <v>1</v>
      </c>
      <c r="R52" s="105">
        <f>SUM(R49:R51)</f>
        <v>6476912</v>
      </c>
      <c r="S52" s="361">
        <f>SUM(S49:S51)</f>
        <v>0.69270911875122854</v>
      </c>
      <c r="T52" s="437"/>
      <c r="U52" s="437"/>
      <c r="V52" s="437"/>
    </row>
    <row r="53" spans="1:22" s="189" customFormat="1" x14ac:dyDescent="0.3">
      <c r="A53" s="183"/>
      <c r="B53" s="184"/>
      <c r="C53" s="184"/>
      <c r="D53" s="185"/>
      <c r="G53" s="852"/>
      <c r="I53" s="852"/>
      <c r="K53" s="440" t="s">
        <v>78</v>
      </c>
      <c r="L53" s="1423" t="s">
        <v>396</v>
      </c>
      <c r="M53" s="1424"/>
      <c r="N53" s="72" t="s">
        <v>9</v>
      </c>
      <c r="O53" s="723"/>
      <c r="P53" s="724"/>
      <c r="Q53" s="72" t="s">
        <v>9</v>
      </c>
      <c r="R53" s="850"/>
      <c r="S53" s="851"/>
      <c r="T53" s="437"/>
      <c r="U53" s="563" t="s">
        <v>1979</v>
      </c>
      <c r="V53" s="437"/>
    </row>
    <row r="54" spans="1:22" s="189" customFormat="1" x14ac:dyDescent="0.3">
      <c r="A54" s="183"/>
      <c r="B54" s="184"/>
      <c r="C54" s="184"/>
      <c r="D54" s="185"/>
      <c r="G54" s="852"/>
      <c r="I54" s="852"/>
      <c r="K54" s="439" t="s">
        <v>8</v>
      </c>
      <c r="L54" s="1425" t="s">
        <v>397</v>
      </c>
      <c r="M54" s="1426"/>
      <c r="N54" s="440" t="s">
        <v>78</v>
      </c>
      <c r="O54" s="1423" t="s">
        <v>1984</v>
      </c>
      <c r="P54" s="1424"/>
      <c r="Q54" s="440" t="s">
        <v>78</v>
      </c>
      <c r="R54" s="1423" t="s">
        <v>1984</v>
      </c>
      <c r="S54" s="1424"/>
      <c r="T54" s="437"/>
      <c r="U54" s="437"/>
      <c r="V54" s="437"/>
    </row>
    <row r="55" spans="1:22" s="189" customFormat="1" x14ac:dyDescent="0.3">
      <c r="A55" s="183"/>
      <c r="B55" s="184"/>
      <c r="C55" s="184"/>
      <c r="D55" s="185" t="s">
        <v>75</v>
      </c>
      <c r="G55" s="852"/>
      <c r="I55" s="852"/>
      <c r="N55" s="439" t="s">
        <v>8</v>
      </c>
      <c r="O55" s="1423" t="s">
        <v>1985</v>
      </c>
      <c r="P55" s="1424"/>
      <c r="Q55" s="439" t="s">
        <v>8</v>
      </c>
      <c r="R55" s="1423" t="s">
        <v>1985</v>
      </c>
      <c r="S55" s="1424"/>
    </row>
    <row r="56" spans="1:22" s="189" customFormat="1" x14ac:dyDescent="0.3">
      <c r="A56" s="183" t="s">
        <v>76</v>
      </c>
      <c r="B56" s="180"/>
      <c r="C56" s="180"/>
      <c r="D56" s="185" t="s">
        <v>77</v>
      </c>
      <c r="G56" s="852"/>
      <c r="I56" s="852"/>
      <c r="N56" s="727"/>
      <c r="O56" s="727"/>
      <c r="P56" s="727"/>
      <c r="Q56" s="852"/>
      <c r="R56" s="852"/>
      <c r="S56" s="852"/>
    </row>
    <row r="57" spans="1:22" s="189" customFormat="1" ht="26.4" x14ac:dyDescent="0.3">
      <c r="A57" s="183" t="s">
        <v>79</v>
      </c>
      <c r="B57" s="180"/>
      <c r="C57" s="180"/>
      <c r="D57" s="185" t="s">
        <v>80</v>
      </c>
      <c r="G57" s="852"/>
      <c r="I57" s="852"/>
      <c r="N57" s="727"/>
      <c r="O57" s="727"/>
      <c r="P57" s="727"/>
      <c r="Q57" s="852"/>
      <c r="R57" s="852"/>
      <c r="S57" s="852"/>
    </row>
  </sheetData>
  <sheetProtection formatCells="0" formatColumns="0" formatRows="0" insertColumns="0" insertRows="0" insertHyperlinks="0" deleteColumns="0" deleteRows="0" sort="0" autoFilter="0" pivotTables="0"/>
  <mergeCells count="48">
    <mergeCell ref="B11:J11"/>
    <mergeCell ref="K11:M12"/>
    <mergeCell ref="T11:V12"/>
    <mergeCell ref="B12:J12"/>
    <mergeCell ref="T1:V1"/>
    <mergeCell ref="T2:V2"/>
    <mergeCell ref="A3:V3"/>
    <mergeCell ref="A4:V4"/>
    <mergeCell ref="A5:V5"/>
    <mergeCell ref="C1:M2"/>
    <mergeCell ref="A6:V6"/>
    <mergeCell ref="A7:V7"/>
    <mergeCell ref="A8:V8"/>
    <mergeCell ref="A9:V9"/>
    <mergeCell ref="A10:V10"/>
    <mergeCell ref="N11:P12"/>
    <mergeCell ref="B29:B30"/>
    <mergeCell ref="J29:J30"/>
    <mergeCell ref="B14:B16"/>
    <mergeCell ref="J14:J16"/>
    <mergeCell ref="B17:B19"/>
    <mergeCell ref="J17:J19"/>
    <mergeCell ref="A20:A23"/>
    <mergeCell ref="B20:B23"/>
    <mergeCell ref="J20:J23"/>
    <mergeCell ref="A14:A16"/>
    <mergeCell ref="A17:A19"/>
    <mergeCell ref="L53:M53"/>
    <mergeCell ref="L54:M54"/>
    <mergeCell ref="A24:A26"/>
    <mergeCell ref="B24:B26"/>
    <mergeCell ref="J24:J26"/>
    <mergeCell ref="J31:J34"/>
    <mergeCell ref="A35:A37"/>
    <mergeCell ref="B35:B37"/>
    <mergeCell ref="J35:J37"/>
    <mergeCell ref="A31:A34"/>
    <mergeCell ref="B31:B34"/>
    <mergeCell ref="A27:A28"/>
    <mergeCell ref="B27:B28"/>
    <mergeCell ref="J27:J28"/>
    <mergeCell ref="A29:A30"/>
    <mergeCell ref="L52:M52"/>
    <mergeCell ref="Q11:S12"/>
    <mergeCell ref="R54:S54"/>
    <mergeCell ref="R55:S55"/>
    <mergeCell ref="O54:P54"/>
    <mergeCell ref="O55:P55"/>
  </mergeCells>
  <pageMargins left="0.70866141732283472" right="0.70866141732283472" top="0.74803149606299213" bottom="0.74803149606299213" header="0.31496062992125984" footer="0.31496062992125984"/>
  <pageSetup scale="60" orientation="landscape" r:id="rId1"/>
  <drawing r:id="rId2"/>
  <legacyDrawing r:id="rId3"/>
  <legacyDrawingHF r:id="rId4"/>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7">
    <tabColor theme="1"/>
  </sheetPr>
  <dimension ref="A1:G49"/>
  <sheetViews>
    <sheetView topLeftCell="A13" zoomScaleNormal="100" workbookViewId="0">
      <selection activeCell="A36" sqref="A36:G3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RESUMEN!G93</f>
        <v>Proyecto: CDIM_CBSGSM_R0161 Normalización y Reposición SE VICTORIA</v>
      </c>
      <c r="C5" s="1281"/>
      <c r="D5" s="1281"/>
      <c r="E5" s="1281"/>
      <c r="F5" s="1281"/>
      <c r="G5" s="1282"/>
    </row>
    <row r="6" spans="1:7" x14ac:dyDescent="0.25">
      <c r="A6" s="1177"/>
      <c r="B6" s="1177"/>
      <c r="C6" s="1177"/>
      <c r="D6" s="1177"/>
      <c r="E6" s="1177"/>
      <c r="F6" s="1177"/>
      <c r="G6" s="1177"/>
    </row>
    <row r="7" spans="1:7" x14ac:dyDescent="0.25">
      <c r="A7" s="271" t="s">
        <v>0</v>
      </c>
      <c r="B7" s="1264" t="str">
        <f>RESUMEN!B93</f>
        <v>D00235038</v>
      </c>
      <c r="C7" s="1265"/>
      <c r="D7" s="1177"/>
      <c r="E7" s="1266" t="s">
        <v>627</v>
      </c>
      <c r="F7" s="1267"/>
      <c r="G7" s="280" t="str">
        <f>RESUMEN!E93</f>
        <v xml:space="preserve">17-367 </v>
      </c>
    </row>
    <row r="8" spans="1:7" x14ac:dyDescent="0.25">
      <c r="A8" s="271" t="s">
        <v>628</v>
      </c>
      <c r="B8" s="1264" t="str">
        <f>RESUMEN!C93</f>
        <v>D00235038000</v>
      </c>
      <c r="C8" s="1265"/>
      <c r="D8" s="1177"/>
      <c r="E8" s="1266" t="s">
        <v>629</v>
      </c>
      <c r="F8" s="1267"/>
      <c r="G8" s="280" t="str">
        <f>RESUMEN!U93</f>
        <v>Acta N° 1: Febrero</v>
      </c>
    </row>
    <row r="9" spans="1:7" x14ac:dyDescent="0.25">
      <c r="A9" s="271" t="s">
        <v>630</v>
      </c>
      <c r="B9" s="1283" t="s">
        <v>631</v>
      </c>
      <c r="C9" s="1265"/>
      <c r="D9" s="1177"/>
      <c r="E9" s="1266" t="s">
        <v>632</v>
      </c>
      <c r="F9" s="1267"/>
      <c r="G9" s="1178">
        <f>RESUMEN!H93</f>
        <v>766084</v>
      </c>
    </row>
    <row r="10" spans="1:7" x14ac:dyDescent="0.25">
      <c r="A10" s="271" t="s">
        <v>633</v>
      </c>
      <c r="B10" s="1283" t="str">
        <f>RESUMEN!D93</f>
        <v>VICTORIA</v>
      </c>
      <c r="C10" s="1265"/>
      <c r="D10" s="1177"/>
      <c r="E10" s="1266" t="s">
        <v>634</v>
      </c>
      <c r="F10" s="1267"/>
      <c r="G10" s="1178">
        <f>RESUMEN!R93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RESUMEN!N93</f>
        <v>0</v>
      </c>
      <c r="F19" s="1248"/>
      <c r="G19" s="1177"/>
    </row>
    <row r="20" spans="1:7" ht="27" customHeight="1" x14ac:dyDescent="0.25">
      <c r="A20" s="1177"/>
      <c r="B20" s="1244" t="s">
        <v>1498</v>
      </c>
      <c r="C20" s="1245"/>
      <c r="D20" s="1246"/>
      <c r="E20" s="1247">
        <f>RESUMEN!P93</f>
        <v>0</v>
      </c>
      <c r="F20" s="1248"/>
      <c r="G20" s="1177"/>
    </row>
    <row r="21" spans="1:7" ht="27" customHeight="1" x14ac:dyDescent="0.25">
      <c r="A21" s="1177"/>
      <c r="B21" s="1244" t="s">
        <v>1499</v>
      </c>
      <c r="C21" s="1245"/>
      <c r="D21" s="1246"/>
      <c r="E21" s="1247">
        <f>RESUMEN!Q93</f>
        <v>0</v>
      </c>
      <c r="F21" s="1248"/>
      <c r="G21" s="1177"/>
    </row>
    <row r="22" spans="1:7" x14ac:dyDescent="0.25">
      <c r="A22" s="1177"/>
      <c r="B22" s="1254" t="s">
        <v>64</v>
      </c>
      <c r="C22" s="1254"/>
      <c r="D22" s="1254"/>
      <c r="E22" s="1255">
        <f>RESUMEN!R93</f>
        <v>0</v>
      </c>
      <c r="F22" s="1255"/>
      <c r="G22" s="1177"/>
    </row>
    <row r="23" spans="1:7" x14ac:dyDescent="0.25">
      <c r="A23" s="1177"/>
      <c r="B23" s="1256" t="s">
        <v>66</v>
      </c>
      <c r="C23" s="1256"/>
      <c r="D23" s="1256"/>
      <c r="E23" s="1257">
        <f>RESUMEN!S93</f>
        <v>0</v>
      </c>
      <c r="F23" s="1257"/>
      <c r="G23" s="1177"/>
    </row>
    <row r="24" spans="1:7" x14ac:dyDescent="0.25">
      <c r="A24" s="1177"/>
      <c r="B24" s="1258" t="s">
        <v>1</v>
      </c>
      <c r="C24" s="1258"/>
      <c r="D24" s="1258"/>
      <c r="E24" s="1259">
        <f>RESUMEN!T93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+'OT17-367 VICTORIA'!K26</f>
        <v>ACTA 1</v>
      </c>
      <c r="C28" s="1253">
        <f>+'OT17-367 VICTORIA'!L26</f>
        <v>0</v>
      </c>
      <c r="D28" s="1253"/>
      <c r="E28" s="267">
        <f>+'OT17-367 VICTORIA'!M26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8">
    <tabColor theme="7"/>
  </sheetPr>
  <dimension ref="A1:P33"/>
  <sheetViews>
    <sheetView zoomScale="55" zoomScaleNormal="55" zoomScaleSheetLayoutView="70" workbookViewId="0">
      <selection activeCell="L26" sqref="L26"/>
    </sheetView>
  </sheetViews>
  <sheetFormatPr baseColWidth="10" defaultColWidth="9.109375" defaultRowHeight="14.4" x14ac:dyDescent="0.3"/>
  <cols>
    <col min="1" max="1" width="19.109375" style="437" customWidth="1"/>
    <col min="2" max="2" width="35.6640625" style="437" customWidth="1"/>
    <col min="3" max="3" width="33" style="437" customWidth="1"/>
    <col min="4" max="4" width="29.5546875" style="437" bestFit="1" customWidth="1"/>
    <col min="5" max="5" width="17.109375" style="437" bestFit="1" customWidth="1"/>
    <col min="6" max="7" width="17.88671875" style="437" customWidth="1"/>
    <col min="8" max="9" width="16.109375" style="437" customWidth="1"/>
    <col min="10" max="10" width="20.33203125" style="437" customWidth="1"/>
    <col min="11" max="11" width="17.88671875" style="437" bestFit="1" customWidth="1"/>
    <col min="12" max="12" width="18" style="437" bestFit="1" customWidth="1"/>
    <col min="13" max="13" width="9.109375" style="437"/>
    <col min="14" max="14" width="17.88671875" style="437" bestFit="1" customWidth="1"/>
    <col min="15" max="15" width="12.88671875" style="437" bestFit="1" customWidth="1"/>
    <col min="16" max="16384" width="9.109375" style="437"/>
  </cols>
  <sheetData>
    <row r="1" spans="1:16" ht="22.5" customHeight="1" thickBot="1" x14ac:dyDescent="0.35">
      <c r="A1" s="169"/>
      <c r="B1" s="188"/>
      <c r="C1" s="1307" t="s">
        <v>40</v>
      </c>
      <c r="D1" s="1308"/>
      <c r="E1" s="1308"/>
      <c r="F1" s="1308"/>
      <c r="G1" s="1308"/>
      <c r="H1" s="1308"/>
      <c r="I1" s="1308"/>
      <c r="J1" s="1308"/>
      <c r="K1" s="1308"/>
      <c r="L1" s="1308"/>
      <c r="M1" s="1308"/>
      <c r="N1" s="1328" t="s">
        <v>866</v>
      </c>
      <c r="O1" s="1303"/>
      <c r="P1" s="1304"/>
    </row>
    <row r="2" spans="1:16" ht="13.5" customHeight="1" thickBot="1" x14ac:dyDescent="0.35">
      <c r="A2" s="170"/>
      <c r="B2" s="190"/>
      <c r="C2" s="1310"/>
      <c r="D2" s="1311"/>
      <c r="E2" s="1311"/>
      <c r="F2" s="1311"/>
      <c r="G2" s="1311"/>
      <c r="H2" s="1311"/>
      <c r="I2" s="1311"/>
      <c r="J2" s="1311"/>
      <c r="K2" s="1311"/>
      <c r="L2" s="1311"/>
      <c r="M2" s="1311"/>
      <c r="N2" s="1329" t="s">
        <v>41</v>
      </c>
      <c r="O2" s="1305"/>
      <c r="P2" s="1306"/>
    </row>
    <row r="3" spans="1:16" ht="13.5" customHeight="1" x14ac:dyDescent="0.3">
      <c r="A3" s="1292" t="s">
        <v>42</v>
      </c>
      <c r="B3" s="1292"/>
      <c r="C3" s="1292"/>
      <c r="D3" s="1292"/>
      <c r="E3" s="1292"/>
      <c r="F3" s="1292"/>
      <c r="G3" s="1292"/>
      <c r="H3" s="1292"/>
      <c r="I3" s="1292"/>
      <c r="J3" s="1292"/>
      <c r="K3" s="1292"/>
      <c r="L3" s="1292"/>
      <c r="M3" s="1292"/>
      <c r="N3" s="1292"/>
      <c r="O3" s="1292"/>
      <c r="P3" s="1292"/>
    </row>
    <row r="4" spans="1:16" ht="13.5" customHeight="1" x14ac:dyDescent="0.3">
      <c r="A4" s="1292" t="s">
        <v>43</v>
      </c>
      <c r="B4" s="1292"/>
      <c r="C4" s="1292"/>
      <c r="D4" s="1292"/>
      <c r="E4" s="1292"/>
      <c r="F4" s="1292"/>
      <c r="G4" s="1292"/>
      <c r="H4" s="1292"/>
      <c r="I4" s="1292"/>
      <c r="J4" s="1292"/>
      <c r="K4" s="1292"/>
      <c r="L4" s="1292"/>
      <c r="M4" s="1292"/>
      <c r="N4" s="1292"/>
      <c r="O4" s="1292"/>
      <c r="P4" s="1292"/>
    </row>
    <row r="5" spans="1:16" ht="13.5" customHeight="1" x14ac:dyDescent="0.3">
      <c r="A5" s="1292" t="s">
        <v>44</v>
      </c>
      <c r="B5" s="1292"/>
      <c r="C5" s="1292"/>
      <c r="D5" s="1292"/>
      <c r="E5" s="1292"/>
      <c r="F5" s="1292"/>
      <c r="G5" s="1292"/>
      <c r="H5" s="1292"/>
      <c r="I5" s="1292"/>
      <c r="J5" s="1292"/>
      <c r="K5" s="1292"/>
      <c r="L5" s="1292"/>
      <c r="M5" s="1292"/>
      <c r="N5" s="1292"/>
      <c r="O5" s="1292"/>
      <c r="P5" s="1292"/>
    </row>
    <row r="6" spans="1:16" ht="13.5" customHeight="1" x14ac:dyDescent="0.3">
      <c r="A6" s="1292" t="s">
        <v>45</v>
      </c>
      <c r="B6" s="1292"/>
      <c r="C6" s="1292"/>
      <c r="D6" s="1292"/>
      <c r="E6" s="1292"/>
      <c r="F6" s="1292"/>
      <c r="G6" s="1292"/>
      <c r="H6" s="1292"/>
      <c r="I6" s="1292"/>
      <c r="J6" s="1292"/>
      <c r="K6" s="1292"/>
      <c r="L6" s="1292"/>
      <c r="M6" s="1292"/>
      <c r="N6" s="1292"/>
      <c r="O6" s="1292"/>
      <c r="P6" s="1292"/>
    </row>
    <row r="7" spans="1:16" x14ac:dyDescent="0.3">
      <c r="A7" s="1291" t="s">
        <v>1080</v>
      </c>
      <c r="B7" s="1292"/>
      <c r="C7" s="1292"/>
      <c r="D7" s="1292"/>
      <c r="E7" s="1292"/>
      <c r="F7" s="1292"/>
      <c r="G7" s="1292"/>
      <c r="H7" s="1292"/>
      <c r="I7" s="1292"/>
      <c r="J7" s="1292"/>
      <c r="K7" s="1292"/>
      <c r="L7" s="1292"/>
      <c r="M7" s="1292"/>
      <c r="N7" s="1292"/>
      <c r="O7" s="1292"/>
      <c r="P7" s="1292"/>
    </row>
    <row r="8" spans="1:16" ht="13.5" customHeight="1" x14ac:dyDescent="0.3">
      <c r="A8" s="1292" t="s">
        <v>2103</v>
      </c>
      <c r="B8" s="1292"/>
      <c r="C8" s="1292"/>
      <c r="D8" s="1292"/>
      <c r="E8" s="1292"/>
      <c r="F8" s="1292"/>
      <c r="G8" s="1292"/>
      <c r="H8" s="1292"/>
      <c r="I8" s="1292"/>
      <c r="J8" s="1292"/>
      <c r="K8" s="1292"/>
      <c r="L8" s="1292"/>
      <c r="M8" s="1292"/>
      <c r="N8" s="1292"/>
      <c r="O8" s="1292"/>
      <c r="P8" s="1292"/>
    </row>
    <row r="9" spans="1:16" ht="13.5" customHeight="1" x14ac:dyDescent="0.3">
      <c r="A9" s="1292" t="s">
        <v>2087</v>
      </c>
      <c r="B9" s="1292"/>
      <c r="C9" s="1292"/>
      <c r="D9" s="1292"/>
      <c r="E9" s="1292"/>
      <c r="F9" s="1292"/>
      <c r="G9" s="1292"/>
      <c r="H9" s="1292"/>
      <c r="I9" s="1292"/>
      <c r="J9" s="1292"/>
      <c r="K9" s="1292"/>
      <c r="L9" s="1292"/>
      <c r="M9" s="1292"/>
      <c r="N9" s="1292"/>
      <c r="O9" s="1292"/>
      <c r="P9" s="1292"/>
    </row>
    <row r="10" spans="1:16" ht="13.5" customHeight="1" x14ac:dyDescent="0.3">
      <c r="A10" s="1292" t="s">
        <v>1549</v>
      </c>
      <c r="B10" s="1292"/>
      <c r="C10" s="1292"/>
      <c r="D10" s="1292"/>
      <c r="E10" s="1292"/>
      <c r="F10" s="1292"/>
      <c r="G10" s="1292"/>
      <c r="H10" s="1292"/>
      <c r="I10" s="1292"/>
      <c r="J10" s="1292"/>
      <c r="K10" s="1292"/>
      <c r="L10" s="1292"/>
      <c r="M10" s="1292"/>
      <c r="N10" s="1292"/>
      <c r="O10" s="1292"/>
      <c r="P10" s="1292"/>
    </row>
    <row r="11" spans="1:16" ht="13.5" customHeight="1" x14ac:dyDescent="0.3">
      <c r="A11" s="491"/>
      <c r="B11" s="1301"/>
      <c r="C11" s="1313"/>
      <c r="D11" s="1313"/>
      <c r="E11" s="1313"/>
      <c r="F11" s="1313"/>
      <c r="G11" s="1313"/>
      <c r="H11" s="1313"/>
      <c r="I11" s="1313"/>
      <c r="J11" s="1313"/>
      <c r="K11" s="1293" t="s">
        <v>1982</v>
      </c>
      <c r="L11" s="1294"/>
      <c r="M11" s="1295"/>
      <c r="N11" s="1299" t="s">
        <v>49</v>
      </c>
      <c r="O11" s="1299"/>
      <c r="P11" s="1299"/>
    </row>
    <row r="12" spans="1:16" ht="13.5" customHeight="1" x14ac:dyDescent="0.3">
      <c r="A12" s="171"/>
      <c r="B12" s="1301"/>
      <c r="C12" s="1302"/>
      <c r="D12" s="1302"/>
      <c r="E12" s="1302"/>
      <c r="F12" s="1302"/>
      <c r="G12" s="1302"/>
      <c r="H12" s="1302"/>
      <c r="I12" s="1302"/>
      <c r="J12" s="1302"/>
      <c r="K12" s="1325"/>
      <c r="L12" s="1326"/>
      <c r="M12" s="1327"/>
      <c r="N12" s="1300"/>
      <c r="O12" s="1300"/>
      <c r="P12" s="1300"/>
    </row>
    <row r="13" spans="1:16" ht="28.8" x14ac:dyDescent="0.3">
      <c r="A13" s="461" t="s">
        <v>50</v>
      </c>
      <c r="B13" s="461" t="s">
        <v>51</v>
      </c>
      <c r="C13" s="461" t="s">
        <v>52</v>
      </c>
      <c r="D13" s="461" t="s">
        <v>164</v>
      </c>
      <c r="E13" s="461" t="s">
        <v>54</v>
      </c>
      <c r="F13" s="462" t="s">
        <v>55</v>
      </c>
      <c r="G13" s="821" t="s">
        <v>2007</v>
      </c>
      <c r="H13" s="461" t="s">
        <v>56</v>
      </c>
      <c r="I13" s="822" t="s">
        <v>56</v>
      </c>
      <c r="J13" s="504" t="s">
        <v>57</v>
      </c>
      <c r="K13" s="502" t="s">
        <v>54</v>
      </c>
      <c r="L13" s="502" t="s">
        <v>56</v>
      </c>
      <c r="M13" s="502" t="s">
        <v>58</v>
      </c>
      <c r="N13" s="174" t="s">
        <v>54</v>
      </c>
      <c r="O13" s="172" t="s">
        <v>56</v>
      </c>
      <c r="P13" s="502" t="s">
        <v>58</v>
      </c>
    </row>
    <row r="14" spans="1:16" ht="30" customHeight="1" x14ac:dyDescent="0.3">
      <c r="A14" s="1442" t="s">
        <v>156</v>
      </c>
      <c r="B14" s="1441" t="s">
        <v>194</v>
      </c>
      <c r="C14" s="493" t="s">
        <v>160</v>
      </c>
      <c r="D14" s="493" t="s">
        <v>161</v>
      </c>
      <c r="E14" s="493">
        <v>11</v>
      </c>
      <c r="F14" s="453">
        <v>69644</v>
      </c>
      <c r="G14" s="32">
        <f>+ROUND(F14*1.051,0)</f>
        <v>73196</v>
      </c>
      <c r="H14" s="453">
        <f>ROUND((E14*F14),0)</f>
        <v>766084</v>
      </c>
      <c r="I14" s="32">
        <f>+ROUND(G14*E14,0)</f>
        <v>805156</v>
      </c>
      <c r="J14" s="494" t="s">
        <v>1548</v>
      </c>
      <c r="K14" s="452">
        <v>0</v>
      </c>
      <c r="L14" s="425">
        <f>ROUND(K14*G14,0)</f>
        <v>0</v>
      </c>
      <c r="M14" s="426">
        <f>L14/I14</f>
        <v>0</v>
      </c>
      <c r="N14" s="450">
        <f>K14</f>
        <v>0</v>
      </c>
      <c r="O14" s="175">
        <f>L14</f>
        <v>0</v>
      </c>
      <c r="P14" s="176">
        <f>O14/H14</f>
        <v>0</v>
      </c>
    </row>
    <row r="15" spans="1:16" x14ac:dyDescent="0.3">
      <c r="A15" s="1441"/>
      <c r="B15" s="1441"/>
      <c r="C15" s="459"/>
      <c r="D15" s="459" t="s">
        <v>162</v>
      </c>
      <c r="E15" s="458"/>
      <c r="F15" s="458"/>
      <c r="G15" s="458"/>
      <c r="H15" s="457">
        <f>H14</f>
        <v>766084</v>
      </c>
      <c r="I15" s="457">
        <f>SUM(I14)</f>
        <v>805156</v>
      </c>
      <c r="J15" s="494"/>
      <c r="K15" s="431"/>
      <c r="L15" s="179">
        <f>L14</f>
        <v>0</v>
      </c>
      <c r="M15" s="431">
        <f>L15/H15</f>
        <v>0</v>
      </c>
      <c r="N15" s="446"/>
      <c r="O15" s="307">
        <f>L15</f>
        <v>0</v>
      </c>
      <c r="P15" s="431">
        <f>O15/H15</f>
        <v>0</v>
      </c>
    </row>
    <row r="16" spans="1:16" x14ac:dyDescent="0.3">
      <c r="F16" s="445" t="s">
        <v>64</v>
      </c>
      <c r="G16" s="445"/>
      <c r="H16" s="181">
        <f>SUM(H14:H15)/2</f>
        <v>766084</v>
      </c>
      <c r="I16" s="181">
        <f>SUM(I14:I15)/2</f>
        <v>805156</v>
      </c>
      <c r="K16" s="547" t="s">
        <v>64</v>
      </c>
      <c r="L16" s="481">
        <f>SUM(L14:L15)/2</f>
        <v>0</v>
      </c>
      <c r="N16" s="445" t="s">
        <v>64</v>
      </c>
      <c r="O16" s="181">
        <f>SUM(O14:O15)/2</f>
        <v>0</v>
      </c>
    </row>
    <row r="17" spans="1:16" x14ac:dyDescent="0.3">
      <c r="F17" s="444" t="s">
        <v>65</v>
      </c>
      <c r="G17" s="444"/>
      <c r="H17" s="181">
        <f>(H5*0.03)</f>
        <v>0</v>
      </c>
      <c r="I17" s="181">
        <f>(I5*0.03)</f>
        <v>0</v>
      </c>
      <c r="K17" s="548" t="s">
        <v>65</v>
      </c>
      <c r="L17" s="481">
        <f>(L5*0.03)</f>
        <v>0</v>
      </c>
      <c r="N17" s="444" t="s">
        <v>65</v>
      </c>
      <c r="O17" s="181">
        <f>(O5*0.03)</f>
        <v>0</v>
      </c>
    </row>
    <row r="18" spans="1:16" x14ac:dyDescent="0.3">
      <c r="F18" s="443" t="s">
        <v>64</v>
      </c>
      <c r="G18" s="443"/>
      <c r="H18" s="340">
        <f>SUM(H16:H17)</f>
        <v>766084</v>
      </c>
      <c r="I18" s="340">
        <f>SUM(I16:I17)</f>
        <v>805156</v>
      </c>
      <c r="K18" s="549" t="s">
        <v>64</v>
      </c>
      <c r="L18" s="550">
        <f>SUM(L16:L17)</f>
        <v>0</v>
      </c>
      <c r="N18" s="443" t="s">
        <v>64</v>
      </c>
      <c r="O18" s="340">
        <f>SUM(O16:O17)</f>
        <v>0</v>
      </c>
    </row>
    <row r="19" spans="1:16" ht="26.4" x14ac:dyDescent="0.3">
      <c r="F19" s="443"/>
      <c r="G19" s="443"/>
      <c r="H19" s="340"/>
      <c r="I19" s="340"/>
      <c r="K19" s="501" t="s">
        <v>1439</v>
      </c>
      <c r="L19" s="483">
        <f>ROUND(L18*0.015,0)</f>
        <v>0</v>
      </c>
      <c r="N19" s="501" t="s">
        <v>1439</v>
      </c>
      <c r="O19" s="340">
        <f>L19</f>
        <v>0</v>
      </c>
    </row>
    <row r="20" spans="1:16" ht="26.4" x14ac:dyDescent="0.3">
      <c r="F20" s="443"/>
      <c r="G20" s="443"/>
      <c r="H20" s="340"/>
      <c r="I20" s="340"/>
      <c r="K20" s="96" t="s">
        <v>1440</v>
      </c>
      <c r="L20" s="182">
        <f>L18+L19</f>
        <v>0</v>
      </c>
      <c r="M20" s="463">
        <f>L20/I16</f>
        <v>0</v>
      </c>
      <c r="N20" s="96" t="s">
        <v>1440</v>
      </c>
      <c r="O20" s="182">
        <f>O18+O19</f>
        <v>0</v>
      </c>
      <c r="P20" s="463">
        <f>O20/I16</f>
        <v>0</v>
      </c>
    </row>
    <row r="21" spans="1:16" x14ac:dyDescent="0.3">
      <c r="F21" s="442" t="s">
        <v>66</v>
      </c>
      <c r="G21" s="442"/>
      <c r="H21" s="181">
        <f>+H18*19%</f>
        <v>145555.96</v>
      </c>
      <c r="I21" s="181">
        <f>+I18*19%</f>
        <v>152979.64000000001</v>
      </c>
      <c r="K21" s="551" t="s">
        <v>66</v>
      </c>
      <c r="L21" s="483">
        <f>L20*0.19</f>
        <v>0</v>
      </c>
      <c r="N21" s="442" t="s">
        <v>66</v>
      </c>
      <c r="O21" s="182">
        <f>O20*0.19</f>
        <v>0</v>
      </c>
    </row>
    <row r="22" spans="1:16" x14ac:dyDescent="0.3">
      <c r="F22" s="441" t="s">
        <v>69</v>
      </c>
      <c r="G22" s="441"/>
      <c r="H22" s="181">
        <f>+H18+H21</f>
        <v>911639.96</v>
      </c>
      <c r="I22" s="181">
        <f>+I18+I21</f>
        <v>958135.64</v>
      </c>
      <c r="K22" s="552" t="s">
        <v>69</v>
      </c>
      <c r="L22" s="481">
        <f>L20+L21</f>
        <v>0</v>
      </c>
      <c r="N22" s="441" t="s">
        <v>69</v>
      </c>
      <c r="O22" s="181">
        <f>O20+O21</f>
        <v>0</v>
      </c>
    </row>
    <row r="25" spans="1:16" s="189" customFormat="1" x14ac:dyDescent="0.3">
      <c r="A25" s="183" t="s">
        <v>67</v>
      </c>
      <c r="B25" s="184"/>
      <c r="C25" s="184"/>
      <c r="D25" s="185" t="s">
        <v>68</v>
      </c>
      <c r="G25" s="852"/>
      <c r="I25" s="852"/>
      <c r="K25" s="186" t="s">
        <v>70</v>
      </c>
      <c r="L25" s="187" t="s">
        <v>71</v>
      </c>
      <c r="M25" s="186" t="s">
        <v>58</v>
      </c>
      <c r="N25" s="437"/>
      <c r="O25" s="437"/>
      <c r="P25" s="437"/>
    </row>
    <row r="26" spans="1:16" s="189" customFormat="1" x14ac:dyDescent="0.3">
      <c r="A26" s="183"/>
      <c r="B26" s="184"/>
      <c r="C26" s="184"/>
      <c r="D26" s="185"/>
      <c r="G26" s="852"/>
      <c r="I26" s="852"/>
      <c r="K26" s="69" t="s">
        <v>72</v>
      </c>
      <c r="L26" s="70">
        <f>L20</f>
        <v>0</v>
      </c>
      <c r="M26" s="71">
        <f>M20</f>
        <v>0</v>
      </c>
      <c r="N26" s="437"/>
      <c r="O26" s="437"/>
      <c r="P26" s="437"/>
    </row>
    <row r="27" spans="1:16" s="189" customFormat="1" x14ac:dyDescent="0.3">
      <c r="A27" s="183"/>
      <c r="B27" s="184"/>
      <c r="C27" s="184"/>
      <c r="D27" s="185"/>
      <c r="G27" s="852"/>
      <c r="I27" s="852"/>
      <c r="K27" s="72" t="s">
        <v>1</v>
      </c>
      <c r="L27" s="105">
        <f>SUM(L26:L26)</f>
        <v>0</v>
      </c>
      <c r="M27" s="73">
        <f>SUM(M26:M26)</f>
        <v>0</v>
      </c>
      <c r="N27" s="437"/>
      <c r="O27" s="437"/>
      <c r="P27" s="437"/>
    </row>
    <row r="28" spans="1:16" s="189" customFormat="1" x14ac:dyDescent="0.3">
      <c r="A28" s="183"/>
      <c r="B28" s="184"/>
      <c r="C28" s="184"/>
      <c r="D28" s="185"/>
      <c r="G28" s="852"/>
      <c r="I28" s="852"/>
      <c r="K28" s="72" t="s">
        <v>9</v>
      </c>
      <c r="L28" s="1423"/>
      <c r="M28" s="1424"/>
      <c r="N28" s="437"/>
      <c r="O28" s="437"/>
      <c r="P28" s="437"/>
    </row>
    <row r="29" spans="1:16" s="189" customFormat="1" x14ac:dyDescent="0.3">
      <c r="A29" s="183"/>
      <c r="B29" s="184"/>
      <c r="C29" s="184"/>
      <c r="D29" s="185"/>
      <c r="G29" s="852"/>
      <c r="I29" s="852"/>
      <c r="K29" s="440" t="s">
        <v>78</v>
      </c>
      <c r="L29" s="1423" t="s">
        <v>1078</v>
      </c>
      <c r="M29" s="1424"/>
      <c r="N29" s="437"/>
      <c r="O29" s="437"/>
      <c r="P29" s="437"/>
    </row>
    <row r="30" spans="1:16" s="189" customFormat="1" x14ac:dyDescent="0.3">
      <c r="A30" s="183"/>
      <c r="B30" s="184"/>
      <c r="C30" s="184"/>
      <c r="D30" s="185"/>
      <c r="G30" s="852"/>
      <c r="I30" s="852"/>
      <c r="K30" s="439" t="s">
        <v>8</v>
      </c>
      <c r="L30" s="1425" t="s">
        <v>1079</v>
      </c>
      <c r="M30" s="1426"/>
      <c r="N30" s="437"/>
      <c r="O30" s="437"/>
      <c r="P30" s="437"/>
    </row>
    <row r="31" spans="1:16" s="189" customFormat="1" x14ac:dyDescent="0.3">
      <c r="A31" s="183"/>
      <c r="B31" s="184"/>
      <c r="C31" s="184"/>
      <c r="D31" s="185" t="s">
        <v>75</v>
      </c>
      <c r="G31" s="852"/>
      <c r="I31" s="852"/>
    </row>
    <row r="32" spans="1:16" s="189" customFormat="1" x14ac:dyDescent="0.3">
      <c r="A32" s="183" t="s">
        <v>76</v>
      </c>
      <c r="B32" s="180"/>
      <c r="C32" s="180"/>
      <c r="D32" s="185" t="s">
        <v>77</v>
      </c>
      <c r="G32" s="852"/>
      <c r="I32" s="852"/>
    </row>
    <row r="33" spans="1:9" s="189" customFormat="1" x14ac:dyDescent="0.3">
      <c r="A33" s="183" t="s">
        <v>79</v>
      </c>
      <c r="B33" s="180"/>
      <c r="C33" s="180"/>
      <c r="D33" s="185" t="s">
        <v>80</v>
      </c>
      <c r="G33" s="852"/>
      <c r="I33" s="852"/>
    </row>
  </sheetData>
  <sheetProtection formatCells="0" formatColumns="0" formatRows="0" insertColumns="0" insertRows="0" insertHyperlinks="0" deleteColumns="0" deleteRows="0" sort="0" autoFilter="0" pivotTables="0"/>
  <mergeCells count="20">
    <mergeCell ref="C1:M2"/>
    <mergeCell ref="B11:J11"/>
    <mergeCell ref="K11:M12"/>
    <mergeCell ref="N11:P12"/>
    <mergeCell ref="B12:J12"/>
    <mergeCell ref="A6:P6"/>
    <mergeCell ref="A7:P7"/>
    <mergeCell ref="A8:P8"/>
    <mergeCell ref="A9:P9"/>
    <mergeCell ref="A10:P10"/>
    <mergeCell ref="N1:P1"/>
    <mergeCell ref="N2:P2"/>
    <mergeCell ref="A3:P3"/>
    <mergeCell ref="A4:P4"/>
    <mergeCell ref="A5:P5"/>
    <mergeCell ref="A14:A15"/>
    <mergeCell ref="B14:B15"/>
    <mergeCell ref="L28:M28"/>
    <mergeCell ref="L29:M29"/>
    <mergeCell ref="L30:M30"/>
  </mergeCells>
  <pageMargins left="0.7" right="0.7" top="0.75" bottom="0.75" header="0.3" footer="0.3"/>
  <pageSetup scale="35" orientation="portrait" r:id="rId1"/>
  <drawing r:id="rId2"/>
  <legacyDrawingHF r:id="rId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9">
    <tabColor theme="1"/>
  </sheetPr>
  <dimension ref="A1:G49"/>
  <sheetViews>
    <sheetView zoomScaleNormal="10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RESUMEN!G94</f>
        <v>Proyecto: Variante LT UL-GU</v>
      </c>
      <c r="C5" s="1281"/>
      <c r="D5" s="1281"/>
      <c r="E5" s="1281"/>
      <c r="F5" s="1281"/>
      <c r="G5" s="1282"/>
    </row>
    <row r="6" spans="1:7" x14ac:dyDescent="0.25">
      <c r="A6" s="1177"/>
      <c r="B6" s="1177"/>
      <c r="C6" s="1177"/>
      <c r="D6" s="1177"/>
      <c r="E6" s="1177"/>
      <c r="F6" s="1177"/>
      <c r="G6" s="1177"/>
    </row>
    <row r="7" spans="1:7" x14ac:dyDescent="0.25">
      <c r="A7" s="271" t="s">
        <v>0</v>
      </c>
      <c r="B7" s="1264" t="str">
        <f>RESUMEN!B94</f>
        <v>D00249402</v>
      </c>
      <c r="C7" s="1265"/>
      <c r="D7" s="1177"/>
      <c r="E7" s="1266" t="s">
        <v>627</v>
      </c>
      <c r="F7" s="1267"/>
      <c r="G7" s="280" t="str">
        <f>RESUMEN!E94</f>
        <v>17-370</v>
      </c>
    </row>
    <row r="8" spans="1:7" x14ac:dyDescent="0.25">
      <c r="A8" s="271" t="s">
        <v>628</v>
      </c>
      <c r="B8" s="1264" t="str">
        <f>RESUMEN!C94</f>
        <v>D00249402000</v>
      </c>
      <c r="C8" s="1265"/>
      <c r="D8" s="1177"/>
      <c r="E8" s="1266" t="s">
        <v>629</v>
      </c>
      <c r="F8" s="1267"/>
      <c r="G8" s="280" t="str">
        <f>RESUMEN!U94</f>
        <v>Acta N° 2: Marzo</v>
      </c>
    </row>
    <row r="9" spans="1:7" x14ac:dyDescent="0.25">
      <c r="A9" s="271" t="s">
        <v>630</v>
      </c>
      <c r="B9" s="1283" t="s">
        <v>631</v>
      </c>
      <c r="C9" s="1265"/>
      <c r="D9" s="1177"/>
      <c r="E9" s="1266" t="s">
        <v>632</v>
      </c>
      <c r="F9" s="1267"/>
      <c r="G9" s="1178">
        <f>RESUMEN!H94</f>
        <v>16335671</v>
      </c>
    </row>
    <row r="10" spans="1:7" x14ac:dyDescent="0.25">
      <c r="A10" s="271" t="s">
        <v>633</v>
      </c>
      <c r="B10" s="1283" t="str">
        <f>RESUMEN!D94</f>
        <v>LLTT GUAVIO - UBALA</v>
      </c>
      <c r="C10" s="1265"/>
      <c r="D10" s="1177"/>
      <c r="E10" s="1266" t="s">
        <v>634</v>
      </c>
      <c r="F10" s="1267"/>
      <c r="G10" s="1178">
        <f>RESUMEN!R94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",RESUMEN!G94)</f>
        <v>A los 14 días del mes de Marzo se reunieron en las instalaciones de CODENSA S.A. E.S.P., los ingenieros Ing. Andrés Patarroyo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Variante LT UL-GU</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RESUMEN!N94</f>
        <v>0</v>
      </c>
      <c r="F19" s="1248"/>
      <c r="G19" s="1177"/>
    </row>
    <row r="20" spans="1:7" ht="27" customHeight="1" x14ac:dyDescent="0.25">
      <c r="A20" s="1177"/>
      <c r="B20" s="1244" t="s">
        <v>1498</v>
      </c>
      <c r="C20" s="1245"/>
      <c r="D20" s="1246"/>
      <c r="E20" s="1247">
        <f>RESUMEN!P94</f>
        <v>0</v>
      </c>
      <c r="F20" s="1248"/>
      <c r="G20" s="1177"/>
    </row>
    <row r="21" spans="1:7" ht="27" customHeight="1" x14ac:dyDescent="0.25">
      <c r="A21" s="1177"/>
      <c r="B21" s="1244" t="s">
        <v>1499</v>
      </c>
      <c r="C21" s="1245"/>
      <c r="D21" s="1246"/>
      <c r="E21" s="1247">
        <f>RESUMEN!Q94</f>
        <v>0</v>
      </c>
      <c r="F21" s="1248"/>
      <c r="G21" s="1177"/>
    </row>
    <row r="22" spans="1:7" x14ac:dyDescent="0.25">
      <c r="A22" s="1177"/>
      <c r="B22" s="1254" t="s">
        <v>64</v>
      </c>
      <c r="C22" s="1254"/>
      <c r="D22" s="1254"/>
      <c r="E22" s="1255">
        <f>RESUMEN!R94</f>
        <v>0</v>
      </c>
      <c r="F22" s="1255"/>
      <c r="G22" s="1177"/>
    </row>
    <row r="23" spans="1:7" x14ac:dyDescent="0.25">
      <c r="A23" s="1177"/>
      <c r="B23" s="1256" t="s">
        <v>66</v>
      </c>
      <c r="C23" s="1256"/>
      <c r="D23" s="1256"/>
      <c r="E23" s="1257">
        <f>RESUMEN!S94</f>
        <v>0</v>
      </c>
      <c r="F23" s="1257"/>
      <c r="G23" s="1177"/>
    </row>
    <row r="24" spans="1:7" x14ac:dyDescent="0.25">
      <c r="A24" s="1177"/>
      <c r="B24" s="1258" t="s">
        <v>1</v>
      </c>
      <c r="C24" s="1258"/>
      <c r="D24" s="1258"/>
      <c r="E24" s="1259">
        <f>RESUMEN!T94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+'OT17-370 - LLTT GUAVIO - UBALA'!N39</f>
        <v>ACTA 1</v>
      </c>
      <c r="C28" s="1253">
        <f>+'OT17-370 - LLTT GUAVIO - UBALA'!O39</f>
        <v>4985104</v>
      </c>
      <c r="D28" s="1253"/>
      <c r="E28" s="267">
        <f>+'OT17-370 - LLTT GUAVIO - UBALA'!P39</f>
        <v>0.30516677276372667</v>
      </c>
      <c r="F28" s="1177"/>
      <c r="G28" s="1177"/>
    </row>
    <row r="29" spans="1:7" x14ac:dyDescent="0.25">
      <c r="A29" s="1177"/>
      <c r="B29" s="280" t="str">
        <f>+'OT17-370 - LLTT GUAVIO - UBALA'!N40</f>
        <v>ACTA 2</v>
      </c>
      <c r="C29" s="1253">
        <f>+'OT17-370 - LLTT GUAVIO - UBALA'!O40</f>
        <v>0</v>
      </c>
      <c r="D29" s="1253"/>
      <c r="E29" s="267">
        <f>+'OT17-370 - LLTT GUAVIO - UBALA'!P40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4985104</v>
      </c>
      <c r="D34" s="1251"/>
      <c r="E34" s="264">
        <f>SUM(E28:E33)</f>
        <v>0.30516677276372667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RESUMEN!V94</f>
        <v>Ing. Andrés Patarroyo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3" orientation="portrait" r:id="rId1"/>
  <drawing r:id="rId2"/>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0">
    <tabColor rgb="FF72104A"/>
    <pageSetUpPr fitToPage="1"/>
  </sheetPr>
  <dimension ref="A1:S47"/>
  <sheetViews>
    <sheetView topLeftCell="A2" zoomScale="55" zoomScaleNormal="55" workbookViewId="0">
      <selection activeCell="C46" sqref="C46"/>
    </sheetView>
  </sheetViews>
  <sheetFormatPr baseColWidth="10" defaultColWidth="9.109375" defaultRowHeight="14.4" x14ac:dyDescent="0.3"/>
  <cols>
    <col min="1" max="1" width="14.109375" style="437" customWidth="1"/>
    <col min="2" max="2" width="24.33203125" style="437" customWidth="1"/>
    <col min="3" max="3" width="25" style="437" customWidth="1"/>
    <col min="4" max="4" width="22.33203125" style="437" bestFit="1" customWidth="1"/>
    <col min="5" max="5" width="13" style="437" customWidth="1"/>
    <col min="6" max="7" width="17.88671875" style="437" customWidth="1"/>
    <col min="8" max="8" width="17.33203125" style="437" bestFit="1" customWidth="1"/>
    <col min="9" max="9" width="17.33203125" style="437" customWidth="1"/>
    <col min="10" max="10" width="51.33203125" style="437" customWidth="1"/>
    <col min="11" max="11" width="17.88671875" style="437" bestFit="1" customWidth="1"/>
    <col min="12" max="12" width="18" style="437" bestFit="1" customWidth="1"/>
    <col min="13" max="13" width="9.109375" style="437"/>
    <col min="14" max="14" width="13.5546875" style="437" customWidth="1"/>
    <col min="15" max="15" width="12.5546875" style="437" customWidth="1"/>
    <col min="16" max="16" width="13.5546875" style="437" customWidth="1"/>
    <col min="17" max="17" width="17.88671875" style="437" bestFit="1" customWidth="1"/>
    <col min="18" max="18" width="17"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1052"/>
      <c r="O1" s="1052"/>
      <c r="P1" s="1052"/>
      <c r="Q1" s="1328" t="s">
        <v>1562</v>
      </c>
      <c r="R1" s="1303"/>
      <c r="S1" s="1304"/>
    </row>
    <row r="2" spans="1:19" ht="13.5" customHeight="1"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1561</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1560</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427" t="s">
        <v>1982</v>
      </c>
      <c r="L11" s="1428"/>
      <c r="M11" s="1429"/>
      <c r="N11" s="1427" t="s">
        <v>2324</v>
      </c>
      <c r="O11" s="1428"/>
      <c r="P11" s="1429"/>
      <c r="Q11" s="1299" t="s">
        <v>49</v>
      </c>
      <c r="R11" s="1299"/>
      <c r="S11" s="1299"/>
    </row>
    <row r="12" spans="1:19" ht="13.5" customHeight="1" x14ac:dyDescent="0.3">
      <c r="A12" s="171"/>
      <c r="B12" s="1301"/>
      <c r="C12" s="1302"/>
      <c r="D12" s="1302"/>
      <c r="E12" s="1302"/>
      <c r="F12" s="1302"/>
      <c r="G12" s="1302"/>
      <c r="H12" s="1302"/>
      <c r="I12" s="1302"/>
      <c r="J12" s="1302"/>
      <c r="K12" s="1430"/>
      <c r="L12" s="1431"/>
      <c r="M12" s="1432"/>
      <c r="N12" s="1430"/>
      <c r="O12" s="1431"/>
      <c r="P12" s="1432"/>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1" t="s">
        <v>1553</v>
      </c>
      <c r="B14" s="1441" t="s">
        <v>258</v>
      </c>
      <c r="C14" s="493" t="s">
        <v>259</v>
      </c>
      <c r="D14" s="493" t="s">
        <v>260</v>
      </c>
      <c r="E14" s="505">
        <v>1.1000000000000001</v>
      </c>
      <c r="F14" s="453">
        <v>2019673</v>
      </c>
      <c r="G14" s="32">
        <f>+ROUND(F14*1.051,0)</f>
        <v>2122676</v>
      </c>
      <c r="H14" s="453">
        <f>ROUND((E14*F14),0)</f>
        <v>2221640</v>
      </c>
      <c r="I14" s="32">
        <f>+ROUND(G14*E14,0)</f>
        <v>2334944</v>
      </c>
      <c r="J14" s="1442" t="s">
        <v>1559</v>
      </c>
      <c r="K14" s="474">
        <v>1.1000000000000001</v>
      </c>
      <c r="L14" s="429">
        <f>ROUND(K14*G14,0)</f>
        <v>2334944</v>
      </c>
      <c r="M14" s="430">
        <f>L14/H14</f>
        <v>1.0510001620424552</v>
      </c>
      <c r="N14" s="452">
        <v>0</v>
      </c>
      <c r="O14" s="425">
        <f>ROUND(N14*G14,0)</f>
        <v>0</v>
      </c>
      <c r="P14" s="426">
        <f>O14/I14</f>
        <v>0</v>
      </c>
      <c r="Q14" s="450">
        <f>K14+N14</f>
        <v>1.1000000000000001</v>
      </c>
      <c r="R14" s="175">
        <f>L14+O14</f>
        <v>2334944</v>
      </c>
      <c r="S14" s="176">
        <f t="shared" ref="S14:S27" si="0">R14/H14</f>
        <v>1.0510001620424552</v>
      </c>
    </row>
    <row r="15" spans="1:19" x14ac:dyDescent="0.3">
      <c r="A15" s="1441"/>
      <c r="B15" s="1441"/>
      <c r="C15" s="459"/>
      <c r="D15" s="459" t="s">
        <v>261</v>
      </c>
      <c r="E15" s="458"/>
      <c r="F15" s="458"/>
      <c r="G15" s="458"/>
      <c r="H15" s="457">
        <f>H14</f>
        <v>2221640</v>
      </c>
      <c r="I15" s="457">
        <f>SUM(I14)</f>
        <v>2334944</v>
      </c>
      <c r="J15" s="1441"/>
      <c r="K15" s="431"/>
      <c r="L15" s="179">
        <f>L14</f>
        <v>2334944</v>
      </c>
      <c r="M15" s="431">
        <f t="shared" ref="M15:M27" si="1">L15/H15</f>
        <v>1.0510001620424552</v>
      </c>
      <c r="N15" s="431"/>
      <c r="O15" s="179">
        <f>O14</f>
        <v>0</v>
      </c>
      <c r="P15" s="1091">
        <f t="shared" ref="P15:P26" si="2">O15/I15</f>
        <v>0</v>
      </c>
      <c r="Q15" s="1089">
        <f t="shared" ref="Q15:Q26" si="3">K15+N15</f>
        <v>0</v>
      </c>
      <c r="R15" s="1078">
        <f t="shared" ref="R15:R27" si="4">L15+O15</f>
        <v>2334944</v>
      </c>
      <c r="S15" s="431">
        <f t="shared" si="0"/>
        <v>1.0510001620424552</v>
      </c>
    </row>
    <row r="16" spans="1:19" ht="30" customHeight="1" x14ac:dyDescent="0.3">
      <c r="A16" s="1441" t="s">
        <v>1553</v>
      </c>
      <c r="B16" s="1441" t="s">
        <v>262</v>
      </c>
      <c r="C16" s="493" t="s">
        <v>263</v>
      </c>
      <c r="D16" s="493" t="s">
        <v>264</v>
      </c>
      <c r="E16" s="505">
        <v>1.1000000000000001</v>
      </c>
      <c r="F16" s="453">
        <v>1532165</v>
      </c>
      <c r="G16" s="32">
        <f>+ROUND(F16*1.051,0)</f>
        <v>1610305</v>
      </c>
      <c r="H16" s="453">
        <f>ROUND((E16*F16),0)</f>
        <v>1685382</v>
      </c>
      <c r="I16" s="32">
        <f>+ROUND(G16*E16,0)</f>
        <v>1771336</v>
      </c>
      <c r="J16" s="1442" t="s">
        <v>1558</v>
      </c>
      <c r="K16" s="452">
        <v>0</v>
      </c>
      <c r="L16" s="425">
        <f>ROUND(K16*G16,0)</f>
        <v>0</v>
      </c>
      <c r="M16" s="426">
        <f>L16/H16</f>
        <v>0</v>
      </c>
      <c r="N16" s="452">
        <v>0</v>
      </c>
      <c r="O16" s="425">
        <f>ROUND(N16*G16,0)</f>
        <v>0</v>
      </c>
      <c r="P16" s="426">
        <f t="shared" si="2"/>
        <v>0</v>
      </c>
      <c r="Q16" s="450">
        <f t="shared" si="3"/>
        <v>0</v>
      </c>
      <c r="R16" s="175">
        <f t="shared" si="4"/>
        <v>0</v>
      </c>
      <c r="S16" s="176">
        <f t="shared" si="0"/>
        <v>0</v>
      </c>
    </row>
    <row r="17" spans="1:19" x14ac:dyDescent="0.3">
      <c r="A17" s="1441"/>
      <c r="B17" s="1441"/>
      <c r="C17" s="459"/>
      <c r="D17" s="459" t="s">
        <v>265</v>
      </c>
      <c r="E17" s="458"/>
      <c r="F17" s="458"/>
      <c r="G17" s="458"/>
      <c r="H17" s="457">
        <f>H16</f>
        <v>1685382</v>
      </c>
      <c r="I17" s="457">
        <f>SUM(I16)</f>
        <v>1771336</v>
      </c>
      <c r="J17" s="1441"/>
      <c r="K17" s="431"/>
      <c r="L17" s="179">
        <f>L16</f>
        <v>0</v>
      </c>
      <c r="M17" s="431">
        <f t="shared" si="1"/>
        <v>0</v>
      </c>
      <c r="N17" s="431"/>
      <c r="O17" s="179">
        <f>O16</f>
        <v>0</v>
      </c>
      <c r="P17" s="1091">
        <f t="shared" si="2"/>
        <v>0</v>
      </c>
      <c r="Q17" s="1089">
        <f t="shared" si="3"/>
        <v>0</v>
      </c>
      <c r="R17" s="1078">
        <f t="shared" si="4"/>
        <v>0</v>
      </c>
      <c r="S17" s="431">
        <f t="shared" si="0"/>
        <v>0</v>
      </c>
    </row>
    <row r="18" spans="1:19" ht="30" customHeight="1" x14ac:dyDescent="0.3">
      <c r="A18" s="1441" t="s">
        <v>1553</v>
      </c>
      <c r="B18" s="1441" t="s">
        <v>342</v>
      </c>
      <c r="C18" s="493" t="s">
        <v>343</v>
      </c>
      <c r="D18" s="493" t="s">
        <v>344</v>
      </c>
      <c r="E18" s="492">
        <v>1</v>
      </c>
      <c r="F18" s="453">
        <v>940192</v>
      </c>
      <c r="G18" s="32">
        <f>+ROUND(F18*1.051,0)</f>
        <v>988142</v>
      </c>
      <c r="H18" s="453">
        <f>ROUND((E18*F18),0)</f>
        <v>940192</v>
      </c>
      <c r="I18" s="32">
        <f>+ROUND(G18*E18,0)</f>
        <v>988142</v>
      </c>
      <c r="J18" s="1441" t="s">
        <v>1557</v>
      </c>
      <c r="K18" s="452">
        <v>0</v>
      </c>
      <c r="L18" s="425">
        <f>ROUND(K18*G18,0)</f>
        <v>0</v>
      </c>
      <c r="M18" s="426">
        <f>L18/H18</f>
        <v>0</v>
      </c>
      <c r="N18" s="452">
        <v>0</v>
      </c>
      <c r="O18" s="425">
        <f>ROUND(N18*G18,0)</f>
        <v>0</v>
      </c>
      <c r="P18" s="426">
        <f t="shared" si="2"/>
        <v>0</v>
      </c>
      <c r="Q18" s="450">
        <f t="shared" si="3"/>
        <v>0</v>
      </c>
      <c r="R18" s="175">
        <f t="shared" si="4"/>
        <v>0</v>
      </c>
      <c r="S18" s="176">
        <f t="shared" si="0"/>
        <v>0</v>
      </c>
    </row>
    <row r="19" spans="1:19" x14ac:dyDescent="0.3">
      <c r="A19" s="1441"/>
      <c r="B19" s="1441"/>
      <c r="C19" s="459"/>
      <c r="D19" s="459" t="s">
        <v>346</v>
      </c>
      <c r="E19" s="458"/>
      <c r="F19" s="458"/>
      <c r="G19" s="458"/>
      <c r="H19" s="457">
        <f>H18</f>
        <v>940192</v>
      </c>
      <c r="I19" s="457">
        <f>SUM(I18)</f>
        <v>988142</v>
      </c>
      <c r="J19" s="1441"/>
      <c r="K19" s="431"/>
      <c r="L19" s="179">
        <f>L18</f>
        <v>0</v>
      </c>
      <c r="M19" s="431">
        <f t="shared" si="1"/>
        <v>0</v>
      </c>
      <c r="N19" s="431"/>
      <c r="O19" s="179">
        <f>O18</f>
        <v>0</v>
      </c>
      <c r="P19" s="1091">
        <f t="shared" si="2"/>
        <v>0</v>
      </c>
      <c r="Q19" s="1089">
        <f t="shared" si="3"/>
        <v>0</v>
      </c>
      <c r="R19" s="1078">
        <f t="shared" si="4"/>
        <v>0</v>
      </c>
      <c r="S19" s="431">
        <f t="shared" si="0"/>
        <v>0</v>
      </c>
    </row>
    <row r="20" spans="1:19" ht="30" customHeight="1" x14ac:dyDescent="0.3">
      <c r="A20" s="1441" t="s">
        <v>1553</v>
      </c>
      <c r="B20" s="1441" t="s">
        <v>266</v>
      </c>
      <c r="C20" s="493" t="s">
        <v>267</v>
      </c>
      <c r="D20" s="493" t="s">
        <v>268</v>
      </c>
      <c r="E20" s="492">
        <v>1</v>
      </c>
      <c r="F20" s="453">
        <v>1149124</v>
      </c>
      <c r="G20" s="32">
        <f>+ROUND(F20*1.051,0)</f>
        <v>1207729</v>
      </c>
      <c r="H20" s="453">
        <f>ROUND((E20*F20),0)</f>
        <v>1149124</v>
      </c>
      <c r="I20" s="32">
        <f>+ROUND(G20*E20,0)</f>
        <v>1207729</v>
      </c>
      <c r="J20" s="1441" t="s">
        <v>1556</v>
      </c>
      <c r="K20" s="452">
        <v>0</v>
      </c>
      <c r="L20" s="425">
        <f>ROUND(K20*G20,0)</f>
        <v>0</v>
      </c>
      <c r="M20" s="426">
        <f>L20/H20</f>
        <v>0</v>
      </c>
      <c r="N20" s="452">
        <v>0</v>
      </c>
      <c r="O20" s="425">
        <f>ROUND(N20*G20,0)</f>
        <v>0</v>
      </c>
      <c r="P20" s="426">
        <f t="shared" si="2"/>
        <v>0</v>
      </c>
      <c r="Q20" s="450">
        <f t="shared" si="3"/>
        <v>0</v>
      </c>
      <c r="R20" s="175">
        <f t="shared" si="4"/>
        <v>0</v>
      </c>
      <c r="S20" s="176">
        <f t="shared" si="0"/>
        <v>0</v>
      </c>
    </row>
    <row r="21" spans="1:19" x14ac:dyDescent="0.3">
      <c r="A21" s="1441"/>
      <c r="B21" s="1441"/>
      <c r="C21" s="459"/>
      <c r="D21" s="459" t="s">
        <v>229</v>
      </c>
      <c r="E21" s="458"/>
      <c r="F21" s="458"/>
      <c r="G21" s="458"/>
      <c r="H21" s="457">
        <f>H20</f>
        <v>1149124</v>
      </c>
      <c r="I21" s="457">
        <f>SUM(I20)</f>
        <v>1207729</v>
      </c>
      <c r="J21" s="1441"/>
      <c r="K21" s="431"/>
      <c r="L21" s="179">
        <f>L20</f>
        <v>0</v>
      </c>
      <c r="M21" s="431">
        <f t="shared" si="1"/>
        <v>0</v>
      </c>
      <c r="N21" s="431"/>
      <c r="O21" s="179">
        <f>O20</f>
        <v>0</v>
      </c>
      <c r="P21" s="1091">
        <f t="shared" si="2"/>
        <v>0</v>
      </c>
      <c r="Q21" s="1089">
        <f t="shared" si="3"/>
        <v>0</v>
      </c>
      <c r="R21" s="1078">
        <f t="shared" si="4"/>
        <v>0</v>
      </c>
      <c r="S21" s="431">
        <f t="shared" si="0"/>
        <v>0</v>
      </c>
    </row>
    <row r="22" spans="1:19" ht="30" customHeight="1" x14ac:dyDescent="0.3">
      <c r="A22" s="1441" t="s">
        <v>1553</v>
      </c>
      <c r="B22" s="1441" t="s">
        <v>269</v>
      </c>
      <c r="C22" s="493" t="s">
        <v>270</v>
      </c>
      <c r="D22" s="493" t="s">
        <v>271</v>
      </c>
      <c r="E22" s="505">
        <v>1.1000000000000001</v>
      </c>
      <c r="F22" s="453">
        <v>5571510</v>
      </c>
      <c r="G22" s="32">
        <f>+ROUND(F22*1.051,0)</f>
        <v>5855657</v>
      </c>
      <c r="H22" s="453">
        <f>ROUND((E22*F22),0)</f>
        <v>6128661</v>
      </c>
      <c r="I22" s="32">
        <f>+ROUND(G22*E22,0)</f>
        <v>6441223</v>
      </c>
      <c r="J22" s="1442" t="s">
        <v>1555</v>
      </c>
      <c r="K22" s="474">
        <f>1.1*40%</f>
        <v>0.44000000000000006</v>
      </c>
      <c r="L22" s="429">
        <f>ROUND(K22*G22,0)</f>
        <v>2576489</v>
      </c>
      <c r="M22" s="430">
        <f>L22/H22</f>
        <v>0.4203999862286395</v>
      </c>
      <c r="N22" s="452">
        <v>0</v>
      </c>
      <c r="O22" s="425">
        <f>ROUND(N22*G22,0)</f>
        <v>0</v>
      </c>
      <c r="P22" s="426">
        <f t="shared" si="2"/>
        <v>0</v>
      </c>
      <c r="Q22" s="450">
        <f t="shared" si="3"/>
        <v>0.44000000000000006</v>
      </c>
      <c r="R22" s="175">
        <f t="shared" si="4"/>
        <v>2576489</v>
      </c>
      <c r="S22" s="176">
        <f t="shared" si="0"/>
        <v>0.4203999862286395</v>
      </c>
    </row>
    <row r="23" spans="1:19" x14ac:dyDescent="0.3">
      <c r="A23" s="1441"/>
      <c r="B23" s="1441"/>
      <c r="C23" s="459"/>
      <c r="D23" s="459" t="s">
        <v>215</v>
      </c>
      <c r="E23" s="458"/>
      <c r="F23" s="458"/>
      <c r="G23" s="458"/>
      <c r="H23" s="457">
        <f>H22</f>
        <v>6128661</v>
      </c>
      <c r="I23" s="457">
        <f>SUM(I22)</f>
        <v>6441223</v>
      </c>
      <c r="J23" s="1441"/>
      <c r="K23" s="431"/>
      <c r="L23" s="179">
        <f>L22</f>
        <v>2576489</v>
      </c>
      <c r="M23" s="431">
        <f>L23/H23</f>
        <v>0.4203999862286395</v>
      </c>
      <c r="N23" s="431"/>
      <c r="O23" s="179">
        <f>O22</f>
        <v>0</v>
      </c>
      <c r="P23" s="1091">
        <f t="shared" si="2"/>
        <v>0</v>
      </c>
      <c r="Q23" s="1089">
        <f t="shared" si="3"/>
        <v>0</v>
      </c>
      <c r="R23" s="1078">
        <f t="shared" si="4"/>
        <v>2576489</v>
      </c>
      <c r="S23" s="431">
        <f t="shared" si="0"/>
        <v>0.4203999862286395</v>
      </c>
    </row>
    <row r="24" spans="1:19" ht="30" customHeight="1" x14ac:dyDescent="0.3">
      <c r="A24" s="1441" t="s">
        <v>1553</v>
      </c>
      <c r="B24" s="1441" t="s">
        <v>272</v>
      </c>
      <c r="C24" s="493" t="s">
        <v>273</v>
      </c>
      <c r="D24" s="493" t="s">
        <v>274</v>
      </c>
      <c r="E24" s="492">
        <v>2</v>
      </c>
      <c r="F24" s="453">
        <v>1253590</v>
      </c>
      <c r="G24" s="32">
        <f>+ROUND(F24*1.051,0)</f>
        <v>1317523</v>
      </c>
      <c r="H24" s="453">
        <f>ROUND((E24*F24),0)</f>
        <v>2507180</v>
      </c>
      <c r="I24" s="32">
        <f>+ROUND(G24*E24,0)</f>
        <v>2635046</v>
      </c>
      <c r="J24" s="1442" t="s">
        <v>1554</v>
      </c>
      <c r="K24" s="452">
        <v>0</v>
      </c>
      <c r="L24" s="425">
        <f>ROUND(K24*G24,0)</f>
        <v>0</v>
      </c>
      <c r="M24" s="426">
        <f>L24/H24</f>
        <v>0</v>
      </c>
      <c r="N24" s="452">
        <v>0</v>
      </c>
      <c r="O24" s="425">
        <f>ROUND(N24*G24,0)</f>
        <v>0</v>
      </c>
      <c r="P24" s="426">
        <f t="shared" si="2"/>
        <v>0</v>
      </c>
      <c r="Q24" s="450">
        <f t="shared" si="3"/>
        <v>0</v>
      </c>
      <c r="R24" s="175">
        <f t="shared" si="4"/>
        <v>0</v>
      </c>
      <c r="S24" s="176">
        <f t="shared" si="0"/>
        <v>0</v>
      </c>
    </row>
    <row r="25" spans="1:19" ht="15" customHeight="1" x14ac:dyDescent="0.3">
      <c r="A25" s="1441"/>
      <c r="B25" s="1441"/>
      <c r="C25" s="459"/>
      <c r="D25" s="459" t="s">
        <v>136</v>
      </c>
      <c r="E25" s="458"/>
      <c r="F25" s="458"/>
      <c r="G25" s="458"/>
      <c r="H25" s="457">
        <f>H24</f>
        <v>2507180</v>
      </c>
      <c r="I25" s="457">
        <f>SUM(I24)</f>
        <v>2635046</v>
      </c>
      <c r="J25" s="1441"/>
      <c r="K25" s="431"/>
      <c r="L25" s="179">
        <f>L24</f>
        <v>0</v>
      </c>
      <c r="M25" s="431">
        <f t="shared" si="1"/>
        <v>0</v>
      </c>
      <c r="N25" s="431"/>
      <c r="O25" s="179">
        <f>O24</f>
        <v>0</v>
      </c>
      <c r="P25" s="1091">
        <f t="shared" si="2"/>
        <v>0</v>
      </c>
      <c r="Q25" s="1089">
        <f t="shared" si="3"/>
        <v>0</v>
      </c>
      <c r="R25" s="1078">
        <f t="shared" si="4"/>
        <v>0</v>
      </c>
      <c r="S25" s="431">
        <f t="shared" si="0"/>
        <v>0</v>
      </c>
    </row>
    <row r="26" spans="1:19" ht="30" customHeight="1" x14ac:dyDescent="0.3">
      <c r="A26" s="1441" t="s">
        <v>1553</v>
      </c>
      <c r="B26" s="1441" t="s">
        <v>275</v>
      </c>
      <c r="C26" s="493" t="s">
        <v>276</v>
      </c>
      <c r="D26" s="493" t="s">
        <v>277</v>
      </c>
      <c r="E26" s="505">
        <v>24.46</v>
      </c>
      <c r="F26" s="453">
        <v>69644</v>
      </c>
      <c r="G26" s="32">
        <f>+ROUND(F26*1.051,0)</f>
        <v>73196</v>
      </c>
      <c r="H26" s="453">
        <f>ROUND((E26*F26),0)</f>
        <v>1703492</v>
      </c>
      <c r="I26" s="32">
        <f>+ROUND(G26*E26,0)</f>
        <v>1790374</v>
      </c>
      <c r="J26" s="1442" t="s">
        <v>1552</v>
      </c>
      <c r="K26" s="452">
        <v>0</v>
      </c>
      <c r="L26" s="425">
        <f>ROUND(K26*G26,0)</f>
        <v>0</v>
      </c>
      <c r="M26" s="426">
        <f>L26/H26</f>
        <v>0</v>
      </c>
      <c r="N26" s="452">
        <v>0</v>
      </c>
      <c r="O26" s="425">
        <f>ROUND(N26*G26,0)</f>
        <v>0</v>
      </c>
      <c r="P26" s="426">
        <f t="shared" si="2"/>
        <v>0</v>
      </c>
      <c r="Q26" s="450">
        <f t="shared" si="3"/>
        <v>0</v>
      </c>
      <c r="R26" s="175">
        <f t="shared" si="4"/>
        <v>0</v>
      </c>
      <c r="S26" s="176">
        <f t="shared" si="0"/>
        <v>0</v>
      </c>
    </row>
    <row r="27" spans="1:19" ht="15" customHeight="1" x14ac:dyDescent="0.3">
      <c r="A27" s="1441"/>
      <c r="B27" s="1441"/>
      <c r="C27" s="459"/>
      <c r="D27" s="459" t="s">
        <v>278</v>
      </c>
      <c r="E27" s="458"/>
      <c r="F27" s="458"/>
      <c r="G27" s="458"/>
      <c r="H27" s="457">
        <f>H26</f>
        <v>1703492</v>
      </c>
      <c r="I27" s="457">
        <f>SUM(I26)</f>
        <v>1790374</v>
      </c>
      <c r="J27" s="1441"/>
      <c r="K27" s="431"/>
      <c r="L27" s="179">
        <f>L26</f>
        <v>0</v>
      </c>
      <c r="M27" s="431">
        <f t="shared" si="1"/>
        <v>0</v>
      </c>
      <c r="N27" s="431"/>
      <c r="O27" s="179">
        <f>O26</f>
        <v>0</v>
      </c>
      <c r="P27" s="1091">
        <f>O27/I27</f>
        <v>0</v>
      </c>
      <c r="Q27" s="1101"/>
      <c r="R27" s="1078">
        <f t="shared" si="4"/>
        <v>0</v>
      </c>
      <c r="S27" s="431">
        <f t="shared" si="0"/>
        <v>0</v>
      </c>
    </row>
    <row r="28" spans="1:19" x14ac:dyDescent="0.3">
      <c r="F28" s="445" t="s">
        <v>64</v>
      </c>
      <c r="G28" s="445"/>
      <c r="H28" s="181">
        <f>SUM(H5:H27)/2</f>
        <v>16335671</v>
      </c>
      <c r="I28" s="181">
        <f>SUM(I5:I27)/2</f>
        <v>17168794</v>
      </c>
      <c r="K28" s="547" t="s">
        <v>64</v>
      </c>
      <c r="L28" s="481">
        <f>SUM(L5:L27)/2</f>
        <v>4911433</v>
      </c>
      <c r="N28" s="547" t="s">
        <v>64</v>
      </c>
      <c r="O28" s="481">
        <f>SUM(O5:O27)/2</f>
        <v>0</v>
      </c>
      <c r="Q28" s="547" t="s">
        <v>64</v>
      </c>
      <c r="R28" s="481">
        <f>SUM(R5:R27)/2</f>
        <v>4911433</v>
      </c>
    </row>
    <row r="29" spans="1:19" ht="26.4" x14ac:dyDescent="0.3">
      <c r="F29" s="444" t="s">
        <v>65</v>
      </c>
      <c r="G29" s="444"/>
      <c r="H29" s="181">
        <v>0</v>
      </c>
      <c r="I29" s="181">
        <v>0</v>
      </c>
      <c r="K29" s="548" t="s">
        <v>65</v>
      </c>
      <c r="L29" s="481">
        <v>0</v>
      </c>
      <c r="N29" s="548" t="s">
        <v>65</v>
      </c>
      <c r="O29" s="481">
        <v>0</v>
      </c>
      <c r="Q29" s="548" t="s">
        <v>65</v>
      </c>
      <c r="R29" s="481">
        <v>0</v>
      </c>
    </row>
    <row r="30" spans="1:19" x14ac:dyDescent="0.3">
      <c r="F30" s="443" t="s">
        <v>64</v>
      </c>
      <c r="G30" s="443"/>
      <c r="H30" s="340">
        <f>SUM(H28:H29)</f>
        <v>16335671</v>
      </c>
      <c r="I30" s="340">
        <f>SUM(I28:I29)</f>
        <v>17168794</v>
      </c>
      <c r="K30" s="549" t="s">
        <v>64</v>
      </c>
      <c r="L30" s="550">
        <f>SUM(L28:L29)</f>
        <v>4911433</v>
      </c>
      <c r="N30" s="549" t="s">
        <v>64</v>
      </c>
      <c r="O30" s="550">
        <f>SUM(O28:O29)</f>
        <v>0</v>
      </c>
      <c r="Q30" s="549" t="s">
        <v>64</v>
      </c>
      <c r="R30" s="550">
        <f>SUM(R28:R29)</f>
        <v>4911433</v>
      </c>
    </row>
    <row r="31" spans="1:19" ht="26.4" x14ac:dyDescent="0.3">
      <c r="F31" s="443"/>
      <c r="G31" s="443"/>
      <c r="H31" s="340"/>
      <c r="I31" s="340"/>
      <c r="K31" s="501" t="s">
        <v>1439</v>
      </c>
      <c r="L31" s="483">
        <f>ROUND(L30*0.015,0)</f>
        <v>73671</v>
      </c>
      <c r="N31" s="501" t="s">
        <v>1439</v>
      </c>
      <c r="O31" s="483">
        <f>ROUND(O30*0.015,0)</f>
        <v>0</v>
      </c>
      <c r="Q31" s="501" t="s">
        <v>1439</v>
      </c>
      <c r="R31" s="550">
        <f>L31+O31</f>
        <v>73671</v>
      </c>
    </row>
    <row r="32" spans="1:19" ht="39.6" x14ac:dyDescent="0.3">
      <c r="F32" s="443"/>
      <c r="G32" s="443"/>
      <c r="H32" s="340"/>
      <c r="I32" s="340"/>
      <c r="K32" s="96" t="s">
        <v>1440</v>
      </c>
      <c r="L32" s="182">
        <f>L30+L31</f>
        <v>4985104</v>
      </c>
      <c r="M32" s="463">
        <f>L32/H30</f>
        <v>0.30516677276372667</v>
      </c>
      <c r="N32" s="96" t="s">
        <v>1440</v>
      </c>
      <c r="O32" s="182">
        <f>O30+O31</f>
        <v>0</v>
      </c>
      <c r="P32" s="463">
        <f>O32/H28</f>
        <v>0</v>
      </c>
      <c r="Q32" s="96" t="s">
        <v>1440</v>
      </c>
      <c r="R32" s="182">
        <f>R30+R31</f>
        <v>4985104</v>
      </c>
      <c r="S32" s="463">
        <f>R32/H28</f>
        <v>0.30516677276372667</v>
      </c>
    </row>
    <row r="33" spans="1:19" x14ac:dyDescent="0.3">
      <c r="F33" s="442" t="s">
        <v>66</v>
      </c>
      <c r="G33" s="442"/>
      <c r="H33" s="181">
        <f>+H30*19%</f>
        <v>3103777.49</v>
      </c>
      <c r="I33" s="181">
        <f>+I30*19%</f>
        <v>3262070.86</v>
      </c>
      <c r="K33" s="551" t="s">
        <v>66</v>
      </c>
      <c r="L33" s="483">
        <f>L32*0.19</f>
        <v>947169.76</v>
      </c>
      <c r="N33" s="551" t="s">
        <v>66</v>
      </c>
      <c r="O33" s="483">
        <f>O32*0.19</f>
        <v>0</v>
      </c>
      <c r="Q33" s="551" t="s">
        <v>66</v>
      </c>
      <c r="R33" s="483">
        <f>R32*0.19</f>
        <v>947169.76</v>
      </c>
    </row>
    <row r="34" spans="1:19" x14ac:dyDescent="0.3">
      <c r="F34" s="441" t="s">
        <v>69</v>
      </c>
      <c r="G34" s="441"/>
      <c r="H34" s="181">
        <f>+H30+H33</f>
        <v>19439448.490000002</v>
      </c>
      <c r="I34" s="181">
        <f>+I30+I33</f>
        <v>20430864.859999999</v>
      </c>
      <c r="K34" s="552" t="s">
        <v>69</v>
      </c>
      <c r="L34" s="481">
        <f>L32+L33</f>
        <v>5932273.7599999998</v>
      </c>
      <c r="N34" s="552" t="s">
        <v>69</v>
      </c>
      <c r="O34" s="481">
        <f>O32+O33</f>
        <v>0</v>
      </c>
      <c r="Q34" s="552" t="s">
        <v>69</v>
      </c>
      <c r="R34" s="481">
        <f>R32+R33</f>
        <v>5932273.7599999998</v>
      </c>
    </row>
    <row r="35" spans="1:19" x14ac:dyDescent="0.3">
      <c r="Q35" s="563"/>
      <c r="R35" s="563"/>
    </row>
    <row r="38" spans="1:19" s="189" customFormat="1" ht="26.4" x14ac:dyDescent="0.3">
      <c r="A38" s="183" t="s">
        <v>67</v>
      </c>
      <c r="B38" s="184"/>
      <c r="C38" s="184"/>
      <c r="D38" s="185" t="s">
        <v>68</v>
      </c>
      <c r="G38" s="852"/>
      <c r="I38" s="852"/>
      <c r="K38" s="186" t="s">
        <v>70</v>
      </c>
      <c r="L38" s="187" t="s">
        <v>71</v>
      </c>
      <c r="M38" s="186" t="s">
        <v>58</v>
      </c>
      <c r="N38" s="186" t="s">
        <v>70</v>
      </c>
      <c r="O38" s="187" t="s">
        <v>71</v>
      </c>
      <c r="P38" s="186" t="s">
        <v>58</v>
      </c>
      <c r="Q38" s="437"/>
      <c r="R38" s="437"/>
      <c r="S38" s="437"/>
    </row>
    <row r="39" spans="1:19" s="189" customFormat="1" x14ac:dyDescent="0.3">
      <c r="A39" s="183"/>
      <c r="B39" s="184"/>
      <c r="C39" s="184"/>
      <c r="D39" s="185"/>
      <c r="G39" s="852"/>
      <c r="I39" s="852"/>
      <c r="K39" s="69" t="s">
        <v>72</v>
      </c>
      <c r="L39" s="70">
        <f>L32</f>
        <v>4985104</v>
      </c>
      <c r="M39" s="71">
        <f>M32</f>
        <v>0.30516677276372667</v>
      </c>
      <c r="N39" s="69" t="s">
        <v>72</v>
      </c>
      <c r="O39" s="70">
        <f>$L$32</f>
        <v>4985104</v>
      </c>
      <c r="P39" s="71">
        <f>$M$32</f>
        <v>0.30516677276372667</v>
      </c>
      <c r="Q39" s="437"/>
      <c r="R39" s="437"/>
      <c r="S39" s="437"/>
    </row>
    <row r="40" spans="1:19" s="189" customFormat="1" x14ac:dyDescent="0.3">
      <c r="A40" s="183"/>
      <c r="B40" s="184"/>
      <c r="C40" s="184"/>
      <c r="D40" s="185"/>
      <c r="G40" s="852"/>
      <c r="I40" s="852"/>
      <c r="K40" s="72" t="s">
        <v>1</v>
      </c>
      <c r="L40" s="105">
        <f>SUM(L39:L39)</f>
        <v>4985104</v>
      </c>
      <c r="M40" s="73">
        <f>SUM(M39:M39)</f>
        <v>0.30516677276372667</v>
      </c>
      <c r="N40" s="69" t="s">
        <v>73</v>
      </c>
      <c r="O40" s="70">
        <f>$O$32</f>
        <v>0</v>
      </c>
      <c r="P40" s="71">
        <f>$P$32</f>
        <v>0</v>
      </c>
      <c r="Q40" s="437"/>
      <c r="R40" s="437"/>
      <c r="S40" s="437"/>
    </row>
    <row r="41" spans="1:19" s="189" customFormat="1" x14ac:dyDescent="0.3">
      <c r="A41" s="183"/>
      <c r="B41" s="184"/>
      <c r="C41" s="184"/>
      <c r="D41" s="185"/>
      <c r="G41" s="852"/>
      <c r="I41" s="852"/>
      <c r="K41" s="72" t="s">
        <v>9</v>
      </c>
      <c r="L41" s="1423"/>
      <c r="M41" s="1424"/>
      <c r="N41" s="72" t="s">
        <v>1</v>
      </c>
      <c r="O41" s="105">
        <f>SUM(O39:O40)</f>
        <v>4985104</v>
      </c>
      <c r="P41" s="73">
        <f>SUM(P39:P40)</f>
        <v>0.30516677276372667</v>
      </c>
      <c r="Q41" s="437"/>
      <c r="R41" s="437"/>
      <c r="S41" s="437"/>
    </row>
    <row r="42" spans="1:19" s="189" customFormat="1" x14ac:dyDescent="0.3">
      <c r="A42" s="183"/>
      <c r="B42" s="184"/>
      <c r="C42" s="184"/>
      <c r="D42" s="185"/>
      <c r="G42" s="852"/>
      <c r="I42" s="852"/>
      <c r="K42" s="440" t="s">
        <v>78</v>
      </c>
      <c r="L42" s="1423" t="s">
        <v>2294</v>
      </c>
      <c r="M42" s="1424"/>
      <c r="N42" s="72" t="s">
        <v>9</v>
      </c>
      <c r="O42" s="1423"/>
      <c r="P42" s="1424"/>
      <c r="Q42" s="437"/>
      <c r="R42" s="437"/>
      <c r="S42" s="437"/>
    </row>
    <row r="43" spans="1:19" s="189" customFormat="1" x14ac:dyDescent="0.3">
      <c r="A43" s="183"/>
      <c r="B43" s="184"/>
      <c r="C43" s="184"/>
      <c r="D43" s="185"/>
      <c r="G43" s="852"/>
      <c r="I43" s="852"/>
      <c r="K43" s="439" t="s">
        <v>8</v>
      </c>
      <c r="L43" s="1425" t="s">
        <v>2295</v>
      </c>
      <c r="M43" s="1426"/>
      <c r="N43" s="440" t="s">
        <v>78</v>
      </c>
      <c r="O43" s="1423" t="s">
        <v>2294</v>
      </c>
      <c r="P43" s="1424"/>
      <c r="Q43" s="437"/>
      <c r="R43" s="437"/>
      <c r="S43" s="437"/>
    </row>
    <row r="44" spans="1:19" s="189" customFormat="1" x14ac:dyDescent="0.3">
      <c r="A44" s="183"/>
      <c r="B44" s="184"/>
      <c r="C44" s="184"/>
      <c r="D44" s="185" t="s">
        <v>75</v>
      </c>
      <c r="G44" s="852"/>
      <c r="I44" s="852"/>
      <c r="N44" s="439" t="s">
        <v>8</v>
      </c>
      <c r="O44" s="1425" t="s">
        <v>2295</v>
      </c>
      <c r="P44" s="1426"/>
    </row>
    <row r="45" spans="1:19" s="189" customFormat="1" x14ac:dyDescent="0.3">
      <c r="A45" s="183" t="s">
        <v>76</v>
      </c>
      <c r="B45" s="180"/>
      <c r="C45" s="180"/>
      <c r="D45" s="185" t="s">
        <v>77</v>
      </c>
      <c r="G45" s="852"/>
      <c r="I45" s="852"/>
      <c r="N45" s="1055"/>
      <c r="O45" s="1055"/>
      <c r="P45" s="1055"/>
    </row>
    <row r="46" spans="1:19" s="189" customFormat="1" ht="26.4" x14ac:dyDescent="0.3">
      <c r="A46" s="183" t="s">
        <v>79</v>
      </c>
      <c r="B46" s="180"/>
      <c r="C46" s="180"/>
      <c r="D46" s="185" t="s">
        <v>80</v>
      </c>
      <c r="G46" s="852"/>
      <c r="I46" s="852"/>
      <c r="N46" s="1055"/>
      <c r="O46" s="1055"/>
      <c r="P46" s="1055"/>
    </row>
    <row r="47" spans="1:19" x14ac:dyDescent="0.3">
      <c r="N47" s="1055"/>
      <c r="O47" s="1055"/>
      <c r="P47" s="1055"/>
    </row>
  </sheetData>
  <sheetProtection formatCells="0" formatColumns="0" formatRows="0" insertColumns="0" insertRows="0" insertHyperlinks="0" deleteColumns="0" deleteRows="0" sort="0" autoFilter="0" pivotTables="0"/>
  <mergeCells count="43">
    <mergeCell ref="B11:J11"/>
    <mergeCell ref="K11:M12"/>
    <mergeCell ref="Q11:S12"/>
    <mergeCell ref="B12:J12"/>
    <mergeCell ref="Q1:S1"/>
    <mergeCell ref="Q2:S2"/>
    <mergeCell ref="A3:S3"/>
    <mergeCell ref="A4:S4"/>
    <mergeCell ref="A5:S5"/>
    <mergeCell ref="C1:M2"/>
    <mergeCell ref="A6:S6"/>
    <mergeCell ref="A7:S7"/>
    <mergeCell ref="A8:S8"/>
    <mergeCell ref="A9:S9"/>
    <mergeCell ref="A10:S10"/>
    <mergeCell ref="N11:P12"/>
    <mergeCell ref="A18:A19"/>
    <mergeCell ref="B18:B19"/>
    <mergeCell ref="J18:J19"/>
    <mergeCell ref="A14:A15"/>
    <mergeCell ref="B14:B15"/>
    <mergeCell ref="J14:J15"/>
    <mergeCell ref="A16:A17"/>
    <mergeCell ref="B16:B17"/>
    <mergeCell ref="J16:J17"/>
    <mergeCell ref="A20:A21"/>
    <mergeCell ref="B20:B21"/>
    <mergeCell ref="J20:J21"/>
    <mergeCell ref="A22:A23"/>
    <mergeCell ref="B22:B23"/>
    <mergeCell ref="J22:J23"/>
    <mergeCell ref="A24:A25"/>
    <mergeCell ref="B24:B25"/>
    <mergeCell ref="J24:J25"/>
    <mergeCell ref="A26:A27"/>
    <mergeCell ref="B26:B27"/>
    <mergeCell ref="J26:J27"/>
    <mergeCell ref="O42:P42"/>
    <mergeCell ref="O43:P43"/>
    <mergeCell ref="O44:P44"/>
    <mergeCell ref="L41:M41"/>
    <mergeCell ref="L42:M42"/>
    <mergeCell ref="L43:M43"/>
  </mergeCells>
  <pageMargins left="0.7" right="0.7" top="0.75" bottom="0.75" header="0.3" footer="0.3"/>
  <pageSetup scale="35" fitToHeight="0" orientation="landscape" r:id="rId1"/>
  <drawing r:id="rId2"/>
  <legacyDrawingHF r:id="rId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1">
    <tabColor theme="1"/>
  </sheetPr>
  <dimension ref="A1:G49"/>
  <sheetViews>
    <sheetView topLeftCell="A13" zoomScaleNormal="100" zoomScaleSheetLayoutView="85" workbookViewId="0">
      <selection activeCell="F30" sqref="F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RESUMEN!G95</f>
        <v>Proyecto: CDIM_CBSGSM_R0161 Normalización y Reposición SE VICTORIA</v>
      </c>
      <c r="C5" s="1281"/>
      <c r="D5" s="1281"/>
      <c r="E5" s="1281"/>
      <c r="F5" s="1281"/>
      <c r="G5" s="1282"/>
    </row>
    <row r="6" spans="1:7" x14ac:dyDescent="0.25">
      <c r="A6" s="1177"/>
      <c r="B6" s="1177"/>
      <c r="C6" s="1177"/>
      <c r="D6" s="1177"/>
      <c r="E6" s="1177"/>
      <c r="F6" s="1177"/>
      <c r="G6" s="1177"/>
    </row>
    <row r="7" spans="1:7" x14ac:dyDescent="0.25">
      <c r="A7" s="271" t="s">
        <v>0</v>
      </c>
      <c r="B7" s="1264" t="str">
        <f>RESUMEN!B95</f>
        <v>D00235038</v>
      </c>
      <c r="C7" s="1265"/>
      <c r="D7" s="1177"/>
      <c r="E7" s="1266" t="s">
        <v>627</v>
      </c>
      <c r="F7" s="1267"/>
      <c r="G7" s="280" t="str">
        <f>RESUMEN!E95</f>
        <v>17-371</v>
      </c>
    </row>
    <row r="8" spans="1:7" x14ac:dyDescent="0.25">
      <c r="A8" s="271" t="s">
        <v>628</v>
      </c>
      <c r="B8" s="1264" t="str">
        <f>RESUMEN!C95</f>
        <v>D00235038000</v>
      </c>
      <c r="C8" s="1265"/>
      <c r="D8" s="1177"/>
      <c r="E8" s="1266" t="s">
        <v>629</v>
      </c>
      <c r="F8" s="1267"/>
      <c r="G8" s="280" t="str">
        <f>RESUMEN!U95</f>
        <v>Acta N° 2: Febrero</v>
      </c>
    </row>
    <row r="9" spans="1:7" x14ac:dyDescent="0.25">
      <c r="A9" s="271" t="s">
        <v>630</v>
      </c>
      <c r="B9" s="1283" t="s">
        <v>631</v>
      </c>
      <c r="C9" s="1265"/>
      <c r="D9" s="1177"/>
      <c r="E9" s="1266" t="s">
        <v>632</v>
      </c>
      <c r="F9" s="1267"/>
      <c r="G9" s="1178">
        <f>RESUMEN!H95</f>
        <v>2298248</v>
      </c>
    </row>
    <row r="10" spans="1:7" x14ac:dyDescent="0.25">
      <c r="A10" s="271" t="s">
        <v>633</v>
      </c>
      <c r="B10" s="1283" t="str">
        <f>RESUMEN!D95</f>
        <v>VICTORIA</v>
      </c>
      <c r="C10" s="1265"/>
      <c r="D10" s="1177"/>
      <c r="E10" s="1266" t="s">
        <v>634</v>
      </c>
      <c r="F10" s="1267"/>
      <c r="G10" s="1178">
        <f>RESUMEN!R95</f>
        <v>735508</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",RESUMEN!G95)</f>
        <v>A los 14 días del mes de Marzo se reunieron en las instalaciones de CODENSA S.A. E.S.P., los ingenieros Ing.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CDIM_CBSGSM_R0161 Normalización y Reposición SE VICTORIA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RESUMEN!N95</f>
        <v>724638</v>
      </c>
      <c r="F19" s="1248"/>
      <c r="G19" s="1177"/>
    </row>
    <row r="20" spans="1:7" ht="27" customHeight="1" x14ac:dyDescent="0.25">
      <c r="A20" s="1177"/>
      <c r="B20" s="1244" t="s">
        <v>1498</v>
      </c>
      <c r="C20" s="1245"/>
      <c r="D20" s="1246"/>
      <c r="E20" s="1247">
        <f>RESUMEN!P95</f>
        <v>0</v>
      </c>
      <c r="F20" s="1248"/>
      <c r="G20" s="1177"/>
    </row>
    <row r="21" spans="1:7" ht="27" customHeight="1" x14ac:dyDescent="0.25">
      <c r="A21" s="1177"/>
      <c r="B21" s="1244" t="s">
        <v>1499</v>
      </c>
      <c r="C21" s="1245"/>
      <c r="D21" s="1246"/>
      <c r="E21" s="1247">
        <f>RESUMEN!Q95</f>
        <v>10870</v>
      </c>
      <c r="F21" s="1248"/>
      <c r="G21" s="1177"/>
    </row>
    <row r="22" spans="1:7" x14ac:dyDescent="0.25">
      <c r="A22" s="1177"/>
      <c r="B22" s="1254" t="s">
        <v>64</v>
      </c>
      <c r="C22" s="1254"/>
      <c r="D22" s="1254"/>
      <c r="E22" s="1255">
        <f>RESUMEN!R95</f>
        <v>735508</v>
      </c>
      <c r="F22" s="1255"/>
      <c r="G22" s="1177"/>
    </row>
    <row r="23" spans="1:7" x14ac:dyDescent="0.25">
      <c r="A23" s="1177"/>
      <c r="B23" s="1256" t="s">
        <v>66</v>
      </c>
      <c r="C23" s="1256"/>
      <c r="D23" s="1256"/>
      <c r="E23" s="1257">
        <f>RESUMEN!S95</f>
        <v>139746.51999999999</v>
      </c>
      <c r="F23" s="1257"/>
      <c r="G23" s="1177"/>
    </row>
    <row r="24" spans="1:7" x14ac:dyDescent="0.25">
      <c r="A24" s="1177"/>
      <c r="B24" s="1258" t="s">
        <v>1</v>
      </c>
      <c r="C24" s="1258"/>
      <c r="D24" s="1258"/>
      <c r="E24" s="1259">
        <f>RESUMEN!T95</f>
        <v>875254.52</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+'OT17-371 VICTORIA'!N33</f>
        <v>ACTA 1</v>
      </c>
      <c r="C28" s="1253">
        <f>+'OT17-371 VICTORIA'!O33</f>
        <v>1632906</v>
      </c>
      <c r="D28" s="1253"/>
      <c r="E28" s="267">
        <f>+'OT17-371 VICTORIA'!P33</f>
        <v>0.71050034635078552</v>
      </c>
      <c r="F28" s="1177"/>
      <c r="G28" s="1177"/>
    </row>
    <row r="29" spans="1:7" x14ac:dyDescent="0.25">
      <c r="A29" s="1177"/>
      <c r="B29" s="280" t="str">
        <f>+'OT17-371 VICTORIA'!N34</f>
        <v>ACTA 2</v>
      </c>
      <c r="C29" s="1253">
        <f>+'OT17-371 VICTORIA'!O34</f>
        <v>735508</v>
      </c>
      <c r="D29" s="1253"/>
      <c r="E29" s="267">
        <f>+'OT17-371 VICTORIA'!P34</f>
        <v>0.3200298662285358</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2368414</v>
      </c>
      <c r="D34" s="1251"/>
      <c r="E34" s="264">
        <f>SUM(E28:E33)</f>
        <v>1.0305302125793214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RESUMEN!V95</f>
        <v>Ing.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1:C41"/>
    <mergeCell ref="E41:G41"/>
    <mergeCell ref="A42:C42"/>
    <mergeCell ref="E42:G42"/>
    <mergeCell ref="C32:D32"/>
    <mergeCell ref="C33:D33"/>
    <mergeCell ref="C34:D34"/>
    <mergeCell ref="A36:G36"/>
    <mergeCell ref="A40:C40"/>
    <mergeCell ref="E40:G40"/>
    <mergeCell ref="E18:F18"/>
    <mergeCell ref="B19:D19"/>
    <mergeCell ref="E19:F19"/>
    <mergeCell ref="C31:D31"/>
    <mergeCell ref="B22:D22"/>
    <mergeCell ref="E22:F22"/>
    <mergeCell ref="B23:D23"/>
    <mergeCell ref="E23:F23"/>
    <mergeCell ref="B24:D24"/>
    <mergeCell ref="E24:F24"/>
    <mergeCell ref="C28:D28"/>
    <mergeCell ref="C29:D29"/>
    <mergeCell ref="C30:D30"/>
    <mergeCell ref="C27:D27"/>
    <mergeCell ref="A1:A3"/>
    <mergeCell ref="B1:F3"/>
    <mergeCell ref="B5:G5"/>
    <mergeCell ref="B7:C7"/>
    <mergeCell ref="E7:F7"/>
    <mergeCell ref="A49:C49"/>
    <mergeCell ref="E49:G49"/>
    <mergeCell ref="B21:D21"/>
    <mergeCell ref="E21:F21"/>
    <mergeCell ref="B8:C8"/>
    <mergeCell ref="E8:F8"/>
    <mergeCell ref="B20:D20"/>
    <mergeCell ref="E20:F20"/>
    <mergeCell ref="B9:C9"/>
    <mergeCell ref="E9:F9"/>
    <mergeCell ref="B10:C10"/>
    <mergeCell ref="E10:F10"/>
    <mergeCell ref="A12:G12"/>
    <mergeCell ref="A14:G14"/>
    <mergeCell ref="A16:G16"/>
    <mergeCell ref="B18:D18"/>
  </mergeCells>
  <pageMargins left="0.70866141732283472" right="0.70866141732283472" top="0.74803149606299213" bottom="0.74803149606299213" header="0.31496062992125984" footer="0.31496062992125984"/>
  <pageSetup scale="82" orientation="portrait" r:id="rId1"/>
  <drawing r:id="rId2"/>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2">
    <tabColor rgb="FF72104A"/>
  </sheetPr>
  <dimension ref="A1:S40"/>
  <sheetViews>
    <sheetView view="pageBreakPreview" topLeftCell="D16" zoomScale="70" zoomScaleNormal="60" zoomScaleSheetLayoutView="70" workbookViewId="0">
      <selection activeCell="F29" sqref="F29"/>
    </sheetView>
  </sheetViews>
  <sheetFormatPr baseColWidth="10" defaultColWidth="9.109375" defaultRowHeight="14.4" x14ac:dyDescent="0.3"/>
  <cols>
    <col min="1" max="1" width="13.6640625" style="437" customWidth="1"/>
    <col min="2" max="2" width="27" style="437" customWidth="1"/>
    <col min="3" max="3" width="27.88671875" style="437" customWidth="1"/>
    <col min="4" max="4" width="29.88671875" style="437" customWidth="1"/>
    <col min="5" max="5" width="13" style="437" customWidth="1"/>
    <col min="6" max="6" width="17.88671875" style="437" bestFit="1" customWidth="1"/>
    <col min="7" max="7" width="17.88671875" style="437" customWidth="1"/>
    <col min="8" max="8" width="16.6640625" style="437" bestFit="1" customWidth="1"/>
    <col min="9" max="9" width="16.6640625" style="437" customWidth="1"/>
    <col min="10" max="10" width="47.109375" style="437" customWidth="1"/>
    <col min="11" max="11" width="17.88671875" style="437" hidden="1" customWidth="1"/>
    <col min="12" max="12" width="18" style="437" hidden="1" customWidth="1"/>
    <col min="13" max="13" width="9.109375" style="437" hidden="1" customWidth="1"/>
    <col min="14" max="14" width="17.88671875" style="437" customWidth="1"/>
    <col min="15" max="15" width="18" style="437" bestFit="1" customWidth="1"/>
    <col min="16" max="16" width="9.109375" style="437"/>
    <col min="17" max="17" width="17.88671875" style="437" bestFit="1" customWidth="1"/>
    <col min="18" max="18" width="16.664062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721"/>
      <c r="O1" s="721"/>
      <c r="P1" s="721"/>
      <c r="Q1" s="1328" t="s">
        <v>866</v>
      </c>
      <c r="R1" s="1303"/>
      <c r="S1" s="1304"/>
    </row>
    <row r="2" spans="1:19" ht="13.5" customHeight="1" thickBot="1" x14ac:dyDescent="0.35">
      <c r="A2" s="170"/>
      <c r="B2" s="190"/>
      <c r="C2" s="1310"/>
      <c r="D2" s="1311"/>
      <c r="E2" s="1311"/>
      <c r="F2" s="1311"/>
      <c r="G2" s="1311"/>
      <c r="H2" s="1311"/>
      <c r="I2" s="1311"/>
      <c r="J2" s="1311"/>
      <c r="K2" s="1311"/>
      <c r="L2" s="1311"/>
      <c r="M2" s="1311"/>
      <c r="N2" s="722"/>
      <c r="O2" s="722"/>
      <c r="P2" s="72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1080</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1564</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1730</v>
      </c>
      <c r="L11" s="1294"/>
      <c r="M11" s="1295"/>
      <c r="N11" s="1427" t="s">
        <v>2157</v>
      </c>
      <c r="O11" s="1428"/>
      <c r="P11" s="1429"/>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430"/>
      <c r="O12" s="1431"/>
      <c r="P12" s="1432"/>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504" t="s">
        <v>57</v>
      </c>
      <c r="K13" s="502" t="s">
        <v>54</v>
      </c>
      <c r="L13" s="502" t="s">
        <v>56</v>
      </c>
      <c r="M13" s="502" t="s">
        <v>58</v>
      </c>
      <c r="N13" s="502" t="s">
        <v>54</v>
      </c>
      <c r="O13" s="502" t="s">
        <v>56</v>
      </c>
      <c r="P13" s="502" t="s">
        <v>58</v>
      </c>
      <c r="Q13" s="174" t="s">
        <v>54</v>
      </c>
      <c r="R13" s="172" t="s">
        <v>56</v>
      </c>
      <c r="S13" s="502" t="s">
        <v>58</v>
      </c>
    </row>
    <row r="14" spans="1:19" ht="30" customHeight="1" x14ac:dyDescent="0.3">
      <c r="A14" s="1441" t="s">
        <v>151</v>
      </c>
      <c r="B14" s="1441" t="s">
        <v>217</v>
      </c>
      <c r="C14" s="493" t="s">
        <v>81</v>
      </c>
      <c r="D14" s="493" t="s">
        <v>218</v>
      </c>
      <c r="E14" s="493">
        <v>1</v>
      </c>
      <c r="F14" s="453">
        <v>1149124</v>
      </c>
      <c r="G14" s="32">
        <f>+ROUND(F14*1.051,0)</f>
        <v>1207729</v>
      </c>
      <c r="H14" s="453">
        <f>ROUND((E14*F14),0)</f>
        <v>1149124</v>
      </c>
      <c r="I14" s="32">
        <f>+ROUND(G14*E14,0)</f>
        <v>1207729</v>
      </c>
      <c r="J14" s="1503" t="s">
        <v>1563</v>
      </c>
      <c r="K14" s="474">
        <f>1*70%</f>
        <v>0.7</v>
      </c>
      <c r="L14" s="429">
        <f>ROUND(K14*F14,0)</f>
        <v>804387</v>
      </c>
      <c r="M14" s="430">
        <f>L14/H14</f>
        <v>0.70000017404562087</v>
      </c>
      <c r="N14" s="931">
        <v>0.3</v>
      </c>
      <c r="O14" s="759">
        <f>ROUND(N14*G14,0)</f>
        <v>362319</v>
      </c>
      <c r="P14" s="760">
        <f>O14/I14</f>
        <v>0.30000024840009637</v>
      </c>
      <c r="Q14" s="450">
        <f>K14+N14</f>
        <v>1</v>
      </c>
      <c r="R14" s="175">
        <f>L14+O14</f>
        <v>1166706</v>
      </c>
      <c r="S14" s="176">
        <f>R14/H14</f>
        <v>1.0153003505278804</v>
      </c>
    </row>
    <row r="15" spans="1:19" ht="30" customHeight="1" x14ac:dyDescent="0.3">
      <c r="A15" s="1441"/>
      <c r="B15" s="1441"/>
      <c r="C15" s="493" t="s">
        <v>83</v>
      </c>
      <c r="D15" s="493" t="s">
        <v>219</v>
      </c>
      <c r="E15" s="493">
        <v>0</v>
      </c>
      <c r="F15" s="453">
        <v>2646468</v>
      </c>
      <c r="G15" s="32">
        <f t="shared" ref="G15:G16" si="0">+ROUND(F15*1.051,0)</f>
        <v>2781438</v>
      </c>
      <c r="H15" s="453">
        <f>ROUND((E15*F15),0)</f>
        <v>0</v>
      </c>
      <c r="I15" s="32">
        <f t="shared" ref="I15:I16" si="1">+ROUND(G15*E15,0)</f>
        <v>0</v>
      </c>
      <c r="J15" s="1503"/>
      <c r="K15" s="452">
        <v>0</v>
      </c>
      <c r="L15" s="425">
        <f>ROUND(K15*F15,0)</f>
        <v>0</v>
      </c>
      <c r="M15" s="426">
        <v>0</v>
      </c>
      <c r="N15" s="452">
        <v>0</v>
      </c>
      <c r="O15" s="425">
        <f>ROUND(N15*G15,0)</f>
        <v>0</v>
      </c>
      <c r="P15" s="426">
        <v>0</v>
      </c>
      <c r="Q15" s="450">
        <f t="shared" ref="Q15:R16" si="2">K15</f>
        <v>0</v>
      </c>
      <c r="R15" s="175">
        <f t="shared" si="2"/>
        <v>0</v>
      </c>
      <c r="S15" s="176">
        <v>0</v>
      </c>
    </row>
    <row r="16" spans="1:19" ht="30" customHeight="1" x14ac:dyDescent="0.3">
      <c r="A16" s="1441"/>
      <c r="B16" s="1441"/>
      <c r="C16" s="493" t="s">
        <v>61</v>
      </c>
      <c r="D16" s="493" t="s">
        <v>220</v>
      </c>
      <c r="E16" s="493">
        <v>0</v>
      </c>
      <c r="F16" s="453">
        <v>3203618</v>
      </c>
      <c r="G16" s="32">
        <f t="shared" si="0"/>
        <v>3367003</v>
      </c>
      <c r="H16" s="453">
        <f>ROUND((E16*F16),0)</f>
        <v>0</v>
      </c>
      <c r="I16" s="32">
        <f t="shared" si="1"/>
        <v>0</v>
      </c>
      <c r="J16" s="1503"/>
      <c r="K16" s="452">
        <v>0</v>
      </c>
      <c r="L16" s="425">
        <f>ROUND(K16*F16,0)</f>
        <v>0</v>
      </c>
      <c r="M16" s="426">
        <v>0</v>
      </c>
      <c r="N16" s="452">
        <v>0</v>
      </c>
      <c r="O16" s="425">
        <f>ROUND(N16*G16,0)</f>
        <v>0</v>
      </c>
      <c r="P16" s="426">
        <v>0</v>
      </c>
      <c r="Q16" s="450">
        <f t="shared" si="2"/>
        <v>0</v>
      </c>
      <c r="R16" s="175">
        <f t="shared" si="2"/>
        <v>0</v>
      </c>
      <c r="S16" s="176">
        <v>0</v>
      </c>
    </row>
    <row r="17" spans="1:19" x14ac:dyDescent="0.3">
      <c r="A17" s="1441"/>
      <c r="B17" s="1441"/>
      <c r="C17" s="459"/>
      <c r="D17" s="459" t="s">
        <v>221</v>
      </c>
      <c r="E17" s="458"/>
      <c r="F17" s="458"/>
      <c r="G17" s="458"/>
      <c r="H17" s="457">
        <f>SUM(H14:H16)</f>
        <v>1149124</v>
      </c>
      <c r="I17" s="457">
        <f>SUM(I14:I16)</f>
        <v>1207729</v>
      </c>
      <c r="J17" s="494"/>
      <c r="K17" s="431"/>
      <c r="L17" s="179">
        <f>SUM(L14:L16)</f>
        <v>804387</v>
      </c>
      <c r="M17" s="431">
        <f>L17/H17</f>
        <v>0.70000017404562087</v>
      </c>
      <c r="N17" s="431"/>
      <c r="O17" s="179">
        <f>SUM(O14:O16)</f>
        <v>362319</v>
      </c>
      <c r="P17" s="431">
        <f>O17/L17</f>
        <v>0.45042871155302111</v>
      </c>
      <c r="Q17" s="446"/>
      <c r="R17" s="307">
        <f>L17+O17</f>
        <v>1166706</v>
      </c>
      <c r="S17" s="431">
        <f>R17/H17</f>
        <v>1.0153003505278804</v>
      </c>
    </row>
    <row r="18" spans="1:19" ht="30" customHeight="1" x14ac:dyDescent="0.3">
      <c r="A18" s="1441" t="s">
        <v>109</v>
      </c>
      <c r="B18" s="1441" t="s">
        <v>217</v>
      </c>
      <c r="C18" s="493" t="s">
        <v>81</v>
      </c>
      <c r="D18" s="493" t="s">
        <v>218</v>
      </c>
      <c r="E18" s="493">
        <v>1</v>
      </c>
      <c r="F18" s="453">
        <v>1149124</v>
      </c>
      <c r="G18" s="32">
        <f t="shared" ref="G18:G20" si="3">+ROUND(F18*1.051,0)</f>
        <v>1207729</v>
      </c>
      <c r="H18" s="453">
        <f>ROUND((E18*F18),0)</f>
        <v>1149124</v>
      </c>
      <c r="I18" s="32">
        <f t="shared" ref="I18:I20" si="4">+ROUND(G18*E18,0)</f>
        <v>1207729</v>
      </c>
      <c r="J18" s="1503" t="s">
        <v>1563</v>
      </c>
      <c r="K18" s="474">
        <f>1*70%</f>
        <v>0.7</v>
      </c>
      <c r="L18" s="429">
        <f>ROUND(K18*F18,0)</f>
        <v>804387</v>
      </c>
      <c r="M18" s="430">
        <f>L18/H18</f>
        <v>0.70000017404562087</v>
      </c>
      <c r="N18" s="931">
        <v>0.3</v>
      </c>
      <c r="O18" s="759">
        <f t="shared" ref="O18:O20" si="5">ROUND(N18*G18,0)</f>
        <v>362319</v>
      </c>
      <c r="P18" s="760">
        <f>O18/I18</f>
        <v>0.30000024840009637</v>
      </c>
      <c r="Q18" s="450">
        <f>K18+N18</f>
        <v>1</v>
      </c>
      <c r="R18" s="175">
        <f>L18+O18</f>
        <v>1166706</v>
      </c>
      <c r="S18" s="176">
        <f>R18/H18</f>
        <v>1.0153003505278804</v>
      </c>
    </row>
    <row r="19" spans="1:19" ht="30" customHeight="1" x14ac:dyDescent="0.3">
      <c r="A19" s="1441"/>
      <c r="B19" s="1441"/>
      <c r="C19" s="493" t="s">
        <v>83</v>
      </c>
      <c r="D19" s="493" t="s">
        <v>219</v>
      </c>
      <c r="E19" s="493">
        <v>0</v>
      </c>
      <c r="F19" s="453">
        <v>2646468</v>
      </c>
      <c r="G19" s="32">
        <f t="shared" si="3"/>
        <v>2781438</v>
      </c>
      <c r="H19" s="453">
        <f>ROUND((E19*F19),0)</f>
        <v>0</v>
      </c>
      <c r="I19" s="32">
        <f t="shared" si="4"/>
        <v>0</v>
      </c>
      <c r="J19" s="1503"/>
      <c r="K19" s="452">
        <v>0</v>
      </c>
      <c r="L19" s="425">
        <f>ROUND(K19*F19,0)</f>
        <v>0</v>
      </c>
      <c r="M19" s="426">
        <v>0</v>
      </c>
      <c r="N19" s="452">
        <v>0</v>
      </c>
      <c r="O19" s="425">
        <f t="shared" si="5"/>
        <v>0</v>
      </c>
      <c r="P19" s="426">
        <v>0</v>
      </c>
      <c r="Q19" s="450">
        <f>K19</f>
        <v>0</v>
      </c>
      <c r="R19" s="175">
        <f>L19</f>
        <v>0</v>
      </c>
      <c r="S19" s="176">
        <v>0</v>
      </c>
    </row>
    <row r="20" spans="1:19" ht="30" customHeight="1" x14ac:dyDescent="0.3">
      <c r="A20" s="1441"/>
      <c r="B20" s="1441"/>
      <c r="C20" s="493" t="s">
        <v>61</v>
      </c>
      <c r="D20" s="493" t="s">
        <v>220</v>
      </c>
      <c r="E20" s="493">
        <v>0</v>
      </c>
      <c r="F20" s="453">
        <v>3203618</v>
      </c>
      <c r="G20" s="32">
        <f t="shared" si="3"/>
        <v>3367003</v>
      </c>
      <c r="H20" s="453">
        <f>ROUND((E20*F20),0)</f>
        <v>0</v>
      </c>
      <c r="I20" s="32">
        <f t="shared" si="4"/>
        <v>0</v>
      </c>
      <c r="J20" s="1503"/>
      <c r="K20" s="452">
        <v>0</v>
      </c>
      <c r="L20" s="425">
        <f>ROUND(K20*F20,0)</f>
        <v>0</v>
      </c>
      <c r="M20" s="426">
        <v>0</v>
      </c>
      <c r="N20" s="452">
        <v>0</v>
      </c>
      <c r="O20" s="425">
        <f t="shared" si="5"/>
        <v>0</v>
      </c>
      <c r="P20" s="426">
        <v>0</v>
      </c>
      <c r="Q20" s="450">
        <f>K20</f>
        <v>0</v>
      </c>
      <c r="R20" s="175">
        <f>L20</f>
        <v>0</v>
      </c>
      <c r="S20" s="176">
        <v>0</v>
      </c>
    </row>
    <row r="21" spans="1:19" x14ac:dyDescent="0.3">
      <c r="A21" s="1441"/>
      <c r="B21" s="1441"/>
      <c r="C21" s="459"/>
      <c r="D21" s="459" t="s">
        <v>221</v>
      </c>
      <c r="E21" s="458"/>
      <c r="F21" s="458"/>
      <c r="G21" s="458"/>
      <c r="H21" s="457">
        <f>SUM(H18:H20)</f>
        <v>1149124</v>
      </c>
      <c r="I21" s="457">
        <f>SUM(I18:I20)</f>
        <v>1207729</v>
      </c>
      <c r="J21" s="493"/>
      <c r="K21" s="431"/>
      <c r="L21" s="179">
        <f>SUM(L18:L20)</f>
        <v>804387</v>
      </c>
      <c r="M21" s="431">
        <f>L21/H21</f>
        <v>0.70000017404562087</v>
      </c>
      <c r="N21" s="431"/>
      <c r="O21" s="179">
        <f>SUM(O18:O20)</f>
        <v>362319</v>
      </c>
      <c r="P21" s="431">
        <f>O21/L21</f>
        <v>0.45042871155302111</v>
      </c>
      <c r="Q21" s="446"/>
      <c r="R21" s="307">
        <f>L21+O21</f>
        <v>1166706</v>
      </c>
      <c r="S21" s="431">
        <f>R21/H21</f>
        <v>1.0153003505278804</v>
      </c>
    </row>
    <row r="22" spans="1:19" x14ac:dyDescent="0.3">
      <c r="F22" s="445" t="s">
        <v>64</v>
      </c>
      <c r="G22" s="445"/>
      <c r="H22" s="181">
        <f>SUM(H14:H21)/2</f>
        <v>2298248</v>
      </c>
      <c r="I22" s="181">
        <f>SUM(I14:I21)/2</f>
        <v>2415458</v>
      </c>
      <c r="K22" s="547" t="s">
        <v>64</v>
      </c>
      <c r="L22" s="481">
        <f>SUM(L14:L21)/2</f>
        <v>1608774</v>
      </c>
      <c r="N22" s="547" t="s">
        <v>64</v>
      </c>
      <c r="O22" s="481">
        <f>SUM(O14:O21)/2</f>
        <v>724638</v>
      </c>
      <c r="Q22" s="547" t="s">
        <v>64</v>
      </c>
      <c r="R22" s="481">
        <f>SUM(R14:R21)/2</f>
        <v>2333412</v>
      </c>
    </row>
    <row r="23" spans="1:19" x14ac:dyDescent="0.3">
      <c r="F23" s="444" t="s">
        <v>65</v>
      </c>
      <c r="G23" s="444"/>
      <c r="H23" s="181">
        <v>0</v>
      </c>
      <c r="I23" s="181">
        <v>0</v>
      </c>
      <c r="K23" s="548" t="s">
        <v>65</v>
      </c>
      <c r="L23" s="481">
        <v>0</v>
      </c>
      <c r="N23" s="548" t="s">
        <v>65</v>
      </c>
      <c r="O23" s="481">
        <v>0</v>
      </c>
      <c r="Q23" s="548" t="s">
        <v>65</v>
      </c>
      <c r="R23" s="481">
        <v>0</v>
      </c>
    </row>
    <row r="24" spans="1:19" x14ac:dyDescent="0.3">
      <c r="F24" s="443" t="s">
        <v>64</v>
      </c>
      <c r="G24" s="443"/>
      <c r="H24" s="340">
        <f>SUM(H22:H23)</f>
        <v>2298248</v>
      </c>
      <c r="I24" s="340">
        <f>SUM(I22:I23)</f>
        <v>2415458</v>
      </c>
      <c r="K24" s="549" t="s">
        <v>64</v>
      </c>
      <c r="L24" s="550">
        <f>SUM(L22:L23)</f>
        <v>1608774</v>
      </c>
      <c r="N24" s="549" t="s">
        <v>64</v>
      </c>
      <c r="O24" s="550">
        <f>SUM(O22:O23)</f>
        <v>724638</v>
      </c>
      <c r="Q24" s="549" t="s">
        <v>64</v>
      </c>
      <c r="R24" s="550">
        <f>SUM(R22:R23)</f>
        <v>2333412</v>
      </c>
    </row>
    <row r="25" spans="1:19" ht="26.4" x14ac:dyDescent="0.3">
      <c r="F25" s="443"/>
      <c r="G25" s="443"/>
      <c r="H25" s="340"/>
      <c r="I25" s="340"/>
      <c r="K25" s="501" t="s">
        <v>1439</v>
      </c>
      <c r="L25" s="483">
        <f>ROUND(L24*0.015,0)</f>
        <v>24132</v>
      </c>
      <c r="N25" s="501" t="s">
        <v>1439</v>
      </c>
      <c r="O25" s="483">
        <f>ROUND(O24*0.015,0)</f>
        <v>10870</v>
      </c>
      <c r="Q25" s="501" t="s">
        <v>1439</v>
      </c>
      <c r="R25" s="550">
        <f>L25+O25</f>
        <v>35002</v>
      </c>
    </row>
    <row r="26" spans="1:19" ht="26.4" x14ac:dyDescent="0.3">
      <c r="F26" s="443"/>
      <c r="G26" s="443"/>
      <c r="H26" s="340"/>
      <c r="I26" s="340"/>
      <c r="K26" s="96" t="s">
        <v>1440</v>
      </c>
      <c r="L26" s="182">
        <f>L24+L25</f>
        <v>1632906</v>
      </c>
      <c r="M26" s="463">
        <f>L26/H24</f>
        <v>0.71050034635078552</v>
      </c>
      <c r="N26" s="96" t="s">
        <v>1440</v>
      </c>
      <c r="O26" s="182">
        <f>O24+O25</f>
        <v>735508</v>
      </c>
      <c r="P26" s="463">
        <f>O26/H24</f>
        <v>0.3200298662285358</v>
      </c>
      <c r="Q26" s="96" t="s">
        <v>1440</v>
      </c>
      <c r="R26" s="182">
        <f>R24+R25</f>
        <v>2368414</v>
      </c>
      <c r="S26" s="577">
        <f>R26/H24</f>
        <v>1.0305302125793212</v>
      </c>
    </row>
    <row r="27" spans="1:19" x14ac:dyDescent="0.3">
      <c r="F27" s="442" t="s">
        <v>66</v>
      </c>
      <c r="G27" s="442"/>
      <c r="H27" s="181">
        <f>+H24*19%</f>
        <v>436667.12</v>
      </c>
      <c r="I27" s="181">
        <f>+I24*19%</f>
        <v>458937.02</v>
      </c>
      <c r="K27" s="551" t="s">
        <v>66</v>
      </c>
      <c r="L27" s="483">
        <f>L26*0.19</f>
        <v>310252.14</v>
      </c>
      <c r="N27" s="551" t="s">
        <v>66</v>
      </c>
      <c r="O27" s="483">
        <f>O26*0.19</f>
        <v>139746.51999999999</v>
      </c>
      <c r="Q27" s="551" t="s">
        <v>66</v>
      </c>
      <c r="R27" s="483">
        <f>R26*0.19</f>
        <v>449998.66000000003</v>
      </c>
    </row>
    <row r="28" spans="1:19" x14ac:dyDescent="0.3">
      <c r="F28" s="441" t="s">
        <v>69</v>
      </c>
      <c r="G28" s="441"/>
      <c r="H28" s="181">
        <f>+H24+H27</f>
        <v>2734915.12</v>
      </c>
      <c r="I28" s="181">
        <f>+I24+I27</f>
        <v>2874395.02</v>
      </c>
      <c r="K28" s="552" t="s">
        <v>69</v>
      </c>
      <c r="L28" s="481">
        <f>L26+L27</f>
        <v>1943158.1400000001</v>
      </c>
      <c r="N28" s="552" t="s">
        <v>69</v>
      </c>
      <c r="O28" s="481">
        <f>O26+O27</f>
        <v>875254.52</v>
      </c>
      <c r="Q28" s="552" t="s">
        <v>69</v>
      </c>
      <c r="R28" s="481">
        <f>R26+R27</f>
        <v>2818412.66</v>
      </c>
    </row>
    <row r="29" spans="1:19" x14ac:dyDescent="0.3">
      <c r="F29" s="503"/>
      <c r="G29" s="503"/>
      <c r="H29" s="138"/>
      <c r="I29" s="138"/>
      <c r="K29" s="503"/>
      <c r="L29" s="138"/>
      <c r="N29" s="503"/>
      <c r="O29" s="138"/>
      <c r="Q29" s="503"/>
      <c r="R29" s="138"/>
    </row>
    <row r="30" spans="1:19" x14ac:dyDescent="0.3">
      <c r="F30" s="503"/>
      <c r="G30" s="503"/>
      <c r="H30" s="138"/>
      <c r="I30" s="138"/>
      <c r="K30" s="503"/>
      <c r="L30" s="138"/>
      <c r="N30" s="503"/>
      <c r="O30" s="138"/>
      <c r="Q30" s="503"/>
      <c r="R30" s="138"/>
    </row>
    <row r="32" spans="1:19" s="189" customFormat="1" x14ac:dyDescent="0.3">
      <c r="A32" s="183" t="s">
        <v>67</v>
      </c>
      <c r="B32" s="184"/>
      <c r="C32" s="184"/>
      <c r="D32" s="185" t="s">
        <v>68</v>
      </c>
      <c r="G32" s="852"/>
      <c r="I32" s="852"/>
      <c r="K32" s="186" t="s">
        <v>70</v>
      </c>
      <c r="L32" s="187" t="s">
        <v>71</v>
      </c>
      <c r="M32" s="186" t="s">
        <v>58</v>
      </c>
      <c r="N32" s="186" t="s">
        <v>70</v>
      </c>
      <c r="O32" s="187" t="s">
        <v>71</v>
      </c>
      <c r="P32" s="186" t="s">
        <v>58</v>
      </c>
      <c r="Q32" s="437"/>
      <c r="R32" s="437"/>
      <c r="S32" s="437"/>
    </row>
    <row r="33" spans="1:19" s="189" customFormat="1" x14ac:dyDescent="0.3">
      <c r="A33" s="183"/>
      <c r="B33" s="184"/>
      <c r="C33" s="184"/>
      <c r="D33" s="185"/>
      <c r="G33" s="852"/>
      <c r="I33" s="852"/>
      <c r="K33" s="69" t="s">
        <v>72</v>
      </c>
      <c r="L33" s="70">
        <f>L26</f>
        <v>1632906</v>
      </c>
      <c r="M33" s="71">
        <f>M26</f>
        <v>0.71050034635078552</v>
      </c>
      <c r="N33" s="69" t="s">
        <v>72</v>
      </c>
      <c r="O33" s="748">
        <f>L26</f>
        <v>1632906</v>
      </c>
      <c r="P33" s="360">
        <f>M26</f>
        <v>0.71050034635078552</v>
      </c>
      <c r="Q33" s="1036"/>
      <c r="R33" s="437"/>
      <c r="S33" s="437"/>
    </row>
    <row r="34" spans="1:19" s="189" customFormat="1" x14ac:dyDescent="0.3">
      <c r="A34" s="183"/>
      <c r="B34" s="184"/>
      <c r="C34" s="184"/>
      <c r="D34" s="185"/>
      <c r="G34" s="852"/>
      <c r="I34" s="852"/>
      <c r="K34" s="72" t="s">
        <v>1</v>
      </c>
      <c r="L34" s="105">
        <f>SUM(L33:L33)</f>
        <v>1632906</v>
      </c>
      <c r="M34" s="73">
        <f>SUM(M33:M33)</f>
        <v>0.71050034635078552</v>
      </c>
      <c r="N34" s="69" t="s">
        <v>73</v>
      </c>
      <c r="O34" s="748">
        <f>O26</f>
        <v>735508</v>
      </c>
      <c r="P34" s="360">
        <f>P26</f>
        <v>0.3200298662285358</v>
      </c>
      <c r="Q34" s="437"/>
      <c r="R34" s="437"/>
      <c r="S34" s="437"/>
    </row>
    <row r="35" spans="1:19" s="189" customFormat="1" x14ac:dyDescent="0.3">
      <c r="A35" s="183"/>
      <c r="B35" s="184"/>
      <c r="C35" s="184"/>
      <c r="D35" s="185"/>
      <c r="G35" s="852"/>
      <c r="I35" s="852"/>
      <c r="K35" s="72" t="s">
        <v>9</v>
      </c>
      <c r="L35" s="1423"/>
      <c r="M35" s="1424"/>
      <c r="N35" s="72" t="s">
        <v>1</v>
      </c>
      <c r="O35" s="105">
        <f>SUM(O33:O34)</f>
        <v>2368414</v>
      </c>
      <c r="P35" s="361">
        <f>SUM(P33:P34)</f>
        <v>1.0305302125793214</v>
      </c>
      <c r="Q35" s="437"/>
      <c r="R35" s="437"/>
      <c r="S35" s="437"/>
    </row>
    <row r="36" spans="1:19" s="189" customFormat="1" x14ac:dyDescent="0.3">
      <c r="A36" s="183"/>
      <c r="B36" s="184"/>
      <c r="C36" s="184"/>
      <c r="D36" s="185"/>
      <c r="G36" s="852"/>
      <c r="I36" s="852"/>
      <c r="K36" s="440" t="s">
        <v>78</v>
      </c>
      <c r="L36" s="1423" t="s">
        <v>1078</v>
      </c>
      <c r="M36" s="1424"/>
      <c r="N36" s="72" t="s">
        <v>9</v>
      </c>
      <c r="O36" s="723"/>
      <c r="P36" s="724"/>
      <c r="Q36" s="437"/>
      <c r="R36" s="437"/>
      <c r="S36" s="437"/>
    </row>
    <row r="37" spans="1:19" s="189" customFormat="1" x14ac:dyDescent="0.3">
      <c r="A37" s="183"/>
      <c r="B37" s="184"/>
      <c r="C37" s="184"/>
      <c r="D37" s="185"/>
      <c r="G37" s="852"/>
      <c r="I37" s="852"/>
      <c r="K37" s="439" t="s">
        <v>8</v>
      </c>
      <c r="L37" s="1425" t="s">
        <v>1079</v>
      </c>
      <c r="M37" s="1426"/>
      <c r="N37" s="440" t="s">
        <v>78</v>
      </c>
      <c r="O37" s="1423" t="s">
        <v>2225</v>
      </c>
      <c r="P37" s="1424"/>
      <c r="Q37" s="437"/>
      <c r="R37" s="437"/>
      <c r="S37" s="437"/>
    </row>
    <row r="38" spans="1:19" s="189" customFormat="1" x14ac:dyDescent="0.3">
      <c r="A38" s="183"/>
      <c r="B38" s="184"/>
      <c r="C38" s="184"/>
      <c r="D38" s="185" t="s">
        <v>75</v>
      </c>
      <c r="G38" s="852"/>
      <c r="I38" s="852"/>
      <c r="N38" s="439" t="s">
        <v>8</v>
      </c>
      <c r="O38" s="1423" t="s">
        <v>2226</v>
      </c>
      <c r="P38" s="1424"/>
    </row>
    <row r="39" spans="1:19" s="189" customFormat="1" x14ac:dyDescent="0.3">
      <c r="A39" s="183" t="s">
        <v>76</v>
      </c>
      <c r="B39" s="180"/>
      <c r="C39" s="180"/>
      <c r="D39" s="185" t="s">
        <v>77</v>
      </c>
      <c r="G39" s="852"/>
      <c r="I39" s="852"/>
      <c r="N39" s="727"/>
      <c r="O39" s="727"/>
      <c r="P39" s="727"/>
    </row>
    <row r="40" spans="1:19" s="189" customFormat="1" ht="26.4" x14ac:dyDescent="0.3">
      <c r="A40" s="183" t="s">
        <v>79</v>
      </c>
      <c r="B40" s="180"/>
      <c r="C40" s="180"/>
      <c r="D40" s="185" t="s">
        <v>80</v>
      </c>
      <c r="G40" s="852"/>
      <c r="I40" s="852"/>
      <c r="N40" s="727"/>
      <c r="O40" s="727"/>
      <c r="P40" s="727"/>
    </row>
  </sheetData>
  <sheetProtection formatCells="0" formatColumns="0" formatRows="0" insertColumns="0" insertRows="0" insertHyperlinks="0" deleteColumns="0" deleteRows="0" sort="0" autoFilter="0" pivotTables="0"/>
  <mergeCells count="27">
    <mergeCell ref="B11:J11"/>
    <mergeCell ref="K11:M12"/>
    <mergeCell ref="Q11:S12"/>
    <mergeCell ref="B12:J12"/>
    <mergeCell ref="Q1:S1"/>
    <mergeCell ref="Q2:S2"/>
    <mergeCell ref="A3:S3"/>
    <mergeCell ref="A4:S4"/>
    <mergeCell ref="A5:S5"/>
    <mergeCell ref="C1:M2"/>
    <mergeCell ref="A6:S6"/>
    <mergeCell ref="A7:S7"/>
    <mergeCell ref="A8:S8"/>
    <mergeCell ref="A9:S9"/>
    <mergeCell ref="A10:S10"/>
    <mergeCell ref="N11:P12"/>
    <mergeCell ref="A14:A17"/>
    <mergeCell ref="B14:B17"/>
    <mergeCell ref="A18:A21"/>
    <mergeCell ref="B18:B21"/>
    <mergeCell ref="J18:J20"/>
    <mergeCell ref="J14:J16"/>
    <mergeCell ref="O37:P37"/>
    <mergeCell ref="O38:P38"/>
    <mergeCell ref="L35:M35"/>
    <mergeCell ref="L36:M36"/>
    <mergeCell ref="L37:M37"/>
  </mergeCells>
  <pageMargins left="0.7" right="0.7" top="0.75" bottom="0.75" header="0.3" footer="0.3"/>
  <pageSetup scale="32" orientation="landscape" r:id="rId1"/>
  <drawing r:id="rId2"/>
  <legacyDrawing r:id="rId3"/>
  <legacyDrawingHF r:id="rId4"/>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4">
    <tabColor theme="1"/>
  </sheetPr>
  <dimension ref="A1:G49"/>
  <sheetViews>
    <sheetView zoomScaleNormal="100" workbookViewId="0">
      <selection activeCell="A12" sqref="A12:G1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RESUMEN!G96</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RESUMEN!B96</f>
        <v>D00235026</v>
      </c>
      <c r="C7" s="1265"/>
      <c r="D7" s="1177"/>
      <c r="E7" s="1266" t="s">
        <v>627</v>
      </c>
      <c r="F7" s="1267"/>
      <c r="G7" s="280" t="str">
        <f>RESUMEN!E96</f>
        <v xml:space="preserve">17-377 </v>
      </c>
    </row>
    <row r="8" spans="1:7" x14ac:dyDescent="0.25">
      <c r="A8" s="271" t="s">
        <v>628</v>
      </c>
      <c r="B8" s="1264" t="str">
        <f>RESUMEN!C96</f>
        <v>D00235026000</v>
      </c>
      <c r="C8" s="1265"/>
      <c r="D8" s="1177"/>
      <c r="E8" s="1266" t="s">
        <v>629</v>
      </c>
      <c r="F8" s="1267"/>
      <c r="G8" s="280" t="str">
        <f>RESUMEN!U96</f>
        <v>Acta N° 3: Marzo</v>
      </c>
    </row>
    <row r="9" spans="1:7" x14ac:dyDescent="0.25">
      <c r="A9" s="271" t="s">
        <v>630</v>
      </c>
      <c r="B9" s="1283" t="s">
        <v>631</v>
      </c>
      <c r="C9" s="1265"/>
      <c r="D9" s="1177"/>
      <c r="E9" s="1266" t="s">
        <v>632</v>
      </c>
      <c r="F9" s="1267"/>
      <c r="G9" s="1178">
        <f>RESUMEN!H96</f>
        <v>31583501</v>
      </c>
    </row>
    <row r="10" spans="1:7" x14ac:dyDescent="0.25">
      <c r="A10" s="271" t="s">
        <v>633</v>
      </c>
      <c r="B10" s="1283" t="str">
        <f>RESUMEN!D96</f>
        <v>VIOTA IN-OUT</v>
      </c>
      <c r="C10" s="1265"/>
      <c r="D10" s="1177"/>
      <c r="E10" s="1266" t="s">
        <v>634</v>
      </c>
      <c r="F10" s="1267"/>
      <c r="G10" s="1178">
        <f>RESUMEN!R96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RESUMEN!N96</f>
        <v>0</v>
      </c>
      <c r="F19" s="1248"/>
      <c r="G19" s="1177"/>
    </row>
    <row r="20" spans="1:7" ht="27" customHeight="1" x14ac:dyDescent="0.25">
      <c r="A20" s="1177"/>
      <c r="B20" s="1244" t="s">
        <v>1498</v>
      </c>
      <c r="C20" s="1245"/>
      <c r="D20" s="1246"/>
      <c r="E20" s="1247">
        <f>RESUMEN!P96</f>
        <v>0</v>
      </c>
      <c r="F20" s="1248"/>
      <c r="G20" s="1177"/>
    </row>
    <row r="21" spans="1:7" ht="27" customHeight="1" x14ac:dyDescent="0.25">
      <c r="A21" s="1177"/>
      <c r="B21" s="1244" t="s">
        <v>1499</v>
      </c>
      <c r="C21" s="1245"/>
      <c r="D21" s="1246"/>
      <c r="E21" s="1247">
        <f>RESUMEN!Q96</f>
        <v>0</v>
      </c>
      <c r="F21" s="1248"/>
      <c r="G21" s="1177"/>
    </row>
    <row r="22" spans="1:7" x14ac:dyDescent="0.25">
      <c r="A22" s="1177"/>
      <c r="B22" s="1254" t="s">
        <v>64</v>
      </c>
      <c r="C22" s="1254"/>
      <c r="D22" s="1254"/>
      <c r="E22" s="1255">
        <f>RESUMEN!R96</f>
        <v>0</v>
      </c>
      <c r="F22" s="1255"/>
      <c r="G22" s="1177"/>
    </row>
    <row r="23" spans="1:7" x14ac:dyDescent="0.25">
      <c r="A23" s="1177"/>
      <c r="B23" s="1256" t="s">
        <v>66</v>
      </c>
      <c r="C23" s="1256"/>
      <c r="D23" s="1256"/>
      <c r="E23" s="1257">
        <f>RESUMEN!S96</f>
        <v>0</v>
      </c>
      <c r="F23" s="1257"/>
      <c r="G23" s="1177"/>
    </row>
    <row r="24" spans="1:7" x14ac:dyDescent="0.25">
      <c r="A24" s="1177"/>
      <c r="B24" s="1258" t="s">
        <v>1</v>
      </c>
      <c r="C24" s="1258"/>
      <c r="D24" s="1258"/>
      <c r="E24" s="1259">
        <f>RESUMEN!T96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5">
    <tabColor rgb="FFFF0000"/>
  </sheetPr>
  <dimension ref="A1:N37"/>
  <sheetViews>
    <sheetView topLeftCell="B1" zoomScale="60" zoomScaleNormal="60" workbookViewId="0">
      <selection activeCell="D31" sqref="D31"/>
    </sheetView>
  </sheetViews>
  <sheetFormatPr baseColWidth="10" defaultColWidth="9.109375" defaultRowHeight="14.4" x14ac:dyDescent="0.3"/>
  <cols>
    <col min="1" max="1" width="20.44140625" style="437" customWidth="1"/>
    <col min="2" max="2" width="26.6640625" style="437" customWidth="1"/>
    <col min="3" max="3" width="25.88671875" style="437" customWidth="1"/>
    <col min="4" max="4" width="40.33203125" style="437" customWidth="1"/>
    <col min="5" max="5" width="13" style="437" customWidth="1"/>
    <col min="6" max="6" width="17.88671875" style="437" customWidth="1"/>
    <col min="7" max="7" width="16.33203125" style="437" bestFit="1" customWidth="1"/>
    <col min="8" max="8" width="48.88671875" style="437" customWidth="1"/>
    <col min="9" max="9" width="17.88671875" style="437" bestFit="1" customWidth="1"/>
    <col min="10" max="10" width="18" style="437" bestFit="1" customWidth="1"/>
    <col min="11" max="11" width="9.109375" style="437"/>
    <col min="12" max="12" width="17.88671875" style="437" bestFit="1" customWidth="1"/>
    <col min="13" max="13" width="16.88671875" style="437" bestFit="1" customWidth="1"/>
    <col min="14" max="16384" width="9.109375" style="437"/>
  </cols>
  <sheetData>
    <row r="1" spans="1:14" ht="66" customHeight="1" thickBot="1" x14ac:dyDescent="0.35">
      <c r="A1" s="169"/>
      <c r="B1" s="188"/>
      <c r="C1" s="1307" t="s">
        <v>40</v>
      </c>
      <c r="D1" s="1308"/>
      <c r="E1" s="1308"/>
      <c r="F1" s="1308"/>
      <c r="G1" s="1308"/>
      <c r="H1" s="1308"/>
      <c r="I1" s="1308"/>
      <c r="J1" s="1308"/>
      <c r="K1" s="1308"/>
      <c r="L1" s="1328" t="s">
        <v>1574</v>
      </c>
      <c r="M1" s="1303"/>
      <c r="N1" s="1304"/>
    </row>
    <row r="2" spans="1:14" ht="13.5" customHeight="1" thickBot="1" x14ac:dyDescent="0.35">
      <c r="A2" s="170"/>
      <c r="B2" s="190"/>
      <c r="C2" s="1310"/>
      <c r="D2" s="1311"/>
      <c r="E2" s="1311"/>
      <c r="F2" s="1311"/>
      <c r="G2" s="1311"/>
      <c r="H2" s="1311"/>
      <c r="I2" s="1311"/>
      <c r="J2" s="1311"/>
      <c r="K2" s="1311"/>
      <c r="L2" s="1329" t="s">
        <v>41</v>
      </c>
      <c r="M2" s="1305"/>
      <c r="N2" s="1306"/>
    </row>
    <row r="3" spans="1:14" ht="13.5" customHeight="1" x14ac:dyDescent="0.3">
      <c r="A3" s="1292" t="s">
        <v>42</v>
      </c>
      <c r="B3" s="1292"/>
      <c r="C3" s="1292"/>
      <c r="D3" s="1292"/>
      <c r="E3" s="1292"/>
      <c r="F3" s="1292"/>
      <c r="G3" s="1292"/>
      <c r="H3" s="1292"/>
      <c r="I3" s="1292"/>
      <c r="J3" s="1292"/>
      <c r="K3" s="1292"/>
      <c r="L3" s="1292"/>
      <c r="M3" s="1292"/>
      <c r="N3" s="1292"/>
    </row>
    <row r="4" spans="1:14" ht="13.5" customHeight="1" x14ac:dyDescent="0.3">
      <c r="A4" s="1292" t="s">
        <v>43</v>
      </c>
      <c r="B4" s="1292"/>
      <c r="C4" s="1292"/>
      <c r="D4" s="1292"/>
      <c r="E4" s="1292"/>
      <c r="F4" s="1292"/>
      <c r="G4" s="1292"/>
      <c r="H4" s="1292"/>
      <c r="I4" s="1292"/>
      <c r="J4" s="1292"/>
      <c r="K4" s="1292"/>
      <c r="L4" s="1292"/>
      <c r="M4" s="1292"/>
      <c r="N4" s="1292"/>
    </row>
    <row r="5" spans="1:14" ht="13.5" customHeight="1" x14ac:dyDescent="0.3">
      <c r="A5" s="1292" t="s">
        <v>44</v>
      </c>
      <c r="B5" s="1292"/>
      <c r="C5" s="1292"/>
      <c r="D5" s="1292"/>
      <c r="E5" s="1292"/>
      <c r="F5" s="1292"/>
      <c r="G5" s="1292"/>
      <c r="H5" s="1292"/>
      <c r="I5" s="1292"/>
      <c r="J5" s="1292"/>
      <c r="K5" s="1292"/>
      <c r="L5" s="1292"/>
      <c r="M5" s="1292"/>
      <c r="N5" s="1292"/>
    </row>
    <row r="6" spans="1:14" ht="13.5" customHeight="1" x14ac:dyDescent="0.3">
      <c r="A6" s="1292" t="s">
        <v>45</v>
      </c>
      <c r="B6" s="1292"/>
      <c r="C6" s="1292"/>
      <c r="D6" s="1292"/>
      <c r="E6" s="1292"/>
      <c r="F6" s="1292"/>
      <c r="G6" s="1292"/>
      <c r="H6" s="1292"/>
      <c r="I6" s="1292"/>
      <c r="J6" s="1292"/>
      <c r="K6" s="1292"/>
      <c r="L6" s="1292"/>
      <c r="M6" s="1292"/>
      <c r="N6" s="1292"/>
    </row>
    <row r="7" spans="1:14" x14ac:dyDescent="0.3">
      <c r="A7" s="1291" t="s">
        <v>1573</v>
      </c>
      <c r="B7" s="1292"/>
      <c r="C7" s="1292"/>
      <c r="D7" s="1292"/>
      <c r="E7" s="1292"/>
      <c r="F7" s="1292"/>
      <c r="G7" s="1292"/>
      <c r="H7" s="1292"/>
      <c r="I7" s="1292"/>
      <c r="J7" s="1292"/>
      <c r="K7" s="1292"/>
      <c r="L7" s="1292"/>
      <c r="M7" s="1292"/>
      <c r="N7" s="1292"/>
    </row>
    <row r="8" spans="1:14" ht="13.5" customHeight="1" x14ac:dyDescent="0.3">
      <c r="A8" s="1292" t="s">
        <v>1432</v>
      </c>
      <c r="B8" s="1292"/>
      <c r="C8" s="1292"/>
      <c r="D8" s="1292"/>
      <c r="E8" s="1292"/>
      <c r="F8" s="1292"/>
      <c r="G8" s="1292"/>
      <c r="H8" s="1292"/>
      <c r="I8" s="1292"/>
      <c r="J8" s="1292"/>
      <c r="K8" s="1292"/>
      <c r="L8" s="1292"/>
      <c r="M8" s="1292"/>
      <c r="N8" s="1292"/>
    </row>
    <row r="9" spans="1:14" ht="13.5" customHeight="1" x14ac:dyDescent="0.3">
      <c r="A9" s="1292" t="s">
        <v>1429</v>
      </c>
      <c r="B9" s="1292"/>
      <c r="C9" s="1292"/>
      <c r="D9" s="1292"/>
      <c r="E9" s="1292"/>
      <c r="F9" s="1292"/>
      <c r="G9" s="1292"/>
      <c r="H9" s="1292"/>
      <c r="I9" s="1292"/>
      <c r="J9" s="1292"/>
      <c r="K9" s="1292"/>
      <c r="L9" s="1292"/>
      <c r="M9" s="1292"/>
      <c r="N9" s="1292"/>
    </row>
    <row r="10" spans="1:14" ht="13.5" customHeight="1" x14ac:dyDescent="0.3">
      <c r="A10" s="1292" t="s">
        <v>1572</v>
      </c>
      <c r="B10" s="1292"/>
      <c r="C10" s="1292"/>
      <c r="D10" s="1292"/>
      <c r="E10" s="1292"/>
      <c r="F10" s="1292"/>
      <c r="G10" s="1292"/>
      <c r="H10" s="1292"/>
      <c r="I10" s="1292"/>
      <c r="J10" s="1292"/>
      <c r="K10" s="1292"/>
      <c r="L10" s="1292"/>
      <c r="M10" s="1292"/>
      <c r="N10" s="1292"/>
    </row>
    <row r="11" spans="1:14" ht="13.5" customHeight="1" x14ac:dyDescent="0.3">
      <c r="A11" s="491"/>
      <c r="B11" s="1301"/>
      <c r="C11" s="1313"/>
      <c r="D11" s="1313"/>
      <c r="E11" s="1313"/>
      <c r="F11" s="1313"/>
      <c r="G11" s="1313"/>
      <c r="H11" s="1313"/>
      <c r="I11" s="1293" t="s">
        <v>1529</v>
      </c>
      <c r="J11" s="1294"/>
      <c r="K11" s="1295"/>
      <c r="L11" s="1299" t="s">
        <v>49</v>
      </c>
      <c r="M11" s="1299"/>
      <c r="N11" s="1299"/>
    </row>
    <row r="12" spans="1:14" ht="13.5" customHeight="1" x14ac:dyDescent="0.3">
      <c r="A12" s="171"/>
      <c r="B12" s="1301"/>
      <c r="C12" s="1302"/>
      <c r="D12" s="1302"/>
      <c r="E12" s="1302"/>
      <c r="F12" s="1302"/>
      <c r="G12" s="1302"/>
      <c r="H12" s="1302"/>
      <c r="I12" s="1325"/>
      <c r="J12" s="1326"/>
      <c r="K12" s="1327"/>
      <c r="L12" s="1300"/>
      <c r="M12" s="1300"/>
      <c r="N12" s="1300"/>
    </row>
    <row r="13" spans="1:14" ht="28.8" x14ac:dyDescent="0.3">
      <c r="A13" s="461" t="s">
        <v>50</v>
      </c>
      <c r="B13" s="461" t="s">
        <v>51</v>
      </c>
      <c r="C13" s="461" t="s">
        <v>52</v>
      </c>
      <c r="D13" s="461" t="s">
        <v>164</v>
      </c>
      <c r="E13" s="461" t="s">
        <v>54</v>
      </c>
      <c r="F13" s="462" t="s">
        <v>55</v>
      </c>
      <c r="G13" s="461" t="s">
        <v>56</v>
      </c>
      <c r="H13" s="461" t="s">
        <v>57</v>
      </c>
      <c r="I13" s="502" t="s">
        <v>54</v>
      </c>
      <c r="J13" s="502" t="s">
        <v>56</v>
      </c>
      <c r="K13" s="502" t="s">
        <v>58</v>
      </c>
      <c r="L13" s="174" t="s">
        <v>54</v>
      </c>
      <c r="M13" s="172" t="s">
        <v>56</v>
      </c>
      <c r="N13" s="502" t="s">
        <v>58</v>
      </c>
    </row>
    <row r="14" spans="1:14" ht="30" customHeight="1" x14ac:dyDescent="0.3">
      <c r="A14" s="1441" t="s">
        <v>1568</v>
      </c>
      <c r="B14" s="1441" t="s">
        <v>262</v>
      </c>
      <c r="C14" s="493" t="s">
        <v>263</v>
      </c>
      <c r="D14" s="493" t="s">
        <v>264</v>
      </c>
      <c r="E14" s="493">
        <v>0.6</v>
      </c>
      <c r="F14" s="453">
        <v>1532165</v>
      </c>
      <c r="G14" s="453">
        <f>ROUND((E14*F14),0)</f>
        <v>919299</v>
      </c>
      <c r="H14" s="1441" t="s">
        <v>1571</v>
      </c>
      <c r="I14" s="452">
        <v>0</v>
      </c>
      <c r="J14" s="425">
        <f>ROUND(I14*F14,0)</f>
        <v>0</v>
      </c>
      <c r="K14" s="426">
        <f t="shared" ref="K14:K19" si="0">J14/G14</f>
        <v>0</v>
      </c>
      <c r="L14" s="450">
        <f>I14</f>
        <v>0</v>
      </c>
      <c r="M14" s="175">
        <f>J14</f>
        <v>0</v>
      </c>
      <c r="N14" s="176">
        <f t="shared" ref="N14:N19" si="1">M14/G14</f>
        <v>0</v>
      </c>
    </row>
    <row r="15" spans="1:14" x14ac:dyDescent="0.3">
      <c r="A15" s="1441"/>
      <c r="B15" s="1441"/>
      <c r="C15" s="459"/>
      <c r="D15" s="459" t="s">
        <v>265</v>
      </c>
      <c r="E15" s="458"/>
      <c r="F15" s="458"/>
      <c r="G15" s="457">
        <f>G14</f>
        <v>919299</v>
      </c>
      <c r="H15" s="1441"/>
      <c r="I15" s="431"/>
      <c r="J15" s="179">
        <f>J14</f>
        <v>0</v>
      </c>
      <c r="K15" s="431">
        <f t="shared" si="0"/>
        <v>0</v>
      </c>
      <c r="L15" s="446"/>
      <c r="M15" s="307">
        <f>J15</f>
        <v>0</v>
      </c>
      <c r="N15" s="431">
        <f t="shared" si="1"/>
        <v>0</v>
      </c>
    </row>
    <row r="16" spans="1:14" ht="30" customHeight="1" x14ac:dyDescent="0.3">
      <c r="A16" s="1441" t="s">
        <v>1570</v>
      </c>
      <c r="B16" s="1442" t="s">
        <v>342</v>
      </c>
      <c r="C16" s="493" t="s">
        <v>343</v>
      </c>
      <c r="D16" s="493" t="s">
        <v>344</v>
      </c>
      <c r="E16" s="493">
        <v>0.45</v>
      </c>
      <c r="F16" s="453">
        <v>940192</v>
      </c>
      <c r="G16" s="453">
        <f>ROUND((E16*F16),0)</f>
        <v>423086</v>
      </c>
      <c r="H16" s="1442" t="s">
        <v>1569</v>
      </c>
      <c r="I16" s="474">
        <v>0.45</v>
      </c>
      <c r="J16" s="429">
        <f>ROUND(I16*F16,0)</f>
        <v>423086</v>
      </c>
      <c r="K16" s="430">
        <f t="shared" si="0"/>
        <v>1</v>
      </c>
      <c r="L16" s="450">
        <f>I16</f>
        <v>0.45</v>
      </c>
      <c r="M16" s="175">
        <f>J16</f>
        <v>423086</v>
      </c>
      <c r="N16" s="176">
        <f t="shared" si="1"/>
        <v>1</v>
      </c>
    </row>
    <row r="17" spans="1:14" ht="12.75" customHeight="1" x14ac:dyDescent="0.3">
      <c r="A17" s="1441"/>
      <c r="B17" s="1441"/>
      <c r="C17" s="459"/>
      <c r="D17" s="459" t="s">
        <v>346</v>
      </c>
      <c r="E17" s="458"/>
      <c r="F17" s="458"/>
      <c r="G17" s="457">
        <f>G16</f>
        <v>423086</v>
      </c>
      <c r="H17" s="1441"/>
      <c r="I17" s="431"/>
      <c r="J17" s="179">
        <f>J16</f>
        <v>423086</v>
      </c>
      <c r="K17" s="431">
        <f t="shared" si="0"/>
        <v>1</v>
      </c>
      <c r="L17" s="446"/>
      <c r="M17" s="307">
        <f>J17</f>
        <v>423086</v>
      </c>
      <c r="N17" s="431">
        <f t="shared" si="1"/>
        <v>1</v>
      </c>
    </row>
    <row r="18" spans="1:14" ht="30" customHeight="1" x14ac:dyDescent="0.3">
      <c r="A18" s="1441" t="s">
        <v>1568</v>
      </c>
      <c r="B18" s="1441" t="s">
        <v>269</v>
      </c>
      <c r="C18" s="493" t="s">
        <v>270</v>
      </c>
      <c r="D18" s="493" t="s">
        <v>271</v>
      </c>
      <c r="E18" s="493">
        <v>0.55000000000000004</v>
      </c>
      <c r="F18" s="453">
        <v>5571510</v>
      </c>
      <c r="G18" s="453">
        <f>ROUND((E18*F18),0)</f>
        <v>3064331</v>
      </c>
      <c r="H18" s="1441" t="s">
        <v>1567</v>
      </c>
      <c r="I18" s="474">
        <v>0.55000000000000004</v>
      </c>
      <c r="J18" s="429">
        <f>ROUND(I18*F18,0)</f>
        <v>3064331</v>
      </c>
      <c r="K18" s="430">
        <f t="shared" si="0"/>
        <v>1</v>
      </c>
      <c r="L18" s="450">
        <f>I18</f>
        <v>0.55000000000000004</v>
      </c>
      <c r="M18" s="175">
        <f>J18</f>
        <v>3064331</v>
      </c>
      <c r="N18" s="176">
        <f t="shared" si="1"/>
        <v>1</v>
      </c>
    </row>
    <row r="19" spans="1:14" x14ac:dyDescent="0.3">
      <c r="A19" s="1441"/>
      <c r="B19" s="1441"/>
      <c r="C19" s="459"/>
      <c r="D19" s="459" t="s">
        <v>215</v>
      </c>
      <c r="E19" s="458"/>
      <c r="F19" s="458"/>
      <c r="G19" s="457">
        <f>G18</f>
        <v>3064331</v>
      </c>
      <c r="H19" s="1441"/>
      <c r="I19" s="431"/>
      <c r="J19" s="179">
        <f>J18</f>
        <v>3064331</v>
      </c>
      <c r="K19" s="431">
        <f t="shared" si="0"/>
        <v>1</v>
      </c>
      <c r="L19" s="446"/>
      <c r="M19" s="307">
        <f>J19</f>
        <v>3064331</v>
      </c>
      <c r="N19" s="431">
        <f t="shared" si="1"/>
        <v>1</v>
      </c>
    </row>
    <row r="20" spans="1:14" x14ac:dyDescent="0.3">
      <c r="F20" s="445" t="s">
        <v>64</v>
      </c>
      <c r="G20" s="181">
        <f>SUM(G12:G19)/2</f>
        <v>4406716</v>
      </c>
      <c r="I20" s="547" t="s">
        <v>64</v>
      </c>
      <c r="J20" s="481">
        <f>SUM(J12:J19)/2</f>
        <v>3487417</v>
      </c>
      <c r="L20" s="547" t="s">
        <v>64</v>
      </c>
      <c r="M20" s="481">
        <f>SUM(M12:M19)/2</f>
        <v>3487417</v>
      </c>
    </row>
    <row r="21" spans="1:14" x14ac:dyDescent="0.3">
      <c r="F21" s="444" t="s">
        <v>65</v>
      </c>
      <c r="G21" s="181">
        <v>0</v>
      </c>
      <c r="I21" s="548" t="s">
        <v>65</v>
      </c>
      <c r="J21" s="481">
        <v>0</v>
      </c>
      <c r="L21" s="548" t="s">
        <v>65</v>
      </c>
      <c r="M21" s="481">
        <v>0</v>
      </c>
    </row>
    <row r="22" spans="1:14" x14ac:dyDescent="0.3">
      <c r="F22" s="443" t="s">
        <v>64</v>
      </c>
      <c r="G22" s="340">
        <f>SUM(G20:G21)</f>
        <v>4406716</v>
      </c>
      <c r="I22" s="549" t="s">
        <v>64</v>
      </c>
      <c r="J22" s="550">
        <f>SUM(J20:J21)</f>
        <v>3487417</v>
      </c>
      <c r="L22" s="549" t="s">
        <v>64</v>
      </c>
      <c r="M22" s="550">
        <f>SUM(M20:M21)</f>
        <v>3487417</v>
      </c>
    </row>
    <row r="23" spans="1:14" ht="26.4" x14ac:dyDescent="0.3">
      <c r="F23" s="443"/>
      <c r="G23" s="340"/>
      <c r="I23" s="501" t="s">
        <v>1439</v>
      </c>
      <c r="J23" s="483">
        <f>ROUND(J22*0.015,0)</f>
        <v>52311</v>
      </c>
      <c r="L23" s="501" t="s">
        <v>1439</v>
      </c>
      <c r="M23" s="550">
        <f>J23</f>
        <v>52311</v>
      </c>
    </row>
    <row r="24" spans="1:14" ht="26.4" x14ac:dyDescent="0.3">
      <c r="F24" s="443"/>
      <c r="G24" s="340"/>
      <c r="I24" s="96" t="s">
        <v>1440</v>
      </c>
      <c r="J24" s="182">
        <f>J22+J23</f>
        <v>3539728</v>
      </c>
      <c r="K24" s="564">
        <f>J24/G22</f>
        <v>0.80325757321324998</v>
      </c>
      <c r="L24" s="96" t="s">
        <v>1440</v>
      </c>
      <c r="M24" s="182">
        <f>M22+M23</f>
        <v>3539728</v>
      </c>
      <c r="N24" s="564">
        <f>M24/G22</f>
        <v>0.80325757321324998</v>
      </c>
    </row>
    <row r="25" spans="1:14" x14ac:dyDescent="0.3">
      <c r="F25" s="442" t="s">
        <v>66</v>
      </c>
      <c r="G25" s="181">
        <f>+G22*19%</f>
        <v>837276.04</v>
      </c>
      <c r="I25" s="551" t="s">
        <v>66</v>
      </c>
      <c r="J25" s="483">
        <f>J24*0.19</f>
        <v>672548.32000000007</v>
      </c>
      <c r="L25" s="551" t="s">
        <v>66</v>
      </c>
      <c r="M25" s="483">
        <f>M24*0.19</f>
        <v>672548.32000000007</v>
      </c>
    </row>
    <row r="26" spans="1:14" x14ac:dyDescent="0.3">
      <c r="F26" s="441" t="s">
        <v>69</v>
      </c>
      <c r="G26" s="181">
        <f>+G22+G25</f>
        <v>5243992.04</v>
      </c>
      <c r="I26" s="552" t="s">
        <v>69</v>
      </c>
      <c r="J26" s="481">
        <f>J24+J25</f>
        <v>4212276.32</v>
      </c>
      <c r="L26" s="552" t="s">
        <v>69</v>
      </c>
      <c r="M26" s="481">
        <f>M24+M25</f>
        <v>4212276.32</v>
      </c>
    </row>
    <row r="29" spans="1:14" s="189" customFormat="1" x14ac:dyDescent="0.3">
      <c r="A29" s="183" t="s">
        <v>67</v>
      </c>
      <c r="B29" s="184"/>
      <c r="C29" s="184"/>
      <c r="D29" s="185" t="s">
        <v>68</v>
      </c>
      <c r="I29" s="186" t="s">
        <v>70</v>
      </c>
      <c r="J29" s="187" t="s">
        <v>71</v>
      </c>
      <c r="K29" s="186" t="s">
        <v>58</v>
      </c>
      <c r="L29" s="437"/>
      <c r="M29" s="437"/>
      <c r="N29" s="437"/>
    </row>
    <row r="30" spans="1:14" s="189" customFormat="1" x14ac:dyDescent="0.3">
      <c r="A30" s="183"/>
      <c r="B30" s="184"/>
      <c r="C30" s="184"/>
      <c r="D30" s="185"/>
      <c r="I30" s="69" t="s">
        <v>72</v>
      </c>
      <c r="J30" s="70">
        <f>J24</f>
        <v>3539728</v>
      </c>
      <c r="K30" s="71">
        <f>K24</f>
        <v>0.80325757321324998</v>
      </c>
      <c r="L30" s="437"/>
      <c r="M30" s="437"/>
      <c r="N30" s="437"/>
    </row>
    <row r="31" spans="1:14" s="189" customFormat="1" x14ac:dyDescent="0.3">
      <c r="A31" s="183"/>
      <c r="B31" s="184"/>
      <c r="C31" s="184"/>
      <c r="D31" s="185"/>
      <c r="I31" s="72" t="s">
        <v>1</v>
      </c>
      <c r="J31" s="105">
        <f>SUM(J30:J30)</f>
        <v>3539728</v>
      </c>
      <c r="K31" s="73">
        <f>SUM(K30:K30)</f>
        <v>0.80325757321324998</v>
      </c>
      <c r="L31" s="437"/>
      <c r="M31" s="437"/>
      <c r="N31" s="437"/>
    </row>
    <row r="32" spans="1:14" s="189" customFormat="1" x14ac:dyDescent="0.3">
      <c r="A32" s="183"/>
      <c r="B32" s="184"/>
      <c r="C32" s="184"/>
      <c r="D32" s="185"/>
      <c r="I32" s="72" t="s">
        <v>9</v>
      </c>
      <c r="J32" s="1423"/>
      <c r="K32" s="1424"/>
      <c r="L32" s="437"/>
      <c r="M32" s="437"/>
      <c r="N32" s="437"/>
    </row>
    <row r="33" spans="1:14" s="189" customFormat="1" x14ac:dyDescent="0.3">
      <c r="A33" s="183"/>
      <c r="B33" s="184"/>
      <c r="C33" s="184"/>
      <c r="D33" s="185"/>
      <c r="I33" s="440" t="s">
        <v>78</v>
      </c>
      <c r="J33" s="1423" t="s">
        <v>1566</v>
      </c>
      <c r="K33" s="1424"/>
      <c r="L33" s="437"/>
      <c r="M33" s="437"/>
      <c r="N33" s="437"/>
    </row>
    <row r="34" spans="1:14" s="189" customFormat="1" x14ac:dyDescent="0.3">
      <c r="A34" s="183"/>
      <c r="B34" s="184"/>
      <c r="C34" s="184"/>
      <c r="D34" s="185"/>
      <c r="I34" s="439" t="s">
        <v>8</v>
      </c>
      <c r="J34" s="1425" t="s">
        <v>1565</v>
      </c>
      <c r="K34" s="1426"/>
      <c r="L34" s="437"/>
      <c r="M34" s="437"/>
      <c r="N34" s="437"/>
    </row>
    <row r="35" spans="1:14" s="189" customFormat="1" x14ac:dyDescent="0.3">
      <c r="A35" s="183"/>
      <c r="B35" s="184"/>
      <c r="C35" s="184"/>
      <c r="D35" s="185" t="s">
        <v>75</v>
      </c>
    </row>
    <row r="36" spans="1:14" s="189" customFormat="1" x14ac:dyDescent="0.3">
      <c r="A36" s="183" t="s">
        <v>76</v>
      </c>
      <c r="B36" s="180"/>
      <c r="C36" s="180"/>
      <c r="D36" s="185" t="s">
        <v>77</v>
      </c>
    </row>
    <row r="37" spans="1:14" s="189" customFormat="1" x14ac:dyDescent="0.3">
      <c r="A37" s="183" t="s">
        <v>79</v>
      </c>
      <c r="B37" s="180"/>
      <c r="C37" s="180"/>
      <c r="D37" s="185" t="s">
        <v>80</v>
      </c>
    </row>
  </sheetData>
  <sheetProtection formatCells="0" formatColumns="0" formatRows="0" insertColumns="0" insertRows="0" insertHyperlinks="0" deleteColumns="0" deleteRows="0" sort="0" autoFilter="0" pivotTables="0"/>
  <mergeCells count="27">
    <mergeCell ref="B11:H11"/>
    <mergeCell ref="I11:K12"/>
    <mergeCell ref="L11:N12"/>
    <mergeCell ref="B12:H12"/>
    <mergeCell ref="A6:N6"/>
    <mergeCell ref="A7:N7"/>
    <mergeCell ref="A8:N8"/>
    <mergeCell ref="A9:N9"/>
    <mergeCell ref="A10:N10"/>
    <mergeCell ref="L1:N1"/>
    <mergeCell ref="L2:N2"/>
    <mergeCell ref="A3:N3"/>
    <mergeCell ref="A4:N4"/>
    <mergeCell ref="A5:N5"/>
    <mergeCell ref="C1:K2"/>
    <mergeCell ref="A14:A15"/>
    <mergeCell ref="B14:B15"/>
    <mergeCell ref="H14:H15"/>
    <mergeCell ref="A16:A17"/>
    <mergeCell ref="B16:B17"/>
    <mergeCell ref="H16:H17"/>
    <mergeCell ref="J34:K34"/>
    <mergeCell ref="A18:A19"/>
    <mergeCell ref="B18:B19"/>
    <mergeCell ref="H18:H19"/>
    <mergeCell ref="J32:K32"/>
    <mergeCell ref="J33:K33"/>
  </mergeCells>
  <pageMargins left="0.7" right="0.7" top="0.75" bottom="0.75" header="0.3" footer="0.3"/>
  <pageSetup scale="60" orientation="landscape" r:id="rId1"/>
  <drawing r:id="rId2"/>
  <legacyDrawing r:id="rId3"/>
  <legacyDrawingHF r:id="rId4"/>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6">
    <tabColor theme="1"/>
  </sheetPr>
  <dimension ref="A1:G49"/>
  <sheetViews>
    <sheetView topLeftCell="A13" zoomScaleNormal="100" zoomScaleSheetLayoutView="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RESUMEN!G96</f>
        <v>Proyecto: CDIE_CBCCSM_R0158,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RESUMEN!B96</f>
        <v>D00235026</v>
      </c>
      <c r="C7" s="1265"/>
      <c r="D7" s="1177"/>
      <c r="E7" s="1266" t="s">
        <v>627</v>
      </c>
      <c r="F7" s="1267"/>
      <c r="G7" s="280" t="str">
        <f>RESUMEN!E96</f>
        <v xml:space="preserve">17-377 </v>
      </c>
    </row>
    <row r="8" spans="1:7" x14ac:dyDescent="0.25">
      <c r="A8" s="271" t="s">
        <v>628</v>
      </c>
      <c r="B8" s="1264" t="str">
        <f>RESUMEN!C96</f>
        <v>D00235026000</v>
      </c>
      <c r="C8" s="1265"/>
      <c r="D8" s="1177"/>
      <c r="E8" s="1266" t="s">
        <v>629</v>
      </c>
      <c r="F8" s="1267"/>
      <c r="G8" s="280" t="str">
        <f>RESUMEN!U96</f>
        <v>Acta N° 3: Marzo</v>
      </c>
    </row>
    <row r="9" spans="1:7" x14ac:dyDescent="0.25">
      <c r="A9" s="271" t="s">
        <v>630</v>
      </c>
      <c r="B9" s="1283" t="s">
        <v>631</v>
      </c>
      <c r="C9" s="1265"/>
      <c r="D9" s="1177"/>
      <c r="E9" s="1266" t="s">
        <v>632</v>
      </c>
      <c r="F9" s="1267"/>
      <c r="G9" s="1178">
        <f>RESUMEN!H96</f>
        <v>31583501</v>
      </c>
    </row>
    <row r="10" spans="1:7" x14ac:dyDescent="0.25">
      <c r="A10" s="271" t="s">
        <v>633</v>
      </c>
      <c r="B10" s="1283" t="str">
        <f>RESUMEN!D96</f>
        <v>VIOTA IN-OUT</v>
      </c>
      <c r="C10" s="1265"/>
      <c r="D10" s="1177"/>
      <c r="E10" s="1266" t="s">
        <v>634</v>
      </c>
      <c r="F10" s="1267"/>
      <c r="G10" s="1178">
        <f>RESUMEN!R96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CDIE_CBCCSM_R0158,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RESUMEN!N96</f>
        <v>0</v>
      </c>
      <c r="F19" s="1248"/>
      <c r="G19" s="1177"/>
    </row>
    <row r="20" spans="1:7" ht="27" customHeight="1" x14ac:dyDescent="0.25">
      <c r="A20" s="1177"/>
      <c r="B20" s="1244" t="s">
        <v>1498</v>
      </c>
      <c r="C20" s="1245"/>
      <c r="D20" s="1246"/>
      <c r="E20" s="1247">
        <f>RESUMEN!P96</f>
        <v>0</v>
      </c>
      <c r="F20" s="1248"/>
      <c r="G20" s="1177"/>
    </row>
    <row r="21" spans="1:7" ht="27" customHeight="1" x14ac:dyDescent="0.25">
      <c r="A21" s="1177"/>
      <c r="B21" s="1244" t="s">
        <v>1499</v>
      </c>
      <c r="C21" s="1245"/>
      <c r="D21" s="1246"/>
      <c r="E21" s="1247">
        <f>RESUMEN!Q96</f>
        <v>0</v>
      </c>
      <c r="F21" s="1248"/>
      <c r="G21" s="1177"/>
    </row>
    <row r="22" spans="1:7" x14ac:dyDescent="0.25">
      <c r="A22" s="1177"/>
      <c r="B22" s="1254" t="s">
        <v>64</v>
      </c>
      <c r="C22" s="1254"/>
      <c r="D22" s="1254"/>
      <c r="E22" s="1255">
        <f>RESUMEN!R96</f>
        <v>0</v>
      </c>
      <c r="F22" s="1255"/>
      <c r="G22" s="1177"/>
    </row>
    <row r="23" spans="1:7" x14ac:dyDescent="0.25">
      <c r="A23" s="1177"/>
      <c r="B23" s="1256" t="s">
        <v>66</v>
      </c>
      <c r="C23" s="1256"/>
      <c r="D23" s="1256"/>
      <c r="E23" s="1257">
        <f>RESUMEN!S96</f>
        <v>0</v>
      </c>
      <c r="F23" s="1257"/>
      <c r="G23" s="1177"/>
    </row>
    <row r="24" spans="1:7" x14ac:dyDescent="0.25">
      <c r="A24" s="1177"/>
      <c r="B24" s="1258" t="s">
        <v>1</v>
      </c>
      <c r="C24" s="1258"/>
      <c r="D24" s="1258"/>
      <c r="E24" s="1259">
        <f>RESUMEN!T96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+'OT17-377 VIOTA IN-OUT'!Q32</f>
        <v>ACTA 1</v>
      </c>
      <c r="C28" s="1253">
        <f>+'OT17-377 VIOTA IN-OUT'!R32</f>
        <v>4171966.82</v>
      </c>
      <c r="D28" s="1253"/>
      <c r="E28" s="267">
        <f>+'OT17-377 VIOTA IN-OUT'!S32</f>
        <v>0.13037947094056015</v>
      </c>
      <c r="F28" s="1177"/>
      <c r="G28" s="1177"/>
    </row>
    <row r="29" spans="1:7" x14ac:dyDescent="0.25">
      <c r="A29" s="1177"/>
      <c r="B29" s="280" t="str">
        <f>+'OT17-377 VIOTA IN-OUT'!Q33</f>
        <v>ACTA 2</v>
      </c>
      <c r="C29" s="1253">
        <f>+'OT17-377 VIOTA IN-OUT'!R33</f>
        <v>19746279.355999999</v>
      </c>
      <c r="D29" s="1253"/>
      <c r="E29" s="267">
        <f>+'OT17-377 VIOTA IN-OUT'!S33</f>
        <v>0.61709729884184095</v>
      </c>
      <c r="F29" s="1177"/>
      <c r="G29" s="1177"/>
    </row>
    <row r="30" spans="1:7" x14ac:dyDescent="0.25">
      <c r="A30" s="1177"/>
      <c r="B30" s="280" t="str">
        <f>+'OT17-377 VIOTA IN-OUT'!Q34</f>
        <v>ACTA 3</v>
      </c>
      <c r="C30" s="1253">
        <f>+'OT17-377 VIOTA IN-OUT'!R34</f>
        <v>0</v>
      </c>
      <c r="D30" s="1253"/>
      <c r="E30" s="267">
        <f>+'OT17-377 VIOTA IN-OUT'!S34</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23918246.175999999</v>
      </c>
      <c r="D34" s="1251"/>
      <c r="E34" s="264">
        <f>SUM(E28:E33)</f>
        <v>0.74747676978240107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7">
    <tabColor rgb="FF7B2307"/>
  </sheetPr>
  <dimension ref="A1:V40"/>
  <sheetViews>
    <sheetView zoomScale="55" zoomScaleNormal="55" workbookViewId="0">
      <selection activeCell="H40" sqref="H40"/>
    </sheetView>
  </sheetViews>
  <sheetFormatPr baseColWidth="10" defaultColWidth="11.44140625" defaultRowHeight="14.4" x14ac:dyDescent="0.3"/>
  <cols>
    <col min="1" max="1" width="18.6640625" style="437" customWidth="1"/>
    <col min="2" max="2" width="23" style="437" customWidth="1"/>
    <col min="3" max="3" width="32.5546875" style="437" customWidth="1"/>
    <col min="4" max="4" width="22.44140625" style="437" customWidth="1"/>
    <col min="5" max="5" width="11.5546875" style="464" bestFit="1" customWidth="1"/>
    <col min="6" max="7" width="19.33203125" style="437" customWidth="1"/>
    <col min="8" max="9" width="20.88671875" style="437" customWidth="1"/>
    <col min="10" max="10" width="42" style="437" customWidth="1"/>
    <col min="11" max="11" width="17.88671875" style="437" hidden="1" customWidth="1"/>
    <col min="12" max="12" width="18" style="437" hidden="1" customWidth="1"/>
    <col min="13" max="13" width="11.44140625" style="437" hidden="1" customWidth="1"/>
    <col min="14" max="14" width="17.88671875" style="437" customWidth="1"/>
    <col min="15" max="15" width="18" style="437" bestFit="1" customWidth="1"/>
    <col min="16" max="16" width="11.44140625" style="437"/>
    <col min="17" max="17" width="17.88671875" style="437" customWidth="1"/>
    <col min="18" max="18" width="18" style="437" bestFit="1" customWidth="1"/>
    <col min="19" max="19" width="11.44140625" style="437"/>
    <col min="20" max="20" width="17.88671875" style="437" bestFit="1" customWidth="1"/>
    <col min="21" max="21" width="17.109375" style="437" bestFit="1" customWidth="1"/>
    <col min="22" max="16384" width="11.44140625" style="437"/>
  </cols>
  <sheetData>
    <row r="1" spans="1:22" ht="22.5" customHeight="1" thickBot="1" x14ac:dyDescent="0.35">
      <c r="A1" s="169"/>
      <c r="B1" s="188"/>
      <c r="C1" s="1307" t="s">
        <v>40</v>
      </c>
      <c r="D1" s="1308"/>
      <c r="E1" s="1308"/>
      <c r="F1" s="1308"/>
      <c r="G1" s="1308"/>
      <c r="H1" s="1308"/>
      <c r="I1" s="1308"/>
      <c r="J1" s="1308"/>
      <c r="K1" s="1308"/>
      <c r="L1" s="1308"/>
      <c r="M1" s="1308"/>
      <c r="N1" s="1308"/>
      <c r="O1" s="1308"/>
      <c r="P1" s="1309"/>
      <c r="Q1" s="721"/>
      <c r="R1" s="721"/>
      <c r="S1" s="721"/>
      <c r="T1" s="1328" t="s">
        <v>1117</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2"/>
      <c r="Q2" s="722"/>
      <c r="R2" s="722"/>
      <c r="S2" s="722"/>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1140</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1590</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91"/>
      <c r="B11" s="1301"/>
      <c r="C11" s="1313"/>
      <c r="D11" s="1313"/>
      <c r="E11" s="1313"/>
      <c r="F11" s="1313"/>
      <c r="G11" s="1313"/>
      <c r="H11" s="1313"/>
      <c r="I11" s="1313"/>
      <c r="J11" s="1313"/>
      <c r="K11" s="1293" t="s">
        <v>1529</v>
      </c>
      <c r="L11" s="1294"/>
      <c r="M11" s="1295"/>
      <c r="N11" s="1293" t="s">
        <v>1724</v>
      </c>
      <c r="O11" s="1294"/>
      <c r="P11" s="1295"/>
      <c r="Q11" s="1293" t="s">
        <v>2318</v>
      </c>
      <c r="R11" s="1294"/>
      <c r="S11" s="1295"/>
      <c r="T11" s="1344" t="s">
        <v>49</v>
      </c>
      <c r="U11" s="1345"/>
      <c r="V11" s="1346"/>
    </row>
    <row r="12" spans="1:22"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47"/>
      <c r="U12" s="1348"/>
      <c r="V12" s="1349"/>
    </row>
    <row r="13" spans="1:22"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502" t="s">
        <v>54</v>
      </c>
      <c r="R13" s="502" t="s">
        <v>56</v>
      </c>
      <c r="S13" s="502" t="s">
        <v>58</v>
      </c>
      <c r="T13" s="174" t="s">
        <v>54</v>
      </c>
      <c r="U13" s="172" t="s">
        <v>56</v>
      </c>
      <c r="V13" s="502" t="s">
        <v>58</v>
      </c>
    </row>
    <row r="14" spans="1:22" ht="30" customHeight="1" x14ac:dyDescent="0.3">
      <c r="A14" s="1441" t="s">
        <v>1589</v>
      </c>
      <c r="B14" s="1441" t="s">
        <v>320</v>
      </c>
      <c r="C14" s="493" t="s">
        <v>59</v>
      </c>
      <c r="D14" s="493" t="s">
        <v>321</v>
      </c>
      <c r="E14" s="467">
        <v>1</v>
      </c>
      <c r="F14" s="453">
        <v>6024196</v>
      </c>
      <c r="G14" s="32">
        <f>+ROUND(F14*1.051,0)</f>
        <v>6331430</v>
      </c>
      <c r="H14" s="453">
        <f>ROUND((E14*F14),0)</f>
        <v>6024196</v>
      </c>
      <c r="I14" s="32">
        <f>+ROUND(G14*E14,0)</f>
        <v>6331430</v>
      </c>
      <c r="J14" s="1441" t="s">
        <v>1588</v>
      </c>
      <c r="K14" s="452">
        <v>0</v>
      </c>
      <c r="L14" s="425">
        <f>ROUND(K14*F14,0)</f>
        <v>0</v>
      </c>
      <c r="M14" s="426">
        <f t="shared" ref="M14:M21" si="0">L14/H14</f>
        <v>0</v>
      </c>
      <c r="N14" s="474">
        <v>0.3</v>
      </c>
      <c r="O14" s="429">
        <f>ROUND(N14*H14,0)</f>
        <v>1807259</v>
      </c>
      <c r="P14" s="430">
        <f>O14/H14</f>
        <v>0.30000003319945101</v>
      </c>
      <c r="Q14" s="772">
        <v>0</v>
      </c>
      <c r="R14" s="425">
        <f>ROUND(Q14*G14,0)</f>
        <v>0</v>
      </c>
      <c r="S14" s="426">
        <f>R14/I14</f>
        <v>0</v>
      </c>
      <c r="T14" s="450">
        <f>K14+N14+Q14</f>
        <v>0.3</v>
      </c>
      <c r="U14" s="175">
        <f>L14+O14+R14</f>
        <v>1807259</v>
      </c>
      <c r="V14" s="176">
        <f t="shared" ref="V14:V20" si="1">U14/H14</f>
        <v>0.30000003319945101</v>
      </c>
    </row>
    <row r="15" spans="1:22" ht="30" customHeight="1" x14ac:dyDescent="0.3">
      <c r="A15" s="1441"/>
      <c r="B15" s="1441"/>
      <c r="C15" s="493" t="s">
        <v>61</v>
      </c>
      <c r="D15" s="493" t="s">
        <v>322</v>
      </c>
      <c r="E15" s="467">
        <v>1</v>
      </c>
      <c r="F15" s="453">
        <v>6650991</v>
      </c>
      <c r="G15" s="32">
        <f>+ROUND(F15*1.051,0)</f>
        <v>6990192</v>
      </c>
      <c r="H15" s="453">
        <f>ROUND((E15*F15),0)</f>
        <v>6650991</v>
      </c>
      <c r="I15" s="32">
        <f>+ROUND(G15*E15,0)</f>
        <v>6990192</v>
      </c>
      <c r="J15" s="1441"/>
      <c r="K15" s="474">
        <v>0.3</v>
      </c>
      <c r="L15" s="429">
        <f>ROUND(K15*F15,0)</f>
        <v>1995297</v>
      </c>
      <c r="M15" s="430">
        <f t="shared" si="0"/>
        <v>0.29999995489393988</v>
      </c>
      <c r="N15" s="474">
        <v>0.7</v>
      </c>
      <c r="O15" s="429">
        <f>ROUND(N15*H15,0)</f>
        <v>4655694</v>
      </c>
      <c r="P15" s="430">
        <f>O15/H15</f>
        <v>0.70000004510606018</v>
      </c>
      <c r="Q15" s="772">
        <v>0</v>
      </c>
      <c r="R15" s="425">
        <f>ROUND(Q15*G15,0)</f>
        <v>0</v>
      </c>
      <c r="S15" s="426">
        <f>R15/I15</f>
        <v>0</v>
      </c>
      <c r="T15" s="450">
        <f>K15+N15+Q15</f>
        <v>1</v>
      </c>
      <c r="U15" s="175">
        <f>L15+O15+R15</f>
        <v>6650991</v>
      </c>
      <c r="V15" s="176">
        <f t="shared" si="1"/>
        <v>1</v>
      </c>
    </row>
    <row r="16" spans="1:22" x14ac:dyDescent="0.3">
      <c r="A16" s="1441"/>
      <c r="B16" s="1441"/>
      <c r="C16" s="459"/>
      <c r="D16" s="459" t="s">
        <v>143</v>
      </c>
      <c r="E16" s="465"/>
      <c r="F16" s="458"/>
      <c r="G16" s="458"/>
      <c r="H16" s="457">
        <f>SUM(H14:H15)</f>
        <v>12675187</v>
      </c>
      <c r="I16" s="457">
        <f>SUM(I14:I15)</f>
        <v>13321622</v>
      </c>
      <c r="J16" s="1441"/>
      <c r="K16" s="431"/>
      <c r="L16" s="179">
        <f>SUM(L14:L15)</f>
        <v>1995297</v>
      </c>
      <c r="M16" s="431">
        <f t="shared" si="0"/>
        <v>0.15741755920445197</v>
      </c>
      <c r="N16" s="431"/>
      <c r="O16" s="179">
        <f>SUM(O14:O15)</f>
        <v>6462953</v>
      </c>
      <c r="P16" s="431">
        <f>O16/H16</f>
        <v>0.50989014994413884</v>
      </c>
      <c r="Q16" s="431"/>
      <c r="R16" s="179">
        <f>SUM(R14:R15)</f>
        <v>0</v>
      </c>
      <c r="S16" s="431">
        <f>R16/H16</f>
        <v>0</v>
      </c>
      <c r="T16" s="446"/>
      <c r="U16" s="307">
        <f>SUM(U14:U15)</f>
        <v>8458250</v>
      </c>
      <c r="V16" s="431">
        <f>U16/H16</f>
        <v>0.66730770914859083</v>
      </c>
    </row>
    <row r="17" spans="1:22" ht="30" customHeight="1" x14ac:dyDescent="0.3">
      <c r="A17" s="1441" t="s">
        <v>1587</v>
      </c>
      <c r="B17" s="1441" t="s">
        <v>320</v>
      </c>
      <c r="C17" s="493" t="s">
        <v>59</v>
      </c>
      <c r="D17" s="493" t="s">
        <v>321</v>
      </c>
      <c r="E17" s="467">
        <v>1</v>
      </c>
      <c r="F17" s="453">
        <v>6024196</v>
      </c>
      <c r="G17" s="32">
        <f t="shared" ref="G17:G18" si="2">+ROUND(F17*1.051,0)</f>
        <v>6331430</v>
      </c>
      <c r="H17" s="453">
        <f>ROUND((E17*F17),0)</f>
        <v>6024196</v>
      </c>
      <c r="I17" s="32">
        <f t="shared" ref="I17:I18" si="3">+ROUND(G17*E17,0)</f>
        <v>6331430</v>
      </c>
      <c r="J17" s="1441" t="s">
        <v>1586</v>
      </c>
      <c r="K17" s="452">
        <v>0</v>
      </c>
      <c r="L17" s="425">
        <f>ROUND(K17*F17,0)</f>
        <v>0</v>
      </c>
      <c r="M17" s="426">
        <f t="shared" si="0"/>
        <v>0</v>
      </c>
      <c r="N17" s="474">
        <v>0.3</v>
      </c>
      <c r="O17" s="429">
        <f t="shared" ref="O17:O18" si="4">ROUND(N17*H17,0)</f>
        <v>1807259</v>
      </c>
      <c r="P17" s="430">
        <f t="shared" ref="P17:P18" si="5">O17/H17</f>
        <v>0.30000003319945101</v>
      </c>
      <c r="Q17" s="772">
        <v>0</v>
      </c>
      <c r="R17" s="425">
        <f t="shared" ref="R17:R18" si="6">ROUND(Q17*G17,0)</f>
        <v>0</v>
      </c>
      <c r="S17" s="426">
        <f t="shared" ref="S17:S18" si="7">R17/I17</f>
        <v>0</v>
      </c>
      <c r="T17" s="450">
        <f>K17+N17+Q17</f>
        <v>0.3</v>
      </c>
      <c r="U17" s="175">
        <f>L17+O17+R17</f>
        <v>1807259</v>
      </c>
      <c r="V17" s="176">
        <f t="shared" si="1"/>
        <v>0.30000003319945101</v>
      </c>
    </row>
    <row r="18" spans="1:22" ht="30" customHeight="1" x14ac:dyDescent="0.3">
      <c r="A18" s="1441"/>
      <c r="B18" s="1441"/>
      <c r="C18" s="493" t="s">
        <v>61</v>
      </c>
      <c r="D18" s="493" t="s">
        <v>322</v>
      </c>
      <c r="E18" s="467">
        <v>1</v>
      </c>
      <c r="F18" s="453">
        <v>6650991</v>
      </c>
      <c r="G18" s="32">
        <f t="shared" si="2"/>
        <v>6990192</v>
      </c>
      <c r="H18" s="453">
        <f>ROUND((E18*F18),0)</f>
        <v>6650991</v>
      </c>
      <c r="I18" s="32">
        <f t="shared" si="3"/>
        <v>6990192</v>
      </c>
      <c r="J18" s="1441"/>
      <c r="K18" s="474">
        <v>0.3</v>
      </c>
      <c r="L18" s="429">
        <f>ROUND(K18*F18,0)</f>
        <v>1995297</v>
      </c>
      <c r="M18" s="430">
        <f t="shared" si="0"/>
        <v>0.29999995489393988</v>
      </c>
      <c r="N18" s="474">
        <v>0.7</v>
      </c>
      <c r="O18" s="429">
        <f t="shared" si="4"/>
        <v>4655694</v>
      </c>
      <c r="P18" s="430">
        <f t="shared" si="5"/>
        <v>0.70000004510606018</v>
      </c>
      <c r="Q18" s="772">
        <v>0</v>
      </c>
      <c r="R18" s="425">
        <f t="shared" si="6"/>
        <v>0</v>
      </c>
      <c r="S18" s="426">
        <f t="shared" si="7"/>
        <v>0</v>
      </c>
      <c r="T18" s="450">
        <f>K18+N18+Q18</f>
        <v>1</v>
      </c>
      <c r="U18" s="175">
        <f>L18+O18+R18</f>
        <v>6650991</v>
      </c>
      <c r="V18" s="176">
        <f t="shared" si="1"/>
        <v>1</v>
      </c>
    </row>
    <row r="19" spans="1:22" x14ac:dyDescent="0.3">
      <c r="A19" s="1441"/>
      <c r="B19" s="1441"/>
      <c r="C19" s="459"/>
      <c r="D19" s="459" t="s">
        <v>143</v>
      </c>
      <c r="E19" s="465"/>
      <c r="F19" s="458"/>
      <c r="G19" s="458"/>
      <c r="H19" s="457">
        <f>SUM(H17:H18)</f>
        <v>12675187</v>
      </c>
      <c r="I19" s="457">
        <f>SUM(I17:I18)</f>
        <v>13321622</v>
      </c>
      <c r="J19" s="1441"/>
      <c r="K19" s="431"/>
      <c r="L19" s="179">
        <f>SUM(L17:L18)</f>
        <v>1995297</v>
      </c>
      <c r="M19" s="431">
        <f t="shared" si="0"/>
        <v>0.15741755920445197</v>
      </c>
      <c r="N19" s="431"/>
      <c r="O19" s="179">
        <f>SUM(O17:O18)</f>
        <v>6462953</v>
      </c>
      <c r="P19" s="431">
        <f>O19/H19</f>
        <v>0.50989014994413884</v>
      </c>
      <c r="Q19" s="431"/>
      <c r="R19" s="179">
        <f>SUM(R17:R18)</f>
        <v>0</v>
      </c>
      <c r="S19" s="431">
        <f>R19/H20</f>
        <v>0</v>
      </c>
      <c r="T19" s="446"/>
      <c r="U19" s="307">
        <f>SUM(U17:U18)</f>
        <v>8458250</v>
      </c>
      <c r="V19" s="431">
        <f>U19/H19</f>
        <v>0.66730770914859083</v>
      </c>
    </row>
    <row r="20" spans="1:22" ht="30" customHeight="1" x14ac:dyDescent="0.3">
      <c r="A20" s="1441" t="s">
        <v>283</v>
      </c>
      <c r="B20" s="1441" t="s">
        <v>284</v>
      </c>
      <c r="C20" s="493" t="s">
        <v>148</v>
      </c>
      <c r="D20" s="493" t="s">
        <v>181</v>
      </c>
      <c r="E20" s="467">
        <v>1</v>
      </c>
      <c r="F20" s="453">
        <v>6233127</v>
      </c>
      <c r="G20" s="32">
        <f>+ROUND(F20*1.051,0)</f>
        <v>6551016</v>
      </c>
      <c r="H20" s="453">
        <f>ROUND((E20*F20),0)</f>
        <v>6233127</v>
      </c>
      <c r="I20" s="32">
        <f>+ROUND(G20*E20,0)</f>
        <v>6551016</v>
      </c>
      <c r="J20" s="1441" t="s">
        <v>1585</v>
      </c>
      <c r="K20" s="452">
        <v>0</v>
      </c>
      <c r="L20" s="425">
        <f>ROUND(K20*F20,0)</f>
        <v>0</v>
      </c>
      <c r="M20" s="426">
        <f t="shared" si="0"/>
        <v>0</v>
      </c>
      <c r="N20" s="474">
        <v>1</v>
      </c>
      <c r="O20" s="429">
        <f>ROUND(N20*H20,0)</f>
        <v>6233127</v>
      </c>
      <c r="P20" s="430">
        <f>O20/H20</f>
        <v>1</v>
      </c>
      <c r="Q20" s="772">
        <v>0</v>
      </c>
      <c r="R20" s="425">
        <f>ROUND(Q20*G20,0)</f>
        <v>0</v>
      </c>
      <c r="S20" s="426">
        <f>R20/I20</f>
        <v>0</v>
      </c>
      <c r="T20" s="450">
        <f>K20+N20+Q20</f>
        <v>1</v>
      </c>
      <c r="U20" s="175">
        <f>L20+O20+R20</f>
        <v>6233127</v>
      </c>
      <c r="V20" s="176">
        <f t="shared" si="1"/>
        <v>1</v>
      </c>
    </row>
    <row r="21" spans="1:22" x14ac:dyDescent="0.3">
      <c r="A21" s="1441"/>
      <c r="B21" s="1441"/>
      <c r="C21" s="459"/>
      <c r="D21" s="459" t="s">
        <v>183</v>
      </c>
      <c r="E21" s="465"/>
      <c r="F21" s="458"/>
      <c r="G21" s="458"/>
      <c r="H21" s="457">
        <f>H20</f>
        <v>6233127</v>
      </c>
      <c r="I21" s="457">
        <f>SUM(I20)</f>
        <v>6551016</v>
      </c>
      <c r="J21" s="1441"/>
      <c r="K21" s="431"/>
      <c r="L21" s="179">
        <f>L20</f>
        <v>0</v>
      </c>
      <c r="M21" s="431">
        <f t="shared" si="0"/>
        <v>0</v>
      </c>
      <c r="N21" s="431"/>
      <c r="O21" s="179">
        <f>O20</f>
        <v>6233127</v>
      </c>
      <c r="P21" s="431">
        <f>O21/H21</f>
        <v>1</v>
      </c>
      <c r="Q21" s="431"/>
      <c r="R21" s="179">
        <f>R20</f>
        <v>0</v>
      </c>
      <c r="S21" s="431">
        <f>R21/H21</f>
        <v>0</v>
      </c>
      <c r="T21" s="446"/>
      <c r="U21" s="307">
        <f>SUM(U20)</f>
        <v>6233127</v>
      </c>
      <c r="V21" s="431">
        <f>U21/H21</f>
        <v>1</v>
      </c>
    </row>
    <row r="22" spans="1:22" x14ac:dyDescent="0.3">
      <c r="F22" s="445" t="s">
        <v>64</v>
      </c>
      <c r="G22" s="445"/>
      <c r="H22" s="340">
        <f>SUM(H14:H21)/2</f>
        <v>31583501</v>
      </c>
      <c r="I22" s="340">
        <f>SUM(I14:I21)/2</f>
        <v>33194260</v>
      </c>
      <c r="K22" s="547" t="s">
        <v>64</v>
      </c>
      <c r="L22" s="550">
        <f>SUM(L14:L21)/2</f>
        <v>3990594</v>
      </c>
      <c r="N22" s="547" t="s">
        <v>64</v>
      </c>
      <c r="O22" s="550">
        <f>SUM(O14:O21)/2</f>
        <v>19159033</v>
      </c>
      <c r="Q22" s="547" t="s">
        <v>64</v>
      </c>
      <c r="R22" s="550">
        <f>SUM(R14:R21)/2</f>
        <v>0</v>
      </c>
      <c r="T22" s="547" t="s">
        <v>64</v>
      </c>
      <c r="U22" s="550">
        <f>SUM(U14:U21)/2</f>
        <v>23149627</v>
      </c>
    </row>
    <row r="23" spans="1:22" x14ac:dyDescent="0.3">
      <c r="F23" s="444" t="s">
        <v>65</v>
      </c>
      <c r="G23" s="444"/>
      <c r="H23" s="340">
        <f>((((H16+H19)*0.3)+H21)*0.03)</f>
        <v>415147.17599999998</v>
      </c>
      <c r="I23" s="340">
        <f>((((I16+I19)*0.3)+I21)*0.03)</f>
        <v>436319.67599999998</v>
      </c>
      <c r="K23" s="548" t="s">
        <v>65</v>
      </c>
      <c r="L23" s="481">
        <f>+(L19+L16)*3%</f>
        <v>119717.81999999999</v>
      </c>
      <c r="N23" s="548" t="s">
        <v>65</v>
      </c>
      <c r="O23" s="481">
        <f>+H23-L23</f>
        <v>295429.35599999997</v>
      </c>
      <c r="Q23" s="548" t="s">
        <v>65</v>
      </c>
      <c r="R23" s="481">
        <v>0</v>
      </c>
      <c r="T23" s="548" t="s">
        <v>65</v>
      </c>
      <c r="U23" s="481">
        <f>+L23+O23</f>
        <v>415147.17599999998</v>
      </c>
    </row>
    <row r="24" spans="1:22" x14ac:dyDescent="0.3">
      <c r="F24" s="443" t="s">
        <v>64</v>
      </c>
      <c r="G24" s="443"/>
      <c r="H24" s="340">
        <f>SUM(H22:H23)</f>
        <v>31998648.175999999</v>
      </c>
      <c r="I24" s="340">
        <f>SUM(I22:I23)</f>
        <v>33630579.675999999</v>
      </c>
      <c r="K24" s="549" t="s">
        <v>64</v>
      </c>
      <c r="L24" s="550">
        <f>SUM(L22:L23)</f>
        <v>4110311.82</v>
      </c>
      <c r="N24" s="549" t="s">
        <v>64</v>
      </c>
      <c r="O24" s="550">
        <f>SUM(O22:O23)</f>
        <v>19454462.355999999</v>
      </c>
      <c r="Q24" s="549" t="s">
        <v>64</v>
      </c>
      <c r="R24" s="550">
        <f>SUM(R22:R23)</f>
        <v>0</v>
      </c>
      <c r="T24" s="549" t="s">
        <v>64</v>
      </c>
      <c r="U24" s="550">
        <f>SUM(U22:U23)</f>
        <v>23564774.175999999</v>
      </c>
    </row>
    <row r="25" spans="1:22" ht="26.4" x14ac:dyDescent="0.3">
      <c r="F25" s="443"/>
      <c r="G25" s="443"/>
      <c r="H25" s="340"/>
      <c r="I25" s="340"/>
      <c r="K25" s="501" t="s">
        <v>1439</v>
      </c>
      <c r="L25" s="483">
        <f>ROUND(L24*0.015,0)</f>
        <v>61655</v>
      </c>
      <c r="N25" s="501" t="s">
        <v>1439</v>
      </c>
      <c r="O25" s="483">
        <f>ROUND(O24*0.015,0)</f>
        <v>291817</v>
      </c>
      <c r="Q25" s="501" t="s">
        <v>1439</v>
      </c>
      <c r="R25" s="483">
        <f>ROUND(R24*0.015,0)</f>
        <v>0</v>
      </c>
      <c r="T25" s="501" t="s">
        <v>1439</v>
      </c>
      <c r="U25" s="550">
        <f>L25+O25+R25</f>
        <v>353472</v>
      </c>
    </row>
    <row r="26" spans="1:22" ht="26.4" x14ac:dyDescent="0.3">
      <c r="F26" s="443"/>
      <c r="G26" s="443"/>
      <c r="H26" s="340"/>
      <c r="I26" s="340"/>
      <c r="K26" s="96" t="s">
        <v>1440</v>
      </c>
      <c r="L26" s="182">
        <f>L24+L25</f>
        <v>4171966.82</v>
      </c>
      <c r="M26" s="564">
        <f>L26/H24</f>
        <v>0.13037947094056015</v>
      </c>
      <c r="N26" s="96" t="s">
        <v>1440</v>
      </c>
      <c r="O26" s="182">
        <f>O24+O25</f>
        <v>19746279.355999999</v>
      </c>
      <c r="P26" s="564">
        <f>O26/H24</f>
        <v>0.61709729884184095</v>
      </c>
      <c r="Q26" s="96" t="s">
        <v>1440</v>
      </c>
      <c r="R26" s="182">
        <f>R24+R25</f>
        <v>0</v>
      </c>
      <c r="S26" s="564">
        <f>R26/H24</f>
        <v>0</v>
      </c>
      <c r="T26" s="96" t="s">
        <v>1440</v>
      </c>
      <c r="U26" s="182">
        <f>U24+U25</f>
        <v>23918246.175999999</v>
      </c>
      <c r="V26" s="576">
        <f>U26/H24</f>
        <v>0.74747676978240107</v>
      </c>
    </row>
    <row r="27" spans="1:22" x14ac:dyDescent="0.3">
      <c r="F27" s="442" t="s">
        <v>66</v>
      </c>
      <c r="G27" s="442"/>
      <c r="H27" s="181">
        <f>+H24*19%</f>
        <v>6079743.1534399996</v>
      </c>
      <c r="I27" s="181">
        <f>+I24*19%</f>
        <v>6389810.1384399999</v>
      </c>
      <c r="K27" s="551" t="s">
        <v>66</v>
      </c>
      <c r="L27" s="483">
        <f>L26*0.19</f>
        <v>792673.69579999999</v>
      </c>
      <c r="N27" s="551" t="s">
        <v>66</v>
      </c>
      <c r="O27" s="483">
        <f>O26*0.19</f>
        <v>3751793.0776399998</v>
      </c>
      <c r="Q27" s="551" t="s">
        <v>66</v>
      </c>
      <c r="R27" s="483">
        <f>R26*0.19</f>
        <v>0</v>
      </c>
      <c r="T27" s="551" t="s">
        <v>66</v>
      </c>
      <c r="U27" s="483">
        <f>U26*0.19</f>
        <v>4544466.7734399997</v>
      </c>
    </row>
    <row r="28" spans="1:22" x14ac:dyDescent="0.3">
      <c r="F28" s="441" t="s">
        <v>69</v>
      </c>
      <c r="G28" s="441"/>
      <c r="H28" s="181">
        <f>+H24+H27</f>
        <v>38078391.329439998</v>
      </c>
      <c r="I28" s="181">
        <f>+I24+I27</f>
        <v>40020389.814439997</v>
      </c>
      <c r="K28" s="552" t="s">
        <v>69</v>
      </c>
      <c r="L28" s="481">
        <f>L26+L27</f>
        <v>4964640.5158000002</v>
      </c>
      <c r="N28" s="552" t="s">
        <v>69</v>
      </c>
      <c r="O28" s="481">
        <f>O26+O27</f>
        <v>23498072.433639999</v>
      </c>
      <c r="Q28" s="552" t="s">
        <v>69</v>
      </c>
      <c r="R28" s="481">
        <f>R26+R27</f>
        <v>0</v>
      </c>
      <c r="T28" s="552" t="s">
        <v>69</v>
      </c>
      <c r="U28" s="481">
        <f>U26+U27</f>
        <v>28462712.949439999</v>
      </c>
    </row>
    <row r="31" spans="1:22" s="189" customFormat="1" x14ac:dyDescent="0.3">
      <c r="A31" s="183" t="s">
        <v>67</v>
      </c>
      <c r="B31" s="184"/>
      <c r="C31" s="184"/>
      <c r="D31" s="185" t="s">
        <v>68</v>
      </c>
      <c r="G31" s="852"/>
      <c r="I31" s="852"/>
      <c r="K31" s="186" t="s">
        <v>70</v>
      </c>
      <c r="L31" s="187" t="s">
        <v>71</v>
      </c>
      <c r="M31" s="186" t="s">
        <v>58</v>
      </c>
      <c r="N31" s="186" t="s">
        <v>70</v>
      </c>
      <c r="O31" s="187" t="s">
        <v>71</v>
      </c>
      <c r="P31" s="186" t="s">
        <v>58</v>
      </c>
      <c r="Q31" s="186" t="s">
        <v>70</v>
      </c>
      <c r="R31" s="187" t="s">
        <v>71</v>
      </c>
      <c r="S31" s="186" t="s">
        <v>58</v>
      </c>
      <c r="T31" s="437"/>
      <c r="U31" s="437"/>
      <c r="V31" s="437"/>
    </row>
    <row r="32" spans="1:22" s="189" customFormat="1" x14ac:dyDescent="0.3">
      <c r="A32" s="183"/>
      <c r="B32" s="184"/>
      <c r="C32" s="184"/>
      <c r="D32" s="185"/>
      <c r="G32" s="852"/>
      <c r="I32" s="852"/>
      <c r="K32" s="69" t="s">
        <v>72</v>
      </c>
      <c r="L32" s="70">
        <f>L26</f>
        <v>4171966.82</v>
      </c>
      <c r="M32" s="71">
        <f>M26</f>
        <v>0.13037947094056015</v>
      </c>
      <c r="N32" s="69" t="s">
        <v>72</v>
      </c>
      <c r="O32" s="70">
        <f>L26</f>
        <v>4171966.82</v>
      </c>
      <c r="P32" s="71">
        <f>M26</f>
        <v>0.13037947094056015</v>
      </c>
      <c r="Q32" s="69" t="s">
        <v>72</v>
      </c>
      <c r="R32" s="70">
        <f>L26</f>
        <v>4171966.82</v>
      </c>
      <c r="S32" s="360">
        <f>M26</f>
        <v>0.13037947094056015</v>
      </c>
      <c r="T32" s="437"/>
      <c r="U32" s="437"/>
      <c r="V32" s="437"/>
    </row>
    <row r="33" spans="1:22" s="603" customFormat="1" x14ac:dyDescent="0.3">
      <c r="A33" s="183"/>
      <c r="B33" s="184"/>
      <c r="C33" s="184"/>
      <c r="D33" s="185"/>
      <c r="G33" s="852"/>
      <c r="I33" s="852"/>
      <c r="K33" s="69"/>
      <c r="L33" s="70"/>
      <c r="M33" s="71"/>
      <c r="N33" s="69" t="s">
        <v>73</v>
      </c>
      <c r="O33" s="70">
        <f>+O26</f>
        <v>19746279.355999999</v>
      </c>
      <c r="P33" s="71">
        <f>+P26</f>
        <v>0.61709729884184095</v>
      </c>
      <c r="Q33" s="69" t="s">
        <v>73</v>
      </c>
      <c r="R33" s="70">
        <f>O26</f>
        <v>19746279.355999999</v>
      </c>
      <c r="S33" s="360">
        <f>P26</f>
        <v>0.61709729884184095</v>
      </c>
      <c r="T33" s="437"/>
      <c r="U33" s="437"/>
      <c r="V33" s="437"/>
    </row>
    <row r="34" spans="1:22" s="189" customFormat="1" x14ac:dyDescent="0.3">
      <c r="A34" s="183"/>
      <c r="B34" s="184"/>
      <c r="C34" s="184"/>
      <c r="D34" s="185"/>
      <c r="G34" s="852"/>
      <c r="I34" s="852"/>
      <c r="K34" s="72" t="s">
        <v>1</v>
      </c>
      <c r="L34" s="105">
        <f>SUM(L32:L32)</f>
        <v>4171966.82</v>
      </c>
      <c r="M34" s="73">
        <f>SUM(M32:M32)</f>
        <v>0.13037947094056015</v>
      </c>
      <c r="N34" s="72" t="s">
        <v>1</v>
      </c>
      <c r="O34" s="105">
        <f>SUM(O32:O33)</f>
        <v>23918246.175999999</v>
      </c>
      <c r="P34" s="73">
        <f>SUM(P32:P33)</f>
        <v>0.74747676978240107</v>
      </c>
      <c r="Q34" s="69" t="s">
        <v>74</v>
      </c>
      <c r="R34" s="70">
        <f>R26</f>
        <v>0</v>
      </c>
      <c r="S34" s="634">
        <f>S26</f>
        <v>0</v>
      </c>
      <c r="T34" s="437"/>
      <c r="U34" s="437"/>
      <c r="V34" s="437"/>
    </row>
    <row r="35" spans="1:22" s="189" customFormat="1" x14ac:dyDescent="0.3">
      <c r="A35" s="183"/>
      <c r="B35" s="184"/>
      <c r="C35" s="184"/>
      <c r="D35" s="185"/>
      <c r="G35" s="852"/>
      <c r="I35" s="852"/>
      <c r="K35" s="72" t="s">
        <v>9</v>
      </c>
      <c r="L35" s="1423"/>
      <c r="M35" s="1424"/>
      <c r="N35" s="72" t="s">
        <v>9</v>
      </c>
      <c r="O35" s="1423"/>
      <c r="P35" s="1424"/>
      <c r="Q35" s="72" t="s">
        <v>1</v>
      </c>
      <c r="R35" s="105">
        <f>SUM(R32:R34)</f>
        <v>23918246.175999999</v>
      </c>
      <c r="S35" s="361">
        <f>SUM(S32:S34)</f>
        <v>0.74747676978240107</v>
      </c>
      <c r="T35" s="437"/>
      <c r="U35" s="437"/>
      <c r="V35" s="437"/>
    </row>
    <row r="36" spans="1:22" s="189" customFormat="1" x14ac:dyDescent="0.3">
      <c r="A36" s="183"/>
      <c r="B36" s="184"/>
      <c r="C36" s="184"/>
      <c r="D36" s="185"/>
      <c r="G36" s="852"/>
      <c r="I36" s="852"/>
      <c r="K36" s="440" t="s">
        <v>78</v>
      </c>
      <c r="L36" s="1423" t="s">
        <v>310</v>
      </c>
      <c r="M36" s="1424"/>
      <c r="N36" s="440" t="s">
        <v>78</v>
      </c>
      <c r="O36" s="1423" t="s">
        <v>310</v>
      </c>
      <c r="P36" s="1424"/>
      <c r="Q36" s="72" t="s">
        <v>9</v>
      </c>
      <c r="R36" s="723"/>
      <c r="S36" s="724"/>
      <c r="T36" s="437"/>
      <c r="U36" s="437"/>
      <c r="V36" s="437"/>
    </row>
    <row r="37" spans="1:22" s="189" customFormat="1" x14ac:dyDescent="0.3">
      <c r="A37" s="183"/>
      <c r="B37" s="184"/>
      <c r="C37" s="184"/>
      <c r="D37" s="185"/>
      <c r="G37" s="852"/>
      <c r="I37" s="852"/>
      <c r="K37" s="439" t="s">
        <v>8</v>
      </c>
      <c r="L37" s="1425" t="s">
        <v>311</v>
      </c>
      <c r="M37" s="1426"/>
      <c r="N37" s="439" t="s">
        <v>8</v>
      </c>
      <c r="O37" s="1425" t="s">
        <v>311</v>
      </c>
      <c r="P37" s="1426"/>
      <c r="Q37" s="440" t="s">
        <v>78</v>
      </c>
      <c r="R37" s="723" t="s">
        <v>310</v>
      </c>
      <c r="S37" s="724"/>
      <c r="T37" s="437"/>
      <c r="U37" s="437"/>
      <c r="V37" s="437"/>
    </row>
    <row r="38" spans="1:22" s="189" customFormat="1" x14ac:dyDescent="0.3">
      <c r="A38" s="183"/>
      <c r="B38" s="184"/>
      <c r="C38" s="184"/>
      <c r="D38" s="185" t="s">
        <v>75</v>
      </c>
      <c r="G38" s="852"/>
      <c r="I38" s="852"/>
      <c r="N38" s="603"/>
      <c r="O38" s="603"/>
      <c r="P38" s="603"/>
      <c r="Q38" s="439" t="s">
        <v>8</v>
      </c>
      <c r="R38" s="725" t="s">
        <v>311</v>
      </c>
      <c r="S38" s="726"/>
      <c r="T38" s="727"/>
      <c r="U38" s="727"/>
      <c r="V38" s="727"/>
    </row>
    <row r="39" spans="1:22" s="189" customFormat="1" x14ac:dyDescent="0.3">
      <c r="A39" s="183" t="s">
        <v>76</v>
      </c>
      <c r="B39" s="180"/>
      <c r="C39" s="180"/>
      <c r="D39" s="185" t="s">
        <v>77</v>
      </c>
      <c r="G39" s="852"/>
      <c r="I39" s="852"/>
      <c r="N39" s="603"/>
      <c r="O39" s="603"/>
      <c r="P39" s="603"/>
      <c r="Q39" s="727"/>
      <c r="R39" s="727"/>
      <c r="S39" s="727"/>
      <c r="T39" s="727"/>
      <c r="U39" s="727"/>
      <c r="V39" s="727"/>
    </row>
    <row r="40" spans="1:22" s="189" customFormat="1" x14ac:dyDescent="0.3">
      <c r="A40" s="183" t="s">
        <v>79</v>
      </c>
      <c r="B40" s="180"/>
      <c r="C40" s="180"/>
      <c r="D40" s="185" t="s">
        <v>80</v>
      </c>
      <c r="G40" s="852"/>
      <c r="I40" s="852"/>
      <c r="N40" s="603"/>
      <c r="O40" s="603"/>
      <c r="P40" s="603"/>
      <c r="Q40" s="727"/>
      <c r="R40" s="727"/>
      <c r="S40" s="727"/>
      <c r="T40" s="727"/>
      <c r="U40" s="727"/>
      <c r="V40" s="727"/>
    </row>
  </sheetData>
  <sheetProtection formatCells="0" formatColumns="0" formatRows="0" insertColumns="0" insertRows="0" insertHyperlinks="0" deleteColumns="0" deleteRows="0" sort="0" autoFilter="0" pivotTables="0"/>
  <mergeCells count="32">
    <mergeCell ref="Q11:S12"/>
    <mergeCell ref="O35:P35"/>
    <mergeCell ref="O36:P36"/>
    <mergeCell ref="O37:P37"/>
    <mergeCell ref="C1:P2"/>
    <mergeCell ref="A6:V6"/>
    <mergeCell ref="A7:V7"/>
    <mergeCell ref="A8:V8"/>
    <mergeCell ref="A9:V9"/>
    <mergeCell ref="A10:V10"/>
    <mergeCell ref="B11:J11"/>
    <mergeCell ref="K11:M12"/>
    <mergeCell ref="J17:J19"/>
    <mergeCell ref="L35:M35"/>
    <mergeCell ref="L36:M36"/>
    <mergeCell ref="B17:B19"/>
    <mergeCell ref="L37:M37"/>
    <mergeCell ref="T1:V1"/>
    <mergeCell ref="T2:V2"/>
    <mergeCell ref="A3:V3"/>
    <mergeCell ref="A4:V4"/>
    <mergeCell ref="A5:V5"/>
    <mergeCell ref="T11:V12"/>
    <mergeCell ref="B12:J12"/>
    <mergeCell ref="A20:A21"/>
    <mergeCell ref="B20:B21"/>
    <mergeCell ref="J20:J21"/>
    <mergeCell ref="A14:A16"/>
    <mergeCell ref="B14:B16"/>
    <mergeCell ref="J14:J16"/>
    <mergeCell ref="A17:A19"/>
    <mergeCell ref="N11:P12"/>
  </mergeCells>
  <pageMargins left="0.7" right="0.7" top="0.75" bottom="0.75" header="0.3" footer="0.3"/>
  <pageSetup scale="69" orientation="landscape" r:id="rId1"/>
  <drawing r:id="rId2"/>
  <legacyDrawingHF r:id="rId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8">
    <tabColor theme="1"/>
  </sheetPr>
  <dimension ref="A1:G49"/>
  <sheetViews>
    <sheetView topLeftCell="A10" zoomScaleNormal="100" zoomScaleSheetLayoutView="80" workbookViewId="0">
      <selection activeCell="F17" sqref="F1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RESUMEN!G97</f>
        <v>Proyecto: CDIM_CBSGSM_R0118AT NORMALIZACIÓN REPOSICIÓN SE AUTOPISTA</v>
      </c>
      <c r="C5" s="1281"/>
      <c r="D5" s="1281"/>
      <c r="E5" s="1281"/>
      <c r="F5" s="1281"/>
      <c r="G5" s="1282"/>
    </row>
    <row r="6" spans="1:7" x14ac:dyDescent="0.25">
      <c r="A6" s="1177"/>
      <c r="B6" s="1177"/>
      <c r="C6" s="1177"/>
      <c r="D6" s="1177"/>
      <c r="E6" s="1177"/>
      <c r="F6" s="1177"/>
      <c r="G6" s="1177"/>
    </row>
    <row r="7" spans="1:7" x14ac:dyDescent="0.25">
      <c r="A7" s="271" t="s">
        <v>0</v>
      </c>
      <c r="B7" s="1264" t="str">
        <f>RESUMEN!B97</f>
        <v>D00249381</v>
      </c>
      <c r="C7" s="1265"/>
      <c r="D7" s="1177"/>
      <c r="E7" s="1266" t="s">
        <v>627</v>
      </c>
      <c r="F7" s="1267"/>
      <c r="G7" s="280" t="str">
        <f>RESUMEN!E97</f>
        <v>17-378</v>
      </c>
    </row>
    <row r="8" spans="1:7" x14ac:dyDescent="0.25">
      <c r="A8" s="271" t="s">
        <v>628</v>
      </c>
      <c r="B8" s="1264" t="str">
        <f>RESUMEN!C97</f>
        <v>D00249381000</v>
      </c>
      <c r="C8" s="1265"/>
      <c r="D8" s="1177"/>
      <c r="E8" s="1266" t="s">
        <v>629</v>
      </c>
      <c r="F8" s="1267"/>
      <c r="G8" s="280" t="str">
        <f>RESUMEN!U97</f>
        <v>Acta N° 1: Febrero</v>
      </c>
    </row>
    <row r="9" spans="1:7" x14ac:dyDescent="0.25">
      <c r="A9" s="271" t="s">
        <v>630</v>
      </c>
      <c r="B9" s="1283" t="s">
        <v>631</v>
      </c>
      <c r="C9" s="1265"/>
      <c r="D9" s="1177"/>
      <c r="E9" s="1266" t="s">
        <v>632</v>
      </c>
      <c r="F9" s="1267"/>
      <c r="G9" s="1178">
        <f>RESUMEN!H97</f>
        <v>757377</v>
      </c>
    </row>
    <row r="10" spans="1:7" x14ac:dyDescent="0.25">
      <c r="A10" s="271" t="s">
        <v>633</v>
      </c>
      <c r="B10" s="1283" t="str">
        <f>RESUMEN!D97</f>
        <v>AUTOPISTA</v>
      </c>
      <c r="C10" s="1265"/>
      <c r="D10" s="1177"/>
      <c r="E10" s="1266" t="s">
        <v>634</v>
      </c>
      <c r="F10" s="1267"/>
      <c r="G10" s="1178">
        <f>RESUMEN!R97</f>
        <v>807942</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",RESUMEN!G97)</f>
        <v>A los 14 días del mes de Marzo se reunieron en las instalaciones de CODENSA S.A. E.S.P., los ingenieros Ing. Néstor Marín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CDIM_CBSGSM_R0118AT NORMALIZACIÓN REPOSICIÓN SE AUTOPISTA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RESUMEN!N97</f>
        <v>796002</v>
      </c>
      <c r="F19" s="1248"/>
      <c r="G19" s="1177"/>
    </row>
    <row r="20" spans="1:7" ht="27" customHeight="1" x14ac:dyDescent="0.25">
      <c r="A20" s="1177"/>
      <c r="B20" s="1244" t="s">
        <v>1498</v>
      </c>
      <c r="C20" s="1245"/>
      <c r="D20" s="1246"/>
      <c r="E20" s="1247">
        <f>RESUMEN!P97</f>
        <v>0</v>
      </c>
      <c r="F20" s="1248"/>
      <c r="G20" s="1177"/>
    </row>
    <row r="21" spans="1:7" ht="27" customHeight="1" x14ac:dyDescent="0.25">
      <c r="A21" s="1177"/>
      <c r="B21" s="1244" t="s">
        <v>1499</v>
      </c>
      <c r="C21" s="1245"/>
      <c r="D21" s="1246"/>
      <c r="E21" s="1247">
        <f>RESUMEN!Q97</f>
        <v>11940</v>
      </c>
      <c r="F21" s="1248"/>
      <c r="G21" s="1177"/>
    </row>
    <row r="22" spans="1:7" x14ac:dyDescent="0.25">
      <c r="A22" s="1177"/>
      <c r="B22" s="1254" t="s">
        <v>64</v>
      </c>
      <c r="C22" s="1254"/>
      <c r="D22" s="1254"/>
      <c r="E22" s="1255">
        <f>RESUMEN!R97</f>
        <v>807942</v>
      </c>
      <c r="F22" s="1255"/>
      <c r="G22" s="1177"/>
    </row>
    <row r="23" spans="1:7" x14ac:dyDescent="0.25">
      <c r="A23" s="1177"/>
      <c r="B23" s="1256" t="s">
        <v>66</v>
      </c>
      <c r="C23" s="1256"/>
      <c r="D23" s="1256"/>
      <c r="E23" s="1257">
        <f>RESUMEN!S97</f>
        <v>153508.98000000001</v>
      </c>
      <c r="F23" s="1257"/>
      <c r="G23" s="1177"/>
    </row>
    <row r="24" spans="1:7" x14ac:dyDescent="0.25">
      <c r="A24" s="1177"/>
      <c r="B24" s="1258" t="s">
        <v>1</v>
      </c>
      <c r="C24" s="1258"/>
      <c r="D24" s="1258"/>
      <c r="E24" s="1259">
        <f>RESUMEN!T97</f>
        <v>961450.98</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RESUMEN!V97</f>
        <v>Ing. Néstor Marín</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C33:D33"/>
    <mergeCell ref="C34:D34"/>
    <mergeCell ref="C27:D27"/>
    <mergeCell ref="C28:D28"/>
    <mergeCell ref="B24:D24"/>
    <mergeCell ref="E24:F24"/>
    <mergeCell ref="C32:D32"/>
    <mergeCell ref="E21:F21"/>
    <mergeCell ref="B21:D21"/>
    <mergeCell ref="B22:D22"/>
    <mergeCell ref="E22:F22"/>
    <mergeCell ref="B23:D23"/>
    <mergeCell ref="E23:F23"/>
    <mergeCell ref="C30:D30"/>
    <mergeCell ref="C31:D31"/>
    <mergeCell ref="B20:D20"/>
    <mergeCell ref="E20:F20"/>
    <mergeCell ref="B9:C9"/>
    <mergeCell ref="E9:F9"/>
    <mergeCell ref="B10:C10"/>
    <mergeCell ref="E10:F10"/>
    <mergeCell ref="A12:G12"/>
    <mergeCell ref="A14:G14"/>
    <mergeCell ref="A16:G16"/>
    <mergeCell ref="B18:D18"/>
    <mergeCell ref="E18:F18"/>
    <mergeCell ref="B19:D19"/>
    <mergeCell ref="E19:F19"/>
    <mergeCell ref="C29:D29"/>
    <mergeCell ref="B8:C8"/>
    <mergeCell ref="E8:F8"/>
    <mergeCell ref="A1:A3"/>
    <mergeCell ref="B1:F3"/>
    <mergeCell ref="B5:G5"/>
    <mergeCell ref="B7:C7"/>
    <mergeCell ref="E7:F7"/>
    <mergeCell ref="A48:C48"/>
    <mergeCell ref="E48:G48"/>
    <mergeCell ref="A49:C49"/>
    <mergeCell ref="E49:G49"/>
    <mergeCell ref="A36:G36"/>
    <mergeCell ref="A41:C41"/>
    <mergeCell ref="E41:G41"/>
    <mergeCell ref="A42:C42"/>
    <mergeCell ref="E42:G42"/>
    <mergeCell ref="A47:C47"/>
    <mergeCell ref="E47:G47"/>
    <mergeCell ref="A40:C40"/>
    <mergeCell ref="E40:G40"/>
  </mergeCells>
  <pageMargins left="0.70866141732283472" right="0.70866141732283472" top="0.74803149606299213" bottom="0.74803149606299213" header="0.31496062992125984" footer="0.31496062992125984"/>
  <pageSetup scale="84" orientation="portrait" r:id="rId1"/>
  <drawing r:id="rId2"/>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9">
    <tabColor rgb="FF72104A"/>
  </sheetPr>
  <dimension ref="A1:P40"/>
  <sheetViews>
    <sheetView view="pageBreakPreview" zoomScale="60" zoomScaleNormal="55" workbookViewId="0">
      <selection activeCell="J38" sqref="J38"/>
    </sheetView>
  </sheetViews>
  <sheetFormatPr baseColWidth="10" defaultColWidth="9.109375" defaultRowHeight="14.4" x14ac:dyDescent="0.3"/>
  <cols>
    <col min="1" max="1" width="13.6640625" style="437" customWidth="1"/>
    <col min="2" max="2" width="22.6640625" style="437" customWidth="1"/>
    <col min="3" max="3" width="17.44140625" style="437" customWidth="1"/>
    <col min="4" max="4" width="22.33203125" style="437" bestFit="1" customWidth="1"/>
    <col min="5" max="5" width="13" style="437" customWidth="1"/>
    <col min="6" max="6" width="17.88671875" style="437" bestFit="1" customWidth="1"/>
    <col min="7" max="7" width="17.88671875" style="437" customWidth="1"/>
    <col min="8" max="8" width="14.6640625" style="437" bestFit="1" customWidth="1"/>
    <col min="9" max="9" width="14.6640625" style="437" customWidth="1"/>
    <col min="10" max="10" width="47.6640625" style="437" customWidth="1"/>
    <col min="11" max="11" width="17.88671875" style="437" bestFit="1" customWidth="1"/>
    <col min="12" max="12" width="19.88671875" style="437" customWidth="1"/>
    <col min="13" max="13" width="9.109375" style="437"/>
    <col min="14" max="14" width="17.88671875" style="437" bestFit="1" customWidth="1"/>
    <col min="15" max="15" width="14.6640625" style="437" bestFit="1" customWidth="1"/>
    <col min="16" max="16384" width="9.109375" style="437"/>
  </cols>
  <sheetData>
    <row r="1" spans="1:16" ht="22.5" customHeight="1" thickBot="1" x14ac:dyDescent="0.35">
      <c r="A1" s="169"/>
      <c r="B1" s="188"/>
      <c r="C1" s="1307" t="s">
        <v>40</v>
      </c>
      <c r="D1" s="1308"/>
      <c r="E1" s="1308"/>
      <c r="F1" s="1308"/>
      <c r="G1" s="1308"/>
      <c r="H1" s="1308"/>
      <c r="I1" s="1308"/>
      <c r="J1" s="1308"/>
      <c r="K1" s="1308"/>
      <c r="L1" s="1308"/>
      <c r="M1" s="1308"/>
      <c r="N1" s="1328" t="s">
        <v>1596</v>
      </c>
      <c r="O1" s="1303"/>
      <c r="P1" s="1304"/>
    </row>
    <row r="2" spans="1:16" ht="13.5" customHeight="1" thickBot="1" x14ac:dyDescent="0.35">
      <c r="A2" s="170"/>
      <c r="B2" s="190"/>
      <c r="C2" s="1310"/>
      <c r="D2" s="1311"/>
      <c r="E2" s="1311"/>
      <c r="F2" s="1311"/>
      <c r="G2" s="1311"/>
      <c r="H2" s="1311"/>
      <c r="I2" s="1311"/>
      <c r="J2" s="1311"/>
      <c r="K2" s="1311"/>
      <c r="L2" s="1311"/>
      <c r="M2" s="1311"/>
      <c r="N2" s="1329" t="s">
        <v>41</v>
      </c>
      <c r="O2" s="1305"/>
      <c r="P2" s="1306"/>
    </row>
    <row r="3" spans="1:16" ht="13.5" customHeight="1" x14ac:dyDescent="0.3">
      <c r="A3" s="1292" t="s">
        <v>42</v>
      </c>
      <c r="B3" s="1292"/>
      <c r="C3" s="1292"/>
      <c r="D3" s="1292"/>
      <c r="E3" s="1292"/>
      <c r="F3" s="1292"/>
      <c r="G3" s="1292"/>
      <c r="H3" s="1292"/>
      <c r="I3" s="1292"/>
      <c r="J3" s="1292"/>
      <c r="K3" s="1292"/>
      <c r="L3" s="1292"/>
      <c r="M3" s="1292"/>
      <c r="N3" s="1292"/>
      <c r="O3" s="1292"/>
      <c r="P3" s="1292"/>
    </row>
    <row r="4" spans="1:16" ht="13.5" customHeight="1" x14ac:dyDescent="0.3">
      <c r="A4" s="1292" t="s">
        <v>43</v>
      </c>
      <c r="B4" s="1292"/>
      <c r="C4" s="1292"/>
      <c r="D4" s="1292"/>
      <c r="E4" s="1292"/>
      <c r="F4" s="1292"/>
      <c r="G4" s="1292"/>
      <c r="H4" s="1292"/>
      <c r="I4" s="1292"/>
      <c r="J4" s="1292"/>
      <c r="K4" s="1292"/>
      <c r="L4" s="1292"/>
      <c r="M4" s="1292"/>
      <c r="N4" s="1292"/>
      <c r="O4" s="1292"/>
      <c r="P4" s="1292"/>
    </row>
    <row r="5" spans="1:16" ht="13.5" customHeight="1" x14ac:dyDescent="0.3">
      <c r="A5" s="1292" t="s">
        <v>44</v>
      </c>
      <c r="B5" s="1292"/>
      <c r="C5" s="1292"/>
      <c r="D5" s="1292"/>
      <c r="E5" s="1292"/>
      <c r="F5" s="1292"/>
      <c r="G5" s="1292"/>
      <c r="H5" s="1292"/>
      <c r="I5" s="1292"/>
      <c r="J5" s="1292"/>
      <c r="K5" s="1292"/>
      <c r="L5" s="1292"/>
      <c r="M5" s="1292"/>
      <c r="N5" s="1292"/>
      <c r="O5" s="1292"/>
      <c r="P5" s="1292"/>
    </row>
    <row r="6" spans="1:16" ht="13.5" customHeight="1" x14ac:dyDescent="0.3">
      <c r="A6" s="1292" t="s">
        <v>45</v>
      </c>
      <c r="B6" s="1292"/>
      <c r="C6" s="1292"/>
      <c r="D6" s="1292"/>
      <c r="E6" s="1292"/>
      <c r="F6" s="1292"/>
      <c r="G6" s="1292"/>
      <c r="H6" s="1292"/>
      <c r="I6" s="1292"/>
      <c r="J6" s="1292"/>
      <c r="K6" s="1292"/>
      <c r="L6" s="1292"/>
      <c r="M6" s="1292"/>
      <c r="N6" s="1292"/>
      <c r="O6" s="1292"/>
      <c r="P6" s="1292"/>
    </row>
    <row r="7" spans="1:16" x14ac:dyDescent="0.3">
      <c r="A7" s="1291" t="s">
        <v>1595</v>
      </c>
      <c r="B7" s="1292"/>
      <c r="C7" s="1292"/>
      <c r="D7" s="1292"/>
      <c r="E7" s="1292"/>
      <c r="F7" s="1292"/>
      <c r="G7" s="1292"/>
      <c r="H7" s="1292"/>
      <c r="I7" s="1292"/>
      <c r="J7" s="1292"/>
      <c r="K7" s="1292"/>
      <c r="L7" s="1292"/>
      <c r="M7" s="1292"/>
      <c r="N7" s="1292"/>
      <c r="O7" s="1292"/>
      <c r="P7" s="1292"/>
    </row>
    <row r="8" spans="1:16" ht="13.5" customHeight="1" x14ac:dyDescent="0.3">
      <c r="A8" s="1292" t="s">
        <v>2103</v>
      </c>
      <c r="B8" s="1292"/>
      <c r="C8" s="1292"/>
      <c r="D8" s="1292"/>
      <c r="E8" s="1292"/>
      <c r="F8" s="1292"/>
      <c r="G8" s="1292"/>
      <c r="H8" s="1292"/>
      <c r="I8" s="1292"/>
      <c r="J8" s="1292"/>
      <c r="K8" s="1292"/>
      <c r="L8" s="1292"/>
      <c r="M8" s="1292"/>
      <c r="N8" s="1292"/>
      <c r="O8" s="1292"/>
      <c r="P8" s="1292"/>
    </row>
    <row r="9" spans="1:16" ht="13.5" customHeight="1" x14ac:dyDescent="0.3">
      <c r="A9" s="1292" t="s">
        <v>2087</v>
      </c>
      <c r="B9" s="1292"/>
      <c r="C9" s="1292"/>
      <c r="D9" s="1292"/>
      <c r="E9" s="1292"/>
      <c r="F9" s="1292"/>
      <c r="G9" s="1292"/>
      <c r="H9" s="1292"/>
      <c r="I9" s="1292"/>
      <c r="J9" s="1292"/>
      <c r="K9" s="1292"/>
      <c r="L9" s="1292"/>
      <c r="M9" s="1292"/>
      <c r="N9" s="1292"/>
      <c r="O9" s="1292"/>
      <c r="P9" s="1292"/>
    </row>
    <row r="10" spans="1:16" ht="13.5" customHeight="1" x14ac:dyDescent="0.3">
      <c r="A10" s="1292" t="s">
        <v>1594</v>
      </c>
      <c r="B10" s="1292"/>
      <c r="C10" s="1292"/>
      <c r="D10" s="1292"/>
      <c r="E10" s="1292"/>
      <c r="F10" s="1292"/>
      <c r="G10" s="1292"/>
      <c r="H10" s="1292"/>
      <c r="I10" s="1292"/>
      <c r="J10" s="1292"/>
      <c r="K10" s="1292"/>
      <c r="L10" s="1292"/>
      <c r="M10" s="1292"/>
      <c r="N10" s="1292"/>
      <c r="O10" s="1292"/>
      <c r="P10" s="1292"/>
    </row>
    <row r="11" spans="1:16" ht="13.5" customHeight="1" x14ac:dyDescent="0.3">
      <c r="A11" s="491"/>
      <c r="B11" s="1301"/>
      <c r="C11" s="1313"/>
      <c r="D11" s="1313"/>
      <c r="E11" s="1313"/>
      <c r="F11" s="1313"/>
      <c r="G11" s="1313"/>
      <c r="H11" s="1313"/>
      <c r="I11" s="1313"/>
      <c r="J11" s="1313"/>
      <c r="K11" s="1293" t="s">
        <v>1982</v>
      </c>
      <c r="L11" s="1294"/>
      <c r="M11" s="1295"/>
      <c r="N11" s="1299" t="s">
        <v>49</v>
      </c>
      <c r="O11" s="1299"/>
      <c r="P11" s="1299"/>
    </row>
    <row r="12" spans="1:16" ht="13.5" customHeight="1" x14ac:dyDescent="0.3">
      <c r="A12" s="171"/>
      <c r="B12" s="1301"/>
      <c r="C12" s="1302"/>
      <c r="D12" s="1302"/>
      <c r="E12" s="1302"/>
      <c r="F12" s="1302"/>
      <c r="G12" s="1302"/>
      <c r="H12" s="1302"/>
      <c r="I12" s="1302"/>
      <c r="J12" s="1302"/>
      <c r="K12" s="1325"/>
      <c r="L12" s="1326"/>
      <c r="M12" s="1327"/>
      <c r="N12" s="1300"/>
      <c r="O12" s="1300"/>
      <c r="P12" s="1300"/>
    </row>
    <row r="13" spans="1:16"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174" t="s">
        <v>54</v>
      </c>
      <c r="O13" s="172" t="s">
        <v>56</v>
      </c>
      <c r="P13" s="502" t="s">
        <v>58</v>
      </c>
    </row>
    <row r="14" spans="1:16" ht="30" customHeight="1" x14ac:dyDescent="0.3">
      <c r="A14" s="1441" t="s">
        <v>1326</v>
      </c>
      <c r="B14" s="1441" t="s">
        <v>1592</v>
      </c>
      <c r="C14" s="493" t="s">
        <v>59</v>
      </c>
      <c r="D14" s="493" t="s">
        <v>60</v>
      </c>
      <c r="E14" s="493">
        <v>0</v>
      </c>
      <c r="F14" s="453">
        <v>13336802</v>
      </c>
      <c r="G14" s="32">
        <f>+ROUND(F14*1.051,0)</f>
        <v>14016979</v>
      </c>
      <c r="H14" s="453">
        <f>ROUND((E14*F14),0)</f>
        <v>0</v>
      </c>
      <c r="I14" s="32">
        <f>+ROUND(G14*E14,0)</f>
        <v>0</v>
      </c>
      <c r="J14" s="1441" t="s">
        <v>1591</v>
      </c>
      <c r="K14" s="452">
        <v>0</v>
      </c>
      <c r="L14" s="425">
        <f>ROUND(K14*G14,0)</f>
        <v>0</v>
      </c>
      <c r="M14" s="604">
        <v>0</v>
      </c>
      <c r="N14" s="450">
        <f>K14</f>
        <v>0</v>
      </c>
      <c r="O14" s="175">
        <f>L14</f>
        <v>0</v>
      </c>
      <c r="P14" s="176">
        <v>0</v>
      </c>
    </row>
    <row r="15" spans="1:16" ht="30" customHeight="1" x14ac:dyDescent="0.3">
      <c r="A15" s="1441"/>
      <c r="B15" s="1441"/>
      <c r="C15" s="493" t="s">
        <v>61</v>
      </c>
      <c r="D15" s="493" t="s">
        <v>62</v>
      </c>
      <c r="E15" s="493">
        <v>0.05</v>
      </c>
      <c r="F15" s="453">
        <v>5049181</v>
      </c>
      <c r="G15" s="32">
        <f>+ROUND(F15*1.051,0)</f>
        <v>5306689</v>
      </c>
      <c r="H15" s="453">
        <f>ROUND((E15*F15),0)</f>
        <v>252459</v>
      </c>
      <c r="I15" s="32">
        <f>+ROUND(G15*E15,0)</f>
        <v>265334</v>
      </c>
      <c r="J15" s="1441"/>
      <c r="K15" s="474">
        <v>0.05</v>
      </c>
      <c r="L15" s="429">
        <f>ROUND(K15*G15,0)</f>
        <v>265334</v>
      </c>
      <c r="M15" s="534">
        <f>+L15/I15</f>
        <v>1</v>
      </c>
      <c r="N15" s="450">
        <f>K15</f>
        <v>0.05</v>
      </c>
      <c r="O15" s="175">
        <f>L15</f>
        <v>265334</v>
      </c>
      <c r="P15" s="176">
        <f>O15/H15</f>
        <v>1.0509983799349598</v>
      </c>
    </row>
    <row r="16" spans="1:16" ht="15" customHeight="1" x14ac:dyDescent="0.3">
      <c r="A16" s="1441"/>
      <c r="B16" s="1441"/>
      <c r="C16" s="449"/>
      <c r="D16" s="449" t="s">
        <v>63</v>
      </c>
      <c r="E16" s="448"/>
      <c r="F16" s="448"/>
      <c r="G16" s="448"/>
      <c r="H16" s="447">
        <f>SUM(H14:H15)</f>
        <v>252459</v>
      </c>
      <c r="I16" s="447">
        <f>SUM(I14:I15)</f>
        <v>265334</v>
      </c>
      <c r="J16" s="1441"/>
      <c r="K16" s="431"/>
      <c r="L16" s="179">
        <f>SUM(L14:L15)</f>
        <v>265334</v>
      </c>
      <c r="M16" s="431">
        <f>L16/H16</f>
        <v>1.0509983799349598</v>
      </c>
      <c r="N16" s="446"/>
      <c r="O16" s="307">
        <f t="shared" ref="O16:O22" si="0">L16</f>
        <v>265334</v>
      </c>
      <c r="P16" s="431">
        <f>O16/H16</f>
        <v>1.0509983799349598</v>
      </c>
    </row>
    <row r="17" spans="1:16" ht="30" customHeight="1" x14ac:dyDescent="0.3">
      <c r="A17" s="1441" t="s">
        <v>765</v>
      </c>
      <c r="B17" s="1441" t="s">
        <v>1592</v>
      </c>
      <c r="C17" s="493" t="s">
        <v>59</v>
      </c>
      <c r="D17" s="493" t="s">
        <v>60</v>
      </c>
      <c r="E17" s="493">
        <v>0</v>
      </c>
      <c r="F17" s="453">
        <v>13336802</v>
      </c>
      <c r="G17" s="32">
        <f t="shared" ref="G17:G18" si="1">+ROUND(F17*1.051,0)</f>
        <v>14016979</v>
      </c>
      <c r="H17" s="453">
        <f>ROUND((E17*F17),0)</f>
        <v>0</v>
      </c>
      <c r="I17" s="32">
        <f t="shared" ref="I17:I18" si="2">+ROUND(G17*E17,0)</f>
        <v>0</v>
      </c>
      <c r="J17" s="1441" t="s">
        <v>1591</v>
      </c>
      <c r="K17" s="452">
        <v>0</v>
      </c>
      <c r="L17" s="425">
        <f t="shared" ref="L17:L18" si="3">ROUND(K17*G17,0)</f>
        <v>0</v>
      </c>
      <c r="M17" s="604">
        <v>0</v>
      </c>
      <c r="N17" s="450">
        <f>K17</f>
        <v>0</v>
      </c>
      <c r="O17" s="175">
        <f t="shared" si="0"/>
        <v>0</v>
      </c>
      <c r="P17" s="176">
        <v>0</v>
      </c>
    </row>
    <row r="18" spans="1:16" ht="30" customHeight="1" x14ac:dyDescent="0.3">
      <c r="A18" s="1441"/>
      <c r="B18" s="1441"/>
      <c r="C18" s="493" t="s">
        <v>61</v>
      </c>
      <c r="D18" s="493" t="s">
        <v>62</v>
      </c>
      <c r="E18" s="493">
        <v>0.05</v>
      </c>
      <c r="F18" s="453">
        <v>5049181</v>
      </c>
      <c r="G18" s="32">
        <f t="shared" si="1"/>
        <v>5306689</v>
      </c>
      <c r="H18" s="453">
        <f>ROUND((E18*F18),0)</f>
        <v>252459</v>
      </c>
      <c r="I18" s="32">
        <f t="shared" si="2"/>
        <v>265334</v>
      </c>
      <c r="J18" s="1441"/>
      <c r="K18" s="474">
        <v>0.05</v>
      </c>
      <c r="L18" s="429">
        <f t="shared" si="3"/>
        <v>265334</v>
      </c>
      <c r="M18" s="534">
        <f t="shared" ref="M18" si="4">+L18/I18</f>
        <v>1</v>
      </c>
      <c r="N18" s="450">
        <f>K18</f>
        <v>0.05</v>
      </c>
      <c r="O18" s="175">
        <f t="shared" si="0"/>
        <v>265334</v>
      </c>
      <c r="P18" s="176">
        <f>O18/H18</f>
        <v>1.0509983799349598</v>
      </c>
    </row>
    <row r="19" spans="1:16" ht="15" customHeight="1" x14ac:dyDescent="0.3">
      <c r="A19" s="1441"/>
      <c r="B19" s="1441"/>
      <c r="C19" s="449"/>
      <c r="D19" s="449" t="s">
        <v>63</v>
      </c>
      <c r="E19" s="448"/>
      <c r="F19" s="448"/>
      <c r="G19" s="448"/>
      <c r="H19" s="447">
        <f>SUM(H17:H18)</f>
        <v>252459</v>
      </c>
      <c r="I19" s="447">
        <f>SUM(I17:I18)</f>
        <v>265334</v>
      </c>
      <c r="J19" s="1441"/>
      <c r="K19" s="431"/>
      <c r="L19" s="179">
        <f>SUM(L17:L18)</f>
        <v>265334</v>
      </c>
      <c r="M19" s="431">
        <f>L19/H19</f>
        <v>1.0509983799349598</v>
      </c>
      <c r="N19" s="446"/>
      <c r="O19" s="307">
        <f t="shared" si="0"/>
        <v>265334</v>
      </c>
      <c r="P19" s="431">
        <f>O19/H19</f>
        <v>1.0509983799349598</v>
      </c>
    </row>
    <row r="20" spans="1:16" ht="30" customHeight="1" x14ac:dyDescent="0.3">
      <c r="A20" s="1441" t="s">
        <v>1593</v>
      </c>
      <c r="B20" s="1441" t="s">
        <v>1592</v>
      </c>
      <c r="C20" s="493" t="s">
        <v>59</v>
      </c>
      <c r="D20" s="493" t="s">
        <v>60</v>
      </c>
      <c r="E20" s="493">
        <v>0</v>
      </c>
      <c r="F20" s="453">
        <v>13336802</v>
      </c>
      <c r="G20" s="32">
        <f t="shared" ref="G20:G21" si="5">+ROUND(F20*1.051,0)</f>
        <v>14016979</v>
      </c>
      <c r="H20" s="453">
        <f>ROUND((E20*F20),0)</f>
        <v>0</v>
      </c>
      <c r="I20" s="32">
        <f t="shared" ref="I20:I21" si="6">+ROUND(G20*E20,0)</f>
        <v>0</v>
      </c>
      <c r="J20" s="1441" t="s">
        <v>1591</v>
      </c>
      <c r="K20" s="452">
        <v>0</v>
      </c>
      <c r="L20" s="425">
        <f t="shared" ref="L20:L21" si="7">ROUND(K20*G20,0)</f>
        <v>0</v>
      </c>
      <c r="M20" s="604">
        <v>0</v>
      </c>
      <c r="N20" s="450">
        <f>K20</f>
        <v>0</v>
      </c>
      <c r="O20" s="175">
        <f t="shared" si="0"/>
        <v>0</v>
      </c>
      <c r="P20" s="176">
        <v>0</v>
      </c>
    </row>
    <row r="21" spans="1:16" ht="30" customHeight="1" x14ac:dyDescent="0.3">
      <c r="A21" s="1441"/>
      <c r="B21" s="1441"/>
      <c r="C21" s="493" t="s">
        <v>61</v>
      </c>
      <c r="D21" s="493" t="s">
        <v>62</v>
      </c>
      <c r="E21" s="493">
        <v>0.05</v>
      </c>
      <c r="F21" s="453">
        <v>5049181</v>
      </c>
      <c r="G21" s="32">
        <f t="shared" si="5"/>
        <v>5306689</v>
      </c>
      <c r="H21" s="453">
        <f>ROUND((E21*F21),0)</f>
        <v>252459</v>
      </c>
      <c r="I21" s="32">
        <f t="shared" si="6"/>
        <v>265334</v>
      </c>
      <c r="J21" s="1441"/>
      <c r="K21" s="474">
        <v>0.05</v>
      </c>
      <c r="L21" s="429">
        <f t="shared" si="7"/>
        <v>265334</v>
      </c>
      <c r="M21" s="534">
        <f t="shared" ref="M21" si="8">+L21/I21</f>
        <v>1</v>
      </c>
      <c r="N21" s="450">
        <f>K21</f>
        <v>0.05</v>
      </c>
      <c r="O21" s="175">
        <f t="shared" si="0"/>
        <v>265334</v>
      </c>
      <c r="P21" s="176">
        <f>O21/H21</f>
        <v>1.0509983799349598</v>
      </c>
    </row>
    <row r="22" spans="1:16" ht="15" customHeight="1" x14ac:dyDescent="0.3">
      <c r="A22" s="1441"/>
      <c r="B22" s="1441"/>
      <c r="C22" s="449"/>
      <c r="D22" s="449" t="s">
        <v>63</v>
      </c>
      <c r="E22" s="448"/>
      <c r="F22" s="448"/>
      <c r="G22" s="448"/>
      <c r="H22" s="447">
        <f>SUM(H20:H21)</f>
        <v>252459</v>
      </c>
      <c r="I22" s="447">
        <f>SUM(I20:I21)</f>
        <v>265334</v>
      </c>
      <c r="J22" s="1441"/>
      <c r="K22" s="431"/>
      <c r="L22" s="179">
        <f>SUM(L20:L21)</f>
        <v>265334</v>
      </c>
      <c r="M22" s="431">
        <f>L22/H22</f>
        <v>1.0509983799349598</v>
      </c>
      <c r="N22" s="446"/>
      <c r="O22" s="307">
        <f t="shared" si="0"/>
        <v>265334</v>
      </c>
      <c r="P22" s="431">
        <f>O22/H22</f>
        <v>1.0509983799349598</v>
      </c>
    </row>
    <row r="23" spans="1:16" x14ac:dyDescent="0.3">
      <c r="F23" s="445" t="s">
        <v>64</v>
      </c>
      <c r="G23" s="445"/>
      <c r="H23" s="340">
        <f>SUM(H14:H22)/2</f>
        <v>757377</v>
      </c>
      <c r="I23" s="340">
        <f>SUM(I14:I22)/2</f>
        <v>796002</v>
      </c>
      <c r="K23" s="547" t="s">
        <v>64</v>
      </c>
      <c r="L23" s="550">
        <f>SUM(L14:L22)/2</f>
        <v>796002</v>
      </c>
      <c r="N23" s="547" t="s">
        <v>64</v>
      </c>
      <c r="O23" s="550">
        <f>SUM(O14:O22)/2</f>
        <v>796002</v>
      </c>
    </row>
    <row r="24" spans="1:16" x14ac:dyDescent="0.3">
      <c r="F24" s="444" t="s">
        <v>65</v>
      </c>
      <c r="G24" s="444"/>
      <c r="H24" s="181">
        <v>0</v>
      </c>
      <c r="I24" s="181">
        <v>0</v>
      </c>
      <c r="K24" s="548" t="s">
        <v>65</v>
      </c>
      <c r="L24" s="481">
        <v>0</v>
      </c>
      <c r="N24" s="548" t="s">
        <v>65</v>
      </c>
      <c r="O24" s="481">
        <v>0</v>
      </c>
    </row>
    <row r="25" spans="1:16" x14ac:dyDescent="0.3">
      <c r="F25" s="443" t="s">
        <v>64</v>
      </c>
      <c r="G25" s="443"/>
      <c r="H25" s="340">
        <f>SUM(H23:H24)</f>
        <v>757377</v>
      </c>
      <c r="I25" s="340">
        <f>SUM(I23:I24)</f>
        <v>796002</v>
      </c>
      <c r="K25" s="549" t="s">
        <v>64</v>
      </c>
      <c r="L25" s="550">
        <f>SUM(L23:L24)</f>
        <v>796002</v>
      </c>
      <c r="N25" s="549" t="s">
        <v>64</v>
      </c>
      <c r="O25" s="550">
        <f>SUM(O23:O24)</f>
        <v>796002</v>
      </c>
    </row>
    <row r="26" spans="1:16" ht="26.4" x14ac:dyDescent="0.3">
      <c r="F26" s="443"/>
      <c r="G26" s="443"/>
      <c r="H26" s="340"/>
      <c r="I26" s="340"/>
      <c r="K26" s="501" t="s">
        <v>1439</v>
      </c>
      <c r="L26" s="483">
        <f>ROUND(L25*0.015,0)</f>
        <v>11940</v>
      </c>
      <c r="N26" s="501" t="s">
        <v>1439</v>
      </c>
      <c r="O26" s="550">
        <f>L26</f>
        <v>11940</v>
      </c>
    </row>
    <row r="27" spans="1:16" ht="26.4" x14ac:dyDescent="0.3">
      <c r="F27" s="443"/>
      <c r="G27" s="443"/>
      <c r="H27" s="340"/>
      <c r="I27" s="340"/>
      <c r="K27" s="96" t="s">
        <v>1440</v>
      </c>
      <c r="L27" s="182">
        <f>L25+L26</f>
        <v>807942</v>
      </c>
      <c r="M27" s="577">
        <f>L27/H25</f>
        <v>1.0667633160235919</v>
      </c>
      <c r="N27" s="96" t="s">
        <v>1440</v>
      </c>
      <c r="O27" s="182">
        <f>O25+O26</f>
        <v>807942</v>
      </c>
      <c r="P27" s="577">
        <f>O27/H25</f>
        <v>1.0667633160235919</v>
      </c>
    </row>
    <row r="28" spans="1:16" x14ac:dyDescent="0.3">
      <c r="F28" s="442" t="s">
        <v>66</v>
      </c>
      <c r="G28" s="442"/>
      <c r="H28" s="181">
        <f>+H25*19%</f>
        <v>143901.63</v>
      </c>
      <c r="I28" s="181">
        <f>+I25*19%</f>
        <v>151240.38</v>
      </c>
      <c r="K28" s="551" t="s">
        <v>66</v>
      </c>
      <c r="L28" s="483">
        <f>L27*0.19</f>
        <v>153508.98000000001</v>
      </c>
      <c r="N28" s="551" t="s">
        <v>66</v>
      </c>
      <c r="O28" s="483">
        <f>O27*0.19</f>
        <v>153508.98000000001</v>
      </c>
    </row>
    <row r="29" spans="1:16" x14ac:dyDescent="0.3">
      <c r="F29" s="441" t="s">
        <v>69</v>
      </c>
      <c r="G29" s="441"/>
      <c r="H29" s="181">
        <f>+H25+H28</f>
        <v>901278.63</v>
      </c>
      <c r="I29" s="181">
        <f>+I25+I28</f>
        <v>947242.38</v>
      </c>
      <c r="K29" s="552" t="s">
        <v>69</v>
      </c>
      <c r="L29" s="481">
        <f>L27+L28</f>
        <v>961450.98</v>
      </c>
      <c r="N29" s="552" t="s">
        <v>69</v>
      </c>
      <c r="O29" s="481">
        <f>O27+O28</f>
        <v>961450.98</v>
      </c>
    </row>
    <row r="30" spans="1:16" x14ac:dyDescent="0.3">
      <c r="K30" s="563"/>
      <c r="L30" s="563"/>
    </row>
    <row r="32" spans="1:16" s="189" customFormat="1" x14ac:dyDescent="0.3">
      <c r="A32" s="183" t="s">
        <v>67</v>
      </c>
      <c r="B32" s="184"/>
      <c r="C32" s="184"/>
      <c r="D32" s="185" t="s">
        <v>68</v>
      </c>
      <c r="G32" s="852"/>
      <c r="I32" s="852"/>
      <c r="K32" s="186" t="s">
        <v>70</v>
      </c>
      <c r="L32" s="187" t="s">
        <v>71</v>
      </c>
      <c r="M32" s="186" t="s">
        <v>58</v>
      </c>
      <c r="N32" s="437"/>
      <c r="O32" s="437"/>
      <c r="P32" s="437"/>
    </row>
    <row r="33" spans="1:16" s="189" customFormat="1" x14ac:dyDescent="0.3">
      <c r="A33" s="183"/>
      <c r="B33" s="184"/>
      <c r="C33" s="184"/>
      <c r="D33" s="185"/>
      <c r="G33" s="852"/>
      <c r="I33" s="852"/>
      <c r="K33" s="69" t="s">
        <v>72</v>
      </c>
      <c r="L33" s="70">
        <f>L27</f>
        <v>807942</v>
      </c>
      <c r="M33" s="360">
        <f>M27</f>
        <v>1.0667633160235919</v>
      </c>
      <c r="N33" s="437"/>
      <c r="O33" s="437"/>
      <c r="P33" s="437"/>
    </row>
    <row r="34" spans="1:16" s="189" customFormat="1" x14ac:dyDescent="0.3">
      <c r="A34" s="183"/>
      <c r="B34" s="184"/>
      <c r="C34" s="184"/>
      <c r="D34" s="185"/>
      <c r="G34" s="852"/>
      <c r="I34" s="852"/>
      <c r="K34" s="72" t="s">
        <v>1</v>
      </c>
      <c r="L34" s="105">
        <f>SUM(L33:L33)</f>
        <v>807942</v>
      </c>
      <c r="M34" s="361">
        <f>SUM(M33:M33)</f>
        <v>1.0667633160235919</v>
      </c>
      <c r="N34" s="437"/>
      <c r="O34" s="437"/>
      <c r="P34" s="437"/>
    </row>
    <row r="35" spans="1:16" s="189" customFormat="1" x14ac:dyDescent="0.3">
      <c r="A35" s="183"/>
      <c r="B35" s="184"/>
      <c r="C35" s="184"/>
      <c r="D35" s="185"/>
      <c r="G35" s="852"/>
      <c r="I35" s="852"/>
      <c r="K35" s="72" t="s">
        <v>9</v>
      </c>
      <c r="L35" s="1423"/>
      <c r="M35" s="1424"/>
      <c r="N35" s="437"/>
      <c r="O35" s="437"/>
      <c r="P35" s="437"/>
    </row>
    <row r="36" spans="1:16" s="189" customFormat="1" x14ac:dyDescent="0.3">
      <c r="A36" s="183"/>
      <c r="B36" s="184"/>
      <c r="C36" s="184"/>
      <c r="D36" s="185"/>
      <c r="G36" s="852"/>
      <c r="I36" s="852"/>
      <c r="K36" s="440" t="s">
        <v>78</v>
      </c>
      <c r="L36" s="1423" t="s">
        <v>2298</v>
      </c>
      <c r="M36" s="1424"/>
      <c r="N36" s="437"/>
      <c r="O36" s="437"/>
      <c r="P36" s="437"/>
    </row>
    <row r="37" spans="1:16" s="189" customFormat="1" x14ac:dyDescent="0.3">
      <c r="A37" s="183"/>
      <c r="B37" s="184"/>
      <c r="C37" s="184"/>
      <c r="D37" s="185"/>
      <c r="G37" s="852"/>
      <c r="I37" s="852"/>
      <c r="K37" s="439" t="s">
        <v>8</v>
      </c>
      <c r="L37" s="1425" t="s">
        <v>2299</v>
      </c>
      <c r="M37" s="1426"/>
      <c r="N37" s="437"/>
      <c r="O37" s="437"/>
      <c r="P37" s="437"/>
    </row>
    <row r="38" spans="1:16" s="189" customFormat="1" x14ac:dyDescent="0.3">
      <c r="A38" s="183"/>
      <c r="B38" s="184"/>
      <c r="C38" s="184"/>
      <c r="D38" s="185" t="s">
        <v>75</v>
      </c>
      <c r="G38" s="852"/>
      <c r="I38" s="852"/>
    </row>
    <row r="39" spans="1:16" s="189" customFormat="1" x14ac:dyDescent="0.3">
      <c r="A39" s="183" t="s">
        <v>76</v>
      </c>
      <c r="B39" s="180"/>
      <c r="C39" s="180"/>
      <c r="D39" s="185" t="s">
        <v>77</v>
      </c>
      <c r="G39" s="852"/>
      <c r="I39" s="852"/>
    </row>
    <row r="40" spans="1:16" s="189" customFormat="1" ht="26.4" x14ac:dyDescent="0.3">
      <c r="A40" s="183" t="s">
        <v>79</v>
      </c>
      <c r="B40" s="180"/>
      <c r="C40" s="180"/>
      <c r="D40" s="185" t="s">
        <v>80</v>
      </c>
      <c r="G40" s="852"/>
      <c r="I40" s="852"/>
    </row>
  </sheetData>
  <sheetProtection formatCells="0" formatColumns="0" formatRows="0" insertColumns="0" insertRows="0" insertHyperlinks="0" deleteColumns="0" deleteRows="0" sort="0" autoFilter="0" pivotTables="0"/>
  <mergeCells count="27">
    <mergeCell ref="L35:M35"/>
    <mergeCell ref="L36:M36"/>
    <mergeCell ref="L37:M37"/>
    <mergeCell ref="B11:J11"/>
    <mergeCell ref="K11:M12"/>
    <mergeCell ref="N11:P12"/>
    <mergeCell ref="B12:J12"/>
    <mergeCell ref="A6:P6"/>
    <mergeCell ref="A7:P7"/>
    <mergeCell ref="A8:P8"/>
    <mergeCell ref="A9:P9"/>
    <mergeCell ref="A10:P10"/>
    <mergeCell ref="N1:P1"/>
    <mergeCell ref="N2:P2"/>
    <mergeCell ref="A3:P3"/>
    <mergeCell ref="A4:P4"/>
    <mergeCell ref="A5:P5"/>
    <mergeCell ref="C1:M2"/>
    <mergeCell ref="A20:A22"/>
    <mergeCell ref="B20:B22"/>
    <mergeCell ref="J20:J22"/>
    <mergeCell ref="A14:A16"/>
    <mergeCell ref="B14:B16"/>
    <mergeCell ref="J14:J16"/>
    <mergeCell ref="A17:A19"/>
    <mergeCell ref="B17:B19"/>
    <mergeCell ref="J17:J19"/>
  </mergeCells>
  <pageMargins left="0.7" right="0.7" top="0.75" bottom="0.75" header="0.3" footer="0.3"/>
  <pageSetup scale="42" orientation="landscape" r:id="rId1"/>
  <drawing r:id="rId2"/>
  <legacyDrawingHF r:id="rId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0">
    <tabColor theme="1"/>
  </sheetPr>
  <dimension ref="A1:G49"/>
  <sheetViews>
    <sheetView zoomScaleNormal="100" zoomScaleSheetLayoutView="90" workbookViewId="0">
      <selection activeCell="G13" sqref="G1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RESUMEN!G98</f>
        <v>Proyecto: CDIM_CBSGSM_R0146 - NORMALIZACIÓN Y REPOSICIÓN EL SOL</v>
      </c>
      <c r="C5" s="1281"/>
      <c r="D5" s="1281"/>
      <c r="E5" s="1281"/>
      <c r="F5" s="1281"/>
      <c r="G5" s="1282"/>
    </row>
    <row r="6" spans="1:7" x14ac:dyDescent="0.25">
      <c r="A6" s="1177"/>
      <c r="B6" s="1177"/>
      <c r="C6" s="1177"/>
      <c r="D6" s="1177"/>
      <c r="E6" s="1177"/>
      <c r="F6" s="1177"/>
      <c r="G6" s="1177"/>
    </row>
    <row r="7" spans="1:7" x14ac:dyDescent="0.25">
      <c r="A7" s="271" t="s">
        <v>0</v>
      </c>
      <c r="B7" s="1264" t="str">
        <f>RESUMEN!B98</f>
        <v xml:space="preserve">D00249502 </v>
      </c>
      <c r="C7" s="1265"/>
      <c r="D7" s="1177"/>
      <c r="E7" s="1266" t="s">
        <v>627</v>
      </c>
      <c r="F7" s="1267"/>
      <c r="G7" s="280" t="str">
        <f>RESUMEN!E98</f>
        <v>17-379</v>
      </c>
    </row>
    <row r="8" spans="1:7" x14ac:dyDescent="0.25">
      <c r="A8" s="271" t="s">
        <v>628</v>
      </c>
      <c r="B8" s="1264" t="str">
        <f>RESUMEN!C98</f>
        <v>D00249502000</v>
      </c>
      <c r="C8" s="1265"/>
      <c r="D8" s="1177"/>
      <c r="E8" s="1266" t="s">
        <v>629</v>
      </c>
      <c r="F8" s="1267"/>
      <c r="G8" s="280" t="str">
        <f>RESUMEN!U98</f>
        <v>Acta N° 3: Febrero</v>
      </c>
    </row>
    <row r="9" spans="1:7" x14ac:dyDescent="0.25">
      <c r="A9" s="271" t="s">
        <v>630</v>
      </c>
      <c r="B9" s="1283" t="s">
        <v>631</v>
      </c>
      <c r="C9" s="1265"/>
      <c r="D9" s="1177"/>
      <c r="E9" s="1266" t="s">
        <v>632</v>
      </c>
      <c r="F9" s="1267"/>
      <c r="G9" s="1178">
        <f>RESUMEN!H98</f>
        <v>7601628</v>
      </c>
    </row>
    <row r="10" spans="1:7" x14ac:dyDescent="0.25">
      <c r="A10" s="271" t="s">
        <v>633</v>
      </c>
      <c r="B10" s="1283" t="str">
        <f>RESUMEN!D98</f>
        <v>EL SOL</v>
      </c>
      <c r="C10" s="1265"/>
      <c r="D10" s="1177"/>
      <c r="E10" s="1266" t="s">
        <v>634</v>
      </c>
      <c r="F10" s="1267"/>
      <c r="G10" s="1178">
        <f>RESUMEN!R98</f>
        <v>1326141</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",RESUMEN!G98)</f>
        <v>A los 14 días del mes de Marzo se reunieron en las instalaciones de CODENSA S.A. E.S.P., los ingenieros Ing.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CDIM_CBSGSM_R0146 - NORMALIZACIÓN Y REPOSICIÓN EL SOL</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RESUMEN!N98</f>
        <v>1306543</v>
      </c>
      <c r="F19" s="1248"/>
      <c r="G19" s="1177"/>
    </row>
    <row r="20" spans="1:7" ht="27" customHeight="1" x14ac:dyDescent="0.25">
      <c r="A20" s="1177"/>
      <c r="B20" s="1244" t="s">
        <v>1498</v>
      </c>
      <c r="C20" s="1245"/>
      <c r="D20" s="1246"/>
      <c r="E20" s="1247">
        <f>RESUMEN!P98</f>
        <v>0</v>
      </c>
      <c r="F20" s="1248"/>
      <c r="G20" s="1177"/>
    </row>
    <row r="21" spans="1:7" ht="27" customHeight="1" x14ac:dyDescent="0.25">
      <c r="A21" s="1177"/>
      <c r="B21" s="1244" t="s">
        <v>1499</v>
      </c>
      <c r="C21" s="1245"/>
      <c r="D21" s="1246"/>
      <c r="E21" s="1247">
        <f>RESUMEN!Q98</f>
        <v>19598</v>
      </c>
      <c r="F21" s="1248"/>
      <c r="G21" s="1177"/>
    </row>
    <row r="22" spans="1:7" x14ac:dyDescent="0.25">
      <c r="A22" s="1177"/>
      <c r="B22" s="1254" t="s">
        <v>64</v>
      </c>
      <c r="C22" s="1254"/>
      <c r="D22" s="1254"/>
      <c r="E22" s="1255">
        <f>RESUMEN!R98</f>
        <v>1326141</v>
      </c>
      <c r="F22" s="1255"/>
      <c r="G22" s="1177"/>
    </row>
    <row r="23" spans="1:7" x14ac:dyDescent="0.25">
      <c r="A23" s="1177"/>
      <c r="B23" s="1256" t="s">
        <v>66</v>
      </c>
      <c r="C23" s="1256"/>
      <c r="D23" s="1256"/>
      <c r="E23" s="1257">
        <f>RESUMEN!S98</f>
        <v>251966.79</v>
      </c>
      <c r="F23" s="1257"/>
      <c r="G23" s="1177"/>
    </row>
    <row r="24" spans="1:7" x14ac:dyDescent="0.25">
      <c r="A24" s="1177"/>
      <c r="B24" s="1258" t="s">
        <v>1</v>
      </c>
      <c r="C24" s="1258"/>
      <c r="D24" s="1258"/>
      <c r="E24" s="1259">
        <f>RESUMEN!T98</f>
        <v>1578107.79</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RESUMEN!V98</f>
        <v>Ing.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21:D21"/>
    <mergeCell ref="E21:F21"/>
    <mergeCell ref="A48:C48"/>
    <mergeCell ref="E48:G48"/>
    <mergeCell ref="A49:C49"/>
    <mergeCell ref="E49:G49"/>
    <mergeCell ref="A41:C41"/>
    <mergeCell ref="E41:G41"/>
    <mergeCell ref="A42:C42"/>
    <mergeCell ref="E42:G42"/>
    <mergeCell ref="A47:C47"/>
    <mergeCell ref="E47:G47"/>
    <mergeCell ref="C32:D32"/>
    <mergeCell ref="C33:D33"/>
    <mergeCell ref="C34:D34"/>
    <mergeCell ref="A36:G36"/>
    <mergeCell ref="A40:C40"/>
    <mergeCell ref="E40:G40"/>
    <mergeCell ref="C31:D31"/>
    <mergeCell ref="B22:D22"/>
    <mergeCell ref="E22:F22"/>
    <mergeCell ref="B23:D23"/>
    <mergeCell ref="E23:F23"/>
    <mergeCell ref="B24:D24"/>
    <mergeCell ref="E24:F24"/>
    <mergeCell ref="C28:D28"/>
    <mergeCell ref="C29:D29"/>
    <mergeCell ref="C30:D30"/>
    <mergeCell ref="C27:D27"/>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1" orientation="portrait" r:id="rId1"/>
  <drawing r:id="rId2"/>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1">
    <tabColor rgb="FF72104A"/>
    <pageSetUpPr fitToPage="1"/>
  </sheetPr>
  <dimension ref="A1:V43"/>
  <sheetViews>
    <sheetView view="pageBreakPreview" topLeftCell="I13" zoomScale="80" zoomScaleNormal="60" zoomScaleSheetLayoutView="80" workbookViewId="0">
      <selection activeCell="G21" sqref="G21"/>
    </sheetView>
  </sheetViews>
  <sheetFormatPr baseColWidth="10" defaultColWidth="9.109375" defaultRowHeight="14.4" x14ac:dyDescent="0.3"/>
  <cols>
    <col min="1" max="1" width="19.88671875" style="437" customWidth="1"/>
    <col min="2" max="2" width="33.88671875" style="437" customWidth="1"/>
    <col min="3" max="3" width="35.6640625" style="437" customWidth="1"/>
    <col min="4" max="4" width="32.6640625" style="437" customWidth="1"/>
    <col min="5" max="5" width="13" style="437" customWidth="1"/>
    <col min="6" max="7" width="17.6640625" style="437" customWidth="1"/>
    <col min="8" max="9" width="16.6640625" style="437" customWidth="1"/>
    <col min="10" max="10" width="35.6640625" style="437" customWidth="1"/>
    <col min="11" max="11" width="17.44140625" style="437" hidden="1" customWidth="1"/>
    <col min="12" max="12" width="18" style="437" hidden="1" customWidth="1"/>
    <col min="13" max="13" width="9.109375" style="437" hidden="1" customWidth="1"/>
    <col min="14" max="14" width="17.44140625" style="437" hidden="1" customWidth="1"/>
    <col min="15" max="15" width="21.33203125" style="437" hidden="1" customWidth="1"/>
    <col min="16" max="16" width="0" style="437" hidden="1" customWidth="1"/>
    <col min="17" max="17" width="17.44140625" style="437" customWidth="1"/>
    <col min="18" max="18" width="18" style="437" bestFit="1" customWidth="1"/>
    <col min="19" max="19" width="9.109375" style="437"/>
    <col min="20" max="20" width="17.88671875" style="437" bestFit="1" customWidth="1"/>
    <col min="21" max="21" width="17" style="437" bestFit="1" customWidth="1"/>
    <col min="22" max="22" width="9.5546875" style="437" customWidth="1"/>
    <col min="23"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600"/>
      <c r="O1" s="600"/>
      <c r="P1" s="600"/>
      <c r="Q1" s="721"/>
      <c r="R1" s="721"/>
      <c r="S1" s="721"/>
      <c r="T1" s="1328" t="s">
        <v>1603</v>
      </c>
      <c r="U1" s="1303"/>
      <c r="V1" s="1304"/>
    </row>
    <row r="2" spans="1:22" ht="13.5" customHeight="1" thickBot="1" x14ac:dyDescent="0.35">
      <c r="A2" s="170"/>
      <c r="B2" s="190"/>
      <c r="C2" s="1310"/>
      <c r="D2" s="1311"/>
      <c r="E2" s="1311"/>
      <c r="F2" s="1311"/>
      <c r="G2" s="1311"/>
      <c r="H2" s="1311"/>
      <c r="I2" s="1311"/>
      <c r="J2" s="1311"/>
      <c r="K2" s="1311"/>
      <c r="L2" s="1311"/>
      <c r="M2" s="1311"/>
      <c r="N2" s="601"/>
      <c r="O2" s="601"/>
      <c r="P2" s="601"/>
      <c r="Q2" s="722"/>
      <c r="R2" s="722"/>
      <c r="S2" s="722"/>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1602</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2089</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2087</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1601</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91"/>
      <c r="B11" s="1301"/>
      <c r="C11" s="1313"/>
      <c r="D11" s="1313"/>
      <c r="E11" s="1313"/>
      <c r="F11" s="1313"/>
      <c r="G11" s="1313"/>
      <c r="H11" s="1313"/>
      <c r="I11" s="1313"/>
      <c r="J11" s="1313"/>
      <c r="K11" s="1470" t="s">
        <v>1529</v>
      </c>
      <c r="L11" s="1471"/>
      <c r="M11" s="1472"/>
      <c r="N11" s="1470" t="s">
        <v>1725</v>
      </c>
      <c r="O11" s="1471"/>
      <c r="P11" s="1472"/>
      <c r="Q11" s="1470" t="s">
        <v>2088</v>
      </c>
      <c r="R11" s="1471"/>
      <c r="S11" s="1472"/>
      <c r="T11" s="1299" t="s">
        <v>49</v>
      </c>
      <c r="U11" s="1299"/>
      <c r="V11" s="1299"/>
    </row>
    <row r="12" spans="1:22" ht="13.5" customHeight="1" x14ac:dyDescent="0.3">
      <c r="A12" s="171"/>
      <c r="B12" s="1301"/>
      <c r="C12" s="1302"/>
      <c r="D12" s="1302"/>
      <c r="E12" s="1302"/>
      <c r="F12" s="1302"/>
      <c r="G12" s="1302"/>
      <c r="H12" s="1302"/>
      <c r="I12" s="1302"/>
      <c r="J12" s="1302"/>
      <c r="K12" s="1473"/>
      <c r="L12" s="1474"/>
      <c r="M12" s="1475"/>
      <c r="N12" s="1473"/>
      <c r="O12" s="1474"/>
      <c r="P12" s="1475"/>
      <c r="Q12" s="1473"/>
      <c r="R12" s="1474"/>
      <c r="S12" s="1475"/>
      <c r="T12" s="1300"/>
      <c r="U12" s="1300"/>
      <c r="V12" s="1300"/>
    </row>
    <row r="13" spans="1:22" ht="28.8" x14ac:dyDescent="0.3">
      <c r="A13" s="461" t="s">
        <v>50</v>
      </c>
      <c r="B13" s="461" t="s">
        <v>51</v>
      </c>
      <c r="C13" s="461" t="s">
        <v>52</v>
      </c>
      <c r="D13" s="461" t="s">
        <v>164</v>
      </c>
      <c r="E13" s="461" t="s">
        <v>54</v>
      </c>
      <c r="F13" s="462" t="s">
        <v>55</v>
      </c>
      <c r="G13" s="821" t="s">
        <v>2007</v>
      </c>
      <c r="H13" s="461" t="s">
        <v>56</v>
      </c>
      <c r="I13" s="822" t="s">
        <v>56</v>
      </c>
      <c r="J13" s="504" t="s">
        <v>57</v>
      </c>
      <c r="K13" s="502" t="s">
        <v>54</v>
      </c>
      <c r="L13" s="502" t="s">
        <v>56</v>
      </c>
      <c r="M13" s="502" t="s">
        <v>58</v>
      </c>
      <c r="N13" s="502" t="s">
        <v>54</v>
      </c>
      <c r="O13" s="502" t="s">
        <v>56</v>
      </c>
      <c r="P13" s="502" t="s">
        <v>58</v>
      </c>
      <c r="Q13" s="502" t="s">
        <v>54</v>
      </c>
      <c r="R13" s="502" t="s">
        <v>56</v>
      </c>
      <c r="S13" s="502" t="s">
        <v>58</v>
      </c>
      <c r="T13" s="174" t="s">
        <v>54</v>
      </c>
      <c r="U13" s="172" t="s">
        <v>56</v>
      </c>
      <c r="V13" s="502" t="s">
        <v>58</v>
      </c>
    </row>
    <row r="14" spans="1:22" ht="30" customHeight="1" x14ac:dyDescent="0.3">
      <c r="A14" s="1441" t="s">
        <v>288</v>
      </c>
      <c r="B14" s="1441" t="s">
        <v>243</v>
      </c>
      <c r="C14" s="493" t="s">
        <v>59</v>
      </c>
      <c r="D14" s="493" t="s">
        <v>141</v>
      </c>
      <c r="E14" s="493">
        <v>1</v>
      </c>
      <c r="F14" s="453">
        <v>940192</v>
      </c>
      <c r="G14" s="32">
        <f>+ROUND(F14*1.051,0)</f>
        <v>988142</v>
      </c>
      <c r="H14" s="453">
        <f>ROUND((E14*F14),0)</f>
        <v>940192</v>
      </c>
      <c r="I14" s="32">
        <f>+ROUND(G14*E14,0)</f>
        <v>988142</v>
      </c>
      <c r="J14" s="1503" t="s">
        <v>1600</v>
      </c>
      <c r="K14" s="452">
        <v>0</v>
      </c>
      <c r="L14" s="425">
        <f>ROUND(K14*F14,0)</f>
        <v>0</v>
      </c>
      <c r="M14" s="426">
        <f t="shared" ref="M14:M24" si="0">L14/H14</f>
        <v>0</v>
      </c>
      <c r="N14" s="629">
        <f>1*70%</f>
        <v>0.7</v>
      </c>
      <c r="O14" s="429">
        <f>ROUND(N14*F14,0)</f>
        <v>658134</v>
      </c>
      <c r="P14" s="430">
        <f>O14/H14</f>
        <v>0.69999957455498452</v>
      </c>
      <c r="Q14" s="578">
        <v>0.3</v>
      </c>
      <c r="R14" s="429">
        <f>ROUND(Q14*G14,0)</f>
        <v>296443</v>
      </c>
      <c r="S14" s="430">
        <f>R14/I14</f>
        <v>0.3000004048001198</v>
      </c>
      <c r="T14" s="745">
        <f>K14+N14+Q14</f>
        <v>1</v>
      </c>
      <c r="U14" s="175">
        <f>L14+O14+R14</f>
        <v>954577</v>
      </c>
      <c r="V14" s="176">
        <f t="shared" ref="V14:V20" si="1">U14/H14</f>
        <v>1.0153000663694225</v>
      </c>
    </row>
    <row r="15" spans="1:22" ht="30" customHeight="1" x14ac:dyDescent="0.3">
      <c r="A15" s="1441"/>
      <c r="B15" s="1441"/>
      <c r="C15" s="493" t="s">
        <v>61</v>
      </c>
      <c r="D15" s="493" t="s">
        <v>142</v>
      </c>
      <c r="E15" s="493">
        <v>0.3</v>
      </c>
      <c r="F15" s="453">
        <v>2890220</v>
      </c>
      <c r="G15" s="32">
        <f>+ROUND(F15*1.051,0)</f>
        <v>3037621</v>
      </c>
      <c r="H15" s="453">
        <f>ROUND((E15*F15),0)</f>
        <v>867066</v>
      </c>
      <c r="I15" s="32">
        <f>+ROUND(G15*E15,0)</f>
        <v>911286</v>
      </c>
      <c r="J15" s="1503"/>
      <c r="K15" s="474">
        <v>0.3</v>
      </c>
      <c r="L15" s="429">
        <f>ROUND(K15*F15,0)</f>
        <v>867066</v>
      </c>
      <c r="M15" s="430">
        <f t="shared" si="0"/>
        <v>1</v>
      </c>
      <c r="N15" s="452">
        <v>0</v>
      </c>
      <c r="O15" s="425">
        <f>ROUND(N15*F15,0)</f>
        <v>0</v>
      </c>
      <c r="P15" s="426">
        <f>O15/H15</f>
        <v>0</v>
      </c>
      <c r="Q15" s="878">
        <v>0</v>
      </c>
      <c r="R15" s="425">
        <f>ROUND(Q15*G15,0)</f>
        <v>0</v>
      </c>
      <c r="S15" s="426">
        <f>R15/I15</f>
        <v>0</v>
      </c>
      <c r="T15" s="745">
        <f>K15+N15+Q15</f>
        <v>0.3</v>
      </c>
      <c r="U15" s="175">
        <f>L15+O15+R15</f>
        <v>867066</v>
      </c>
      <c r="V15" s="176">
        <f t="shared" si="1"/>
        <v>1</v>
      </c>
    </row>
    <row r="16" spans="1:22" x14ac:dyDescent="0.3">
      <c r="A16" s="1441"/>
      <c r="B16" s="1441"/>
      <c r="C16" s="459"/>
      <c r="D16" s="459" t="s">
        <v>143</v>
      </c>
      <c r="E16" s="458"/>
      <c r="F16" s="458"/>
      <c r="G16" s="458"/>
      <c r="H16" s="457">
        <f>SUM(H14:H15)</f>
        <v>1807258</v>
      </c>
      <c r="I16" s="457">
        <f>SUM(I14:I15)</f>
        <v>1899428</v>
      </c>
      <c r="J16" s="493"/>
      <c r="K16" s="431"/>
      <c r="L16" s="179">
        <f>SUM(L14:L15)</f>
        <v>867066</v>
      </c>
      <c r="M16" s="431">
        <f t="shared" si="0"/>
        <v>0.47976879892079605</v>
      </c>
      <c r="N16" s="431"/>
      <c r="O16" s="179">
        <f>SUM(O14:O15)</f>
        <v>658134</v>
      </c>
      <c r="P16" s="431">
        <f>O16/H16</f>
        <v>0.36416161942567138</v>
      </c>
      <c r="Q16" s="431"/>
      <c r="R16" s="179">
        <f>SUM(R14:R15)</f>
        <v>296443</v>
      </c>
      <c r="S16" s="431">
        <f>R16/H16</f>
        <v>0.16402915355748876</v>
      </c>
      <c r="T16" s="446"/>
      <c r="U16" s="307">
        <f>SUM(U14:U15)</f>
        <v>1821643</v>
      </c>
      <c r="V16" s="431">
        <f t="shared" si="1"/>
        <v>1.0079595719039562</v>
      </c>
    </row>
    <row r="17" spans="1:22" ht="30" customHeight="1" x14ac:dyDescent="0.3">
      <c r="A17" s="1441" t="s">
        <v>288</v>
      </c>
      <c r="B17" s="1441" t="s">
        <v>244</v>
      </c>
      <c r="C17" s="493" t="s">
        <v>245</v>
      </c>
      <c r="D17" s="493" t="s">
        <v>246</v>
      </c>
      <c r="E17" s="493">
        <v>1</v>
      </c>
      <c r="F17" s="453">
        <v>1845563</v>
      </c>
      <c r="G17" s="32">
        <f>+ROUND(F17*1.051,0)</f>
        <v>1939687</v>
      </c>
      <c r="H17" s="453">
        <f>ROUND((E17*F17),0)</f>
        <v>1845563</v>
      </c>
      <c r="I17" s="32">
        <f>+ROUND(G17*E17,0)</f>
        <v>1939687</v>
      </c>
      <c r="J17" s="494" t="s">
        <v>1599</v>
      </c>
      <c r="K17" s="578">
        <v>0.3</v>
      </c>
      <c r="L17" s="429">
        <f>ROUND(K17*F17,0)</f>
        <v>553669</v>
      </c>
      <c r="M17" s="430">
        <f t="shared" si="0"/>
        <v>0.30000005418400782</v>
      </c>
      <c r="N17" s="474">
        <f>0.7*70%</f>
        <v>0.48999999999999994</v>
      </c>
      <c r="O17" s="429">
        <f>ROUND(N17*F17,0)</f>
        <v>904326</v>
      </c>
      <c r="P17" s="430">
        <f>O17/H17</f>
        <v>0.49000007043921012</v>
      </c>
      <c r="Q17" s="933">
        <f>1-(K17+N17)</f>
        <v>0.21000000000000008</v>
      </c>
      <c r="R17" s="429">
        <f>ROUND(Q17*G17,0)</f>
        <v>407334</v>
      </c>
      <c r="S17" s="430">
        <f>R17/I17</f>
        <v>0.20999986080228408</v>
      </c>
      <c r="T17" s="745">
        <f>K17+N17+Q17</f>
        <v>1</v>
      </c>
      <c r="U17" s="175">
        <f>L17+O17+R17</f>
        <v>1865329</v>
      </c>
      <c r="V17" s="176">
        <f t="shared" si="1"/>
        <v>1.0107100109830984</v>
      </c>
    </row>
    <row r="18" spans="1:22" x14ac:dyDescent="0.3">
      <c r="A18" s="1441"/>
      <c r="B18" s="1441"/>
      <c r="C18" s="459"/>
      <c r="D18" s="459" t="s">
        <v>247</v>
      </c>
      <c r="E18" s="458"/>
      <c r="F18" s="458"/>
      <c r="G18" s="458"/>
      <c r="H18" s="457">
        <f>H17</f>
        <v>1845563</v>
      </c>
      <c r="I18" s="457">
        <f>SUM(I17)</f>
        <v>1939687</v>
      </c>
      <c r="J18" s="493"/>
      <c r="K18" s="431"/>
      <c r="L18" s="179">
        <f>L17</f>
        <v>553669</v>
      </c>
      <c r="M18" s="431">
        <f t="shared" si="0"/>
        <v>0.30000005418400782</v>
      </c>
      <c r="N18" s="431"/>
      <c r="O18" s="179">
        <f>O17</f>
        <v>904326</v>
      </c>
      <c r="P18" s="431">
        <f>O18/H18</f>
        <v>0.49000007043921012</v>
      </c>
      <c r="Q18" s="431"/>
      <c r="R18" s="179">
        <f>R17</f>
        <v>407334</v>
      </c>
      <c r="S18" s="431">
        <f>R18/H18</f>
        <v>0.22070988635988043</v>
      </c>
      <c r="T18" s="446"/>
      <c r="U18" s="307">
        <f>SUM(U17)</f>
        <v>1865329</v>
      </c>
      <c r="V18" s="431">
        <f t="shared" si="1"/>
        <v>1.0107100109830984</v>
      </c>
    </row>
    <row r="19" spans="1:22" ht="30" customHeight="1" x14ac:dyDescent="0.3">
      <c r="A19" s="1442" t="s">
        <v>281</v>
      </c>
      <c r="B19" s="1441" t="s">
        <v>251</v>
      </c>
      <c r="C19" s="493" t="s">
        <v>59</v>
      </c>
      <c r="D19" s="493" t="s">
        <v>145</v>
      </c>
      <c r="E19" s="493">
        <v>1.7</v>
      </c>
      <c r="F19" s="453">
        <v>940192</v>
      </c>
      <c r="G19" s="32">
        <f t="shared" ref="G19:G20" si="2">+ROUND(F19*1.051,0)</f>
        <v>988142</v>
      </c>
      <c r="H19" s="453">
        <f>ROUND((E19*F19),0)</f>
        <v>1598326</v>
      </c>
      <c r="I19" s="32">
        <f t="shared" ref="I19:I20" si="3">+ROUND(G19*E19,0)</f>
        <v>1679841</v>
      </c>
      <c r="J19" s="1504" t="s">
        <v>1598</v>
      </c>
      <c r="K19" s="452">
        <v>0</v>
      </c>
      <c r="L19" s="425">
        <f>ROUND(K19*F19,0)</f>
        <v>0</v>
      </c>
      <c r="M19" s="426">
        <f t="shared" si="0"/>
        <v>0</v>
      </c>
      <c r="N19" s="474">
        <f>1.7*70%</f>
        <v>1.19</v>
      </c>
      <c r="O19" s="429">
        <f t="shared" ref="O19:O20" si="4">ROUND(N19*F19,0)</f>
        <v>1118828</v>
      </c>
      <c r="P19" s="430">
        <f t="shared" ref="P19:P20" si="5">O19/H19</f>
        <v>0.69999987486908177</v>
      </c>
      <c r="Q19" s="932">
        <f>E19-N19</f>
        <v>0.51</v>
      </c>
      <c r="R19" s="429">
        <f>ROUND(Q19*G19,0)</f>
        <v>503952</v>
      </c>
      <c r="S19" s="430">
        <f>R19/I19</f>
        <v>0.29999982141166931</v>
      </c>
      <c r="T19" s="757">
        <f>K19+N19+Q19</f>
        <v>1.7</v>
      </c>
      <c r="U19" s="175">
        <f>L19+O19+R19</f>
        <v>1622780</v>
      </c>
      <c r="V19" s="176">
        <f t="shared" si="1"/>
        <v>1.0152997573711495</v>
      </c>
    </row>
    <row r="20" spans="1:22" ht="30" customHeight="1" x14ac:dyDescent="0.3">
      <c r="A20" s="1441"/>
      <c r="B20" s="1441"/>
      <c r="C20" s="493" t="s">
        <v>61</v>
      </c>
      <c r="D20" s="493" t="s">
        <v>146</v>
      </c>
      <c r="E20" s="493">
        <v>0.3</v>
      </c>
      <c r="F20" s="453">
        <v>5188469</v>
      </c>
      <c r="G20" s="32">
        <f t="shared" si="2"/>
        <v>5453081</v>
      </c>
      <c r="H20" s="453">
        <f>ROUND((E20*F20),0)</f>
        <v>1556541</v>
      </c>
      <c r="I20" s="32">
        <f t="shared" si="3"/>
        <v>1635924</v>
      </c>
      <c r="J20" s="1504"/>
      <c r="K20" s="474">
        <v>0.3</v>
      </c>
      <c r="L20" s="429">
        <f>ROUND(K20*F20,0)</f>
        <v>1556541</v>
      </c>
      <c r="M20" s="430">
        <f t="shared" si="0"/>
        <v>1</v>
      </c>
      <c r="N20" s="452">
        <v>0</v>
      </c>
      <c r="O20" s="425">
        <f t="shared" si="4"/>
        <v>0</v>
      </c>
      <c r="P20" s="426">
        <f t="shared" si="5"/>
        <v>0</v>
      </c>
      <c r="Q20" s="878">
        <v>0</v>
      </c>
      <c r="R20" s="425">
        <f>ROUND(Q20*G20,0)</f>
        <v>0</v>
      </c>
      <c r="S20" s="426">
        <f>R20/I20</f>
        <v>0</v>
      </c>
      <c r="T20" s="755">
        <f>K20+N20+Q20</f>
        <v>0.3</v>
      </c>
      <c r="U20" s="175">
        <f>L20+O20+R20</f>
        <v>1556541</v>
      </c>
      <c r="V20" s="176">
        <f t="shared" si="1"/>
        <v>1</v>
      </c>
    </row>
    <row r="21" spans="1:22" x14ac:dyDescent="0.3">
      <c r="A21" s="1441"/>
      <c r="B21" s="1441"/>
      <c r="C21" s="459"/>
      <c r="D21" s="459" t="s">
        <v>147</v>
      </c>
      <c r="E21" s="458"/>
      <c r="F21" s="458"/>
      <c r="G21" s="458"/>
      <c r="H21" s="457">
        <f>SUM(H19:H20)</f>
        <v>3154867</v>
      </c>
      <c r="I21" s="457">
        <f>SUM(I19:I20)</f>
        <v>3315765</v>
      </c>
      <c r="J21" s="506"/>
      <c r="K21" s="431"/>
      <c r="L21" s="179">
        <f>SUM(L19:L20)</f>
        <v>1556541</v>
      </c>
      <c r="M21" s="431">
        <f t="shared" si="0"/>
        <v>0.49337769230842377</v>
      </c>
      <c r="N21" s="431"/>
      <c r="O21" s="179">
        <f>SUM(O19:O20)</f>
        <v>1118828</v>
      </c>
      <c r="P21" s="431">
        <f>O21/H21</f>
        <v>0.35463555198998881</v>
      </c>
      <c r="Q21" s="431"/>
      <c r="R21" s="179">
        <f>SUM(R19:R20)</f>
        <v>503952</v>
      </c>
      <c r="S21" s="431">
        <f>R21/H21</f>
        <v>0.15973795408808042</v>
      </c>
      <c r="T21" s="756"/>
      <c r="U21" s="307">
        <f>SUM(U19:U20)</f>
        <v>3179321</v>
      </c>
      <c r="V21" s="431">
        <f t="shared" ref="V21:V24" si="6">U21/H21</f>
        <v>1.0077511983864931</v>
      </c>
    </row>
    <row r="22" spans="1:22" ht="30" customHeight="1" x14ac:dyDescent="0.3">
      <c r="A22" s="1441" t="s">
        <v>281</v>
      </c>
      <c r="B22" s="1441" t="s">
        <v>248</v>
      </c>
      <c r="C22" s="493" t="s">
        <v>152</v>
      </c>
      <c r="D22" s="493" t="s">
        <v>249</v>
      </c>
      <c r="E22" s="493">
        <v>1</v>
      </c>
      <c r="F22" s="453">
        <v>313397</v>
      </c>
      <c r="G22" s="32">
        <f t="shared" ref="G22:G23" si="7">+ROUND(F22*1.051,0)</f>
        <v>329380</v>
      </c>
      <c r="H22" s="453">
        <f>ROUND((E22*F22),0)</f>
        <v>313397</v>
      </c>
      <c r="I22" s="32">
        <f t="shared" ref="I22:I23" si="8">+ROUND(G22*E22,0)</f>
        <v>329380</v>
      </c>
      <c r="J22" s="1503" t="s">
        <v>1597</v>
      </c>
      <c r="K22" s="452">
        <v>0</v>
      </c>
      <c r="L22" s="425">
        <f>ROUND(K22*F22,0)</f>
        <v>0</v>
      </c>
      <c r="M22" s="426">
        <f t="shared" si="0"/>
        <v>0</v>
      </c>
      <c r="N22" s="474">
        <f>1*70%</f>
        <v>0.7</v>
      </c>
      <c r="O22" s="429">
        <f t="shared" ref="O22:O23" si="9">ROUND(N22*F22,0)</f>
        <v>219378</v>
      </c>
      <c r="P22" s="430">
        <f t="shared" ref="P22:P23" si="10">O22/H22</f>
        <v>0.70000031908410099</v>
      </c>
      <c r="Q22" s="932">
        <v>0.3</v>
      </c>
      <c r="R22" s="429">
        <f t="shared" ref="R22:R23" si="11">ROUND(Q22*G22,0)</f>
        <v>98814</v>
      </c>
      <c r="S22" s="430">
        <f t="shared" ref="S22:S23" si="12">R22/I22</f>
        <v>0.3</v>
      </c>
      <c r="T22" s="755">
        <f>K22+N22+Q22</f>
        <v>1</v>
      </c>
      <c r="U22" s="175">
        <f>L22+O22+R22</f>
        <v>318192</v>
      </c>
      <c r="V22" s="176">
        <f>U22/H22</f>
        <v>1.0153000826427823</v>
      </c>
    </row>
    <row r="23" spans="1:22" ht="30" customHeight="1" x14ac:dyDescent="0.3">
      <c r="A23" s="1441"/>
      <c r="B23" s="1441"/>
      <c r="C23" s="493" t="s">
        <v>61</v>
      </c>
      <c r="D23" s="493" t="s">
        <v>250</v>
      </c>
      <c r="E23" s="493">
        <v>0.3</v>
      </c>
      <c r="F23" s="453">
        <v>1601809</v>
      </c>
      <c r="G23" s="32">
        <f t="shared" si="7"/>
        <v>1683501</v>
      </c>
      <c r="H23" s="453">
        <f>ROUND((E23*F23),0)</f>
        <v>480543</v>
      </c>
      <c r="I23" s="32">
        <f t="shared" si="8"/>
        <v>505050</v>
      </c>
      <c r="J23" s="1503"/>
      <c r="K23" s="474">
        <v>0.3</v>
      </c>
      <c r="L23" s="429">
        <f>ROUND(K23*F23,0)</f>
        <v>480543</v>
      </c>
      <c r="M23" s="430">
        <f t="shared" si="0"/>
        <v>1</v>
      </c>
      <c r="N23" s="452">
        <v>0</v>
      </c>
      <c r="O23" s="425">
        <f t="shared" si="9"/>
        <v>0</v>
      </c>
      <c r="P23" s="426">
        <f t="shared" si="10"/>
        <v>0</v>
      </c>
      <c r="Q23" s="878">
        <v>0</v>
      </c>
      <c r="R23" s="425">
        <f t="shared" si="11"/>
        <v>0</v>
      </c>
      <c r="S23" s="426">
        <f t="shared" si="12"/>
        <v>0</v>
      </c>
      <c r="T23" s="755">
        <f>K23+N23+Q23</f>
        <v>0.3</v>
      </c>
      <c r="U23" s="175">
        <f>L23+O23+R23</f>
        <v>480543</v>
      </c>
      <c r="V23" s="176">
        <f t="shared" si="6"/>
        <v>1</v>
      </c>
    </row>
    <row r="24" spans="1:22" x14ac:dyDescent="0.3">
      <c r="A24" s="1441"/>
      <c r="B24" s="1441"/>
      <c r="C24" s="459"/>
      <c r="D24" s="459" t="s">
        <v>102</v>
      </c>
      <c r="E24" s="458"/>
      <c r="F24" s="458"/>
      <c r="G24" s="458"/>
      <c r="H24" s="457">
        <f>SUM(H22:H23)</f>
        <v>793940</v>
      </c>
      <c r="I24" s="457">
        <f>SUM(I22:I23)</f>
        <v>834430</v>
      </c>
      <c r="J24" s="493"/>
      <c r="K24" s="431"/>
      <c r="L24" s="179">
        <f>SUM(L22:L23)</f>
        <v>480543</v>
      </c>
      <c r="M24" s="431">
        <f t="shared" si="0"/>
        <v>0.60526362193616645</v>
      </c>
      <c r="N24" s="431"/>
      <c r="O24" s="179">
        <f>SUM(O22:O23)</f>
        <v>219378</v>
      </c>
      <c r="P24" s="431">
        <f>O24/H24</f>
        <v>0.2763155905987858</v>
      </c>
      <c r="Q24" s="431"/>
      <c r="R24" s="179">
        <f>SUM(R22:R23)</f>
        <v>98814</v>
      </c>
      <c r="S24" s="431">
        <f>R24/H24</f>
        <v>0.1244602866715369</v>
      </c>
      <c r="T24" s="446"/>
      <c r="U24" s="307">
        <f>SUM(U22:U23)</f>
        <v>798735</v>
      </c>
      <c r="V24" s="431">
        <f t="shared" si="6"/>
        <v>1.0060394992064892</v>
      </c>
    </row>
    <row r="25" spans="1:22" x14ac:dyDescent="0.3">
      <c r="F25" s="445" t="s">
        <v>64</v>
      </c>
      <c r="G25" s="445"/>
      <c r="H25" s="340">
        <f>SUM(H14:H24)/2</f>
        <v>7601628</v>
      </c>
      <c r="I25" s="340">
        <f>SUM(I14:I24)/2</f>
        <v>7989310</v>
      </c>
      <c r="K25" s="547" t="s">
        <v>64</v>
      </c>
      <c r="L25" s="550">
        <f>SUM(L14:L24)/2</f>
        <v>3457819</v>
      </c>
      <c r="N25" s="547" t="s">
        <v>64</v>
      </c>
      <c r="O25" s="550">
        <f>SUM(O14:O24)/2</f>
        <v>2900666</v>
      </c>
      <c r="Q25" s="547" t="s">
        <v>64</v>
      </c>
      <c r="R25" s="550">
        <f>SUM(R14:R24)/2</f>
        <v>1306543</v>
      </c>
      <c r="T25" s="547" t="s">
        <v>64</v>
      </c>
      <c r="U25" s="550">
        <f>SUM(U14:U24)/2</f>
        <v>7665028</v>
      </c>
    </row>
    <row r="26" spans="1:22" x14ac:dyDescent="0.3">
      <c r="F26" s="444" t="s">
        <v>65</v>
      </c>
      <c r="G26" s="444"/>
      <c r="H26" s="181">
        <v>0</v>
      </c>
      <c r="I26" s="181">
        <v>0</v>
      </c>
      <c r="K26" s="548" t="s">
        <v>65</v>
      </c>
      <c r="L26" s="481">
        <v>0</v>
      </c>
      <c r="N26" s="548" t="s">
        <v>65</v>
      </c>
      <c r="O26" s="481">
        <v>0</v>
      </c>
      <c r="Q26" s="548" t="s">
        <v>65</v>
      </c>
      <c r="R26" s="481">
        <v>0</v>
      </c>
      <c r="T26" s="548" t="s">
        <v>65</v>
      </c>
      <c r="U26" s="481">
        <v>0</v>
      </c>
    </row>
    <row r="27" spans="1:22" x14ac:dyDescent="0.3">
      <c r="F27" s="443" t="s">
        <v>64</v>
      </c>
      <c r="G27" s="443"/>
      <c r="H27" s="340">
        <f>SUM(H25:H26)</f>
        <v>7601628</v>
      </c>
      <c r="I27" s="340">
        <f>SUM(I25:I26)</f>
        <v>7989310</v>
      </c>
      <c r="K27" s="549" t="s">
        <v>64</v>
      </c>
      <c r="L27" s="550">
        <f>SUM(L25:L26)</f>
        <v>3457819</v>
      </c>
      <c r="N27" s="549" t="s">
        <v>64</v>
      </c>
      <c r="O27" s="550">
        <f>SUM(O25:O26)</f>
        <v>2900666</v>
      </c>
      <c r="Q27" s="549" t="s">
        <v>64</v>
      </c>
      <c r="R27" s="550">
        <f>SUM(R25:R26)</f>
        <v>1306543</v>
      </c>
      <c r="T27" s="549" t="s">
        <v>64</v>
      </c>
      <c r="U27" s="550">
        <f>SUM(U25:U26)</f>
        <v>7665028</v>
      </c>
    </row>
    <row r="28" spans="1:22" ht="26.4" x14ac:dyDescent="0.3">
      <c r="F28" s="443"/>
      <c r="G28" s="443"/>
      <c r="H28" s="340"/>
      <c r="I28" s="340"/>
      <c r="K28" s="501" t="s">
        <v>1439</v>
      </c>
      <c r="L28" s="483">
        <f>ROUND(L27*0.015,0)</f>
        <v>51867</v>
      </c>
      <c r="N28" s="501" t="s">
        <v>1439</v>
      </c>
      <c r="O28" s="483">
        <f>ROUND(O27*0.015,0)</f>
        <v>43510</v>
      </c>
      <c r="Q28" s="501" t="s">
        <v>1439</v>
      </c>
      <c r="R28" s="483">
        <f>ROUND(R27*0.015,0)</f>
        <v>19598</v>
      </c>
      <c r="T28" s="501" t="s">
        <v>1439</v>
      </c>
      <c r="U28" s="550">
        <f>L28+O28+R28</f>
        <v>114975</v>
      </c>
    </row>
    <row r="29" spans="1:22" ht="26.4" x14ac:dyDescent="0.3">
      <c r="C29" s="437">
        <f>'OT17-379 EL SOL'!R360</f>
        <v>0</v>
      </c>
      <c r="F29" s="443"/>
      <c r="G29" s="443"/>
      <c r="H29" s="340"/>
      <c r="I29" s="340"/>
      <c r="K29" s="96" t="s">
        <v>1440</v>
      </c>
      <c r="L29" s="182">
        <f>L27+L28</f>
        <v>3509686</v>
      </c>
      <c r="M29" s="577">
        <f>L29/H27</f>
        <v>0.4617018880692399</v>
      </c>
      <c r="N29" s="96" t="s">
        <v>1440</v>
      </c>
      <c r="O29" s="182">
        <f>O27+O28</f>
        <v>2944176</v>
      </c>
      <c r="P29" s="577">
        <f>O29/H27</f>
        <v>0.38730861336545275</v>
      </c>
      <c r="Q29" s="96" t="s">
        <v>1440</v>
      </c>
      <c r="R29" s="182">
        <f>R27+R28</f>
        <v>1326141</v>
      </c>
      <c r="S29" s="577">
        <f>R29/H27</f>
        <v>0.1744548667732754</v>
      </c>
      <c r="T29" s="96" t="s">
        <v>1440</v>
      </c>
      <c r="U29" s="182">
        <f>U27+U28</f>
        <v>7780003</v>
      </c>
      <c r="V29" s="577">
        <f>U29/H27</f>
        <v>1.0234653682079682</v>
      </c>
    </row>
    <row r="30" spans="1:22" x14ac:dyDescent="0.3">
      <c r="F30" s="442" t="s">
        <v>66</v>
      </c>
      <c r="G30" s="442"/>
      <c r="H30" s="181">
        <f>+H27*19%</f>
        <v>1444309.32</v>
      </c>
      <c r="I30" s="181">
        <f>+I27*19%</f>
        <v>1517968.9</v>
      </c>
      <c r="K30" s="551" t="s">
        <v>66</v>
      </c>
      <c r="L30" s="483">
        <f>L29*0.19</f>
        <v>666840.34</v>
      </c>
      <c r="N30" s="551" t="s">
        <v>66</v>
      </c>
      <c r="O30" s="483">
        <f>O29*0.19</f>
        <v>559393.44000000006</v>
      </c>
      <c r="Q30" s="551" t="s">
        <v>66</v>
      </c>
      <c r="R30" s="483">
        <f>R29*0.19</f>
        <v>251966.79</v>
      </c>
      <c r="T30" s="551" t="s">
        <v>66</v>
      </c>
      <c r="U30" s="483">
        <f>U29*0.19</f>
        <v>1478200.57</v>
      </c>
    </row>
    <row r="31" spans="1:22" x14ac:dyDescent="0.3">
      <c r="F31" s="441" t="s">
        <v>69</v>
      </c>
      <c r="G31" s="441"/>
      <c r="H31" s="181">
        <f>+H27+H30</f>
        <v>9045937.3200000003</v>
      </c>
      <c r="I31" s="181">
        <f>+I27+I30</f>
        <v>9507278.9000000004</v>
      </c>
      <c r="K31" s="552" t="s">
        <v>69</v>
      </c>
      <c r="L31" s="481">
        <f>L29+L30</f>
        <v>4176526.34</v>
      </c>
      <c r="N31" s="552" t="s">
        <v>69</v>
      </c>
      <c r="O31" s="481">
        <f>O29+O30</f>
        <v>3503569.44</v>
      </c>
      <c r="Q31" s="552" t="s">
        <v>69</v>
      </c>
      <c r="R31" s="481">
        <f>R29+R30</f>
        <v>1578107.79</v>
      </c>
      <c r="T31" s="552" t="s">
        <v>69</v>
      </c>
      <c r="U31" s="481">
        <f>U29+U30</f>
        <v>9258203.5700000003</v>
      </c>
    </row>
    <row r="33" spans="1:22" x14ac:dyDescent="0.3">
      <c r="T33" s="1036">
        <f>+R27/1.051</f>
        <v>1243142.7212178877</v>
      </c>
    </row>
    <row r="34" spans="1:22" s="189" customFormat="1" x14ac:dyDescent="0.3">
      <c r="A34" s="183" t="s">
        <v>67</v>
      </c>
      <c r="B34" s="184"/>
      <c r="C34" s="184"/>
      <c r="D34" s="185" t="s">
        <v>68</v>
      </c>
      <c r="G34" s="852"/>
      <c r="I34" s="852"/>
      <c r="K34" s="186" t="s">
        <v>70</v>
      </c>
      <c r="L34" s="187" t="s">
        <v>71</v>
      </c>
      <c r="M34" s="186" t="s">
        <v>58</v>
      </c>
      <c r="N34" s="186" t="s">
        <v>70</v>
      </c>
      <c r="O34" s="187" t="s">
        <v>71</v>
      </c>
      <c r="P34" s="186" t="s">
        <v>58</v>
      </c>
      <c r="Q34" s="186" t="s">
        <v>70</v>
      </c>
      <c r="R34" s="187" t="s">
        <v>71</v>
      </c>
      <c r="S34" s="186" t="s">
        <v>58</v>
      </c>
      <c r="T34" s="437"/>
      <c r="U34" s="437"/>
      <c r="V34" s="437"/>
    </row>
    <row r="35" spans="1:22" s="189" customFormat="1" x14ac:dyDescent="0.3">
      <c r="A35" s="183"/>
      <c r="B35" s="184"/>
      <c r="C35" s="184"/>
      <c r="D35" s="185"/>
      <c r="G35" s="852"/>
      <c r="I35" s="852"/>
      <c r="K35" s="69" t="s">
        <v>72</v>
      </c>
      <c r="L35" s="70">
        <f>L29</f>
        <v>3509686</v>
      </c>
      <c r="M35" s="71">
        <f>M29</f>
        <v>0.4617018880692399</v>
      </c>
      <c r="N35" s="69" t="s">
        <v>72</v>
      </c>
      <c r="O35" s="70">
        <f>L29</f>
        <v>3509686</v>
      </c>
      <c r="P35" s="71">
        <f>M29</f>
        <v>0.4617018880692399</v>
      </c>
      <c r="Q35" s="69" t="s">
        <v>72</v>
      </c>
      <c r="R35" s="70">
        <f>L29</f>
        <v>3509686</v>
      </c>
      <c r="S35" s="360">
        <f>M29</f>
        <v>0.4617018880692399</v>
      </c>
      <c r="T35" s="437"/>
      <c r="U35" s="437"/>
      <c r="V35" s="437"/>
    </row>
    <row r="36" spans="1:22" s="603" customFormat="1" x14ac:dyDescent="0.3">
      <c r="A36" s="183"/>
      <c r="B36" s="184"/>
      <c r="C36" s="184"/>
      <c r="D36" s="185"/>
      <c r="G36" s="852"/>
      <c r="I36" s="852"/>
      <c r="K36" s="69"/>
      <c r="L36" s="70"/>
      <c r="M36" s="71"/>
      <c r="N36" s="69" t="s">
        <v>73</v>
      </c>
      <c r="O36" s="70">
        <f>+O29</f>
        <v>2944176</v>
      </c>
      <c r="P36" s="71">
        <f>+P29</f>
        <v>0.38730861336545275</v>
      </c>
      <c r="Q36" s="69" t="s">
        <v>73</v>
      </c>
      <c r="R36" s="70">
        <f>+O29</f>
        <v>2944176</v>
      </c>
      <c r="S36" s="360">
        <f>+P29</f>
        <v>0.38730861336545275</v>
      </c>
      <c r="T36" s="437"/>
      <c r="U36" s="437"/>
      <c r="V36" s="437"/>
    </row>
    <row r="37" spans="1:22" s="189" customFormat="1" x14ac:dyDescent="0.3">
      <c r="A37" s="183"/>
      <c r="B37" s="184"/>
      <c r="C37" s="184"/>
      <c r="D37" s="185"/>
      <c r="G37" s="852"/>
      <c r="I37" s="852"/>
      <c r="K37" s="72" t="s">
        <v>1</v>
      </c>
      <c r="L37" s="105">
        <f>SUM(L35:L35)</f>
        <v>3509686</v>
      </c>
      <c r="M37" s="73">
        <f>SUM(M35:M35)</f>
        <v>0.4617018880692399</v>
      </c>
      <c r="N37" s="72" t="s">
        <v>1</v>
      </c>
      <c r="O37" s="105">
        <f>SUM(O35:O36)</f>
        <v>6453862</v>
      </c>
      <c r="P37" s="361">
        <f>SUM(P35:P36)</f>
        <v>0.8490105014346927</v>
      </c>
      <c r="Q37" s="69" t="s">
        <v>74</v>
      </c>
      <c r="R37" s="70">
        <f>R29</f>
        <v>1326141</v>
      </c>
      <c r="S37" s="360">
        <f>S29</f>
        <v>0.1744548667732754</v>
      </c>
      <c r="T37" s="437"/>
      <c r="U37" s="437"/>
      <c r="V37" s="437"/>
    </row>
    <row r="38" spans="1:22" s="189" customFormat="1" x14ac:dyDescent="0.3">
      <c r="A38" s="183"/>
      <c r="B38" s="184"/>
      <c r="C38" s="184"/>
      <c r="D38" s="185"/>
      <c r="G38" s="852"/>
      <c r="I38" s="852"/>
      <c r="K38" s="72" t="s">
        <v>9</v>
      </c>
      <c r="L38" s="1423"/>
      <c r="M38" s="1424"/>
      <c r="N38" s="72" t="s">
        <v>9</v>
      </c>
      <c r="O38" s="1423"/>
      <c r="P38" s="1424"/>
      <c r="Q38" s="72" t="s">
        <v>1</v>
      </c>
      <c r="R38" s="105">
        <f>SUM(R35:R37)</f>
        <v>7780003</v>
      </c>
      <c r="S38" s="361">
        <f>SUM(S35:S37)</f>
        <v>1.0234653682079682</v>
      </c>
      <c r="T38" s="437"/>
      <c r="U38" s="437"/>
      <c r="V38" s="437"/>
    </row>
    <row r="39" spans="1:22" s="189" customFormat="1" x14ac:dyDescent="0.3">
      <c r="A39" s="183"/>
      <c r="B39" s="184"/>
      <c r="C39" s="184"/>
      <c r="D39" s="185"/>
      <c r="G39" s="852"/>
      <c r="I39" s="852"/>
      <c r="K39" s="440" t="s">
        <v>78</v>
      </c>
      <c r="L39" s="1423" t="s">
        <v>664</v>
      </c>
      <c r="M39" s="1424"/>
      <c r="N39" s="440" t="s">
        <v>78</v>
      </c>
      <c r="O39" s="1423" t="s">
        <v>664</v>
      </c>
      <c r="P39" s="1424"/>
      <c r="Q39" s="72" t="s">
        <v>9</v>
      </c>
      <c r="R39" s="723"/>
      <c r="S39" s="724"/>
      <c r="T39" s="437"/>
      <c r="U39" s="437"/>
      <c r="V39" s="437"/>
    </row>
    <row r="40" spans="1:22" s="189" customFormat="1" x14ac:dyDescent="0.3">
      <c r="A40" s="183"/>
      <c r="B40" s="184"/>
      <c r="C40" s="184"/>
      <c r="D40" s="185"/>
      <c r="G40" s="852"/>
      <c r="I40" s="852"/>
      <c r="K40" s="439" t="s">
        <v>8</v>
      </c>
      <c r="L40" s="1425" t="s">
        <v>665</v>
      </c>
      <c r="M40" s="1426"/>
      <c r="N40" s="439" t="s">
        <v>8</v>
      </c>
      <c r="O40" s="1425" t="s">
        <v>665</v>
      </c>
      <c r="P40" s="1426"/>
      <c r="Q40" s="440" t="s">
        <v>78</v>
      </c>
      <c r="R40" s="723" t="s">
        <v>2286</v>
      </c>
      <c r="S40" s="724"/>
      <c r="T40" s="437"/>
      <c r="U40" s="437"/>
      <c r="V40" s="437"/>
    </row>
    <row r="41" spans="1:22" s="189" customFormat="1" x14ac:dyDescent="0.3">
      <c r="A41" s="183"/>
      <c r="B41" s="184"/>
      <c r="C41" s="184"/>
      <c r="D41" s="185" t="s">
        <v>75</v>
      </c>
      <c r="G41" s="852"/>
      <c r="I41" s="852"/>
      <c r="N41" s="603"/>
      <c r="O41" s="603"/>
      <c r="P41" s="603"/>
      <c r="Q41" s="439" t="s">
        <v>8</v>
      </c>
      <c r="R41" s="972" t="s">
        <v>2004</v>
      </c>
      <c r="S41" s="726"/>
    </row>
    <row r="42" spans="1:22" s="189" customFormat="1" x14ac:dyDescent="0.3">
      <c r="A42" s="183" t="s">
        <v>76</v>
      </c>
      <c r="B42" s="180"/>
      <c r="C42" s="180"/>
      <c r="D42" s="185" t="s">
        <v>77</v>
      </c>
      <c r="G42" s="852"/>
      <c r="I42" s="852"/>
      <c r="N42" s="603"/>
      <c r="O42" s="603"/>
      <c r="P42" s="603"/>
      <c r="Q42" s="727"/>
      <c r="R42" s="727"/>
      <c r="S42" s="727"/>
    </row>
    <row r="43" spans="1:22" s="189" customFormat="1" x14ac:dyDescent="0.3">
      <c r="A43" s="183" t="s">
        <v>79</v>
      </c>
      <c r="B43" s="180"/>
      <c r="C43" s="180"/>
      <c r="D43" s="185" t="s">
        <v>80</v>
      </c>
      <c r="G43" s="852"/>
      <c r="I43" s="852"/>
      <c r="N43" s="603"/>
      <c r="O43" s="603"/>
      <c r="P43" s="603"/>
      <c r="Q43" s="727"/>
      <c r="R43" s="727"/>
      <c r="S43" s="727"/>
    </row>
  </sheetData>
  <sheetProtection formatCells="0" formatColumns="0" formatRows="0" insertColumns="0" insertRows="0" insertHyperlinks="0" deleteColumns="0" deleteRows="0" sort="0" autoFilter="0" pivotTables="0"/>
  <mergeCells count="34">
    <mergeCell ref="L39:M39"/>
    <mergeCell ref="L40:M40"/>
    <mergeCell ref="K11:M12"/>
    <mergeCell ref="T11:V12"/>
    <mergeCell ref="B12:J12"/>
    <mergeCell ref="J14:J15"/>
    <mergeCell ref="L38:M38"/>
    <mergeCell ref="J19:J20"/>
    <mergeCell ref="J22:J23"/>
    <mergeCell ref="B11:J11"/>
    <mergeCell ref="N11:P12"/>
    <mergeCell ref="O38:P38"/>
    <mergeCell ref="O39:P39"/>
    <mergeCell ref="O40:P40"/>
    <mergeCell ref="Q11:S12"/>
    <mergeCell ref="A6:V6"/>
    <mergeCell ref="A7:V7"/>
    <mergeCell ref="A8:V8"/>
    <mergeCell ref="A9:V9"/>
    <mergeCell ref="A10:V10"/>
    <mergeCell ref="T1:V1"/>
    <mergeCell ref="T2:V2"/>
    <mergeCell ref="A3:V3"/>
    <mergeCell ref="A4:V4"/>
    <mergeCell ref="A5:V5"/>
    <mergeCell ref="C1:M2"/>
    <mergeCell ref="A19:A21"/>
    <mergeCell ref="B19:B21"/>
    <mergeCell ref="A22:A24"/>
    <mergeCell ref="B22:B24"/>
    <mergeCell ref="A14:A16"/>
    <mergeCell ref="B14:B16"/>
    <mergeCell ref="A17:A18"/>
    <mergeCell ref="B17:B18"/>
  </mergeCells>
  <pageMargins left="0.7" right="0.7" top="0.75" bottom="0.75" header="0.3" footer="0.3"/>
  <pageSetup scale="37" fitToHeight="0" orientation="landscape" r:id="rId1"/>
  <drawing r:id="rId2"/>
  <legacyDrawingHF r:id="rId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3">
    <tabColor theme="1"/>
  </sheetPr>
  <dimension ref="A1:G49"/>
  <sheetViews>
    <sheetView zoomScaleNormal="100" workbookViewId="0">
      <selection activeCell="A14" sqref="A14:G1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f>RESUMEN!G9999</f>
        <v>0</v>
      </c>
      <c r="C5" s="1281"/>
      <c r="D5" s="1281"/>
      <c r="E5" s="1281"/>
      <c r="F5" s="1281"/>
      <c r="G5" s="1282"/>
    </row>
    <row r="6" spans="1:7" x14ac:dyDescent="0.25">
      <c r="A6" s="1177"/>
      <c r="B6" s="1177"/>
      <c r="C6" s="1177"/>
      <c r="D6" s="1177"/>
      <c r="E6" s="1177"/>
      <c r="F6" s="1177"/>
      <c r="G6" s="1177"/>
    </row>
    <row r="7" spans="1:7" x14ac:dyDescent="0.25">
      <c r="A7" s="271" t="s">
        <v>0</v>
      </c>
      <c r="B7" s="1264">
        <f>RESUMEN!B9999</f>
        <v>0</v>
      </c>
      <c r="C7" s="1265"/>
      <c r="D7" s="1177"/>
      <c r="E7" s="1266" t="s">
        <v>627</v>
      </c>
      <c r="F7" s="1267"/>
      <c r="G7" s="280">
        <f>RESUMEN!E9999</f>
        <v>0</v>
      </c>
    </row>
    <row r="8" spans="1:7" x14ac:dyDescent="0.25">
      <c r="A8" s="271" t="s">
        <v>628</v>
      </c>
      <c r="B8" s="1264">
        <f>RESUMEN!C9999</f>
        <v>0</v>
      </c>
      <c r="C8" s="1265"/>
      <c r="D8" s="1177"/>
      <c r="E8" s="1266" t="s">
        <v>629</v>
      </c>
      <c r="F8" s="1267"/>
      <c r="G8" s="280">
        <f>RESUMEN!U9999</f>
        <v>0</v>
      </c>
    </row>
    <row r="9" spans="1:7" x14ac:dyDescent="0.25">
      <c r="A9" s="271" t="s">
        <v>630</v>
      </c>
      <c r="B9" s="1283" t="s">
        <v>631</v>
      </c>
      <c r="C9" s="1265"/>
      <c r="D9" s="1177"/>
      <c r="E9" s="1266" t="s">
        <v>632</v>
      </c>
      <c r="F9" s="1267"/>
      <c r="G9" s="1178">
        <f>RESUMEN!H9999</f>
        <v>0</v>
      </c>
    </row>
    <row r="10" spans="1:7" x14ac:dyDescent="0.25">
      <c r="A10" s="271" t="s">
        <v>633</v>
      </c>
      <c r="B10" s="1283">
        <f>RESUMEN!D9999</f>
        <v>0</v>
      </c>
      <c r="C10" s="1265"/>
      <c r="D10" s="1177"/>
      <c r="E10" s="1266" t="s">
        <v>634</v>
      </c>
      <c r="F10" s="1267"/>
      <c r="G10" s="1178">
        <f>RESUMEN!R9999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RESUMEN!V9999,"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",RESUMEN!G9999)</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RESUMEN!N9999</f>
        <v>0</v>
      </c>
      <c r="F19" s="1248"/>
      <c r="G19" s="1177"/>
    </row>
    <row r="20" spans="1:7" ht="27" customHeight="1" x14ac:dyDescent="0.25">
      <c r="A20" s="1177"/>
      <c r="B20" s="1244" t="s">
        <v>1498</v>
      </c>
      <c r="C20" s="1245"/>
      <c r="D20" s="1246"/>
      <c r="E20" s="1247">
        <f>RESUMEN!P9999</f>
        <v>0</v>
      </c>
      <c r="F20" s="1248"/>
      <c r="G20" s="1177"/>
    </row>
    <row r="21" spans="1:7" ht="27" customHeight="1" x14ac:dyDescent="0.25">
      <c r="A21" s="1177"/>
      <c r="B21" s="1244" t="s">
        <v>1499</v>
      </c>
      <c r="C21" s="1245"/>
      <c r="D21" s="1246"/>
      <c r="E21" s="1247">
        <f>RESUMEN!Q9999</f>
        <v>0</v>
      </c>
      <c r="F21" s="1248"/>
      <c r="G21" s="1177"/>
    </row>
    <row r="22" spans="1:7" x14ac:dyDescent="0.25">
      <c r="A22" s="1177"/>
      <c r="B22" s="1254" t="s">
        <v>64</v>
      </c>
      <c r="C22" s="1254"/>
      <c r="D22" s="1254"/>
      <c r="E22" s="1255">
        <f>RESUMEN!R9999</f>
        <v>0</v>
      </c>
      <c r="F22" s="1255"/>
      <c r="G22" s="1177"/>
    </row>
    <row r="23" spans="1:7" x14ac:dyDescent="0.25">
      <c r="A23" s="1177"/>
      <c r="B23" s="1256" t="s">
        <v>66</v>
      </c>
      <c r="C23" s="1256"/>
      <c r="D23" s="1256"/>
      <c r="E23" s="1257">
        <f>RESUMEN!S9999</f>
        <v>0</v>
      </c>
      <c r="F23" s="1257"/>
      <c r="G23" s="1177"/>
    </row>
    <row r="24" spans="1:7" x14ac:dyDescent="0.25">
      <c r="A24" s="1177"/>
      <c r="B24" s="1258" t="s">
        <v>1</v>
      </c>
      <c r="C24" s="1258"/>
      <c r="D24" s="1258"/>
      <c r="E24" s="1259">
        <f>RESUMEN!T9999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RESUMEN!V9999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5">
    <tabColor rgb="FF7B2307"/>
  </sheetPr>
  <dimension ref="A1:S43"/>
  <sheetViews>
    <sheetView topLeftCell="E1" zoomScale="60" zoomScaleNormal="60" workbookViewId="0">
      <selection activeCell="I14" sqref="I14"/>
    </sheetView>
  </sheetViews>
  <sheetFormatPr baseColWidth="10" defaultColWidth="9.109375" defaultRowHeight="14.4" x14ac:dyDescent="0.3"/>
  <cols>
    <col min="1" max="1" width="17.33203125" style="437" customWidth="1"/>
    <col min="2" max="2" width="22.5546875" style="437" customWidth="1"/>
    <col min="3" max="3" width="34.109375" style="437" customWidth="1"/>
    <col min="4" max="4" width="22.33203125" style="437" bestFit="1" customWidth="1"/>
    <col min="5" max="5" width="13" style="464" customWidth="1"/>
    <col min="6" max="7" width="17.88671875" style="437" customWidth="1"/>
    <col min="8" max="9" width="18.5546875" style="437" customWidth="1"/>
    <col min="10" max="10" width="53" style="437" customWidth="1"/>
    <col min="11" max="11" width="17.88671875" style="437" customWidth="1"/>
    <col min="12" max="12" width="18" style="437" customWidth="1"/>
    <col min="13" max="13" width="11.6640625" style="437" customWidth="1"/>
    <col min="14" max="14" width="17.88671875" style="437" customWidth="1"/>
    <col min="15" max="15" width="18" style="437" bestFit="1" customWidth="1"/>
    <col min="16" max="16" width="9.109375" style="437"/>
    <col min="17" max="17" width="17.88671875" style="437" bestFit="1" customWidth="1"/>
    <col min="18" max="18" width="17"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600"/>
      <c r="O1" s="600"/>
      <c r="P1" s="600"/>
      <c r="Q1" s="1328" t="s">
        <v>1615</v>
      </c>
      <c r="R1" s="1303"/>
      <c r="S1" s="1304"/>
    </row>
    <row r="2" spans="1:19" ht="13.5" customHeight="1" thickBot="1" x14ac:dyDescent="0.35">
      <c r="A2" s="170"/>
      <c r="B2" s="190"/>
      <c r="C2" s="1310"/>
      <c r="D2" s="1311"/>
      <c r="E2" s="1311"/>
      <c r="F2" s="1311"/>
      <c r="G2" s="1311"/>
      <c r="H2" s="1311"/>
      <c r="I2" s="1311"/>
      <c r="J2" s="1311"/>
      <c r="K2" s="1311"/>
      <c r="L2" s="1311"/>
      <c r="M2" s="1311"/>
      <c r="N2" s="601"/>
      <c r="O2" s="601"/>
      <c r="P2" s="601"/>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1614</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1613</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1716</v>
      </c>
      <c r="L11" s="1294"/>
      <c r="M11" s="1295"/>
      <c r="N11" s="1293" t="s">
        <v>2094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1" t="s">
        <v>1326</v>
      </c>
      <c r="B14" s="1441" t="s">
        <v>996</v>
      </c>
      <c r="C14" s="493" t="s">
        <v>160</v>
      </c>
      <c r="D14" s="493" t="s">
        <v>161</v>
      </c>
      <c r="E14" s="467">
        <v>20</v>
      </c>
      <c r="F14" s="453">
        <v>69644</v>
      </c>
      <c r="G14" s="32">
        <f>+ROUND(F14*1.051,0)</f>
        <v>73196</v>
      </c>
      <c r="H14" s="453">
        <f>ROUND((E14*F14),0)</f>
        <v>1392880</v>
      </c>
      <c r="I14" s="32">
        <f>+ROUND(G14*E14,0)</f>
        <v>1463920</v>
      </c>
      <c r="J14" s="1485" t="s">
        <v>1612</v>
      </c>
      <c r="K14" s="474">
        <v>20</v>
      </c>
      <c r="L14" s="429">
        <f>ROUND(K14*F14,0)</f>
        <v>1392880</v>
      </c>
      <c r="M14" s="430">
        <f t="shared" ref="M14:M19" si="0">L14/H14</f>
        <v>1</v>
      </c>
      <c r="N14" s="452">
        <v>0</v>
      </c>
      <c r="O14" s="425">
        <f>ROUND(N14*G14,0)</f>
        <v>0</v>
      </c>
      <c r="P14" s="426">
        <f>O14/I14</f>
        <v>0</v>
      </c>
      <c r="Q14" s="450">
        <f>+K14+N14</f>
        <v>20</v>
      </c>
      <c r="R14" s="175">
        <f>L14+O14</f>
        <v>1392880</v>
      </c>
      <c r="S14" s="176">
        <f t="shared" ref="S14:S19" si="1">R14/H14</f>
        <v>1</v>
      </c>
    </row>
    <row r="15" spans="1:19" ht="15" customHeight="1" x14ac:dyDescent="0.3">
      <c r="A15" s="1441"/>
      <c r="B15" s="1441"/>
      <c r="C15" s="449"/>
      <c r="D15" s="449" t="s">
        <v>162</v>
      </c>
      <c r="E15" s="472"/>
      <c r="F15" s="448"/>
      <c r="G15" s="448"/>
      <c r="H15" s="447">
        <f>H14</f>
        <v>1392880</v>
      </c>
      <c r="I15" s="447">
        <f>SUM(I14)</f>
        <v>1463920</v>
      </c>
      <c r="J15" s="1485"/>
      <c r="K15" s="431"/>
      <c r="L15" s="179">
        <f>SUM(L14)</f>
        <v>1392880</v>
      </c>
      <c r="M15" s="431">
        <f t="shared" si="0"/>
        <v>1</v>
      </c>
      <c r="N15" s="431"/>
      <c r="O15" s="179">
        <f>SUM(O14)</f>
        <v>0</v>
      </c>
      <c r="P15" s="431">
        <f t="shared" ref="P15:P19" si="2">O15/H15</f>
        <v>0</v>
      </c>
      <c r="Q15" s="446"/>
      <c r="R15" s="307">
        <f>SUM(R14)</f>
        <v>1392880</v>
      </c>
      <c r="S15" s="431">
        <f t="shared" si="1"/>
        <v>1</v>
      </c>
    </row>
    <row r="16" spans="1:19" ht="30" customHeight="1" x14ac:dyDescent="0.3">
      <c r="A16" s="1441" t="s">
        <v>765</v>
      </c>
      <c r="B16" s="1441" t="s">
        <v>996</v>
      </c>
      <c r="C16" s="493" t="s">
        <v>160</v>
      </c>
      <c r="D16" s="493" t="s">
        <v>161</v>
      </c>
      <c r="E16" s="467">
        <v>20</v>
      </c>
      <c r="F16" s="453">
        <v>69644</v>
      </c>
      <c r="G16" s="32">
        <f>+ROUND(F16*1.051,0)</f>
        <v>73196</v>
      </c>
      <c r="H16" s="453">
        <f>ROUND((E16*F16),0)</f>
        <v>1392880</v>
      </c>
      <c r="I16" s="32">
        <f>+ROUND(G16*E16,0)</f>
        <v>1463920</v>
      </c>
      <c r="J16" s="1485" t="s">
        <v>1611</v>
      </c>
      <c r="K16" s="474">
        <v>20</v>
      </c>
      <c r="L16" s="429">
        <f>ROUND(K16*F16,0)</f>
        <v>1392880</v>
      </c>
      <c r="M16" s="430">
        <f t="shared" si="0"/>
        <v>1</v>
      </c>
      <c r="N16" s="452">
        <v>0</v>
      </c>
      <c r="O16" s="425">
        <f>ROUND(N16*G16,0)</f>
        <v>0</v>
      </c>
      <c r="P16" s="426">
        <f>O16/I16</f>
        <v>0</v>
      </c>
      <c r="Q16" s="450">
        <f>+K16+N16</f>
        <v>20</v>
      </c>
      <c r="R16" s="175">
        <f>L16+O16</f>
        <v>1392880</v>
      </c>
      <c r="S16" s="176">
        <f t="shared" si="1"/>
        <v>1</v>
      </c>
    </row>
    <row r="17" spans="1:19" ht="15" customHeight="1" x14ac:dyDescent="0.3">
      <c r="A17" s="1441"/>
      <c r="B17" s="1441"/>
      <c r="C17" s="449"/>
      <c r="D17" s="449" t="s">
        <v>162</v>
      </c>
      <c r="E17" s="472"/>
      <c r="F17" s="448"/>
      <c r="G17" s="448"/>
      <c r="H17" s="447">
        <f>H16</f>
        <v>1392880</v>
      </c>
      <c r="I17" s="447">
        <f>SUM(I16)</f>
        <v>1463920</v>
      </c>
      <c r="J17" s="1485"/>
      <c r="K17" s="431"/>
      <c r="L17" s="179">
        <f>SUM(L16)</f>
        <v>1392880</v>
      </c>
      <c r="M17" s="431">
        <f t="shared" si="0"/>
        <v>1</v>
      </c>
      <c r="N17" s="431"/>
      <c r="O17" s="179">
        <f>SUM(O16)</f>
        <v>0</v>
      </c>
      <c r="P17" s="431">
        <f t="shared" si="2"/>
        <v>0</v>
      </c>
      <c r="Q17" s="446"/>
      <c r="R17" s="307">
        <f>SUM(R16)</f>
        <v>1392880</v>
      </c>
      <c r="S17" s="431">
        <f t="shared" si="1"/>
        <v>1</v>
      </c>
    </row>
    <row r="18" spans="1:19" ht="30" customHeight="1" x14ac:dyDescent="0.3">
      <c r="A18" s="1441" t="s">
        <v>1593</v>
      </c>
      <c r="B18" s="1441" t="s">
        <v>996</v>
      </c>
      <c r="C18" s="493" t="s">
        <v>160</v>
      </c>
      <c r="D18" s="493" t="s">
        <v>161</v>
      </c>
      <c r="E18" s="467">
        <v>20</v>
      </c>
      <c r="F18" s="453">
        <v>69644</v>
      </c>
      <c r="G18" s="32">
        <f>+ROUND(F18*1.051,0)</f>
        <v>73196</v>
      </c>
      <c r="H18" s="453">
        <f>ROUND((E18*F18),0)</f>
        <v>1392880</v>
      </c>
      <c r="I18" s="32">
        <f>+ROUND(G18*E18,0)</f>
        <v>1463920</v>
      </c>
      <c r="J18" s="1485" t="s">
        <v>1610</v>
      </c>
      <c r="K18" s="474">
        <v>20</v>
      </c>
      <c r="L18" s="429">
        <f>ROUND(K18*F18,0)</f>
        <v>1392880</v>
      </c>
      <c r="M18" s="430">
        <f t="shared" ref="M18" si="3">L18/H18</f>
        <v>1</v>
      </c>
      <c r="N18" s="452">
        <v>0</v>
      </c>
      <c r="O18" s="425">
        <f>ROUND(N18*G18,0)</f>
        <v>0</v>
      </c>
      <c r="P18" s="426">
        <f>O18/I18</f>
        <v>0</v>
      </c>
      <c r="Q18" s="450">
        <f>+K18+N18</f>
        <v>20</v>
      </c>
      <c r="R18" s="175">
        <f>L18+O18</f>
        <v>1392880</v>
      </c>
      <c r="S18" s="176">
        <f t="shared" si="1"/>
        <v>1</v>
      </c>
    </row>
    <row r="19" spans="1:19" ht="15" customHeight="1" x14ac:dyDescent="0.3">
      <c r="A19" s="1441"/>
      <c r="B19" s="1441"/>
      <c r="C19" s="449"/>
      <c r="D19" s="449" t="s">
        <v>162</v>
      </c>
      <c r="E19" s="472"/>
      <c r="F19" s="448"/>
      <c r="G19" s="448"/>
      <c r="H19" s="447">
        <f>H18</f>
        <v>1392880</v>
      </c>
      <c r="I19" s="447">
        <f>SUM(I18)</f>
        <v>1463920</v>
      </c>
      <c r="J19" s="1485"/>
      <c r="K19" s="431"/>
      <c r="L19" s="179">
        <f>SUM(L18)</f>
        <v>1392880</v>
      </c>
      <c r="M19" s="431">
        <f t="shared" si="0"/>
        <v>1</v>
      </c>
      <c r="N19" s="431"/>
      <c r="O19" s="179">
        <f>SUM(O18)</f>
        <v>0</v>
      </c>
      <c r="P19" s="431">
        <f t="shared" si="2"/>
        <v>0</v>
      </c>
      <c r="Q19" s="446"/>
      <c r="R19" s="307">
        <f>SUM(R18)</f>
        <v>1392880</v>
      </c>
      <c r="S19" s="431">
        <f t="shared" si="1"/>
        <v>1</v>
      </c>
    </row>
    <row r="20" spans="1:19" ht="30" customHeight="1" x14ac:dyDescent="0.3">
      <c r="A20" s="1441" t="s">
        <v>109</v>
      </c>
      <c r="B20" s="1441" t="s">
        <v>1609</v>
      </c>
      <c r="C20" s="493" t="s">
        <v>83</v>
      </c>
      <c r="D20" s="493" t="s">
        <v>223</v>
      </c>
      <c r="E20" s="467">
        <v>0</v>
      </c>
      <c r="F20" s="453">
        <v>1915206</v>
      </c>
      <c r="G20" s="32">
        <f t="shared" ref="G20:G21" si="4">+ROUND(F20*1.051,0)</f>
        <v>2012882</v>
      </c>
      <c r="H20" s="453">
        <f>ROUND((E20*F20),0)</f>
        <v>0</v>
      </c>
      <c r="I20" s="32">
        <f t="shared" ref="I20:I21" si="5">+ROUND(G20*E20,0)</f>
        <v>0</v>
      </c>
      <c r="J20" s="1485" t="s">
        <v>1608</v>
      </c>
      <c r="K20" s="452">
        <v>0</v>
      </c>
      <c r="L20" s="425">
        <f>ROUND(K20*F20,0)</f>
        <v>0</v>
      </c>
      <c r="M20" s="426">
        <v>0</v>
      </c>
      <c r="N20" s="452">
        <v>0</v>
      </c>
      <c r="O20" s="425">
        <f>ROUND(N20*G20,0)</f>
        <v>0</v>
      </c>
      <c r="P20" s="426">
        <v>0</v>
      </c>
      <c r="Q20" s="450">
        <f t="shared" ref="Q20:Q21" si="6">+K20+N20</f>
        <v>0</v>
      </c>
      <c r="R20" s="175">
        <f t="shared" ref="R20:R21" si="7">L20+O20</f>
        <v>0</v>
      </c>
      <c r="S20" s="176">
        <v>0</v>
      </c>
    </row>
    <row r="21" spans="1:19" ht="30" customHeight="1" x14ac:dyDescent="0.3">
      <c r="A21" s="1441"/>
      <c r="B21" s="1441"/>
      <c r="C21" s="493" t="s">
        <v>61</v>
      </c>
      <c r="D21" s="493" t="s">
        <v>224</v>
      </c>
      <c r="E21" s="470">
        <v>0.42</v>
      </c>
      <c r="F21" s="453">
        <v>9123348</v>
      </c>
      <c r="G21" s="32">
        <f t="shared" si="4"/>
        <v>9588639</v>
      </c>
      <c r="H21" s="453">
        <f>ROUND((E21*F21),0)</f>
        <v>3831806</v>
      </c>
      <c r="I21" s="32">
        <f t="shared" si="5"/>
        <v>4027228</v>
      </c>
      <c r="J21" s="1485"/>
      <c r="K21" s="452">
        <v>0</v>
      </c>
      <c r="L21" s="425">
        <f>ROUND(K21*F21,0)</f>
        <v>0</v>
      </c>
      <c r="M21" s="426">
        <f>L21/H21</f>
        <v>0</v>
      </c>
      <c r="N21" s="474">
        <v>0.42</v>
      </c>
      <c r="O21" s="425">
        <f>ROUND(N21*G21,0)</f>
        <v>4027228</v>
      </c>
      <c r="P21" s="426">
        <f>O21/I21</f>
        <v>1</v>
      </c>
      <c r="Q21" s="450">
        <f t="shared" si="6"/>
        <v>0.42</v>
      </c>
      <c r="R21" s="175">
        <f t="shared" si="7"/>
        <v>4027228</v>
      </c>
      <c r="S21" s="176">
        <f>R21/H21</f>
        <v>1.0509999723368042</v>
      </c>
    </row>
    <row r="22" spans="1:19" ht="15" customHeight="1" x14ac:dyDescent="0.3">
      <c r="A22" s="1441"/>
      <c r="B22" s="1441"/>
      <c r="C22" s="449"/>
      <c r="D22" s="449" t="s">
        <v>225</v>
      </c>
      <c r="E22" s="472"/>
      <c r="F22" s="448"/>
      <c r="G22" s="448"/>
      <c r="H22" s="447">
        <f>SUM(H20:H21)</f>
        <v>3831806</v>
      </c>
      <c r="I22" s="447">
        <f>SUM(I20:I21)</f>
        <v>4027228</v>
      </c>
      <c r="J22" s="1485"/>
      <c r="K22" s="431"/>
      <c r="L22" s="179">
        <f>SUM(L20:L21)</f>
        <v>0</v>
      </c>
      <c r="M22" s="431">
        <f>L22/H22</f>
        <v>0</v>
      </c>
      <c r="N22" s="431"/>
      <c r="O22" s="179">
        <f>SUM(O20:O21)</f>
        <v>4027228</v>
      </c>
      <c r="P22" s="431">
        <f>O22/I22</f>
        <v>1</v>
      </c>
      <c r="Q22" s="446"/>
      <c r="R22" s="307">
        <f>SUM(R20:R21)</f>
        <v>4027228</v>
      </c>
      <c r="S22" s="431">
        <f>R22/H22</f>
        <v>1.0509999723368042</v>
      </c>
    </row>
    <row r="23" spans="1:19" x14ac:dyDescent="0.3">
      <c r="F23" s="445" t="s">
        <v>64</v>
      </c>
      <c r="G23" s="445"/>
      <c r="H23" s="340">
        <f>SUM(H11:H22)/2</f>
        <v>8010446</v>
      </c>
      <c r="I23" s="340">
        <f>SUM(I11:I22)/2</f>
        <v>8418988</v>
      </c>
      <c r="K23" s="547" t="s">
        <v>64</v>
      </c>
      <c r="L23" s="550">
        <f>SUM(L11:L22)/2</f>
        <v>4178640</v>
      </c>
      <c r="N23" s="547" t="s">
        <v>64</v>
      </c>
      <c r="O23" s="550">
        <f>SUM(O11:O22)/2</f>
        <v>4027228</v>
      </c>
      <c r="Q23" s="547" t="s">
        <v>64</v>
      </c>
      <c r="R23" s="550">
        <f>SUM(R11:R22)/2</f>
        <v>8205868</v>
      </c>
    </row>
    <row r="24" spans="1:19" x14ac:dyDescent="0.3">
      <c r="F24" s="444" t="s">
        <v>65</v>
      </c>
      <c r="G24" s="444"/>
      <c r="H24" s="181">
        <v>0</v>
      </c>
      <c r="I24" s="181">
        <v>0</v>
      </c>
      <c r="K24" s="548" t="s">
        <v>65</v>
      </c>
      <c r="L24" s="481">
        <v>0</v>
      </c>
      <c r="N24" s="548" t="s">
        <v>65</v>
      </c>
      <c r="O24" s="481">
        <v>0</v>
      </c>
      <c r="Q24" s="548" t="s">
        <v>65</v>
      </c>
      <c r="R24" s="481">
        <v>0</v>
      </c>
    </row>
    <row r="25" spans="1:19" x14ac:dyDescent="0.3">
      <c r="F25" s="443" t="s">
        <v>64</v>
      </c>
      <c r="G25" s="443"/>
      <c r="H25" s="340">
        <f>SUM(H23:H24)</f>
        <v>8010446</v>
      </c>
      <c r="I25" s="340">
        <f>SUM(I23:I24)</f>
        <v>8418988</v>
      </c>
      <c r="K25" s="549" t="s">
        <v>64</v>
      </c>
      <c r="L25" s="550">
        <f>SUM(L23:L24)</f>
        <v>4178640</v>
      </c>
      <c r="N25" s="549" t="s">
        <v>64</v>
      </c>
      <c r="O25" s="550">
        <f>SUM(O23:O24)</f>
        <v>4027228</v>
      </c>
      <c r="Q25" s="549" t="s">
        <v>64</v>
      </c>
      <c r="R25" s="550">
        <f>SUM(R23:R24)</f>
        <v>8205868</v>
      </c>
    </row>
    <row r="26" spans="1:19" ht="26.4" x14ac:dyDescent="0.3">
      <c r="F26" s="443"/>
      <c r="G26" s="443"/>
      <c r="H26" s="340"/>
      <c r="I26" s="340"/>
      <c r="K26" s="501" t="s">
        <v>1439</v>
      </c>
      <c r="L26" s="483">
        <f>ROUND(L25*0.015,0)</f>
        <v>62680</v>
      </c>
      <c r="N26" s="501" t="s">
        <v>1439</v>
      </c>
      <c r="O26" s="483">
        <f>ROUND(O25*0.015,0)</f>
        <v>60408</v>
      </c>
      <c r="Q26" s="501" t="s">
        <v>1439</v>
      </c>
      <c r="R26" s="550">
        <f>L26+O26</f>
        <v>123088</v>
      </c>
    </row>
    <row r="27" spans="1:19" ht="26.4" x14ac:dyDescent="0.3">
      <c r="F27" s="443"/>
      <c r="G27" s="443"/>
      <c r="H27" s="340"/>
      <c r="I27" s="340"/>
      <c r="K27" s="96" t="s">
        <v>1440</v>
      </c>
      <c r="L27" s="182">
        <f>L25+L26</f>
        <v>4241320</v>
      </c>
      <c r="M27" s="553">
        <f>L27/H23</f>
        <v>0.52947363979483786</v>
      </c>
      <c r="N27" s="96" t="s">
        <v>1440</v>
      </c>
      <c r="O27" s="182">
        <f>O25+O26</f>
        <v>4087636</v>
      </c>
      <c r="P27" s="553">
        <f>O27/H25</f>
        <v>0.51028819119434798</v>
      </c>
      <c r="Q27" s="96" t="s">
        <v>1440</v>
      </c>
      <c r="R27" s="182">
        <f>R25+R26</f>
        <v>8328956</v>
      </c>
      <c r="S27" s="575">
        <f>R27/H25</f>
        <v>1.0397618309891858</v>
      </c>
    </row>
    <row r="28" spans="1:19" x14ac:dyDescent="0.3">
      <c r="F28" s="442" t="s">
        <v>66</v>
      </c>
      <c r="G28" s="442"/>
      <c r="H28" s="181">
        <f>+H25*19%</f>
        <v>1521984.74</v>
      </c>
      <c r="I28" s="181">
        <f>+I25*19%</f>
        <v>1599607.72</v>
      </c>
      <c r="K28" s="551" t="s">
        <v>66</v>
      </c>
      <c r="L28" s="483">
        <f>L27*0.19</f>
        <v>805850.8</v>
      </c>
      <c r="N28" s="551" t="s">
        <v>66</v>
      </c>
      <c r="O28" s="483">
        <f>O27*0.19</f>
        <v>776650.84</v>
      </c>
      <c r="Q28" s="551" t="s">
        <v>66</v>
      </c>
      <c r="R28" s="483">
        <f>R27*0.19</f>
        <v>1582501.6400000001</v>
      </c>
    </row>
    <row r="29" spans="1:19" x14ac:dyDescent="0.3">
      <c r="F29" s="441" t="s">
        <v>69</v>
      </c>
      <c r="G29" s="441"/>
      <c r="H29" s="181">
        <f>+H25+H28</f>
        <v>9532430.7400000002</v>
      </c>
      <c r="I29" s="181">
        <f>+I25+I28</f>
        <v>10018595.720000001</v>
      </c>
      <c r="K29" s="552" t="s">
        <v>69</v>
      </c>
      <c r="L29" s="481">
        <f>L27+L28</f>
        <v>5047170.8</v>
      </c>
      <c r="N29" s="552" t="s">
        <v>69</v>
      </c>
      <c r="O29" s="481">
        <f>O27+O28</f>
        <v>4864286.84</v>
      </c>
      <c r="Q29" s="552" t="s">
        <v>69</v>
      </c>
      <c r="R29" s="481">
        <f>R27+R28</f>
        <v>9911457.6400000006</v>
      </c>
    </row>
    <row r="34" spans="1:19" s="189" customFormat="1" x14ac:dyDescent="0.3">
      <c r="A34" s="183" t="s">
        <v>67</v>
      </c>
      <c r="B34" s="184"/>
      <c r="C34" s="184"/>
      <c r="D34" s="185" t="s">
        <v>68</v>
      </c>
      <c r="E34" s="212"/>
      <c r="G34" s="852"/>
      <c r="I34" s="852"/>
      <c r="K34" s="186" t="s">
        <v>70</v>
      </c>
      <c r="L34" s="187" t="s">
        <v>71</v>
      </c>
      <c r="M34" s="186" t="s">
        <v>58</v>
      </c>
      <c r="N34" s="186" t="s">
        <v>70</v>
      </c>
      <c r="O34" s="187" t="s">
        <v>71</v>
      </c>
      <c r="P34" s="186" t="s">
        <v>58</v>
      </c>
      <c r="Q34" s="437"/>
      <c r="R34" s="437"/>
      <c r="S34" s="437"/>
    </row>
    <row r="35" spans="1:19" s="189" customFormat="1" x14ac:dyDescent="0.3">
      <c r="A35" s="183"/>
      <c r="B35" s="184"/>
      <c r="C35" s="184"/>
      <c r="D35" s="185"/>
      <c r="E35" s="212"/>
      <c r="G35" s="852"/>
      <c r="I35" s="852"/>
      <c r="K35" s="69" t="s">
        <v>72</v>
      </c>
      <c r="L35" s="70">
        <f>L27</f>
        <v>4241320</v>
      </c>
      <c r="M35" s="71">
        <f>M27</f>
        <v>0.52947363979483786</v>
      </c>
      <c r="N35" s="69" t="s">
        <v>72</v>
      </c>
      <c r="O35" s="70">
        <f>L27</f>
        <v>4241320</v>
      </c>
      <c r="P35" s="71">
        <f>M27</f>
        <v>0.52947363979483786</v>
      </c>
      <c r="Q35" s="437"/>
      <c r="R35" s="437"/>
      <c r="S35" s="437"/>
    </row>
    <row r="36" spans="1:19" s="603" customFormat="1" x14ac:dyDescent="0.3">
      <c r="A36" s="183"/>
      <c r="B36" s="184"/>
      <c r="C36" s="184"/>
      <c r="D36" s="185"/>
      <c r="E36" s="212"/>
      <c r="G36" s="852"/>
      <c r="I36" s="852"/>
      <c r="K36" s="69"/>
      <c r="L36" s="70"/>
      <c r="M36" s="71"/>
      <c r="N36" s="69" t="s">
        <v>73</v>
      </c>
      <c r="O36" s="70">
        <f>+O27</f>
        <v>4087636</v>
      </c>
      <c r="P36" s="71">
        <f>+P27</f>
        <v>0.51028819119434798</v>
      </c>
      <c r="Q36" s="437"/>
      <c r="R36" s="437"/>
      <c r="S36" s="437"/>
    </row>
    <row r="37" spans="1:19" s="189" customFormat="1" x14ac:dyDescent="0.3">
      <c r="A37" s="183"/>
      <c r="B37" s="184"/>
      <c r="C37" s="184"/>
      <c r="D37" s="185"/>
      <c r="E37" s="212"/>
      <c r="G37" s="852"/>
      <c r="I37" s="852"/>
      <c r="K37" s="72" t="s">
        <v>1</v>
      </c>
      <c r="L37" s="105">
        <f>SUM(L35:L35)</f>
        <v>4241320</v>
      </c>
      <c r="M37" s="73">
        <f>SUM(M35:M35)</f>
        <v>0.52947363979483786</v>
      </c>
      <c r="N37" s="72" t="s">
        <v>1</v>
      </c>
      <c r="O37" s="105">
        <f>SUM(O35:O36)</f>
        <v>8328956</v>
      </c>
      <c r="P37" s="361">
        <f>SUM(P35:P36)</f>
        <v>1.0397618309891858</v>
      </c>
      <c r="Q37" s="437"/>
      <c r="R37" s="437"/>
      <c r="S37" s="437"/>
    </row>
    <row r="38" spans="1:19" s="189" customFormat="1" x14ac:dyDescent="0.3">
      <c r="A38" s="183"/>
      <c r="B38" s="184"/>
      <c r="C38" s="184"/>
      <c r="D38" s="185"/>
      <c r="E38" s="212"/>
      <c r="G38" s="852"/>
      <c r="I38" s="852"/>
      <c r="K38" s="72" t="s">
        <v>9</v>
      </c>
      <c r="L38" s="1423"/>
      <c r="M38" s="1424"/>
      <c r="N38" s="72" t="s">
        <v>9</v>
      </c>
      <c r="O38" s="1423"/>
      <c r="P38" s="1424"/>
      <c r="Q38" s="437"/>
      <c r="R38" s="437"/>
      <c r="S38" s="437"/>
    </row>
    <row r="39" spans="1:19" s="189" customFormat="1" x14ac:dyDescent="0.3">
      <c r="A39" s="183"/>
      <c r="B39" s="184"/>
      <c r="C39" s="184"/>
      <c r="D39" s="185"/>
      <c r="E39" s="212"/>
      <c r="G39" s="852"/>
      <c r="I39" s="852"/>
      <c r="K39" s="440" t="s">
        <v>78</v>
      </c>
      <c r="L39" s="1423" t="s">
        <v>1607</v>
      </c>
      <c r="M39" s="1424"/>
      <c r="N39" s="440" t="s">
        <v>78</v>
      </c>
      <c r="O39" s="1423" t="s">
        <v>1607</v>
      </c>
      <c r="P39" s="1424"/>
      <c r="Q39" s="437"/>
      <c r="R39" s="437"/>
      <c r="S39" s="437"/>
    </row>
    <row r="40" spans="1:19" s="189" customFormat="1" x14ac:dyDescent="0.3">
      <c r="A40" s="183"/>
      <c r="B40" s="184"/>
      <c r="C40" s="184"/>
      <c r="D40" s="185"/>
      <c r="E40" s="212"/>
      <c r="G40" s="852"/>
      <c r="I40" s="852"/>
      <c r="K40" s="439" t="s">
        <v>8</v>
      </c>
      <c r="L40" s="1425" t="s">
        <v>1606</v>
      </c>
      <c r="M40" s="1426"/>
      <c r="N40" s="439" t="s">
        <v>8</v>
      </c>
      <c r="O40" s="1425" t="s">
        <v>1606</v>
      </c>
      <c r="P40" s="1426"/>
      <c r="Q40" s="437"/>
      <c r="R40" s="437"/>
      <c r="S40" s="437"/>
    </row>
    <row r="41" spans="1:19" s="189" customFormat="1" x14ac:dyDescent="0.3">
      <c r="A41" s="183"/>
      <c r="B41" s="184"/>
      <c r="C41" s="184"/>
      <c r="D41" s="185" t="s">
        <v>75</v>
      </c>
      <c r="E41" s="212"/>
      <c r="G41" s="852"/>
      <c r="I41" s="852"/>
      <c r="N41" s="603"/>
      <c r="O41" s="603"/>
      <c r="P41" s="603"/>
    </row>
    <row r="42" spans="1:19" s="189" customFormat="1" x14ac:dyDescent="0.3">
      <c r="A42" s="183" t="s">
        <v>76</v>
      </c>
      <c r="B42" s="180"/>
      <c r="C42" s="180"/>
      <c r="D42" s="185" t="s">
        <v>77</v>
      </c>
      <c r="E42" s="212"/>
      <c r="G42" s="852"/>
      <c r="I42" s="852"/>
      <c r="N42" s="603"/>
      <c r="O42" s="603"/>
      <c r="P42" s="603"/>
    </row>
    <row r="43" spans="1:19" s="189" customFormat="1" ht="26.4" x14ac:dyDescent="0.3">
      <c r="A43" s="183" t="s">
        <v>79</v>
      </c>
      <c r="B43" s="180"/>
      <c r="C43" s="180"/>
      <c r="D43" s="185" t="s">
        <v>80</v>
      </c>
      <c r="E43" s="212"/>
      <c r="G43" s="852"/>
      <c r="I43" s="852"/>
      <c r="N43" s="603"/>
      <c r="O43" s="603"/>
      <c r="P43" s="603"/>
    </row>
  </sheetData>
  <sheetProtection formatCells="0" formatColumns="0" formatRows="0" insertColumns="0" insertRows="0" insertHyperlinks="0" deleteColumns="0" deleteRows="0" sort="0" autoFilter="0" pivotTables="0"/>
  <mergeCells count="34">
    <mergeCell ref="O40:P40"/>
    <mergeCell ref="L40:M40"/>
    <mergeCell ref="B11:J11"/>
    <mergeCell ref="K11:M12"/>
    <mergeCell ref="J18:J19"/>
    <mergeCell ref="L39:M39"/>
    <mergeCell ref="O39:P39"/>
    <mergeCell ref="L38:M38"/>
    <mergeCell ref="B18:B19"/>
    <mergeCell ref="J14:J15"/>
    <mergeCell ref="O38:P38"/>
    <mergeCell ref="N11:P12"/>
    <mergeCell ref="Q1:S1"/>
    <mergeCell ref="Q2:S2"/>
    <mergeCell ref="A3:S3"/>
    <mergeCell ref="A4:S4"/>
    <mergeCell ref="A5:S5"/>
    <mergeCell ref="C1:M2"/>
    <mergeCell ref="A6:S6"/>
    <mergeCell ref="A20:A22"/>
    <mergeCell ref="B20:B22"/>
    <mergeCell ref="J20:J22"/>
    <mergeCell ref="A14:A15"/>
    <mergeCell ref="B14:B15"/>
    <mergeCell ref="A16:A17"/>
    <mergeCell ref="B16:B17"/>
    <mergeCell ref="J16:J17"/>
    <mergeCell ref="A18:A19"/>
    <mergeCell ref="A7:S7"/>
    <mergeCell ref="A8:S8"/>
    <mergeCell ref="A9:S9"/>
    <mergeCell ref="A10:S10"/>
    <mergeCell ref="Q11:S12"/>
    <mergeCell ref="B12:J12"/>
  </mergeCells>
  <pageMargins left="0.7" right="0.7" top="0.75" bottom="0.75" header="0.3" footer="0.3"/>
  <pageSetup orientation="portrait" r:id="rId1"/>
  <drawing r:id="rId2"/>
  <legacyDrawingHF r:id="rId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6">
    <tabColor theme="1"/>
  </sheetPr>
  <dimension ref="A1:G49"/>
  <sheetViews>
    <sheetView topLeftCell="A17" zoomScaleNormal="100" zoomScaleSheetLayoutView="90" workbookViewId="0">
      <selection activeCell="G37" sqref="G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RESUMEN!G99</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RESUMEN!B99</f>
        <v>D00249388</v>
      </c>
      <c r="C7" s="1265"/>
      <c r="D7" s="1177"/>
      <c r="E7" s="1266" t="s">
        <v>627</v>
      </c>
      <c r="F7" s="1267"/>
      <c r="G7" s="280" t="str">
        <f>RESUMEN!E99</f>
        <v>17-383</v>
      </c>
    </row>
    <row r="8" spans="1:7" x14ac:dyDescent="0.25">
      <c r="A8" s="271" t="s">
        <v>628</v>
      </c>
      <c r="B8" s="1264" t="str">
        <f>RESUMEN!C99</f>
        <v>D00249388000</v>
      </c>
      <c r="C8" s="1265"/>
      <c r="D8" s="1177"/>
      <c r="E8" s="1266" t="s">
        <v>629</v>
      </c>
      <c r="F8" s="1267"/>
      <c r="G8" s="280" t="str">
        <f>RESUMEN!U99</f>
        <v>Acta N° 3: Marzo</v>
      </c>
    </row>
    <row r="9" spans="1:7" x14ac:dyDescent="0.25">
      <c r="A9" s="271" t="s">
        <v>630</v>
      </c>
      <c r="B9" s="1283" t="s">
        <v>631</v>
      </c>
      <c r="C9" s="1265"/>
      <c r="D9" s="1177"/>
      <c r="E9" s="1266" t="s">
        <v>632</v>
      </c>
      <c r="F9" s="1267"/>
      <c r="G9" s="1178">
        <f>RESUMEN!H99</f>
        <v>11736814</v>
      </c>
    </row>
    <row r="10" spans="1:7" x14ac:dyDescent="0.25">
      <c r="A10" s="271" t="s">
        <v>633</v>
      </c>
      <c r="B10" s="1283" t="str">
        <f>RESUMEN!D99</f>
        <v>BALMORAL</v>
      </c>
      <c r="C10" s="1265"/>
      <c r="D10" s="1177"/>
      <c r="E10" s="1266" t="s">
        <v>634</v>
      </c>
      <c r="F10" s="1267"/>
      <c r="G10" s="1178">
        <f>RESUMEN!R99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f>
        <v>A los 14 días del mes de Marzo se reunieron en las instalaciones de CODENSA S.A. E.S.P., los ingenieros Ing. Óscar González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f>
        <v>0</v>
      </c>
      <c r="F19" s="1248"/>
      <c r="G19" s="1177"/>
    </row>
    <row r="20" spans="1:7" ht="27" customHeight="1" x14ac:dyDescent="0.25">
      <c r="A20" s="1177"/>
      <c r="B20" s="1244" t="s">
        <v>1498</v>
      </c>
      <c r="C20" s="1245"/>
      <c r="D20" s="1246"/>
      <c r="E20" s="1247">
        <f>RESUMEN!P99</f>
        <v>0</v>
      </c>
      <c r="F20" s="1248"/>
      <c r="G20" s="1177"/>
    </row>
    <row r="21" spans="1:7" ht="27" customHeight="1" x14ac:dyDescent="0.25">
      <c r="A21" s="1177"/>
      <c r="B21" s="1244" t="s">
        <v>1499</v>
      </c>
      <c r="C21" s="1245"/>
      <c r="D21" s="1246"/>
      <c r="E21" s="1247">
        <f>RESUMEN!Q99</f>
        <v>0</v>
      </c>
      <c r="F21" s="1248"/>
      <c r="G21" s="1177"/>
    </row>
    <row r="22" spans="1:7" x14ac:dyDescent="0.25">
      <c r="A22" s="1177"/>
      <c r="B22" s="1254" t="s">
        <v>64</v>
      </c>
      <c r="C22" s="1254"/>
      <c r="D22" s="1254"/>
      <c r="E22" s="1255">
        <f>RESUMEN!R99</f>
        <v>0</v>
      </c>
      <c r="F22" s="1255"/>
      <c r="G22" s="1177"/>
    </row>
    <row r="23" spans="1:7" x14ac:dyDescent="0.25">
      <c r="A23" s="1177"/>
      <c r="B23" s="1256" t="s">
        <v>66</v>
      </c>
      <c r="C23" s="1256"/>
      <c r="D23" s="1256"/>
      <c r="E23" s="1257">
        <f>RESUMEN!S99</f>
        <v>0</v>
      </c>
      <c r="F23" s="1257"/>
      <c r="G23" s="1177"/>
    </row>
    <row r="24" spans="1:7" x14ac:dyDescent="0.25">
      <c r="A24" s="1177"/>
      <c r="B24" s="1258" t="s">
        <v>1</v>
      </c>
      <c r="C24" s="1258"/>
      <c r="D24" s="1258"/>
      <c r="E24" s="1259">
        <f>RESUMEN!T99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+'OT17-383 BALMORAL'!Q49</f>
        <v>ACTA 1</v>
      </c>
      <c r="C28" s="1253">
        <f>+'OT17-383 BALMORAL'!R49</f>
        <v>6307188</v>
      </c>
      <c r="D28" s="1253"/>
      <c r="E28" s="267">
        <f>+'OT17-383 BALMORAL'!S49</f>
        <v>0.53738501777398873</v>
      </c>
      <c r="F28" s="1177"/>
      <c r="G28" s="1177"/>
    </row>
    <row r="29" spans="1:7" x14ac:dyDescent="0.25">
      <c r="A29" s="1177"/>
      <c r="B29" s="280" t="str">
        <f>+'OT17-383 BALMORAL'!Q50</f>
        <v>ACTA 2</v>
      </c>
      <c r="C29" s="1253">
        <f>+'OT17-383 BALMORAL'!R50</f>
        <v>1324364</v>
      </c>
      <c r="D29" s="1253"/>
      <c r="E29" s="267">
        <f>+'OT17-383 BALMORAL'!S50</f>
        <v>0.11283845854590521</v>
      </c>
      <c r="F29" s="1177"/>
      <c r="G29" s="1177"/>
    </row>
    <row r="30" spans="1:7" x14ac:dyDescent="0.25">
      <c r="A30" s="1177"/>
      <c r="B30" s="280" t="str">
        <f>+'OT17-383 BALMORAL'!Q51</f>
        <v>ACTA 3</v>
      </c>
      <c r="C30" s="1253">
        <f>+'OT17-383 BALMORAL'!R51</f>
        <v>0</v>
      </c>
      <c r="D30" s="1253"/>
      <c r="E30" s="267">
        <f>+'OT17-383 BALMORAL'!S51</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7631552</v>
      </c>
      <c r="D34" s="1251"/>
      <c r="E34" s="264">
        <f>SUM(E28:E33)</f>
        <v>0.65022347631989397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RESUMEN!V99</f>
        <v>Ing. Óscar González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87">
    <tabColor rgb="FF72104A"/>
  </sheetPr>
  <dimension ref="A1:V57"/>
  <sheetViews>
    <sheetView topLeftCell="F28" zoomScale="70" zoomScaleNormal="70" workbookViewId="0">
      <selection activeCell="Q13" sqref="Q13"/>
    </sheetView>
  </sheetViews>
  <sheetFormatPr baseColWidth="10" defaultColWidth="9.109375" defaultRowHeight="14.4" x14ac:dyDescent="0.3"/>
  <cols>
    <col min="1" max="1" width="14.5546875" style="437" customWidth="1"/>
    <col min="2" max="2" width="31" style="437" customWidth="1"/>
    <col min="3" max="3" width="30.6640625" style="437" customWidth="1"/>
    <col min="4" max="4" width="22.33203125" style="437" bestFit="1" customWidth="1"/>
    <col min="5" max="5" width="15.6640625" style="437" customWidth="1"/>
    <col min="6" max="7" width="17.88671875" style="437" customWidth="1"/>
    <col min="8" max="9" width="19.109375" style="437" customWidth="1"/>
    <col min="10" max="10" width="58.6640625" style="437" customWidth="1"/>
    <col min="11" max="11" width="17.88671875" style="437" hidden="1" customWidth="1"/>
    <col min="12" max="12" width="18" style="437" hidden="1" customWidth="1"/>
    <col min="13" max="13" width="10.33203125" style="437" hidden="1" customWidth="1"/>
    <col min="14" max="14" width="17.88671875" style="437" bestFit="1" customWidth="1"/>
    <col min="15" max="15" width="18" style="437" bestFit="1" customWidth="1"/>
    <col min="16" max="16" width="9.109375" style="437"/>
    <col min="17" max="17" width="15.77734375" style="437" customWidth="1"/>
    <col min="18" max="18" width="14.6640625" style="437" customWidth="1"/>
    <col min="19" max="19" width="13.88671875" style="437" customWidth="1"/>
    <col min="20" max="20" width="17.88671875" style="437" bestFit="1" customWidth="1"/>
    <col min="21" max="21" width="16.6640625" style="437" bestFit="1" customWidth="1"/>
    <col min="22"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1308"/>
      <c r="O1" s="1308"/>
      <c r="P1" s="1308"/>
      <c r="Q1" s="1052"/>
      <c r="R1" s="1052"/>
      <c r="S1" s="1052"/>
      <c r="T1" s="1328" t="s">
        <v>163</v>
      </c>
      <c r="U1" s="1303"/>
      <c r="V1" s="1304"/>
    </row>
    <row r="2" spans="1:22" ht="13.5" customHeight="1" thickBot="1" x14ac:dyDescent="0.35">
      <c r="A2" s="170"/>
      <c r="B2" s="190"/>
      <c r="C2" s="1310"/>
      <c r="D2" s="1311"/>
      <c r="E2" s="1311"/>
      <c r="F2" s="1311"/>
      <c r="G2" s="1311"/>
      <c r="H2" s="1311"/>
      <c r="I2" s="1311"/>
      <c r="J2" s="1311"/>
      <c r="K2" s="1311"/>
      <c r="L2" s="1311"/>
      <c r="M2" s="1311"/>
      <c r="N2" s="1311"/>
      <c r="O2" s="1311"/>
      <c r="P2" s="1311"/>
      <c r="Q2" s="1053"/>
      <c r="R2" s="1053"/>
      <c r="S2" s="1053"/>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312</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1624</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91"/>
      <c r="B11" s="1301"/>
      <c r="C11" s="1313"/>
      <c r="D11" s="1313"/>
      <c r="E11" s="1313"/>
      <c r="F11" s="1313"/>
      <c r="G11" s="1313"/>
      <c r="H11" s="1313"/>
      <c r="I11" s="1313"/>
      <c r="J11" s="1313"/>
      <c r="K11" s="1293" t="s">
        <v>1726</v>
      </c>
      <c r="L11" s="1294"/>
      <c r="M11" s="1295"/>
      <c r="N11" s="1293" t="s">
        <v>2094</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502" t="s">
        <v>54</v>
      </c>
      <c r="R13" s="502" t="s">
        <v>56</v>
      </c>
      <c r="S13" s="502" t="s">
        <v>58</v>
      </c>
      <c r="T13" s="174" t="s">
        <v>54</v>
      </c>
      <c r="U13" s="172" t="s">
        <v>56</v>
      </c>
      <c r="V13" s="502" t="s">
        <v>58</v>
      </c>
    </row>
    <row r="14" spans="1:22" ht="30" customHeight="1" x14ac:dyDescent="0.3">
      <c r="A14" s="1440" t="s">
        <v>1579</v>
      </c>
      <c r="B14" s="1441" t="s">
        <v>210</v>
      </c>
      <c r="C14" s="493" t="s">
        <v>81</v>
      </c>
      <c r="D14" s="493" t="s">
        <v>207</v>
      </c>
      <c r="E14" s="493">
        <v>0</v>
      </c>
      <c r="F14" s="453">
        <v>800905</v>
      </c>
      <c r="G14" s="32">
        <f>+ROUND(F14*1.051,0)</f>
        <v>841751</v>
      </c>
      <c r="H14" s="453">
        <f>ROUND((E14*F14),0)</f>
        <v>0</v>
      </c>
      <c r="I14" s="32">
        <f>+ROUND(G14*E14,0)</f>
        <v>0</v>
      </c>
      <c r="J14" s="1442" t="s">
        <v>813</v>
      </c>
      <c r="K14" s="452">
        <v>0</v>
      </c>
      <c r="L14" s="425">
        <f>ROUND(K14*F14,0)</f>
        <v>0</v>
      </c>
      <c r="M14" s="426">
        <v>0</v>
      </c>
      <c r="N14" s="452">
        <v>0</v>
      </c>
      <c r="O14" s="425">
        <f>ROUND(N14*G14,0)</f>
        <v>0</v>
      </c>
      <c r="P14" s="604">
        <v>0</v>
      </c>
      <c r="Q14" s="452">
        <v>0</v>
      </c>
      <c r="R14" s="425">
        <f>ROUND(Q14*G14,0)</f>
        <v>0</v>
      </c>
      <c r="S14" s="604">
        <v>0</v>
      </c>
      <c r="T14" s="450">
        <f>+K14+N14+Q14</f>
        <v>0</v>
      </c>
      <c r="U14" s="175">
        <f>+L14+O14+R14</f>
        <v>0</v>
      </c>
      <c r="V14" s="176">
        <v>0</v>
      </c>
    </row>
    <row r="15" spans="1:22" ht="30" customHeight="1" x14ac:dyDescent="0.3">
      <c r="A15" s="1440"/>
      <c r="B15" s="1441"/>
      <c r="C15" s="493" t="s">
        <v>83</v>
      </c>
      <c r="D15" s="493" t="s">
        <v>208</v>
      </c>
      <c r="E15" s="493">
        <v>0</v>
      </c>
      <c r="F15" s="453">
        <v>2646468</v>
      </c>
      <c r="G15" s="32">
        <f>+ROUND(F15*1.051,0)</f>
        <v>2781438</v>
      </c>
      <c r="H15" s="453">
        <f>ROUND((E15*F15),0)</f>
        <v>0</v>
      </c>
      <c r="I15" s="32">
        <f t="shared" ref="I15:I16" si="0">+ROUND(G15*E15,0)</f>
        <v>0</v>
      </c>
      <c r="J15" s="1441"/>
      <c r="K15" s="452">
        <v>0</v>
      </c>
      <c r="L15" s="425">
        <f>ROUND(K15*F15,0)</f>
        <v>0</v>
      </c>
      <c r="M15" s="426">
        <v>0</v>
      </c>
      <c r="N15" s="452">
        <v>0</v>
      </c>
      <c r="O15" s="425">
        <f t="shared" ref="O15:O16" si="1">ROUND(N15*G15,0)</f>
        <v>0</v>
      </c>
      <c r="P15" s="604">
        <v>0</v>
      </c>
      <c r="Q15" s="452">
        <v>0</v>
      </c>
      <c r="R15" s="425">
        <f t="shared" ref="R15:R16" si="2">ROUND(Q15*G15,0)</f>
        <v>0</v>
      </c>
      <c r="S15" s="604">
        <v>0</v>
      </c>
      <c r="T15" s="450">
        <f t="shared" ref="T15:T36" si="3">+K15+N15+Q15</f>
        <v>0</v>
      </c>
      <c r="U15" s="175">
        <f t="shared" ref="U15:U37" si="4">+L15+O15+R15</f>
        <v>0</v>
      </c>
      <c r="V15" s="176">
        <v>0</v>
      </c>
    </row>
    <row r="16" spans="1:22" ht="30" customHeight="1" x14ac:dyDescent="0.3">
      <c r="A16" s="1440"/>
      <c r="B16" s="1441"/>
      <c r="C16" s="493" t="s">
        <v>61</v>
      </c>
      <c r="D16" s="493" t="s">
        <v>209</v>
      </c>
      <c r="E16" s="493">
        <v>0.5</v>
      </c>
      <c r="F16" s="453">
        <v>1775919</v>
      </c>
      <c r="G16" s="32">
        <f>+ROUND(F16*1.051,0)</f>
        <v>1866491</v>
      </c>
      <c r="H16" s="453">
        <f>ROUND((E16*F16),0)</f>
        <v>887960</v>
      </c>
      <c r="I16" s="32">
        <f t="shared" si="0"/>
        <v>933246</v>
      </c>
      <c r="J16" s="1441"/>
      <c r="K16" s="474">
        <v>0.5</v>
      </c>
      <c r="L16" s="429">
        <f>ROUND(K16*F16,0)</f>
        <v>887960</v>
      </c>
      <c r="M16" s="430">
        <f>L16/F16</f>
        <v>0.50000028154437226</v>
      </c>
      <c r="N16" s="452">
        <v>0</v>
      </c>
      <c r="O16" s="425">
        <f t="shared" si="1"/>
        <v>0</v>
      </c>
      <c r="P16" s="604">
        <f t="shared" ref="P16" si="5">+O16/I16</f>
        <v>0</v>
      </c>
      <c r="Q16" s="452">
        <v>0</v>
      </c>
      <c r="R16" s="425">
        <f t="shared" si="2"/>
        <v>0</v>
      </c>
      <c r="S16" s="604">
        <f>+R16/I16</f>
        <v>0</v>
      </c>
      <c r="T16" s="450">
        <f t="shared" si="3"/>
        <v>0.5</v>
      </c>
      <c r="U16" s="175">
        <f t="shared" si="4"/>
        <v>887960</v>
      </c>
      <c r="V16" s="176">
        <f>U16/H16</f>
        <v>1</v>
      </c>
    </row>
    <row r="17" spans="1:22" ht="15" customHeight="1" x14ac:dyDescent="0.3">
      <c r="A17" s="1440"/>
      <c r="B17" s="1441"/>
      <c r="C17" s="459"/>
      <c r="D17" s="459" t="s">
        <v>136</v>
      </c>
      <c r="E17" s="458"/>
      <c r="F17" s="458"/>
      <c r="G17" s="458"/>
      <c r="H17" s="457">
        <f>SUM(H14:H16)</f>
        <v>887960</v>
      </c>
      <c r="I17" s="457">
        <f>SUM(I14:I16)</f>
        <v>933246</v>
      </c>
      <c r="J17" s="1441"/>
      <c r="K17" s="431"/>
      <c r="L17" s="179">
        <f>SUM(L14:L16)</f>
        <v>887960</v>
      </c>
      <c r="M17" s="431">
        <f>L17/H17</f>
        <v>1</v>
      </c>
      <c r="N17" s="431"/>
      <c r="O17" s="179">
        <f>SUM(O14:O16)</f>
        <v>0</v>
      </c>
      <c r="P17" s="431">
        <f>O17/H17</f>
        <v>0</v>
      </c>
      <c r="Q17" s="431"/>
      <c r="R17" s="179">
        <f>SUM(R14:R16)</f>
        <v>0</v>
      </c>
      <c r="S17" s="1100">
        <f t="shared" ref="S17:S37" si="6">+R17/I17</f>
        <v>0</v>
      </c>
      <c r="T17" s="1089"/>
      <c r="U17" s="1078">
        <f t="shared" si="4"/>
        <v>887960</v>
      </c>
      <c r="V17" s="431">
        <f>U17/H17</f>
        <v>1</v>
      </c>
    </row>
    <row r="18" spans="1:22" ht="30" customHeight="1" x14ac:dyDescent="0.3">
      <c r="A18" s="1440" t="s">
        <v>1622</v>
      </c>
      <c r="B18" s="1441" t="s">
        <v>170</v>
      </c>
      <c r="C18" s="493" t="s">
        <v>83</v>
      </c>
      <c r="D18" s="493" t="s">
        <v>123</v>
      </c>
      <c r="E18" s="493">
        <v>0</v>
      </c>
      <c r="F18" s="453">
        <v>1044658</v>
      </c>
      <c r="G18" s="32">
        <f t="shared" ref="G18:G19" si="7">+ROUND(F18*1.051,0)</f>
        <v>1097936</v>
      </c>
      <c r="H18" s="453">
        <f>ROUND((E18*F18),0)</f>
        <v>0</v>
      </c>
      <c r="I18" s="32">
        <f t="shared" ref="I18:I19" si="8">+ROUND(G18*E18,0)</f>
        <v>0</v>
      </c>
      <c r="J18" s="1441" t="s">
        <v>1623</v>
      </c>
      <c r="K18" s="452">
        <v>0</v>
      </c>
      <c r="L18" s="425">
        <f>ROUND(K18*F18,0)</f>
        <v>0</v>
      </c>
      <c r="M18" s="426">
        <v>0</v>
      </c>
      <c r="N18" s="452">
        <v>0</v>
      </c>
      <c r="O18" s="425">
        <f t="shared" ref="O18:O19" si="9">ROUND(N18*G18,0)</f>
        <v>0</v>
      </c>
      <c r="P18" s="604">
        <v>0</v>
      </c>
      <c r="Q18" s="452">
        <v>0</v>
      </c>
      <c r="R18" s="425">
        <f>ROUND(Q18*G18,0)</f>
        <v>0</v>
      </c>
      <c r="S18" s="604">
        <v>0</v>
      </c>
      <c r="T18" s="450">
        <f t="shared" si="3"/>
        <v>0</v>
      </c>
      <c r="U18" s="175">
        <f t="shared" si="4"/>
        <v>0</v>
      </c>
      <c r="V18" s="176">
        <v>0</v>
      </c>
    </row>
    <row r="19" spans="1:22" ht="30" customHeight="1" x14ac:dyDescent="0.3">
      <c r="A19" s="1440"/>
      <c r="B19" s="1441"/>
      <c r="C19" s="493" t="s">
        <v>61</v>
      </c>
      <c r="D19" s="493" t="s">
        <v>125</v>
      </c>
      <c r="E19" s="493">
        <v>0.7</v>
      </c>
      <c r="F19" s="453">
        <v>1009836</v>
      </c>
      <c r="G19" s="32">
        <f t="shared" si="7"/>
        <v>1061338</v>
      </c>
      <c r="H19" s="453">
        <f>ROUND((E19*F19),0)</f>
        <v>706885</v>
      </c>
      <c r="I19" s="32">
        <f t="shared" si="8"/>
        <v>742937</v>
      </c>
      <c r="J19" s="1441"/>
      <c r="K19" s="474">
        <v>0.7</v>
      </c>
      <c r="L19" s="429">
        <f>ROUND(K19*F19,0)</f>
        <v>706885</v>
      </c>
      <c r="M19" s="430">
        <f>L19/F19</f>
        <v>0.69999980194803912</v>
      </c>
      <c r="N19" s="452">
        <v>0</v>
      </c>
      <c r="O19" s="425">
        <f t="shared" si="9"/>
        <v>0</v>
      </c>
      <c r="P19" s="604">
        <f t="shared" ref="P19" si="10">+O19/I19</f>
        <v>0</v>
      </c>
      <c r="Q19" s="452">
        <v>0</v>
      </c>
      <c r="R19" s="425">
        <f>ROUND(Q19*G19,0)</f>
        <v>0</v>
      </c>
      <c r="S19" s="604">
        <f t="shared" si="6"/>
        <v>0</v>
      </c>
      <c r="T19" s="450">
        <f t="shared" si="3"/>
        <v>0.7</v>
      </c>
      <c r="U19" s="175">
        <f t="shared" si="4"/>
        <v>706885</v>
      </c>
      <c r="V19" s="176">
        <f>U19/H19</f>
        <v>1</v>
      </c>
    </row>
    <row r="20" spans="1:22" ht="15" customHeight="1" x14ac:dyDescent="0.3">
      <c r="A20" s="1440"/>
      <c r="B20" s="1441"/>
      <c r="C20" s="459"/>
      <c r="D20" s="459" t="s">
        <v>126</v>
      </c>
      <c r="E20" s="458"/>
      <c r="F20" s="458"/>
      <c r="G20" s="458"/>
      <c r="H20" s="457">
        <f>SUM(H18:H19)</f>
        <v>706885</v>
      </c>
      <c r="I20" s="457">
        <f>SUM(I18:I19)</f>
        <v>742937</v>
      </c>
      <c r="J20" s="1441"/>
      <c r="K20" s="431"/>
      <c r="L20" s="179">
        <f>SUM(L18:L19)</f>
        <v>706885</v>
      </c>
      <c r="M20" s="431">
        <f>L20/H20</f>
        <v>1</v>
      </c>
      <c r="N20" s="431"/>
      <c r="O20" s="179">
        <f>SUM(O18:O19)</f>
        <v>0</v>
      </c>
      <c r="P20" s="431">
        <f>O20/H20</f>
        <v>0</v>
      </c>
      <c r="Q20" s="431"/>
      <c r="R20" s="179">
        <f>SUM(R18:R19)</f>
        <v>0</v>
      </c>
      <c r="S20" s="1100">
        <f t="shared" si="6"/>
        <v>0</v>
      </c>
      <c r="T20" s="1089"/>
      <c r="U20" s="1078">
        <f t="shared" si="4"/>
        <v>706885</v>
      </c>
      <c r="V20" s="431">
        <f>U20/H20</f>
        <v>1</v>
      </c>
    </row>
    <row r="21" spans="1:22" ht="30" customHeight="1" x14ac:dyDescent="0.3">
      <c r="A21" s="1440" t="s">
        <v>1622</v>
      </c>
      <c r="B21" s="1441" t="s">
        <v>282</v>
      </c>
      <c r="C21" s="493" t="s">
        <v>81</v>
      </c>
      <c r="D21" s="493" t="s">
        <v>105</v>
      </c>
      <c r="E21" s="493">
        <v>0</v>
      </c>
      <c r="F21" s="453">
        <v>417863</v>
      </c>
      <c r="G21" s="32">
        <f t="shared" ref="G21:G22" si="11">+ROUND(F21*1.051,0)</f>
        <v>439174</v>
      </c>
      <c r="H21" s="453">
        <f>ROUND((E21*F21),0)</f>
        <v>0</v>
      </c>
      <c r="I21" s="32">
        <f t="shared" ref="I21:I22" si="12">+ROUND(G21*E21,0)</f>
        <v>0</v>
      </c>
      <c r="J21" s="1442" t="s">
        <v>1621</v>
      </c>
      <c r="K21" s="452">
        <v>0</v>
      </c>
      <c r="L21" s="425">
        <f>ROUND(K21*F21,0)</f>
        <v>0</v>
      </c>
      <c r="N21" s="452">
        <v>0</v>
      </c>
      <c r="O21" s="425">
        <f t="shared" ref="O21:O22" si="13">ROUND(N21*G21,0)</f>
        <v>0</v>
      </c>
      <c r="P21" s="604">
        <v>0</v>
      </c>
      <c r="Q21" s="452">
        <v>0</v>
      </c>
      <c r="R21" s="425">
        <f>ROUND(Q21*G21,0)</f>
        <v>0</v>
      </c>
      <c r="S21" s="604">
        <v>0</v>
      </c>
      <c r="T21" s="450">
        <f t="shared" si="3"/>
        <v>0</v>
      </c>
      <c r="U21" s="175">
        <f t="shared" si="4"/>
        <v>0</v>
      </c>
      <c r="V21" s="176">
        <v>0</v>
      </c>
    </row>
    <row r="22" spans="1:22" ht="30" customHeight="1" x14ac:dyDescent="0.3">
      <c r="A22" s="1440"/>
      <c r="B22" s="1441"/>
      <c r="C22" s="493" t="s">
        <v>83</v>
      </c>
      <c r="D22" s="493" t="s">
        <v>107</v>
      </c>
      <c r="E22" s="493">
        <v>8.4000000000000005E-2</v>
      </c>
      <c r="F22" s="453">
        <v>1845563</v>
      </c>
      <c r="G22" s="32">
        <f t="shared" si="11"/>
        <v>1939687</v>
      </c>
      <c r="H22" s="453">
        <f>ROUND((E22*F22),0)</f>
        <v>155027</v>
      </c>
      <c r="I22" s="32">
        <f t="shared" si="12"/>
        <v>162934</v>
      </c>
      <c r="J22" s="1441"/>
      <c r="K22" s="452">
        <v>0</v>
      </c>
      <c r="L22" s="425">
        <f>ROUND(K22*F22,0)</f>
        <v>0</v>
      </c>
      <c r="M22" s="426">
        <v>0</v>
      </c>
      <c r="N22" s="474">
        <v>8.4000000000000005E-2</v>
      </c>
      <c r="O22" s="429">
        <f t="shared" si="13"/>
        <v>162934</v>
      </c>
      <c r="P22" s="534">
        <f>+O22/H22</f>
        <v>1.0510040186548151</v>
      </c>
      <c r="Q22" s="452">
        <v>0</v>
      </c>
      <c r="R22" s="425">
        <f>ROUND(Q22*G22,0)</f>
        <v>0</v>
      </c>
      <c r="S22" s="604">
        <f t="shared" si="6"/>
        <v>0</v>
      </c>
      <c r="T22" s="450">
        <f t="shared" si="3"/>
        <v>8.4000000000000005E-2</v>
      </c>
      <c r="U22" s="175">
        <f t="shared" si="4"/>
        <v>162934</v>
      </c>
      <c r="V22" s="176">
        <f>U22/H22</f>
        <v>1.0510040186548151</v>
      </c>
    </row>
    <row r="23" spans="1:22" ht="15" customHeight="1" x14ac:dyDescent="0.3">
      <c r="A23" s="1440"/>
      <c r="B23" s="1441"/>
      <c r="C23" s="459"/>
      <c r="D23" s="459" t="s">
        <v>108</v>
      </c>
      <c r="E23" s="458"/>
      <c r="F23" s="458"/>
      <c r="G23" s="458"/>
      <c r="H23" s="457">
        <f>SUM(H21:H22)</f>
        <v>155027</v>
      </c>
      <c r="I23" s="457">
        <f>SUM(I21:I22)</f>
        <v>162934</v>
      </c>
      <c r="J23" s="1441"/>
      <c r="K23" s="431"/>
      <c r="L23" s="179">
        <f>SUM(L21:L22)</f>
        <v>0</v>
      </c>
      <c r="M23" s="431">
        <f>L23/H23</f>
        <v>0</v>
      </c>
      <c r="N23" s="431"/>
      <c r="O23" s="179">
        <f>SUM(O21:O22)</f>
        <v>162934</v>
      </c>
      <c r="P23" s="431">
        <f>O23/H23</f>
        <v>1.0510040186548151</v>
      </c>
      <c r="Q23" s="431"/>
      <c r="R23" s="179">
        <f>SUM(R21:R22)</f>
        <v>0</v>
      </c>
      <c r="S23" s="1100">
        <f t="shared" si="6"/>
        <v>0</v>
      </c>
      <c r="T23" s="1089"/>
      <c r="U23" s="1078">
        <f t="shared" si="4"/>
        <v>162934</v>
      </c>
      <c r="V23" s="431">
        <f>U23/H23</f>
        <v>1.0510040186548151</v>
      </c>
    </row>
    <row r="24" spans="1:22" ht="30" customHeight="1" x14ac:dyDescent="0.3">
      <c r="A24" s="1440" t="s">
        <v>1186</v>
      </c>
      <c r="B24" s="1441" t="s">
        <v>282</v>
      </c>
      <c r="C24" s="493" t="s">
        <v>81</v>
      </c>
      <c r="D24" s="493" t="s">
        <v>105</v>
      </c>
      <c r="E24" s="493">
        <v>0.7</v>
      </c>
      <c r="F24" s="453">
        <v>417863</v>
      </c>
      <c r="G24" s="32">
        <f t="shared" ref="G24:G25" si="14">+ROUND(F24*1.051,0)</f>
        <v>439174</v>
      </c>
      <c r="H24" s="453">
        <f>ROUND((E24*F24),0)</f>
        <v>292504</v>
      </c>
      <c r="I24" s="32">
        <f t="shared" ref="I24:I25" si="15">+ROUND(G24*E24,0)</f>
        <v>307422</v>
      </c>
      <c r="J24" s="1441" t="s">
        <v>1620</v>
      </c>
      <c r="K24" s="474">
        <f>0.7*70%</f>
        <v>0.48999999999999994</v>
      </c>
      <c r="L24" s="429">
        <f>ROUND(K24*F24,0)</f>
        <v>204753</v>
      </c>
      <c r="M24" s="430">
        <f>L24/H24</f>
        <v>0.70000068375133329</v>
      </c>
      <c r="N24" s="452">
        <v>0</v>
      </c>
      <c r="O24" s="425">
        <f t="shared" ref="O24:O25" si="16">ROUND(N24*G24,0)</f>
        <v>0</v>
      </c>
      <c r="P24" s="604">
        <f t="shared" ref="P24" si="17">+O24/I24</f>
        <v>0</v>
      </c>
      <c r="Q24" s="452">
        <v>0</v>
      </c>
      <c r="R24" s="425">
        <f>ROUND(Q24*G24,0)</f>
        <v>0</v>
      </c>
      <c r="S24" s="604">
        <f t="shared" si="6"/>
        <v>0</v>
      </c>
      <c r="T24" s="450">
        <f t="shared" si="3"/>
        <v>0.48999999999999994</v>
      </c>
      <c r="U24" s="175">
        <f t="shared" si="4"/>
        <v>204753</v>
      </c>
      <c r="V24" s="176">
        <f>U24/H24</f>
        <v>0.70000068375133329</v>
      </c>
    </row>
    <row r="25" spans="1:22" ht="30" customHeight="1" x14ac:dyDescent="0.3">
      <c r="A25" s="1440"/>
      <c r="B25" s="1441"/>
      <c r="C25" s="493" t="s">
        <v>83</v>
      </c>
      <c r="D25" s="493" t="s">
        <v>107</v>
      </c>
      <c r="E25" s="493">
        <v>0</v>
      </c>
      <c r="F25" s="453">
        <v>1845563</v>
      </c>
      <c r="G25" s="32">
        <f t="shared" si="14"/>
        <v>1939687</v>
      </c>
      <c r="H25" s="453">
        <f>ROUND((E25*F25),0)</f>
        <v>0</v>
      </c>
      <c r="I25" s="32">
        <f t="shared" si="15"/>
        <v>0</v>
      </c>
      <c r="J25" s="1441"/>
      <c r="K25" s="452">
        <v>0</v>
      </c>
      <c r="L25" s="425">
        <f>ROUND(K25*H25,0)</f>
        <v>0</v>
      </c>
      <c r="M25" s="426">
        <v>0</v>
      </c>
      <c r="N25" s="452">
        <v>0</v>
      </c>
      <c r="O25" s="425">
        <f t="shared" si="16"/>
        <v>0</v>
      </c>
      <c r="P25" s="604">
        <v>0</v>
      </c>
      <c r="Q25" s="452">
        <v>0</v>
      </c>
      <c r="R25" s="425">
        <f>ROUND(Q25*G25,0)</f>
        <v>0</v>
      </c>
      <c r="S25" s="604">
        <v>0</v>
      </c>
      <c r="T25" s="450">
        <f t="shared" si="3"/>
        <v>0</v>
      </c>
      <c r="U25" s="175">
        <f t="shared" si="4"/>
        <v>0</v>
      </c>
      <c r="V25" s="176">
        <v>0</v>
      </c>
    </row>
    <row r="26" spans="1:22" ht="15" customHeight="1" x14ac:dyDescent="0.3">
      <c r="A26" s="1440"/>
      <c r="B26" s="1441"/>
      <c r="C26" s="459"/>
      <c r="D26" s="459" t="s">
        <v>108</v>
      </c>
      <c r="E26" s="458"/>
      <c r="F26" s="458"/>
      <c r="G26" s="458"/>
      <c r="H26" s="457">
        <f>SUM(H24:H25)</f>
        <v>292504</v>
      </c>
      <c r="I26" s="457">
        <f>SUM(I24:I25)</f>
        <v>307422</v>
      </c>
      <c r="J26" s="1441"/>
      <c r="K26" s="431"/>
      <c r="L26" s="179">
        <f>SUM(L24:L25)</f>
        <v>204753</v>
      </c>
      <c r="M26" s="431">
        <f>L26/H26</f>
        <v>0.70000068375133329</v>
      </c>
      <c r="N26" s="431"/>
      <c r="O26" s="179">
        <f>SUM(O24:O25)</f>
        <v>0</v>
      </c>
      <c r="P26" s="431">
        <f t="shared" ref="P26:P34" si="18">O26/H26</f>
        <v>0</v>
      </c>
      <c r="Q26" s="431"/>
      <c r="R26" s="179">
        <f>SUM(R24:R25)</f>
        <v>0</v>
      </c>
      <c r="S26" s="1100">
        <f t="shared" si="6"/>
        <v>0</v>
      </c>
      <c r="T26" s="1089"/>
      <c r="U26" s="1078">
        <f t="shared" si="4"/>
        <v>204753</v>
      </c>
      <c r="V26" s="431">
        <f t="shared" ref="V26:V34" si="19">U26/H26</f>
        <v>0.70000068375133329</v>
      </c>
    </row>
    <row r="27" spans="1:22" ht="30" customHeight="1" x14ac:dyDescent="0.3">
      <c r="A27" s="1440" t="s">
        <v>1186</v>
      </c>
      <c r="B27" s="1441" t="s">
        <v>194</v>
      </c>
      <c r="C27" s="493" t="s">
        <v>160</v>
      </c>
      <c r="D27" s="493" t="s">
        <v>161</v>
      </c>
      <c r="E27" s="493">
        <v>48</v>
      </c>
      <c r="F27" s="453">
        <v>69644</v>
      </c>
      <c r="G27" s="32">
        <f>+ROUND(F27*1.051,0)</f>
        <v>73196</v>
      </c>
      <c r="H27" s="453">
        <f>ROUND((E27*F27),0)</f>
        <v>3342912</v>
      </c>
      <c r="I27" s="32">
        <f>+ROUND(G27*E27,0)</f>
        <v>3513408</v>
      </c>
      <c r="J27" s="1442" t="s">
        <v>1619</v>
      </c>
      <c r="K27" s="474">
        <f>24*70%</f>
        <v>16.799999999999997</v>
      </c>
      <c r="L27" s="429">
        <f>ROUND(K27*F27,0)</f>
        <v>1170019</v>
      </c>
      <c r="M27" s="430">
        <f>L27/H27</f>
        <v>0.34999994017192199</v>
      </c>
      <c r="N27" s="452">
        <v>0</v>
      </c>
      <c r="O27" s="425">
        <f>ROUND(N27*G27,0)</f>
        <v>0</v>
      </c>
      <c r="P27" s="604">
        <f>+O27/I27</f>
        <v>0</v>
      </c>
      <c r="Q27" s="452">
        <v>0</v>
      </c>
      <c r="R27" s="425">
        <f>ROUND(Q27*G27,0)</f>
        <v>0</v>
      </c>
      <c r="S27" s="604">
        <f t="shared" si="6"/>
        <v>0</v>
      </c>
      <c r="T27" s="450">
        <f t="shared" si="3"/>
        <v>16.799999999999997</v>
      </c>
      <c r="U27" s="175">
        <f t="shared" si="4"/>
        <v>1170019</v>
      </c>
      <c r="V27" s="176">
        <f t="shared" si="19"/>
        <v>0.34999994017192199</v>
      </c>
    </row>
    <row r="28" spans="1:22" ht="15" customHeight="1" x14ac:dyDescent="0.3">
      <c r="A28" s="1440"/>
      <c r="B28" s="1441"/>
      <c r="C28" s="459"/>
      <c r="D28" s="459" t="s">
        <v>162</v>
      </c>
      <c r="E28" s="458"/>
      <c r="F28" s="458"/>
      <c r="G28" s="458"/>
      <c r="H28" s="457">
        <f>H27</f>
        <v>3342912</v>
      </c>
      <c r="I28" s="457">
        <f>SUM(I27)</f>
        <v>3513408</v>
      </c>
      <c r="J28" s="1441"/>
      <c r="K28" s="431"/>
      <c r="L28" s="179">
        <f>L27</f>
        <v>1170019</v>
      </c>
      <c r="M28" s="431">
        <f>L28/H28</f>
        <v>0.34999994017192199</v>
      </c>
      <c r="N28" s="431"/>
      <c r="O28" s="179">
        <f>O27</f>
        <v>0</v>
      </c>
      <c r="P28" s="431">
        <f t="shared" si="18"/>
        <v>0</v>
      </c>
      <c r="Q28" s="431"/>
      <c r="R28" s="179">
        <f>R27</f>
        <v>0</v>
      </c>
      <c r="S28" s="1100">
        <f t="shared" si="6"/>
        <v>0</v>
      </c>
      <c r="T28" s="1089"/>
      <c r="U28" s="1078">
        <f t="shared" si="4"/>
        <v>1170019</v>
      </c>
      <c r="V28" s="431">
        <f t="shared" si="19"/>
        <v>0.34999994017192199</v>
      </c>
    </row>
    <row r="29" spans="1:22" ht="30" customHeight="1" x14ac:dyDescent="0.3">
      <c r="A29" s="1440" t="s">
        <v>1186</v>
      </c>
      <c r="B29" s="1441" t="s">
        <v>194</v>
      </c>
      <c r="C29" s="493" t="s">
        <v>160</v>
      </c>
      <c r="D29" s="493" t="s">
        <v>161</v>
      </c>
      <c r="E29" s="493">
        <v>24</v>
      </c>
      <c r="F29" s="453">
        <v>69644</v>
      </c>
      <c r="G29" s="32">
        <f>+ROUND(F29*1.051,0)</f>
        <v>73196</v>
      </c>
      <c r="H29" s="453">
        <f>ROUND((E29*F29),0)</f>
        <v>1671456</v>
      </c>
      <c r="I29" s="32">
        <f>+ROUND(G29*E29,0)</f>
        <v>1756704</v>
      </c>
      <c r="J29" s="1442" t="s">
        <v>1618</v>
      </c>
      <c r="K29" s="474">
        <f>12*70%</f>
        <v>8.3999999999999986</v>
      </c>
      <c r="L29" s="429">
        <f>ROUND(K29*F29,0)</f>
        <v>585010</v>
      </c>
      <c r="M29" s="430">
        <f>L29/H29</f>
        <v>0.35000023931231217</v>
      </c>
      <c r="N29" s="474">
        <f>24-8.4</f>
        <v>15.6</v>
      </c>
      <c r="O29" s="429">
        <f>ROUND(N29*G29,0)</f>
        <v>1141858</v>
      </c>
      <c r="P29" s="534">
        <f>+O29/H29</f>
        <v>0.68315169528841924</v>
      </c>
      <c r="Q29" s="452">
        <v>0</v>
      </c>
      <c r="R29" s="425">
        <f>ROUND(Q29*G29,0)</f>
        <v>0</v>
      </c>
      <c r="S29" s="604">
        <f t="shared" si="6"/>
        <v>0</v>
      </c>
      <c r="T29" s="450">
        <f t="shared" si="3"/>
        <v>24</v>
      </c>
      <c r="U29" s="175">
        <f t="shared" si="4"/>
        <v>1726868</v>
      </c>
      <c r="V29" s="176">
        <f>U29/H29</f>
        <v>1.0331519346007314</v>
      </c>
    </row>
    <row r="30" spans="1:22" ht="15" customHeight="1" x14ac:dyDescent="0.3">
      <c r="A30" s="1440"/>
      <c r="B30" s="1441"/>
      <c r="C30" s="459"/>
      <c r="D30" s="459" t="s">
        <v>162</v>
      </c>
      <c r="E30" s="458"/>
      <c r="F30" s="458"/>
      <c r="G30" s="458"/>
      <c r="H30" s="457">
        <f>H29</f>
        <v>1671456</v>
      </c>
      <c r="I30" s="457">
        <f>SUM(I29)</f>
        <v>1756704</v>
      </c>
      <c r="J30" s="1441"/>
      <c r="K30" s="431"/>
      <c r="L30" s="179">
        <f>L29</f>
        <v>585010</v>
      </c>
      <c r="M30" s="431">
        <f>L30/H30</f>
        <v>0.35000023931231217</v>
      </c>
      <c r="N30" s="431"/>
      <c r="O30" s="179">
        <f>O29</f>
        <v>1141858</v>
      </c>
      <c r="P30" s="431">
        <f t="shared" si="18"/>
        <v>0.68315169528841924</v>
      </c>
      <c r="Q30" s="431"/>
      <c r="R30" s="179">
        <f>R29</f>
        <v>0</v>
      </c>
      <c r="S30" s="1100">
        <f t="shared" si="6"/>
        <v>0</v>
      </c>
      <c r="T30" s="1089"/>
      <c r="U30" s="1078">
        <f t="shared" si="4"/>
        <v>1726868</v>
      </c>
      <c r="V30" s="431">
        <f t="shared" si="19"/>
        <v>1.0331519346007314</v>
      </c>
    </row>
    <row r="31" spans="1:22" ht="30" customHeight="1" x14ac:dyDescent="0.3">
      <c r="A31" s="1442" t="s">
        <v>1578</v>
      </c>
      <c r="B31" s="1441" t="s">
        <v>211</v>
      </c>
      <c r="C31" s="493" t="s">
        <v>81</v>
      </c>
      <c r="D31" s="493" t="s">
        <v>212</v>
      </c>
      <c r="E31" s="493">
        <v>0.7</v>
      </c>
      <c r="F31" s="453">
        <v>800905</v>
      </c>
      <c r="G31" s="32">
        <f t="shared" ref="G31:G33" si="20">+ROUND(F31*1.051,0)</f>
        <v>841751</v>
      </c>
      <c r="H31" s="453">
        <f>ROUND((E31*F31),0)</f>
        <v>560634</v>
      </c>
      <c r="I31" s="32">
        <f t="shared" ref="I31:I33" si="21">+ROUND(G31*E31,0)</f>
        <v>589226</v>
      </c>
      <c r="J31" s="1442" t="s">
        <v>1617</v>
      </c>
      <c r="K31" s="474">
        <f>0.7*70%</f>
        <v>0.48999999999999994</v>
      </c>
      <c r="L31" s="429">
        <f>ROUND(K31*F31,0)</f>
        <v>392443</v>
      </c>
      <c r="M31" s="430">
        <f>L31/F31</f>
        <v>0.48999943813560909</v>
      </c>
      <c r="N31" s="452">
        <v>0</v>
      </c>
      <c r="O31" s="425">
        <f t="shared" ref="O31:O32" si="22">ROUND(N31*G31,0)</f>
        <v>0</v>
      </c>
      <c r="P31" s="604">
        <f t="shared" ref="P31:P32" si="23">+O31/I31</f>
        <v>0</v>
      </c>
      <c r="Q31" s="452">
        <v>0</v>
      </c>
      <c r="R31" s="425">
        <f>ROUND(Q31*G31,0)</f>
        <v>0</v>
      </c>
      <c r="S31" s="604">
        <f t="shared" si="6"/>
        <v>0</v>
      </c>
      <c r="T31" s="450">
        <f t="shared" si="3"/>
        <v>0.48999999999999994</v>
      </c>
      <c r="U31" s="175">
        <f t="shared" si="4"/>
        <v>392443</v>
      </c>
      <c r="V31" s="176">
        <f t="shared" si="19"/>
        <v>0.69999857304408941</v>
      </c>
    </row>
    <row r="32" spans="1:22" ht="30" customHeight="1" x14ac:dyDescent="0.3">
      <c r="A32" s="1441"/>
      <c r="B32" s="1441"/>
      <c r="C32" s="493" t="s">
        <v>83</v>
      </c>
      <c r="D32" s="493" t="s">
        <v>213</v>
      </c>
      <c r="E32" s="493">
        <v>0.7</v>
      </c>
      <c r="F32" s="453">
        <v>2646468</v>
      </c>
      <c r="G32" s="32">
        <f t="shared" si="20"/>
        <v>2781438</v>
      </c>
      <c r="H32" s="453">
        <f>ROUND((E32*F32),0)</f>
        <v>1852528</v>
      </c>
      <c r="I32" s="32">
        <f t="shared" si="21"/>
        <v>1947007</v>
      </c>
      <c r="J32" s="1441"/>
      <c r="K32" s="452">
        <v>0</v>
      </c>
      <c r="L32" s="425">
        <f>ROUND(K32*F32,0)</f>
        <v>0</v>
      </c>
      <c r="M32" s="426">
        <f>L32/F32</f>
        <v>0</v>
      </c>
      <c r="N32" s="452">
        <v>0</v>
      </c>
      <c r="O32" s="425">
        <f t="shared" si="22"/>
        <v>0</v>
      </c>
      <c r="P32" s="604">
        <f t="shared" si="23"/>
        <v>0</v>
      </c>
      <c r="Q32" s="452">
        <v>0</v>
      </c>
      <c r="R32" s="425">
        <f t="shared" ref="R32:R33" si="24">ROUND(Q32*G32,0)</f>
        <v>0</v>
      </c>
      <c r="S32" s="604">
        <f t="shared" si="6"/>
        <v>0</v>
      </c>
      <c r="T32" s="450">
        <f t="shared" si="3"/>
        <v>0</v>
      </c>
      <c r="U32" s="175">
        <f t="shared" si="4"/>
        <v>0</v>
      </c>
      <c r="V32" s="176">
        <f t="shared" si="19"/>
        <v>0</v>
      </c>
    </row>
    <row r="33" spans="1:22" ht="30" customHeight="1" x14ac:dyDescent="0.3">
      <c r="A33" s="1441"/>
      <c r="B33" s="1441"/>
      <c r="C33" s="493" t="s">
        <v>61</v>
      </c>
      <c r="D33" s="493" t="s">
        <v>214</v>
      </c>
      <c r="E33" s="493">
        <v>0.7</v>
      </c>
      <c r="F33" s="453">
        <v>2228604</v>
      </c>
      <c r="G33" s="32">
        <f t="shared" si="20"/>
        <v>2342263</v>
      </c>
      <c r="H33" s="453">
        <f>ROUND((E33*F33),0)</f>
        <v>1560023</v>
      </c>
      <c r="I33" s="32">
        <f t="shared" si="21"/>
        <v>1639584</v>
      </c>
      <c r="J33" s="1441"/>
      <c r="K33" s="474">
        <v>0.7</v>
      </c>
      <c r="L33" s="429">
        <f>ROUND(K33*F33,0)</f>
        <v>1560023</v>
      </c>
      <c r="M33" s="430">
        <f>L33/F33</f>
        <v>0.70000008974227812</v>
      </c>
      <c r="N33" s="452">
        <v>0</v>
      </c>
      <c r="O33" s="425">
        <f>ROUND(N33*G33,0)</f>
        <v>0</v>
      </c>
      <c r="P33" s="604">
        <f>+O33/I33</f>
        <v>0</v>
      </c>
      <c r="Q33" s="452">
        <v>0</v>
      </c>
      <c r="R33" s="425">
        <f t="shared" si="24"/>
        <v>0</v>
      </c>
      <c r="S33" s="604">
        <f t="shared" si="6"/>
        <v>0</v>
      </c>
      <c r="T33" s="450">
        <f t="shared" si="3"/>
        <v>0.7</v>
      </c>
      <c r="U33" s="175">
        <f t="shared" si="4"/>
        <v>1560023</v>
      </c>
      <c r="V33" s="176">
        <f t="shared" si="19"/>
        <v>1</v>
      </c>
    </row>
    <row r="34" spans="1:22" ht="15" customHeight="1" x14ac:dyDescent="0.3">
      <c r="A34" s="1441"/>
      <c r="B34" s="1441"/>
      <c r="C34" s="459"/>
      <c r="D34" s="459" t="s">
        <v>215</v>
      </c>
      <c r="E34" s="458"/>
      <c r="F34" s="458"/>
      <c r="G34" s="458"/>
      <c r="H34" s="457">
        <f>SUM(H31:H33)</f>
        <v>3973185</v>
      </c>
      <c r="I34" s="457">
        <f>SUM(I31:I33)</f>
        <v>4175817</v>
      </c>
      <c r="J34" s="1441"/>
      <c r="K34" s="431"/>
      <c r="L34" s="179">
        <f>SUM(L31:L33)</f>
        <v>1952466</v>
      </c>
      <c r="M34" s="431">
        <f>L34/H34</f>
        <v>0.49141079511777075</v>
      </c>
      <c r="N34" s="431"/>
      <c r="O34" s="179">
        <f>SUM(O31:O33)</f>
        <v>0</v>
      </c>
      <c r="P34" s="431">
        <f t="shared" si="18"/>
        <v>0</v>
      </c>
      <c r="Q34" s="431"/>
      <c r="R34" s="179">
        <f>SUM(R31:R33)</f>
        <v>0</v>
      </c>
      <c r="S34" s="1100">
        <f t="shared" si="6"/>
        <v>0</v>
      </c>
      <c r="T34" s="1089"/>
      <c r="U34" s="1078">
        <f t="shared" si="4"/>
        <v>1952466</v>
      </c>
      <c r="V34" s="431">
        <f t="shared" si="19"/>
        <v>0.49141079511777075</v>
      </c>
    </row>
    <row r="35" spans="1:22" ht="30" customHeight="1" x14ac:dyDescent="0.3">
      <c r="A35" s="1442" t="s">
        <v>1578</v>
      </c>
      <c r="B35" s="1441" t="s">
        <v>170</v>
      </c>
      <c r="C35" s="493" t="s">
        <v>83</v>
      </c>
      <c r="D35" s="493" t="s">
        <v>123</v>
      </c>
      <c r="E35" s="493">
        <v>0</v>
      </c>
      <c r="F35" s="453">
        <v>1044658</v>
      </c>
      <c r="G35" s="32">
        <f t="shared" ref="G35:G36" si="25">+ROUND(F35*1.051,0)</f>
        <v>1097936</v>
      </c>
      <c r="H35" s="453">
        <f>ROUND((E35*F35),0)</f>
        <v>0</v>
      </c>
      <c r="I35" s="32">
        <f t="shared" ref="I35:I36" si="26">+ROUND(G35*E35,0)</f>
        <v>0</v>
      </c>
      <c r="J35" s="1442" t="s">
        <v>1616</v>
      </c>
      <c r="K35" s="452">
        <v>0</v>
      </c>
      <c r="L35" s="425">
        <f>ROUND(K35*F35,0)</f>
        <v>0</v>
      </c>
      <c r="M35" s="426">
        <v>0</v>
      </c>
      <c r="N35" s="452">
        <v>0</v>
      </c>
      <c r="O35" s="425">
        <f t="shared" ref="O35:O36" si="27">ROUND(N35*G35,0)</f>
        <v>0</v>
      </c>
      <c r="P35" s="604">
        <v>0</v>
      </c>
      <c r="Q35" s="452">
        <v>0</v>
      </c>
      <c r="R35" s="425">
        <f>ROUND(Q35*G35,0)</f>
        <v>0</v>
      </c>
      <c r="S35" s="604">
        <v>0</v>
      </c>
      <c r="T35" s="450">
        <f t="shared" si="3"/>
        <v>0</v>
      </c>
      <c r="U35" s="175">
        <f t="shared" si="4"/>
        <v>0</v>
      </c>
      <c r="V35" s="176">
        <v>0</v>
      </c>
    </row>
    <row r="36" spans="1:22" ht="30" customHeight="1" x14ac:dyDescent="0.3">
      <c r="A36" s="1441"/>
      <c r="B36" s="1441"/>
      <c r="C36" s="493" t="s">
        <v>61</v>
      </c>
      <c r="D36" s="493" t="s">
        <v>125</v>
      </c>
      <c r="E36" s="493">
        <v>0.7</v>
      </c>
      <c r="F36" s="453">
        <v>1009836</v>
      </c>
      <c r="G36" s="32">
        <f t="shared" si="25"/>
        <v>1061338</v>
      </c>
      <c r="H36" s="453">
        <f>ROUND((E36*F36),0)</f>
        <v>706885</v>
      </c>
      <c r="I36" s="32">
        <f t="shared" si="26"/>
        <v>742937</v>
      </c>
      <c r="J36" s="1441"/>
      <c r="K36" s="612">
        <v>0.7</v>
      </c>
      <c r="L36" s="429">
        <f>ROUND(K36*F36,0)</f>
        <v>706885</v>
      </c>
      <c r="M36" s="430">
        <f>L36/F36</f>
        <v>0.69999980194803912</v>
      </c>
      <c r="N36" s="452">
        <v>0</v>
      </c>
      <c r="O36" s="425">
        <f t="shared" si="27"/>
        <v>0</v>
      </c>
      <c r="P36" s="604">
        <f t="shared" ref="P36" si="28">+O36/I36</f>
        <v>0</v>
      </c>
      <c r="Q36" s="452">
        <v>0</v>
      </c>
      <c r="R36" s="425">
        <f>ROUND(Q36*G36,0)</f>
        <v>0</v>
      </c>
      <c r="S36" s="604">
        <f t="shared" si="6"/>
        <v>0</v>
      </c>
      <c r="T36" s="450">
        <f t="shared" si="3"/>
        <v>0.7</v>
      </c>
      <c r="U36" s="175">
        <f t="shared" si="4"/>
        <v>706885</v>
      </c>
      <c r="V36" s="176">
        <f>U36/H36</f>
        <v>1</v>
      </c>
    </row>
    <row r="37" spans="1:22" ht="15" customHeight="1" x14ac:dyDescent="0.3">
      <c r="A37" s="1441"/>
      <c r="B37" s="1441"/>
      <c r="C37" s="459"/>
      <c r="D37" s="459" t="s">
        <v>126</v>
      </c>
      <c r="E37" s="458"/>
      <c r="F37" s="458"/>
      <c r="G37" s="458"/>
      <c r="H37" s="457">
        <f>SUM(H35:H36)</f>
        <v>706885</v>
      </c>
      <c r="I37" s="457">
        <f>SUM(I35:I36)</f>
        <v>742937</v>
      </c>
      <c r="J37" s="1441"/>
      <c r="K37" s="431"/>
      <c r="L37" s="179">
        <f>SUM(L35:L36)</f>
        <v>706885</v>
      </c>
      <c r="M37" s="431">
        <f>L37/H37</f>
        <v>1</v>
      </c>
      <c r="N37" s="431"/>
      <c r="O37" s="179">
        <f>SUM(O35:O36)</f>
        <v>0</v>
      </c>
      <c r="P37" s="431">
        <f>O37/H37</f>
        <v>0</v>
      </c>
      <c r="Q37" s="431"/>
      <c r="R37" s="179">
        <f>SUM(R35:R36)</f>
        <v>0</v>
      </c>
      <c r="S37" s="1100">
        <f t="shared" si="6"/>
        <v>0</v>
      </c>
      <c r="T37" s="1101"/>
      <c r="U37" s="1078">
        <f t="shared" si="4"/>
        <v>706885</v>
      </c>
      <c r="V37" s="431">
        <f>U37/H37</f>
        <v>1</v>
      </c>
    </row>
    <row r="38" spans="1:22" x14ac:dyDescent="0.3">
      <c r="F38" s="445" t="s">
        <v>64</v>
      </c>
      <c r="G38" s="445"/>
      <c r="H38" s="340">
        <f>SUM(H14:H37)/2</f>
        <v>11736814</v>
      </c>
      <c r="I38" s="340">
        <f>SUM(I14:I37)/2</f>
        <v>12335405</v>
      </c>
      <c r="K38" s="547" t="s">
        <v>64</v>
      </c>
      <c r="L38" s="550">
        <f>SUM(L14:L37)/2</f>
        <v>6213978</v>
      </c>
      <c r="N38" s="547" t="s">
        <v>64</v>
      </c>
      <c r="O38" s="550">
        <f>SUM(O14:O37)/2</f>
        <v>1304792</v>
      </c>
      <c r="Q38" s="547" t="s">
        <v>64</v>
      </c>
      <c r="R38" s="550">
        <f>SUM(R14:R37)/2</f>
        <v>0</v>
      </c>
      <c r="T38" s="547" t="s">
        <v>64</v>
      </c>
      <c r="U38" s="550">
        <f>SUM(U14:U37)/2</f>
        <v>7518770</v>
      </c>
    </row>
    <row r="39" spans="1:22" x14ac:dyDescent="0.3">
      <c r="F39" s="444" t="s">
        <v>65</v>
      </c>
      <c r="G39" s="444"/>
      <c r="H39" s="181">
        <v>0</v>
      </c>
      <c r="I39" s="181">
        <v>0</v>
      </c>
      <c r="K39" s="548" t="s">
        <v>65</v>
      </c>
      <c r="L39" s="481">
        <v>0</v>
      </c>
      <c r="N39" s="548" t="s">
        <v>65</v>
      </c>
      <c r="O39" s="481">
        <v>0</v>
      </c>
      <c r="Q39" s="548" t="s">
        <v>65</v>
      </c>
      <c r="R39" s="481">
        <v>0</v>
      </c>
      <c r="T39" s="548" t="s">
        <v>65</v>
      </c>
      <c r="U39" s="481">
        <v>0</v>
      </c>
    </row>
    <row r="40" spans="1:22" x14ac:dyDescent="0.3">
      <c r="F40" s="443" t="s">
        <v>64</v>
      </c>
      <c r="G40" s="443"/>
      <c r="H40" s="340">
        <f>SUM(H38:H39)</f>
        <v>11736814</v>
      </c>
      <c r="I40" s="340">
        <f>SUM(I38:I39)</f>
        <v>12335405</v>
      </c>
      <c r="K40" s="549" t="s">
        <v>64</v>
      </c>
      <c r="L40" s="550">
        <f>SUM(L38:L39)</f>
        <v>6213978</v>
      </c>
      <c r="N40" s="549" t="s">
        <v>64</v>
      </c>
      <c r="O40" s="550">
        <f>SUM(O38:O39)</f>
        <v>1304792</v>
      </c>
      <c r="Q40" s="549" t="s">
        <v>64</v>
      </c>
      <c r="R40" s="550">
        <f>SUM(R38:R39)</f>
        <v>0</v>
      </c>
      <c r="T40" s="549" t="s">
        <v>64</v>
      </c>
      <c r="U40" s="550">
        <f>SUM(U38:U39)</f>
        <v>7518770</v>
      </c>
    </row>
    <row r="41" spans="1:22" ht="26.4" x14ac:dyDescent="0.3">
      <c r="F41" s="443"/>
      <c r="G41" s="443"/>
      <c r="H41" s="340"/>
      <c r="I41" s="340"/>
      <c r="K41" s="501" t="s">
        <v>1439</v>
      </c>
      <c r="L41" s="483">
        <f>ROUND(L40*0.015,0)</f>
        <v>93210</v>
      </c>
      <c r="N41" s="501" t="s">
        <v>1439</v>
      </c>
      <c r="O41" s="483">
        <f>ROUND(O40*0.015,0)</f>
        <v>19572</v>
      </c>
      <c r="Q41" s="501" t="s">
        <v>1439</v>
      </c>
      <c r="R41" s="483">
        <f>ROUND(R40*0.015,0)</f>
        <v>0</v>
      </c>
      <c r="T41" s="501" t="s">
        <v>1439</v>
      </c>
      <c r="U41" s="550">
        <f>+L41+O41+R41</f>
        <v>112782</v>
      </c>
    </row>
    <row r="42" spans="1:22" ht="26.4" x14ac:dyDescent="0.3">
      <c r="F42" s="443"/>
      <c r="G42" s="443"/>
      <c r="H42" s="340"/>
      <c r="I42" s="340"/>
      <c r="K42" s="96" t="s">
        <v>1440</v>
      </c>
      <c r="L42" s="182">
        <f>L40+L41</f>
        <v>6307188</v>
      </c>
      <c r="M42" s="463">
        <f>L42/H40</f>
        <v>0.53738501777398873</v>
      </c>
      <c r="N42" s="96" t="s">
        <v>1440</v>
      </c>
      <c r="O42" s="182">
        <f>O40+O41</f>
        <v>1324364</v>
      </c>
      <c r="P42" s="463">
        <f>O42/H40</f>
        <v>0.11283845854590521</v>
      </c>
      <c r="Q42" s="96" t="s">
        <v>1440</v>
      </c>
      <c r="R42" s="182">
        <f>R40+R41</f>
        <v>0</v>
      </c>
      <c r="S42" s="463">
        <f>R42/H38</f>
        <v>0</v>
      </c>
      <c r="T42" s="96" t="s">
        <v>1440</v>
      </c>
      <c r="U42" s="182">
        <f>U40+U41</f>
        <v>7631552</v>
      </c>
      <c r="V42" s="463">
        <f>U42/H40</f>
        <v>0.65022347631989397</v>
      </c>
    </row>
    <row r="43" spans="1:22" x14ac:dyDescent="0.3">
      <c r="F43" s="442" t="s">
        <v>66</v>
      </c>
      <c r="G43" s="442"/>
      <c r="H43" s="181">
        <f>+H40*19%</f>
        <v>2229994.66</v>
      </c>
      <c r="I43" s="181">
        <f>+I40*19%</f>
        <v>2343726.9500000002</v>
      </c>
      <c r="K43" s="551" t="s">
        <v>66</v>
      </c>
      <c r="L43" s="483">
        <f>L42*0.19</f>
        <v>1198365.72</v>
      </c>
      <c r="N43" s="551" t="s">
        <v>66</v>
      </c>
      <c r="O43" s="483">
        <f>O42*0.19</f>
        <v>251629.16</v>
      </c>
      <c r="Q43" s="551" t="s">
        <v>66</v>
      </c>
      <c r="R43" s="483">
        <f>R42*0.19</f>
        <v>0</v>
      </c>
      <c r="T43" s="551" t="s">
        <v>66</v>
      </c>
      <c r="U43" s="483">
        <f>U42*0.19</f>
        <v>1449994.8800000001</v>
      </c>
    </row>
    <row r="44" spans="1:22" x14ac:dyDescent="0.3">
      <c r="F44" s="441" t="s">
        <v>69</v>
      </c>
      <c r="G44" s="441"/>
      <c r="H44" s="181">
        <f>+H40+H43</f>
        <v>13966808.66</v>
      </c>
      <c r="I44" s="181">
        <f>+I40+I43</f>
        <v>14679131.949999999</v>
      </c>
      <c r="K44" s="552" t="s">
        <v>69</v>
      </c>
      <c r="L44" s="481">
        <f>L42+L43</f>
        <v>7505553.7199999997</v>
      </c>
      <c r="N44" s="552" t="s">
        <v>69</v>
      </c>
      <c r="O44" s="481">
        <f>O42+O43</f>
        <v>1575993.16</v>
      </c>
      <c r="Q44" s="552" t="s">
        <v>69</v>
      </c>
      <c r="R44" s="481">
        <f>R42+R43</f>
        <v>0</v>
      </c>
      <c r="T44" s="552" t="s">
        <v>69</v>
      </c>
      <c r="U44" s="481">
        <f>U42+U43</f>
        <v>9081546.8800000008</v>
      </c>
    </row>
    <row r="48" spans="1:22" s="189" customFormat="1" x14ac:dyDescent="0.3">
      <c r="A48" s="183" t="s">
        <v>67</v>
      </c>
      <c r="B48" s="184"/>
      <c r="C48" s="184"/>
      <c r="D48" s="185" t="s">
        <v>68</v>
      </c>
      <c r="G48" s="852"/>
      <c r="I48" s="852"/>
      <c r="K48" s="186" t="s">
        <v>70</v>
      </c>
      <c r="L48" s="187" t="s">
        <v>71</v>
      </c>
      <c r="M48" s="186" t="s">
        <v>58</v>
      </c>
      <c r="N48" s="186" t="s">
        <v>70</v>
      </c>
      <c r="O48" s="187" t="s">
        <v>71</v>
      </c>
      <c r="P48" s="186" t="s">
        <v>58</v>
      </c>
      <c r="Q48" s="186" t="s">
        <v>70</v>
      </c>
      <c r="R48" s="187" t="s">
        <v>71</v>
      </c>
      <c r="S48" s="186" t="s">
        <v>58</v>
      </c>
      <c r="T48" s="437"/>
      <c r="U48" s="437"/>
      <c r="V48" s="437"/>
    </row>
    <row r="49" spans="1:22" s="189" customFormat="1" x14ac:dyDescent="0.3">
      <c r="A49" s="183"/>
      <c r="B49" s="184"/>
      <c r="C49" s="184"/>
      <c r="D49" s="185"/>
      <c r="G49" s="852"/>
      <c r="I49" s="852"/>
      <c r="K49" s="69" t="s">
        <v>72</v>
      </c>
      <c r="L49" s="70">
        <f>L42</f>
        <v>6307188</v>
      </c>
      <c r="M49" s="71">
        <f>M42</f>
        <v>0.53738501777398873</v>
      </c>
      <c r="N49" s="69" t="s">
        <v>72</v>
      </c>
      <c r="O49" s="70">
        <f>L42</f>
        <v>6307188</v>
      </c>
      <c r="P49" s="71">
        <f>M42</f>
        <v>0.53738501777398873</v>
      </c>
      <c r="Q49" s="69" t="s">
        <v>72</v>
      </c>
      <c r="R49" s="70">
        <f>$L$42</f>
        <v>6307188</v>
      </c>
      <c r="S49" s="71">
        <f>$M$42</f>
        <v>0.53738501777398873</v>
      </c>
      <c r="T49" s="437"/>
      <c r="U49" s="437"/>
      <c r="V49" s="437"/>
    </row>
    <row r="50" spans="1:22" s="189" customFormat="1" x14ac:dyDescent="0.3">
      <c r="A50" s="183"/>
      <c r="B50" s="184"/>
      <c r="C50" s="184"/>
      <c r="D50" s="185"/>
      <c r="G50" s="852"/>
      <c r="I50" s="852"/>
      <c r="K50" s="72" t="s">
        <v>1</v>
      </c>
      <c r="L50" s="105">
        <f>SUM(L49:L49)</f>
        <v>6307188</v>
      </c>
      <c r="M50" s="73">
        <f>SUM(M49:M49)</f>
        <v>0.53738501777398873</v>
      </c>
      <c r="N50" s="69" t="s">
        <v>73</v>
      </c>
      <c r="O50" s="70">
        <f>O42</f>
        <v>1324364</v>
      </c>
      <c r="P50" s="71">
        <f>P42</f>
        <v>0.11283845854590521</v>
      </c>
      <c r="Q50" s="69" t="s">
        <v>73</v>
      </c>
      <c r="R50" s="70">
        <f>$O$42</f>
        <v>1324364</v>
      </c>
      <c r="S50" s="71">
        <f>$P$42</f>
        <v>0.11283845854590521</v>
      </c>
      <c r="T50" s="437"/>
      <c r="U50" s="437"/>
      <c r="V50" s="437"/>
    </row>
    <row r="51" spans="1:22" s="189" customFormat="1" x14ac:dyDescent="0.3">
      <c r="A51" s="183"/>
      <c r="B51" s="184"/>
      <c r="C51" s="184"/>
      <c r="D51" s="185"/>
      <c r="G51" s="852"/>
      <c r="I51" s="852"/>
      <c r="K51" s="72" t="s">
        <v>9</v>
      </c>
      <c r="L51" s="1423"/>
      <c r="M51" s="1424"/>
      <c r="N51" s="72" t="s">
        <v>1</v>
      </c>
      <c r="O51" s="105">
        <f>SUM(O49:O50)</f>
        <v>7631552</v>
      </c>
      <c r="P51" s="73">
        <f>SUM(P49:P50)</f>
        <v>0.65022347631989397</v>
      </c>
      <c r="Q51" s="69" t="s">
        <v>74</v>
      </c>
      <c r="R51" s="70">
        <f>$R$42</f>
        <v>0</v>
      </c>
      <c r="S51" s="71">
        <f>$S$42</f>
        <v>0</v>
      </c>
      <c r="T51" s="437"/>
      <c r="U51" s="437"/>
      <c r="V51" s="437"/>
    </row>
    <row r="52" spans="1:22" s="189" customFormat="1" x14ac:dyDescent="0.3">
      <c r="A52" s="183"/>
      <c r="B52" s="184"/>
      <c r="C52" s="184"/>
      <c r="D52" s="185"/>
      <c r="G52" s="852"/>
      <c r="I52" s="852"/>
      <c r="K52" s="440" t="s">
        <v>78</v>
      </c>
      <c r="L52" s="1423" t="s">
        <v>396</v>
      </c>
      <c r="M52" s="1424"/>
      <c r="N52" s="72" t="s">
        <v>9</v>
      </c>
      <c r="O52" s="723"/>
      <c r="P52" s="724"/>
      <c r="Q52" s="72" t="s">
        <v>1</v>
      </c>
      <c r="R52" s="105">
        <f>SUM(R49:R51)</f>
        <v>7631552</v>
      </c>
      <c r="S52" s="73">
        <f>SUM(S49:S51)</f>
        <v>0.65022347631989397</v>
      </c>
      <c r="T52" s="437"/>
      <c r="U52" s="437"/>
      <c r="V52" s="437"/>
    </row>
    <row r="53" spans="1:22" s="189" customFormat="1" x14ac:dyDescent="0.3">
      <c r="A53" s="183"/>
      <c r="B53" s="184"/>
      <c r="C53" s="184"/>
      <c r="D53" s="185"/>
      <c r="G53" s="852"/>
      <c r="I53" s="852"/>
      <c r="K53" s="439" t="s">
        <v>8</v>
      </c>
      <c r="L53" s="1425" t="s">
        <v>397</v>
      </c>
      <c r="M53" s="1426"/>
      <c r="N53" s="440" t="s">
        <v>78</v>
      </c>
      <c r="O53" s="1423" t="s">
        <v>1984</v>
      </c>
      <c r="P53" s="1424"/>
      <c r="Q53" s="72" t="s">
        <v>9</v>
      </c>
      <c r="R53" s="1056"/>
      <c r="S53" s="1057"/>
      <c r="T53" s="437"/>
      <c r="U53" s="437"/>
      <c r="V53" s="437"/>
    </row>
    <row r="54" spans="1:22" s="189" customFormat="1" x14ac:dyDescent="0.3">
      <c r="A54" s="183"/>
      <c r="B54" s="184"/>
      <c r="C54" s="184"/>
      <c r="D54" s="185" t="s">
        <v>75</v>
      </c>
      <c r="G54" s="852"/>
      <c r="I54" s="852"/>
      <c r="K54" s="727"/>
      <c r="L54" s="727"/>
      <c r="M54" s="727"/>
      <c r="N54" s="439" t="s">
        <v>8</v>
      </c>
      <c r="O54" s="1423" t="s">
        <v>1985</v>
      </c>
      <c r="P54" s="1424"/>
      <c r="Q54" s="440" t="s">
        <v>78</v>
      </c>
      <c r="R54" s="1423" t="s">
        <v>1984</v>
      </c>
      <c r="S54" s="1424"/>
    </row>
    <row r="55" spans="1:22" s="189" customFormat="1" x14ac:dyDescent="0.3">
      <c r="A55" s="183" t="s">
        <v>76</v>
      </c>
      <c r="B55" s="180"/>
      <c r="C55" s="180"/>
      <c r="D55" s="185" t="s">
        <v>77</v>
      </c>
      <c r="G55" s="852"/>
      <c r="I55" s="852"/>
      <c r="K55" s="727"/>
      <c r="L55" s="727"/>
      <c r="M55" s="727"/>
      <c r="Q55" s="439" t="s">
        <v>8</v>
      </c>
      <c r="R55" s="1423" t="s">
        <v>1985</v>
      </c>
      <c r="S55" s="1424"/>
    </row>
    <row r="56" spans="1:22" s="189" customFormat="1" ht="26.4" x14ac:dyDescent="0.3">
      <c r="A56" s="183" t="s">
        <v>79</v>
      </c>
      <c r="B56" s="180"/>
      <c r="C56" s="180"/>
      <c r="D56" s="185" t="s">
        <v>80</v>
      </c>
      <c r="G56" s="852"/>
      <c r="I56" s="852"/>
      <c r="K56" s="727"/>
      <c r="L56" s="727"/>
      <c r="M56" s="727"/>
      <c r="Q56" s="1055"/>
      <c r="R56" s="1055"/>
      <c r="S56" s="1055"/>
    </row>
    <row r="57" spans="1:22" x14ac:dyDescent="0.3">
      <c r="Q57" s="1055"/>
      <c r="R57" s="1055"/>
      <c r="S57" s="1055"/>
    </row>
  </sheetData>
  <sheetProtection formatCells="0" formatColumns="0" formatRows="0" insertColumns="0" insertRows="0" insertHyperlinks="0" deleteColumns="0" deleteRows="0" sort="0" autoFilter="0" pivotTables="0"/>
  <mergeCells count="48">
    <mergeCell ref="L51:M51"/>
    <mergeCell ref="L52:M52"/>
    <mergeCell ref="L53:M53"/>
    <mergeCell ref="O54:P54"/>
    <mergeCell ref="A7:V7"/>
    <mergeCell ref="A8:V8"/>
    <mergeCell ref="A9:V9"/>
    <mergeCell ref="A10:V10"/>
    <mergeCell ref="B11:J11"/>
    <mergeCell ref="N11:P12"/>
    <mergeCell ref="T11:V12"/>
    <mergeCell ref="B12:J12"/>
    <mergeCell ref="K11:M12"/>
    <mergeCell ref="O53:P53"/>
    <mergeCell ref="A21:A23"/>
    <mergeCell ref="B21:B23"/>
    <mergeCell ref="T1:V1"/>
    <mergeCell ref="T2:V2"/>
    <mergeCell ref="A3:V3"/>
    <mergeCell ref="A4:V4"/>
    <mergeCell ref="A5:V5"/>
    <mergeCell ref="C1:P2"/>
    <mergeCell ref="B31:B34"/>
    <mergeCell ref="J31:J34"/>
    <mergeCell ref="A6:V6"/>
    <mergeCell ref="A14:A17"/>
    <mergeCell ref="B14:B17"/>
    <mergeCell ref="J14:J17"/>
    <mergeCell ref="A18:A20"/>
    <mergeCell ref="B18:B20"/>
    <mergeCell ref="J18:J20"/>
    <mergeCell ref="Q11:S12"/>
    <mergeCell ref="R54:S54"/>
    <mergeCell ref="R55:S55"/>
    <mergeCell ref="J21:J23"/>
    <mergeCell ref="A24:A26"/>
    <mergeCell ref="B24:B26"/>
    <mergeCell ref="J24:J26"/>
    <mergeCell ref="A35:A37"/>
    <mergeCell ref="B35:B37"/>
    <mergeCell ref="J35:J37"/>
    <mergeCell ref="A27:A28"/>
    <mergeCell ref="B27:B28"/>
    <mergeCell ref="J27:J28"/>
    <mergeCell ref="A29:A30"/>
    <mergeCell ref="B29:B30"/>
    <mergeCell ref="J29:J30"/>
    <mergeCell ref="A31:A34"/>
  </mergeCells>
  <pageMargins left="0.70866141732283472" right="0.70866141732283472" top="0.74803149606299213" bottom="0.74803149606299213" header="0.31496062992125984" footer="0.31496062992125984"/>
  <pageSetup scale="31" orientation="landscape" r:id="rId1"/>
  <drawing r:id="rId2"/>
  <legacyDrawing r:id="rId3"/>
  <legacyDrawingHF r:id="rId4"/>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8">
    <tabColor theme="1"/>
  </sheetPr>
  <dimension ref="A1:G49"/>
  <sheetViews>
    <sheetView topLeftCell="A10" zoomScaleNormal="10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RESUMEN!G100</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RESUMEN!B100</f>
        <v>D00243137</v>
      </c>
      <c r="C7" s="1265"/>
      <c r="D7" s="1177"/>
      <c r="E7" s="1266" t="s">
        <v>627</v>
      </c>
      <c r="F7" s="1267"/>
      <c r="G7" s="280" t="str">
        <f>RESUMEN!E100</f>
        <v xml:space="preserve">17-384 </v>
      </c>
    </row>
    <row r="8" spans="1:7" x14ac:dyDescent="0.25">
      <c r="A8" s="271" t="s">
        <v>628</v>
      </c>
      <c r="B8" s="1264" t="str">
        <f>RESUMEN!C100</f>
        <v>D00243137000</v>
      </c>
      <c r="C8" s="1265"/>
      <c r="D8" s="1177"/>
      <c r="E8" s="1266" t="s">
        <v>629</v>
      </c>
      <c r="F8" s="1267"/>
      <c r="G8" s="280" t="str">
        <f>RESUMEN!U100</f>
        <v>Acta N° 2: Marzo</v>
      </c>
    </row>
    <row r="9" spans="1:7" x14ac:dyDescent="0.25">
      <c r="A9" s="271" t="s">
        <v>630</v>
      </c>
      <c r="B9" s="1283" t="s">
        <v>631</v>
      </c>
      <c r="C9" s="1265"/>
      <c r="D9" s="1177"/>
      <c r="E9" s="1266" t="s">
        <v>632</v>
      </c>
      <c r="F9" s="1267"/>
      <c r="G9" s="1178">
        <f>RESUMEN!H100</f>
        <v>12264715</v>
      </c>
    </row>
    <row r="10" spans="1:7" x14ac:dyDescent="0.25">
      <c r="A10" s="271" t="s">
        <v>633</v>
      </c>
      <c r="B10" s="1283" t="str">
        <f>RESUMEN!D100</f>
        <v>LOS MANGOS</v>
      </c>
      <c r="C10" s="1265"/>
      <c r="D10" s="1177"/>
      <c r="E10" s="1266" t="s">
        <v>634</v>
      </c>
      <c r="F10" s="1267"/>
      <c r="G10" s="1178">
        <f>RESUMEN!R100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RESUMEN!N100</f>
        <v>0</v>
      </c>
      <c r="F19" s="1248"/>
      <c r="G19" s="1177"/>
    </row>
    <row r="20" spans="1:7" ht="27" customHeight="1" x14ac:dyDescent="0.25">
      <c r="A20" s="1177"/>
      <c r="B20" s="1244" t="s">
        <v>1498</v>
      </c>
      <c r="C20" s="1245"/>
      <c r="D20" s="1246"/>
      <c r="E20" s="1247">
        <f>RESUMEN!P100</f>
        <v>0</v>
      </c>
      <c r="F20" s="1248"/>
      <c r="G20" s="1177"/>
    </row>
    <row r="21" spans="1:7" ht="27" customHeight="1" x14ac:dyDescent="0.25">
      <c r="A21" s="1177"/>
      <c r="B21" s="1244" t="s">
        <v>1499</v>
      </c>
      <c r="C21" s="1245"/>
      <c r="D21" s="1246"/>
      <c r="E21" s="1247">
        <f>RESUMEN!Q100</f>
        <v>0</v>
      </c>
      <c r="F21" s="1248"/>
      <c r="G21" s="1177"/>
    </row>
    <row r="22" spans="1:7" x14ac:dyDescent="0.25">
      <c r="A22" s="1177"/>
      <c r="B22" s="1254" t="s">
        <v>64</v>
      </c>
      <c r="C22" s="1254"/>
      <c r="D22" s="1254"/>
      <c r="E22" s="1255">
        <f>RESUMEN!R100</f>
        <v>0</v>
      </c>
      <c r="F22" s="1255"/>
      <c r="G22" s="1177"/>
    </row>
    <row r="23" spans="1:7" x14ac:dyDescent="0.25">
      <c r="A23" s="1177"/>
      <c r="B23" s="1256" t="s">
        <v>66</v>
      </c>
      <c r="C23" s="1256"/>
      <c r="D23" s="1256"/>
      <c r="E23" s="1257">
        <f>RESUMEN!S100</f>
        <v>0</v>
      </c>
      <c r="F23" s="1257"/>
      <c r="G23" s="1177"/>
    </row>
    <row r="24" spans="1:7" x14ac:dyDescent="0.25">
      <c r="A24" s="1177"/>
      <c r="B24" s="1258" t="s">
        <v>1</v>
      </c>
      <c r="C24" s="1258"/>
      <c r="D24" s="1258"/>
      <c r="E24" s="1259">
        <f>RESUMEN!T100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+'OT17-384 LOS MANGOS'!N50</f>
        <v>ACTA 1</v>
      </c>
      <c r="C28" s="1253">
        <f>+'OT17-384 LOS MANGOS'!O50</f>
        <v>5994743</v>
      </c>
      <c r="D28" s="1253"/>
      <c r="E28" s="267">
        <f>+'OT17-384 LOS MANGOS'!P50</f>
        <v>0.48877964143479891</v>
      </c>
      <c r="F28" s="1177"/>
      <c r="G28" s="1177"/>
    </row>
    <row r="29" spans="1:7" x14ac:dyDescent="0.25">
      <c r="A29" s="1177"/>
      <c r="B29" s="280" t="str">
        <f>+'OT17-384 LOS MANGOS'!N51</f>
        <v>ACTA 2</v>
      </c>
      <c r="C29" s="1253">
        <f>+'OT17-384 LOS MANGOS'!O51</f>
        <v>0</v>
      </c>
      <c r="D29" s="1253"/>
      <c r="E29" s="267">
        <f>+'OT17-384 LOS MANGOS'!P51</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5994743</v>
      </c>
      <c r="D34" s="1251"/>
      <c r="E34" s="264">
        <f>SUM(E28:E33)</f>
        <v>0.48877964143479891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RESUMEN!V100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89">
    <tabColor rgb="FF92D050"/>
  </sheetPr>
  <dimension ref="A1:S57"/>
  <sheetViews>
    <sheetView topLeftCell="A19" zoomScale="60" zoomScaleNormal="60" workbookViewId="0">
      <selection activeCell="B56" sqref="B56"/>
    </sheetView>
  </sheetViews>
  <sheetFormatPr baseColWidth="10" defaultColWidth="9.109375" defaultRowHeight="14.4" x14ac:dyDescent="0.3"/>
  <cols>
    <col min="1" max="1" width="16.44140625" style="437" customWidth="1"/>
    <col min="2" max="2" width="28.5546875" style="437" customWidth="1"/>
    <col min="3" max="3" width="32.88671875" style="437" customWidth="1"/>
    <col min="4" max="4" width="22.33203125" style="437" hidden="1" customWidth="1"/>
    <col min="5" max="5" width="16.44140625" style="437" customWidth="1"/>
    <col min="6" max="7" width="17.88671875" style="437" customWidth="1"/>
    <col min="8" max="8" width="17.5546875" style="437" bestFit="1" customWidth="1"/>
    <col min="9" max="9" width="17.5546875" style="437" customWidth="1"/>
    <col min="10" max="10" width="70.33203125" style="437" customWidth="1"/>
    <col min="11" max="11" width="17.88671875" style="437" bestFit="1" customWidth="1"/>
    <col min="12" max="12" width="18" style="437" bestFit="1" customWidth="1"/>
    <col min="13" max="13" width="9.109375" style="437"/>
    <col min="14" max="14" width="17.88671875" style="437" bestFit="1" customWidth="1"/>
    <col min="15" max="15" width="18" style="437" bestFit="1" customWidth="1"/>
    <col min="16" max="16" width="11.44140625" style="437" customWidth="1"/>
    <col min="17" max="17" width="17.88671875" style="437" bestFit="1" customWidth="1"/>
    <col min="18" max="18" width="17.5546875"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721"/>
      <c r="O1" s="721"/>
      <c r="P1" s="721"/>
      <c r="Q1" s="1328" t="s">
        <v>163</v>
      </c>
      <c r="R1" s="1303"/>
      <c r="S1" s="1304"/>
    </row>
    <row r="2" spans="1:19" ht="13.5" customHeight="1" thickBot="1" x14ac:dyDescent="0.35">
      <c r="A2" s="170"/>
      <c r="B2" s="190"/>
      <c r="C2" s="1310"/>
      <c r="D2" s="1311"/>
      <c r="E2" s="1311"/>
      <c r="F2" s="1311"/>
      <c r="G2" s="1311"/>
      <c r="H2" s="1311"/>
      <c r="I2" s="1311"/>
      <c r="J2" s="1311"/>
      <c r="K2" s="1311"/>
      <c r="L2" s="1311"/>
      <c r="M2" s="1311"/>
      <c r="N2" s="722"/>
      <c r="O2" s="722"/>
      <c r="P2" s="72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1629</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0" t="s">
        <v>288</v>
      </c>
      <c r="B14" s="1441" t="s">
        <v>170</v>
      </c>
      <c r="C14" s="493" t="s">
        <v>83</v>
      </c>
      <c r="D14" s="493" t="s">
        <v>123</v>
      </c>
      <c r="E14" s="493">
        <v>0</v>
      </c>
      <c r="F14" s="453">
        <v>1044658</v>
      </c>
      <c r="G14" s="32">
        <f>+ROUND(F14*1.051,0)</f>
        <v>1097936</v>
      </c>
      <c r="H14" s="453">
        <f>ROUND((E14*F14),0)</f>
        <v>0</v>
      </c>
      <c r="I14" s="32">
        <f>+ROUND(G14*E14,0)</f>
        <v>0</v>
      </c>
      <c r="J14" s="1441" t="s">
        <v>1546</v>
      </c>
      <c r="K14" s="452">
        <v>0</v>
      </c>
      <c r="L14" s="425">
        <f>ROUND(K14*F14,0)</f>
        <v>0</v>
      </c>
      <c r="M14" s="426">
        <v>0</v>
      </c>
      <c r="N14" s="452">
        <v>0</v>
      </c>
      <c r="O14" s="425">
        <f>ROUND(N14*G14,0)</f>
        <v>0</v>
      </c>
      <c r="P14" s="604">
        <v>0</v>
      </c>
      <c r="Q14" s="450">
        <f>K14+N14</f>
        <v>0</v>
      </c>
      <c r="R14" s="175">
        <f>L14+O14</f>
        <v>0</v>
      </c>
      <c r="S14" s="176">
        <v>0</v>
      </c>
    </row>
    <row r="15" spans="1:19" ht="30" customHeight="1" x14ac:dyDescent="0.3">
      <c r="A15" s="1440"/>
      <c r="B15" s="1441"/>
      <c r="C15" s="493" t="s">
        <v>61</v>
      </c>
      <c r="D15" s="493" t="s">
        <v>125</v>
      </c>
      <c r="E15" s="493">
        <v>0.7</v>
      </c>
      <c r="F15" s="453">
        <v>1009836</v>
      </c>
      <c r="G15" s="32">
        <f>+ROUND(F15*1.051,0)</f>
        <v>1061338</v>
      </c>
      <c r="H15" s="453">
        <f>ROUND((E15*F15),0)</f>
        <v>706885</v>
      </c>
      <c r="I15" s="32">
        <f>+ROUND(G15*E15,0)</f>
        <v>742937</v>
      </c>
      <c r="J15" s="1441"/>
      <c r="K15" s="474">
        <v>0.7</v>
      </c>
      <c r="L15" s="429">
        <f>ROUND(K15*F15,0)</f>
        <v>706885</v>
      </c>
      <c r="M15" s="430">
        <f>L15/H15</f>
        <v>1</v>
      </c>
      <c r="N15" s="452">
        <v>0</v>
      </c>
      <c r="O15" s="425">
        <f>ROUND(N15*G15,0)</f>
        <v>0</v>
      </c>
      <c r="P15" s="604">
        <f>+O15/I15</f>
        <v>0</v>
      </c>
      <c r="Q15" s="450">
        <f>K15+N15</f>
        <v>0.7</v>
      </c>
      <c r="R15" s="175">
        <f>L15+O15</f>
        <v>706885</v>
      </c>
      <c r="S15" s="176">
        <f>R15/H15</f>
        <v>1</v>
      </c>
    </row>
    <row r="16" spans="1:19" ht="15" customHeight="1" x14ac:dyDescent="0.3">
      <c r="A16" s="1440"/>
      <c r="B16" s="1441"/>
      <c r="C16" s="459"/>
      <c r="D16" s="459" t="s">
        <v>126</v>
      </c>
      <c r="E16" s="458"/>
      <c r="F16" s="458"/>
      <c r="G16" s="458"/>
      <c r="H16" s="457">
        <f>SUM(H14:H15)</f>
        <v>706885</v>
      </c>
      <c r="I16" s="457">
        <f>SUM(I14:I15)</f>
        <v>742937</v>
      </c>
      <c r="J16" s="1441"/>
      <c r="K16" s="431"/>
      <c r="L16" s="179">
        <f>SUM(L14:L15)</f>
        <v>706885</v>
      </c>
      <c r="M16" s="431">
        <f>L16/H16</f>
        <v>1</v>
      </c>
      <c r="N16" s="431"/>
      <c r="O16" s="179">
        <f>SUM(O14:O15)</f>
        <v>0</v>
      </c>
      <c r="P16" s="431">
        <f>O16/H16</f>
        <v>0</v>
      </c>
      <c r="Q16" s="446"/>
      <c r="R16" s="307">
        <f>L16+O16</f>
        <v>706885</v>
      </c>
      <c r="S16" s="431">
        <f>R16/H16</f>
        <v>1</v>
      </c>
    </row>
    <row r="17" spans="1:19" ht="30" customHeight="1" x14ac:dyDescent="0.3">
      <c r="A17" s="1440" t="s">
        <v>288</v>
      </c>
      <c r="B17" s="1441" t="s">
        <v>282</v>
      </c>
      <c r="C17" s="493" t="s">
        <v>81</v>
      </c>
      <c r="D17" s="493" t="s">
        <v>105</v>
      </c>
      <c r="E17" s="493">
        <v>0</v>
      </c>
      <c r="F17" s="453">
        <v>417863</v>
      </c>
      <c r="G17" s="32">
        <f t="shared" ref="G17:G18" si="0">+ROUND(F17*1.051,0)</f>
        <v>439174</v>
      </c>
      <c r="H17" s="453">
        <f>ROUND((E17*F17),0)</f>
        <v>0</v>
      </c>
      <c r="I17" s="32">
        <f t="shared" ref="I17:I18" si="1">+ROUND(G17*E17,0)</f>
        <v>0</v>
      </c>
      <c r="J17" s="1442" t="s">
        <v>1628</v>
      </c>
      <c r="K17" s="452">
        <v>0</v>
      </c>
      <c r="L17" s="425">
        <f>ROUND(K17*F17,0)</f>
        <v>0</v>
      </c>
      <c r="M17" s="426">
        <v>0</v>
      </c>
      <c r="N17" s="452">
        <v>0</v>
      </c>
      <c r="O17" s="425">
        <f t="shared" ref="O17:O18" si="2">ROUND(N17*G17,0)</f>
        <v>0</v>
      </c>
      <c r="P17" s="604">
        <v>0</v>
      </c>
      <c r="Q17" s="450">
        <f t="shared" ref="Q17:Q18" si="3">K17+N17</f>
        <v>0</v>
      </c>
      <c r="R17" s="175">
        <f t="shared" ref="R17:R18" si="4">L17+O17</f>
        <v>0</v>
      </c>
      <c r="S17" s="176">
        <v>0</v>
      </c>
    </row>
    <row r="18" spans="1:19" ht="30" customHeight="1" x14ac:dyDescent="0.3">
      <c r="A18" s="1440"/>
      <c r="B18" s="1441"/>
      <c r="C18" s="493" t="s">
        <v>83</v>
      </c>
      <c r="D18" s="493" t="s">
        <v>107</v>
      </c>
      <c r="E18" s="493">
        <v>8.4000000000000005E-2</v>
      </c>
      <c r="F18" s="453">
        <v>1845563</v>
      </c>
      <c r="G18" s="32">
        <f t="shared" si="0"/>
        <v>1939687</v>
      </c>
      <c r="H18" s="453">
        <f>ROUND((E18*F18),0)</f>
        <v>155027</v>
      </c>
      <c r="I18" s="32">
        <f t="shared" si="1"/>
        <v>162934</v>
      </c>
      <c r="J18" s="1441"/>
      <c r="K18" s="452">
        <v>0</v>
      </c>
      <c r="L18" s="425">
        <f>ROUND(K18*F18,0)</f>
        <v>0</v>
      </c>
      <c r="M18" s="426">
        <f t="shared" ref="M18:M24" si="5">L18/H18</f>
        <v>0</v>
      </c>
      <c r="N18" s="452">
        <v>0</v>
      </c>
      <c r="O18" s="425">
        <f t="shared" si="2"/>
        <v>0</v>
      </c>
      <c r="P18" s="604">
        <f t="shared" ref="P18" si="6">+O18/I18</f>
        <v>0</v>
      </c>
      <c r="Q18" s="450">
        <f t="shared" si="3"/>
        <v>0</v>
      </c>
      <c r="R18" s="175">
        <f t="shared" si="4"/>
        <v>0</v>
      </c>
      <c r="S18" s="176">
        <f t="shared" ref="S18:S24" si="7">R18/H18</f>
        <v>0</v>
      </c>
    </row>
    <row r="19" spans="1:19" ht="15" customHeight="1" x14ac:dyDescent="0.3">
      <c r="A19" s="1440"/>
      <c r="B19" s="1441"/>
      <c r="C19" s="459"/>
      <c r="D19" s="459" t="s">
        <v>108</v>
      </c>
      <c r="E19" s="458"/>
      <c r="F19" s="458"/>
      <c r="G19" s="458"/>
      <c r="H19" s="457">
        <f>SUM(H17:H18)</f>
        <v>155027</v>
      </c>
      <c r="I19" s="457">
        <f>SUM(I17:I18)</f>
        <v>162934</v>
      </c>
      <c r="J19" s="1441"/>
      <c r="K19" s="431"/>
      <c r="L19" s="179">
        <f>SUM(L17:L18)</f>
        <v>0</v>
      </c>
      <c r="M19" s="431">
        <f t="shared" si="5"/>
        <v>0</v>
      </c>
      <c r="N19" s="431"/>
      <c r="O19" s="179">
        <f>SUM(O17:O18)</f>
        <v>0</v>
      </c>
      <c r="P19" s="431">
        <f t="shared" ref="P19:P23" si="8">O19/H19</f>
        <v>0</v>
      </c>
      <c r="Q19" s="446"/>
      <c r="R19" s="307">
        <f>L19+O19</f>
        <v>0</v>
      </c>
      <c r="S19" s="431">
        <f t="shared" si="7"/>
        <v>0</v>
      </c>
    </row>
    <row r="20" spans="1:19" ht="30" customHeight="1" x14ac:dyDescent="0.3">
      <c r="A20" s="1440" t="s">
        <v>279</v>
      </c>
      <c r="B20" s="1441" t="s">
        <v>210</v>
      </c>
      <c r="C20" s="493" t="s">
        <v>81</v>
      </c>
      <c r="D20" s="493" t="s">
        <v>207</v>
      </c>
      <c r="E20" s="493">
        <v>0.7</v>
      </c>
      <c r="F20" s="453">
        <v>800905</v>
      </c>
      <c r="G20" s="32">
        <f t="shared" ref="G20:G22" si="9">+ROUND(F20*1.051,0)</f>
        <v>841751</v>
      </c>
      <c r="H20" s="453">
        <f>ROUND((E20*F20),0)</f>
        <v>560634</v>
      </c>
      <c r="I20" s="32">
        <f t="shared" ref="I20:I22" si="10">+ROUND(G20*E20,0)</f>
        <v>589226</v>
      </c>
      <c r="J20" s="1442" t="s">
        <v>1627</v>
      </c>
      <c r="K20" s="474">
        <f>0.7*70%</f>
        <v>0.48999999999999994</v>
      </c>
      <c r="L20" s="429">
        <f>ROUND(K20*F20,0)</f>
        <v>392443</v>
      </c>
      <c r="M20" s="430">
        <f t="shared" si="5"/>
        <v>0.69999857304408941</v>
      </c>
      <c r="N20" s="452">
        <v>0</v>
      </c>
      <c r="O20" s="425">
        <f t="shared" ref="O20:O22" si="11">ROUND(N20*G20,0)</f>
        <v>0</v>
      </c>
      <c r="P20" s="604">
        <f t="shared" ref="P20:P22" si="12">+O20/I20</f>
        <v>0</v>
      </c>
      <c r="Q20" s="450">
        <f t="shared" ref="Q20:Q22" si="13">K20+N20</f>
        <v>0.48999999999999994</v>
      </c>
      <c r="R20" s="175">
        <f t="shared" ref="R20:R22" si="14">L20+O20</f>
        <v>392443</v>
      </c>
      <c r="S20" s="176">
        <f t="shared" si="7"/>
        <v>0.69999857304408941</v>
      </c>
    </row>
    <row r="21" spans="1:19" ht="30" customHeight="1" x14ac:dyDescent="0.3">
      <c r="A21" s="1440"/>
      <c r="B21" s="1441"/>
      <c r="C21" s="493" t="s">
        <v>83</v>
      </c>
      <c r="D21" s="493" t="s">
        <v>208</v>
      </c>
      <c r="E21" s="493">
        <v>0.7</v>
      </c>
      <c r="F21" s="453">
        <v>2646468</v>
      </c>
      <c r="G21" s="32">
        <f t="shared" si="9"/>
        <v>2781438</v>
      </c>
      <c r="H21" s="453">
        <f>ROUND((E21*F21),0)</f>
        <v>1852528</v>
      </c>
      <c r="I21" s="32">
        <f t="shared" si="10"/>
        <v>1947007</v>
      </c>
      <c r="J21" s="1441"/>
      <c r="K21" s="452">
        <v>0</v>
      </c>
      <c r="L21" s="425">
        <f>ROUND(K21*F21,0)</f>
        <v>0</v>
      </c>
      <c r="M21" s="426">
        <f t="shared" si="5"/>
        <v>0</v>
      </c>
      <c r="N21" s="452">
        <v>0</v>
      </c>
      <c r="O21" s="425">
        <f t="shared" si="11"/>
        <v>0</v>
      </c>
      <c r="P21" s="604">
        <f t="shared" si="12"/>
        <v>0</v>
      </c>
      <c r="Q21" s="450">
        <f t="shared" si="13"/>
        <v>0</v>
      </c>
      <c r="R21" s="175">
        <f t="shared" si="14"/>
        <v>0</v>
      </c>
      <c r="S21" s="176">
        <f t="shared" si="7"/>
        <v>0</v>
      </c>
    </row>
    <row r="22" spans="1:19" ht="30" customHeight="1" x14ac:dyDescent="0.3">
      <c r="A22" s="1440"/>
      <c r="B22" s="1441"/>
      <c r="C22" s="493" t="s">
        <v>61</v>
      </c>
      <c r="D22" s="493" t="s">
        <v>209</v>
      </c>
      <c r="E22" s="493">
        <v>0.7</v>
      </c>
      <c r="F22" s="453">
        <v>1775919</v>
      </c>
      <c r="G22" s="32">
        <f t="shared" si="9"/>
        <v>1866491</v>
      </c>
      <c r="H22" s="453">
        <f>ROUND((E22*F22),0)</f>
        <v>1243143</v>
      </c>
      <c r="I22" s="32">
        <f t="shared" si="10"/>
        <v>1306544</v>
      </c>
      <c r="J22" s="1441"/>
      <c r="K22" s="474">
        <v>0.7</v>
      </c>
      <c r="L22" s="429">
        <f>ROUND(K22*F22,0)</f>
        <v>1243143</v>
      </c>
      <c r="M22" s="430">
        <f t="shared" si="5"/>
        <v>1</v>
      </c>
      <c r="N22" s="452">
        <v>0</v>
      </c>
      <c r="O22" s="425">
        <f t="shared" si="11"/>
        <v>0</v>
      </c>
      <c r="P22" s="604">
        <f t="shared" si="12"/>
        <v>0</v>
      </c>
      <c r="Q22" s="450">
        <f t="shared" si="13"/>
        <v>0.7</v>
      </c>
      <c r="R22" s="175">
        <f t="shared" si="14"/>
        <v>1243143</v>
      </c>
      <c r="S22" s="176">
        <f t="shared" si="7"/>
        <v>1</v>
      </c>
    </row>
    <row r="23" spans="1:19" ht="15" customHeight="1" x14ac:dyDescent="0.3">
      <c r="A23" s="1440"/>
      <c r="B23" s="1441"/>
      <c r="C23" s="459"/>
      <c r="D23" s="459" t="s">
        <v>136</v>
      </c>
      <c r="E23" s="458"/>
      <c r="F23" s="458"/>
      <c r="G23" s="458"/>
      <c r="H23" s="457">
        <f>SUM(H20:H22)</f>
        <v>3656305</v>
      </c>
      <c r="I23" s="457">
        <f>SUM(I20:I22)</f>
        <v>3842777</v>
      </c>
      <c r="J23" s="1441"/>
      <c r="K23" s="431"/>
      <c r="L23" s="179">
        <f>SUM(L20:L22)</f>
        <v>1635586</v>
      </c>
      <c r="M23" s="431">
        <f t="shared" si="5"/>
        <v>0.4473330315714909</v>
      </c>
      <c r="N23" s="431"/>
      <c r="O23" s="179">
        <f>SUM(O20:O22)</f>
        <v>0</v>
      </c>
      <c r="P23" s="431">
        <f t="shared" si="8"/>
        <v>0</v>
      </c>
      <c r="Q23" s="446"/>
      <c r="R23" s="307">
        <f>L23+O23</f>
        <v>1635586</v>
      </c>
      <c r="S23" s="431">
        <f t="shared" si="7"/>
        <v>0.4473330315714909</v>
      </c>
    </row>
    <row r="24" spans="1:19" ht="30" customHeight="1" x14ac:dyDescent="0.3">
      <c r="A24" s="1440" t="s">
        <v>283</v>
      </c>
      <c r="B24" s="1441" t="s">
        <v>282</v>
      </c>
      <c r="C24" s="493" t="s">
        <v>81</v>
      </c>
      <c r="D24" s="493" t="s">
        <v>105</v>
      </c>
      <c r="E24" s="493">
        <v>0.7</v>
      </c>
      <c r="F24" s="453">
        <v>417863</v>
      </c>
      <c r="G24" s="32">
        <f t="shared" ref="G24:G25" si="15">+ROUND(F24*1.051,0)</f>
        <v>439174</v>
      </c>
      <c r="H24" s="453">
        <f>ROUND((E24*F24),0)</f>
        <v>292504</v>
      </c>
      <c r="I24" s="32">
        <f t="shared" ref="I24:I25" si="16">+ROUND(G24*E24,0)</f>
        <v>307422</v>
      </c>
      <c r="J24" s="1441" t="s">
        <v>1620</v>
      </c>
      <c r="K24" s="474">
        <f>0.7*70%</f>
        <v>0.48999999999999994</v>
      </c>
      <c r="L24" s="429">
        <f>ROUND(K24*F24,0)</f>
        <v>204753</v>
      </c>
      <c r="M24" s="430">
        <f t="shared" si="5"/>
        <v>0.70000068375133329</v>
      </c>
      <c r="N24" s="452">
        <v>0</v>
      </c>
      <c r="O24" s="425">
        <f t="shared" ref="O24:O25" si="17">ROUND(N24*G24,0)</f>
        <v>0</v>
      </c>
      <c r="P24" s="604">
        <f t="shared" ref="P24" si="18">+O24/I24</f>
        <v>0</v>
      </c>
      <c r="Q24" s="450">
        <f t="shared" ref="Q24:Q25" si="19">K24+N24</f>
        <v>0.48999999999999994</v>
      </c>
      <c r="R24" s="175">
        <f t="shared" ref="R24:R25" si="20">L24+O24</f>
        <v>204753</v>
      </c>
      <c r="S24" s="176">
        <f t="shared" si="7"/>
        <v>0.70000068375133329</v>
      </c>
    </row>
    <row r="25" spans="1:19" ht="30" customHeight="1" x14ac:dyDescent="0.3">
      <c r="A25" s="1440"/>
      <c r="B25" s="1441"/>
      <c r="C25" s="493" t="s">
        <v>83</v>
      </c>
      <c r="D25" s="493" t="s">
        <v>107</v>
      </c>
      <c r="E25" s="493">
        <v>0</v>
      </c>
      <c r="F25" s="453">
        <v>1845563</v>
      </c>
      <c r="G25" s="32">
        <f t="shared" si="15"/>
        <v>1939687</v>
      </c>
      <c r="H25" s="453">
        <f>ROUND((E25*F25),0)</f>
        <v>0</v>
      </c>
      <c r="I25" s="32">
        <f t="shared" si="16"/>
        <v>0</v>
      </c>
      <c r="J25" s="1441"/>
      <c r="K25" s="452">
        <v>0</v>
      </c>
      <c r="L25" s="425">
        <f>ROUND(K25*F25,0)</f>
        <v>0</v>
      </c>
      <c r="M25" s="426">
        <v>0</v>
      </c>
      <c r="N25" s="452">
        <v>0</v>
      </c>
      <c r="O25" s="425">
        <f t="shared" si="17"/>
        <v>0</v>
      </c>
      <c r="P25" s="604">
        <v>0</v>
      </c>
      <c r="Q25" s="450">
        <f t="shared" si="19"/>
        <v>0</v>
      </c>
      <c r="R25" s="175">
        <f t="shared" si="20"/>
        <v>0</v>
      </c>
      <c r="S25" s="176">
        <v>0</v>
      </c>
    </row>
    <row r="26" spans="1:19" ht="15" customHeight="1" x14ac:dyDescent="0.3">
      <c r="A26" s="1440"/>
      <c r="B26" s="1441"/>
      <c r="C26" s="459"/>
      <c r="D26" s="459" t="s">
        <v>108</v>
      </c>
      <c r="E26" s="458"/>
      <c r="F26" s="458"/>
      <c r="G26" s="458"/>
      <c r="H26" s="457">
        <f>SUM(H24:H25)</f>
        <v>292504</v>
      </c>
      <c r="I26" s="457">
        <f>SUM(I24:I25)</f>
        <v>307422</v>
      </c>
      <c r="J26" s="1441"/>
      <c r="K26" s="431"/>
      <c r="L26" s="179">
        <f>SUM(L24:L25)</f>
        <v>204753</v>
      </c>
      <c r="M26" s="431">
        <f>L26/H26</f>
        <v>0.70000068375133329</v>
      </c>
      <c r="N26" s="431"/>
      <c r="O26" s="179">
        <f>SUM(O24:O25)</f>
        <v>0</v>
      </c>
      <c r="P26" s="431">
        <f>O26/H26</f>
        <v>0</v>
      </c>
      <c r="Q26" s="446"/>
      <c r="R26" s="307">
        <f>L26+O26</f>
        <v>204753</v>
      </c>
      <c r="S26" s="431">
        <f>R26/H26</f>
        <v>0.70000068375133329</v>
      </c>
    </row>
    <row r="27" spans="1:19" ht="30" customHeight="1" x14ac:dyDescent="0.3">
      <c r="A27" s="1440" t="s">
        <v>283</v>
      </c>
      <c r="B27" s="1441" t="s">
        <v>194</v>
      </c>
      <c r="C27" s="493" t="s">
        <v>160</v>
      </c>
      <c r="D27" s="493" t="s">
        <v>161</v>
      </c>
      <c r="E27" s="493">
        <v>60</v>
      </c>
      <c r="F27" s="453">
        <v>69644</v>
      </c>
      <c r="G27" s="32">
        <f>+ROUND(F27*1.051,0)</f>
        <v>73196</v>
      </c>
      <c r="H27" s="453">
        <f>ROUND((E27*F27),0)</f>
        <v>4178640</v>
      </c>
      <c r="I27" s="32">
        <f>+ROUND(G27*E27,0)</f>
        <v>4391760</v>
      </c>
      <c r="J27" s="1442" t="s">
        <v>1544</v>
      </c>
      <c r="K27" s="474">
        <f>24*70%</f>
        <v>16.799999999999997</v>
      </c>
      <c r="L27" s="429">
        <f>ROUND(K27*F27,0)</f>
        <v>1170019</v>
      </c>
      <c r="M27" s="430">
        <f>L27/H27</f>
        <v>0.27999995213753759</v>
      </c>
      <c r="N27" s="452">
        <v>0</v>
      </c>
      <c r="O27" s="425">
        <f>ROUND(N27*G27,0)</f>
        <v>0</v>
      </c>
      <c r="P27" s="604">
        <f>+O27/I27</f>
        <v>0</v>
      </c>
      <c r="Q27" s="450">
        <f>K27+N27</f>
        <v>16.799999999999997</v>
      </c>
      <c r="R27" s="175">
        <f>L27+O27</f>
        <v>1170019</v>
      </c>
      <c r="S27" s="176">
        <f>R27/H27</f>
        <v>0.27999995213753759</v>
      </c>
    </row>
    <row r="28" spans="1:19" ht="15" customHeight="1" x14ac:dyDescent="0.3">
      <c r="A28" s="1440"/>
      <c r="B28" s="1441"/>
      <c r="C28" s="459"/>
      <c r="D28" s="459" t="s">
        <v>162</v>
      </c>
      <c r="E28" s="458"/>
      <c r="F28" s="458"/>
      <c r="G28" s="458"/>
      <c r="H28" s="457">
        <f>H27</f>
        <v>4178640</v>
      </c>
      <c r="I28" s="457">
        <f>SUM(I27)</f>
        <v>4391760</v>
      </c>
      <c r="J28" s="1441"/>
      <c r="K28" s="431"/>
      <c r="L28" s="179">
        <f>L27</f>
        <v>1170019</v>
      </c>
      <c r="M28" s="431">
        <f>L28/H28</f>
        <v>0.27999995213753759</v>
      </c>
      <c r="N28" s="431"/>
      <c r="O28" s="179">
        <f>O27</f>
        <v>0</v>
      </c>
      <c r="P28" s="431">
        <f>O28/H28</f>
        <v>0</v>
      </c>
      <c r="Q28" s="446"/>
      <c r="R28" s="307">
        <f>L28+O28</f>
        <v>1170019</v>
      </c>
      <c r="S28" s="431">
        <f>R28/H28</f>
        <v>0.27999995213753759</v>
      </c>
    </row>
    <row r="29" spans="1:19" ht="30" customHeight="1" x14ac:dyDescent="0.3">
      <c r="A29" s="1440" t="s">
        <v>283</v>
      </c>
      <c r="B29" s="1441" t="s">
        <v>194</v>
      </c>
      <c r="C29" s="493" t="s">
        <v>160</v>
      </c>
      <c r="D29" s="493" t="s">
        <v>161</v>
      </c>
      <c r="E29" s="493">
        <v>24</v>
      </c>
      <c r="F29" s="453">
        <v>69644</v>
      </c>
      <c r="G29" s="32">
        <f>+ROUND(F29*1.051,0)</f>
        <v>73196</v>
      </c>
      <c r="H29" s="453">
        <f>ROUND((E29*F29),0)</f>
        <v>1671456</v>
      </c>
      <c r="I29" s="32">
        <f>+ROUND(G29*E29,0)</f>
        <v>1756704</v>
      </c>
      <c r="J29" s="1442" t="s">
        <v>1618</v>
      </c>
      <c r="K29" s="474">
        <f>12*70%</f>
        <v>8.3999999999999986</v>
      </c>
      <c r="L29" s="429">
        <f>ROUND(K29*F29,0)</f>
        <v>585010</v>
      </c>
      <c r="M29" s="430">
        <f>L29/H29</f>
        <v>0.35000023931231217</v>
      </c>
      <c r="N29" s="452">
        <v>0</v>
      </c>
      <c r="O29" s="425">
        <f>ROUND(N29*G29,0)</f>
        <v>0</v>
      </c>
      <c r="P29" s="604">
        <f>+O29/I29</f>
        <v>0</v>
      </c>
      <c r="Q29" s="450">
        <f>K29+N29</f>
        <v>8.3999999999999986</v>
      </c>
      <c r="R29" s="175">
        <f>L29+O29</f>
        <v>585010</v>
      </c>
      <c r="S29" s="176">
        <f>R29/H29</f>
        <v>0.35000023931231217</v>
      </c>
    </row>
    <row r="30" spans="1:19" ht="15" customHeight="1" x14ac:dyDescent="0.3">
      <c r="A30" s="1440"/>
      <c r="B30" s="1441"/>
      <c r="C30" s="459"/>
      <c r="D30" s="459" t="s">
        <v>162</v>
      </c>
      <c r="E30" s="458"/>
      <c r="F30" s="458"/>
      <c r="G30" s="458"/>
      <c r="H30" s="457">
        <f>H29</f>
        <v>1671456</v>
      </c>
      <c r="I30" s="457">
        <f>SUM(I29)</f>
        <v>1756704</v>
      </c>
      <c r="J30" s="1441"/>
      <c r="K30" s="431"/>
      <c r="L30" s="179">
        <f>L29</f>
        <v>585010</v>
      </c>
      <c r="M30" s="431">
        <f>L30/H30</f>
        <v>0.35000023931231217</v>
      </c>
      <c r="N30" s="431"/>
      <c r="O30" s="179">
        <f>O29</f>
        <v>0</v>
      </c>
      <c r="P30" s="431">
        <f>O30/H30</f>
        <v>0</v>
      </c>
      <c r="Q30" s="446"/>
      <c r="R30" s="307">
        <f>L30+O30</f>
        <v>585010</v>
      </c>
      <c r="S30" s="431">
        <f>R30/H30</f>
        <v>0.35000023931231217</v>
      </c>
    </row>
    <row r="31" spans="1:19" ht="30" customHeight="1" x14ac:dyDescent="0.3">
      <c r="A31" s="1440" t="s">
        <v>1625</v>
      </c>
      <c r="B31" s="1441" t="s">
        <v>211</v>
      </c>
      <c r="C31" s="493" t="s">
        <v>81</v>
      </c>
      <c r="D31" s="493" t="s">
        <v>212</v>
      </c>
      <c r="E31" s="493">
        <v>0</v>
      </c>
      <c r="F31" s="453">
        <v>800905</v>
      </c>
      <c r="G31" s="32">
        <f t="shared" ref="G31:G33" si="21">+ROUND(F31*1.051,0)</f>
        <v>841751</v>
      </c>
      <c r="H31" s="453">
        <f>ROUND((E31*F31),0)</f>
        <v>0</v>
      </c>
      <c r="I31" s="32">
        <f t="shared" ref="I31:I33" si="22">+ROUND(G31*E31,0)</f>
        <v>0</v>
      </c>
      <c r="J31" s="1441" t="s">
        <v>1626</v>
      </c>
      <c r="K31" s="452">
        <v>0</v>
      </c>
      <c r="L31" s="425">
        <f>ROUND(K31*F31,0)</f>
        <v>0</v>
      </c>
      <c r="M31" s="426">
        <v>0</v>
      </c>
      <c r="N31" s="452">
        <v>0</v>
      </c>
      <c r="O31" s="425">
        <f t="shared" ref="O31:O33" si="23">ROUND(N31*G31,0)</f>
        <v>0</v>
      </c>
      <c r="P31" s="604">
        <v>0</v>
      </c>
      <c r="Q31" s="450">
        <f t="shared" ref="Q31:Q33" si="24">K31+N31</f>
        <v>0</v>
      </c>
      <c r="R31" s="175">
        <f t="shared" ref="R31:R33" si="25">L31+O31</f>
        <v>0</v>
      </c>
      <c r="S31" s="176">
        <v>0</v>
      </c>
    </row>
    <row r="32" spans="1:19" ht="30" customHeight="1" x14ac:dyDescent="0.3">
      <c r="A32" s="1440"/>
      <c r="B32" s="1441"/>
      <c r="C32" s="493" t="s">
        <v>83</v>
      </c>
      <c r="D32" s="493" t="s">
        <v>213</v>
      </c>
      <c r="E32" s="493">
        <v>0</v>
      </c>
      <c r="F32" s="453">
        <v>2646468</v>
      </c>
      <c r="G32" s="32">
        <f t="shared" si="21"/>
        <v>2781438</v>
      </c>
      <c r="H32" s="453">
        <f>ROUND((E32*F32),0)</f>
        <v>0</v>
      </c>
      <c r="I32" s="32">
        <f t="shared" si="22"/>
        <v>0</v>
      </c>
      <c r="J32" s="1441"/>
      <c r="K32" s="452">
        <v>0</v>
      </c>
      <c r="L32" s="425">
        <f>ROUND(K32*F32,0)</f>
        <v>0</v>
      </c>
      <c r="M32" s="426">
        <v>0</v>
      </c>
      <c r="N32" s="452">
        <v>0</v>
      </c>
      <c r="O32" s="425">
        <f t="shared" si="23"/>
        <v>0</v>
      </c>
      <c r="P32" s="604">
        <v>0</v>
      </c>
      <c r="Q32" s="450">
        <f t="shared" si="24"/>
        <v>0</v>
      </c>
      <c r="R32" s="175">
        <f t="shared" si="25"/>
        <v>0</v>
      </c>
      <c r="S32" s="176">
        <v>0</v>
      </c>
    </row>
    <row r="33" spans="1:19" ht="30" customHeight="1" x14ac:dyDescent="0.3">
      <c r="A33" s="1440"/>
      <c r="B33" s="1441"/>
      <c r="C33" s="493" t="s">
        <v>61</v>
      </c>
      <c r="D33" s="493" t="s">
        <v>214</v>
      </c>
      <c r="E33" s="493">
        <v>0.40250000000000002</v>
      </c>
      <c r="F33" s="453">
        <v>2228604</v>
      </c>
      <c r="G33" s="32">
        <f t="shared" si="21"/>
        <v>2342263</v>
      </c>
      <c r="H33" s="453">
        <f>ROUND((E33*F33),0)</f>
        <v>897013</v>
      </c>
      <c r="I33" s="32">
        <f t="shared" si="22"/>
        <v>942761</v>
      </c>
      <c r="J33" s="1441"/>
      <c r="K33" s="538">
        <v>0.40250000000000002</v>
      </c>
      <c r="L33" s="429">
        <f>ROUND(K33*F33,0)</f>
        <v>897013</v>
      </c>
      <c r="M33" s="430">
        <f>L33/H33</f>
        <v>1</v>
      </c>
      <c r="N33" s="452">
        <v>0</v>
      </c>
      <c r="O33" s="425">
        <f t="shared" si="23"/>
        <v>0</v>
      </c>
      <c r="P33" s="604">
        <f t="shared" ref="P33" si="26">+O33/I33</f>
        <v>0</v>
      </c>
      <c r="Q33" s="450">
        <f t="shared" si="24"/>
        <v>0.40250000000000002</v>
      </c>
      <c r="R33" s="175">
        <f t="shared" si="25"/>
        <v>897013</v>
      </c>
      <c r="S33" s="176">
        <f>R33/H33</f>
        <v>1</v>
      </c>
    </row>
    <row r="34" spans="1:19" x14ac:dyDescent="0.3">
      <c r="A34" s="1440"/>
      <c r="B34" s="1441"/>
      <c r="C34" s="459"/>
      <c r="D34" s="459" t="s">
        <v>215</v>
      </c>
      <c r="E34" s="458"/>
      <c r="F34" s="458"/>
      <c r="G34" s="458"/>
      <c r="H34" s="457">
        <f>SUM(H31:H33)</f>
        <v>897013</v>
      </c>
      <c r="I34" s="457">
        <f>SUM(I31:I33)</f>
        <v>942761</v>
      </c>
      <c r="J34" s="1441"/>
      <c r="K34" s="431"/>
      <c r="L34" s="179">
        <f>SUM(L31:L33)</f>
        <v>897013</v>
      </c>
      <c r="M34" s="431">
        <f>L34/H34</f>
        <v>1</v>
      </c>
      <c r="N34" s="431"/>
      <c r="O34" s="179">
        <f>SUM(O31:O33)</f>
        <v>0</v>
      </c>
      <c r="P34" s="431">
        <f>O34/H34</f>
        <v>0</v>
      </c>
      <c r="Q34" s="446"/>
      <c r="R34" s="307">
        <f>L34+O34</f>
        <v>897013</v>
      </c>
      <c r="S34" s="431">
        <f>R34/H34</f>
        <v>1</v>
      </c>
    </row>
    <row r="35" spans="1:19" ht="30" customHeight="1" x14ac:dyDescent="0.3">
      <c r="A35" s="1440" t="s">
        <v>1625</v>
      </c>
      <c r="B35" s="1441" t="s">
        <v>170</v>
      </c>
      <c r="C35" s="493" t="s">
        <v>83</v>
      </c>
      <c r="D35" s="493" t="s">
        <v>123</v>
      </c>
      <c r="E35" s="493">
        <v>0</v>
      </c>
      <c r="F35" s="453">
        <v>1044658</v>
      </c>
      <c r="G35" s="32">
        <f t="shared" ref="G35:G36" si="27">+ROUND(F35*1.051,0)</f>
        <v>1097936</v>
      </c>
      <c r="H35" s="453">
        <f>ROUND((E35*F35),0)</f>
        <v>0</v>
      </c>
      <c r="I35" s="32">
        <f t="shared" ref="I35:I36" si="28">+ROUND(G35*E35,0)</f>
        <v>0</v>
      </c>
      <c r="J35" s="1441" t="s">
        <v>1539</v>
      </c>
      <c r="K35" s="452">
        <v>0</v>
      </c>
      <c r="L35" s="425">
        <f>ROUND(K35*F35,0)</f>
        <v>0</v>
      </c>
      <c r="M35" s="426">
        <v>0</v>
      </c>
      <c r="N35" s="452">
        <v>0</v>
      </c>
      <c r="O35" s="425">
        <f t="shared" ref="O35:O36" si="29">ROUND(N35*G35,0)</f>
        <v>0</v>
      </c>
      <c r="P35" s="604">
        <v>0</v>
      </c>
      <c r="Q35" s="450">
        <f t="shared" ref="Q35:Q36" si="30">K35+N35</f>
        <v>0</v>
      </c>
      <c r="R35" s="175">
        <f t="shared" ref="R35:R36" si="31">L35+O35</f>
        <v>0</v>
      </c>
      <c r="S35" s="176">
        <v>0</v>
      </c>
    </row>
    <row r="36" spans="1:19" ht="30" customHeight="1" x14ac:dyDescent="0.3">
      <c r="A36" s="1440"/>
      <c r="B36" s="1441"/>
      <c r="C36" s="493" t="s">
        <v>61</v>
      </c>
      <c r="D36" s="493" t="s">
        <v>125</v>
      </c>
      <c r="E36" s="493">
        <v>0.7</v>
      </c>
      <c r="F36" s="453">
        <v>1009836</v>
      </c>
      <c r="G36" s="32">
        <f t="shared" si="27"/>
        <v>1061338</v>
      </c>
      <c r="H36" s="453">
        <f>ROUND((E36*F36),0)</f>
        <v>706885</v>
      </c>
      <c r="I36" s="32">
        <f t="shared" si="28"/>
        <v>742937</v>
      </c>
      <c r="J36" s="1441"/>
      <c r="K36" s="474">
        <v>0.7</v>
      </c>
      <c r="L36" s="429">
        <f>ROUND(K36*F36,0)</f>
        <v>706885</v>
      </c>
      <c r="M36" s="430">
        <f>L36/H36</f>
        <v>1</v>
      </c>
      <c r="N36" s="452">
        <v>0</v>
      </c>
      <c r="O36" s="425">
        <f t="shared" si="29"/>
        <v>0</v>
      </c>
      <c r="P36" s="604">
        <f t="shared" ref="P36" si="32">+O36/I36</f>
        <v>0</v>
      </c>
      <c r="Q36" s="450">
        <f t="shared" si="30"/>
        <v>0.7</v>
      </c>
      <c r="R36" s="175">
        <f t="shared" si="31"/>
        <v>706885</v>
      </c>
      <c r="S36" s="176">
        <f>R36/H36</f>
        <v>1</v>
      </c>
    </row>
    <row r="37" spans="1:19" ht="15" customHeight="1" x14ac:dyDescent="0.3">
      <c r="A37" s="1440"/>
      <c r="B37" s="1441"/>
      <c r="C37" s="459"/>
      <c r="D37" s="459" t="s">
        <v>126</v>
      </c>
      <c r="E37" s="458"/>
      <c r="F37" s="458"/>
      <c r="G37" s="458"/>
      <c r="H37" s="457">
        <f>SUM(H35:H36)</f>
        <v>706885</v>
      </c>
      <c r="I37" s="457">
        <f>SUM(I35:I36)</f>
        <v>742937</v>
      </c>
      <c r="J37" s="1441"/>
      <c r="K37" s="431"/>
      <c r="L37" s="179">
        <f>SUM(L35:L36)</f>
        <v>706885</v>
      </c>
      <c r="M37" s="431">
        <f>L37/H37</f>
        <v>1</v>
      </c>
      <c r="N37" s="431"/>
      <c r="O37" s="179">
        <f>SUM(O35:O36)</f>
        <v>0</v>
      </c>
      <c r="P37" s="431">
        <f>O37/H37</f>
        <v>0</v>
      </c>
      <c r="Q37" s="446"/>
      <c r="R37" s="307">
        <f>L37+O37</f>
        <v>706885</v>
      </c>
      <c r="S37" s="431">
        <f>R37/H37</f>
        <v>1</v>
      </c>
    </row>
    <row r="38" spans="1:19" x14ac:dyDescent="0.3">
      <c r="F38" s="445" t="s">
        <v>64</v>
      </c>
      <c r="G38" s="445"/>
      <c r="H38" s="340">
        <f>SUM(H14:H37)/2</f>
        <v>12264715</v>
      </c>
      <c r="I38" s="340">
        <f>SUM(I14:I37)/2</f>
        <v>12890232</v>
      </c>
      <c r="K38" s="547" t="s">
        <v>64</v>
      </c>
      <c r="L38" s="550">
        <f>SUM(L14:L37)/2</f>
        <v>5906151</v>
      </c>
      <c r="N38" s="547" t="s">
        <v>64</v>
      </c>
      <c r="O38" s="550">
        <f>SUM(O14:O37)/2</f>
        <v>0</v>
      </c>
      <c r="Q38" s="547" t="s">
        <v>64</v>
      </c>
      <c r="R38" s="550">
        <f>SUM(R14:R37)/2</f>
        <v>5906151</v>
      </c>
    </row>
    <row r="39" spans="1:19" x14ac:dyDescent="0.3">
      <c r="F39" s="444" t="s">
        <v>65</v>
      </c>
      <c r="G39" s="444"/>
      <c r="H39" s="181">
        <v>0</v>
      </c>
      <c r="I39" s="181">
        <v>0</v>
      </c>
      <c r="K39" s="548" t="s">
        <v>65</v>
      </c>
      <c r="L39" s="481">
        <v>0</v>
      </c>
      <c r="N39" s="548" t="s">
        <v>65</v>
      </c>
      <c r="O39" s="481">
        <v>0</v>
      </c>
      <c r="Q39" s="548" t="s">
        <v>65</v>
      </c>
      <c r="R39" s="481">
        <v>0</v>
      </c>
    </row>
    <row r="40" spans="1:19" x14ac:dyDescent="0.3">
      <c r="F40" s="443" t="s">
        <v>64</v>
      </c>
      <c r="G40" s="443"/>
      <c r="H40" s="340">
        <f>SUM(H38:H39)</f>
        <v>12264715</v>
      </c>
      <c r="I40" s="340">
        <f>SUM(I38:I39)</f>
        <v>12890232</v>
      </c>
      <c r="K40" s="549" t="s">
        <v>64</v>
      </c>
      <c r="L40" s="550">
        <f>SUM(L38:L39)</f>
        <v>5906151</v>
      </c>
      <c r="N40" s="549" t="s">
        <v>64</v>
      </c>
      <c r="O40" s="550">
        <f>SUM(O38:O39)</f>
        <v>0</v>
      </c>
      <c r="Q40" s="549" t="s">
        <v>64</v>
      </c>
      <c r="R40" s="550">
        <f>SUM(R38:R39)</f>
        <v>5906151</v>
      </c>
    </row>
    <row r="41" spans="1:19" ht="26.4" x14ac:dyDescent="0.3">
      <c r="F41" s="443"/>
      <c r="G41" s="443"/>
      <c r="H41" s="340"/>
      <c r="I41" s="340"/>
      <c r="K41" s="501" t="s">
        <v>1439</v>
      </c>
      <c r="L41" s="483">
        <f>ROUND(L40*0.015,0)</f>
        <v>88592</v>
      </c>
      <c r="N41" s="501" t="s">
        <v>1439</v>
      </c>
      <c r="O41" s="483">
        <f>ROUND(O40*0.015,0)</f>
        <v>0</v>
      </c>
      <c r="Q41" s="501" t="s">
        <v>1439</v>
      </c>
      <c r="R41" s="550">
        <f>L41+O41</f>
        <v>88592</v>
      </c>
    </row>
    <row r="42" spans="1:19" ht="26.4" x14ac:dyDescent="0.3">
      <c r="F42" s="443"/>
      <c r="G42" s="443"/>
      <c r="H42" s="340"/>
      <c r="I42" s="340"/>
      <c r="K42" s="96" t="s">
        <v>1440</v>
      </c>
      <c r="L42" s="182">
        <f>L40+L41</f>
        <v>5994743</v>
      </c>
      <c r="M42" s="463">
        <f>L42/H40</f>
        <v>0.48877964143479891</v>
      </c>
      <c r="N42" s="96" t="s">
        <v>1440</v>
      </c>
      <c r="O42" s="182">
        <f>O40+O41</f>
        <v>0</v>
      </c>
      <c r="P42" s="463">
        <f>O42/H40</f>
        <v>0</v>
      </c>
      <c r="Q42" s="501" t="s">
        <v>1440</v>
      </c>
      <c r="R42" s="483">
        <f>R40+R41</f>
        <v>5994743</v>
      </c>
      <c r="S42" s="463">
        <f>R42/H40</f>
        <v>0.48877964143479891</v>
      </c>
    </row>
    <row r="43" spans="1:19" x14ac:dyDescent="0.3">
      <c r="F43" s="442" t="s">
        <v>66</v>
      </c>
      <c r="G43" s="442"/>
      <c r="H43" s="181">
        <f>+H40*19%</f>
        <v>2330295.85</v>
      </c>
      <c r="I43" s="181">
        <f>+I40*19%</f>
        <v>2449144.08</v>
      </c>
      <c r="K43" s="551" t="s">
        <v>66</v>
      </c>
      <c r="L43" s="483">
        <f>L42*0.19</f>
        <v>1139001.17</v>
      </c>
      <c r="N43" s="551" t="s">
        <v>66</v>
      </c>
      <c r="O43" s="483">
        <f>O42*0.19</f>
        <v>0</v>
      </c>
      <c r="Q43" s="551" t="s">
        <v>66</v>
      </c>
      <c r="R43" s="483">
        <f>R42*0.19</f>
        <v>1139001.17</v>
      </c>
    </row>
    <row r="44" spans="1:19" x14ac:dyDescent="0.3">
      <c r="F44" s="441" t="s">
        <v>69</v>
      </c>
      <c r="G44" s="441"/>
      <c r="H44" s="181">
        <f>+H40+H43</f>
        <v>14595010.85</v>
      </c>
      <c r="I44" s="181">
        <f>+I40+I43</f>
        <v>15339376.08</v>
      </c>
      <c r="K44" s="552" t="s">
        <v>69</v>
      </c>
      <c r="L44" s="481">
        <f>L42+L43</f>
        <v>7133744.1699999999</v>
      </c>
      <c r="N44" s="552" t="s">
        <v>69</v>
      </c>
      <c r="O44" s="481">
        <f>O42+O43</f>
        <v>0</v>
      </c>
      <c r="Q44" s="552" t="s">
        <v>69</v>
      </c>
      <c r="R44" s="481">
        <f>R42+R43</f>
        <v>7133744.1699999999</v>
      </c>
    </row>
    <row r="49" spans="1:19" s="189" customFormat="1" x14ac:dyDescent="0.3">
      <c r="A49" s="183" t="s">
        <v>67</v>
      </c>
      <c r="B49" s="184"/>
      <c r="C49" s="184"/>
      <c r="D49" s="185" t="s">
        <v>68</v>
      </c>
      <c r="G49" s="852"/>
      <c r="I49" s="852"/>
      <c r="K49" s="186" t="s">
        <v>70</v>
      </c>
      <c r="L49" s="187" t="s">
        <v>71</v>
      </c>
      <c r="M49" s="186" t="s">
        <v>58</v>
      </c>
      <c r="N49" s="186" t="s">
        <v>70</v>
      </c>
      <c r="O49" s="187" t="s">
        <v>71</v>
      </c>
      <c r="P49" s="186" t="s">
        <v>58</v>
      </c>
      <c r="Q49" s="437"/>
      <c r="R49" s="437"/>
      <c r="S49" s="437"/>
    </row>
    <row r="50" spans="1:19" s="189" customFormat="1" x14ac:dyDescent="0.3">
      <c r="A50" s="183"/>
      <c r="B50" s="184"/>
      <c r="C50" s="184"/>
      <c r="D50" s="185"/>
      <c r="G50" s="852"/>
      <c r="I50" s="852"/>
      <c r="K50" s="69" t="s">
        <v>72</v>
      </c>
      <c r="L50" s="70">
        <f>L42</f>
        <v>5994743</v>
      </c>
      <c r="M50" s="71">
        <f>M42</f>
        <v>0.48877964143479891</v>
      </c>
      <c r="N50" s="69" t="s">
        <v>72</v>
      </c>
      <c r="O50" s="70">
        <f>L42</f>
        <v>5994743</v>
      </c>
      <c r="P50" s="71">
        <f>M42</f>
        <v>0.48877964143479891</v>
      </c>
      <c r="Q50" s="437"/>
      <c r="R50" s="437"/>
      <c r="S50" s="437"/>
    </row>
    <row r="51" spans="1:19" s="189" customFormat="1" x14ac:dyDescent="0.3">
      <c r="A51" s="183"/>
      <c r="B51" s="184"/>
      <c r="C51" s="184"/>
      <c r="D51" s="185"/>
      <c r="G51" s="852"/>
      <c r="I51" s="852"/>
      <c r="K51" s="72" t="s">
        <v>1</v>
      </c>
      <c r="L51" s="105">
        <f>SUM(L50:L50)</f>
        <v>5994743</v>
      </c>
      <c r="M51" s="73">
        <f>SUM(M50:M50)</f>
        <v>0.48877964143479891</v>
      </c>
      <c r="N51" s="69" t="s">
        <v>73</v>
      </c>
      <c r="O51" s="740">
        <f>O42</f>
        <v>0</v>
      </c>
      <c r="P51" s="744">
        <f>P42</f>
        <v>0</v>
      </c>
      <c r="Q51" s="437"/>
      <c r="R51" s="437"/>
      <c r="S51" s="437"/>
    </row>
    <row r="52" spans="1:19" s="189" customFormat="1" x14ac:dyDescent="0.3">
      <c r="A52" s="183"/>
      <c r="B52" s="184"/>
      <c r="C52" s="184"/>
      <c r="D52" s="185"/>
      <c r="G52" s="852"/>
      <c r="I52" s="852"/>
      <c r="K52" s="72" t="s">
        <v>9</v>
      </c>
      <c r="L52" s="1423"/>
      <c r="M52" s="1424"/>
      <c r="N52" s="72" t="s">
        <v>1</v>
      </c>
      <c r="O52" s="105">
        <f>SUM(O50:O51)</f>
        <v>5994743</v>
      </c>
      <c r="P52" s="73">
        <f>SUM(P50:P51)</f>
        <v>0.48877964143479891</v>
      </c>
      <c r="Q52" s="437"/>
      <c r="R52" s="437"/>
      <c r="S52" s="437"/>
    </row>
    <row r="53" spans="1:19" s="189" customFormat="1" x14ac:dyDescent="0.3">
      <c r="A53" s="183"/>
      <c r="B53" s="184"/>
      <c r="C53" s="184"/>
      <c r="D53" s="185"/>
      <c r="G53" s="852"/>
      <c r="I53" s="852"/>
      <c r="K53" s="440" t="s">
        <v>78</v>
      </c>
      <c r="L53" s="1423" t="s">
        <v>396</v>
      </c>
      <c r="M53" s="1424"/>
      <c r="N53" s="72" t="s">
        <v>9</v>
      </c>
      <c r="O53" s="743"/>
      <c r="P53" s="743"/>
      <c r="Q53" s="437"/>
      <c r="R53" s="437"/>
      <c r="S53" s="437"/>
    </row>
    <row r="54" spans="1:19" s="189" customFormat="1" x14ac:dyDescent="0.3">
      <c r="A54" s="183"/>
      <c r="B54" s="184"/>
      <c r="C54" s="184"/>
      <c r="D54" s="185"/>
      <c r="G54" s="852"/>
      <c r="I54" s="852"/>
      <c r="K54" s="439" t="s">
        <v>8</v>
      </c>
      <c r="L54" s="1425" t="s">
        <v>397</v>
      </c>
      <c r="M54" s="1426"/>
      <c r="N54" s="440" t="s">
        <v>78</v>
      </c>
      <c r="O54" s="1505" t="s">
        <v>396</v>
      </c>
      <c r="P54" s="1505"/>
      <c r="Q54" s="437"/>
      <c r="R54" s="437"/>
      <c r="S54" s="437"/>
    </row>
    <row r="55" spans="1:19" s="189" customFormat="1" x14ac:dyDescent="0.3">
      <c r="A55" s="183"/>
      <c r="B55" s="184"/>
      <c r="C55" s="184"/>
      <c r="D55" s="185" t="s">
        <v>75</v>
      </c>
      <c r="G55" s="852"/>
      <c r="I55" s="852"/>
      <c r="N55" s="439" t="s">
        <v>8</v>
      </c>
      <c r="O55" s="1506" t="s">
        <v>397</v>
      </c>
      <c r="P55" s="1506"/>
    </row>
    <row r="56" spans="1:19" s="189" customFormat="1" x14ac:dyDescent="0.3">
      <c r="A56" s="183" t="s">
        <v>76</v>
      </c>
      <c r="B56" s="180"/>
      <c r="C56" s="180"/>
      <c r="D56" s="185" t="s">
        <v>77</v>
      </c>
      <c r="G56" s="852"/>
      <c r="I56" s="852"/>
      <c r="N56" s="727"/>
      <c r="O56" s="727"/>
      <c r="P56" s="727"/>
    </row>
    <row r="57" spans="1:19" s="189" customFormat="1" ht="26.4" x14ac:dyDescent="0.3">
      <c r="A57" s="183" t="s">
        <v>79</v>
      </c>
      <c r="B57" s="180"/>
      <c r="C57" s="180"/>
      <c r="D57" s="185" t="s">
        <v>80</v>
      </c>
      <c r="G57" s="852"/>
      <c r="I57" s="852"/>
      <c r="N57" s="727"/>
      <c r="O57" s="727"/>
      <c r="P57" s="727"/>
    </row>
  </sheetData>
  <sheetProtection formatCells="0" formatColumns="0" formatRows="0" insertColumns="0" insertRows="0" insertHyperlinks="0" deleteColumns="0" deleteRows="0" sort="0" autoFilter="0" pivotTables="0"/>
  <mergeCells count="45">
    <mergeCell ref="O54:P54"/>
    <mergeCell ref="O55:P55"/>
    <mergeCell ref="A7:S7"/>
    <mergeCell ref="A8:S8"/>
    <mergeCell ref="A9:S9"/>
    <mergeCell ref="A10:S10"/>
    <mergeCell ref="B11:J11"/>
    <mergeCell ref="K11:M12"/>
    <mergeCell ref="Q11:S12"/>
    <mergeCell ref="B12:J12"/>
    <mergeCell ref="N11:P12"/>
    <mergeCell ref="L52:M52"/>
    <mergeCell ref="L53:M53"/>
    <mergeCell ref="L54:M54"/>
    <mergeCell ref="A20:A23"/>
    <mergeCell ref="B20:B23"/>
    <mergeCell ref="Q1:S1"/>
    <mergeCell ref="Q2:S2"/>
    <mergeCell ref="A3:S3"/>
    <mergeCell ref="A4:S4"/>
    <mergeCell ref="A5:S5"/>
    <mergeCell ref="C1:M2"/>
    <mergeCell ref="A6:S6"/>
    <mergeCell ref="A14:A16"/>
    <mergeCell ref="B14:B16"/>
    <mergeCell ref="J14:J16"/>
    <mergeCell ref="A17:A19"/>
    <mergeCell ref="B17:B19"/>
    <mergeCell ref="J17:J19"/>
    <mergeCell ref="J20:J23"/>
    <mergeCell ref="A24:A26"/>
    <mergeCell ref="B24:B26"/>
    <mergeCell ref="J24:J26"/>
    <mergeCell ref="A35:A37"/>
    <mergeCell ref="B35:B37"/>
    <mergeCell ref="J35:J37"/>
    <mergeCell ref="A27:A28"/>
    <mergeCell ref="B27:B28"/>
    <mergeCell ref="J27:J28"/>
    <mergeCell ref="A29:A30"/>
    <mergeCell ref="B29:B30"/>
    <mergeCell ref="J29:J30"/>
    <mergeCell ref="A31:A34"/>
    <mergeCell ref="B31:B34"/>
    <mergeCell ref="J31:J34"/>
  </mergeCells>
  <pageMargins left="0.70866141732283472" right="0.70866141732283472" top="0.74803149606299213" bottom="0.74803149606299213" header="0.31496062992125984" footer="0.31496062992125984"/>
  <pageSetup scale="64" orientation="landscape" r:id="rId1"/>
  <drawing r:id="rId2"/>
  <legacyDrawing r:id="rId3"/>
  <legacyDrawingHF r:id="rId4"/>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1">
    <tabColor theme="1"/>
  </sheetPr>
  <dimension ref="A1:G49"/>
  <sheetViews>
    <sheetView topLeftCell="A10" zoomScaleNormal="10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RESUMEN!B101</f>
        <v>D00243137</v>
      </c>
      <c r="C7" s="1265"/>
      <c r="D7" s="1177"/>
      <c r="E7" s="1266" t="s">
        <v>627</v>
      </c>
      <c r="F7" s="1267"/>
      <c r="G7" s="280" t="str">
        <f>RESUMEN!E101</f>
        <v xml:space="preserve">17-385 </v>
      </c>
    </row>
    <row r="8" spans="1:7" x14ac:dyDescent="0.25">
      <c r="A8" s="271" t="s">
        <v>628</v>
      </c>
      <c r="B8" s="1264" t="str">
        <f>RESUMEN!C101</f>
        <v>D00243137000</v>
      </c>
      <c r="C8" s="1265"/>
      <c r="D8" s="1177"/>
      <c r="E8" s="1266" t="s">
        <v>629</v>
      </c>
      <c r="F8" s="1267"/>
      <c r="G8" s="280" t="str">
        <f>RESUMEN!U101</f>
        <v>Acta N° 2: Marzo</v>
      </c>
    </row>
    <row r="9" spans="1:7" x14ac:dyDescent="0.25">
      <c r="A9" s="271" t="s">
        <v>630</v>
      </c>
      <c r="B9" s="1283" t="s">
        <v>631</v>
      </c>
      <c r="C9" s="1265"/>
      <c r="D9" s="1177"/>
      <c r="E9" s="1266" t="s">
        <v>632</v>
      </c>
      <c r="F9" s="1267"/>
      <c r="G9" s="1178">
        <f>RESUMEN!H101</f>
        <v>8660642</v>
      </c>
    </row>
    <row r="10" spans="1:7" x14ac:dyDescent="0.25">
      <c r="A10" s="271" t="s">
        <v>633</v>
      </c>
      <c r="B10" s="1283" t="str">
        <f>RESUMEN!D101</f>
        <v xml:space="preserve">EL PEÑÓN </v>
      </c>
      <c r="C10" s="1265"/>
      <c r="D10" s="1177"/>
      <c r="E10" s="1266" t="s">
        <v>634</v>
      </c>
      <c r="F10" s="1267"/>
      <c r="G10" s="1178">
        <f>RESUMEN!R101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RESUMEN!N101</f>
        <v>0</v>
      </c>
      <c r="F19" s="1248"/>
      <c r="G19" s="1177"/>
    </row>
    <row r="20" spans="1:7" ht="27" customHeight="1" x14ac:dyDescent="0.25">
      <c r="A20" s="1177"/>
      <c r="B20" s="1244" t="s">
        <v>1498</v>
      </c>
      <c r="C20" s="1245"/>
      <c r="D20" s="1246"/>
      <c r="E20" s="1247">
        <f>RESUMEN!P101</f>
        <v>0</v>
      </c>
      <c r="F20" s="1248"/>
      <c r="G20" s="1177"/>
    </row>
    <row r="21" spans="1:7" ht="27" customHeight="1" x14ac:dyDescent="0.25">
      <c r="A21" s="1177"/>
      <c r="B21" s="1244" t="s">
        <v>1499</v>
      </c>
      <c r="C21" s="1245"/>
      <c r="D21" s="1246"/>
      <c r="E21" s="1247">
        <f>RESUMEN!Q101</f>
        <v>0</v>
      </c>
      <c r="F21" s="1248"/>
      <c r="G21" s="1177"/>
    </row>
    <row r="22" spans="1:7" x14ac:dyDescent="0.25">
      <c r="A22" s="1177"/>
      <c r="B22" s="1254" t="s">
        <v>64</v>
      </c>
      <c r="C22" s="1254"/>
      <c r="D22" s="1254"/>
      <c r="E22" s="1255">
        <f>RESUMEN!R101</f>
        <v>0</v>
      </c>
      <c r="F22" s="1255"/>
      <c r="G22" s="1177"/>
    </row>
    <row r="23" spans="1:7" x14ac:dyDescent="0.25">
      <c r="A23" s="1177"/>
      <c r="B23" s="1256" t="s">
        <v>66</v>
      </c>
      <c r="C23" s="1256"/>
      <c r="D23" s="1256"/>
      <c r="E23" s="1257">
        <f>RESUMEN!S101</f>
        <v>0</v>
      </c>
      <c r="F23" s="1257"/>
      <c r="G23" s="1177"/>
    </row>
    <row r="24" spans="1:7" x14ac:dyDescent="0.25">
      <c r="A24" s="1177"/>
      <c r="B24" s="1258" t="s">
        <v>1</v>
      </c>
      <c r="C24" s="1258"/>
      <c r="D24" s="1258"/>
      <c r="E24" s="1259">
        <f>RESUMEN!T101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+'OT17-385 EL PEÑÓN '!N49</f>
        <v>ACTA 1</v>
      </c>
      <c r="C28" s="1253">
        <f>+'OT17-385 EL PEÑÓN '!O49</f>
        <v>5235903</v>
      </c>
      <c r="D28" s="1253"/>
      <c r="E28" s="267">
        <f>+'OT17-385 EL PEÑÓN '!P49</f>
        <v>0.60456291808390183</v>
      </c>
      <c r="F28" s="1177"/>
      <c r="G28" s="1177"/>
    </row>
    <row r="29" spans="1:7" x14ac:dyDescent="0.25">
      <c r="A29" s="1177"/>
      <c r="B29" s="280" t="str">
        <f>+'OT17-385 EL PEÑÓN '!N50</f>
        <v>ACTA 2</v>
      </c>
      <c r="C29" s="1253">
        <f>+'OT17-385 EL PEÑÓN '!O50</f>
        <v>0</v>
      </c>
      <c r="D29" s="1253"/>
      <c r="E29" s="267">
        <f>+'OT17-385 EL PEÑÓN '!P50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5235903</v>
      </c>
      <c r="D34" s="1251"/>
      <c r="E34" s="264">
        <f>SUM(E28:E33)</f>
        <v>0.60456291808390183</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RESUMEN!V101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92">
    <tabColor rgb="FF92D050"/>
  </sheetPr>
  <dimension ref="A1:S56"/>
  <sheetViews>
    <sheetView topLeftCell="A22" zoomScale="60" zoomScaleNormal="60" workbookViewId="0">
      <selection activeCell="I32" sqref="I32"/>
    </sheetView>
  </sheetViews>
  <sheetFormatPr baseColWidth="10" defaultColWidth="9.109375" defaultRowHeight="14.4" x14ac:dyDescent="0.3"/>
  <cols>
    <col min="1" max="1" width="13.6640625" style="437" customWidth="1"/>
    <col min="2" max="2" width="23" style="437" customWidth="1"/>
    <col min="3" max="3" width="32.44140625" style="437" customWidth="1"/>
    <col min="4" max="4" width="22.33203125" style="437" bestFit="1" customWidth="1"/>
    <col min="5" max="5" width="13" style="437" customWidth="1"/>
    <col min="6" max="6" width="17.88671875" style="437" bestFit="1" customWidth="1"/>
    <col min="7" max="7" width="17.88671875" style="437" customWidth="1"/>
    <col min="8" max="8" width="17.5546875" style="437" bestFit="1" customWidth="1"/>
    <col min="9" max="9" width="17.5546875" style="437" customWidth="1"/>
    <col min="10" max="10" width="53" style="437" customWidth="1"/>
    <col min="11" max="11" width="17.88671875" style="437" bestFit="1" customWidth="1"/>
    <col min="12" max="12" width="18" style="437" bestFit="1" customWidth="1"/>
    <col min="13" max="13" width="10.88671875" style="437" customWidth="1"/>
    <col min="14" max="14" width="17.88671875" style="437" bestFit="1" customWidth="1"/>
    <col min="15" max="15" width="18" style="437" bestFit="1" customWidth="1"/>
    <col min="16" max="16" width="12.33203125" style="437" bestFit="1" customWidth="1"/>
    <col min="17" max="17" width="17.88671875" style="437" bestFit="1" customWidth="1"/>
    <col min="18" max="18" width="16"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721"/>
      <c r="O1" s="721"/>
      <c r="P1" s="721"/>
      <c r="Q1" s="1328" t="s">
        <v>163</v>
      </c>
      <c r="R1" s="1303"/>
      <c r="S1" s="1304"/>
    </row>
    <row r="2" spans="1:19" ht="13.5" customHeight="1" thickBot="1" x14ac:dyDescent="0.35">
      <c r="A2" s="170"/>
      <c r="B2" s="190"/>
      <c r="C2" s="1310"/>
      <c r="D2" s="1311"/>
      <c r="E2" s="1311"/>
      <c r="F2" s="1311"/>
      <c r="G2" s="1311"/>
      <c r="H2" s="1311"/>
      <c r="I2" s="1311"/>
      <c r="J2" s="1311"/>
      <c r="K2" s="1311"/>
      <c r="L2" s="1311"/>
      <c r="M2" s="1311"/>
      <c r="N2" s="722"/>
      <c r="O2" s="722"/>
      <c r="P2" s="72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312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1631</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1726</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0" t="s">
        <v>1579</v>
      </c>
      <c r="B14" s="1441" t="s">
        <v>210</v>
      </c>
      <c r="C14" s="493" t="s">
        <v>81</v>
      </c>
      <c r="D14" s="493" t="s">
        <v>207</v>
      </c>
      <c r="E14" s="493">
        <v>0</v>
      </c>
      <c r="F14" s="453">
        <v>800905</v>
      </c>
      <c r="G14" s="32">
        <f>+ROUND(F14*1.051,0)</f>
        <v>841751</v>
      </c>
      <c r="H14" s="453">
        <f>ROUND((E14*F14),0)</f>
        <v>0</v>
      </c>
      <c r="I14" s="32">
        <f>+ROUND(G14*E14,0)</f>
        <v>0</v>
      </c>
      <c r="J14" s="1441" t="s">
        <v>813</v>
      </c>
      <c r="K14" s="452">
        <v>0</v>
      </c>
      <c r="L14" s="425">
        <f>ROUND(K14*F14,0)</f>
        <v>0</v>
      </c>
      <c r="M14" s="426">
        <v>0</v>
      </c>
      <c r="N14" s="452">
        <v>0</v>
      </c>
      <c r="O14" s="425">
        <f>ROUND(N14*G14,0)</f>
        <v>0</v>
      </c>
      <c r="P14" s="604">
        <v>0</v>
      </c>
      <c r="Q14" s="450">
        <f>K14+N14</f>
        <v>0</v>
      </c>
      <c r="R14" s="175">
        <f>L14+O14</f>
        <v>0</v>
      </c>
      <c r="S14" s="176">
        <v>0</v>
      </c>
    </row>
    <row r="15" spans="1:19" ht="30" customHeight="1" x14ac:dyDescent="0.3">
      <c r="A15" s="1440"/>
      <c r="B15" s="1441"/>
      <c r="C15" s="493" t="s">
        <v>83</v>
      </c>
      <c r="D15" s="493" t="s">
        <v>208</v>
      </c>
      <c r="E15" s="493">
        <v>0</v>
      </c>
      <c r="F15" s="453">
        <v>2646468</v>
      </c>
      <c r="G15" s="32">
        <f t="shared" ref="G15:G16" si="0">+ROUND(F15*1.051,0)</f>
        <v>2781438</v>
      </c>
      <c r="H15" s="453">
        <f>ROUND((E15*F15),0)</f>
        <v>0</v>
      </c>
      <c r="I15" s="32">
        <f t="shared" ref="I15:I16" si="1">+ROUND(G15*E15,0)</f>
        <v>0</v>
      </c>
      <c r="J15" s="1441"/>
      <c r="K15" s="452">
        <v>0</v>
      </c>
      <c r="L15" s="425">
        <f>ROUND(K15*F15,0)</f>
        <v>0</v>
      </c>
      <c r="M15" s="426">
        <v>0</v>
      </c>
      <c r="N15" s="452">
        <v>0</v>
      </c>
      <c r="O15" s="425">
        <f t="shared" ref="O15:O16" si="2">ROUND(N15*G15,0)</f>
        <v>0</v>
      </c>
      <c r="P15" s="604">
        <v>0</v>
      </c>
      <c r="Q15" s="450">
        <f t="shared" ref="Q15:Q16" si="3">K15+N15</f>
        <v>0</v>
      </c>
      <c r="R15" s="175">
        <f t="shared" ref="R15:R37" si="4">L15+O15</f>
        <v>0</v>
      </c>
      <c r="S15" s="176">
        <v>0</v>
      </c>
    </row>
    <row r="16" spans="1:19" ht="30" customHeight="1" x14ac:dyDescent="0.3">
      <c r="A16" s="1440"/>
      <c r="B16" s="1441"/>
      <c r="C16" s="493" t="s">
        <v>61</v>
      </c>
      <c r="D16" s="493" t="s">
        <v>209</v>
      </c>
      <c r="E16" s="493">
        <v>0.5</v>
      </c>
      <c r="F16" s="453">
        <v>1775919</v>
      </c>
      <c r="G16" s="32">
        <f t="shared" si="0"/>
        <v>1866491</v>
      </c>
      <c r="H16" s="453">
        <f>ROUND((E16*F16),0)</f>
        <v>887960</v>
      </c>
      <c r="I16" s="32">
        <f t="shared" si="1"/>
        <v>933246</v>
      </c>
      <c r="J16" s="1441"/>
      <c r="K16" s="474">
        <v>0.5</v>
      </c>
      <c r="L16" s="429">
        <f>ROUND(K16*F16,0)</f>
        <v>887960</v>
      </c>
      <c r="M16" s="430">
        <f>L16/H16</f>
        <v>1</v>
      </c>
      <c r="N16" s="452">
        <v>0</v>
      </c>
      <c r="O16" s="425">
        <f t="shared" si="2"/>
        <v>0</v>
      </c>
      <c r="P16" s="604">
        <f t="shared" ref="P16:P37" si="5">+O16/I16</f>
        <v>0</v>
      </c>
      <c r="Q16" s="450">
        <f t="shared" si="3"/>
        <v>0.5</v>
      </c>
      <c r="R16" s="175">
        <f t="shared" si="4"/>
        <v>887960</v>
      </c>
      <c r="S16" s="176">
        <f>R16/H16</f>
        <v>1</v>
      </c>
    </row>
    <row r="17" spans="1:19" ht="15" customHeight="1" x14ac:dyDescent="0.3">
      <c r="A17" s="1440"/>
      <c r="B17" s="1441"/>
      <c r="C17" s="459"/>
      <c r="D17" s="459" t="s">
        <v>136</v>
      </c>
      <c r="E17" s="458"/>
      <c r="F17" s="458"/>
      <c r="G17" s="458"/>
      <c r="H17" s="457">
        <f>SUM(H14:H16)</f>
        <v>887960</v>
      </c>
      <c r="I17" s="457">
        <f>SUM(I14:I16)</f>
        <v>933246</v>
      </c>
      <c r="J17" s="1441"/>
      <c r="K17" s="431"/>
      <c r="L17" s="179">
        <f>SUM(L14:L16)</f>
        <v>887960</v>
      </c>
      <c r="M17" s="431">
        <f>L17/H17</f>
        <v>1</v>
      </c>
      <c r="N17" s="431"/>
      <c r="O17" s="179">
        <f>SUM(O14:O16)</f>
        <v>0</v>
      </c>
      <c r="P17" s="1100">
        <f t="shared" si="5"/>
        <v>0</v>
      </c>
      <c r="Q17" s="1101"/>
      <c r="R17" s="1078">
        <f t="shared" si="4"/>
        <v>887960</v>
      </c>
      <c r="S17" s="431">
        <f>R17/H17</f>
        <v>1</v>
      </c>
    </row>
    <row r="18" spans="1:19" ht="30" customHeight="1" x14ac:dyDescent="0.3">
      <c r="A18" s="1440" t="s">
        <v>1622</v>
      </c>
      <c r="B18" s="1441" t="s">
        <v>170</v>
      </c>
      <c r="C18" s="493" t="s">
        <v>83</v>
      </c>
      <c r="D18" s="493" t="s">
        <v>123</v>
      </c>
      <c r="E18" s="493">
        <v>0</v>
      </c>
      <c r="F18" s="453">
        <v>1044658</v>
      </c>
      <c r="G18" s="32">
        <f t="shared" ref="G18:G19" si="6">+ROUND(F18*1.051,0)</f>
        <v>1097936</v>
      </c>
      <c r="H18" s="453">
        <f>ROUND((E18*F18),0)</f>
        <v>0</v>
      </c>
      <c r="I18" s="32">
        <f t="shared" ref="I18:I19" si="7">+ROUND(G18*E18,0)</f>
        <v>0</v>
      </c>
      <c r="J18" s="1441" t="s">
        <v>1546</v>
      </c>
      <c r="K18" s="452">
        <v>0</v>
      </c>
      <c r="L18" s="425">
        <f>ROUND(K18*F18,0)</f>
        <v>0</v>
      </c>
      <c r="M18" s="426">
        <v>0</v>
      </c>
      <c r="N18" s="452">
        <v>0</v>
      </c>
      <c r="O18" s="425">
        <f t="shared" ref="O18:O19" si="8">ROUND(N18*G18,0)</f>
        <v>0</v>
      </c>
      <c r="P18" s="604">
        <v>0</v>
      </c>
      <c r="Q18" s="450">
        <f t="shared" ref="Q18:Q19" si="9">K18+N18</f>
        <v>0</v>
      </c>
      <c r="R18" s="175">
        <f t="shared" si="4"/>
        <v>0</v>
      </c>
      <c r="S18" s="176">
        <v>0</v>
      </c>
    </row>
    <row r="19" spans="1:19" ht="30" customHeight="1" x14ac:dyDescent="0.3">
      <c r="A19" s="1440"/>
      <c r="B19" s="1441"/>
      <c r="C19" s="493" t="s">
        <v>61</v>
      </c>
      <c r="D19" s="493" t="s">
        <v>125</v>
      </c>
      <c r="E19" s="493">
        <v>0.7</v>
      </c>
      <c r="F19" s="453">
        <v>1009836</v>
      </c>
      <c r="G19" s="32">
        <f t="shared" si="6"/>
        <v>1061338</v>
      </c>
      <c r="H19" s="453">
        <f>ROUND((E19*F19),0)</f>
        <v>706885</v>
      </c>
      <c r="I19" s="32">
        <f t="shared" si="7"/>
        <v>742937</v>
      </c>
      <c r="J19" s="1441"/>
      <c r="K19" s="612">
        <v>0.7</v>
      </c>
      <c r="L19" s="429">
        <f>ROUND(K19*F19,0)</f>
        <v>706885</v>
      </c>
      <c r="M19" s="430">
        <f>L19/H19</f>
        <v>1</v>
      </c>
      <c r="N19" s="452">
        <v>0</v>
      </c>
      <c r="O19" s="425">
        <f t="shared" si="8"/>
        <v>0</v>
      </c>
      <c r="P19" s="604">
        <f t="shared" si="5"/>
        <v>0</v>
      </c>
      <c r="Q19" s="450">
        <f t="shared" si="9"/>
        <v>0.7</v>
      </c>
      <c r="R19" s="175">
        <f t="shared" si="4"/>
        <v>706885</v>
      </c>
      <c r="S19" s="176">
        <f>R19/H19</f>
        <v>1</v>
      </c>
    </row>
    <row r="20" spans="1:19" ht="15" customHeight="1" x14ac:dyDescent="0.3">
      <c r="A20" s="1440"/>
      <c r="B20" s="1441"/>
      <c r="C20" s="459"/>
      <c r="D20" s="459" t="s">
        <v>126</v>
      </c>
      <c r="E20" s="458"/>
      <c r="F20" s="458"/>
      <c r="G20" s="458"/>
      <c r="H20" s="457">
        <f>SUM(H18:H19)</f>
        <v>706885</v>
      </c>
      <c r="I20" s="457">
        <f>SUM(I18:I19)</f>
        <v>742937</v>
      </c>
      <c r="J20" s="1441"/>
      <c r="K20" s="431"/>
      <c r="L20" s="179">
        <f>SUM(L18:L19)</f>
        <v>706885</v>
      </c>
      <c r="M20" s="431">
        <f>L20/H20</f>
        <v>1</v>
      </c>
      <c r="N20" s="431"/>
      <c r="O20" s="179">
        <f>SUM(O18:O19)</f>
        <v>0</v>
      </c>
      <c r="P20" s="1100">
        <f t="shared" si="5"/>
        <v>0</v>
      </c>
      <c r="Q20" s="1101"/>
      <c r="R20" s="1078">
        <f t="shared" si="4"/>
        <v>706885</v>
      </c>
      <c r="S20" s="431">
        <f>R20/H20</f>
        <v>1</v>
      </c>
    </row>
    <row r="21" spans="1:19" ht="30" customHeight="1" x14ac:dyDescent="0.3">
      <c r="A21" s="1440" t="s">
        <v>1622</v>
      </c>
      <c r="B21" s="1441" t="s">
        <v>282</v>
      </c>
      <c r="C21" s="493" t="s">
        <v>81</v>
      </c>
      <c r="D21" s="493" t="s">
        <v>105</v>
      </c>
      <c r="E21" s="493">
        <v>0</v>
      </c>
      <c r="F21" s="453">
        <v>417863</v>
      </c>
      <c r="G21" s="32">
        <f t="shared" ref="G21:G22" si="10">+ROUND(F21*1.051,0)</f>
        <v>439174</v>
      </c>
      <c r="H21" s="453">
        <f>ROUND((E21*F21),0)</f>
        <v>0</v>
      </c>
      <c r="I21" s="32">
        <f t="shared" ref="I21:I22" si="11">+ROUND(G21*E21,0)</f>
        <v>0</v>
      </c>
      <c r="J21" s="1442" t="s">
        <v>1630</v>
      </c>
      <c r="K21" s="452">
        <v>0</v>
      </c>
      <c r="L21" s="425">
        <f>ROUND(K21*F21,0)</f>
        <v>0</v>
      </c>
      <c r="M21" s="426">
        <v>0</v>
      </c>
      <c r="N21" s="452">
        <v>0</v>
      </c>
      <c r="O21" s="425">
        <f t="shared" ref="O21:O22" si="12">ROUND(N21*G21,0)</f>
        <v>0</v>
      </c>
      <c r="P21" s="604">
        <v>0</v>
      </c>
      <c r="Q21" s="450">
        <f t="shared" ref="Q21:Q22" si="13">K21+N21</f>
        <v>0</v>
      </c>
      <c r="R21" s="175">
        <f t="shared" si="4"/>
        <v>0</v>
      </c>
      <c r="S21" s="176">
        <v>0</v>
      </c>
    </row>
    <row r="22" spans="1:19" ht="30" customHeight="1" x14ac:dyDescent="0.3">
      <c r="A22" s="1440"/>
      <c r="B22" s="1441"/>
      <c r="C22" s="493" t="s">
        <v>83</v>
      </c>
      <c r="D22" s="493" t="s">
        <v>107</v>
      </c>
      <c r="E22" s="493">
        <v>8.4000000000000005E-2</v>
      </c>
      <c r="F22" s="453">
        <v>1845563</v>
      </c>
      <c r="G22" s="32">
        <f t="shared" si="10"/>
        <v>1939687</v>
      </c>
      <c r="H22" s="453">
        <f>ROUND((E22*F22),0)</f>
        <v>155027</v>
      </c>
      <c r="I22" s="32">
        <f t="shared" si="11"/>
        <v>162934</v>
      </c>
      <c r="J22" s="1441"/>
      <c r="K22" s="452">
        <v>0</v>
      </c>
      <c r="L22" s="425">
        <f>ROUND(K22*F22,0)</f>
        <v>0</v>
      </c>
      <c r="M22" s="426">
        <f>L22/H22</f>
        <v>0</v>
      </c>
      <c r="N22" s="452">
        <v>0</v>
      </c>
      <c r="O22" s="425">
        <f t="shared" si="12"/>
        <v>0</v>
      </c>
      <c r="P22" s="604">
        <f t="shared" si="5"/>
        <v>0</v>
      </c>
      <c r="Q22" s="450">
        <f t="shared" si="13"/>
        <v>0</v>
      </c>
      <c r="R22" s="175">
        <f t="shared" si="4"/>
        <v>0</v>
      </c>
      <c r="S22" s="176">
        <f>R22/H22</f>
        <v>0</v>
      </c>
    </row>
    <row r="23" spans="1:19" ht="15" customHeight="1" x14ac:dyDescent="0.3">
      <c r="A23" s="1440"/>
      <c r="B23" s="1441"/>
      <c r="C23" s="459"/>
      <c r="D23" s="459" t="s">
        <v>108</v>
      </c>
      <c r="E23" s="458"/>
      <c r="F23" s="458"/>
      <c r="G23" s="458"/>
      <c r="H23" s="457">
        <f>SUM(H21:H22)</f>
        <v>155027</v>
      </c>
      <c r="I23" s="457">
        <f>SUM(I21:I22)</f>
        <v>162934</v>
      </c>
      <c r="J23" s="1441"/>
      <c r="K23" s="431"/>
      <c r="L23" s="179">
        <f>SUM(L21:L22)</f>
        <v>0</v>
      </c>
      <c r="M23" s="431">
        <f>L23/H23</f>
        <v>0</v>
      </c>
      <c r="N23" s="431"/>
      <c r="O23" s="179">
        <f>SUM(O21:O22)</f>
        <v>0</v>
      </c>
      <c r="P23" s="1100">
        <f t="shared" si="5"/>
        <v>0</v>
      </c>
      <c r="Q23" s="1101"/>
      <c r="R23" s="1078">
        <f t="shared" si="4"/>
        <v>0</v>
      </c>
      <c r="S23" s="431">
        <f>R23/H23</f>
        <v>0</v>
      </c>
    </row>
    <row r="24" spans="1:19" ht="30" customHeight="1" x14ac:dyDescent="0.3">
      <c r="A24" s="1440" t="s">
        <v>1186</v>
      </c>
      <c r="B24" s="1441" t="s">
        <v>282</v>
      </c>
      <c r="C24" s="493" t="s">
        <v>81</v>
      </c>
      <c r="D24" s="493" t="s">
        <v>105</v>
      </c>
      <c r="E24" s="493">
        <v>0.7</v>
      </c>
      <c r="F24" s="453">
        <v>417863</v>
      </c>
      <c r="G24" s="32">
        <f t="shared" ref="G24:G25" si="14">+ROUND(F24*1.051,0)</f>
        <v>439174</v>
      </c>
      <c r="H24" s="453">
        <f>ROUND((E24*F24),0)</f>
        <v>292504</v>
      </c>
      <c r="I24" s="32">
        <f t="shared" ref="I24:I25" si="15">+ROUND(G24*E24,0)</f>
        <v>307422</v>
      </c>
      <c r="J24" s="1441" t="s">
        <v>1620</v>
      </c>
      <c r="K24" s="474">
        <f>0.7*70%</f>
        <v>0.48999999999999994</v>
      </c>
      <c r="L24" s="429">
        <f>ROUND(K24*F24,0)</f>
        <v>204753</v>
      </c>
      <c r="M24" s="430">
        <f>L24/H24</f>
        <v>0.70000068375133329</v>
      </c>
      <c r="N24" s="452">
        <v>0</v>
      </c>
      <c r="O24" s="425">
        <f t="shared" ref="O24:O25" si="16">ROUND(N24*G24,0)</f>
        <v>0</v>
      </c>
      <c r="P24" s="604">
        <f t="shared" si="5"/>
        <v>0</v>
      </c>
      <c r="Q24" s="450">
        <f t="shared" ref="Q24:Q25" si="17">K24+N24</f>
        <v>0.48999999999999994</v>
      </c>
      <c r="R24" s="175">
        <f t="shared" si="4"/>
        <v>204753</v>
      </c>
      <c r="S24" s="176">
        <f>R24/H24</f>
        <v>0.70000068375133329</v>
      </c>
    </row>
    <row r="25" spans="1:19" ht="30" customHeight="1" x14ac:dyDescent="0.3">
      <c r="A25" s="1440"/>
      <c r="B25" s="1441"/>
      <c r="C25" s="493" t="s">
        <v>83</v>
      </c>
      <c r="D25" s="493" t="s">
        <v>107</v>
      </c>
      <c r="E25" s="493">
        <v>0</v>
      </c>
      <c r="F25" s="453">
        <v>1845563</v>
      </c>
      <c r="G25" s="32">
        <f t="shared" si="14"/>
        <v>1939687</v>
      </c>
      <c r="H25" s="453">
        <f>ROUND((E25*F25),0)</f>
        <v>0</v>
      </c>
      <c r="I25" s="32">
        <f t="shared" si="15"/>
        <v>0</v>
      </c>
      <c r="J25" s="1441"/>
      <c r="K25" s="452">
        <v>0</v>
      </c>
      <c r="L25" s="425">
        <f>ROUND(K25*F25,0)</f>
        <v>0</v>
      </c>
      <c r="M25" s="426">
        <v>0</v>
      </c>
      <c r="N25" s="452">
        <v>0</v>
      </c>
      <c r="O25" s="425">
        <f t="shared" si="16"/>
        <v>0</v>
      </c>
      <c r="P25" s="604">
        <v>0</v>
      </c>
      <c r="Q25" s="450">
        <f t="shared" si="17"/>
        <v>0</v>
      </c>
      <c r="R25" s="175">
        <f t="shared" si="4"/>
        <v>0</v>
      </c>
      <c r="S25" s="176">
        <v>0</v>
      </c>
    </row>
    <row r="26" spans="1:19" ht="15" customHeight="1" x14ac:dyDescent="0.3">
      <c r="A26" s="1440"/>
      <c r="B26" s="1441"/>
      <c r="C26" s="459"/>
      <c r="D26" s="459" t="s">
        <v>108</v>
      </c>
      <c r="E26" s="458"/>
      <c r="F26" s="458"/>
      <c r="G26" s="458"/>
      <c r="H26" s="457">
        <f>SUM(H24:H25)</f>
        <v>292504</v>
      </c>
      <c r="I26" s="457">
        <f>SUM(I24:I25)</f>
        <v>307422</v>
      </c>
      <c r="J26" s="1441"/>
      <c r="K26" s="431"/>
      <c r="L26" s="179">
        <f>SUM(L24:L25)</f>
        <v>204753</v>
      </c>
      <c r="M26" s="431">
        <f>L26/H26</f>
        <v>0.70000068375133329</v>
      </c>
      <c r="N26" s="431"/>
      <c r="O26" s="179">
        <f>SUM(O24:O25)</f>
        <v>0</v>
      </c>
      <c r="P26" s="1100">
        <f t="shared" si="5"/>
        <v>0</v>
      </c>
      <c r="Q26" s="1101"/>
      <c r="R26" s="1078">
        <f t="shared" si="4"/>
        <v>204753</v>
      </c>
      <c r="S26" s="431">
        <f>R26/H26</f>
        <v>0.70000068375133329</v>
      </c>
    </row>
    <row r="27" spans="1:19" ht="30" customHeight="1" x14ac:dyDescent="0.3">
      <c r="A27" s="1440" t="s">
        <v>1186</v>
      </c>
      <c r="B27" s="1441" t="s">
        <v>194</v>
      </c>
      <c r="C27" s="493" t="s">
        <v>160</v>
      </c>
      <c r="D27" s="493" t="s">
        <v>161</v>
      </c>
      <c r="E27" s="493">
        <v>48</v>
      </c>
      <c r="F27" s="453">
        <v>69644</v>
      </c>
      <c r="G27" s="32">
        <f>+ROUND(F27*1.051,0)</f>
        <v>73196</v>
      </c>
      <c r="H27" s="453">
        <f>ROUND((E27*F27),0)</f>
        <v>3342912</v>
      </c>
      <c r="I27" s="32">
        <f>+ROUND(G27*E27,0)</f>
        <v>3513408</v>
      </c>
      <c r="J27" s="1442" t="s">
        <v>1619</v>
      </c>
      <c r="K27" s="474">
        <f>24*70%</f>
        <v>16.799999999999997</v>
      </c>
      <c r="L27" s="429">
        <f>ROUND(K27*F27,0)</f>
        <v>1170019</v>
      </c>
      <c r="M27" s="430">
        <f>L27/H27</f>
        <v>0.34999994017192199</v>
      </c>
      <c r="N27" s="452">
        <v>0</v>
      </c>
      <c r="O27" s="425">
        <f>ROUND(N27*G27,0)</f>
        <v>0</v>
      </c>
      <c r="P27" s="604">
        <f t="shared" si="5"/>
        <v>0</v>
      </c>
      <c r="Q27" s="450">
        <f>K27+N27</f>
        <v>16.799999999999997</v>
      </c>
      <c r="R27" s="175">
        <f t="shared" si="4"/>
        <v>1170019</v>
      </c>
      <c r="S27" s="176">
        <f>R27/H27</f>
        <v>0.34999994017192199</v>
      </c>
    </row>
    <row r="28" spans="1:19" ht="15" customHeight="1" x14ac:dyDescent="0.3">
      <c r="A28" s="1440"/>
      <c r="B28" s="1441"/>
      <c r="C28" s="459"/>
      <c r="D28" s="459" t="s">
        <v>162</v>
      </c>
      <c r="E28" s="458"/>
      <c r="F28" s="458"/>
      <c r="G28" s="458"/>
      <c r="H28" s="457">
        <f>H27</f>
        <v>3342912</v>
      </c>
      <c r="I28" s="457">
        <f>SUM(I27)</f>
        <v>3513408</v>
      </c>
      <c r="J28" s="1441"/>
      <c r="K28" s="431"/>
      <c r="L28" s="179">
        <f>L27</f>
        <v>1170019</v>
      </c>
      <c r="M28" s="431">
        <f>L28/H28</f>
        <v>0.34999994017192199</v>
      </c>
      <c r="N28" s="431"/>
      <c r="O28" s="179">
        <f>O27</f>
        <v>0</v>
      </c>
      <c r="P28" s="1100">
        <f t="shared" si="5"/>
        <v>0</v>
      </c>
      <c r="Q28" s="1101"/>
      <c r="R28" s="1078">
        <f t="shared" si="4"/>
        <v>1170019</v>
      </c>
      <c r="S28" s="431">
        <f>R28/H28</f>
        <v>0.34999994017192199</v>
      </c>
    </row>
    <row r="29" spans="1:19" ht="30" customHeight="1" x14ac:dyDescent="0.3">
      <c r="A29" s="1440" t="s">
        <v>1186</v>
      </c>
      <c r="B29" s="1441" t="s">
        <v>194</v>
      </c>
      <c r="C29" s="493" t="s">
        <v>160</v>
      </c>
      <c r="D29" s="493" t="s">
        <v>161</v>
      </c>
      <c r="E29" s="493">
        <v>24</v>
      </c>
      <c r="F29" s="453">
        <v>69644</v>
      </c>
      <c r="G29" s="32">
        <f>+ROUND(F29*1.051,0)</f>
        <v>73196</v>
      </c>
      <c r="H29" s="453">
        <f>ROUND((E29*F29),0)</f>
        <v>1671456</v>
      </c>
      <c r="I29" s="32">
        <f>+ROUND(G29*E29,0)</f>
        <v>1756704</v>
      </c>
      <c r="J29" s="1442" t="s">
        <v>1618</v>
      </c>
      <c r="K29" s="474">
        <f>12*70%</f>
        <v>8.3999999999999986</v>
      </c>
      <c r="L29" s="429">
        <f>ROUND(K29*F29,0)</f>
        <v>585010</v>
      </c>
      <c r="M29" s="430">
        <f>L29/H29</f>
        <v>0.35000023931231217</v>
      </c>
      <c r="N29" s="452">
        <v>0</v>
      </c>
      <c r="O29" s="425">
        <f>ROUND(N29*G29,0)</f>
        <v>0</v>
      </c>
      <c r="P29" s="604">
        <f t="shared" si="5"/>
        <v>0</v>
      </c>
      <c r="Q29" s="450">
        <f>K29+N29</f>
        <v>8.3999999999999986</v>
      </c>
      <c r="R29" s="175">
        <f t="shared" si="4"/>
        <v>585010</v>
      </c>
      <c r="S29" s="176">
        <f>R29/H29</f>
        <v>0.35000023931231217</v>
      </c>
    </row>
    <row r="30" spans="1:19" ht="15" customHeight="1" x14ac:dyDescent="0.3">
      <c r="A30" s="1440"/>
      <c r="B30" s="1441"/>
      <c r="C30" s="459"/>
      <c r="D30" s="459" t="s">
        <v>162</v>
      </c>
      <c r="E30" s="458"/>
      <c r="F30" s="458"/>
      <c r="G30" s="458"/>
      <c r="H30" s="457">
        <f>H29</f>
        <v>1671456</v>
      </c>
      <c r="I30" s="457">
        <f>SUM(I29)</f>
        <v>1756704</v>
      </c>
      <c r="J30" s="1441"/>
      <c r="K30" s="431"/>
      <c r="L30" s="179">
        <f>L29</f>
        <v>585010</v>
      </c>
      <c r="M30" s="431">
        <f>L30/H30</f>
        <v>0.35000023931231217</v>
      </c>
      <c r="N30" s="431"/>
      <c r="O30" s="179">
        <f>O29</f>
        <v>0</v>
      </c>
      <c r="P30" s="1100">
        <f t="shared" si="5"/>
        <v>0</v>
      </c>
      <c r="Q30" s="1101"/>
      <c r="R30" s="1078">
        <f t="shared" si="4"/>
        <v>585010</v>
      </c>
      <c r="S30" s="431">
        <f>R30/H30</f>
        <v>0.35000023931231217</v>
      </c>
    </row>
    <row r="31" spans="1:19" ht="30" customHeight="1" x14ac:dyDescent="0.3">
      <c r="A31" s="1440" t="s">
        <v>1578</v>
      </c>
      <c r="B31" s="1441" t="s">
        <v>211</v>
      </c>
      <c r="C31" s="493" t="s">
        <v>81</v>
      </c>
      <c r="D31" s="493" t="s">
        <v>212</v>
      </c>
      <c r="E31" s="493">
        <v>0</v>
      </c>
      <c r="F31" s="453">
        <v>800905</v>
      </c>
      <c r="G31" s="32">
        <f t="shared" ref="G31:G33" si="18">+ROUND(F31*1.051,0)</f>
        <v>841751</v>
      </c>
      <c r="H31" s="453">
        <f>ROUND((E31*F31),0)</f>
        <v>0</v>
      </c>
      <c r="I31" s="32">
        <f t="shared" ref="I31:I32" si="19">+ROUND(G31*E31,0)</f>
        <v>0</v>
      </c>
      <c r="J31" s="1442" t="s">
        <v>1626</v>
      </c>
      <c r="K31" s="452">
        <v>0</v>
      </c>
      <c r="L31" s="425">
        <f>ROUND(K31*F31,0)</f>
        <v>0</v>
      </c>
      <c r="M31" s="426">
        <v>0</v>
      </c>
      <c r="N31" s="452">
        <v>0</v>
      </c>
      <c r="O31" s="425">
        <f t="shared" ref="O31:O33" si="20">ROUND(N31*G31,0)</f>
        <v>0</v>
      </c>
      <c r="P31" s="604">
        <v>0</v>
      </c>
      <c r="Q31" s="450">
        <f t="shared" ref="Q31:Q32" si="21">K31+N31</f>
        <v>0</v>
      </c>
      <c r="R31" s="175">
        <f t="shared" si="4"/>
        <v>0</v>
      </c>
      <c r="S31" s="176">
        <v>0</v>
      </c>
    </row>
    <row r="32" spans="1:19" ht="30" customHeight="1" x14ac:dyDescent="0.3">
      <c r="A32" s="1440"/>
      <c r="B32" s="1441"/>
      <c r="C32" s="493" t="s">
        <v>83</v>
      </c>
      <c r="D32" s="493" t="s">
        <v>213</v>
      </c>
      <c r="E32" s="493">
        <v>0</v>
      </c>
      <c r="F32" s="453">
        <v>2646468</v>
      </c>
      <c r="G32" s="32">
        <f t="shared" si="18"/>
        <v>2781438</v>
      </c>
      <c r="H32" s="453">
        <f>ROUND((E32*F32),0)</f>
        <v>0</v>
      </c>
      <c r="I32" s="32">
        <f t="shared" si="19"/>
        <v>0</v>
      </c>
      <c r="J32" s="1441"/>
      <c r="K32" s="452">
        <v>0</v>
      </c>
      <c r="L32" s="425">
        <f>ROUND(K32*F32,0)</f>
        <v>0</v>
      </c>
      <c r="M32" s="426">
        <v>0</v>
      </c>
      <c r="N32" s="452">
        <v>0</v>
      </c>
      <c r="O32" s="425">
        <f t="shared" si="20"/>
        <v>0</v>
      </c>
      <c r="P32" s="604">
        <v>0</v>
      </c>
      <c r="Q32" s="450">
        <f t="shared" si="21"/>
        <v>0</v>
      </c>
      <c r="R32" s="175">
        <f t="shared" si="4"/>
        <v>0</v>
      </c>
      <c r="S32" s="176">
        <v>0</v>
      </c>
    </row>
    <row r="33" spans="1:19" ht="30" customHeight="1" x14ac:dyDescent="0.3">
      <c r="A33" s="1440"/>
      <c r="B33" s="1441"/>
      <c r="C33" s="493" t="s">
        <v>61</v>
      </c>
      <c r="D33" s="493" t="s">
        <v>214</v>
      </c>
      <c r="E33" s="493">
        <v>0.40250000000000002</v>
      </c>
      <c r="F33" s="453">
        <v>2228604</v>
      </c>
      <c r="G33" s="32">
        <f t="shared" si="18"/>
        <v>2342263</v>
      </c>
      <c r="H33" s="453">
        <f>ROUND((E33*F33),0)</f>
        <v>897013</v>
      </c>
      <c r="I33" s="32">
        <f>+ROUND(G33*E33,0)</f>
        <v>942761</v>
      </c>
      <c r="J33" s="1441"/>
      <c r="K33" s="538">
        <v>0.40250000000000002</v>
      </c>
      <c r="L33" s="429">
        <f>ROUND(K33*F33,0)</f>
        <v>897013</v>
      </c>
      <c r="M33" s="430">
        <f>L33/H33</f>
        <v>1</v>
      </c>
      <c r="N33" s="452">
        <v>0</v>
      </c>
      <c r="O33" s="425">
        <f t="shared" si="20"/>
        <v>0</v>
      </c>
      <c r="P33" s="604">
        <f t="shared" si="5"/>
        <v>0</v>
      </c>
      <c r="Q33" s="450">
        <f>K33+N33</f>
        <v>0.40250000000000002</v>
      </c>
      <c r="R33" s="175">
        <f t="shared" si="4"/>
        <v>897013</v>
      </c>
      <c r="S33" s="176">
        <f>R33/H33</f>
        <v>1</v>
      </c>
    </row>
    <row r="34" spans="1:19" ht="15" customHeight="1" x14ac:dyDescent="0.3">
      <c r="A34" s="1440"/>
      <c r="B34" s="1441"/>
      <c r="C34" s="459"/>
      <c r="D34" s="459" t="s">
        <v>215</v>
      </c>
      <c r="E34" s="458"/>
      <c r="F34" s="458"/>
      <c r="G34" s="458"/>
      <c r="H34" s="457">
        <f>SUM(H31:H33)</f>
        <v>897013</v>
      </c>
      <c r="I34" s="457">
        <f>SUM(I31:I33)</f>
        <v>942761</v>
      </c>
      <c r="J34" s="1441"/>
      <c r="K34" s="431"/>
      <c r="L34" s="179">
        <f>SUM(L31:L33)</f>
        <v>897013</v>
      </c>
      <c r="M34" s="431">
        <f>L34/H34</f>
        <v>1</v>
      </c>
      <c r="N34" s="431"/>
      <c r="O34" s="179">
        <f>SUM(O31:O33)</f>
        <v>0</v>
      </c>
      <c r="P34" s="1100">
        <f t="shared" si="5"/>
        <v>0</v>
      </c>
      <c r="Q34" s="1101"/>
      <c r="R34" s="1078">
        <f t="shared" si="4"/>
        <v>897013</v>
      </c>
      <c r="S34" s="431">
        <f>R34/H34</f>
        <v>1</v>
      </c>
    </row>
    <row r="35" spans="1:19" ht="30" customHeight="1" x14ac:dyDescent="0.3">
      <c r="A35" s="1440" t="s">
        <v>1578</v>
      </c>
      <c r="B35" s="1441" t="s">
        <v>170</v>
      </c>
      <c r="C35" s="493" t="s">
        <v>83</v>
      </c>
      <c r="D35" s="493" t="s">
        <v>123</v>
      </c>
      <c r="E35" s="493">
        <v>0</v>
      </c>
      <c r="F35" s="453">
        <v>1044658</v>
      </c>
      <c r="G35" s="32">
        <f t="shared" ref="G35:G36" si="22">+ROUND(F35*1.051,0)</f>
        <v>1097936</v>
      </c>
      <c r="H35" s="453">
        <f>ROUND((E35*F35),0)</f>
        <v>0</v>
      </c>
      <c r="I35" s="32">
        <f t="shared" ref="I35:I36" si="23">+ROUND(G35*E35,0)</f>
        <v>0</v>
      </c>
      <c r="J35" s="1441" t="s">
        <v>1539</v>
      </c>
      <c r="K35" s="452">
        <v>0</v>
      </c>
      <c r="L35" s="425">
        <f>ROUND(K35*F35,0)</f>
        <v>0</v>
      </c>
      <c r="M35" s="426">
        <v>0</v>
      </c>
      <c r="N35" s="452">
        <v>0</v>
      </c>
      <c r="O35" s="425">
        <f t="shared" ref="O35:O36" si="24">ROUND(N35*G35,0)</f>
        <v>0</v>
      </c>
      <c r="P35" s="604">
        <v>0</v>
      </c>
      <c r="Q35" s="450">
        <f t="shared" ref="Q35:Q36" si="25">K35+N35</f>
        <v>0</v>
      </c>
      <c r="R35" s="175">
        <f t="shared" si="4"/>
        <v>0</v>
      </c>
      <c r="S35" s="176">
        <v>0</v>
      </c>
    </row>
    <row r="36" spans="1:19" ht="30" customHeight="1" x14ac:dyDescent="0.3">
      <c r="A36" s="1440"/>
      <c r="B36" s="1441"/>
      <c r="C36" s="493" t="s">
        <v>61</v>
      </c>
      <c r="D36" s="493" t="s">
        <v>125</v>
      </c>
      <c r="E36" s="493">
        <v>0.7</v>
      </c>
      <c r="F36" s="453">
        <v>1009836</v>
      </c>
      <c r="G36" s="32">
        <f t="shared" si="22"/>
        <v>1061338</v>
      </c>
      <c r="H36" s="453">
        <f>ROUND((E36*F36),0)</f>
        <v>706885</v>
      </c>
      <c r="I36" s="32">
        <f t="shared" si="23"/>
        <v>742937</v>
      </c>
      <c r="J36" s="1441"/>
      <c r="K36" s="474">
        <v>0.7</v>
      </c>
      <c r="L36" s="429">
        <f>ROUND(K36*F36,0)</f>
        <v>706885</v>
      </c>
      <c r="M36" s="430">
        <f>L36/H36</f>
        <v>1</v>
      </c>
      <c r="N36" s="452">
        <v>0</v>
      </c>
      <c r="O36" s="425">
        <f t="shared" si="24"/>
        <v>0</v>
      </c>
      <c r="P36" s="604">
        <f t="shared" si="5"/>
        <v>0</v>
      </c>
      <c r="Q36" s="450">
        <f t="shared" si="25"/>
        <v>0.7</v>
      </c>
      <c r="R36" s="175">
        <f t="shared" si="4"/>
        <v>706885</v>
      </c>
      <c r="S36" s="176">
        <f>R36/H36</f>
        <v>1</v>
      </c>
    </row>
    <row r="37" spans="1:19" ht="15" customHeight="1" x14ac:dyDescent="0.3">
      <c r="A37" s="1440"/>
      <c r="B37" s="1441"/>
      <c r="C37" s="459"/>
      <c r="D37" s="459" t="s">
        <v>126</v>
      </c>
      <c r="E37" s="458"/>
      <c r="F37" s="458"/>
      <c r="G37" s="458"/>
      <c r="H37" s="457">
        <f>SUM(H35:H36)</f>
        <v>706885</v>
      </c>
      <c r="I37" s="457">
        <f>SUM(I35:I36)</f>
        <v>742937</v>
      </c>
      <c r="J37" s="1441"/>
      <c r="K37" s="431"/>
      <c r="L37" s="179">
        <f>SUM(L35:L36)</f>
        <v>706885</v>
      </c>
      <c r="M37" s="431">
        <f>L37/H37</f>
        <v>1</v>
      </c>
      <c r="N37" s="431"/>
      <c r="O37" s="179">
        <f>SUM(O35:O36)</f>
        <v>0</v>
      </c>
      <c r="P37" s="1100">
        <f t="shared" si="5"/>
        <v>0</v>
      </c>
      <c r="Q37" s="1101"/>
      <c r="R37" s="1078">
        <f t="shared" si="4"/>
        <v>706885</v>
      </c>
      <c r="S37" s="431">
        <f>R37/H37</f>
        <v>1</v>
      </c>
    </row>
    <row r="38" spans="1:19" x14ac:dyDescent="0.3">
      <c r="F38" s="445" t="s">
        <v>64</v>
      </c>
      <c r="G38" s="445"/>
      <c r="H38" s="340">
        <f>SUM(H14:H37)/2</f>
        <v>8660642</v>
      </c>
      <c r="I38" s="340">
        <f>SUM(I14:I37)/2</f>
        <v>9102349</v>
      </c>
      <c r="K38" s="547" t="s">
        <v>64</v>
      </c>
      <c r="L38" s="550">
        <f>SUM(L14:L37)/2</f>
        <v>5158525</v>
      </c>
      <c r="N38" s="547" t="s">
        <v>64</v>
      </c>
      <c r="O38" s="550">
        <f>SUM(O14:O37)/2</f>
        <v>0</v>
      </c>
      <c r="Q38" s="547" t="s">
        <v>64</v>
      </c>
      <c r="R38" s="550">
        <f>SUM(R14:R37)/2</f>
        <v>5158525</v>
      </c>
    </row>
    <row r="39" spans="1:19" x14ac:dyDescent="0.3">
      <c r="F39" s="444" t="s">
        <v>65</v>
      </c>
      <c r="G39" s="444"/>
      <c r="H39" s="181">
        <v>0</v>
      </c>
      <c r="I39" s="181">
        <v>0</v>
      </c>
      <c r="K39" s="548" t="s">
        <v>65</v>
      </c>
      <c r="L39" s="481">
        <v>0</v>
      </c>
      <c r="N39" s="548" t="s">
        <v>65</v>
      </c>
      <c r="O39" s="481">
        <v>0</v>
      </c>
      <c r="Q39" s="548" t="s">
        <v>65</v>
      </c>
      <c r="R39" s="481">
        <v>0</v>
      </c>
    </row>
    <row r="40" spans="1:19" x14ac:dyDescent="0.3">
      <c r="F40" s="443" t="s">
        <v>64</v>
      </c>
      <c r="G40" s="443"/>
      <c r="H40" s="340">
        <f>SUM(H38:H39)</f>
        <v>8660642</v>
      </c>
      <c r="I40" s="340">
        <f>SUM(I38:I39)</f>
        <v>9102349</v>
      </c>
      <c r="K40" s="549" t="s">
        <v>64</v>
      </c>
      <c r="L40" s="550">
        <f>SUM(L38:L39)</f>
        <v>5158525</v>
      </c>
      <c r="N40" s="549" t="s">
        <v>64</v>
      </c>
      <c r="O40" s="550">
        <f>SUM(O38:O39)</f>
        <v>0</v>
      </c>
      <c r="Q40" s="549" t="s">
        <v>64</v>
      </c>
      <c r="R40" s="550">
        <f>SUM(R38:R39)</f>
        <v>5158525</v>
      </c>
    </row>
    <row r="41" spans="1:19" ht="26.4" x14ac:dyDescent="0.3">
      <c r="F41" s="443"/>
      <c r="G41" s="443"/>
      <c r="H41" s="340"/>
      <c r="I41" s="340"/>
      <c r="K41" s="501" t="s">
        <v>1439</v>
      </c>
      <c r="L41" s="483">
        <f>ROUND(L40*0.015,0)</f>
        <v>77378</v>
      </c>
      <c r="N41" s="501" t="s">
        <v>1439</v>
      </c>
      <c r="O41" s="483">
        <f>ROUND(O40*0.015,0)</f>
        <v>0</v>
      </c>
      <c r="Q41" s="501" t="s">
        <v>1439</v>
      </c>
      <c r="R41" s="550">
        <f>L41+O41</f>
        <v>77378</v>
      </c>
    </row>
    <row r="42" spans="1:19" ht="26.4" x14ac:dyDescent="0.3">
      <c r="F42" s="443"/>
      <c r="G42" s="443"/>
      <c r="H42" s="340"/>
      <c r="I42" s="340"/>
      <c r="K42" s="96" t="s">
        <v>1440</v>
      </c>
      <c r="L42" s="182">
        <f>L40+L41</f>
        <v>5235903</v>
      </c>
      <c r="M42" s="463">
        <f>L42/H38</f>
        <v>0.60456291808390183</v>
      </c>
      <c r="N42" s="96" t="s">
        <v>1440</v>
      </c>
      <c r="O42" s="182">
        <f>O40+O41</f>
        <v>0</v>
      </c>
      <c r="P42" s="463">
        <f>O42/H40</f>
        <v>0</v>
      </c>
      <c r="Q42" s="501" t="s">
        <v>1440</v>
      </c>
      <c r="R42" s="483">
        <f>R40+R41</f>
        <v>5235903</v>
      </c>
      <c r="S42" s="463">
        <f>R42/H40</f>
        <v>0.60456291808390183</v>
      </c>
    </row>
    <row r="43" spans="1:19" x14ac:dyDescent="0.3">
      <c r="F43" s="442" t="s">
        <v>66</v>
      </c>
      <c r="G43" s="442"/>
      <c r="H43" s="181">
        <f>+H40*19%</f>
        <v>1645521.98</v>
      </c>
      <c r="I43" s="181">
        <f>+I40*19%</f>
        <v>1729446.31</v>
      </c>
      <c r="K43" s="551" t="s">
        <v>66</v>
      </c>
      <c r="L43" s="483">
        <f>L42*0.19</f>
        <v>994821.57000000007</v>
      </c>
      <c r="N43" s="551" t="s">
        <v>66</v>
      </c>
      <c r="O43" s="483">
        <f>O42*0.19</f>
        <v>0</v>
      </c>
      <c r="Q43" s="551" t="s">
        <v>66</v>
      </c>
      <c r="R43" s="483">
        <f>R42*0.19</f>
        <v>994821.57000000007</v>
      </c>
    </row>
    <row r="44" spans="1:19" x14ac:dyDescent="0.3">
      <c r="F44" s="441" t="s">
        <v>69</v>
      </c>
      <c r="G44" s="441"/>
      <c r="H44" s="181">
        <f>+H40+H43</f>
        <v>10306163.98</v>
      </c>
      <c r="I44" s="181">
        <f>+I40+I43</f>
        <v>10831795.310000001</v>
      </c>
      <c r="K44" s="552" t="s">
        <v>69</v>
      </c>
      <c r="L44" s="481">
        <f>L42+L43</f>
        <v>6230724.5700000003</v>
      </c>
      <c r="N44" s="552" t="s">
        <v>69</v>
      </c>
      <c r="O44" s="481">
        <f>O42+O43</f>
        <v>0</v>
      </c>
      <c r="Q44" s="552" t="s">
        <v>69</v>
      </c>
      <c r="R44" s="481">
        <f>R42+R43</f>
        <v>6230724.5700000003</v>
      </c>
    </row>
    <row r="48" spans="1:19" s="189" customFormat="1" x14ac:dyDescent="0.3">
      <c r="A48" s="183" t="s">
        <v>67</v>
      </c>
      <c r="B48" s="184"/>
      <c r="C48" s="184"/>
      <c r="D48" s="185" t="s">
        <v>68</v>
      </c>
      <c r="G48" s="852"/>
      <c r="I48" s="852"/>
      <c r="K48" s="186" t="s">
        <v>70</v>
      </c>
      <c r="L48" s="187" t="s">
        <v>71</v>
      </c>
      <c r="M48" s="186" t="s">
        <v>58</v>
      </c>
      <c r="N48" s="186" t="s">
        <v>70</v>
      </c>
      <c r="O48" s="187" t="s">
        <v>71</v>
      </c>
      <c r="P48" s="186" t="s">
        <v>58</v>
      </c>
      <c r="Q48" s="437"/>
      <c r="R48" s="437"/>
      <c r="S48" s="437"/>
    </row>
    <row r="49" spans="1:19" s="189" customFormat="1" x14ac:dyDescent="0.3">
      <c r="A49" s="183"/>
      <c r="B49" s="184"/>
      <c r="C49" s="184"/>
      <c r="D49" s="185"/>
      <c r="G49" s="852"/>
      <c r="I49" s="852"/>
      <c r="K49" s="69" t="s">
        <v>72</v>
      </c>
      <c r="L49" s="70">
        <f>L42</f>
        <v>5235903</v>
      </c>
      <c r="M49" s="71">
        <f>M42</f>
        <v>0.60456291808390183</v>
      </c>
      <c r="N49" s="69" t="s">
        <v>72</v>
      </c>
      <c r="O49" s="70">
        <f>L42</f>
        <v>5235903</v>
      </c>
      <c r="P49" s="71">
        <f>M42</f>
        <v>0.60456291808390183</v>
      </c>
      <c r="Q49" s="437"/>
      <c r="R49" s="437"/>
      <c r="S49" s="437"/>
    </row>
    <row r="50" spans="1:19" s="189" customFormat="1" x14ac:dyDescent="0.3">
      <c r="A50" s="183"/>
      <c r="B50" s="184"/>
      <c r="C50" s="184"/>
      <c r="D50" s="185"/>
      <c r="G50" s="852"/>
      <c r="I50" s="852"/>
      <c r="K50" s="72" t="s">
        <v>1</v>
      </c>
      <c r="L50" s="105">
        <f>SUM(L49:L49)</f>
        <v>5235903</v>
      </c>
      <c r="M50" s="73">
        <f>SUM(M49:M49)</f>
        <v>0.60456291808390183</v>
      </c>
      <c r="N50" s="69" t="s">
        <v>73</v>
      </c>
      <c r="O50" s="739">
        <f>O42</f>
        <v>0</v>
      </c>
      <c r="P50" s="742">
        <f>P42</f>
        <v>0</v>
      </c>
      <c r="Q50" s="437"/>
      <c r="R50" s="437"/>
      <c r="S50" s="437"/>
    </row>
    <row r="51" spans="1:19" s="189" customFormat="1" x14ac:dyDescent="0.3">
      <c r="A51" s="183"/>
      <c r="B51" s="184"/>
      <c r="C51" s="184"/>
      <c r="D51" s="185"/>
      <c r="G51" s="852"/>
      <c r="I51" s="852"/>
      <c r="K51" s="72" t="s">
        <v>9</v>
      </c>
      <c r="L51" s="1423"/>
      <c r="M51" s="1424"/>
      <c r="N51" s="72" t="s">
        <v>1</v>
      </c>
      <c r="O51" s="105">
        <f>SUM(O49:O50)</f>
        <v>5235903</v>
      </c>
      <c r="P51" s="73">
        <f>SUM(P49:P50)</f>
        <v>0.60456291808390183</v>
      </c>
      <c r="Q51" s="437"/>
      <c r="R51" s="437"/>
      <c r="S51" s="437"/>
    </row>
    <row r="52" spans="1:19" s="189" customFormat="1" x14ac:dyDescent="0.3">
      <c r="A52" s="183"/>
      <c r="B52" s="184"/>
      <c r="C52" s="184"/>
      <c r="D52" s="185"/>
      <c r="G52" s="852"/>
      <c r="I52" s="852"/>
      <c r="K52" s="440" t="s">
        <v>78</v>
      </c>
      <c r="L52" s="1423" t="s">
        <v>396</v>
      </c>
      <c r="M52" s="1424"/>
      <c r="N52" s="72" t="s">
        <v>9</v>
      </c>
      <c r="O52" s="723"/>
      <c r="P52" s="724"/>
      <c r="Q52" s="437"/>
      <c r="R52" s="437"/>
      <c r="S52" s="437"/>
    </row>
    <row r="53" spans="1:19" s="189" customFormat="1" x14ac:dyDescent="0.3">
      <c r="A53" s="183"/>
      <c r="B53" s="184"/>
      <c r="C53" s="184"/>
      <c r="D53" s="185"/>
      <c r="G53" s="852"/>
      <c r="I53" s="852"/>
      <c r="K53" s="439" t="s">
        <v>8</v>
      </c>
      <c r="L53" s="1425" t="s">
        <v>397</v>
      </c>
      <c r="M53" s="1426"/>
      <c r="N53" s="440" t="s">
        <v>78</v>
      </c>
      <c r="O53" s="723" t="s">
        <v>396</v>
      </c>
      <c r="P53" s="724"/>
      <c r="Q53" s="437"/>
      <c r="R53" s="437"/>
      <c r="S53" s="437"/>
    </row>
    <row r="54" spans="1:19" s="189" customFormat="1" x14ac:dyDescent="0.3">
      <c r="A54" s="183"/>
      <c r="B54" s="184"/>
      <c r="C54" s="184"/>
      <c r="D54" s="185" t="s">
        <v>75</v>
      </c>
      <c r="G54" s="852"/>
      <c r="I54" s="852"/>
      <c r="N54" s="439" t="s">
        <v>8</v>
      </c>
      <c r="O54" s="725" t="s">
        <v>397</v>
      </c>
      <c r="P54" s="726"/>
    </row>
    <row r="55" spans="1:19" s="189" customFormat="1" x14ac:dyDescent="0.3">
      <c r="A55" s="183" t="s">
        <v>76</v>
      </c>
      <c r="B55" s="180"/>
      <c r="C55" s="180"/>
      <c r="D55" s="185" t="s">
        <v>77</v>
      </c>
      <c r="G55" s="852"/>
      <c r="I55" s="852"/>
      <c r="N55" s="727"/>
      <c r="O55" s="727"/>
      <c r="P55" s="727"/>
    </row>
    <row r="56" spans="1:19" s="189" customFormat="1" ht="26.4" x14ac:dyDescent="0.3">
      <c r="A56" s="183" t="s">
        <v>79</v>
      </c>
      <c r="B56" s="180"/>
      <c r="C56" s="180"/>
      <c r="D56" s="185" t="s">
        <v>80</v>
      </c>
      <c r="G56" s="852"/>
      <c r="I56" s="852"/>
      <c r="N56" s="727"/>
      <c r="O56" s="727"/>
      <c r="P56" s="727"/>
    </row>
  </sheetData>
  <sheetProtection formatCells="0" formatColumns="0" formatRows="0" insertColumns="0" insertRows="0" insertHyperlinks="0" deleteColumns="0" deleteRows="0" sort="0" autoFilter="0" pivotTables="0"/>
  <mergeCells count="43">
    <mergeCell ref="A7:S7"/>
    <mergeCell ref="A8:S8"/>
    <mergeCell ref="A9:S9"/>
    <mergeCell ref="A10:S10"/>
    <mergeCell ref="B11:J11"/>
    <mergeCell ref="K11:M12"/>
    <mergeCell ref="Q11:S12"/>
    <mergeCell ref="B12:J12"/>
    <mergeCell ref="N11:P12"/>
    <mergeCell ref="L51:M51"/>
    <mergeCell ref="L52:M52"/>
    <mergeCell ref="L53:M53"/>
    <mergeCell ref="Q1:S1"/>
    <mergeCell ref="Q2:S2"/>
    <mergeCell ref="A3:S3"/>
    <mergeCell ref="A4:S4"/>
    <mergeCell ref="A5:S5"/>
    <mergeCell ref="C1:M2"/>
    <mergeCell ref="A6:S6"/>
    <mergeCell ref="A14:A17"/>
    <mergeCell ref="B14:B17"/>
    <mergeCell ref="J14:J17"/>
    <mergeCell ref="A18:A20"/>
    <mergeCell ref="B18:B20"/>
    <mergeCell ref="J18:J20"/>
    <mergeCell ref="A21:A23"/>
    <mergeCell ref="B21:B23"/>
    <mergeCell ref="J21:J23"/>
    <mergeCell ref="A24:A26"/>
    <mergeCell ref="B24:B26"/>
    <mergeCell ref="J24:J26"/>
    <mergeCell ref="A35:A37"/>
    <mergeCell ref="B35:B37"/>
    <mergeCell ref="J35:J37"/>
    <mergeCell ref="A27:A28"/>
    <mergeCell ref="B27:B28"/>
    <mergeCell ref="J27:J28"/>
    <mergeCell ref="A29:A30"/>
    <mergeCell ref="B29:B30"/>
    <mergeCell ref="J29:J30"/>
    <mergeCell ref="A31:A34"/>
    <mergeCell ref="B31:B34"/>
    <mergeCell ref="J31:J34"/>
  </mergeCells>
  <pageMargins left="0.70866141732283472" right="0.70866141732283472" top="0.74803149606299213" bottom="0.74803149606299213" header="0.31496062992125984" footer="0.31496062992125984"/>
  <pageSetup scale="64" orientation="landscape" r:id="rId1"/>
  <rowBreaks count="2" manualBreakCount="2">
    <brk id="23" max="16383" man="1"/>
    <brk id="37" max="16383" man="1"/>
  </rowBreaks>
  <drawing r:id="rId2"/>
  <legacyDrawing r:id="rId3"/>
  <legacyDrawingHF r:id="rId4"/>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3">
    <tabColor theme="1"/>
  </sheetPr>
  <dimension ref="A1:G49"/>
  <sheetViews>
    <sheetView zoomScaleNormal="100" zoomScaleSheetLayoutView="11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RESUMEN!G102</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RESUMEN!B102</f>
        <v>D00243137</v>
      </c>
      <c r="C7" s="1265"/>
      <c r="D7" s="1177"/>
      <c r="E7" s="1266" t="s">
        <v>627</v>
      </c>
      <c r="F7" s="1267"/>
      <c r="G7" s="280" t="str">
        <f>RESUMEN!E102</f>
        <v>17-386</v>
      </c>
    </row>
    <row r="8" spans="1:7" x14ac:dyDescent="0.25">
      <c r="A8" s="271" t="s">
        <v>628</v>
      </c>
      <c r="B8" s="1264" t="str">
        <f>RESUMEN!C102</f>
        <v>D00243137000</v>
      </c>
      <c r="C8" s="1265"/>
      <c r="D8" s="1177"/>
      <c r="E8" s="1266" t="s">
        <v>629</v>
      </c>
      <c r="F8" s="1267"/>
      <c r="G8" s="280" t="str">
        <f>RESUMEN!U102</f>
        <v>Acta N° 3: Marzo</v>
      </c>
    </row>
    <row r="9" spans="1:7" x14ac:dyDescent="0.25">
      <c r="A9" s="271" t="s">
        <v>630</v>
      </c>
      <c r="B9" s="1283" t="s">
        <v>631</v>
      </c>
      <c r="C9" s="1265"/>
      <c r="D9" s="1177"/>
      <c r="E9" s="1266" t="s">
        <v>632</v>
      </c>
      <c r="F9" s="1267"/>
      <c r="G9" s="1178">
        <f>RESUMEN!H102</f>
        <v>7678662</v>
      </c>
    </row>
    <row r="10" spans="1:7" x14ac:dyDescent="0.25">
      <c r="A10" s="271" t="s">
        <v>633</v>
      </c>
      <c r="B10" s="1283" t="str">
        <f>RESUMEN!D102</f>
        <v xml:space="preserve"> CHOACHÍ</v>
      </c>
      <c r="C10" s="1265"/>
      <c r="D10" s="1177"/>
      <c r="E10" s="1266" t="s">
        <v>634</v>
      </c>
      <c r="F10" s="1267"/>
      <c r="G10" s="1178">
        <f>RESUMEN!R102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RESUMEN!N102</f>
        <v>0</v>
      </c>
      <c r="F19" s="1248"/>
      <c r="G19" s="1177"/>
    </row>
    <row r="20" spans="1:7" ht="27" customHeight="1" x14ac:dyDescent="0.25">
      <c r="A20" s="1177"/>
      <c r="B20" s="1244" t="s">
        <v>1498</v>
      </c>
      <c r="C20" s="1245"/>
      <c r="D20" s="1246"/>
      <c r="E20" s="1247">
        <f>RESUMEN!P102</f>
        <v>0</v>
      </c>
      <c r="F20" s="1248"/>
      <c r="G20" s="1177"/>
    </row>
    <row r="21" spans="1:7" ht="27" customHeight="1" x14ac:dyDescent="0.25">
      <c r="A21" s="1177"/>
      <c r="B21" s="1244" t="s">
        <v>1499</v>
      </c>
      <c r="C21" s="1245"/>
      <c r="D21" s="1246"/>
      <c r="E21" s="1247">
        <f>RESUMEN!Q102</f>
        <v>0</v>
      </c>
      <c r="F21" s="1248"/>
      <c r="G21" s="1177"/>
    </row>
    <row r="22" spans="1:7" x14ac:dyDescent="0.25">
      <c r="A22" s="1177"/>
      <c r="B22" s="1254" t="s">
        <v>64</v>
      </c>
      <c r="C22" s="1254"/>
      <c r="D22" s="1254"/>
      <c r="E22" s="1255">
        <f>RESUMEN!R102</f>
        <v>0</v>
      </c>
      <c r="F22" s="1255"/>
      <c r="G22" s="1177"/>
    </row>
    <row r="23" spans="1:7" x14ac:dyDescent="0.25">
      <c r="A23" s="1177"/>
      <c r="B23" s="1256" t="s">
        <v>66</v>
      </c>
      <c r="C23" s="1256"/>
      <c r="D23" s="1256"/>
      <c r="E23" s="1257">
        <f>RESUMEN!S102</f>
        <v>0</v>
      </c>
      <c r="F23" s="1257"/>
      <c r="G23" s="1177"/>
    </row>
    <row r="24" spans="1:7" x14ac:dyDescent="0.25">
      <c r="A24" s="1177"/>
      <c r="B24" s="1258" t="s">
        <v>1</v>
      </c>
      <c r="C24" s="1258"/>
      <c r="D24" s="1258"/>
      <c r="E24" s="1259">
        <f>RESUMEN!T102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+'OT17-386 CHOACHÍ'!Q50</f>
        <v>ACTA 1</v>
      </c>
      <c r="C28" s="1253">
        <f>+'OT17-386 CHOACHÍ'!R50</f>
        <v>6319560</v>
      </c>
      <c r="D28" s="1253"/>
      <c r="E28" s="267">
        <f>+'OT17-386 CHOACHÍ'!S50</f>
        <v>0.82300275751166019</v>
      </c>
      <c r="F28" s="1177"/>
      <c r="G28" s="1177"/>
    </row>
    <row r="29" spans="1:7" x14ac:dyDescent="0.25">
      <c r="A29" s="1177"/>
      <c r="B29" s="280" t="str">
        <f>+'OT17-386 CHOACHÍ'!Q51</f>
        <v>ACTA 2</v>
      </c>
      <c r="C29" s="1253">
        <f>+'OT17-386 CHOACHÍ'!R51</f>
        <v>46805</v>
      </c>
      <c r="D29" s="1253"/>
      <c r="E29" s="267">
        <f>+'OT17-386 CHOACHÍ'!S51</f>
        <v>6.0954629856086904E-3</v>
      </c>
      <c r="F29" s="1177"/>
      <c r="G29" s="1177"/>
    </row>
    <row r="30" spans="1:7" x14ac:dyDescent="0.25">
      <c r="A30" s="1177"/>
      <c r="B30" s="280" t="str">
        <f>+'OT17-386 CHOACHÍ'!Q52</f>
        <v>ACTA 3</v>
      </c>
      <c r="C30" s="1253">
        <f>+'OT17-386 CHOACHÍ'!R52</f>
        <v>0</v>
      </c>
      <c r="D30" s="1253"/>
      <c r="E30" s="267">
        <f>+'OT17-386 CHOACHÍ'!S52</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6366365</v>
      </c>
      <c r="D34" s="1251"/>
      <c r="E34" s="264">
        <f>SUM(E28:E33)</f>
        <v>0.82909822049726889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RESUMEN!V102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6" orientation="portrait" r:id="rId1"/>
  <drawing r:id="rId2"/>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4">
    <tabColor rgb="FF72104A"/>
  </sheetPr>
  <dimension ref="A1:W58"/>
  <sheetViews>
    <sheetView topLeftCell="E25" zoomScale="60" zoomScaleNormal="60" workbookViewId="0">
      <selection activeCell="T22" sqref="T22"/>
    </sheetView>
  </sheetViews>
  <sheetFormatPr baseColWidth="10" defaultColWidth="9.109375" defaultRowHeight="14.4" x14ac:dyDescent="0.3"/>
  <cols>
    <col min="1" max="1" width="13.6640625" style="437" customWidth="1"/>
    <col min="2" max="2" width="21.6640625" style="437" customWidth="1"/>
    <col min="3" max="3" width="30.6640625" style="437" customWidth="1"/>
    <col min="4" max="4" width="22.33203125" style="437" bestFit="1" customWidth="1"/>
    <col min="5" max="5" width="13" style="437" customWidth="1"/>
    <col min="6" max="6" width="17.88671875" style="437" bestFit="1" customWidth="1"/>
    <col min="7" max="7" width="17.88671875" style="437" customWidth="1"/>
    <col min="8" max="8" width="16.6640625" style="437" bestFit="1" customWidth="1"/>
    <col min="9" max="9" width="16.6640625" style="437" customWidth="1"/>
    <col min="10" max="10" width="48.5546875" style="437" customWidth="1"/>
    <col min="11" max="11" width="17.88671875" style="437" bestFit="1" customWidth="1"/>
    <col min="12" max="12" width="18" style="437" bestFit="1" customWidth="1"/>
    <col min="13" max="13" width="9.109375" style="437"/>
    <col min="14" max="14" width="14.88671875" style="437" customWidth="1"/>
    <col min="15" max="15" width="21.109375" style="437" customWidth="1"/>
    <col min="16" max="16" width="12" style="437" customWidth="1"/>
    <col min="17" max="17" width="18.33203125" style="437" customWidth="1"/>
    <col min="18" max="18" width="19" style="437" customWidth="1"/>
    <col min="19" max="19" width="18.44140625" style="437" customWidth="1"/>
    <col min="20" max="20" width="17.88671875" style="437" bestFit="1" customWidth="1"/>
    <col min="21" max="21" width="16.6640625" style="437" bestFit="1" customWidth="1"/>
    <col min="22" max="16384" width="9.109375" style="437"/>
  </cols>
  <sheetData>
    <row r="1" spans="1:22" ht="22.5" customHeight="1" thickBot="1" x14ac:dyDescent="0.35">
      <c r="A1" s="169"/>
      <c r="B1" s="188"/>
      <c r="C1" s="1307" t="s">
        <v>40</v>
      </c>
      <c r="D1" s="1308"/>
      <c r="E1" s="1308"/>
      <c r="F1" s="1308"/>
      <c r="G1" s="1308"/>
      <c r="H1" s="1308"/>
      <c r="I1" s="1308"/>
      <c r="J1" s="1308"/>
      <c r="K1" s="1308"/>
      <c r="L1" s="1308"/>
      <c r="M1" s="1308"/>
      <c r="N1" s="721"/>
      <c r="O1" s="721"/>
      <c r="P1" s="721"/>
      <c r="Q1" s="1052"/>
      <c r="R1" s="1052"/>
      <c r="S1" s="1052"/>
      <c r="T1" s="1328" t="s">
        <v>163</v>
      </c>
      <c r="U1" s="1303"/>
      <c r="V1" s="1304"/>
    </row>
    <row r="2" spans="1:22" ht="13.5" customHeight="1" thickBot="1" x14ac:dyDescent="0.35">
      <c r="A2" s="170"/>
      <c r="B2" s="190"/>
      <c r="C2" s="1310"/>
      <c r="D2" s="1311"/>
      <c r="E2" s="1311"/>
      <c r="F2" s="1311"/>
      <c r="G2" s="1311"/>
      <c r="H2" s="1311"/>
      <c r="I2" s="1311"/>
      <c r="J2" s="1311"/>
      <c r="K2" s="1311"/>
      <c r="L2" s="1311"/>
      <c r="M2" s="1311"/>
      <c r="N2" s="722"/>
      <c r="O2" s="722"/>
      <c r="P2" s="722"/>
      <c r="Q2" s="1053"/>
      <c r="R2" s="1053"/>
      <c r="S2" s="1053"/>
      <c r="T2" s="1329" t="s">
        <v>41</v>
      </c>
      <c r="U2" s="1305"/>
      <c r="V2" s="1306"/>
    </row>
    <row r="3" spans="1:22"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312</v>
      </c>
      <c r="B7" s="1292"/>
      <c r="C7" s="1292"/>
      <c r="D7" s="1292"/>
      <c r="E7" s="1292"/>
      <c r="F7" s="1292"/>
      <c r="G7" s="1292"/>
      <c r="H7" s="1292"/>
      <c r="I7" s="1292"/>
      <c r="J7" s="1292"/>
      <c r="K7" s="1292"/>
      <c r="L7" s="1292"/>
      <c r="M7" s="1292"/>
      <c r="N7" s="1292"/>
      <c r="O7" s="1292"/>
      <c r="P7" s="1292"/>
      <c r="Q7" s="1292"/>
      <c r="R7" s="1292"/>
      <c r="S7" s="1292"/>
      <c r="T7" s="1292"/>
      <c r="U7" s="1292"/>
      <c r="V7" s="1292"/>
    </row>
    <row r="8" spans="1:22"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ht="13.5" customHeight="1" x14ac:dyDescent="0.3">
      <c r="A10" s="1292" t="s">
        <v>1634</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3.5" customHeight="1" x14ac:dyDescent="0.3">
      <c r="A11" s="491"/>
      <c r="B11" s="1301"/>
      <c r="C11" s="1313"/>
      <c r="D11" s="1313"/>
      <c r="E11" s="1313"/>
      <c r="F11" s="1313"/>
      <c r="G11" s="1313"/>
      <c r="H11" s="1313"/>
      <c r="I11" s="1313"/>
      <c r="J11" s="1313"/>
      <c r="K11" s="1293" t="s">
        <v>1726</v>
      </c>
      <c r="L11" s="1294"/>
      <c r="M11" s="1295"/>
      <c r="N11" s="1293" t="s">
        <v>2094</v>
      </c>
      <c r="O11" s="1294"/>
      <c r="P11" s="1295"/>
      <c r="Q11" s="1293" t="s">
        <v>2318</v>
      </c>
      <c r="R11" s="1294"/>
      <c r="S11" s="1295"/>
      <c r="T11" s="1299" t="s">
        <v>49</v>
      </c>
      <c r="U11" s="1299"/>
      <c r="V11" s="1299"/>
    </row>
    <row r="12" spans="1:22"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502" t="s">
        <v>54</v>
      </c>
      <c r="R13" s="502" t="s">
        <v>56</v>
      </c>
      <c r="S13" s="502" t="s">
        <v>58</v>
      </c>
      <c r="T13" s="174" t="s">
        <v>54</v>
      </c>
      <c r="U13" s="172" t="s">
        <v>56</v>
      </c>
      <c r="V13" s="502" t="s">
        <v>58</v>
      </c>
    </row>
    <row r="14" spans="1:22" ht="30" customHeight="1" x14ac:dyDescent="0.3">
      <c r="A14" s="1440" t="s">
        <v>1579</v>
      </c>
      <c r="B14" s="1441" t="s">
        <v>210</v>
      </c>
      <c r="C14" s="493" t="s">
        <v>81</v>
      </c>
      <c r="D14" s="493" t="s">
        <v>207</v>
      </c>
      <c r="E14" s="493">
        <v>0</v>
      </c>
      <c r="F14" s="453">
        <v>800905</v>
      </c>
      <c r="G14" s="32">
        <f>+ROUND(F14*1.051,0)</f>
        <v>841751</v>
      </c>
      <c r="H14" s="453">
        <f>ROUND((E14*F14),0)</f>
        <v>0</v>
      </c>
      <c r="I14" s="32">
        <f>+ROUND(G14*E14,0)</f>
        <v>0</v>
      </c>
      <c r="J14" s="1441" t="s">
        <v>813</v>
      </c>
      <c r="K14" s="452">
        <v>0</v>
      </c>
      <c r="L14" s="425">
        <f>ROUND(K14*F14,0)</f>
        <v>0</v>
      </c>
      <c r="M14" s="426">
        <v>0</v>
      </c>
      <c r="N14" s="452">
        <v>0</v>
      </c>
      <c r="O14" s="425">
        <f>ROUND(N14*G14,0)</f>
        <v>0</v>
      </c>
      <c r="P14" s="604">
        <v>0</v>
      </c>
      <c r="Q14" s="452">
        <v>0</v>
      </c>
      <c r="R14" s="425">
        <f>ROUND(Q14*GJ14,0)</f>
        <v>0</v>
      </c>
      <c r="S14" s="604">
        <v>0</v>
      </c>
      <c r="T14" s="450">
        <f>K14+N14+Q14</f>
        <v>0</v>
      </c>
      <c r="U14" s="175">
        <f>L14+O14+R14</f>
        <v>0</v>
      </c>
      <c r="V14" s="176">
        <v>0</v>
      </c>
    </row>
    <row r="15" spans="1:22" ht="30" customHeight="1" x14ac:dyDescent="0.3">
      <c r="A15" s="1440"/>
      <c r="B15" s="1441"/>
      <c r="C15" s="493" t="s">
        <v>83</v>
      </c>
      <c r="D15" s="493" t="s">
        <v>208</v>
      </c>
      <c r="E15" s="493">
        <v>0</v>
      </c>
      <c r="F15" s="453">
        <v>2646468</v>
      </c>
      <c r="G15" s="32">
        <f t="shared" ref="G15:G16" si="0">+ROUND(F15*1.051,0)</f>
        <v>2781438</v>
      </c>
      <c r="H15" s="453">
        <f>ROUND((E15*F15),0)</f>
        <v>0</v>
      </c>
      <c r="I15" s="32">
        <f t="shared" ref="I15:I16" si="1">+ROUND(G15*E15,0)</f>
        <v>0</v>
      </c>
      <c r="J15" s="1441"/>
      <c r="K15" s="452">
        <v>0</v>
      </c>
      <c r="L15" s="425">
        <f>ROUND(K15*F15,0)</f>
        <v>0</v>
      </c>
      <c r="M15" s="426">
        <v>0</v>
      </c>
      <c r="N15" s="452">
        <v>0</v>
      </c>
      <c r="O15" s="425">
        <f t="shared" ref="O15:O16" si="2">ROUND(N15*G15,0)</f>
        <v>0</v>
      </c>
      <c r="P15" s="604">
        <v>0</v>
      </c>
      <c r="Q15" s="452">
        <v>0</v>
      </c>
      <c r="R15" s="425">
        <f t="shared" ref="R15:R16" si="3">ROUND(Q15*GJ15,0)</f>
        <v>0</v>
      </c>
      <c r="S15" s="604">
        <v>0</v>
      </c>
      <c r="T15" s="450">
        <f t="shared" ref="T15:T36" si="4">K15+N15+Q15</f>
        <v>0</v>
      </c>
      <c r="U15" s="175">
        <f t="shared" ref="U15:U37" si="5">L15+O15+R15</f>
        <v>0</v>
      </c>
      <c r="V15" s="176">
        <v>0</v>
      </c>
    </row>
    <row r="16" spans="1:22" ht="30" customHeight="1" x14ac:dyDescent="0.3">
      <c r="A16" s="1440"/>
      <c r="B16" s="1441"/>
      <c r="C16" s="493" t="s">
        <v>61</v>
      </c>
      <c r="D16" s="493" t="s">
        <v>209</v>
      </c>
      <c r="E16" s="493">
        <v>0.5</v>
      </c>
      <c r="F16" s="453">
        <v>1775919</v>
      </c>
      <c r="G16" s="32">
        <f t="shared" si="0"/>
        <v>1866491</v>
      </c>
      <c r="H16" s="453">
        <f>ROUND((E16*F16),0)</f>
        <v>887960</v>
      </c>
      <c r="I16" s="32">
        <f t="shared" si="1"/>
        <v>933246</v>
      </c>
      <c r="J16" s="1441"/>
      <c r="K16" s="474">
        <v>0.5</v>
      </c>
      <c r="L16" s="429">
        <f>ROUND(K16*F16,0)</f>
        <v>887960</v>
      </c>
      <c r="M16" s="430">
        <f>L16/H16</f>
        <v>1</v>
      </c>
      <c r="N16" s="452">
        <v>0</v>
      </c>
      <c r="O16" s="425">
        <f t="shared" si="2"/>
        <v>0</v>
      </c>
      <c r="P16" s="604">
        <f t="shared" ref="P16" si="6">+O16/I16</f>
        <v>0</v>
      </c>
      <c r="Q16" s="452">
        <v>0</v>
      </c>
      <c r="R16" s="425">
        <f t="shared" si="3"/>
        <v>0</v>
      </c>
      <c r="S16" s="604">
        <f>+R16/I16</f>
        <v>0</v>
      </c>
      <c r="T16" s="450">
        <f t="shared" si="4"/>
        <v>0.5</v>
      </c>
      <c r="U16" s="175">
        <f t="shared" si="5"/>
        <v>887960</v>
      </c>
      <c r="V16" s="176">
        <f>U16/H16</f>
        <v>1</v>
      </c>
    </row>
    <row r="17" spans="1:23" ht="15" customHeight="1" x14ac:dyDescent="0.3">
      <c r="A17" s="1440"/>
      <c r="B17" s="1441"/>
      <c r="C17" s="459"/>
      <c r="D17" s="459" t="s">
        <v>136</v>
      </c>
      <c r="E17" s="458"/>
      <c r="F17" s="458"/>
      <c r="G17" s="458"/>
      <c r="H17" s="457">
        <f>SUM(H14:H16)</f>
        <v>887960</v>
      </c>
      <c r="I17" s="457">
        <f>SUM(I14:I16)</f>
        <v>933246</v>
      </c>
      <c r="J17" s="1441"/>
      <c r="K17" s="431"/>
      <c r="L17" s="179">
        <f>SUM(L14:L16)</f>
        <v>887960</v>
      </c>
      <c r="M17" s="431">
        <f>L17/H17</f>
        <v>1</v>
      </c>
      <c r="N17" s="431"/>
      <c r="O17" s="179">
        <f>SUM(O14:O16)</f>
        <v>0</v>
      </c>
      <c r="P17" s="519">
        <f>O17/L17</f>
        <v>0</v>
      </c>
      <c r="Q17" s="431"/>
      <c r="R17" s="179">
        <f>SUM(R14:R16)</f>
        <v>0</v>
      </c>
      <c r="S17" s="1100">
        <f t="shared" ref="S17:S37" si="7">+R17/I17</f>
        <v>0</v>
      </c>
      <c r="T17" s="1089"/>
      <c r="U17" s="1078">
        <f t="shared" si="5"/>
        <v>887960</v>
      </c>
      <c r="V17" s="431">
        <f>U17/H17</f>
        <v>1</v>
      </c>
    </row>
    <row r="18" spans="1:23" ht="30" customHeight="1" x14ac:dyDescent="0.3">
      <c r="A18" s="1440" t="s">
        <v>1622</v>
      </c>
      <c r="B18" s="1441" t="s">
        <v>170</v>
      </c>
      <c r="C18" s="493" t="s">
        <v>83</v>
      </c>
      <c r="D18" s="493" t="s">
        <v>123</v>
      </c>
      <c r="E18" s="493">
        <v>0</v>
      </c>
      <c r="F18" s="453">
        <v>1044658</v>
      </c>
      <c r="G18" s="32">
        <f t="shared" ref="G18:G19" si="8">+ROUND(F18*1.051,0)</f>
        <v>1097936</v>
      </c>
      <c r="H18" s="453">
        <f>ROUND((E18*F18),0)</f>
        <v>0</v>
      </c>
      <c r="I18" s="32">
        <f t="shared" ref="I18:I19" si="9">+ROUND(G18*E18,0)</f>
        <v>0</v>
      </c>
      <c r="J18" s="1441" t="s">
        <v>1546</v>
      </c>
      <c r="K18" s="452">
        <v>0</v>
      </c>
      <c r="L18" s="425">
        <f>ROUND(K18*F18,0)</f>
        <v>0</v>
      </c>
      <c r="M18" s="426">
        <v>0</v>
      </c>
      <c r="N18" s="452">
        <v>0</v>
      </c>
      <c r="O18" s="425">
        <f t="shared" ref="O18:O19" si="10">ROUND(N18*G18,0)</f>
        <v>0</v>
      </c>
      <c r="P18" s="604">
        <v>0</v>
      </c>
      <c r="Q18" s="452">
        <v>0</v>
      </c>
      <c r="R18" s="425">
        <f>ROUND(Q18*G18,0)</f>
        <v>0</v>
      </c>
      <c r="S18" s="604">
        <v>0</v>
      </c>
      <c r="T18" s="450">
        <f t="shared" si="4"/>
        <v>0</v>
      </c>
      <c r="U18" s="175">
        <f t="shared" si="5"/>
        <v>0</v>
      </c>
      <c r="V18" s="176">
        <v>0</v>
      </c>
    </row>
    <row r="19" spans="1:23" ht="30" customHeight="1" x14ac:dyDescent="0.3">
      <c r="A19" s="1440"/>
      <c r="B19" s="1441"/>
      <c r="C19" s="493" t="s">
        <v>61</v>
      </c>
      <c r="D19" s="493" t="s">
        <v>125</v>
      </c>
      <c r="E19" s="493">
        <v>0.7</v>
      </c>
      <c r="F19" s="453">
        <v>1009836</v>
      </c>
      <c r="G19" s="32">
        <f t="shared" si="8"/>
        <v>1061338</v>
      </c>
      <c r="H19" s="453">
        <f>ROUND((E19*F19),0)</f>
        <v>706885</v>
      </c>
      <c r="I19" s="32">
        <f t="shared" si="9"/>
        <v>742937</v>
      </c>
      <c r="J19" s="1441"/>
      <c r="K19" s="474">
        <v>0.7</v>
      </c>
      <c r="L19" s="429">
        <f>ROUND(K19*F19,0)</f>
        <v>706885</v>
      </c>
      <c r="M19" s="430">
        <f>L19/H19</f>
        <v>1</v>
      </c>
      <c r="N19" s="452">
        <v>0</v>
      </c>
      <c r="O19" s="425">
        <f t="shared" si="10"/>
        <v>0</v>
      </c>
      <c r="P19" s="604">
        <f t="shared" ref="P19" si="11">+O19/I19</f>
        <v>0</v>
      </c>
      <c r="Q19" s="452">
        <v>0</v>
      </c>
      <c r="R19" s="425">
        <f>ROUND(Q19*G19,0)</f>
        <v>0</v>
      </c>
      <c r="S19" s="604">
        <f t="shared" si="7"/>
        <v>0</v>
      </c>
      <c r="T19" s="450">
        <f t="shared" si="4"/>
        <v>0.7</v>
      </c>
      <c r="U19" s="175">
        <f t="shared" si="5"/>
        <v>706885</v>
      </c>
      <c r="V19" s="176">
        <f>U19/H19</f>
        <v>1</v>
      </c>
    </row>
    <row r="20" spans="1:23" ht="15" customHeight="1" x14ac:dyDescent="0.3">
      <c r="A20" s="1440"/>
      <c r="B20" s="1441"/>
      <c r="C20" s="459"/>
      <c r="D20" s="459" t="s">
        <v>126</v>
      </c>
      <c r="E20" s="458"/>
      <c r="F20" s="458"/>
      <c r="G20" s="458"/>
      <c r="H20" s="457">
        <f>SUM(H18:H19)</f>
        <v>706885</v>
      </c>
      <c r="I20" s="457">
        <f>SUM(I18:I19)</f>
        <v>742937</v>
      </c>
      <c r="J20" s="1441"/>
      <c r="K20" s="431"/>
      <c r="L20" s="179">
        <f>SUM(L18:L19)</f>
        <v>706885</v>
      </c>
      <c r="M20" s="431">
        <f>L20/H20</f>
        <v>1</v>
      </c>
      <c r="N20" s="431"/>
      <c r="O20" s="179">
        <f>SUM(O18:O19)</f>
        <v>0</v>
      </c>
      <c r="P20" s="519">
        <f>O20/L20</f>
        <v>0</v>
      </c>
      <c r="Q20" s="431"/>
      <c r="R20" s="179">
        <f>SUM(R18:R19)</f>
        <v>0</v>
      </c>
      <c r="S20" s="1100">
        <f t="shared" si="7"/>
        <v>0</v>
      </c>
      <c r="T20" s="1089"/>
      <c r="U20" s="1078">
        <f t="shared" si="5"/>
        <v>706885</v>
      </c>
      <c r="V20" s="431">
        <f>U20/H20</f>
        <v>1</v>
      </c>
    </row>
    <row r="21" spans="1:23" ht="30" customHeight="1" x14ac:dyDescent="0.3">
      <c r="A21" s="1440" t="s">
        <v>1622</v>
      </c>
      <c r="B21" s="1441" t="s">
        <v>282</v>
      </c>
      <c r="C21" s="493" t="s">
        <v>81</v>
      </c>
      <c r="D21" s="493" t="s">
        <v>105</v>
      </c>
      <c r="E21" s="493">
        <v>0</v>
      </c>
      <c r="F21" s="453">
        <v>417863</v>
      </c>
      <c r="G21" s="32">
        <f t="shared" ref="G21:G22" si="12">+ROUND(F21*1.051,0)</f>
        <v>439174</v>
      </c>
      <c r="H21" s="453">
        <f>ROUND((E21*F21),0)</f>
        <v>0</v>
      </c>
      <c r="I21" s="32">
        <f t="shared" ref="I21:I22" si="13">+ROUND(G21*E21,0)</f>
        <v>0</v>
      </c>
      <c r="J21" s="1442" t="s">
        <v>1545</v>
      </c>
      <c r="K21" s="452">
        <v>0</v>
      </c>
      <c r="L21" s="425">
        <f>ROUND(K21*F21,0)</f>
        <v>0</v>
      </c>
      <c r="M21" s="426">
        <v>0</v>
      </c>
      <c r="N21" s="452">
        <v>0</v>
      </c>
      <c r="O21" s="425">
        <f t="shared" ref="O21:O22" si="14">ROUND(N21*G21,0)</f>
        <v>0</v>
      </c>
      <c r="P21" s="604">
        <v>0</v>
      </c>
      <c r="Q21" s="452">
        <v>0</v>
      </c>
      <c r="R21" s="425">
        <f>ROUND(Q21*G21,0)</f>
        <v>0</v>
      </c>
      <c r="S21" s="604">
        <v>0</v>
      </c>
      <c r="T21" s="450">
        <f t="shared" si="4"/>
        <v>0</v>
      </c>
      <c r="U21" s="175">
        <f t="shared" si="5"/>
        <v>0</v>
      </c>
      <c r="V21" s="176">
        <v>0</v>
      </c>
    </row>
    <row r="22" spans="1:23" ht="30" customHeight="1" x14ac:dyDescent="0.3">
      <c r="A22" s="1440"/>
      <c r="B22" s="1441"/>
      <c r="C22" s="493" t="s">
        <v>83</v>
      </c>
      <c r="D22" s="493" t="s">
        <v>107</v>
      </c>
      <c r="E22" s="493">
        <v>8.4000000000000005E-2</v>
      </c>
      <c r="F22" s="453">
        <v>1845563</v>
      </c>
      <c r="G22" s="32">
        <f t="shared" si="12"/>
        <v>1939687</v>
      </c>
      <c r="H22" s="453">
        <f>ROUND((E22*F22),0)</f>
        <v>155027</v>
      </c>
      <c r="I22" s="32">
        <f t="shared" si="13"/>
        <v>162934</v>
      </c>
      <c r="J22" s="1441"/>
      <c r="K22" s="452">
        <v>0</v>
      </c>
      <c r="L22" s="425">
        <f>ROUND(K22*F22,0)</f>
        <v>0</v>
      </c>
      <c r="M22" s="426">
        <f>L22/H22</f>
        <v>0</v>
      </c>
      <c r="N22" s="452">
        <v>0</v>
      </c>
      <c r="O22" s="425">
        <f t="shared" si="14"/>
        <v>0</v>
      </c>
      <c r="P22" s="604">
        <f t="shared" ref="P22" si="15">+O22/I22</f>
        <v>0</v>
      </c>
      <c r="Q22" s="452">
        <v>0</v>
      </c>
      <c r="R22" s="425">
        <f>ROUND(Q22*G22,0)</f>
        <v>0</v>
      </c>
      <c r="S22" s="604">
        <f t="shared" si="7"/>
        <v>0</v>
      </c>
      <c r="T22" s="450">
        <f t="shared" si="4"/>
        <v>0</v>
      </c>
      <c r="U22" s="175">
        <f t="shared" si="5"/>
        <v>0</v>
      </c>
      <c r="V22" s="176">
        <f>U22/H22</f>
        <v>0</v>
      </c>
    </row>
    <row r="23" spans="1:23" ht="15" customHeight="1" x14ac:dyDescent="0.3">
      <c r="A23" s="1440"/>
      <c r="B23" s="1441"/>
      <c r="C23" s="459"/>
      <c r="D23" s="459" t="s">
        <v>108</v>
      </c>
      <c r="E23" s="458"/>
      <c r="F23" s="458"/>
      <c r="G23" s="458"/>
      <c r="H23" s="457">
        <f>SUM(H21:H22)</f>
        <v>155027</v>
      </c>
      <c r="I23" s="457">
        <f>SUM(I21:I22)</f>
        <v>162934</v>
      </c>
      <c r="J23" s="1441"/>
      <c r="K23" s="431"/>
      <c r="L23" s="179">
        <f>SUM(L21:L22)</f>
        <v>0</v>
      </c>
      <c r="M23" s="431">
        <f>L23/H23</f>
        <v>0</v>
      </c>
      <c r="N23" s="431"/>
      <c r="O23" s="179">
        <f>SUM(O21:O22)</f>
        <v>0</v>
      </c>
      <c r="P23" s="519">
        <f>O23/H23</f>
        <v>0</v>
      </c>
      <c r="Q23" s="431"/>
      <c r="R23" s="179">
        <f>SUM(R21:R22)</f>
        <v>0</v>
      </c>
      <c r="S23" s="1100">
        <f t="shared" si="7"/>
        <v>0</v>
      </c>
      <c r="T23" s="1089"/>
      <c r="U23" s="1078">
        <f t="shared" si="5"/>
        <v>0</v>
      </c>
      <c r="V23" s="431">
        <f>U23/H23</f>
        <v>0</v>
      </c>
    </row>
    <row r="24" spans="1:23" ht="30" customHeight="1" x14ac:dyDescent="0.3">
      <c r="A24" s="1440" t="s">
        <v>1186</v>
      </c>
      <c r="B24" s="1441" t="s">
        <v>282</v>
      </c>
      <c r="C24" s="493" t="s">
        <v>81</v>
      </c>
      <c r="D24" s="493" t="s">
        <v>105</v>
      </c>
      <c r="E24" s="493">
        <v>0.35</v>
      </c>
      <c r="F24" s="453">
        <v>417863</v>
      </c>
      <c r="G24" s="32">
        <f t="shared" ref="G24:G25" si="16">+ROUND(F24*1.051,0)</f>
        <v>439174</v>
      </c>
      <c r="H24" s="453">
        <f>ROUND((E24*F24),0)</f>
        <v>146252</v>
      </c>
      <c r="I24" s="32">
        <f t="shared" ref="I24:I25" si="17">+ROUND(G24*E24,0)</f>
        <v>153711</v>
      </c>
      <c r="J24" s="1441" t="s">
        <v>1328</v>
      </c>
      <c r="K24" s="474">
        <f>0.35*70%</f>
        <v>0.24499999999999997</v>
      </c>
      <c r="L24" s="429">
        <f>ROUND(K24*F24,0)</f>
        <v>102376</v>
      </c>
      <c r="M24" s="430">
        <f>L24/H24</f>
        <v>0.69999726499466675</v>
      </c>
      <c r="N24" s="474">
        <f>E24-K24</f>
        <v>0.10500000000000001</v>
      </c>
      <c r="O24" s="429">
        <f t="shared" ref="O24:O25" si="18">ROUND(N24*G24,0)</f>
        <v>46113</v>
      </c>
      <c r="P24" s="534">
        <f t="shared" ref="P24" si="19">+O24/I24</f>
        <v>0.29999804828541876</v>
      </c>
      <c r="Q24" s="452">
        <v>0</v>
      </c>
      <c r="R24" s="425">
        <f>ROUND(Q24*G24,0)</f>
        <v>0</v>
      </c>
      <c r="S24" s="604">
        <f t="shared" si="7"/>
        <v>0</v>
      </c>
      <c r="T24" s="450">
        <f t="shared" si="4"/>
        <v>0.35</v>
      </c>
      <c r="U24" s="175">
        <f t="shared" si="5"/>
        <v>148489</v>
      </c>
      <c r="V24" s="176">
        <f>U24/H24</f>
        <v>1.0152955173262588</v>
      </c>
      <c r="W24" s="563" t="s">
        <v>2216</v>
      </c>
    </row>
    <row r="25" spans="1:23" ht="30" customHeight="1" x14ac:dyDescent="0.3">
      <c r="A25" s="1440"/>
      <c r="B25" s="1441"/>
      <c r="C25" s="493" t="s">
        <v>83</v>
      </c>
      <c r="D25" s="493" t="s">
        <v>107</v>
      </c>
      <c r="E25" s="493">
        <v>0</v>
      </c>
      <c r="F25" s="453">
        <v>1845563</v>
      </c>
      <c r="G25" s="32">
        <f t="shared" si="16"/>
        <v>1939687</v>
      </c>
      <c r="H25" s="453">
        <f>ROUND((E25*F25),0)</f>
        <v>0</v>
      </c>
      <c r="I25" s="32">
        <f t="shared" si="17"/>
        <v>0</v>
      </c>
      <c r="J25" s="1441"/>
      <c r="K25" s="452">
        <v>0</v>
      </c>
      <c r="L25" s="425">
        <f>ROUND(K25*F25,0)</f>
        <v>0</v>
      </c>
      <c r="M25" s="426">
        <v>0</v>
      </c>
      <c r="N25" s="452">
        <v>0</v>
      </c>
      <c r="O25" s="425">
        <f t="shared" si="18"/>
        <v>0</v>
      </c>
      <c r="P25" s="604">
        <v>0</v>
      </c>
      <c r="Q25" s="452">
        <v>0</v>
      </c>
      <c r="R25" s="425">
        <f>ROUND(Q25*G25,0)</f>
        <v>0</v>
      </c>
      <c r="S25" s="604">
        <v>0</v>
      </c>
      <c r="T25" s="450">
        <f t="shared" si="4"/>
        <v>0</v>
      </c>
      <c r="U25" s="175">
        <f t="shared" si="5"/>
        <v>0</v>
      </c>
      <c r="V25" s="176">
        <v>0</v>
      </c>
    </row>
    <row r="26" spans="1:23" ht="15" customHeight="1" x14ac:dyDescent="0.3">
      <c r="A26" s="1440"/>
      <c r="B26" s="1441"/>
      <c r="C26" s="459"/>
      <c r="D26" s="459" t="s">
        <v>108</v>
      </c>
      <c r="E26" s="458"/>
      <c r="F26" s="458"/>
      <c r="G26" s="458"/>
      <c r="H26" s="457">
        <f>SUM(H24:H25)</f>
        <v>146252</v>
      </c>
      <c r="I26" s="457">
        <f>SUM(I24:I25)</f>
        <v>153711</v>
      </c>
      <c r="J26" s="1441"/>
      <c r="K26" s="431"/>
      <c r="L26" s="179">
        <f>SUM(L24:L25)</f>
        <v>102376</v>
      </c>
      <c r="M26" s="431">
        <f>L26/H26</f>
        <v>0.69999726499466675</v>
      </c>
      <c r="N26" s="431"/>
      <c r="O26" s="179">
        <f>SUM(O24:O25)</f>
        <v>46113</v>
      </c>
      <c r="P26" s="519">
        <f>O26/L26</f>
        <v>0.45042783464874581</v>
      </c>
      <c r="Q26" s="431"/>
      <c r="R26" s="179">
        <f>SUM(R24:R25)</f>
        <v>0</v>
      </c>
      <c r="S26" s="1100">
        <f t="shared" si="7"/>
        <v>0</v>
      </c>
      <c r="T26" s="1089"/>
      <c r="U26" s="1078">
        <f t="shared" si="5"/>
        <v>148489</v>
      </c>
      <c r="V26" s="431">
        <f>U26/H26</f>
        <v>1.0152955173262588</v>
      </c>
    </row>
    <row r="27" spans="1:23" ht="106.5" customHeight="1" x14ac:dyDescent="0.3">
      <c r="A27" s="1440" t="s">
        <v>1186</v>
      </c>
      <c r="B27" s="1441" t="s">
        <v>194</v>
      </c>
      <c r="C27" s="493" t="s">
        <v>160</v>
      </c>
      <c r="D27" s="493" t="s">
        <v>161</v>
      </c>
      <c r="E27" s="492">
        <v>36</v>
      </c>
      <c r="F27" s="453">
        <v>69644</v>
      </c>
      <c r="G27" s="32">
        <f>+ROUND(F27*1.051,0)</f>
        <v>73196</v>
      </c>
      <c r="H27" s="453">
        <f>ROUND((E27*F27),0)</f>
        <v>2507184</v>
      </c>
      <c r="I27" s="32">
        <f>+ROUND(G27*E27,0)</f>
        <v>2635056</v>
      </c>
      <c r="J27" s="1442" t="s">
        <v>1633</v>
      </c>
      <c r="K27" s="474">
        <f>36*70%</f>
        <v>25.2</v>
      </c>
      <c r="L27" s="429">
        <f>ROUND(K27*F27,0)</f>
        <v>1755029</v>
      </c>
      <c r="M27" s="430">
        <f>L27/H27</f>
        <v>0.70000007977077072</v>
      </c>
      <c r="N27" s="452">
        <v>0</v>
      </c>
      <c r="O27" s="425">
        <f>ROUND(N27*G27,0)</f>
        <v>0</v>
      </c>
      <c r="P27" s="604">
        <f>+O27/I27</f>
        <v>0</v>
      </c>
      <c r="Q27" s="452">
        <v>0</v>
      </c>
      <c r="R27" s="425">
        <f>ROUND(Q27*G27,0)</f>
        <v>0</v>
      </c>
      <c r="S27" s="604">
        <f t="shared" si="7"/>
        <v>0</v>
      </c>
      <c r="T27" s="450">
        <f t="shared" si="4"/>
        <v>25.2</v>
      </c>
      <c r="U27" s="175">
        <f t="shared" si="5"/>
        <v>1755029</v>
      </c>
      <c r="V27" s="176">
        <f>U27/H27</f>
        <v>0.70000007977077072</v>
      </c>
    </row>
    <row r="28" spans="1:23" ht="15" customHeight="1" x14ac:dyDescent="0.3">
      <c r="A28" s="1440"/>
      <c r="B28" s="1441"/>
      <c r="C28" s="459"/>
      <c r="D28" s="459" t="s">
        <v>162</v>
      </c>
      <c r="E28" s="458"/>
      <c r="F28" s="458"/>
      <c r="G28" s="458"/>
      <c r="H28" s="457">
        <f>H27</f>
        <v>2507184</v>
      </c>
      <c r="I28" s="457">
        <f>SUM(I27)</f>
        <v>2635056</v>
      </c>
      <c r="J28" s="1441"/>
      <c r="K28" s="431"/>
      <c r="L28" s="179">
        <f>SUM(L27)</f>
        <v>1755029</v>
      </c>
      <c r="M28" s="431">
        <f>L28/H28</f>
        <v>0.70000007977077072</v>
      </c>
      <c r="N28" s="431"/>
      <c r="O28" s="179">
        <f>SUM(O27)</f>
        <v>0</v>
      </c>
      <c r="P28" s="519">
        <f>O28/L28</f>
        <v>0</v>
      </c>
      <c r="Q28" s="431"/>
      <c r="R28" s="179">
        <f>SUM(R27)</f>
        <v>0</v>
      </c>
      <c r="S28" s="1100">
        <f t="shared" si="7"/>
        <v>0</v>
      </c>
      <c r="T28" s="1089"/>
      <c r="U28" s="1078">
        <f t="shared" si="5"/>
        <v>1755029</v>
      </c>
      <c r="V28" s="431">
        <f>U28/H28</f>
        <v>0.70000007977077072</v>
      </c>
    </row>
    <row r="29" spans="1:23" ht="28.5" customHeight="1" x14ac:dyDescent="0.3">
      <c r="A29" s="1440" t="s">
        <v>1186</v>
      </c>
      <c r="B29" s="1441" t="s">
        <v>194</v>
      </c>
      <c r="C29" s="493" t="s">
        <v>160</v>
      </c>
      <c r="D29" s="493" t="s">
        <v>161</v>
      </c>
      <c r="E29" s="493">
        <v>24</v>
      </c>
      <c r="F29" s="453">
        <v>69644</v>
      </c>
      <c r="G29" s="32">
        <f>+ROUND(F29*1.051,0)</f>
        <v>73196</v>
      </c>
      <c r="H29" s="453">
        <f>ROUND((E29*F29),0)</f>
        <v>1671456</v>
      </c>
      <c r="I29" s="32">
        <f>+ROUND(G29*E29,0)</f>
        <v>1756704</v>
      </c>
      <c r="J29" s="1442" t="s">
        <v>1632</v>
      </c>
      <c r="K29" s="474">
        <f>24*70%</f>
        <v>16.799999999999997</v>
      </c>
      <c r="L29" s="429">
        <f>ROUND(K29*F29,0)</f>
        <v>1170019</v>
      </c>
      <c r="M29" s="430">
        <f>L29/H29</f>
        <v>0.69999988034384397</v>
      </c>
      <c r="N29" s="452">
        <v>0</v>
      </c>
      <c r="O29" s="425">
        <f>ROUND(N29*G29,0)</f>
        <v>0</v>
      </c>
      <c r="P29" s="604">
        <f>+O29/I29</f>
        <v>0</v>
      </c>
      <c r="Q29" s="452">
        <v>0</v>
      </c>
      <c r="R29" s="425">
        <f>ROUND(Q29*G29,0)</f>
        <v>0</v>
      </c>
      <c r="S29" s="604">
        <f t="shared" si="7"/>
        <v>0</v>
      </c>
      <c r="T29" s="450">
        <f t="shared" si="4"/>
        <v>16.799999999999997</v>
      </c>
      <c r="U29" s="175">
        <f t="shared" si="5"/>
        <v>1170019</v>
      </c>
      <c r="V29" s="176">
        <f>U29/H29</f>
        <v>0.69999988034384397</v>
      </c>
    </row>
    <row r="30" spans="1:23" ht="15" customHeight="1" x14ac:dyDescent="0.3">
      <c r="A30" s="1440"/>
      <c r="B30" s="1441"/>
      <c r="C30" s="459"/>
      <c r="D30" s="459" t="s">
        <v>162</v>
      </c>
      <c r="E30" s="458"/>
      <c r="F30" s="458"/>
      <c r="G30" s="458"/>
      <c r="H30" s="457">
        <f>H29</f>
        <v>1671456</v>
      </c>
      <c r="I30" s="457">
        <f>SUM(I29)</f>
        <v>1756704</v>
      </c>
      <c r="J30" s="1441"/>
      <c r="K30" s="431"/>
      <c r="L30" s="179">
        <f>SUM(L29)</f>
        <v>1170019</v>
      </c>
      <c r="M30" s="431">
        <f>L30/H30</f>
        <v>0.69999988034384397</v>
      </c>
      <c r="N30" s="431"/>
      <c r="O30" s="179">
        <f>SUM(O29)</f>
        <v>0</v>
      </c>
      <c r="P30" s="519">
        <f>O30/L30</f>
        <v>0</v>
      </c>
      <c r="Q30" s="431"/>
      <c r="R30" s="179">
        <f>SUM(R29)</f>
        <v>0</v>
      </c>
      <c r="S30" s="1100">
        <f t="shared" si="7"/>
        <v>0</v>
      </c>
      <c r="T30" s="1089"/>
      <c r="U30" s="1078">
        <f t="shared" si="5"/>
        <v>1170019</v>
      </c>
      <c r="V30" s="431">
        <f>U30/H30</f>
        <v>0.69999988034384397</v>
      </c>
    </row>
    <row r="31" spans="1:23" ht="30" customHeight="1" x14ac:dyDescent="0.3">
      <c r="A31" s="1440" t="s">
        <v>1578</v>
      </c>
      <c r="B31" s="1441" t="s">
        <v>211</v>
      </c>
      <c r="C31" s="493" t="s">
        <v>81</v>
      </c>
      <c r="D31" s="493" t="s">
        <v>212</v>
      </c>
      <c r="E31" s="493">
        <v>0</v>
      </c>
      <c r="F31" s="453">
        <v>800905</v>
      </c>
      <c r="G31" s="32">
        <f t="shared" ref="G31:G33" si="20">+ROUND(F31*1.051,0)</f>
        <v>841751</v>
      </c>
      <c r="H31" s="453">
        <f>ROUND((E31*F31),0)</f>
        <v>0</v>
      </c>
      <c r="I31" s="32">
        <f t="shared" ref="I31:I33" si="21">+ROUND(G31*E31,0)</f>
        <v>0</v>
      </c>
      <c r="J31" s="1441" t="s">
        <v>1626</v>
      </c>
      <c r="K31" s="452">
        <v>0</v>
      </c>
      <c r="L31" s="425">
        <f>ROUND(K31*F31,0)</f>
        <v>0</v>
      </c>
      <c r="M31" s="426">
        <v>0</v>
      </c>
      <c r="N31" s="452">
        <v>0</v>
      </c>
      <c r="O31" s="425">
        <f t="shared" ref="O31:O33" si="22">ROUND(N31*G31,0)</f>
        <v>0</v>
      </c>
      <c r="P31" s="604">
        <v>0</v>
      </c>
      <c r="Q31" s="452">
        <v>0</v>
      </c>
      <c r="R31" s="425">
        <f>ROUND(Q31*G31,0)</f>
        <v>0</v>
      </c>
      <c r="S31" s="604">
        <v>0</v>
      </c>
      <c r="T31" s="450">
        <f t="shared" si="4"/>
        <v>0</v>
      </c>
      <c r="U31" s="175">
        <f t="shared" si="5"/>
        <v>0</v>
      </c>
      <c r="V31" s="176">
        <v>0</v>
      </c>
    </row>
    <row r="32" spans="1:23" ht="30" customHeight="1" x14ac:dyDescent="0.3">
      <c r="A32" s="1440"/>
      <c r="B32" s="1441"/>
      <c r="C32" s="493" t="s">
        <v>83</v>
      </c>
      <c r="D32" s="493" t="s">
        <v>213</v>
      </c>
      <c r="E32" s="493">
        <v>0</v>
      </c>
      <c r="F32" s="453">
        <v>2646468</v>
      </c>
      <c r="G32" s="32">
        <f t="shared" si="20"/>
        <v>2781438</v>
      </c>
      <c r="H32" s="453">
        <f>ROUND((E32*F32),0)</f>
        <v>0</v>
      </c>
      <c r="I32" s="32">
        <f t="shared" si="21"/>
        <v>0</v>
      </c>
      <c r="J32" s="1441"/>
      <c r="K32" s="452">
        <v>0</v>
      </c>
      <c r="L32" s="425">
        <f>ROUND(K32*F32,0)</f>
        <v>0</v>
      </c>
      <c r="M32" s="426">
        <v>0</v>
      </c>
      <c r="N32" s="452">
        <v>0</v>
      </c>
      <c r="O32" s="425">
        <f t="shared" si="22"/>
        <v>0</v>
      </c>
      <c r="P32" s="604">
        <v>0</v>
      </c>
      <c r="Q32" s="452">
        <v>0</v>
      </c>
      <c r="R32" s="425">
        <f t="shared" ref="R32:R33" si="23">ROUND(Q32*G32,0)</f>
        <v>0</v>
      </c>
      <c r="S32" s="604">
        <v>0</v>
      </c>
      <c r="T32" s="450">
        <f t="shared" si="4"/>
        <v>0</v>
      </c>
      <c r="U32" s="175">
        <f t="shared" si="5"/>
        <v>0</v>
      </c>
      <c r="V32" s="176">
        <v>0</v>
      </c>
    </row>
    <row r="33" spans="1:22" ht="30" customHeight="1" x14ac:dyDescent="0.3">
      <c r="A33" s="1440"/>
      <c r="B33" s="1441"/>
      <c r="C33" s="493" t="s">
        <v>61</v>
      </c>
      <c r="D33" s="493" t="s">
        <v>214</v>
      </c>
      <c r="E33" s="493">
        <v>0.40250000000000002</v>
      </c>
      <c r="F33" s="453">
        <v>2228604</v>
      </c>
      <c r="G33" s="32">
        <f t="shared" si="20"/>
        <v>2342263</v>
      </c>
      <c r="H33" s="453">
        <f>ROUND((E33*F33),0)</f>
        <v>897013</v>
      </c>
      <c r="I33" s="32">
        <f t="shared" si="21"/>
        <v>942761</v>
      </c>
      <c r="J33" s="1441"/>
      <c r="K33" s="538">
        <v>0.40250000000000002</v>
      </c>
      <c r="L33" s="429">
        <f>ROUND(K33*F33,0)</f>
        <v>897013</v>
      </c>
      <c r="M33" s="430">
        <f>L33/H33</f>
        <v>1</v>
      </c>
      <c r="N33" s="452">
        <v>0</v>
      </c>
      <c r="O33" s="425">
        <f t="shared" si="22"/>
        <v>0</v>
      </c>
      <c r="P33" s="604">
        <f t="shared" ref="P33" si="24">+O33/I33</f>
        <v>0</v>
      </c>
      <c r="Q33" s="452">
        <v>0</v>
      </c>
      <c r="R33" s="425">
        <f t="shared" si="23"/>
        <v>0</v>
      </c>
      <c r="S33" s="604">
        <f t="shared" si="7"/>
        <v>0</v>
      </c>
      <c r="T33" s="450">
        <f t="shared" si="4"/>
        <v>0.40250000000000002</v>
      </c>
      <c r="U33" s="175">
        <f t="shared" si="5"/>
        <v>897013</v>
      </c>
      <c r="V33" s="176">
        <f>U33/H33</f>
        <v>1</v>
      </c>
    </row>
    <row r="34" spans="1:22" ht="15" customHeight="1" x14ac:dyDescent="0.3">
      <c r="A34" s="1440"/>
      <c r="B34" s="1441"/>
      <c r="C34" s="459"/>
      <c r="D34" s="459" t="s">
        <v>215</v>
      </c>
      <c r="E34" s="458"/>
      <c r="F34" s="458"/>
      <c r="G34" s="458"/>
      <c r="H34" s="457">
        <f>SUM(H31:H33)</f>
        <v>897013</v>
      </c>
      <c r="I34" s="457">
        <f>SUM(I31:I33)</f>
        <v>942761</v>
      </c>
      <c r="J34" s="1441"/>
      <c r="K34" s="431"/>
      <c r="L34" s="179">
        <f>SUM(L31:L33)</f>
        <v>897013</v>
      </c>
      <c r="M34" s="431">
        <f>L34/H34</f>
        <v>1</v>
      </c>
      <c r="N34" s="431"/>
      <c r="O34" s="179">
        <f>SUM(O31:O33)</f>
        <v>0</v>
      </c>
      <c r="P34" s="519">
        <f>O34/L34</f>
        <v>0</v>
      </c>
      <c r="Q34" s="431"/>
      <c r="R34" s="179">
        <f>SUM(R31:R33)</f>
        <v>0</v>
      </c>
      <c r="S34" s="1100">
        <f t="shared" si="7"/>
        <v>0</v>
      </c>
      <c r="T34" s="1089"/>
      <c r="U34" s="1078">
        <f t="shared" si="5"/>
        <v>897013</v>
      </c>
      <c r="V34" s="431">
        <f>U34/H34</f>
        <v>1</v>
      </c>
    </row>
    <row r="35" spans="1:22" ht="30" customHeight="1" x14ac:dyDescent="0.3">
      <c r="A35" s="1440" t="s">
        <v>1578</v>
      </c>
      <c r="B35" s="1441" t="s">
        <v>170</v>
      </c>
      <c r="C35" s="493" t="s">
        <v>83</v>
      </c>
      <c r="D35" s="493" t="s">
        <v>123</v>
      </c>
      <c r="E35" s="493">
        <v>0</v>
      </c>
      <c r="F35" s="453">
        <v>1044658</v>
      </c>
      <c r="G35" s="32">
        <f t="shared" ref="G35:G36" si="25">+ROUND(F35*1.051,0)</f>
        <v>1097936</v>
      </c>
      <c r="H35" s="453">
        <f>ROUND((E35*F35),0)</f>
        <v>0</v>
      </c>
      <c r="I35" s="32">
        <f t="shared" ref="I35:I36" si="26">+ROUND(G35*E35,0)</f>
        <v>0</v>
      </c>
      <c r="J35" s="1441" t="s">
        <v>1539</v>
      </c>
      <c r="K35" s="452">
        <v>0</v>
      </c>
      <c r="L35" s="425">
        <f>ROUND(K35*F35,0)</f>
        <v>0</v>
      </c>
      <c r="M35" s="426">
        <v>0</v>
      </c>
      <c r="N35" s="452">
        <v>0</v>
      </c>
      <c r="O35" s="425">
        <f t="shared" ref="O35:O36" si="27">ROUND(N35*G35,0)</f>
        <v>0</v>
      </c>
      <c r="P35" s="604">
        <v>0</v>
      </c>
      <c r="Q35" s="452">
        <v>0</v>
      </c>
      <c r="R35" s="425">
        <f>ROUND(Q35*G35,0)</f>
        <v>0</v>
      </c>
      <c r="S35" s="604">
        <v>0</v>
      </c>
      <c r="T35" s="450">
        <f t="shared" si="4"/>
        <v>0</v>
      </c>
      <c r="U35" s="175">
        <f t="shared" si="5"/>
        <v>0</v>
      </c>
      <c r="V35" s="176">
        <v>0</v>
      </c>
    </row>
    <row r="36" spans="1:22" ht="30" customHeight="1" x14ac:dyDescent="0.3">
      <c r="A36" s="1440"/>
      <c r="B36" s="1441"/>
      <c r="C36" s="493" t="s">
        <v>61</v>
      </c>
      <c r="D36" s="493" t="s">
        <v>125</v>
      </c>
      <c r="E36" s="493">
        <v>0.7</v>
      </c>
      <c r="F36" s="453">
        <v>1009836</v>
      </c>
      <c r="G36" s="32">
        <f t="shared" si="25"/>
        <v>1061338</v>
      </c>
      <c r="H36" s="453">
        <f>ROUND((E36*F36),0)</f>
        <v>706885</v>
      </c>
      <c r="I36" s="32">
        <f t="shared" si="26"/>
        <v>742937</v>
      </c>
      <c r="J36" s="1441"/>
      <c r="K36" s="474">
        <v>0.7</v>
      </c>
      <c r="L36" s="429">
        <f>ROUND(K36*F36,0)</f>
        <v>706885</v>
      </c>
      <c r="M36" s="430">
        <f>L36/H36</f>
        <v>1</v>
      </c>
      <c r="N36" s="452">
        <v>0</v>
      </c>
      <c r="O36" s="425">
        <f t="shared" si="27"/>
        <v>0</v>
      </c>
      <c r="P36" s="604">
        <f t="shared" ref="P36" si="28">+O36/I36</f>
        <v>0</v>
      </c>
      <c r="Q36" s="452">
        <v>0</v>
      </c>
      <c r="R36" s="425">
        <f>ROUND(Q36*G36,0)</f>
        <v>0</v>
      </c>
      <c r="S36" s="604">
        <f t="shared" si="7"/>
        <v>0</v>
      </c>
      <c r="T36" s="450">
        <f t="shared" si="4"/>
        <v>0.7</v>
      </c>
      <c r="U36" s="175">
        <f t="shared" si="5"/>
        <v>706885</v>
      </c>
      <c r="V36" s="176">
        <f>U36/H36</f>
        <v>1</v>
      </c>
    </row>
    <row r="37" spans="1:22" ht="15" customHeight="1" x14ac:dyDescent="0.3">
      <c r="A37" s="1440"/>
      <c r="B37" s="1441"/>
      <c r="C37" s="459"/>
      <c r="D37" s="459" t="s">
        <v>126</v>
      </c>
      <c r="E37" s="458"/>
      <c r="F37" s="458"/>
      <c r="G37" s="458"/>
      <c r="H37" s="457">
        <f>SUM(H35:H36)</f>
        <v>706885</v>
      </c>
      <c r="I37" s="457">
        <f>SUM(I35:I36)</f>
        <v>742937</v>
      </c>
      <c r="J37" s="1441"/>
      <c r="K37" s="431"/>
      <c r="L37" s="179">
        <f>SUM(L35:L36)</f>
        <v>706885</v>
      </c>
      <c r="M37" s="431">
        <f>L37/H37</f>
        <v>1</v>
      </c>
      <c r="N37" s="431"/>
      <c r="O37" s="179">
        <f>SUM(O35:O36)</f>
        <v>0</v>
      </c>
      <c r="P37" s="519">
        <f>O37/L37</f>
        <v>0</v>
      </c>
      <c r="Q37" s="431"/>
      <c r="R37" s="179">
        <f>SUM(R35:R36)</f>
        <v>0</v>
      </c>
      <c r="S37" s="1100">
        <f t="shared" si="7"/>
        <v>0</v>
      </c>
      <c r="T37" s="1101"/>
      <c r="U37" s="1078">
        <f t="shared" si="5"/>
        <v>706885</v>
      </c>
      <c r="V37" s="431">
        <f>U37/H37</f>
        <v>1</v>
      </c>
    </row>
    <row r="38" spans="1:22" x14ac:dyDescent="0.3">
      <c r="F38" s="445" t="s">
        <v>64</v>
      </c>
      <c r="G38" s="445"/>
      <c r="H38" s="340">
        <f>SUM(H14:H37)/2</f>
        <v>7678662</v>
      </c>
      <c r="I38" s="340">
        <f>SUM(I14:I37)/2</f>
        <v>8070286</v>
      </c>
      <c r="K38" s="547" t="s">
        <v>64</v>
      </c>
      <c r="L38" s="550">
        <f>SUM(L14:L37)/2</f>
        <v>6226167</v>
      </c>
      <c r="N38" s="547" t="s">
        <v>64</v>
      </c>
      <c r="O38" s="550">
        <f>SUM(O14:O37)/2</f>
        <v>46113</v>
      </c>
      <c r="P38" s="610"/>
      <c r="Q38" s="547" t="s">
        <v>64</v>
      </c>
      <c r="R38" s="550">
        <f>SUM(R14:R37)/2</f>
        <v>0</v>
      </c>
      <c r="S38" s="610"/>
      <c r="T38" s="547" t="s">
        <v>64</v>
      </c>
      <c r="U38" s="550">
        <f>SUM(U14:U37)/2</f>
        <v>6272280</v>
      </c>
    </row>
    <row r="39" spans="1:22" x14ac:dyDescent="0.3">
      <c r="F39" s="444" t="s">
        <v>65</v>
      </c>
      <c r="G39" s="444"/>
      <c r="H39" s="181">
        <v>0</v>
      </c>
      <c r="I39" s="181">
        <v>0</v>
      </c>
      <c r="K39" s="548" t="s">
        <v>65</v>
      </c>
      <c r="L39" s="481">
        <v>0</v>
      </c>
      <c r="N39" s="548" t="s">
        <v>65</v>
      </c>
      <c r="O39" s="481">
        <v>0</v>
      </c>
      <c r="P39" s="610"/>
      <c r="Q39" s="548" t="s">
        <v>65</v>
      </c>
      <c r="R39" s="481">
        <v>0</v>
      </c>
      <c r="S39" s="610"/>
      <c r="T39" s="548" t="s">
        <v>65</v>
      </c>
      <c r="U39" s="481">
        <v>0</v>
      </c>
    </row>
    <row r="40" spans="1:22" x14ac:dyDescent="0.3">
      <c r="F40" s="443" t="s">
        <v>64</v>
      </c>
      <c r="G40" s="443"/>
      <c r="H40" s="340">
        <f>SUM(H38:H39)</f>
        <v>7678662</v>
      </c>
      <c r="I40" s="340">
        <f>SUM(I38:I39)</f>
        <v>8070286</v>
      </c>
      <c r="K40" s="549" t="s">
        <v>64</v>
      </c>
      <c r="L40" s="550">
        <f>SUM(L38:L39)</f>
        <v>6226167</v>
      </c>
      <c r="N40" s="549" t="s">
        <v>64</v>
      </c>
      <c r="O40" s="550">
        <f>SUM(O38:O39)</f>
        <v>46113</v>
      </c>
      <c r="Q40" s="549" t="s">
        <v>64</v>
      </c>
      <c r="R40" s="550">
        <f>SUM(R38:R39)</f>
        <v>0</v>
      </c>
      <c r="T40" s="549" t="s">
        <v>64</v>
      </c>
      <c r="U40" s="550">
        <f>SUM(U38:U39)</f>
        <v>6272280</v>
      </c>
    </row>
    <row r="41" spans="1:22" ht="26.4" x14ac:dyDescent="0.3">
      <c r="F41" s="443"/>
      <c r="G41" s="443"/>
      <c r="H41" s="340"/>
      <c r="I41" s="340"/>
      <c r="K41" s="501" t="s">
        <v>1439</v>
      </c>
      <c r="L41" s="483">
        <f>ROUND(L40*0.015,0)</f>
        <v>93393</v>
      </c>
      <c r="N41" s="501" t="s">
        <v>1439</v>
      </c>
      <c r="O41" s="483">
        <f>ROUND(O40*0.015,0)</f>
        <v>692</v>
      </c>
      <c r="Q41" s="501" t="s">
        <v>1439</v>
      </c>
      <c r="R41" s="483">
        <f>ROUND(R40*0.015,0)</f>
        <v>0</v>
      </c>
      <c r="T41" s="501" t="s">
        <v>1439</v>
      </c>
      <c r="U41" s="550">
        <f>L41+O41+R41</f>
        <v>94085</v>
      </c>
    </row>
    <row r="42" spans="1:22" ht="39.6" x14ac:dyDescent="0.3">
      <c r="F42" s="443"/>
      <c r="G42" s="443"/>
      <c r="H42" s="340"/>
      <c r="I42" s="340"/>
      <c r="K42" s="96" t="s">
        <v>1440</v>
      </c>
      <c r="L42" s="182">
        <f>L40+L41</f>
        <v>6319560</v>
      </c>
      <c r="M42" s="577">
        <f>L42/H40</f>
        <v>0.82300275751166019</v>
      </c>
      <c r="N42" s="96" t="s">
        <v>1440</v>
      </c>
      <c r="O42" s="182">
        <f>O40+O41</f>
        <v>46805</v>
      </c>
      <c r="P42" s="577">
        <f>O42/H40</f>
        <v>6.0954629856086904E-3</v>
      </c>
      <c r="Q42" s="96" t="s">
        <v>1440</v>
      </c>
      <c r="R42" s="182">
        <f>R40+R41</f>
        <v>0</v>
      </c>
      <c r="S42" s="577">
        <f>R42/H38</f>
        <v>0</v>
      </c>
      <c r="T42" s="96" t="s">
        <v>1440</v>
      </c>
      <c r="U42" s="182">
        <f>U40+U41</f>
        <v>6366365</v>
      </c>
      <c r="V42" s="577">
        <f>U42/H40</f>
        <v>0.82909822049726889</v>
      </c>
    </row>
    <row r="43" spans="1:22" x14ac:dyDescent="0.3">
      <c r="F43" s="442" t="s">
        <v>66</v>
      </c>
      <c r="G43" s="442"/>
      <c r="H43" s="181">
        <f>+H40*19%</f>
        <v>1458945.78</v>
      </c>
      <c r="I43" s="181">
        <f>+I40*19%</f>
        <v>1533354.34</v>
      </c>
      <c r="K43" s="551" t="s">
        <v>66</v>
      </c>
      <c r="L43" s="483">
        <f>L42*0.19</f>
        <v>1200716.3999999999</v>
      </c>
      <c r="N43" s="551" t="s">
        <v>66</v>
      </c>
      <c r="O43" s="483">
        <f>O42*0.19</f>
        <v>8892.9500000000007</v>
      </c>
      <c r="Q43" s="551" t="s">
        <v>66</v>
      </c>
      <c r="R43" s="483">
        <f>R42*0.19</f>
        <v>0</v>
      </c>
      <c r="T43" s="551" t="s">
        <v>66</v>
      </c>
      <c r="U43" s="483">
        <f>U42*0.19</f>
        <v>1209609.3500000001</v>
      </c>
    </row>
    <row r="44" spans="1:22" x14ac:dyDescent="0.3">
      <c r="F44" s="441" t="s">
        <v>69</v>
      </c>
      <c r="G44" s="441"/>
      <c r="H44" s="181">
        <f>+H40+H43</f>
        <v>9137607.7799999993</v>
      </c>
      <c r="I44" s="181">
        <f>+I40+I43</f>
        <v>9603640.3399999999</v>
      </c>
      <c r="K44" s="552" t="s">
        <v>69</v>
      </c>
      <c r="L44" s="481">
        <f>L42+L43</f>
        <v>7520276.4000000004</v>
      </c>
      <c r="N44" s="552" t="s">
        <v>69</v>
      </c>
      <c r="O44" s="481">
        <f>O42+O43</f>
        <v>55697.95</v>
      </c>
      <c r="Q44" s="552" t="s">
        <v>69</v>
      </c>
      <c r="R44" s="481">
        <f>R42+R43</f>
        <v>0</v>
      </c>
      <c r="T44" s="552" t="s">
        <v>69</v>
      </c>
      <c r="U44" s="481">
        <f>U42+U43</f>
        <v>7575974.3499999996</v>
      </c>
    </row>
    <row r="49" spans="1:22" s="189" customFormat="1" x14ac:dyDescent="0.3">
      <c r="A49" s="183" t="s">
        <v>67</v>
      </c>
      <c r="B49" s="184"/>
      <c r="C49" s="184"/>
      <c r="D49" s="185" t="s">
        <v>68</v>
      </c>
      <c r="G49" s="852"/>
      <c r="I49" s="852"/>
      <c r="K49" s="186" t="s">
        <v>70</v>
      </c>
      <c r="L49" s="187" t="s">
        <v>71</v>
      </c>
      <c r="M49" s="186" t="s">
        <v>58</v>
      </c>
      <c r="N49" s="186" t="s">
        <v>70</v>
      </c>
      <c r="O49" s="187" t="s">
        <v>71</v>
      </c>
      <c r="P49" s="186" t="s">
        <v>58</v>
      </c>
      <c r="Q49" s="186" t="s">
        <v>70</v>
      </c>
      <c r="R49" s="187" t="s">
        <v>71</v>
      </c>
      <c r="S49" s="186" t="s">
        <v>58</v>
      </c>
      <c r="T49" s="437"/>
      <c r="U49" s="437"/>
      <c r="V49" s="437"/>
    </row>
    <row r="50" spans="1:22" s="189" customFormat="1" x14ac:dyDescent="0.3">
      <c r="A50" s="183"/>
      <c r="B50" s="184"/>
      <c r="C50" s="184"/>
      <c r="D50" s="185"/>
      <c r="G50" s="852"/>
      <c r="I50" s="852"/>
      <c r="K50" s="69" t="s">
        <v>72</v>
      </c>
      <c r="L50" s="70">
        <f>L42</f>
        <v>6319560</v>
      </c>
      <c r="M50" s="360">
        <f>M42</f>
        <v>0.82300275751166019</v>
      </c>
      <c r="N50" s="69" t="s">
        <v>72</v>
      </c>
      <c r="O50" s="70">
        <f>L42</f>
        <v>6319560</v>
      </c>
      <c r="P50" s="360">
        <f>M42</f>
        <v>0.82300275751166019</v>
      </c>
      <c r="Q50" s="69" t="s">
        <v>72</v>
      </c>
      <c r="R50" s="70">
        <f>$L$42</f>
        <v>6319560</v>
      </c>
      <c r="S50" s="360">
        <f>$M$42</f>
        <v>0.82300275751166019</v>
      </c>
      <c r="T50" s="437"/>
      <c r="U50" s="437"/>
      <c r="V50" s="437"/>
    </row>
    <row r="51" spans="1:22" s="189" customFormat="1" x14ac:dyDescent="0.3">
      <c r="A51" s="183"/>
      <c r="B51" s="184"/>
      <c r="C51" s="184"/>
      <c r="D51" s="185"/>
      <c r="G51" s="852"/>
      <c r="I51" s="852"/>
      <c r="K51" s="72" t="s">
        <v>1</v>
      </c>
      <c r="L51" s="105">
        <f>SUM(L50:L50)</f>
        <v>6319560</v>
      </c>
      <c r="M51" s="361">
        <f>SUM(M50:M50)</f>
        <v>0.82300275751166019</v>
      </c>
      <c r="N51" s="69" t="s">
        <v>73</v>
      </c>
      <c r="O51" s="70">
        <f>O42</f>
        <v>46805</v>
      </c>
      <c r="P51" s="360">
        <f>P42</f>
        <v>6.0954629856086904E-3</v>
      </c>
      <c r="Q51" s="69" t="s">
        <v>73</v>
      </c>
      <c r="R51" s="70">
        <f>$O$42</f>
        <v>46805</v>
      </c>
      <c r="S51" s="360">
        <f>$P$42</f>
        <v>6.0954629856086904E-3</v>
      </c>
      <c r="T51" s="437"/>
      <c r="U51" s="437"/>
      <c r="V51" s="437"/>
    </row>
    <row r="52" spans="1:22" s="189" customFormat="1" x14ac:dyDescent="0.3">
      <c r="A52" s="183"/>
      <c r="B52" s="184"/>
      <c r="C52" s="184"/>
      <c r="D52" s="185"/>
      <c r="G52" s="852"/>
      <c r="I52" s="852"/>
      <c r="K52" s="72" t="s">
        <v>9</v>
      </c>
      <c r="L52" s="1423"/>
      <c r="M52" s="1424"/>
      <c r="N52" s="72" t="s">
        <v>1</v>
      </c>
      <c r="O52" s="105">
        <f>SUM(O50:O51)</f>
        <v>6366365</v>
      </c>
      <c r="P52" s="361">
        <f>SUM(P50:P51)</f>
        <v>0.82909822049726889</v>
      </c>
      <c r="Q52" s="69" t="s">
        <v>74</v>
      </c>
      <c r="R52" s="70">
        <f>$R$42</f>
        <v>0</v>
      </c>
      <c r="S52" s="360">
        <f>$S$42</f>
        <v>0</v>
      </c>
      <c r="T52" s="437"/>
      <c r="U52" s="437"/>
      <c r="V52" s="437"/>
    </row>
    <row r="53" spans="1:22" s="189" customFormat="1" x14ac:dyDescent="0.3">
      <c r="A53" s="183"/>
      <c r="B53" s="184"/>
      <c r="C53" s="184"/>
      <c r="D53" s="185"/>
      <c r="G53" s="852"/>
      <c r="I53" s="852"/>
      <c r="K53" s="440" t="s">
        <v>78</v>
      </c>
      <c r="L53" s="1423" t="s">
        <v>396</v>
      </c>
      <c r="M53" s="1424"/>
      <c r="N53" s="72" t="s">
        <v>9</v>
      </c>
      <c r="O53" s="723"/>
      <c r="P53" s="724"/>
      <c r="Q53" s="72" t="s">
        <v>1</v>
      </c>
      <c r="R53" s="105">
        <f>SUM(R50:R52)</f>
        <v>6366365</v>
      </c>
      <c r="S53" s="361">
        <f>SUM(S50:S52)</f>
        <v>0.82909822049726889</v>
      </c>
      <c r="T53" s="437"/>
      <c r="U53" s="437"/>
      <c r="V53" s="437"/>
    </row>
    <row r="54" spans="1:22" s="189" customFormat="1" x14ac:dyDescent="0.3">
      <c r="A54" s="183"/>
      <c r="B54" s="184"/>
      <c r="C54" s="184"/>
      <c r="D54" s="185"/>
      <c r="G54" s="852"/>
      <c r="I54" s="852"/>
      <c r="K54" s="439" t="s">
        <v>8</v>
      </c>
      <c r="L54" s="1425" t="s">
        <v>397</v>
      </c>
      <c r="M54" s="1426"/>
      <c r="N54" s="440" t="s">
        <v>78</v>
      </c>
      <c r="O54" s="723" t="s">
        <v>396</v>
      </c>
      <c r="P54" s="724"/>
      <c r="Q54" s="72" t="s">
        <v>9</v>
      </c>
      <c r="R54" s="1056"/>
      <c r="S54" s="1057"/>
      <c r="T54" s="437"/>
      <c r="U54" s="437"/>
      <c r="V54" s="437"/>
    </row>
    <row r="55" spans="1:22" s="189" customFormat="1" x14ac:dyDescent="0.3">
      <c r="A55" s="183"/>
      <c r="B55" s="184"/>
      <c r="C55" s="184"/>
      <c r="D55" s="185" t="s">
        <v>75</v>
      </c>
      <c r="G55" s="852"/>
      <c r="I55" s="852"/>
      <c r="N55" s="439" t="s">
        <v>8</v>
      </c>
      <c r="O55" s="725" t="s">
        <v>397</v>
      </c>
      <c r="P55" s="726"/>
      <c r="Q55" s="440" t="s">
        <v>78</v>
      </c>
      <c r="R55" s="1056" t="s">
        <v>396</v>
      </c>
      <c r="S55" s="1057"/>
    </row>
    <row r="56" spans="1:22" s="189" customFormat="1" x14ac:dyDescent="0.3">
      <c r="A56" s="183" t="s">
        <v>76</v>
      </c>
      <c r="B56" s="180"/>
      <c r="C56" s="180"/>
      <c r="D56" s="185" t="s">
        <v>77</v>
      </c>
      <c r="G56" s="852"/>
      <c r="I56" s="852"/>
      <c r="N56" s="727"/>
      <c r="O56" s="727"/>
      <c r="P56" s="727"/>
      <c r="Q56" s="439" t="s">
        <v>8</v>
      </c>
      <c r="R56" s="1058" t="s">
        <v>397</v>
      </c>
      <c r="S56" s="1059"/>
    </row>
    <row r="57" spans="1:22" s="189" customFormat="1" ht="26.4" x14ac:dyDescent="0.3">
      <c r="A57" s="183" t="s">
        <v>79</v>
      </c>
      <c r="B57" s="180"/>
      <c r="C57" s="180"/>
      <c r="D57" s="185" t="s">
        <v>80</v>
      </c>
      <c r="G57" s="852"/>
      <c r="I57" s="852"/>
      <c r="N57" s="727"/>
      <c r="O57" s="727"/>
      <c r="P57" s="727"/>
      <c r="Q57" s="1055"/>
      <c r="R57" s="1055"/>
      <c r="S57" s="1055"/>
    </row>
    <row r="58" spans="1:22" x14ac:dyDescent="0.3">
      <c r="Q58" s="1055"/>
      <c r="R58" s="1055"/>
      <c r="S58" s="1055"/>
    </row>
  </sheetData>
  <sheetProtection formatCells="0" formatColumns="0" formatRows="0" insertColumns="0" insertRows="0" insertHyperlinks="0" deleteColumns="0" deleteRows="0" sort="0" autoFilter="0" pivotTables="0"/>
  <mergeCells count="44">
    <mergeCell ref="A7:V7"/>
    <mergeCell ref="A8:V8"/>
    <mergeCell ref="A9:V9"/>
    <mergeCell ref="A10:V10"/>
    <mergeCell ref="B11:J11"/>
    <mergeCell ref="K11:M12"/>
    <mergeCell ref="T11:V12"/>
    <mergeCell ref="B12:J12"/>
    <mergeCell ref="N11:P12"/>
    <mergeCell ref="Q11:S12"/>
    <mergeCell ref="L52:M52"/>
    <mergeCell ref="L53:M53"/>
    <mergeCell ref="L54:M54"/>
    <mergeCell ref="T1:V1"/>
    <mergeCell ref="T2:V2"/>
    <mergeCell ref="A3:V3"/>
    <mergeCell ref="A4:V4"/>
    <mergeCell ref="A5:V5"/>
    <mergeCell ref="C1:M2"/>
    <mergeCell ref="A6:V6"/>
    <mergeCell ref="A14:A17"/>
    <mergeCell ref="B14:B17"/>
    <mergeCell ref="J14:J17"/>
    <mergeCell ref="A18:A20"/>
    <mergeCell ref="B18:B20"/>
    <mergeCell ref="J18:J20"/>
    <mergeCell ref="A21:A23"/>
    <mergeCell ref="B21:B23"/>
    <mergeCell ref="J21:J23"/>
    <mergeCell ref="A24:A26"/>
    <mergeCell ref="B24:B26"/>
    <mergeCell ref="J24:J26"/>
    <mergeCell ref="A35:A37"/>
    <mergeCell ref="B35:B37"/>
    <mergeCell ref="J35:J37"/>
    <mergeCell ref="A27:A28"/>
    <mergeCell ref="B27:B28"/>
    <mergeCell ref="J27:J28"/>
    <mergeCell ref="A29:A30"/>
    <mergeCell ref="B29:B30"/>
    <mergeCell ref="J29:J30"/>
    <mergeCell ref="A31:A34"/>
    <mergeCell ref="B31:B34"/>
    <mergeCell ref="J31:J34"/>
  </mergeCells>
  <pageMargins left="0.70866141732283472" right="0.70866141732283472" top="0.74803149606299213" bottom="0.74803149606299213" header="0.31496062992125984" footer="0.31496062992125984"/>
  <pageSetup scale="33" orientation="landscape" r:id="rId1"/>
  <drawing r:id="rId2"/>
  <legacyDrawingHF r:id="rId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5">
    <tabColor theme="1"/>
  </sheetPr>
  <dimension ref="A1:G49"/>
  <sheetViews>
    <sheetView topLeftCell="A16"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RESUMEN!G103</f>
        <v>Proyecto: AMPLIACIÓN CAPACIDAD AT-MT MOSQUERA</v>
      </c>
      <c r="C5" s="1281"/>
      <c r="D5" s="1281"/>
      <c r="E5" s="1281"/>
      <c r="F5" s="1281"/>
      <c r="G5" s="1282"/>
    </row>
    <row r="6" spans="1:7" x14ac:dyDescent="0.25">
      <c r="A6" s="1177"/>
      <c r="B6" s="1177"/>
      <c r="C6" s="1177"/>
      <c r="D6" s="1177"/>
      <c r="E6" s="1177"/>
      <c r="F6" s="1177"/>
      <c r="G6" s="1177"/>
    </row>
    <row r="7" spans="1:7" x14ac:dyDescent="0.25">
      <c r="A7" s="271" t="s">
        <v>0</v>
      </c>
      <c r="B7" s="1264" t="str">
        <f>RESUMEN!B103</f>
        <v>D00249375</v>
      </c>
      <c r="C7" s="1265"/>
      <c r="D7" s="1177"/>
      <c r="E7" s="1266" t="s">
        <v>627</v>
      </c>
      <c r="F7" s="1267"/>
      <c r="G7" s="280" t="str">
        <f>RESUMEN!E103</f>
        <v>17-387</v>
      </c>
    </row>
    <row r="8" spans="1:7" x14ac:dyDescent="0.25">
      <c r="A8" s="271" t="s">
        <v>628</v>
      </c>
      <c r="B8" s="1264" t="str">
        <f>RESUMEN!C103</f>
        <v>D00249375000</v>
      </c>
      <c r="C8" s="1265"/>
      <c r="D8" s="1177"/>
      <c r="E8" s="1266" t="s">
        <v>629</v>
      </c>
      <c r="F8" s="1267"/>
      <c r="G8" s="280" t="str">
        <f>RESUMEN!U103</f>
        <v>Acta N° 2: Marzo</v>
      </c>
    </row>
    <row r="9" spans="1:7" x14ac:dyDescent="0.25">
      <c r="A9" s="271" t="s">
        <v>630</v>
      </c>
      <c r="B9" s="1283" t="s">
        <v>631</v>
      </c>
      <c r="C9" s="1265"/>
      <c r="D9" s="1177"/>
      <c r="E9" s="1266" t="s">
        <v>632</v>
      </c>
      <c r="F9" s="1267"/>
      <c r="G9" s="1178">
        <f>RESUMEN!H103</f>
        <v>110970553</v>
      </c>
    </row>
    <row r="10" spans="1:7" x14ac:dyDescent="0.25">
      <c r="A10" s="271" t="s">
        <v>633</v>
      </c>
      <c r="B10" s="1283" t="str">
        <f>RESUMEN!D103</f>
        <v>MOSQUERA</v>
      </c>
      <c r="C10" s="1265"/>
      <c r="D10" s="1177"/>
      <c r="E10" s="1266" t="s">
        <v>634</v>
      </c>
      <c r="F10" s="1267"/>
      <c r="G10" s="1178">
        <f>RESUMEN!R103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",RESUMEN!G103)</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AMPLIACIÓN CAPACIDAD AT-MT MOSQUERA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RESUMEN!N103</f>
        <v>0</v>
      </c>
      <c r="F19" s="1248"/>
      <c r="G19" s="1177"/>
    </row>
    <row r="20" spans="1:7" ht="27" customHeight="1" x14ac:dyDescent="0.25">
      <c r="A20" s="1177"/>
      <c r="B20" s="1244" t="s">
        <v>1498</v>
      </c>
      <c r="C20" s="1245"/>
      <c r="D20" s="1246"/>
      <c r="E20" s="1247">
        <f>RESUMEN!P103</f>
        <v>0</v>
      </c>
      <c r="F20" s="1248"/>
      <c r="G20" s="1177"/>
    </row>
    <row r="21" spans="1:7" ht="27" customHeight="1" x14ac:dyDescent="0.25">
      <c r="A21" s="1177"/>
      <c r="B21" s="1244" t="s">
        <v>1499</v>
      </c>
      <c r="C21" s="1245"/>
      <c r="D21" s="1246"/>
      <c r="E21" s="1247">
        <f>RESUMEN!Q103</f>
        <v>0</v>
      </c>
      <c r="F21" s="1248"/>
      <c r="G21" s="1177"/>
    </row>
    <row r="22" spans="1:7" x14ac:dyDescent="0.25">
      <c r="A22" s="1177"/>
      <c r="B22" s="1254" t="s">
        <v>64</v>
      </c>
      <c r="C22" s="1254"/>
      <c r="D22" s="1254"/>
      <c r="E22" s="1255">
        <f>RESUMEN!R103</f>
        <v>0</v>
      </c>
      <c r="F22" s="1255"/>
      <c r="G22" s="1177"/>
    </row>
    <row r="23" spans="1:7" x14ac:dyDescent="0.25">
      <c r="A23" s="1177"/>
      <c r="B23" s="1256" t="s">
        <v>66</v>
      </c>
      <c r="C23" s="1256"/>
      <c r="D23" s="1256"/>
      <c r="E23" s="1257">
        <f>RESUMEN!S103</f>
        <v>0</v>
      </c>
      <c r="F23" s="1257"/>
      <c r="G23" s="1177"/>
    </row>
    <row r="24" spans="1:7" x14ac:dyDescent="0.25">
      <c r="A24" s="1177"/>
      <c r="B24" s="1258" t="s">
        <v>1</v>
      </c>
      <c r="C24" s="1258"/>
      <c r="D24" s="1258"/>
      <c r="E24" s="1259">
        <f>RESUMEN!T103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+'OT17-387 MOSQUERA '!N54</f>
        <v>ACTA 1</v>
      </c>
      <c r="C28" s="1253">
        <f>+'OT17-387 MOSQUERA '!O54</f>
        <v>19978490</v>
      </c>
      <c r="D28" s="1253"/>
      <c r="E28" s="267">
        <f>+'OT17-387 MOSQUERA '!P54</f>
        <v>0.18003415734983316</v>
      </c>
      <c r="F28" s="1177"/>
      <c r="G28" s="1177"/>
    </row>
    <row r="29" spans="1:7" x14ac:dyDescent="0.25">
      <c r="A29" s="1177"/>
      <c r="B29" s="280" t="str">
        <f>+'OT17-387 MOSQUERA '!N55</f>
        <v>ACTA 2</v>
      </c>
      <c r="C29" s="1253">
        <f>+'OT17-387 MOSQUERA '!O55</f>
        <v>0</v>
      </c>
      <c r="D29" s="1253"/>
      <c r="E29" s="267">
        <f>+'OT17-387 MOSQUERA '!P55</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19978490</v>
      </c>
      <c r="D34" s="1251"/>
      <c r="E34" s="264">
        <f>SUM(E28:E33)</f>
        <v>0.18003415734983316</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RESUMEN!V103</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6">
    <tabColor rgb="FF72104A"/>
  </sheetPr>
  <dimension ref="A1:S62"/>
  <sheetViews>
    <sheetView topLeftCell="H33" zoomScale="70" zoomScaleNormal="70" workbookViewId="0">
      <selection activeCell="P27" sqref="P27"/>
    </sheetView>
  </sheetViews>
  <sheetFormatPr baseColWidth="10" defaultColWidth="9.109375" defaultRowHeight="14.4" x14ac:dyDescent="0.3"/>
  <cols>
    <col min="1" max="1" width="15.88671875" style="437" customWidth="1"/>
    <col min="2" max="2" width="34.33203125" style="437" customWidth="1"/>
    <col min="3" max="3" width="33.109375" style="437" customWidth="1"/>
    <col min="4" max="4" width="22.33203125" style="437" bestFit="1" customWidth="1"/>
    <col min="5" max="5" width="14.88671875" style="464" customWidth="1"/>
    <col min="6" max="7" width="18" style="437" customWidth="1"/>
    <col min="8" max="9" width="18.88671875" style="437" customWidth="1"/>
    <col min="10" max="10" width="55.5546875" style="437" customWidth="1"/>
    <col min="11" max="11" width="19.5546875" style="437" customWidth="1"/>
    <col min="12" max="12" width="19.109375" style="437" customWidth="1"/>
    <col min="13" max="13" width="10" style="437" bestFit="1" customWidth="1"/>
    <col min="14" max="14" width="15.5546875" style="437" customWidth="1"/>
    <col min="15" max="15" width="15.109375" style="437" customWidth="1"/>
    <col min="16" max="16" width="17.109375" style="437" customWidth="1"/>
    <col min="17" max="17" width="17.88671875" style="437" bestFit="1" customWidth="1"/>
    <col min="18" max="18" width="18" style="437" bestFit="1" customWidth="1"/>
    <col min="19" max="16384" width="9.109375" style="437"/>
  </cols>
  <sheetData>
    <row r="1" spans="1:19" ht="22.5" customHeight="1" thickBot="1" x14ac:dyDescent="0.35">
      <c r="A1" s="169"/>
      <c r="B1" s="188"/>
      <c r="C1" s="1307" t="s">
        <v>40</v>
      </c>
      <c r="D1" s="1308"/>
      <c r="E1" s="1308"/>
      <c r="F1" s="1308"/>
      <c r="G1" s="1308"/>
      <c r="H1" s="1308"/>
      <c r="I1" s="1308"/>
      <c r="J1" s="1308"/>
      <c r="K1" s="1308"/>
      <c r="L1" s="1308"/>
      <c r="M1" s="1308"/>
      <c r="N1" s="1052"/>
      <c r="O1" s="1052"/>
      <c r="P1" s="1052"/>
      <c r="Q1" s="1328" t="s">
        <v>1656</v>
      </c>
      <c r="R1" s="1303"/>
      <c r="S1" s="1304"/>
    </row>
    <row r="2" spans="1:19" ht="13.5" customHeight="1"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1655</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1654</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2" t="s">
        <v>237</v>
      </c>
      <c r="B14" s="1441" t="s">
        <v>1653</v>
      </c>
      <c r="C14" s="493" t="s">
        <v>81</v>
      </c>
      <c r="D14" s="493" t="s">
        <v>111</v>
      </c>
      <c r="E14" s="467">
        <v>0.7</v>
      </c>
      <c r="F14" s="453">
        <v>4805428</v>
      </c>
      <c r="G14" s="32">
        <f>+ROUND(F14*1.051,0)</f>
        <v>5050505</v>
      </c>
      <c r="H14" s="453">
        <f>ROUND((E14*F14),0)</f>
        <v>3363800</v>
      </c>
      <c r="I14" s="32">
        <f>+ROUND(G14*E14,0)</f>
        <v>3535354</v>
      </c>
      <c r="J14" s="1442" t="s">
        <v>1652</v>
      </c>
      <c r="K14" s="452">
        <v>0</v>
      </c>
      <c r="L14" s="425">
        <f>ROUND(K14*G14,0)</f>
        <v>0</v>
      </c>
      <c r="M14" s="426">
        <f>+L14/H14</f>
        <v>0</v>
      </c>
      <c r="N14" s="452">
        <v>0</v>
      </c>
      <c r="O14" s="425">
        <f>ROUND(N14*G14,0)</f>
        <v>0</v>
      </c>
      <c r="P14" s="426">
        <f>+O14/I14</f>
        <v>0</v>
      </c>
      <c r="Q14" s="450">
        <f>K14+N14</f>
        <v>0</v>
      </c>
      <c r="R14" s="175">
        <f>L14+O14</f>
        <v>0</v>
      </c>
      <c r="S14" s="176">
        <f t="shared" ref="S14:S24" si="0">R14/H14</f>
        <v>0</v>
      </c>
    </row>
    <row r="15" spans="1:19" ht="30" customHeight="1" x14ac:dyDescent="0.3">
      <c r="A15" s="1441"/>
      <c r="B15" s="1441"/>
      <c r="C15" s="493" t="s">
        <v>83</v>
      </c>
      <c r="D15" s="493" t="s">
        <v>113</v>
      </c>
      <c r="E15" s="467">
        <v>1</v>
      </c>
      <c r="F15" s="453">
        <v>7451895</v>
      </c>
      <c r="G15" s="32">
        <f t="shared" ref="G15:G16" si="1">+ROUND(F15*1.051,0)</f>
        <v>7831942</v>
      </c>
      <c r="H15" s="453">
        <f>ROUND((E15*F15),0)</f>
        <v>7451895</v>
      </c>
      <c r="I15" s="32">
        <f t="shared" ref="I15:I16" si="2">+ROUND(G15*E15,0)</f>
        <v>7831942</v>
      </c>
      <c r="J15" s="1441"/>
      <c r="K15" s="474">
        <f>0.3*75%</f>
        <v>0.22499999999999998</v>
      </c>
      <c r="L15" s="429">
        <f t="shared" ref="L15:L16" si="3">ROUND(K15*G15,0)</f>
        <v>1762187</v>
      </c>
      <c r="M15" s="430">
        <f>+L15/H15</f>
        <v>0.23647501742845276</v>
      </c>
      <c r="N15" s="452">
        <v>0</v>
      </c>
      <c r="O15" s="425">
        <f t="shared" ref="O15:O16" si="4">ROUND(N15*G15,0)</f>
        <v>0</v>
      </c>
      <c r="P15" s="426">
        <f t="shared" ref="P15:P42" si="5">+O15/I15</f>
        <v>0</v>
      </c>
      <c r="Q15" s="450">
        <f t="shared" ref="Q15:Q41" si="6">K15+N15</f>
        <v>0.22499999999999998</v>
      </c>
      <c r="R15" s="175">
        <f t="shared" ref="R15:R42" si="7">L15+O15</f>
        <v>1762187</v>
      </c>
      <c r="S15" s="176">
        <f t="shared" si="0"/>
        <v>0.23647501742845276</v>
      </c>
    </row>
    <row r="16" spans="1:19" ht="30" customHeight="1" x14ac:dyDescent="0.3">
      <c r="A16" s="1441"/>
      <c r="B16" s="1441"/>
      <c r="C16" s="493" t="s">
        <v>114</v>
      </c>
      <c r="D16" s="493" t="s">
        <v>115</v>
      </c>
      <c r="E16" s="467">
        <v>1</v>
      </c>
      <c r="F16" s="453">
        <v>15286831</v>
      </c>
      <c r="G16" s="32">
        <f t="shared" si="1"/>
        <v>16066459</v>
      </c>
      <c r="H16" s="453">
        <f>ROUND((E16*F16),0)</f>
        <v>15286831</v>
      </c>
      <c r="I16" s="32">
        <f t="shared" si="2"/>
        <v>16066459</v>
      </c>
      <c r="J16" s="1441"/>
      <c r="K16" s="452">
        <v>0</v>
      </c>
      <c r="L16" s="425">
        <f t="shared" si="3"/>
        <v>0</v>
      </c>
      <c r="M16" s="426">
        <f t="shared" ref="M16" si="8">+L16/H16</f>
        <v>0</v>
      </c>
      <c r="N16" s="452">
        <v>0</v>
      </c>
      <c r="O16" s="425">
        <f t="shared" si="4"/>
        <v>0</v>
      </c>
      <c r="P16" s="426">
        <f t="shared" si="5"/>
        <v>0</v>
      </c>
      <c r="Q16" s="450">
        <f t="shared" si="6"/>
        <v>0</v>
      </c>
      <c r="R16" s="175">
        <f t="shared" si="7"/>
        <v>0</v>
      </c>
      <c r="S16" s="176">
        <f t="shared" si="0"/>
        <v>0</v>
      </c>
    </row>
    <row r="17" spans="1:19" x14ac:dyDescent="0.3">
      <c r="A17" s="1441"/>
      <c r="B17" s="1441"/>
      <c r="C17" s="459"/>
      <c r="D17" s="459" t="s">
        <v>116</v>
      </c>
      <c r="E17" s="465"/>
      <c r="F17" s="458"/>
      <c r="G17" s="458"/>
      <c r="H17" s="457">
        <f>SUM(H14:H16)</f>
        <v>26102526</v>
      </c>
      <c r="I17" s="457">
        <f>SUM(I14:I16)</f>
        <v>27433755</v>
      </c>
      <c r="J17" s="1441"/>
      <c r="K17" s="431"/>
      <c r="L17" s="179">
        <f>SUM(L14:L16)</f>
        <v>1762187</v>
      </c>
      <c r="M17" s="431">
        <f t="shared" ref="M17:M24" si="9">L17/H17</f>
        <v>6.7510209548301947E-2</v>
      </c>
      <c r="N17" s="431"/>
      <c r="O17" s="179">
        <f>SUM(O14:O16)</f>
        <v>0</v>
      </c>
      <c r="P17" s="1091">
        <f t="shared" si="5"/>
        <v>0</v>
      </c>
      <c r="Q17" s="1089"/>
      <c r="R17" s="1078">
        <f t="shared" si="7"/>
        <v>1762187</v>
      </c>
      <c r="S17" s="431">
        <f t="shared" si="0"/>
        <v>6.7510209548301947E-2</v>
      </c>
    </row>
    <row r="18" spans="1:19" ht="30" customHeight="1" x14ac:dyDescent="0.3">
      <c r="A18" s="1441" t="s">
        <v>1651</v>
      </c>
      <c r="B18" s="1441" t="s">
        <v>1650</v>
      </c>
      <c r="C18" s="493" t="s">
        <v>81</v>
      </c>
      <c r="D18" s="493" t="s">
        <v>133</v>
      </c>
      <c r="E18" s="467">
        <v>0.7</v>
      </c>
      <c r="F18" s="453">
        <v>11282308</v>
      </c>
      <c r="G18" s="32">
        <f t="shared" ref="G18:G20" si="10">+ROUND(F18*1.051,0)</f>
        <v>11857706</v>
      </c>
      <c r="H18" s="453">
        <f>ROUND((E18*F18),0)</f>
        <v>7897616</v>
      </c>
      <c r="I18" s="32">
        <f t="shared" ref="I18:I20" si="11">+ROUND(G18*E18,0)</f>
        <v>8300394</v>
      </c>
      <c r="J18" s="1442" t="s">
        <v>1649</v>
      </c>
      <c r="K18" s="452">
        <v>0</v>
      </c>
      <c r="L18" s="425">
        <f t="shared" ref="L18:L20" si="12">ROUND(K18*G18,0)</f>
        <v>0</v>
      </c>
      <c r="M18" s="426">
        <f t="shared" ref="M18:M20" si="13">+L18/H18</f>
        <v>0</v>
      </c>
      <c r="N18" s="452">
        <v>0</v>
      </c>
      <c r="O18" s="425">
        <f>ROUND(N18*G18,0)</f>
        <v>0</v>
      </c>
      <c r="P18" s="426">
        <f t="shared" si="5"/>
        <v>0</v>
      </c>
      <c r="Q18" s="450">
        <f t="shared" si="6"/>
        <v>0</v>
      </c>
      <c r="R18" s="175">
        <f t="shared" si="7"/>
        <v>0</v>
      </c>
      <c r="S18" s="176">
        <f t="shared" si="0"/>
        <v>0</v>
      </c>
    </row>
    <row r="19" spans="1:19" ht="30" customHeight="1" x14ac:dyDescent="0.3">
      <c r="A19" s="1441"/>
      <c r="B19" s="1441"/>
      <c r="C19" s="493" t="s">
        <v>83</v>
      </c>
      <c r="D19" s="493" t="s">
        <v>134</v>
      </c>
      <c r="E19" s="467">
        <v>1</v>
      </c>
      <c r="F19" s="453">
        <v>5014359</v>
      </c>
      <c r="G19" s="32">
        <f t="shared" si="10"/>
        <v>5270091</v>
      </c>
      <c r="H19" s="453">
        <f>ROUND((E19*F19),0)</f>
        <v>5014359</v>
      </c>
      <c r="I19" s="32">
        <f t="shared" si="11"/>
        <v>5270091</v>
      </c>
      <c r="J19" s="1441"/>
      <c r="K19" s="474">
        <f>0.3*75%</f>
        <v>0.22499999999999998</v>
      </c>
      <c r="L19" s="429">
        <f t="shared" si="12"/>
        <v>1185770</v>
      </c>
      <c r="M19" s="430">
        <f t="shared" si="13"/>
        <v>0.23647489140685779</v>
      </c>
      <c r="N19" s="452">
        <v>0</v>
      </c>
      <c r="O19" s="425">
        <f t="shared" ref="O19:O20" si="14">ROUND(N19*G19,0)</f>
        <v>0</v>
      </c>
      <c r="P19" s="426">
        <f t="shared" si="5"/>
        <v>0</v>
      </c>
      <c r="Q19" s="450">
        <f t="shared" si="6"/>
        <v>0.22499999999999998</v>
      </c>
      <c r="R19" s="175">
        <f t="shared" si="7"/>
        <v>1185770</v>
      </c>
      <c r="S19" s="176">
        <f t="shared" si="0"/>
        <v>0.23647489140685779</v>
      </c>
    </row>
    <row r="20" spans="1:19" ht="30" customHeight="1" x14ac:dyDescent="0.3">
      <c r="A20" s="1441"/>
      <c r="B20" s="1441"/>
      <c r="C20" s="493" t="s">
        <v>61</v>
      </c>
      <c r="D20" s="493" t="s">
        <v>135</v>
      </c>
      <c r="E20" s="467">
        <v>1</v>
      </c>
      <c r="F20" s="453">
        <v>4283098</v>
      </c>
      <c r="G20" s="32">
        <f t="shared" si="10"/>
        <v>4501536</v>
      </c>
      <c r="H20" s="453">
        <f>ROUND((E20*F20),0)</f>
        <v>4283098</v>
      </c>
      <c r="I20" s="32">
        <f t="shared" si="11"/>
        <v>4501536</v>
      </c>
      <c r="J20" s="1441"/>
      <c r="K20" s="452">
        <v>0</v>
      </c>
      <c r="L20" s="425">
        <f t="shared" si="12"/>
        <v>0</v>
      </c>
      <c r="M20" s="426">
        <f t="shared" si="13"/>
        <v>0</v>
      </c>
      <c r="N20" s="452">
        <v>0</v>
      </c>
      <c r="O20" s="425">
        <f t="shared" si="14"/>
        <v>0</v>
      </c>
      <c r="P20" s="426">
        <f t="shared" si="5"/>
        <v>0</v>
      </c>
      <c r="Q20" s="450">
        <f t="shared" si="6"/>
        <v>0</v>
      </c>
      <c r="R20" s="175">
        <f t="shared" si="7"/>
        <v>0</v>
      </c>
      <c r="S20" s="176">
        <f t="shared" si="0"/>
        <v>0</v>
      </c>
    </row>
    <row r="21" spans="1:19" ht="15" customHeight="1" x14ac:dyDescent="0.3">
      <c r="A21" s="1441"/>
      <c r="B21" s="1441"/>
      <c r="C21" s="459"/>
      <c r="D21" s="459" t="s">
        <v>136</v>
      </c>
      <c r="E21" s="465"/>
      <c r="F21" s="458"/>
      <c r="G21" s="458"/>
      <c r="H21" s="457">
        <f>SUM(H18:H20)</f>
        <v>17195073</v>
      </c>
      <c r="I21" s="457">
        <f>SUM(I18:I20)</f>
        <v>18072021</v>
      </c>
      <c r="J21" s="1441"/>
      <c r="K21" s="431"/>
      <c r="L21" s="179">
        <f>SUM(L18:L20)</f>
        <v>1185770</v>
      </c>
      <c r="M21" s="431">
        <f t="shared" si="9"/>
        <v>6.8959870074410262E-2</v>
      </c>
      <c r="N21" s="431"/>
      <c r="O21" s="179">
        <f>SUM(O18:O20)</f>
        <v>0</v>
      </c>
      <c r="P21" s="1091">
        <f t="shared" si="5"/>
        <v>0</v>
      </c>
      <c r="Q21" s="1089"/>
      <c r="R21" s="1078">
        <f t="shared" si="7"/>
        <v>1185770</v>
      </c>
      <c r="S21" s="431">
        <f t="shared" si="0"/>
        <v>6.8959870074410262E-2</v>
      </c>
    </row>
    <row r="22" spans="1:19" ht="30" customHeight="1" x14ac:dyDescent="0.3">
      <c r="A22" s="1442" t="s">
        <v>1648</v>
      </c>
      <c r="B22" s="1441" t="s">
        <v>392</v>
      </c>
      <c r="C22" s="493" t="s">
        <v>59</v>
      </c>
      <c r="D22" s="493" t="s">
        <v>60</v>
      </c>
      <c r="E22" s="467">
        <v>1</v>
      </c>
      <c r="F22" s="453">
        <v>13336802</v>
      </c>
      <c r="G22" s="32">
        <f t="shared" ref="G22:G23" si="15">+ROUND(F22*1.051,0)</f>
        <v>14016979</v>
      </c>
      <c r="H22" s="453">
        <f>ROUND((E22*F22),0)</f>
        <v>13336802</v>
      </c>
      <c r="I22" s="32">
        <f t="shared" ref="I22:I23" si="16">+ROUND(G22*E22,0)</f>
        <v>14016979</v>
      </c>
      <c r="J22" s="1442" t="s">
        <v>1647</v>
      </c>
      <c r="K22" s="474">
        <f>0.3*75%</f>
        <v>0.22499999999999998</v>
      </c>
      <c r="L22" s="429">
        <f t="shared" ref="L22:L23" si="17">ROUND(K22*G22,0)</f>
        <v>3153820</v>
      </c>
      <c r="M22" s="430">
        <f t="shared" ref="M22:M23" si="18">+L22/H22</f>
        <v>0.23647498103368408</v>
      </c>
      <c r="N22" s="452">
        <v>0</v>
      </c>
      <c r="O22" s="425">
        <f>ROUND(N22*G22,0)</f>
        <v>0</v>
      </c>
      <c r="P22" s="426">
        <f t="shared" si="5"/>
        <v>0</v>
      </c>
      <c r="Q22" s="450">
        <f t="shared" si="6"/>
        <v>0.22499999999999998</v>
      </c>
      <c r="R22" s="175">
        <f t="shared" si="7"/>
        <v>3153820</v>
      </c>
      <c r="S22" s="176">
        <f t="shared" si="0"/>
        <v>0.23647498103368408</v>
      </c>
    </row>
    <row r="23" spans="1:19" ht="30" customHeight="1" x14ac:dyDescent="0.3">
      <c r="A23" s="1441"/>
      <c r="B23" s="1441"/>
      <c r="C23" s="493" t="s">
        <v>61</v>
      </c>
      <c r="D23" s="493" t="s">
        <v>62</v>
      </c>
      <c r="E23" s="467">
        <v>1</v>
      </c>
      <c r="F23" s="453">
        <v>5049181</v>
      </c>
      <c r="G23" s="32">
        <f t="shared" si="15"/>
        <v>5306689</v>
      </c>
      <c r="H23" s="453">
        <f>ROUND((E23*F23),0)</f>
        <v>5049181</v>
      </c>
      <c r="I23" s="32">
        <f t="shared" si="16"/>
        <v>5306689</v>
      </c>
      <c r="J23" s="1441"/>
      <c r="K23" s="452">
        <v>0</v>
      </c>
      <c r="L23" s="425">
        <f t="shared" si="17"/>
        <v>0</v>
      </c>
      <c r="M23" s="426">
        <f t="shared" si="18"/>
        <v>0</v>
      </c>
      <c r="N23" s="452">
        <v>0</v>
      </c>
      <c r="O23" s="425">
        <f>ROUND(N23*G23,0)</f>
        <v>0</v>
      </c>
      <c r="P23" s="426">
        <f t="shared" si="5"/>
        <v>0</v>
      </c>
      <c r="Q23" s="450">
        <f t="shared" si="6"/>
        <v>0</v>
      </c>
      <c r="R23" s="175">
        <f t="shared" si="7"/>
        <v>0</v>
      </c>
      <c r="S23" s="176">
        <f t="shared" si="0"/>
        <v>0</v>
      </c>
    </row>
    <row r="24" spans="1:19" ht="15" customHeight="1" x14ac:dyDescent="0.3">
      <c r="A24" s="1441"/>
      <c r="B24" s="1441"/>
      <c r="C24" s="459"/>
      <c r="D24" s="459" t="s">
        <v>63</v>
      </c>
      <c r="E24" s="465"/>
      <c r="F24" s="458"/>
      <c r="G24" s="458"/>
      <c r="H24" s="457">
        <f>SUM(H22:H23)</f>
        <v>18385983</v>
      </c>
      <c r="I24" s="457">
        <f>SUM(I22:I23)</f>
        <v>19323668</v>
      </c>
      <c r="J24" s="1441"/>
      <c r="K24" s="431"/>
      <c r="L24" s="179">
        <f>SUM(L22:L23)</f>
        <v>3153820</v>
      </c>
      <c r="M24" s="431">
        <f t="shared" si="9"/>
        <v>0.17153393430201691</v>
      </c>
      <c r="N24" s="431"/>
      <c r="O24" s="179">
        <f>SUM(O22:O23)</f>
        <v>0</v>
      </c>
      <c r="P24" s="1091">
        <f t="shared" si="5"/>
        <v>0</v>
      </c>
      <c r="Q24" s="1089"/>
      <c r="R24" s="1078">
        <f t="shared" si="7"/>
        <v>3153820</v>
      </c>
      <c r="S24" s="431">
        <f t="shared" si="0"/>
        <v>0.17153393430201691</v>
      </c>
    </row>
    <row r="25" spans="1:19" ht="30" customHeight="1" x14ac:dyDescent="0.3">
      <c r="A25" s="1441" t="s">
        <v>1575</v>
      </c>
      <c r="B25" s="1441" t="s">
        <v>1063</v>
      </c>
      <c r="C25" s="493" t="s">
        <v>81</v>
      </c>
      <c r="D25" s="493" t="s">
        <v>1064</v>
      </c>
      <c r="E25" s="467">
        <v>0</v>
      </c>
      <c r="F25" s="453">
        <v>4248277</v>
      </c>
      <c r="G25" s="32">
        <f t="shared" ref="G25:G27" si="19">+ROUND(F25*1.051,0)</f>
        <v>4464939</v>
      </c>
      <c r="H25" s="453">
        <f>ROUND((E25*F25),0)</f>
        <v>0</v>
      </c>
      <c r="I25" s="32">
        <f>+ROUND(G25*E25,0)</f>
        <v>0</v>
      </c>
      <c r="J25" s="1442" t="s">
        <v>1646</v>
      </c>
      <c r="K25" s="452">
        <v>0</v>
      </c>
      <c r="L25" s="425">
        <f t="shared" ref="L25:L27" si="20">ROUND(K25*G25,0)</f>
        <v>0</v>
      </c>
      <c r="M25" s="426">
        <v>0</v>
      </c>
      <c r="N25" s="452">
        <v>0</v>
      </c>
      <c r="O25" s="425">
        <f>ROUND(N25*G25,0)</f>
        <v>0</v>
      </c>
      <c r="P25" s="426">
        <v>0</v>
      </c>
      <c r="Q25" s="450">
        <f t="shared" si="6"/>
        <v>0</v>
      </c>
      <c r="R25" s="175">
        <f t="shared" si="7"/>
        <v>0</v>
      </c>
      <c r="S25" s="176">
        <v>0</v>
      </c>
    </row>
    <row r="26" spans="1:19" ht="30" customHeight="1" x14ac:dyDescent="0.3">
      <c r="A26" s="1441"/>
      <c r="B26" s="1441"/>
      <c r="C26" s="493" t="s">
        <v>83</v>
      </c>
      <c r="D26" s="493" t="s">
        <v>1066</v>
      </c>
      <c r="E26" s="467">
        <v>0.3</v>
      </c>
      <c r="F26" s="453">
        <v>6024196</v>
      </c>
      <c r="G26" s="32">
        <f t="shared" si="19"/>
        <v>6331430</v>
      </c>
      <c r="H26" s="453">
        <f>ROUND((E26*F26),0)</f>
        <v>1807259</v>
      </c>
      <c r="I26" s="32">
        <f t="shared" ref="I26:I27" si="21">+ROUND(G26*E26,0)</f>
        <v>1899429</v>
      </c>
      <c r="J26" s="1441"/>
      <c r="K26" s="474">
        <f>0.3*75%</f>
        <v>0.22499999999999998</v>
      </c>
      <c r="L26" s="429">
        <f t="shared" si="20"/>
        <v>1424572</v>
      </c>
      <c r="M26" s="430">
        <f t="shared" ref="M26" si="22">+L26/H26</f>
        <v>0.78825005159747441</v>
      </c>
      <c r="N26" s="452">
        <v>0</v>
      </c>
      <c r="O26" s="425">
        <f t="shared" ref="O26:O27" si="23">ROUND(N26*G26,0)</f>
        <v>0</v>
      </c>
      <c r="P26" s="426">
        <f t="shared" si="5"/>
        <v>0</v>
      </c>
      <c r="Q26" s="450">
        <f t="shared" si="6"/>
        <v>0.22499999999999998</v>
      </c>
      <c r="R26" s="175">
        <f t="shared" si="7"/>
        <v>1424572</v>
      </c>
      <c r="S26" s="176">
        <f>R26/H26</f>
        <v>0.78825005159747441</v>
      </c>
    </row>
    <row r="27" spans="1:19" ht="30" customHeight="1" x14ac:dyDescent="0.3">
      <c r="A27" s="1441"/>
      <c r="B27" s="1441"/>
      <c r="C27" s="493" t="s">
        <v>61</v>
      </c>
      <c r="D27" s="493" t="s">
        <v>1067</v>
      </c>
      <c r="E27" s="467">
        <v>0</v>
      </c>
      <c r="F27" s="453">
        <v>9541211</v>
      </c>
      <c r="G27" s="32">
        <f t="shared" si="19"/>
        <v>10027813</v>
      </c>
      <c r="H27" s="453">
        <f>ROUND((E27*F27),0)</f>
        <v>0</v>
      </c>
      <c r="I27" s="32">
        <f t="shared" si="21"/>
        <v>0</v>
      </c>
      <c r="J27" s="1441"/>
      <c r="K27" s="452">
        <v>0</v>
      </c>
      <c r="L27" s="425">
        <f t="shared" si="20"/>
        <v>0</v>
      </c>
      <c r="M27" s="426">
        <v>0</v>
      </c>
      <c r="N27" s="452">
        <v>0</v>
      </c>
      <c r="O27" s="425">
        <f t="shared" si="23"/>
        <v>0</v>
      </c>
      <c r="P27" s="426">
        <v>0</v>
      </c>
      <c r="Q27" s="450">
        <f t="shared" si="6"/>
        <v>0</v>
      </c>
      <c r="R27" s="175">
        <f t="shared" si="7"/>
        <v>0</v>
      </c>
      <c r="S27" s="176">
        <v>0</v>
      </c>
    </row>
    <row r="28" spans="1:19" ht="15" customHeight="1" x14ac:dyDescent="0.3">
      <c r="A28" s="1441"/>
      <c r="B28" s="1441"/>
      <c r="C28" s="459"/>
      <c r="D28" s="459" t="s">
        <v>242</v>
      </c>
      <c r="E28" s="465"/>
      <c r="F28" s="458"/>
      <c r="G28" s="458"/>
      <c r="H28" s="457">
        <f>SUM(H25:H27)</f>
        <v>1807259</v>
      </c>
      <c r="I28" s="457">
        <f>SUM(I25:I27)</f>
        <v>1899429</v>
      </c>
      <c r="J28" s="1441"/>
      <c r="K28" s="431"/>
      <c r="L28" s="179">
        <f>SUM(L25:L27)</f>
        <v>1424572</v>
      </c>
      <c r="M28" s="431">
        <f t="shared" ref="M28:M42" si="24">L28/H28</f>
        <v>0.78825005159747441</v>
      </c>
      <c r="N28" s="431"/>
      <c r="O28" s="179">
        <f>SUM(O25:O27)</f>
        <v>0</v>
      </c>
      <c r="P28" s="1091">
        <f t="shared" si="5"/>
        <v>0</v>
      </c>
      <c r="Q28" s="1089"/>
      <c r="R28" s="1078">
        <f t="shared" si="7"/>
        <v>1424572</v>
      </c>
      <c r="S28" s="431">
        <f t="shared" ref="S28:S42" si="25">R28/H28</f>
        <v>0.78825005159747441</v>
      </c>
    </row>
    <row r="29" spans="1:19" ht="30" customHeight="1" x14ac:dyDescent="0.3">
      <c r="A29" s="1442" t="s">
        <v>156</v>
      </c>
      <c r="B29" s="1441" t="s">
        <v>238</v>
      </c>
      <c r="C29" s="493" t="s">
        <v>81</v>
      </c>
      <c r="D29" s="493" t="s">
        <v>128</v>
      </c>
      <c r="E29" s="467">
        <v>1.4</v>
      </c>
      <c r="F29" s="453">
        <v>3621482</v>
      </c>
      <c r="G29" s="32">
        <f>+ROUND(F29*1.051,0)</f>
        <v>3806178</v>
      </c>
      <c r="H29" s="453">
        <f>ROUND((E29*F29),0)</f>
        <v>5070075</v>
      </c>
      <c r="I29" s="32">
        <f>+ROUND(G29*E29,0)</f>
        <v>5328649</v>
      </c>
      <c r="J29" s="1442" t="s">
        <v>1645</v>
      </c>
      <c r="K29" s="474">
        <f>0.3*75%</f>
        <v>0.22499999999999998</v>
      </c>
      <c r="L29" s="429">
        <f>ROUND(K29*G29,0)</f>
        <v>856390</v>
      </c>
      <c r="M29" s="430">
        <f>+L29/H29</f>
        <v>0.16891071631090271</v>
      </c>
      <c r="N29" s="452">
        <v>0</v>
      </c>
      <c r="O29" s="425">
        <f>ROUND(N29*G29,0)</f>
        <v>0</v>
      </c>
      <c r="P29" s="426">
        <f t="shared" si="5"/>
        <v>0</v>
      </c>
      <c r="Q29" s="450">
        <f t="shared" si="6"/>
        <v>0.22499999999999998</v>
      </c>
      <c r="R29" s="175">
        <f t="shared" si="7"/>
        <v>856390</v>
      </c>
      <c r="S29" s="176">
        <f t="shared" si="25"/>
        <v>0.16891071631090271</v>
      </c>
    </row>
    <row r="30" spans="1:19" ht="15" customHeight="1" x14ac:dyDescent="0.3">
      <c r="A30" s="1441"/>
      <c r="B30" s="1441"/>
      <c r="C30" s="459"/>
      <c r="D30" s="459" t="s">
        <v>130</v>
      </c>
      <c r="E30" s="465"/>
      <c r="F30" s="458"/>
      <c r="G30" s="458"/>
      <c r="H30" s="457">
        <f>H29</f>
        <v>5070075</v>
      </c>
      <c r="I30" s="457">
        <f>SUM(I29)</f>
        <v>5328649</v>
      </c>
      <c r="J30" s="1441"/>
      <c r="K30" s="431"/>
      <c r="L30" s="179">
        <f>SUM(L29)</f>
        <v>856390</v>
      </c>
      <c r="M30" s="431">
        <f t="shared" si="24"/>
        <v>0.16891071631090271</v>
      </c>
      <c r="N30" s="431"/>
      <c r="O30" s="179">
        <f>SUM(O29)</f>
        <v>0</v>
      </c>
      <c r="P30" s="1091">
        <f t="shared" si="5"/>
        <v>0</v>
      </c>
      <c r="Q30" s="1089"/>
      <c r="R30" s="1078">
        <f t="shared" si="7"/>
        <v>856390</v>
      </c>
      <c r="S30" s="431">
        <f t="shared" si="25"/>
        <v>0.16891071631090271</v>
      </c>
    </row>
    <row r="31" spans="1:19" ht="30" customHeight="1" x14ac:dyDescent="0.3">
      <c r="A31" s="1441" t="s">
        <v>156</v>
      </c>
      <c r="B31" s="1441" t="s">
        <v>893</v>
      </c>
      <c r="C31" s="493" t="s">
        <v>148</v>
      </c>
      <c r="D31" s="493" t="s">
        <v>894</v>
      </c>
      <c r="E31" s="467">
        <v>1</v>
      </c>
      <c r="F31" s="453">
        <v>4039345</v>
      </c>
      <c r="G31" s="32">
        <f>+ROUND(F31*1.051,0)</f>
        <v>4245352</v>
      </c>
      <c r="H31" s="453">
        <f>ROUND((E31*F31),0)</f>
        <v>4039345</v>
      </c>
      <c r="I31" s="32">
        <f>+ROUND(G31*E31,0)</f>
        <v>4245352</v>
      </c>
      <c r="J31" s="1442" t="s">
        <v>1644</v>
      </c>
      <c r="K31" s="452">
        <v>0</v>
      </c>
      <c r="L31" s="425">
        <f>ROUND(K31*G31,0)</f>
        <v>0</v>
      </c>
      <c r="M31" s="426">
        <f>+L31/H31</f>
        <v>0</v>
      </c>
      <c r="N31" s="452">
        <v>0</v>
      </c>
      <c r="O31" s="425">
        <f>ROUND(N31*G31,0)</f>
        <v>0</v>
      </c>
      <c r="P31" s="426">
        <f t="shared" si="5"/>
        <v>0</v>
      </c>
      <c r="Q31" s="450">
        <f t="shared" si="6"/>
        <v>0</v>
      </c>
      <c r="R31" s="175">
        <f t="shared" si="7"/>
        <v>0</v>
      </c>
      <c r="S31" s="176">
        <f t="shared" si="25"/>
        <v>0</v>
      </c>
    </row>
    <row r="32" spans="1:19" ht="15" customHeight="1" x14ac:dyDescent="0.3">
      <c r="A32" s="1441"/>
      <c r="B32" s="1441"/>
      <c r="C32" s="459"/>
      <c r="D32" s="459" t="s">
        <v>895</v>
      </c>
      <c r="E32" s="465"/>
      <c r="F32" s="458"/>
      <c r="G32" s="458"/>
      <c r="H32" s="457">
        <f>H31</f>
        <v>4039345</v>
      </c>
      <c r="I32" s="457">
        <f>SUM(I31)</f>
        <v>4245352</v>
      </c>
      <c r="J32" s="1441"/>
      <c r="K32" s="431"/>
      <c r="L32" s="179">
        <f>SUM(L31)</f>
        <v>0</v>
      </c>
      <c r="M32" s="431">
        <f t="shared" si="24"/>
        <v>0</v>
      </c>
      <c r="N32" s="431"/>
      <c r="O32" s="179">
        <f>SUM(O31)</f>
        <v>0</v>
      </c>
      <c r="P32" s="1091">
        <f t="shared" si="5"/>
        <v>0</v>
      </c>
      <c r="Q32" s="1089"/>
      <c r="R32" s="1078">
        <f t="shared" si="7"/>
        <v>0</v>
      </c>
      <c r="S32" s="431">
        <f t="shared" si="25"/>
        <v>0</v>
      </c>
    </row>
    <row r="33" spans="1:19" ht="30" customHeight="1" x14ac:dyDescent="0.3">
      <c r="A33" s="1441" t="s">
        <v>156</v>
      </c>
      <c r="B33" s="1442" t="s">
        <v>284</v>
      </c>
      <c r="C33" s="493" t="s">
        <v>148</v>
      </c>
      <c r="D33" s="493" t="s">
        <v>181</v>
      </c>
      <c r="E33" s="467">
        <v>1.6</v>
      </c>
      <c r="F33" s="453">
        <v>6233127</v>
      </c>
      <c r="G33" s="32">
        <f>+ROUND(F33*1.051,0)</f>
        <v>6551016</v>
      </c>
      <c r="H33" s="453">
        <f>ROUND((E33*F33),0)</f>
        <v>9973003</v>
      </c>
      <c r="I33" s="32">
        <f>+ROUND(G33*E33,0)</f>
        <v>10481626</v>
      </c>
      <c r="J33" s="1442" t="s">
        <v>1643</v>
      </c>
      <c r="K33" s="474">
        <f>1.6*75%</f>
        <v>1.2000000000000002</v>
      </c>
      <c r="L33" s="429">
        <f>ROUND(K33*G33,0)</f>
        <v>7861219</v>
      </c>
      <c r="M33" s="430">
        <f>+L33/H33</f>
        <v>0.7882499383585867</v>
      </c>
      <c r="N33" s="452">
        <v>0</v>
      </c>
      <c r="O33" s="425">
        <f>ROUND(N33*G33,0)</f>
        <v>0</v>
      </c>
      <c r="P33" s="426">
        <f t="shared" si="5"/>
        <v>0</v>
      </c>
      <c r="Q33" s="450">
        <f t="shared" si="6"/>
        <v>1.2000000000000002</v>
      </c>
      <c r="R33" s="175">
        <f t="shared" si="7"/>
        <v>7861219</v>
      </c>
      <c r="S33" s="176">
        <f t="shared" si="25"/>
        <v>0.7882499383585867</v>
      </c>
    </row>
    <row r="34" spans="1:19" ht="15" customHeight="1" x14ac:dyDescent="0.3">
      <c r="A34" s="1441"/>
      <c r="B34" s="1441"/>
      <c r="C34" s="459"/>
      <c r="D34" s="459" t="s">
        <v>183</v>
      </c>
      <c r="E34" s="465"/>
      <c r="F34" s="458"/>
      <c r="G34" s="458"/>
      <c r="H34" s="457">
        <f>H33</f>
        <v>9973003</v>
      </c>
      <c r="I34" s="457">
        <f>SUM(I33)</f>
        <v>10481626</v>
      </c>
      <c r="J34" s="1441"/>
      <c r="K34" s="431"/>
      <c r="L34" s="179">
        <f>SUM(L33)</f>
        <v>7861219</v>
      </c>
      <c r="M34" s="431">
        <f>L34/H34</f>
        <v>0.7882499383585867</v>
      </c>
      <c r="N34" s="431"/>
      <c r="O34" s="179">
        <f>SUM(O33)</f>
        <v>0</v>
      </c>
      <c r="P34" s="1091">
        <f t="shared" si="5"/>
        <v>0</v>
      </c>
      <c r="Q34" s="1089"/>
      <c r="R34" s="1078">
        <f t="shared" si="7"/>
        <v>7861219</v>
      </c>
      <c r="S34" s="431">
        <f t="shared" si="25"/>
        <v>0.7882499383585867</v>
      </c>
    </row>
    <row r="35" spans="1:19" ht="30" customHeight="1" x14ac:dyDescent="0.3">
      <c r="A35" s="1441" t="s">
        <v>156</v>
      </c>
      <c r="B35" s="1441" t="s">
        <v>284</v>
      </c>
      <c r="C35" s="493" t="s">
        <v>148</v>
      </c>
      <c r="D35" s="493" t="s">
        <v>181</v>
      </c>
      <c r="E35" s="467">
        <v>0.7</v>
      </c>
      <c r="F35" s="453">
        <v>6233127</v>
      </c>
      <c r="G35" s="32">
        <f>+ROUND(F35*1.051,0)</f>
        <v>6551016</v>
      </c>
      <c r="H35" s="453">
        <f>ROUND((E35*F35),0)</f>
        <v>4363189</v>
      </c>
      <c r="I35" s="32">
        <f>+ROUND(G35*E35,0)</f>
        <v>4585711</v>
      </c>
      <c r="J35" s="1442" t="s">
        <v>1642</v>
      </c>
      <c r="K35" s="474">
        <f>0.7*75%</f>
        <v>0.52499999999999991</v>
      </c>
      <c r="L35" s="429">
        <f>ROUND(K35*G35,0)</f>
        <v>3439283</v>
      </c>
      <c r="M35" s="430">
        <f>+L35/H35</f>
        <v>0.78824983286307326</v>
      </c>
      <c r="N35" s="452">
        <v>0</v>
      </c>
      <c r="O35" s="425">
        <f>ROUND(N35*G35,0)</f>
        <v>0</v>
      </c>
      <c r="P35" s="426">
        <f t="shared" si="5"/>
        <v>0</v>
      </c>
      <c r="Q35" s="450">
        <f t="shared" si="6"/>
        <v>0.52499999999999991</v>
      </c>
      <c r="R35" s="175">
        <f t="shared" si="7"/>
        <v>3439283</v>
      </c>
      <c r="S35" s="176">
        <f t="shared" si="25"/>
        <v>0.78824983286307326</v>
      </c>
    </row>
    <row r="36" spans="1:19" ht="15" customHeight="1" x14ac:dyDescent="0.3">
      <c r="A36" s="1441"/>
      <c r="B36" s="1441"/>
      <c r="C36" s="459"/>
      <c r="D36" s="459" t="s">
        <v>183</v>
      </c>
      <c r="E36" s="465"/>
      <c r="F36" s="458"/>
      <c r="G36" s="458"/>
      <c r="H36" s="457">
        <f>H35</f>
        <v>4363189</v>
      </c>
      <c r="I36" s="457">
        <f>SUM(I35)</f>
        <v>4585711</v>
      </c>
      <c r="J36" s="1441"/>
      <c r="K36" s="431"/>
      <c r="L36" s="179">
        <f>SUM(L35)</f>
        <v>3439283</v>
      </c>
      <c r="M36" s="431">
        <f t="shared" si="24"/>
        <v>0.78824983286307326</v>
      </c>
      <c r="N36" s="431"/>
      <c r="O36" s="179">
        <f>SUM(O35)</f>
        <v>0</v>
      </c>
      <c r="P36" s="1091">
        <f t="shared" si="5"/>
        <v>0</v>
      </c>
      <c r="Q36" s="1089"/>
      <c r="R36" s="1078">
        <f t="shared" si="7"/>
        <v>3439283</v>
      </c>
      <c r="S36" s="431">
        <f t="shared" si="25"/>
        <v>0.78824983286307326</v>
      </c>
    </row>
    <row r="37" spans="1:19" ht="30" customHeight="1" x14ac:dyDescent="0.3">
      <c r="A37" s="1441" t="s">
        <v>156</v>
      </c>
      <c r="B37" s="1441" t="s">
        <v>1641</v>
      </c>
      <c r="C37" s="493" t="s">
        <v>1640</v>
      </c>
      <c r="D37" s="493" t="s">
        <v>1639</v>
      </c>
      <c r="E37" s="467">
        <v>1</v>
      </c>
      <c r="F37" s="453">
        <v>4352742</v>
      </c>
      <c r="G37" s="32">
        <f>+ROUND(F37*1.051,0)</f>
        <v>4574732</v>
      </c>
      <c r="H37" s="453">
        <f>ROUND((E37*F37),0)</f>
        <v>4352742</v>
      </c>
      <c r="I37" s="32">
        <f>+ROUND(G37*E37,0)</f>
        <v>4574732</v>
      </c>
      <c r="J37" s="1442" t="s">
        <v>1638</v>
      </c>
      <c r="K37" s="452">
        <v>0</v>
      </c>
      <c r="L37" s="425">
        <f>ROUND(K37*G37,0)</f>
        <v>0</v>
      </c>
      <c r="M37" s="426">
        <f>+L37/H37</f>
        <v>0</v>
      </c>
      <c r="N37" s="452">
        <v>0</v>
      </c>
      <c r="O37" s="425">
        <f>ROUND(N37*G37,0)</f>
        <v>0</v>
      </c>
      <c r="P37" s="426">
        <f t="shared" si="5"/>
        <v>0</v>
      </c>
      <c r="Q37" s="450">
        <f t="shared" si="6"/>
        <v>0</v>
      </c>
      <c r="R37" s="175">
        <f t="shared" si="7"/>
        <v>0</v>
      </c>
      <c r="S37" s="176">
        <f t="shared" si="25"/>
        <v>0</v>
      </c>
    </row>
    <row r="38" spans="1:19" ht="15" customHeight="1" x14ac:dyDescent="0.3">
      <c r="A38" s="1441"/>
      <c r="B38" s="1441"/>
      <c r="C38" s="459"/>
      <c r="D38" s="459" t="s">
        <v>1637</v>
      </c>
      <c r="E38" s="465"/>
      <c r="F38" s="458"/>
      <c r="G38" s="458"/>
      <c r="H38" s="457">
        <f>H37</f>
        <v>4352742</v>
      </c>
      <c r="I38" s="457">
        <f>SUM(I37)</f>
        <v>4574732</v>
      </c>
      <c r="J38" s="1441"/>
      <c r="K38" s="431"/>
      <c r="L38" s="179">
        <f>SUM(L37)</f>
        <v>0</v>
      </c>
      <c r="M38" s="431">
        <f t="shared" si="24"/>
        <v>0</v>
      </c>
      <c r="N38" s="431"/>
      <c r="O38" s="179">
        <f>SUM(O37)</f>
        <v>0</v>
      </c>
      <c r="P38" s="1091">
        <f t="shared" si="5"/>
        <v>0</v>
      </c>
      <c r="Q38" s="1089"/>
      <c r="R38" s="1078">
        <f t="shared" si="7"/>
        <v>0</v>
      </c>
      <c r="S38" s="431">
        <f t="shared" si="25"/>
        <v>0</v>
      </c>
    </row>
    <row r="39" spans="1:19" ht="30" customHeight="1" x14ac:dyDescent="0.3">
      <c r="A39" s="1441" t="s">
        <v>156</v>
      </c>
      <c r="B39" s="1441" t="s">
        <v>683</v>
      </c>
      <c r="C39" s="493" t="s">
        <v>148</v>
      </c>
      <c r="D39" s="493" t="s">
        <v>684</v>
      </c>
      <c r="E39" s="467">
        <v>1</v>
      </c>
      <c r="F39" s="453">
        <v>16401132</v>
      </c>
      <c r="G39" s="32">
        <f>+ROUND(F39*1.051,0)</f>
        <v>17237590</v>
      </c>
      <c r="H39" s="453">
        <f>ROUND((E39*F39),0)</f>
        <v>16401132</v>
      </c>
      <c r="I39" s="32">
        <f>+ROUND(G39*E39,0)</f>
        <v>17237590</v>
      </c>
      <c r="J39" s="1442" t="s">
        <v>1636</v>
      </c>
      <c r="K39" s="452">
        <v>0</v>
      </c>
      <c r="L39" s="425">
        <f>ROUND(K39*G39,0)</f>
        <v>0</v>
      </c>
      <c r="M39" s="426">
        <f>+L39/H39</f>
        <v>0</v>
      </c>
      <c r="N39" s="452">
        <v>0</v>
      </c>
      <c r="O39" s="425">
        <f>ROUND(N39*G39,0)</f>
        <v>0</v>
      </c>
      <c r="P39" s="426">
        <f t="shared" si="5"/>
        <v>0</v>
      </c>
      <c r="Q39" s="450">
        <f t="shared" si="6"/>
        <v>0</v>
      </c>
      <c r="R39" s="175">
        <f t="shared" si="7"/>
        <v>0</v>
      </c>
      <c r="S39" s="176">
        <f t="shared" si="25"/>
        <v>0</v>
      </c>
    </row>
    <row r="40" spans="1:19" ht="15" customHeight="1" x14ac:dyDescent="0.3">
      <c r="A40" s="1441"/>
      <c r="B40" s="1441"/>
      <c r="C40" s="459"/>
      <c r="D40" s="459" t="s">
        <v>685</v>
      </c>
      <c r="E40" s="465"/>
      <c r="F40" s="458"/>
      <c r="G40" s="458"/>
      <c r="H40" s="457">
        <f>H39</f>
        <v>16401132</v>
      </c>
      <c r="I40" s="457">
        <f>SUM(I39)</f>
        <v>17237590</v>
      </c>
      <c r="J40" s="1441"/>
      <c r="K40" s="431"/>
      <c r="L40" s="179">
        <f>SUM(L39)</f>
        <v>0</v>
      </c>
      <c r="M40" s="431">
        <f t="shared" si="24"/>
        <v>0</v>
      </c>
      <c r="N40" s="431"/>
      <c r="O40" s="179">
        <f>SUM(O39)</f>
        <v>0</v>
      </c>
      <c r="P40" s="1091">
        <f t="shared" si="5"/>
        <v>0</v>
      </c>
      <c r="Q40" s="1089"/>
      <c r="R40" s="1078">
        <f t="shared" si="7"/>
        <v>0</v>
      </c>
      <c r="S40" s="431">
        <f t="shared" si="25"/>
        <v>0</v>
      </c>
    </row>
    <row r="41" spans="1:19" ht="30" customHeight="1" x14ac:dyDescent="0.3">
      <c r="A41" s="1441" t="s">
        <v>156</v>
      </c>
      <c r="B41" s="1441" t="s">
        <v>683</v>
      </c>
      <c r="C41" s="493" t="s">
        <v>148</v>
      </c>
      <c r="D41" s="493" t="s">
        <v>684</v>
      </c>
      <c r="E41" s="467">
        <v>0.2</v>
      </c>
      <c r="F41" s="453">
        <v>16401132</v>
      </c>
      <c r="G41" s="32">
        <f>+ROUND(F41*1.051,0)</f>
        <v>17237590</v>
      </c>
      <c r="H41" s="453">
        <f>ROUND((E41*F41),0)</f>
        <v>3280226</v>
      </c>
      <c r="I41" s="32">
        <f>+ROUND(G41*E41,0)</f>
        <v>3447518</v>
      </c>
      <c r="J41" s="1441" t="s">
        <v>1635</v>
      </c>
      <c r="K41" s="452">
        <v>0</v>
      </c>
      <c r="L41" s="425">
        <f>ROUND(K41*G41,0)</f>
        <v>0</v>
      </c>
      <c r="M41" s="426">
        <f>+L41/H41</f>
        <v>0</v>
      </c>
      <c r="N41" s="452">
        <v>0</v>
      </c>
      <c r="O41" s="425">
        <f>ROUND(N41*G41,0)</f>
        <v>0</v>
      </c>
      <c r="P41" s="426">
        <f t="shared" si="5"/>
        <v>0</v>
      </c>
      <c r="Q41" s="450">
        <f t="shared" si="6"/>
        <v>0</v>
      </c>
      <c r="R41" s="175">
        <f t="shared" si="7"/>
        <v>0</v>
      </c>
      <c r="S41" s="176">
        <f t="shared" si="25"/>
        <v>0</v>
      </c>
    </row>
    <row r="42" spans="1:19" ht="15" customHeight="1" x14ac:dyDescent="0.3">
      <c r="A42" s="1441"/>
      <c r="B42" s="1441"/>
      <c r="C42" s="459"/>
      <c r="D42" s="459" t="s">
        <v>685</v>
      </c>
      <c r="E42" s="465"/>
      <c r="F42" s="458"/>
      <c r="G42" s="458"/>
      <c r="H42" s="457">
        <f>H41</f>
        <v>3280226</v>
      </c>
      <c r="I42" s="457">
        <f>SUM(I41)</f>
        <v>3447518</v>
      </c>
      <c r="J42" s="1441"/>
      <c r="K42" s="431"/>
      <c r="L42" s="179">
        <f>SUM(L41)</f>
        <v>0</v>
      </c>
      <c r="M42" s="431">
        <f t="shared" si="24"/>
        <v>0</v>
      </c>
      <c r="N42" s="431"/>
      <c r="O42" s="179">
        <f>SUM(O41)</f>
        <v>0</v>
      </c>
      <c r="P42" s="1091">
        <f t="shared" si="5"/>
        <v>0</v>
      </c>
      <c r="Q42" s="1101"/>
      <c r="R42" s="1078">
        <f t="shared" si="7"/>
        <v>0</v>
      </c>
      <c r="S42" s="431">
        <f t="shared" si="25"/>
        <v>0</v>
      </c>
    </row>
    <row r="43" spans="1:19" x14ac:dyDescent="0.3">
      <c r="F43" s="445" t="s">
        <v>64</v>
      </c>
      <c r="G43" s="445"/>
      <c r="H43" s="340">
        <f>SUM(H14:H42)/2</f>
        <v>110970553</v>
      </c>
      <c r="I43" s="340">
        <f>SUM(I14:I42)/2</f>
        <v>116630051</v>
      </c>
      <c r="K43" s="547" t="s">
        <v>64</v>
      </c>
      <c r="L43" s="550">
        <f>SUM(L14:L42)/2</f>
        <v>19683241</v>
      </c>
      <c r="N43" s="547" t="s">
        <v>64</v>
      </c>
      <c r="O43" s="550">
        <f>SUM(O14:O42)/2</f>
        <v>0</v>
      </c>
      <c r="Q43" s="547" t="s">
        <v>64</v>
      </c>
      <c r="R43" s="550">
        <f>SUM(R14:R42)/2</f>
        <v>19683241</v>
      </c>
    </row>
    <row r="44" spans="1:19" x14ac:dyDescent="0.3">
      <c r="F44" s="444" t="s">
        <v>65</v>
      </c>
      <c r="G44" s="444"/>
      <c r="H44" s="181">
        <v>0</v>
      </c>
      <c r="I44" s="181">
        <v>0</v>
      </c>
      <c r="K44" s="548" t="s">
        <v>65</v>
      </c>
      <c r="L44" s="481">
        <v>0</v>
      </c>
      <c r="N44" s="548" t="s">
        <v>65</v>
      </c>
      <c r="O44" s="481">
        <v>0</v>
      </c>
      <c r="Q44" s="548" t="s">
        <v>65</v>
      </c>
      <c r="R44" s="481">
        <v>0</v>
      </c>
    </row>
    <row r="45" spans="1:19" x14ac:dyDescent="0.3">
      <c r="A45" s="508"/>
      <c r="B45" s="508"/>
      <c r="C45" s="508"/>
      <c r="D45" s="508"/>
      <c r="E45" s="507"/>
      <c r="F45" s="443" t="s">
        <v>64</v>
      </c>
      <c r="G45" s="443"/>
      <c r="H45" s="340">
        <f>SUM(H43:H44)</f>
        <v>110970553</v>
      </c>
      <c r="I45" s="340">
        <f>SUM(I43:I44)</f>
        <v>116630051</v>
      </c>
      <c r="K45" s="549" t="s">
        <v>64</v>
      </c>
      <c r="L45" s="550">
        <f>SUM(L43:L44)</f>
        <v>19683241</v>
      </c>
      <c r="N45" s="549" t="s">
        <v>64</v>
      </c>
      <c r="O45" s="550">
        <f>SUM(O43:O44)</f>
        <v>0</v>
      </c>
      <c r="Q45" s="549" t="s">
        <v>64</v>
      </c>
      <c r="R45" s="550">
        <f>SUM(R43:R44)</f>
        <v>19683241</v>
      </c>
    </row>
    <row r="46" spans="1:19" ht="26.4" x14ac:dyDescent="0.3">
      <c r="A46" s="508"/>
      <c r="B46" s="508"/>
      <c r="C46" s="508"/>
      <c r="D46" s="508"/>
      <c r="E46" s="507"/>
      <c r="F46" s="443"/>
      <c r="G46" s="443"/>
      <c r="H46" s="340"/>
      <c r="I46" s="340"/>
      <c r="K46" s="501" t="s">
        <v>1439</v>
      </c>
      <c r="L46" s="483">
        <f>ROUND(L45*0.015,0)</f>
        <v>295249</v>
      </c>
      <c r="N46" s="501" t="s">
        <v>1439</v>
      </c>
      <c r="O46" s="483">
        <f>ROUND(O45*0.015,0)</f>
        <v>0</v>
      </c>
      <c r="Q46" s="501" t="s">
        <v>1439</v>
      </c>
      <c r="R46" s="550">
        <f>L46+O46</f>
        <v>295249</v>
      </c>
    </row>
    <row r="47" spans="1:19" ht="39.6" x14ac:dyDescent="0.3">
      <c r="A47" s="508"/>
      <c r="B47" s="508"/>
      <c r="C47" s="508"/>
      <c r="D47" s="508"/>
      <c r="E47" s="507"/>
      <c r="F47" s="443"/>
      <c r="G47" s="443"/>
      <c r="H47" s="340"/>
      <c r="I47" s="340"/>
      <c r="K47" s="96" t="s">
        <v>1440</v>
      </c>
      <c r="L47" s="182">
        <f>L45+L46</f>
        <v>19978490</v>
      </c>
      <c r="M47" s="611">
        <f>L47/H45</f>
        <v>0.18003415734983316</v>
      </c>
      <c r="N47" s="96" t="s">
        <v>1440</v>
      </c>
      <c r="O47" s="182">
        <f>O45+O46</f>
        <v>0</v>
      </c>
      <c r="P47" s="611">
        <f>O47/H43</f>
        <v>0</v>
      </c>
      <c r="Q47" s="96" t="s">
        <v>1440</v>
      </c>
      <c r="R47" s="182">
        <f>R45+R46</f>
        <v>19978490</v>
      </c>
      <c r="S47" s="611">
        <f>R47/H45</f>
        <v>0.18003415734983316</v>
      </c>
    </row>
    <row r="48" spans="1:19" x14ac:dyDescent="0.3">
      <c r="F48" s="442" t="s">
        <v>66</v>
      </c>
      <c r="G48" s="442"/>
      <c r="H48" s="181">
        <f>+H45*19%</f>
        <v>21084405.07</v>
      </c>
      <c r="I48" s="181">
        <f>+I45*19%</f>
        <v>22159709.690000001</v>
      </c>
      <c r="K48" s="551" t="s">
        <v>66</v>
      </c>
      <c r="L48" s="483">
        <f>L47*0.19</f>
        <v>3795913.1</v>
      </c>
      <c r="N48" s="551" t="s">
        <v>66</v>
      </c>
      <c r="O48" s="483">
        <f>O47*0.19</f>
        <v>0</v>
      </c>
      <c r="Q48" s="551" t="s">
        <v>66</v>
      </c>
      <c r="R48" s="483">
        <f>R47*0.19</f>
        <v>3795913.1</v>
      </c>
    </row>
    <row r="49" spans="1:19" x14ac:dyDescent="0.3">
      <c r="F49" s="441" t="s">
        <v>69</v>
      </c>
      <c r="G49" s="441"/>
      <c r="H49" s="181">
        <f>+H45+H48</f>
        <v>132054958.06999999</v>
      </c>
      <c r="I49" s="181">
        <f>+I45+I48</f>
        <v>138789760.69</v>
      </c>
      <c r="K49" s="552" t="s">
        <v>69</v>
      </c>
      <c r="L49" s="481">
        <f>L47+L48</f>
        <v>23774403.100000001</v>
      </c>
      <c r="N49" s="552" t="s">
        <v>69</v>
      </c>
      <c r="O49" s="481">
        <f>O47+O48</f>
        <v>0</v>
      </c>
      <c r="Q49" s="552" t="s">
        <v>69</v>
      </c>
      <c r="R49" s="481">
        <f>R47+R48</f>
        <v>23774403.100000001</v>
      </c>
    </row>
    <row r="53" spans="1:19" s="189" customFormat="1" x14ac:dyDescent="0.3">
      <c r="A53" s="183" t="s">
        <v>67</v>
      </c>
      <c r="B53" s="184"/>
      <c r="C53" s="184"/>
      <c r="D53" s="185" t="s">
        <v>68</v>
      </c>
      <c r="G53" s="852"/>
      <c r="I53" s="852"/>
      <c r="K53" s="186" t="s">
        <v>70</v>
      </c>
      <c r="L53" s="187" t="s">
        <v>71</v>
      </c>
      <c r="M53" s="186" t="s">
        <v>58</v>
      </c>
      <c r="N53" s="186" t="s">
        <v>70</v>
      </c>
      <c r="O53" s="187" t="s">
        <v>71</v>
      </c>
      <c r="P53" s="186" t="s">
        <v>58</v>
      </c>
      <c r="Q53" s="437"/>
      <c r="R53" s="437"/>
      <c r="S53" s="437"/>
    </row>
    <row r="54" spans="1:19" s="189" customFormat="1" x14ac:dyDescent="0.3">
      <c r="A54" s="183"/>
      <c r="B54" s="184"/>
      <c r="C54" s="184"/>
      <c r="D54" s="185"/>
      <c r="G54" s="852"/>
      <c r="I54" s="852"/>
      <c r="K54" s="69" t="s">
        <v>72</v>
      </c>
      <c r="L54" s="70">
        <f>L47</f>
        <v>19978490</v>
      </c>
      <c r="M54" s="71">
        <f>M47</f>
        <v>0.18003415734983316</v>
      </c>
      <c r="N54" s="69" t="s">
        <v>72</v>
      </c>
      <c r="O54" s="70">
        <f>$L$47</f>
        <v>19978490</v>
      </c>
      <c r="P54" s="71">
        <f>$M$47</f>
        <v>0.18003415734983316</v>
      </c>
      <c r="Q54" s="437"/>
      <c r="R54" s="437"/>
      <c r="S54" s="437"/>
    </row>
    <row r="55" spans="1:19" s="189" customFormat="1" x14ac:dyDescent="0.3">
      <c r="A55" s="183"/>
      <c r="B55" s="184"/>
      <c r="C55" s="184"/>
      <c r="D55" s="185"/>
      <c r="G55" s="852"/>
      <c r="I55" s="852"/>
      <c r="K55" s="72" t="s">
        <v>1</v>
      </c>
      <c r="L55" s="105">
        <f>SUM(L54:L54)</f>
        <v>19978490</v>
      </c>
      <c r="M55" s="73">
        <f>SUM(M54:M54)</f>
        <v>0.18003415734983316</v>
      </c>
      <c r="N55" s="69" t="s">
        <v>73</v>
      </c>
      <c r="O55" s="70">
        <f>$O$47</f>
        <v>0</v>
      </c>
      <c r="P55" s="71">
        <f>$P$47</f>
        <v>0</v>
      </c>
      <c r="Q55" s="437"/>
      <c r="R55" s="437"/>
      <c r="S55" s="437"/>
    </row>
    <row r="56" spans="1:19" s="189" customFormat="1" x14ac:dyDescent="0.3">
      <c r="A56" s="183"/>
      <c r="B56" s="184"/>
      <c r="C56" s="184"/>
      <c r="D56" s="185"/>
      <c r="G56" s="852"/>
      <c r="I56" s="852"/>
      <c r="K56" s="72" t="s">
        <v>9</v>
      </c>
      <c r="L56" s="1423"/>
      <c r="M56" s="1424"/>
      <c r="N56" s="72" t="s">
        <v>1</v>
      </c>
      <c r="O56" s="105">
        <f>SUM(O54:O55)</f>
        <v>19978490</v>
      </c>
      <c r="P56" s="73">
        <f>SUM(P54:P55)</f>
        <v>0.18003415734983316</v>
      </c>
      <c r="Q56" s="437"/>
      <c r="R56" s="437"/>
      <c r="S56" s="437"/>
    </row>
    <row r="57" spans="1:19" s="189" customFormat="1" x14ac:dyDescent="0.3">
      <c r="A57" s="183"/>
      <c r="B57" s="184"/>
      <c r="C57" s="184"/>
      <c r="D57" s="185"/>
      <c r="G57" s="852"/>
      <c r="I57" s="852"/>
      <c r="K57" s="440" t="s">
        <v>78</v>
      </c>
      <c r="L57" s="1423" t="s">
        <v>2208</v>
      </c>
      <c r="M57" s="1424"/>
      <c r="N57" s="72" t="s">
        <v>9</v>
      </c>
      <c r="O57" s="1423"/>
      <c r="P57" s="1424"/>
      <c r="Q57" s="437"/>
      <c r="R57" s="437"/>
      <c r="S57" s="437"/>
    </row>
    <row r="58" spans="1:19" s="189" customFormat="1" x14ac:dyDescent="0.3">
      <c r="A58" s="183"/>
      <c r="B58" s="184"/>
      <c r="C58" s="184"/>
      <c r="D58" s="185"/>
      <c r="G58" s="852"/>
      <c r="I58" s="852"/>
      <c r="K58" s="439" t="s">
        <v>8</v>
      </c>
      <c r="L58" s="1423" t="s">
        <v>2209</v>
      </c>
      <c r="M58" s="1424"/>
      <c r="N58" s="440" t="s">
        <v>78</v>
      </c>
      <c r="O58" s="1423" t="s">
        <v>2208</v>
      </c>
      <c r="P58" s="1424"/>
      <c r="Q58" s="437"/>
      <c r="R58" s="437"/>
      <c r="S58" s="437"/>
    </row>
    <row r="59" spans="1:19" s="189" customFormat="1" x14ac:dyDescent="0.3">
      <c r="A59" s="183"/>
      <c r="B59" s="184"/>
      <c r="C59" s="184"/>
      <c r="D59" s="185" t="s">
        <v>75</v>
      </c>
      <c r="G59" s="852"/>
      <c r="I59" s="852"/>
      <c r="N59" s="439" t="s">
        <v>8</v>
      </c>
      <c r="O59" s="1423" t="s">
        <v>2209</v>
      </c>
      <c r="P59" s="1424"/>
    </row>
    <row r="60" spans="1:19" s="189" customFormat="1" x14ac:dyDescent="0.3">
      <c r="A60" s="183" t="s">
        <v>76</v>
      </c>
      <c r="B60" s="180"/>
      <c r="C60" s="180"/>
      <c r="D60" s="185" t="s">
        <v>77</v>
      </c>
      <c r="G60" s="852"/>
      <c r="I60" s="852"/>
      <c r="N60" s="1055"/>
      <c r="O60" s="1055"/>
      <c r="P60" s="1055"/>
    </row>
    <row r="61" spans="1:19" s="189" customFormat="1" ht="26.4" x14ac:dyDescent="0.3">
      <c r="A61" s="183" t="s">
        <v>79</v>
      </c>
      <c r="B61" s="180"/>
      <c r="C61" s="180"/>
      <c r="D61" s="185" t="s">
        <v>80</v>
      </c>
      <c r="G61" s="852"/>
      <c r="I61" s="852"/>
      <c r="N61" s="1055"/>
      <c r="O61" s="1055"/>
      <c r="P61" s="1055"/>
    </row>
    <row r="62" spans="1:19" x14ac:dyDescent="0.3">
      <c r="N62" s="1055"/>
      <c r="O62" s="1055"/>
      <c r="P62" s="1055"/>
    </row>
  </sheetData>
  <sheetProtection formatCells="0" formatColumns="0" formatRows="0" insertColumns="0" insertRows="0" insertHyperlinks="0" deleteColumns="0" deleteRows="0" sort="0" autoFilter="0" pivotTables="0"/>
  <mergeCells count="55">
    <mergeCell ref="Q1:S1"/>
    <mergeCell ref="Q2:S2"/>
    <mergeCell ref="A3:S3"/>
    <mergeCell ref="A4:S4"/>
    <mergeCell ref="A5:S5"/>
    <mergeCell ref="C1:M2"/>
    <mergeCell ref="A22:A24"/>
    <mergeCell ref="B22:B24"/>
    <mergeCell ref="A6:S6"/>
    <mergeCell ref="A7:S7"/>
    <mergeCell ref="A8:S8"/>
    <mergeCell ref="A9:S9"/>
    <mergeCell ref="A10:S10"/>
    <mergeCell ref="B11:J11"/>
    <mergeCell ref="B12:J12"/>
    <mergeCell ref="B31:B32"/>
    <mergeCell ref="J31:J32"/>
    <mergeCell ref="Q11:S12"/>
    <mergeCell ref="A29:A30"/>
    <mergeCell ref="B29:B30"/>
    <mergeCell ref="J29:J30"/>
    <mergeCell ref="A31:A32"/>
    <mergeCell ref="A25:A28"/>
    <mergeCell ref="B25:B28"/>
    <mergeCell ref="J25:J28"/>
    <mergeCell ref="A14:A17"/>
    <mergeCell ref="B14:B17"/>
    <mergeCell ref="A41:A42"/>
    <mergeCell ref="B41:B42"/>
    <mergeCell ref="J41:J42"/>
    <mergeCell ref="A33:A34"/>
    <mergeCell ref="B33:B34"/>
    <mergeCell ref="J33:J34"/>
    <mergeCell ref="A35:A36"/>
    <mergeCell ref="B35:B36"/>
    <mergeCell ref="J39:J40"/>
    <mergeCell ref="A39:A40"/>
    <mergeCell ref="B39:B40"/>
    <mergeCell ref="A37:A38"/>
    <mergeCell ref="B37:B38"/>
    <mergeCell ref="J37:J38"/>
    <mergeCell ref="J14:J17"/>
    <mergeCell ref="A18:A21"/>
    <mergeCell ref="B18:B21"/>
    <mergeCell ref="J18:J21"/>
    <mergeCell ref="N11:P12"/>
    <mergeCell ref="K11:M12"/>
    <mergeCell ref="O57:P57"/>
    <mergeCell ref="O58:P58"/>
    <mergeCell ref="O59:P59"/>
    <mergeCell ref="J22:J24"/>
    <mergeCell ref="L58:M58"/>
    <mergeCell ref="L56:M56"/>
    <mergeCell ref="L57:M57"/>
    <mergeCell ref="J35:J36"/>
  </mergeCells>
  <pageMargins left="0.70866141732283472" right="0.70866141732283472" top="0.74803149606299213" bottom="0.74803149606299213" header="0.31496062992125984" footer="0.31496062992125984"/>
  <pageSetup scale="35" orientation="landscape" r:id="rId1"/>
  <rowBreaks count="1" manualBreakCount="1">
    <brk id="38" max="7" man="1"/>
  </rowBreaks>
  <drawing r:id="rId2"/>
  <legacyDrawingHF r:id="rId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8">
    <tabColor theme="1"/>
  </sheetPr>
  <dimension ref="A1:G49"/>
  <sheetViews>
    <sheetView topLeftCell="A7" zoomScaleNormal="100" workbookViewId="0">
      <selection activeCell="A19" sqref="A1:XFD104857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f>RESUMEN!G9999</f>
        <v>0</v>
      </c>
      <c r="C5" s="1281"/>
      <c r="D5" s="1281"/>
      <c r="E5" s="1281"/>
      <c r="F5" s="1281"/>
      <c r="G5" s="1282"/>
    </row>
    <row r="6" spans="1:7" x14ac:dyDescent="0.25">
      <c r="A6" s="1177"/>
      <c r="B6" s="1177"/>
      <c r="C6" s="1177"/>
      <c r="D6" s="1177"/>
      <c r="E6" s="1177"/>
      <c r="F6" s="1177"/>
      <c r="G6" s="1177"/>
    </row>
    <row r="7" spans="1:7" x14ac:dyDescent="0.25">
      <c r="A7" s="271" t="s">
        <v>0</v>
      </c>
      <c r="B7" s="1264">
        <f>RESUMEN!B9999</f>
        <v>0</v>
      </c>
      <c r="C7" s="1265"/>
      <c r="D7" s="1177"/>
      <c r="E7" s="1266" t="s">
        <v>627</v>
      </c>
      <c r="F7" s="1267"/>
      <c r="G7" s="280">
        <f>RESUMEN!E9999</f>
        <v>0</v>
      </c>
    </row>
    <row r="8" spans="1:7" x14ac:dyDescent="0.25">
      <c r="A8" s="271" t="s">
        <v>628</v>
      </c>
      <c r="B8" s="1264">
        <f>RESUMEN!C9999</f>
        <v>0</v>
      </c>
      <c r="C8" s="1265"/>
      <c r="D8" s="1177"/>
      <c r="E8" s="1266" t="s">
        <v>629</v>
      </c>
      <c r="F8" s="1267"/>
      <c r="G8" s="280">
        <f>RESUMEN!U9999</f>
        <v>0</v>
      </c>
    </row>
    <row r="9" spans="1:7" x14ac:dyDescent="0.25">
      <c r="A9" s="271" t="s">
        <v>630</v>
      </c>
      <c r="B9" s="1283" t="s">
        <v>631</v>
      </c>
      <c r="C9" s="1265"/>
      <c r="D9" s="1177"/>
      <c r="E9" s="1266" t="s">
        <v>632</v>
      </c>
      <c r="F9" s="1267"/>
      <c r="G9" s="1178">
        <f>RESUMEN!H9999</f>
        <v>0</v>
      </c>
    </row>
    <row r="10" spans="1:7" x14ac:dyDescent="0.25">
      <c r="A10" s="271" t="s">
        <v>633</v>
      </c>
      <c r="B10" s="1283">
        <f>RESUMEN!D9999</f>
        <v>0</v>
      </c>
      <c r="C10" s="1265"/>
      <c r="D10" s="1177"/>
      <c r="E10" s="1266" t="s">
        <v>634</v>
      </c>
      <c r="F10" s="1267"/>
      <c r="G10" s="1178">
        <f>RESUMEN!R9999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RESUMEN!V9999,"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",RESUMEN!G9999)</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RESUMEN!N9999</f>
        <v>0</v>
      </c>
      <c r="F19" s="1248"/>
      <c r="G19" s="1177"/>
    </row>
    <row r="20" spans="1:7" ht="27" customHeight="1" x14ac:dyDescent="0.25">
      <c r="A20" s="1177"/>
      <c r="B20" s="1244" t="s">
        <v>1498</v>
      </c>
      <c r="C20" s="1245"/>
      <c r="D20" s="1246"/>
      <c r="E20" s="1247">
        <f>RESUMEN!P9999</f>
        <v>0</v>
      </c>
      <c r="F20" s="1248"/>
      <c r="G20" s="1177"/>
    </row>
    <row r="21" spans="1:7" ht="27" customHeight="1" x14ac:dyDescent="0.25">
      <c r="A21" s="1177"/>
      <c r="B21" s="1244" t="s">
        <v>1499</v>
      </c>
      <c r="C21" s="1245"/>
      <c r="D21" s="1246"/>
      <c r="E21" s="1247">
        <f>RESUMEN!Q9999</f>
        <v>0</v>
      </c>
      <c r="F21" s="1248"/>
      <c r="G21" s="1177"/>
    </row>
    <row r="22" spans="1:7" x14ac:dyDescent="0.25">
      <c r="A22" s="1177"/>
      <c r="B22" s="1254" t="s">
        <v>64</v>
      </c>
      <c r="C22" s="1254"/>
      <c r="D22" s="1254"/>
      <c r="E22" s="1255">
        <f>RESUMEN!R9999</f>
        <v>0</v>
      </c>
      <c r="F22" s="1255"/>
      <c r="G22" s="1177"/>
    </row>
    <row r="23" spans="1:7" x14ac:dyDescent="0.25">
      <c r="A23" s="1177"/>
      <c r="B23" s="1256" t="s">
        <v>66</v>
      </c>
      <c r="C23" s="1256"/>
      <c r="D23" s="1256"/>
      <c r="E23" s="1257">
        <f>RESUMEN!S9999</f>
        <v>0</v>
      </c>
      <c r="F23" s="1257"/>
      <c r="G23" s="1177"/>
    </row>
    <row r="24" spans="1:7" x14ac:dyDescent="0.25">
      <c r="A24" s="1177"/>
      <c r="B24" s="1258" t="s">
        <v>1</v>
      </c>
      <c r="C24" s="1258"/>
      <c r="D24" s="1258"/>
      <c r="E24" s="1259">
        <f>RESUMEN!T9999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RESUMEN!V9999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7" orientation="portrait" r:id="rId1"/>
  <drawing r:id="rId2"/>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0">
    <tabColor rgb="FF7B2307"/>
  </sheetPr>
  <dimension ref="A1:S33"/>
  <sheetViews>
    <sheetView topLeftCell="C1" zoomScale="55" zoomScaleNormal="55" workbookViewId="0">
      <selection activeCell="R19" sqref="R19"/>
    </sheetView>
  </sheetViews>
  <sheetFormatPr baseColWidth="10" defaultColWidth="9.109375" defaultRowHeight="14.4" x14ac:dyDescent="0.3"/>
  <cols>
    <col min="1" max="1" width="16.33203125" style="437" customWidth="1"/>
    <col min="2" max="2" width="24.6640625" style="437" bestFit="1" customWidth="1"/>
    <col min="3" max="3" width="28.109375" style="437" customWidth="1"/>
    <col min="4" max="4" width="22.33203125" style="437" bestFit="1" customWidth="1"/>
    <col min="5" max="5" width="13" style="437" customWidth="1"/>
    <col min="6" max="7" width="17.88671875" style="437" customWidth="1"/>
    <col min="8" max="9" width="18.88671875" style="437" customWidth="1"/>
    <col min="10" max="10" width="43.6640625" style="437" customWidth="1"/>
    <col min="11" max="11" width="17.88671875" style="437" customWidth="1"/>
    <col min="12" max="12" width="18" style="437" bestFit="1" customWidth="1"/>
    <col min="13" max="13" width="9.109375" style="437"/>
    <col min="14" max="14" width="17.88671875" style="437" customWidth="1"/>
    <col min="15" max="15" width="18" style="437" bestFit="1" customWidth="1"/>
    <col min="16" max="16" width="9.109375" style="437"/>
    <col min="17" max="17" width="17.88671875" style="437" bestFit="1" customWidth="1"/>
    <col min="18" max="18" width="17.5546875" style="437" bestFit="1" customWidth="1"/>
    <col min="19" max="16384" width="9.109375" style="437"/>
  </cols>
  <sheetData>
    <row r="1" spans="1:19" ht="45.75" customHeight="1" thickBot="1" x14ac:dyDescent="0.35">
      <c r="A1" s="169"/>
      <c r="B1" s="188"/>
      <c r="C1" s="1307" t="s">
        <v>40</v>
      </c>
      <c r="D1" s="1308"/>
      <c r="E1" s="1308"/>
      <c r="F1" s="1308"/>
      <c r="G1" s="1308"/>
      <c r="H1" s="1308"/>
      <c r="I1" s="1308"/>
      <c r="J1" s="1308"/>
      <c r="K1" s="1308"/>
      <c r="L1" s="1308"/>
      <c r="M1" s="1308"/>
      <c r="N1" s="721"/>
      <c r="O1" s="721"/>
      <c r="P1" s="721"/>
      <c r="Q1" s="1328" t="s">
        <v>1663</v>
      </c>
      <c r="R1" s="1303"/>
      <c r="S1" s="1304"/>
    </row>
    <row r="2" spans="1:19" ht="13.5" customHeight="1" thickBot="1" x14ac:dyDescent="0.35">
      <c r="A2" s="170"/>
      <c r="B2" s="190"/>
      <c r="C2" s="1310"/>
      <c r="D2" s="1311"/>
      <c r="E2" s="1311"/>
      <c r="F2" s="1311"/>
      <c r="G2" s="1311"/>
      <c r="H2" s="1311"/>
      <c r="I2" s="1311"/>
      <c r="J2" s="1311"/>
      <c r="K2" s="1311"/>
      <c r="L2" s="1311"/>
      <c r="M2" s="1311"/>
      <c r="N2" s="722"/>
      <c r="O2" s="722"/>
      <c r="P2" s="722"/>
      <c r="Q2" s="1329" t="s">
        <v>41</v>
      </c>
      <c r="R2" s="1305"/>
      <c r="S2" s="1306"/>
    </row>
    <row r="3" spans="1:19"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1662</v>
      </c>
      <c r="B7" s="1292"/>
      <c r="C7" s="1292"/>
      <c r="D7" s="1292"/>
      <c r="E7" s="1292"/>
      <c r="F7" s="1292"/>
      <c r="G7" s="1292"/>
      <c r="H7" s="1292"/>
      <c r="I7" s="1292"/>
      <c r="J7" s="1292"/>
      <c r="K7" s="1292"/>
      <c r="L7" s="1292"/>
      <c r="M7" s="1292"/>
      <c r="N7" s="1292"/>
      <c r="O7" s="1292"/>
      <c r="P7" s="1292"/>
      <c r="Q7" s="1292"/>
      <c r="R7" s="1292"/>
      <c r="S7" s="1292"/>
    </row>
    <row r="8" spans="1:19" ht="13.5" customHeight="1" x14ac:dyDescent="0.3">
      <c r="A8" s="1292" t="s">
        <v>2095</v>
      </c>
      <c r="B8" s="1292"/>
      <c r="C8" s="1292"/>
      <c r="D8" s="1292"/>
      <c r="E8" s="1292"/>
      <c r="F8" s="1292"/>
      <c r="G8" s="1292"/>
      <c r="H8" s="1292"/>
      <c r="I8" s="1292"/>
      <c r="J8" s="1292"/>
      <c r="K8" s="1292"/>
      <c r="L8" s="1292"/>
      <c r="M8" s="1292"/>
      <c r="N8" s="1292"/>
      <c r="O8" s="1292"/>
      <c r="P8" s="1292"/>
      <c r="Q8" s="1292"/>
      <c r="R8" s="1292"/>
      <c r="S8" s="1292"/>
    </row>
    <row r="9" spans="1:19" ht="13.5" customHeight="1" x14ac:dyDescent="0.3">
      <c r="A9" s="1292" t="s">
        <v>2087</v>
      </c>
      <c r="B9" s="1292"/>
      <c r="C9" s="1292"/>
      <c r="D9" s="1292"/>
      <c r="E9" s="1292"/>
      <c r="F9" s="1292"/>
      <c r="G9" s="1292"/>
      <c r="H9" s="1292"/>
      <c r="I9" s="1292"/>
      <c r="J9" s="1292"/>
      <c r="K9" s="1292"/>
      <c r="L9" s="1292"/>
      <c r="M9" s="1292"/>
      <c r="N9" s="1292"/>
      <c r="O9" s="1292"/>
      <c r="P9" s="1292"/>
      <c r="Q9" s="1292"/>
      <c r="R9" s="1292"/>
      <c r="S9" s="1292"/>
    </row>
    <row r="10" spans="1:19" ht="13.5" customHeight="1" x14ac:dyDescent="0.3">
      <c r="A10" s="1292" t="s">
        <v>1661</v>
      </c>
      <c r="B10" s="1292"/>
      <c r="C10" s="1292"/>
      <c r="D10" s="1292"/>
      <c r="E10" s="1292"/>
      <c r="F10" s="1292"/>
      <c r="G10" s="1292"/>
      <c r="H10" s="1292"/>
      <c r="I10" s="1292"/>
      <c r="J10" s="1292"/>
      <c r="K10" s="1292"/>
      <c r="L10" s="1292"/>
      <c r="M10" s="1292"/>
      <c r="N10" s="1292"/>
      <c r="O10" s="1292"/>
      <c r="P10" s="1292"/>
      <c r="Q10" s="1292"/>
      <c r="R10" s="1292"/>
      <c r="S10" s="1292"/>
    </row>
    <row r="11" spans="1:19" ht="13.5" customHeight="1" x14ac:dyDescent="0.3">
      <c r="A11" s="491"/>
      <c r="B11" s="1301"/>
      <c r="C11" s="1313"/>
      <c r="D11" s="1313"/>
      <c r="E11" s="1313"/>
      <c r="F11" s="1313"/>
      <c r="G11" s="1313"/>
      <c r="H11" s="1313"/>
      <c r="I11" s="1313"/>
      <c r="J11" s="1313"/>
      <c r="K11" s="1293" t="s">
        <v>1726</v>
      </c>
      <c r="L11" s="1294"/>
      <c r="M11" s="1295"/>
      <c r="N11" s="1433" t="s">
        <v>2094</v>
      </c>
      <c r="O11" s="1434"/>
      <c r="P11" s="1435"/>
      <c r="Q11" s="1299" t="s">
        <v>49</v>
      </c>
      <c r="R11" s="1299"/>
      <c r="S11" s="1299"/>
    </row>
    <row r="12" spans="1:19" ht="13.5" customHeight="1" x14ac:dyDescent="0.3">
      <c r="A12" s="171"/>
      <c r="B12" s="1301"/>
      <c r="C12" s="1302"/>
      <c r="D12" s="1302"/>
      <c r="E12" s="1302"/>
      <c r="F12" s="1302"/>
      <c r="G12" s="1302"/>
      <c r="H12" s="1302"/>
      <c r="I12" s="1302"/>
      <c r="J12" s="1302"/>
      <c r="K12" s="1325"/>
      <c r="L12" s="1326"/>
      <c r="M12" s="1327"/>
      <c r="N12" s="1436"/>
      <c r="O12" s="1437"/>
      <c r="P12" s="1438"/>
      <c r="Q12" s="1300"/>
      <c r="R12" s="1300"/>
      <c r="S12" s="1300"/>
    </row>
    <row r="13" spans="1:19" ht="28.8" x14ac:dyDescent="0.3">
      <c r="A13" s="461" t="s">
        <v>50</v>
      </c>
      <c r="B13" s="461" t="s">
        <v>51</v>
      </c>
      <c r="C13" s="461" t="s">
        <v>52</v>
      </c>
      <c r="D13" s="461" t="s">
        <v>164</v>
      </c>
      <c r="E13" s="461" t="s">
        <v>54</v>
      </c>
      <c r="F13" s="462" t="s">
        <v>55</v>
      </c>
      <c r="G13" s="821" t="s">
        <v>2007</v>
      </c>
      <c r="H13" s="461" t="s">
        <v>56</v>
      </c>
      <c r="I13" s="822" t="s">
        <v>56</v>
      </c>
      <c r="J13" s="461" t="s">
        <v>57</v>
      </c>
      <c r="K13" s="502" t="s">
        <v>54</v>
      </c>
      <c r="L13" s="502" t="s">
        <v>56</v>
      </c>
      <c r="M13" s="502" t="s">
        <v>58</v>
      </c>
      <c r="N13" s="502" t="s">
        <v>54</v>
      </c>
      <c r="O13" s="502" t="s">
        <v>56</v>
      </c>
      <c r="P13" s="502" t="s">
        <v>58</v>
      </c>
      <c r="Q13" s="174" t="s">
        <v>54</v>
      </c>
      <c r="R13" s="172" t="s">
        <v>56</v>
      </c>
      <c r="S13" s="502" t="s">
        <v>58</v>
      </c>
    </row>
    <row r="14" spans="1:19" ht="30" customHeight="1" x14ac:dyDescent="0.3">
      <c r="A14" s="1441" t="s">
        <v>1184</v>
      </c>
      <c r="B14" s="1441" t="s">
        <v>683</v>
      </c>
      <c r="C14" s="493" t="s">
        <v>148</v>
      </c>
      <c r="D14" s="493" t="s">
        <v>684</v>
      </c>
      <c r="E14" s="493">
        <v>0.2</v>
      </c>
      <c r="F14" s="453">
        <v>16401132</v>
      </c>
      <c r="G14" s="32">
        <f>+ROUND(F14*1.051,0)</f>
        <v>17237590</v>
      </c>
      <c r="H14" s="453">
        <f>ROUND((E14*F14),0)</f>
        <v>3280226</v>
      </c>
      <c r="I14" s="32">
        <f>+ROUND(G14*E14,0)</f>
        <v>3447518</v>
      </c>
      <c r="J14" s="1442" t="s">
        <v>1660</v>
      </c>
      <c r="K14" s="474">
        <f>0.2*75%</f>
        <v>0.15000000000000002</v>
      </c>
      <c r="L14" s="429">
        <f>ROUND(K14*F14,0)</f>
        <v>2460170</v>
      </c>
      <c r="M14" s="430">
        <f>L14/H14</f>
        <v>0.75000015242852169</v>
      </c>
      <c r="N14" s="474">
        <f>E14-K14</f>
        <v>4.9999999999999989E-2</v>
      </c>
      <c r="O14" s="429">
        <f>ROUND(N14*G14,0)</f>
        <v>861880</v>
      </c>
      <c r="P14" s="430">
        <f>O14/I14</f>
        <v>0.25000014503187512</v>
      </c>
      <c r="Q14" s="450">
        <f>K14+N14</f>
        <v>0.2</v>
      </c>
      <c r="R14" s="175">
        <f>L14+O14</f>
        <v>3322050</v>
      </c>
      <c r="S14" s="176">
        <f>R14/H14</f>
        <v>1.0127503409826031</v>
      </c>
    </row>
    <row r="15" spans="1:19" ht="15" customHeight="1" x14ac:dyDescent="0.3">
      <c r="A15" s="1441"/>
      <c r="B15" s="1441"/>
      <c r="C15" s="459"/>
      <c r="D15" s="459" t="s">
        <v>685</v>
      </c>
      <c r="E15" s="458"/>
      <c r="F15" s="458"/>
      <c r="G15" s="458"/>
      <c r="H15" s="457">
        <f>H14</f>
        <v>3280226</v>
      </c>
      <c r="I15" s="457">
        <f>SUM(I14)</f>
        <v>3447518</v>
      </c>
      <c r="J15" s="1441"/>
      <c r="K15" s="431"/>
      <c r="L15" s="179">
        <f>L14</f>
        <v>2460170</v>
      </c>
      <c r="M15" s="431">
        <f>L15/H15</f>
        <v>0.75000015242852169</v>
      </c>
      <c r="N15" s="431"/>
      <c r="O15" s="179">
        <f>O14</f>
        <v>861880</v>
      </c>
      <c r="P15" s="431">
        <f>O15/H15</f>
        <v>0.26275018855408133</v>
      </c>
      <c r="Q15" s="446"/>
      <c r="R15" s="307">
        <f>SUM(R14)</f>
        <v>3322050</v>
      </c>
      <c r="S15" s="431">
        <f>R15/H15</f>
        <v>1.0127503409826031</v>
      </c>
    </row>
    <row r="16" spans="1:19" x14ac:dyDescent="0.3">
      <c r="F16" s="445" t="s">
        <v>64</v>
      </c>
      <c r="G16" s="445"/>
      <c r="H16" s="340">
        <f>SUM(H14:H15)/2</f>
        <v>3280226</v>
      </c>
      <c r="I16" s="340">
        <f>SUM(I14:I15)/2</f>
        <v>3447518</v>
      </c>
      <c r="K16" s="547" t="s">
        <v>64</v>
      </c>
      <c r="L16" s="550">
        <f>SUM(L14:L15)/2</f>
        <v>2460170</v>
      </c>
      <c r="N16" s="547" t="s">
        <v>64</v>
      </c>
      <c r="O16" s="550">
        <f>SUM(O14:O15)/2</f>
        <v>861880</v>
      </c>
      <c r="Q16" s="547" t="s">
        <v>64</v>
      </c>
      <c r="R16" s="550">
        <f>SUM(R14:R15)/2</f>
        <v>3322050</v>
      </c>
    </row>
    <row r="17" spans="1:19" x14ac:dyDescent="0.3">
      <c r="A17" s="508"/>
      <c r="B17" s="508"/>
      <c r="C17" s="508"/>
      <c r="D17" s="508"/>
      <c r="E17" s="508"/>
      <c r="F17" s="444" t="s">
        <v>65</v>
      </c>
      <c r="G17" s="444"/>
      <c r="H17" s="181">
        <v>0</v>
      </c>
      <c r="I17" s="181">
        <v>0</v>
      </c>
      <c r="K17" s="548" t="s">
        <v>65</v>
      </c>
      <c r="L17" s="481">
        <v>0</v>
      </c>
      <c r="N17" s="548" t="s">
        <v>65</v>
      </c>
      <c r="O17" s="481">
        <v>0</v>
      </c>
      <c r="Q17" s="548" t="s">
        <v>65</v>
      </c>
      <c r="R17" s="481">
        <v>0</v>
      </c>
    </row>
    <row r="18" spans="1:19" x14ac:dyDescent="0.3">
      <c r="F18" s="443" t="s">
        <v>64</v>
      </c>
      <c r="G18" s="443"/>
      <c r="H18" s="340">
        <f>SUM(H16:H17)</f>
        <v>3280226</v>
      </c>
      <c r="I18" s="340">
        <f>SUM(I16:I17)</f>
        <v>3447518</v>
      </c>
      <c r="K18" s="549" t="s">
        <v>64</v>
      </c>
      <c r="L18" s="550">
        <f>SUM(L16:L17)</f>
        <v>2460170</v>
      </c>
      <c r="N18" s="549" t="s">
        <v>64</v>
      </c>
      <c r="O18" s="550">
        <f>SUM(O16:O17)</f>
        <v>861880</v>
      </c>
      <c r="Q18" s="549" t="s">
        <v>64</v>
      </c>
      <c r="R18" s="550">
        <f>SUM(R16:R17)</f>
        <v>3322050</v>
      </c>
    </row>
    <row r="19" spans="1:19" ht="26.4" x14ac:dyDescent="0.3">
      <c r="F19" s="443"/>
      <c r="G19" s="443"/>
      <c r="H19" s="340"/>
      <c r="I19" s="340"/>
      <c r="K19" s="501" t="s">
        <v>1439</v>
      </c>
      <c r="L19" s="483">
        <f>ROUND(L18*0.015,0)</f>
        <v>36903</v>
      </c>
      <c r="N19" s="501" t="s">
        <v>1439</v>
      </c>
      <c r="O19" s="483">
        <f>ROUND(O18*0.015,0)</f>
        <v>12928</v>
      </c>
      <c r="Q19" s="501" t="s">
        <v>1439</v>
      </c>
      <c r="R19" s="550">
        <f>L19+O19</f>
        <v>49831</v>
      </c>
    </row>
    <row r="20" spans="1:19" ht="26.4" x14ac:dyDescent="0.3">
      <c r="F20" s="443"/>
      <c r="G20" s="443"/>
      <c r="H20" s="340"/>
      <c r="I20" s="340"/>
      <c r="K20" s="96" t="s">
        <v>1440</v>
      </c>
      <c r="L20" s="182">
        <f>L18+L19</f>
        <v>2497073</v>
      </c>
      <c r="M20" s="613">
        <f>+L20/H18</f>
        <v>0.76125029190061899</v>
      </c>
      <c r="N20" s="96" t="s">
        <v>1440</v>
      </c>
      <c r="O20" s="182">
        <f>O18+O19</f>
        <v>874808</v>
      </c>
      <c r="P20" s="613">
        <f>+O20/H18</f>
        <v>0.26669138041098389</v>
      </c>
      <c r="Q20" s="96" t="s">
        <v>1440</v>
      </c>
      <c r="R20" s="182">
        <f>R18+R19</f>
        <v>3371881</v>
      </c>
      <c r="S20" s="613">
        <f>+R20/H18</f>
        <v>1.0279416723116028</v>
      </c>
    </row>
    <row r="21" spans="1:19" x14ac:dyDescent="0.3">
      <c r="F21" s="442" t="s">
        <v>66</v>
      </c>
      <c r="G21" s="442"/>
      <c r="H21" s="181">
        <f>+H18*19%</f>
        <v>623242.94000000006</v>
      </c>
      <c r="I21" s="181">
        <f>+I18*19%</f>
        <v>655028.42000000004</v>
      </c>
      <c r="K21" s="551" t="s">
        <v>66</v>
      </c>
      <c r="L21" s="483">
        <f>L20*0.19</f>
        <v>474443.87</v>
      </c>
      <c r="N21" s="551" t="s">
        <v>66</v>
      </c>
      <c r="O21" s="483">
        <f>O20*0.19</f>
        <v>166213.51999999999</v>
      </c>
      <c r="Q21" s="551" t="s">
        <v>66</v>
      </c>
      <c r="R21" s="483">
        <f>R20*0.19</f>
        <v>640657.39</v>
      </c>
    </row>
    <row r="22" spans="1:19" x14ac:dyDescent="0.3">
      <c r="F22" s="441" t="s">
        <v>69</v>
      </c>
      <c r="G22" s="441"/>
      <c r="H22" s="181">
        <f>+H18+H21</f>
        <v>3903468.94</v>
      </c>
      <c r="I22" s="181">
        <f>+I18+I21</f>
        <v>4102546.42</v>
      </c>
      <c r="K22" s="552" t="s">
        <v>69</v>
      </c>
      <c r="L22" s="481">
        <f>L20+L21</f>
        <v>2971516.87</v>
      </c>
      <c r="N22" s="552" t="s">
        <v>69</v>
      </c>
      <c r="O22" s="481">
        <f>O20+O21</f>
        <v>1041021.52</v>
      </c>
      <c r="Q22" s="552" t="s">
        <v>69</v>
      </c>
      <c r="R22" s="481">
        <f>R20+R21</f>
        <v>4012538.39</v>
      </c>
    </row>
    <row r="23" spans="1:19" x14ac:dyDescent="0.3">
      <c r="K23" s="563"/>
      <c r="L23" s="563"/>
      <c r="N23" s="563"/>
      <c r="O23" s="563"/>
    </row>
    <row r="25" spans="1:19" s="189" customFormat="1" x14ac:dyDescent="0.3">
      <c r="A25" s="183" t="s">
        <v>67</v>
      </c>
      <c r="B25" s="184"/>
      <c r="C25" s="184"/>
      <c r="D25" s="185" t="s">
        <v>68</v>
      </c>
      <c r="G25" s="852"/>
      <c r="I25" s="852"/>
      <c r="K25" s="186" t="s">
        <v>70</v>
      </c>
      <c r="L25" s="187" t="s">
        <v>71</v>
      </c>
      <c r="M25" s="186" t="s">
        <v>58</v>
      </c>
      <c r="N25" s="186" t="s">
        <v>70</v>
      </c>
      <c r="O25" s="187" t="s">
        <v>71</v>
      </c>
      <c r="P25" s="186" t="s">
        <v>58</v>
      </c>
      <c r="Q25" s="437"/>
      <c r="R25" s="437"/>
      <c r="S25" s="437"/>
    </row>
    <row r="26" spans="1:19" s="189" customFormat="1" x14ac:dyDescent="0.3">
      <c r="A26" s="183"/>
      <c r="B26" s="184"/>
      <c r="C26" s="184"/>
      <c r="D26" s="185"/>
      <c r="G26" s="852"/>
      <c r="I26" s="852"/>
      <c r="K26" s="69" t="s">
        <v>72</v>
      </c>
      <c r="L26" s="70">
        <f>L20</f>
        <v>2497073</v>
      </c>
      <c r="M26" s="360">
        <f>M20</f>
        <v>0.76125029190061899</v>
      </c>
      <c r="N26" s="69" t="s">
        <v>72</v>
      </c>
      <c r="O26" s="740">
        <f>L20</f>
        <v>2497073</v>
      </c>
      <c r="P26" s="360">
        <f>M20</f>
        <v>0.76125029190061899</v>
      </c>
      <c r="Q26" s="437"/>
      <c r="R26" s="437"/>
      <c r="S26" s="437"/>
    </row>
    <row r="27" spans="1:19" s="189" customFormat="1" x14ac:dyDescent="0.3">
      <c r="A27" s="183"/>
      <c r="B27" s="184"/>
      <c r="C27" s="184"/>
      <c r="D27" s="185"/>
      <c r="G27" s="852"/>
      <c r="I27" s="852"/>
      <c r="K27" s="72" t="s">
        <v>1</v>
      </c>
      <c r="L27" s="105">
        <f>SUM(L26:L26)</f>
        <v>2497073</v>
      </c>
      <c r="M27" s="361">
        <f>SUM(M26:M26)</f>
        <v>0.76125029190061899</v>
      </c>
      <c r="N27" s="69" t="s">
        <v>73</v>
      </c>
      <c r="O27" s="740">
        <f>O20</f>
        <v>874808</v>
      </c>
      <c r="P27" s="741">
        <f>P20</f>
        <v>0.26669138041098389</v>
      </c>
      <c r="Q27" s="437"/>
      <c r="R27" s="437"/>
      <c r="S27" s="437"/>
    </row>
    <row r="28" spans="1:19" s="189" customFormat="1" x14ac:dyDescent="0.3">
      <c r="A28" s="183"/>
      <c r="B28" s="184"/>
      <c r="C28" s="184"/>
      <c r="D28" s="185"/>
      <c r="G28" s="852"/>
      <c r="I28" s="852"/>
      <c r="K28" s="72" t="s">
        <v>9</v>
      </c>
      <c r="L28" s="1423"/>
      <c r="M28" s="1424"/>
      <c r="N28" s="72" t="s">
        <v>1</v>
      </c>
      <c r="O28" s="105">
        <f>SUM(O26:O27)</f>
        <v>3371881</v>
      </c>
      <c r="P28" s="361">
        <f>SUM(P26:P27)</f>
        <v>1.0279416723116028</v>
      </c>
      <c r="Q28" s="437"/>
      <c r="R28" s="437"/>
      <c r="S28" s="437"/>
    </row>
    <row r="29" spans="1:19" s="189" customFormat="1" x14ac:dyDescent="0.3">
      <c r="A29" s="183"/>
      <c r="B29" s="184"/>
      <c r="C29" s="184"/>
      <c r="D29" s="185"/>
      <c r="G29" s="852"/>
      <c r="I29" s="852"/>
      <c r="K29" s="440" t="s">
        <v>78</v>
      </c>
      <c r="L29" s="1423" t="s">
        <v>852</v>
      </c>
      <c r="M29" s="1424"/>
      <c r="N29" s="72" t="s">
        <v>9</v>
      </c>
      <c r="O29" s="723"/>
      <c r="P29" s="724"/>
      <c r="Q29" s="437"/>
      <c r="R29" s="437"/>
      <c r="S29" s="437"/>
    </row>
    <row r="30" spans="1:19" s="189" customFormat="1" x14ac:dyDescent="0.3">
      <c r="A30" s="183"/>
      <c r="B30" s="184"/>
      <c r="C30" s="184"/>
      <c r="D30" s="185"/>
      <c r="G30" s="852"/>
      <c r="I30" s="852"/>
      <c r="K30" s="439" t="s">
        <v>8</v>
      </c>
      <c r="L30" s="1425" t="s">
        <v>1659</v>
      </c>
      <c r="M30" s="1426"/>
      <c r="N30" s="440" t="s">
        <v>78</v>
      </c>
      <c r="O30" s="723" t="s">
        <v>852</v>
      </c>
      <c r="P30" s="724"/>
      <c r="Q30" s="437"/>
      <c r="R30" s="437"/>
      <c r="S30" s="437"/>
    </row>
    <row r="31" spans="1:19" s="189" customFormat="1" x14ac:dyDescent="0.3">
      <c r="A31" s="183"/>
      <c r="B31" s="184"/>
      <c r="C31" s="184"/>
      <c r="D31" s="185" t="s">
        <v>75</v>
      </c>
      <c r="G31" s="852"/>
      <c r="I31" s="852"/>
      <c r="N31" s="439" t="s">
        <v>8</v>
      </c>
      <c r="O31" s="725" t="s">
        <v>1659</v>
      </c>
      <c r="P31" s="726"/>
    </row>
    <row r="32" spans="1:19" s="189" customFormat="1" x14ac:dyDescent="0.3">
      <c r="A32" s="183" t="s">
        <v>76</v>
      </c>
      <c r="B32" s="180"/>
      <c r="C32" s="180"/>
      <c r="D32" s="185" t="s">
        <v>77</v>
      </c>
      <c r="G32" s="852"/>
      <c r="I32" s="852"/>
      <c r="N32" s="727"/>
      <c r="O32" s="727"/>
      <c r="P32" s="727"/>
    </row>
    <row r="33" spans="1:16" s="189" customFormat="1" ht="26.4" x14ac:dyDescent="0.3">
      <c r="A33" s="183" t="s">
        <v>79</v>
      </c>
      <c r="B33" s="180"/>
      <c r="C33" s="180"/>
      <c r="D33" s="185" t="s">
        <v>80</v>
      </c>
      <c r="G33" s="852"/>
      <c r="I33" s="852"/>
      <c r="N33" s="727"/>
      <c r="O33" s="727"/>
      <c r="P33" s="727"/>
    </row>
  </sheetData>
  <sheetProtection formatCells="0" formatColumns="0" formatRows="0" insertColumns="0" insertRows="0" insertHyperlinks="0" deleteColumns="0" deleteRows="0" sort="0" autoFilter="0" pivotTables="0"/>
  <mergeCells count="22">
    <mergeCell ref="A10:S10"/>
    <mergeCell ref="B11:J11"/>
    <mergeCell ref="K11:M12"/>
    <mergeCell ref="Q11:S12"/>
    <mergeCell ref="B12:J12"/>
    <mergeCell ref="N11:P12"/>
    <mergeCell ref="L28:M28"/>
    <mergeCell ref="L29:M29"/>
    <mergeCell ref="L30:M30"/>
    <mergeCell ref="A14:A15"/>
    <mergeCell ref="B14:B15"/>
    <mergeCell ref="J14:J15"/>
    <mergeCell ref="C1:M2"/>
    <mergeCell ref="A6:S6"/>
    <mergeCell ref="A7:S7"/>
    <mergeCell ref="A8:S8"/>
    <mergeCell ref="A9:S9"/>
    <mergeCell ref="Q1:S1"/>
    <mergeCell ref="Q2:S2"/>
    <mergeCell ref="A3:S3"/>
    <mergeCell ref="A4:S4"/>
    <mergeCell ref="A5:S5"/>
  </mergeCells>
  <pageMargins left="0.7" right="0.7" top="0.75" bottom="0.75" header="0.3" footer="0.3"/>
  <pageSetup scale="69" orientation="landscape" r:id="rId1"/>
  <drawing r:id="rId2"/>
  <legacyDrawingHF r:id="rId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1">
    <tabColor theme="1" tint="4.9989318521683403E-2"/>
  </sheetPr>
  <dimension ref="A1:G49"/>
  <sheetViews>
    <sheetView topLeftCell="A13" zoomScaleNormal="100" zoomScaleSheetLayoutView="80" workbookViewId="0">
      <selection activeCell="B34" sqref="B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f>RESUMEN!G9999</f>
        <v>0</v>
      </c>
      <c r="C5" s="1281"/>
      <c r="D5" s="1281"/>
      <c r="E5" s="1281"/>
      <c r="F5" s="1281"/>
      <c r="G5" s="1282"/>
    </row>
    <row r="6" spans="1:7" x14ac:dyDescent="0.25">
      <c r="A6" s="1177"/>
      <c r="B6" s="1177"/>
      <c r="C6" s="1177"/>
      <c r="D6" s="1177"/>
      <c r="E6" s="1177"/>
      <c r="F6" s="1177"/>
      <c r="G6" s="1177"/>
    </row>
    <row r="7" spans="1:7" x14ac:dyDescent="0.25">
      <c r="A7" s="271" t="s">
        <v>0</v>
      </c>
      <c r="B7" s="1264">
        <f>RESUMEN!B9999</f>
        <v>0</v>
      </c>
      <c r="C7" s="1265"/>
      <c r="D7" s="1177"/>
      <c r="E7" s="1266" t="s">
        <v>627</v>
      </c>
      <c r="F7" s="1267"/>
      <c r="G7" s="280">
        <f>RESUMEN!E9999</f>
        <v>0</v>
      </c>
    </row>
    <row r="8" spans="1:7" x14ac:dyDescent="0.25">
      <c r="A8" s="271" t="s">
        <v>628</v>
      </c>
      <c r="B8" s="1264">
        <f>RESUMEN!C9999</f>
        <v>0</v>
      </c>
      <c r="C8" s="1265"/>
      <c r="D8" s="1177"/>
      <c r="E8" s="1266" t="s">
        <v>629</v>
      </c>
      <c r="F8" s="1267"/>
      <c r="G8" s="280">
        <f>RESUMEN!U9999</f>
        <v>0</v>
      </c>
    </row>
    <row r="9" spans="1:7" x14ac:dyDescent="0.25">
      <c r="A9" s="271" t="s">
        <v>630</v>
      </c>
      <c r="B9" s="1283" t="s">
        <v>631</v>
      </c>
      <c r="C9" s="1265"/>
      <c r="D9" s="1177"/>
      <c r="E9" s="1266" t="s">
        <v>632</v>
      </c>
      <c r="F9" s="1267"/>
      <c r="G9" s="1178">
        <f>RESUMEN!H9999</f>
        <v>0</v>
      </c>
    </row>
    <row r="10" spans="1:7" x14ac:dyDescent="0.25">
      <c r="A10" s="271" t="s">
        <v>633</v>
      </c>
      <c r="B10" s="1283">
        <f>RESUMEN!D9999</f>
        <v>0</v>
      </c>
      <c r="C10" s="1265"/>
      <c r="D10" s="1177"/>
      <c r="E10" s="1266" t="s">
        <v>634</v>
      </c>
      <c r="F10" s="1267"/>
      <c r="G10" s="1178">
        <f>RESUMEN!R9999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RESUMEN!V9999,"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",RESUMEN!G9999)</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RESUMEN!N9999</f>
        <v>0</v>
      </c>
      <c r="F19" s="1248"/>
      <c r="G19" s="1177"/>
    </row>
    <row r="20" spans="1:7" ht="27" customHeight="1" x14ac:dyDescent="0.25">
      <c r="A20" s="1177"/>
      <c r="B20" s="1244" t="s">
        <v>1498</v>
      </c>
      <c r="C20" s="1245"/>
      <c r="D20" s="1246"/>
      <c r="E20" s="1247">
        <f>RESUMEN!P9999</f>
        <v>0</v>
      </c>
      <c r="F20" s="1248"/>
      <c r="G20" s="1177"/>
    </row>
    <row r="21" spans="1:7" ht="27" customHeight="1" x14ac:dyDescent="0.25">
      <c r="A21" s="1177"/>
      <c r="B21" s="1244" t="s">
        <v>1499</v>
      </c>
      <c r="C21" s="1245"/>
      <c r="D21" s="1246"/>
      <c r="E21" s="1247">
        <f>RESUMEN!Q9999</f>
        <v>0</v>
      </c>
      <c r="F21" s="1248"/>
      <c r="G21" s="1177"/>
    </row>
    <row r="22" spans="1:7" x14ac:dyDescent="0.25">
      <c r="A22" s="1177"/>
      <c r="B22" s="1254" t="s">
        <v>64</v>
      </c>
      <c r="C22" s="1254"/>
      <c r="D22" s="1254"/>
      <c r="E22" s="1255">
        <f>RESUMEN!R9999</f>
        <v>0</v>
      </c>
      <c r="F22" s="1255"/>
      <c r="G22" s="1177"/>
    </row>
    <row r="23" spans="1:7" x14ac:dyDescent="0.25">
      <c r="A23" s="1177"/>
      <c r="B23" s="1256" t="s">
        <v>66</v>
      </c>
      <c r="C23" s="1256"/>
      <c r="D23" s="1256"/>
      <c r="E23" s="1257">
        <f>RESUMEN!S9999</f>
        <v>0</v>
      </c>
      <c r="F23" s="1257"/>
      <c r="G23" s="1177"/>
    </row>
    <row r="24" spans="1:7" x14ac:dyDescent="0.25">
      <c r="A24" s="1177"/>
      <c r="B24" s="1258" t="s">
        <v>1</v>
      </c>
      <c r="C24" s="1258"/>
      <c r="D24" s="1258"/>
      <c r="E24" s="1259">
        <f>RESUMEN!T9999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RESUMEN!V9999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2">
    <tabColor rgb="FF72104A"/>
  </sheetPr>
  <dimension ref="A1:P36"/>
  <sheetViews>
    <sheetView view="pageBreakPreview" zoomScale="55" zoomScaleNormal="60" zoomScaleSheetLayoutView="55" workbookViewId="0">
      <selection activeCell="O19" sqref="O19"/>
    </sheetView>
  </sheetViews>
  <sheetFormatPr baseColWidth="10" defaultRowHeight="14.4" x14ac:dyDescent="0.3"/>
  <cols>
    <col min="1" max="1" width="21.109375" customWidth="1"/>
    <col min="2" max="2" width="24.88671875" customWidth="1"/>
    <col min="3" max="3" width="33.5546875" customWidth="1"/>
    <col min="4" max="4" width="27.109375" customWidth="1"/>
    <col min="6" max="6" width="17.88671875" customWidth="1"/>
    <col min="7" max="7" width="17.88671875" style="849" customWidth="1"/>
    <col min="8" max="8" width="19.6640625" customWidth="1"/>
    <col min="9" max="9" width="19.6640625" style="849" customWidth="1"/>
    <col min="10" max="10" width="42.5546875" customWidth="1"/>
    <col min="11" max="11" width="16.88671875" customWidth="1"/>
    <col min="12" max="12" width="16.33203125" customWidth="1"/>
    <col min="13" max="13" width="11.88671875" customWidth="1"/>
    <col min="14" max="14" width="16.33203125" bestFit="1" customWidth="1"/>
    <col min="15" max="15" width="18.109375" customWidth="1"/>
    <col min="16" max="16" width="14.109375" customWidth="1"/>
  </cols>
  <sheetData>
    <row r="1" spans="1:16" s="437" customFormat="1" ht="45.75" customHeight="1" thickBot="1" x14ac:dyDescent="0.35">
      <c r="A1" s="169"/>
      <c r="B1" s="188"/>
      <c r="C1" s="1307" t="s">
        <v>40</v>
      </c>
      <c r="D1" s="1308"/>
      <c r="E1" s="1308"/>
      <c r="F1" s="1308"/>
      <c r="G1" s="1308"/>
      <c r="H1" s="1308"/>
      <c r="I1" s="1308"/>
      <c r="J1" s="1308"/>
      <c r="K1" s="1308"/>
      <c r="L1" s="1308"/>
      <c r="M1" s="1308"/>
      <c r="N1" s="1328" t="s">
        <v>1663</v>
      </c>
      <c r="O1" s="1303"/>
      <c r="P1" s="1304"/>
    </row>
    <row r="2" spans="1:16" s="437" customFormat="1" ht="13.5" customHeight="1" thickBot="1" x14ac:dyDescent="0.35">
      <c r="A2" s="170"/>
      <c r="B2" s="190"/>
      <c r="C2" s="1310"/>
      <c r="D2" s="1311"/>
      <c r="E2" s="1311"/>
      <c r="F2" s="1311"/>
      <c r="G2" s="1311"/>
      <c r="H2" s="1311"/>
      <c r="I2" s="1311"/>
      <c r="J2" s="1311"/>
      <c r="K2" s="1311"/>
      <c r="L2" s="1311"/>
      <c r="M2" s="1311"/>
      <c r="N2" s="1329" t="s">
        <v>41</v>
      </c>
      <c r="O2" s="1305"/>
      <c r="P2" s="1306"/>
    </row>
    <row r="3" spans="1:16" s="437" customFormat="1" ht="13.5" customHeight="1" x14ac:dyDescent="0.3">
      <c r="A3" s="1292" t="s">
        <v>42</v>
      </c>
      <c r="B3" s="1292"/>
      <c r="C3" s="1292"/>
      <c r="D3" s="1292"/>
      <c r="E3" s="1292"/>
      <c r="F3" s="1292"/>
      <c r="G3" s="1292"/>
      <c r="H3" s="1292"/>
      <c r="I3" s="1292"/>
      <c r="J3" s="1292"/>
      <c r="K3" s="1292"/>
      <c r="L3" s="1292"/>
      <c r="M3" s="1292"/>
      <c r="N3" s="1292"/>
      <c r="O3" s="1292"/>
      <c r="P3" s="1292"/>
    </row>
    <row r="4" spans="1:16" s="437" customFormat="1" ht="13.5" customHeight="1" x14ac:dyDescent="0.3">
      <c r="A4" s="1292" t="s">
        <v>43</v>
      </c>
      <c r="B4" s="1292"/>
      <c r="C4" s="1292"/>
      <c r="D4" s="1292"/>
      <c r="E4" s="1292"/>
      <c r="F4" s="1292"/>
      <c r="G4" s="1292"/>
      <c r="H4" s="1292"/>
      <c r="I4" s="1292"/>
      <c r="J4" s="1292"/>
      <c r="K4" s="1292"/>
      <c r="L4" s="1292"/>
      <c r="M4" s="1292"/>
      <c r="N4" s="1292"/>
      <c r="O4" s="1292"/>
      <c r="P4" s="1292"/>
    </row>
    <row r="5" spans="1:16" s="437" customFormat="1" ht="13.5" customHeight="1" x14ac:dyDescent="0.3">
      <c r="A5" s="1292" t="s">
        <v>44</v>
      </c>
      <c r="B5" s="1292"/>
      <c r="C5" s="1292"/>
      <c r="D5" s="1292"/>
      <c r="E5" s="1292"/>
      <c r="F5" s="1292"/>
      <c r="G5" s="1292"/>
      <c r="H5" s="1292"/>
      <c r="I5" s="1292"/>
      <c r="J5" s="1292"/>
      <c r="K5" s="1292"/>
      <c r="L5" s="1292"/>
      <c r="M5" s="1292"/>
      <c r="N5" s="1292"/>
      <c r="O5" s="1292"/>
      <c r="P5" s="1292"/>
    </row>
    <row r="6" spans="1:16" s="437" customFormat="1" ht="13.5" customHeight="1" x14ac:dyDescent="0.3">
      <c r="A6" s="1292" t="s">
        <v>45</v>
      </c>
      <c r="B6" s="1292"/>
      <c r="C6" s="1292"/>
      <c r="D6" s="1292"/>
      <c r="E6" s="1292"/>
      <c r="F6" s="1292"/>
      <c r="G6" s="1292"/>
      <c r="H6" s="1292"/>
      <c r="I6" s="1292"/>
      <c r="J6" s="1292"/>
      <c r="K6" s="1292"/>
      <c r="L6" s="1292"/>
      <c r="M6" s="1292"/>
      <c r="N6" s="1292"/>
      <c r="O6" s="1292"/>
      <c r="P6" s="1292"/>
    </row>
    <row r="7" spans="1:16" s="437" customFormat="1" x14ac:dyDescent="0.3">
      <c r="A7" s="1291" t="s">
        <v>1745</v>
      </c>
      <c r="B7" s="1292"/>
      <c r="C7" s="1292"/>
      <c r="D7" s="1292"/>
      <c r="E7" s="1292"/>
      <c r="F7" s="1292"/>
      <c r="G7" s="1292"/>
      <c r="H7" s="1292"/>
      <c r="I7" s="1292"/>
      <c r="J7" s="1292"/>
      <c r="K7" s="1292"/>
      <c r="L7" s="1292"/>
      <c r="M7" s="1292"/>
      <c r="N7" s="1292"/>
      <c r="O7" s="1292"/>
      <c r="P7" s="1292"/>
    </row>
    <row r="8" spans="1:16" s="437" customFormat="1" ht="13.5" customHeight="1" x14ac:dyDescent="0.3">
      <c r="A8" s="1292" t="s">
        <v>2162</v>
      </c>
      <c r="B8" s="1292"/>
      <c r="C8" s="1292"/>
      <c r="D8" s="1292"/>
      <c r="E8" s="1292"/>
      <c r="F8" s="1292"/>
      <c r="G8" s="1292"/>
      <c r="H8" s="1292"/>
      <c r="I8" s="1292"/>
      <c r="J8" s="1292"/>
      <c r="K8" s="1292"/>
      <c r="L8" s="1292"/>
      <c r="M8" s="1292"/>
      <c r="N8" s="1292"/>
      <c r="O8" s="1292"/>
      <c r="P8" s="1292"/>
    </row>
    <row r="9" spans="1:16" s="437" customFormat="1" ht="13.5" customHeight="1" x14ac:dyDescent="0.3">
      <c r="A9" s="1292" t="s">
        <v>2087</v>
      </c>
      <c r="B9" s="1292"/>
      <c r="C9" s="1292"/>
      <c r="D9" s="1292"/>
      <c r="E9" s="1292"/>
      <c r="F9" s="1292"/>
      <c r="G9" s="1292"/>
      <c r="H9" s="1292"/>
      <c r="I9" s="1292"/>
      <c r="J9" s="1292"/>
      <c r="K9" s="1292"/>
      <c r="L9" s="1292"/>
      <c r="M9" s="1292"/>
      <c r="N9" s="1292"/>
      <c r="O9" s="1292"/>
      <c r="P9" s="1292"/>
    </row>
    <row r="10" spans="1:16" s="437" customFormat="1" ht="13.5" customHeight="1" x14ac:dyDescent="0.3">
      <c r="A10" s="1292" t="s">
        <v>1741</v>
      </c>
      <c r="B10" s="1292"/>
      <c r="C10" s="1292"/>
      <c r="D10" s="1292"/>
      <c r="E10" s="1292"/>
      <c r="F10" s="1292"/>
      <c r="G10" s="1292"/>
      <c r="H10" s="1292"/>
      <c r="I10" s="1292"/>
      <c r="J10" s="1292"/>
      <c r="K10" s="1292"/>
      <c r="L10" s="1292"/>
      <c r="M10" s="1292"/>
      <c r="N10" s="1292"/>
      <c r="O10" s="1292"/>
      <c r="P10" s="1292"/>
    </row>
    <row r="11" spans="1:16" s="437" customFormat="1" ht="13.5" customHeight="1" x14ac:dyDescent="0.3">
      <c r="A11" s="637"/>
      <c r="B11" s="1301"/>
      <c r="C11" s="1313"/>
      <c r="D11" s="1313"/>
      <c r="E11" s="1313"/>
      <c r="F11" s="1313"/>
      <c r="G11" s="1313"/>
      <c r="H11" s="1313"/>
      <c r="I11" s="1313"/>
      <c r="J11" s="1313"/>
      <c r="K11" s="1293" t="s">
        <v>1982</v>
      </c>
      <c r="L11" s="1294"/>
      <c r="M11" s="1295"/>
      <c r="N11" s="1299" t="s">
        <v>49</v>
      </c>
      <c r="O11" s="1299"/>
      <c r="P11" s="1299"/>
    </row>
    <row r="12" spans="1:16" s="437" customFormat="1" ht="13.5" customHeight="1" x14ac:dyDescent="0.3">
      <c r="A12" s="171"/>
      <c r="B12" s="1301"/>
      <c r="C12" s="1302"/>
      <c r="D12" s="1302"/>
      <c r="E12" s="1302"/>
      <c r="F12" s="1302"/>
      <c r="G12" s="1302"/>
      <c r="H12" s="1302"/>
      <c r="I12" s="1302"/>
      <c r="J12" s="1302"/>
      <c r="K12" s="1325"/>
      <c r="L12" s="1326"/>
      <c r="M12" s="1327"/>
      <c r="N12" s="1300"/>
      <c r="O12" s="1300"/>
      <c r="P12" s="1300"/>
    </row>
    <row r="13" spans="1:16" ht="28.8" x14ac:dyDescent="0.3">
      <c r="A13" s="159" t="s">
        <v>50</v>
      </c>
      <c r="B13" s="159" t="s">
        <v>51</v>
      </c>
      <c r="C13" s="159" t="s">
        <v>52</v>
      </c>
      <c r="D13" s="159" t="s">
        <v>164</v>
      </c>
      <c r="E13" s="159" t="s">
        <v>54</v>
      </c>
      <c r="F13" s="141" t="s">
        <v>55</v>
      </c>
      <c r="G13" s="821" t="s">
        <v>2007</v>
      </c>
      <c r="H13" s="159" t="s">
        <v>56</v>
      </c>
      <c r="I13" s="822" t="s">
        <v>56</v>
      </c>
      <c r="J13" s="159" t="s">
        <v>57</v>
      </c>
      <c r="K13" s="502" t="s">
        <v>54</v>
      </c>
      <c r="L13" s="502" t="s">
        <v>56</v>
      </c>
      <c r="M13" s="502" t="s">
        <v>58</v>
      </c>
      <c r="N13" s="174" t="s">
        <v>54</v>
      </c>
      <c r="O13" s="172" t="s">
        <v>56</v>
      </c>
      <c r="P13" s="502" t="s">
        <v>58</v>
      </c>
    </row>
    <row r="14" spans="1:16" ht="38.25" customHeight="1" x14ac:dyDescent="0.3">
      <c r="A14" s="1507" t="s">
        <v>1734</v>
      </c>
      <c r="B14" s="1507" t="s">
        <v>1735</v>
      </c>
      <c r="C14" s="663" t="s">
        <v>81</v>
      </c>
      <c r="D14" s="663" t="s">
        <v>1736</v>
      </c>
      <c r="E14" s="663">
        <v>0</v>
      </c>
      <c r="F14" s="664">
        <v>5780442</v>
      </c>
      <c r="G14" s="32">
        <f>+ROUND(F14*1.051,0)</f>
        <v>6075245</v>
      </c>
      <c r="H14" s="670">
        <f>ROUND((E14*F14),0)</f>
        <v>0</v>
      </c>
      <c r="I14" s="32">
        <f>+ROUND(G14*E14,0)</f>
        <v>0</v>
      </c>
      <c r="J14" s="1477" t="s">
        <v>1737</v>
      </c>
      <c r="K14" s="668">
        <v>0</v>
      </c>
      <c r="L14" s="674">
        <f>ROUND(K14*G14,0)</f>
        <v>0</v>
      </c>
      <c r="M14" s="667">
        <v>0</v>
      </c>
      <c r="N14" s="668">
        <f>K14</f>
        <v>0</v>
      </c>
      <c r="O14" s="673">
        <f>L14</f>
        <v>0</v>
      </c>
      <c r="P14" s="675">
        <v>0</v>
      </c>
    </row>
    <row r="15" spans="1:16" ht="35.25" customHeight="1" x14ac:dyDescent="0.3">
      <c r="A15" s="1507"/>
      <c r="B15" s="1507"/>
      <c r="C15" s="663" t="s">
        <v>83</v>
      </c>
      <c r="D15" s="663" t="s">
        <v>1738</v>
      </c>
      <c r="E15" s="663">
        <v>0.3</v>
      </c>
      <c r="F15" s="664">
        <v>8949238</v>
      </c>
      <c r="G15" s="32">
        <f t="shared" ref="G15:G16" si="0">+ROUND(F15*1.051,0)</f>
        <v>9405649</v>
      </c>
      <c r="H15" s="670">
        <f>ROUND((E15*F15),0)</f>
        <v>2684771</v>
      </c>
      <c r="I15" s="32">
        <f t="shared" ref="I15:I16" si="1">+ROUND(G15*E15,0)</f>
        <v>2821695</v>
      </c>
      <c r="J15" s="1507"/>
      <c r="K15" s="934">
        <v>0.3</v>
      </c>
      <c r="L15" s="935">
        <f t="shared" ref="L15:L16" si="2">ROUND(K15*G15,0)</f>
        <v>2821695</v>
      </c>
      <c r="M15" s="936">
        <f>L15/H15</f>
        <v>1.0510002529079761</v>
      </c>
      <c r="N15" s="668">
        <f t="shared" ref="N15:N16" si="3">K15</f>
        <v>0.3</v>
      </c>
      <c r="O15" s="673">
        <f t="shared" ref="O15:O16" si="4">L15</f>
        <v>2821695</v>
      </c>
      <c r="P15" s="666">
        <f>O15/H15</f>
        <v>1.0510002529079761</v>
      </c>
    </row>
    <row r="16" spans="1:16" ht="53.25" customHeight="1" x14ac:dyDescent="0.3">
      <c r="A16" s="1507"/>
      <c r="B16" s="1507"/>
      <c r="C16" s="663" t="s">
        <v>61</v>
      </c>
      <c r="D16" s="663" t="s">
        <v>1739</v>
      </c>
      <c r="E16" s="663">
        <v>0</v>
      </c>
      <c r="F16" s="664">
        <v>15286831</v>
      </c>
      <c r="G16" s="32">
        <f t="shared" si="0"/>
        <v>16066459</v>
      </c>
      <c r="H16" s="670">
        <f>ROUND((E16*F16),0)</f>
        <v>0</v>
      </c>
      <c r="I16" s="32">
        <f t="shared" si="1"/>
        <v>0</v>
      </c>
      <c r="J16" s="1507"/>
      <c r="K16" s="669">
        <v>0</v>
      </c>
      <c r="L16" s="674">
        <f t="shared" si="2"/>
        <v>0</v>
      </c>
      <c r="M16" s="667">
        <v>0</v>
      </c>
      <c r="N16" s="668">
        <f t="shared" si="3"/>
        <v>0</v>
      </c>
      <c r="O16" s="673">
        <f t="shared" si="4"/>
        <v>0</v>
      </c>
      <c r="P16" s="666">
        <v>0</v>
      </c>
    </row>
    <row r="17" spans="1:16" x14ac:dyDescent="0.3">
      <c r="A17" s="1507"/>
      <c r="B17" s="1507"/>
      <c r="C17" s="39"/>
      <c r="D17" s="39" t="s">
        <v>261</v>
      </c>
      <c r="E17" s="41"/>
      <c r="F17" s="41"/>
      <c r="G17" s="41"/>
      <c r="H17" s="42">
        <f>SUM(H14:H16)</f>
        <v>2684771</v>
      </c>
      <c r="I17" s="42">
        <f>SUM(I14:I16)</f>
        <v>2821695</v>
      </c>
      <c r="J17" s="1507"/>
      <c r="K17" s="42"/>
      <c r="L17" s="42">
        <f>SUM(L14:L16)</f>
        <v>2821695</v>
      </c>
      <c r="M17" s="671">
        <f>L17/H17</f>
        <v>1.0510002529079761</v>
      </c>
      <c r="N17" s="42"/>
      <c r="O17" s="42">
        <f>SUM(O14:O16)</f>
        <v>2821695</v>
      </c>
      <c r="P17" s="671">
        <f>O17/L17</f>
        <v>1</v>
      </c>
    </row>
    <row r="18" spans="1:16" x14ac:dyDescent="0.3">
      <c r="A18" s="651"/>
      <c r="B18" s="651"/>
      <c r="C18" s="651"/>
      <c r="D18" s="651"/>
      <c r="E18" s="651"/>
      <c r="F18" s="445" t="s">
        <v>1740</v>
      </c>
      <c r="G18" s="445"/>
      <c r="H18" s="340">
        <f>0+H17</f>
        <v>2684771</v>
      </c>
      <c r="I18" s="340">
        <f>0+I17</f>
        <v>2821695</v>
      </c>
      <c r="J18" s="651"/>
      <c r="K18" s="547" t="s">
        <v>64</v>
      </c>
      <c r="L18" s="181">
        <f>SUM(L14:L17)/2</f>
        <v>2821695</v>
      </c>
      <c r="M18" s="653"/>
      <c r="N18" s="547" t="s">
        <v>64</v>
      </c>
      <c r="O18" s="181">
        <f>SUM(O14:O17)/2</f>
        <v>2821695</v>
      </c>
      <c r="P18" s="657"/>
    </row>
    <row r="19" spans="1:16" x14ac:dyDescent="0.3">
      <c r="A19" s="651"/>
      <c r="B19" s="651"/>
      <c r="C19" s="651"/>
      <c r="D19" s="651"/>
      <c r="E19" s="652"/>
      <c r="F19" s="444" t="s">
        <v>65</v>
      </c>
      <c r="G19" s="444"/>
      <c r="H19" s="181">
        <f>H17*0.03</f>
        <v>80543.12999999999</v>
      </c>
      <c r="I19" s="181">
        <f>I17*0.03</f>
        <v>84650.849999999991</v>
      </c>
      <c r="J19" s="651"/>
      <c r="K19" s="548" t="s">
        <v>65</v>
      </c>
      <c r="L19" s="481">
        <f>L17*0.03</f>
        <v>84650.849999999991</v>
      </c>
      <c r="M19" s="654"/>
      <c r="N19" s="548" t="s">
        <v>65</v>
      </c>
      <c r="O19" s="481">
        <f>O17*0.03</f>
        <v>84650.849999999991</v>
      </c>
      <c r="P19" s="658"/>
    </row>
    <row r="20" spans="1:16" x14ac:dyDescent="0.3">
      <c r="A20" s="651"/>
      <c r="B20" s="651"/>
      <c r="C20" s="651"/>
      <c r="D20" s="651"/>
      <c r="E20" s="652"/>
      <c r="F20" s="443" t="s">
        <v>1740</v>
      </c>
      <c r="G20" s="443"/>
      <c r="H20" s="340">
        <f>+H19+H18</f>
        <v>2765314.13</v>
      </c>
      <c r="I20" s="340">
        <f>+I19+I18</f>
        <v>2906345.85</v>
      </c>
      <c r="J20" s="651"/>
      <c r="K20" s="549" t="s">
        <v>64</v>
      </c>
      <c r="L20" s="481">
        <f>L18+L19</f>
        <v>2906345.85</v>
      </c>
      <c r="M20" s="654"/>
      <c r="N20" s="549" t="s">
        <v>64</v>
      </c>
      <c r="O20" s="481">
        <f>O18+O19</f>
        <v>2906345.85</v>
      </c>
      <c r="P20" s="656"/>
    </row>
    <row r="21" spans="1:16" ht="26.4" x14ac:dyDescent="0.3">
      <c r="F21" s="443"/>
      <c r="G21" s="443"/>
      <c r="H21" s="340"/>
      <c r="I21" s="340"/>
      <c r="K21" s="501" t="s">
        <v>1439</v>
      </c>
      <c r="L21" s="481">
        <f>ROUND(L20*0.015,0)</f>
        <v>43595</v>
      </c>
      <c r="M21" s="655"/>
      <c r="N21" s="501" t="s">
        <v>1439</v>
      </c>
      <c r="O21" s="481">
        <f>ROUND(O20*0.015,0)</f>
        <v>43595</v>
      </c>
      <c r="P21" s="655"/>
    </row>
    <row r="22" spans="1:16" ht="26.4" x14ac:dyDescent="0.3">
      <c r="F22" s="443"/>
      <c r="G22" s="443"/>
      <c r="H22" s="340"/>
      <c r="I22" s="340"/>
      <c r="K22" s="96" t="s">
        <v>1440</v>
      </c>
      <c r="L22" s="425">
        <f>L20+L21</f>
        <v>2949940.85</v>
      </c>
      <c r="M22" s="635">
        <f>L22/H20</f>
        <v>1.0667651888069585</v>
      </c>
      <c r="N22" s="96" t="s">
        <v>1440</v>
      </c>
      <c r="O22" s="425">
        <f>O20+O21</f>
        <v>2949940.85</v>
      </c>
      <c r="P22" s="676">
        <f>O22/H20</f>
        <v>1.0667651888069585</v>
      </c>
    </row>
    <row r="23" spans="1:16" x14ac:dyDescent="0.3">
      <c r="F23" s="442" t="s">
        <v>66</v>
      </c>
      <c r="G23" s="442"/>
      <c r="H23" s="181">
        <f>+H20*19%</f>
        <v>525409.68469999998</v>
      </c>
      <c r="I23" s="181">
        <f>+I20*19%</f>
        <v>552205.71149999998</v>
      </c>
      <c r="K23" s="551" t="s">
        <v>66</v>
      </c>
      <c r="L23" s="672">
        <f>L22*0.19</f>
        <v>560488.76150000002</v>
      </c>
      <c r="M23" s="62"/>
      <c r="N23" s="551" t="s">
        <v>66</v>
      </c>
      <c r="O23" s="672">
        <f>O22*0.19</f>
        <v>560488.76150000002</v>
      </c>
    </row>
    <row r="24" spans="1:16" x14ac:dyDescent="0.3">
      <c r="F24" s="441" t="s">
        <v>69</v>
      </c>
      <c r="G24" s="441"/>
      <c r="H24" s="181">
        <f>+H20+H23</f>
        <v>3290723.8147</v>
      </c>
      <c r="I24" s="181">
        <f>+I20+I23</f>
        <v>3458551.5614999998</v>
      </c>
      <c r="K24" s="552" t="s">
        <v>69</v>
      </c>
      <c r="L24" s="672">
        <f>L22+L23</f>
        <v>3510429.6115000001</v>
      </c>
      <c r="N24" s="552" t="s">
        <v>69</v>
      </c>
      <c r="O24" s="672">
        <f>O22+O23</f>
        <v>3510429.6115000001</v>
      </c>
    </row>
    <row r="27" spans="1:16" x14ac:dyDescent="0.3">
      <c r="A27" s="665" t="s">
        <v>67</v>
      </c>
      <c r="B27" s="184"/>
      <c r="C27" s="184"/>
      <c r="D27" s="185" t="s">
        <v>68</v>
      </c>
      <c r="K27" s="186" t="s">
        <v>70</v>
      </c>
      <c r="L27" s="187" t="s">
        <v>71</v>
      </c>
      <c r="M27" s="186" t="s">
        <v>58</v>
      </c>
    </row>
    <row r="28" spans="1:16" x14ac:dyDescent="0.3">
      <c r="A28" s="665"/>
      <c r="B28" s="184"/>
      <c r="C28" s="184"/>
      <c r="D28" s="185"/>
      <c r="K28" s="69" t="s">
        <v>72</v>
      </c>
      <c r="L28" s="70">
        <f>L22</f>
        <v>2949940.85</v>
      </c>
      <c r="M28" s="360">
        <f>M22</f>
        <v>1.0667651888069585</v>
      </c>
    </row>
    <row r="29" spans="1:16" x14ac:dyDescent="0.3">
      <c r="A29" s="665"/>
      <c r="B29" s="184"/>
      <c r="C29" s="184"/>
      <c r="D29" s="185"/>
      <c r="K29" s="72" t="s">
        <v>1</v>
      </c>
      <c r="L29" s="105">
        <f>L28</f>
        <v>2949940.85</v>
      </c>
      <c r="M29" s="361">
        <f>M28</f>
        <v>1.0667651888069585</v>
      </c>
    </row>
    <row r="30" spans="1:16" x14ac:dyDescent="0.3">
      <c r="A30" s="665"/>
      <c r="B30" s="184"/>
      <c r="C30" s="184"/>
      <c r="D30" s="185"/>
      <c r="K30" s="72" t="s">
        <v>9</v>
      </c>
      <c r="L30" s="1423"/>
      <c r="M30" s="1424"/>
    </row>
    <row r="31" spans="1:16" x14ac:dyDescent="0.3">
      <c r="A31" s="665"/>
      <c r="B31" s="184"/>
      <c r="C31" s="184"/>
      <c r="D31" s="185"/>
      <c r="K31" s="440" t="s">
        <v>78</v>
      </c>
      <c r="L31" s="1285" t="s">
        <v>1989</v>
      </c>
      <c r="M31" s="1286"/>
    </row>
    <row r="32" spans="1:16" x14ac:dyDescent="0.3">
      <c r="A32" s="665"/>
      <c r="B32" s="184"/>
      <c r="C32" s="184"/>
      <c r="D32" s="185"/>
      <c r="K32" s="439" t="s">
        <v>8</v>
      </c>
      <c r="L32" s="1285" t="s">
        <v>1990</v>
      </c>
      <c r="M32" s="1286"/>
    </row>
    <row r="33" spans="1:4" x14ac:dyDescent="0.3">
      <c r="A33" s="665"/>
      <c r="B33" s="184"/>
      <c r="C33" s="184"/>
      <c r="D33" s="185" t="s">
        <v>75</v>
      </c>
    </row>
    <row r="34" spans="1:4" x14ac:dyDescent="0.3">
      <c r="A34" s="665" t="s">
        <v>76</v>
      </c>
      <c r="B34" s="180"/>
      <c r="C34" s="180"/>
      <c r="D34" s="185" t="s">
        <v>77</v>
      </c>
    </row>
    <row r="35" spans="1:4" x14ac:dyDescent="0.3">
      <c r="A35" s="665" t="s">
        <v>79</v>
      </c>
      <c r="B35" s="180"/>
      <c r="C35" s="180"/>
      <c r="D35" s="185" t="s">
        <v>80</v>
      </c>
    </row>
    <row r="36" spans="1:4" x14ac:dyDescent="0.3">
      <c r="A36" s="437"/>
      <c r="B36" s="437"/>
      <c r="C36" s="437"/>
      <c r="D36" s="437"/>
    </row>
  </sheetData>
  <mergeCells count="21">
    <mergeCell ref="A5:P5"/>
    <mergeCell ref="C1:M2"/>
    <mergeCell ref="N1:P1"/>
    <mergeCell ref="N2:P2"/>
    <mergeCell ref="A3:P3"/>
    <mergeCell ref="A4:P4"/>
    <mergeCell ref="L30:M30"/>
    <mergeCell ref="L31:M31"/>
    <mergeCell ref="L32:M32"/>
    <mergeCell ref="A6:P6"/>
    <mergeCell ref="A7:P7"/>
    <mergeCell ref="A8:P8"/>
    <mergeCell ref="A9:P9"/>
    <mergeCell ref="A10:P10"/>
    <mergeCell ref="B11:J11"/>
    <mergeCell ref="K11:M12"/>
    <mergeCell ref="N11:P12"/>
    <mergeCell ref="B12:J12"/>
    <mergeCell ref="A14:A17"/>
    <mergeCell ref="B14:B17"/>
    <mergeCell ref="J14:J17"/>
  </mergeCells>
  <pageMargins left="0.7" right="0.7" top="0.75" bottom="0.75" header="0.3" footer="0.3"/>
  <pageSetup scale="35" orientation="landscape" r:id="rId1"/>
  <drawing r:id="rId2"/>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3">
    <tabColor theme="1" tint="4.9989318521683403E-2"/>
  </sheetPr>
  <dimension ref="A1:G49"/>
  <sheetViews>
    <sheetView topLeftCell="A16" zoomScaleNormal="100" zoomScaleSheetLayoutView="80" workbookViewId="0">
      <selection activeCell="E28" sqref="E28: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RESUMEN!G105</f>
        <v xml:space="preserve">Proyecto:CDIM_CBSGSM_R0146 NORMALIZ Y REPOS SE EL SOL </v>
      </c>
      <c r="C5" s="1281"/>
      <c r="D5" s="1281"/>
      <c r="E5" s="1281"/>
      <c r="F5" s="1281"/>
      <c r="G5" s="1282"/>
    </row>
    <row r="6" spans="1:7" x14ac:dyDescent="0.25">
      <c r="A6" s="1177"/>
      <c r="B6" s="1177"/>
      <c r="C6" s="1177"/>
      <c r="D6" s="1177"/>
      <c r="E6" s="1177"/>
      <c r="F6" s="1177"/>
      <c r="G6" s="1177"/>
    </row>
    <row r="7" spans="1:7" x14ac:dyDescent="0.25">
      <c r="A7" s="271" t="s">
        <v>0</v>
      </c>
      <c r="B7" s="1264" t="str">
        <f>RESUMEN!B105</f>
        <v>D00249502</v>
      </c>
      <c r="C7" s="1265"/>
      <c r="D7" s="1177"/>
      <c r="E7" s="1266" t="s">
        <v>627</v>
      </c>
      <c r="F7" s="1267"/>
      <c r="G7" s="280" t="str">
        <f>RESUMEN!E105</f>
        <v>17-393</v>
      </c>
    </row>
    <row r="8" spans="1:7" x14ac:dyDescent="0.25">
      <c r="A8" s="271" t="s">
        <v>628</v>
      </c>
      <c r="B8" s="1264" t="str">
        <f>RESUMEN!C105</f>
        <v>D00249502000</v>
      </c>
      <c r="C8" s="1265"/>
      <c r="D8" s="1177"/>
      <c r="E8" s="1266" t="s">
        <v>629</v>
      </c>
      <c r="F8" s="1267"/>
      <c r="G8" s="280" t="str">
        <f>RESUMEN!U105</f>
        <v>Acta N° 2: Marzo</v>
      </c>
    </row>
    <row r="9" spans="1:7" x14ac:dyDescent="0.25">
      <c r="A9" s="271" t="s">
        <v>630</v>
      </c>
      <c r="B9" s="1283" t="s">
        <v>631</v>
      </c>
      <c r="C9" s="1265"/>
      <c r="D9" s="1177"/>
      <c r="E9" s="1266" t="s">
        <v>632</v>
      </c>
      <c r="F9" s="1267"/>
      <c r="G9" s="1178">
        <f>RESUMEN!H105</f>
        <v>11557401</v>
      </c>
    </row>
    <row r="10" spans="1:7" x14ac:dyDescent="0.25">
      <c r="A10" s="271" t="s">
        <v>633</v>
      </c>
      <c r="B10" s="1283" t="str">
        <f>RESUMEN!D105</f>
        <v>EL SOL</v>
      </c>
      <c r="C10" s="1265"/>
      <c r="D10" s="1177"/>
      <c r="E10" s="1266" t="s">
        <v>634</v>
      </c>
      <c r="F10" s="1267"/>
      <c r="G10" s="1178">
        <f>RESUMEN!R105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",RESUMEN!G105)</f>
        <v xml:space="preserve">A los 14 días del mes de Marzo se reunieron en las instalaciones de CODENSA S.A. E.S.P., los ingenieros Ing.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Proyecto:CDIM_CBSGSM_R0146 NORMALIZ Y REPOS SE EL SOL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RESUMEN!N105</f>
        <v>0</v>
      </c>
      <c r="F19" s="1248"/>
      <c r="G19" s="1177"/>
    </row>
    <row r="20" spans="1:7" ht="27" customHeight="1" x14ac:dyDescent="0.25">
      <c r="A20" s="1177"/>
      <c r="B20" s="1244" t="s">
        <v>1498</v>
      </c>
      <c r="C20" s="1245"/>
      <c r="D20" s="1246"/>
      <c r="E20" s="1247">
        <f>RESUMEN!P105</f>
        <v>0</v>
      </c>
      <c r="F20" s="1248"/>
      <c r="G20" s="1177"/>
    </row>
    <row r="21" spans="1:7" ht="27" customHeight="1" x14ac:dyDescent="0.25">
      <c r="A21" s="1177"/>
      <c r="B21" s="1244" t="s">
        <v>1499</v>
      </c>
      <c r="C21" s="1245"/>
      <c r="D21" s="1246"/>
      <c r="E21" s="1247">
        <f>RESUMEN!Q105</f>
        <v>0</v>
      </c>
      <c r="F21" s="1248"/>
      <c r="G21" s="1177"/>
    </row>
    <row r="22" spans="1:7" x14ac:dyDescent="0.25">
      <c r="A22" s="1177"/>
      <c r="B22" s="1254" t="s">
        <v>64</v>
      </c>
      <c r="C22" s="1254"/>
      <c r="D22" s="1254"/>
      <c r="E22" s="1255">
        <f>RESUMEN!R105</f>
        <v>0</v>
      </c>
      <c r="F22" s="1255"/>
      <c r="G22" s="1177"/>
    </row>
    <row r="23" spans="1:7" x14ac:dyDescent="0.25">
      <c r="A23" s="1177"/>
      <c r="B23" s="1256" t="s">
        <v>66</v>
      </c>
      <c r="C23" s="1256"/>
      <c r="D23" s="1256"/>
      <c r="E23" s="1257">
        <f>RESUMEN!S105</f>
        <v>0</v>
      </c>
      <c r="F23" s="1257"/>
      <c r="G23" s="1177"/>
    </row>
    <row r="24" spans="1:7" x14ac:dyDescent="0.25">
      <c r="A24" s="1177"/>
      <c r="B24" s="1258" t="s">
        <v>1</v>
      </c>
      <c r="C24" s="1258"/>
      <c r="D24" s="1258"/>
      <c r="E24" s="1259">
        <f>RESUMEN!T105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 17-393 EL SOL R1'!N30</f>
        <v>ACTA 1</v>
      </c>
      <c r="C28" s="1253">
        <f>+'OT 17-393 EL SOL R1'!O30</f>
        <v>10063075</v>
      </c>
      <c r="D28" s="1253"/>
      <c r="E28" s="267">
        <f>+'OT 17-393 EL SOL R1'!P30</f>
        <v>0.87070397574679637</v>
      </c>
      <c r="F28" s="1177"/>
      <c r="G28" s="1177"/>
    </row>
    <row r="29" spans="1:7" x14ac:dyDescent="0.25">
      <c r="A29" s="1177"/>
      <c r="B29" s="280" t="str">
        <f>+'OT 17-393 EL SOL R1'!N31</f>
        <v>ACTA 2</v>
      </c>
      <c r="C29" s="1253">
        <f>+'OT 17-393 EL SOL R1'!O31</f>
        <v>0</v>
      </c>
      <c r="D29" s="1253"/>
      <c r="E29" s="267">
        <f>+'OT 17-393 EL SOL R1'!P31</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10063075</v>
      </c>
      <c r="D34" s="1251"/>
      <c r="E34" s="264">
        <f>SUM(E28:E33)</f>
        <v>0.87070397574679637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RESUMEN!V105</f>
        <v>Ing.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8:C48"/>
    <mergeCell ref="E48:G48"/>
    <mergeCell ref="A41:C41"/>
    <mergeCell ref="E41:G41"/>
    <mergeCell ref="A42:C42"/>
    <mergeCell ref="E42:G42"/>
    <mergeCell ref="C34:D34"/>
    <mergeCell ref="A36:G36"/>
    <mergeCell ref="A40:C40"/>
    <mergeCell ref="E40:G40"/>
    <mergeCell ref="A47:C47"/>
    <mergeCell ref="E47:G47"/>
    <mergeCell ref="E22:F22"/>
    <mergeCell ref="B22:D22"/>
    <mergeCell ref="B21:D21"/>
    <mergeCell ref="C32:D32"/>
    <mergeCell ref="C33:D33"/>
    <mergeCell ref="C31:D31"/>
    <mergeCell ref="B23:D23"/>
    <mergeCell ref="E23:F23"/>
    <mergeCell ref="B24:D24"/>
    <mergeCell ref="E24:F24"/>
    <mergeCell ref="C28:D28"/>
    <mergeCell ref="C29:D29"/>
    <mergeCell ref="C30:D30"/>
    <mergeCell ref="E21:F21"/>
    <mergeCell ref="B19:D19"/>
    <mergeCell ref="E19:F19"/>
    <mergeCell ref="A1:A3"/>
    <mergeCell ref="B1:F3"/>
    <mergeCell ref="B5:G5"/>
    <mergeCell ref="B7:C7"/>
    <mergeCell ref="E7:F7"/>
    <mergeCell ref="C27:D27"/>
    <mergeCell ref="A49:C49"/>
    <mergeCell ref="E49:G49"/>
    <mergeCell ref="B8:C8"/>
    <mergeCell ref="E8:F8"/>
    <mergeCell ref="B20:D20"/>
    <mergeCell ref="E20:F20"/>
    <mergeCell ref="B9:C9"/>
    <mergeCell ref="E9:F9"/>
    <mergeCell ref="B10:C10"/>
    <mergeCell ref="E10:F10"/>
    <mergeCell ref="A12:G12"/>
    <mergeCell ref="A14:G14"/>
    <mergeCell ref="A16:G16"/>
    <mergeCell ref="B18:D18"/>
    <mergeCell ref="E18:F18"/>
  </mergeCells>
  <pageMargins left="0.70866141732283472" right="0.70866141732283472" top="0.74803149606299213" bottom="0.74803149606299213" header="0.31496062992125984" footer="0.31496062992125984"/>
  <pageSetup scale="82" orientation="portrait" r:id="rId1"/>
  <drawing r:id="rId2"/>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4">
    <tabColor rgb="FF72104A"/>
  </sheetPr>
  <dimension ref="A1:S38"/>
  <sheetViews>
    <sheetView topLeftCell="A7" zoomScale="60" zoomScaleNormal="60" workbookViewId="0">
      <selection activeCell="J18" sqref="J18:J20"/>
    </sheetView>
  </sheetViews>
  <sheetFormatPr baseColWidth="10" defaultRowHeight="14.4" x14ac:dyDescent="0.3"/>
  <cols>
    <col min="1" max="1" width="16" customWidth="1"/>
    <col min="2" max="2" width="23.6640625" customWidth="1"/>
    <col min="3" max="3" width="25.44140625" customWidth="1"/>
    <col min="4" max="4" width="23.33203125" customWidth="1"/>
    <col min="6" max="6" width="16.44140625" customWidth="1"/>
    <col min="7" max="7" width="16.44140625" style="849" customWidth="1"/>
    <col min="8" max="8" width="17.88671875" customWidth="1"/>
    <col min="9" max="9" width="17.88671875" style="849" customWidth="1"/>
    <col min="10" max="10" width="36.6640625" customWidth="1"/>
    <col min="11" max="11" width="16.6640625" customWidth="1"/>
    <col min="12" max="12" width="16.109375" customWidth="1"/>
    <col min="14" max="14" width="18.33203125" style="1054" customWidth="1"/>
    <col min="15" max="15" width="15.109375" style="1054" customWidth="1"/>
    <col min="16" max="16" width="11.5546875" style="1054"/>
    <col min="17" max="17" width="13.44140625" customWidth="1"/>
    <col min="18" max="18" width="15.33203125" customWidth="1"/>
  </cols>
  <sheetData>
    <row r="1" spans="1:19" s="437" customFormat="1" ht="45.75" customHeight="1" thickBot="1" x14ac:dyDescent="0.35">
      <c r="A1" s="169"/>
      <c r="B1" s="188"/>
      <c r="C1" s="1307" t="s">
        <v>40</v>
      </c>
      <c r="D1" s="1308"/>
      <c r="E1" s="1308"/>
      <c r="F1" s="1308"/>
      <c r="G1" s="1308"/>
      <c r="H1" s="1308"/>
      <c r="I1" s="1308"/>
      <c r="J1" s="1308"/>
      <c r="K1" s="1308"/>
      <c r="L1" s="1308"/>
      <c r="M1" s="1308"/>
      <c r="N1" s="1052"/>
      <c r="O1" s="1052"/>
      <c r="P1" s="1052"/>
      <c r="Q1" s="1328" t="s">
        <v>2285</v>
      </c>
      <c r="R1" s="1303"/>
      <c r="S1" s="1304"/>
    </row>
    <row r="2" spans="1:19" s="437" customFormat="1" ht="13.5" customHeight="1"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s="437"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row>
    <row r="4" spans="1:19" s="437"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row>
    <row r="5" spans="1:19" s="437"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row>
    <row r="6" spans="1:19" s="437"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row>
    <row r="7" spans="1:19" s="437" customFormat="1" x14ac:dyDescent="0.3">
      <c r="A7" s="1291" t="s">
        <v>2284</v>
      </c>
      <c r="B7" s="1292"/>
      <c r="C7" s="1292"/>
      <c r="D7" s="1292"/>
      <c r="E7" s="1292"/>
      <c r="F7" s="1292"/>
      <c r="G7" s="1292"/>
      <c r="H7" s="1292"/>
      <c r="I7" s="1292"/>
      <c r="J7" s="1292"/>
      <c r="K7" s="1292"/>
      <c r="L7" s="1292"/>
      <c r="M7" s="1292"/>
      <c r="N7" s="1292"/>
      <c r="O7" s="1292"/>
      <c r="P7" s="1292"/>
      <c r="Q7" s="1292"/>
      <c r="R7" s="1292"/>
      <c r="S7" s="1292"/>
    </row>
    <row r="8" spans="1:19" s="437" customFormat="1" ht="13.5" customHeight="1" x14ac:dyDescent="0.3">
      <c r="A8" s="1292" t="s">
        <v>2323</v>
      </c>
      <c r="B8" s="1292"/>
      <c r="C8" s="1292"/>
      <c r="D8" s="1292"/>
      <c r="E8" s="1292"/>
      <c r="F8" s="1292"/>
      <c r="G8" s="1292"/>
      <c r="H8" s="1292"/>
      <c r="I8" s="1292"/>
      <c r="J8" s="1292"/>
      <c r="K8" s="1292"/>
      <c r="L8" s="1292"/>
      <c r="M8" s="1292"/>
      <c r="N8" s="1292"/>
      <c r="O8" s="1292"/>
      <c r="P8" s="1292"/>
      <c r="Q8" s="1292"/>
      <c r="R8" s="1292"/>
      <c r="S8" s="1292"/>
    </row>
    <row r="9" spans="1:19" s="437"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row>
    <row r="10" spans="1:19" s="437" customFormat="1" ht="13.5" customHeight="1" x14ac:dyDescent="0.3">
      <c r="A10" s="1292" t="s">
        <v>1746</v>
      </c>
      <c r="B10" s="1292"/>
      <c r="C10" s="1292"/>
      <c r="D10" s="1292"/>
      <c r="E10" s="1292"/>
      <c r="F10" s="1292"/>
      <c r="G10" s="1292"/>
      <c r="H10" s="1292"/>
      <c r="I10" s="1292"/>
      <c r="J10" s="1292"/>
      <c r="K10" s="1292"/>
      <c r="L10" s="1292"/>
      <c r="M10" s="1292"/>
      <c r="N10" s="1292"/>
      <c r="O10" s="1292"/>
      <c r="P10" s="1292"/>
      <c r="Q10" s="1292"/>
      <c r="R10" s="1292"/>
      <c r="S10" s="1292"/>
    </row>
    <row r="11" spans="1:19" s="437" customFormat="1" ht="13.5" customHeight="1"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s="437" customFormat="1" ht="13.5" customHeight="1"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9.5" customHeight="1" x14ac:dyDescent="0.3">
      <c r="A14" s="1289" t="s">
        <v>200</v>
      </c>
      <c r="B14" s="1289" t="s">
        <v>415</v>
      </c>
      <c r="C14" s="636" t="s">
        <v>118</v>
      </c>
      <c r="D14" s="636" t="s">
        <v>119</v>
      </c>
      <c r="E14" s="31">
        <v>0.7</v>
      </c>
      <c r="F14" s="32">
        <v>7904580</v>
      </c>
      <c r="G14" s="32">
        <f>+ROUND(F14*1.051,0)</f>
        <v>8307714</v>
      </c>
      <c r="H14" s="32">
        <f>ROUND((E14*F14),0)</f>
        <v>5533206</v>
      </c>
      <c r="I14" s="32">
        <f>+ROUND(G14*E14,0)</f>
        <v>5815400</v>
      </c>
      <c r="J14" s="1290" t="s">
        <v>1747</v>
      </c>
      <c r="K14" s="537">
        <v>0.7</v>
      </c>
      <c r="L14" s="752">
        <f>ROUND(K14*G14,0)</f>
        <v>5815400</v>
      </c>
      <c r="M14" s="753">
        <f>L14/I14</f>
        <v>1</v>
      </c>
      <c r="N14" s="891">
        <v>0</v>
      </c>
      <c r="O14" s="892">
        <f>ROUND(N14*G14,0)</f>
        <v>0</v>
      </c>
      <c r="P14" s="893">
        <f>O14/I14</f>
        <v>0</v>
      </c>
      <c r="Q14" s="536">
        <f>K14+N14</f>
        <v>0.7</v>
      </c>
      <c r="R14" s="685">
        <f>L14+O14</f>
        <v>5815400</v>
      </c>
      <c r="S14" s="684">
        <f>R14/H14</f>
        <v>1.0510000892791629</v>
      </c>
    </row>
    <row r="15" spans="1:19" ht="47.25" customHeight="1" x14ac:dyDescent="0.3">
      <c r="A15" s="1289"/>
      <c r="B15" s="1289"/>
      <c r="C15" s="636" t="s">
        <v>83</v>
      </c>
      <c r="D15" s="636" t="s">
        <v>120</v>
      </c>
      <c r="E15" s="31">
        <v>0</v>
      </c>
      <c r="F15" s="32">
        <v>5014359</v>
      </c>
      <c r="G15" s="32">
        <f t="shared" ref="G15:G19" si="0">+ROUND(F15*1.051,0)</f>
        <v>5270091</v>
      </c>
      <c r="H15" s="32">
        <f>ROUND((E15*F15),0)</f>
        <v>0</v>
      </c>
      <c r="I15" s="32">
        <f t="shared" ref="I15:I16" si="1">+ROUND(G15*E15,0)</f>
        <v>0</v>
      </c>
      <c r="J15" s="1289"/>
      <c r="K15" s="536">
        <v>0</v>
      </c>
      <c r="L15" s="685">
        <f t="shared" ref="L15:L16" si="2">ROUND(K15*G15,0)</f>
        <v>0</v>
      </c>
      <c r="M15" s="684">
        <v>0</v>
      </c>
      <c r="N15" s="799">
        <v>0</v>
      </c>
      <c r="O15" s="892">
        <f t="shared" ref="O15:O16" si="3">ROUND(N15*G15,0)</f>
        <v>0</v>
      </c>
      <c r="P15" s="893">
        <v>0</v>
      </c>
      <c r="Q15" s="799">
        <f t="shared" ref="Q15:Q19" si="4">K15+N15</f>
        <v>0</v>
      </c>
      <c r="R15" s="685">
        <f t="shared" ref="R15:R20" si="5">L15+O15</f>
        <v>0</v>
      </c>
      <c r="S15" s="684">
        <v>0</v>
      </c>
    </row>
    <row r="16" spans="1:19" ht="53.25" customHeight="1" x14ac:dyDescent="0.3">
      <c r="A16" s="1289"/>
      <c r="B16" s="1289"/>
      <c r="C16" s="636" t="s">
        <v>61</v>
      </c>
      <c r="D16" s="636" t="s">
        <v>121</v>
      </c>
      <c r="E16" s="31">
        <v>0</v>
      </c>
      <c r="F16" s="32">
        <v>4283098</v>
      </c>
      <c r="G16" s="32">
        <f t="shared" si="0"/>
        <v>4501536</v>
      </c>
      <c r="H16" s="32">
        <f>ROUND((E16*F16),0)</f>
        <v>0</v>
      </c>
      <c r="I16" s="32">
        <f t="shared" si="1"/>
        <v>0</v>
      </c>
      <c r="J16" s="1289"/>
      <c r="K16" s="536">
        <v>0</v>
      </c>
      <c r="L16" s="685">
        <f t="shared" si="2"/>
        <v>0</v>
      </c>
      <c r="M16" s="684">
        <v>0</v>
      </c>
      <c r="N16" s="799">
        <v>0</v>
      </c>
      <c r="O16" s="892">
        <f t="shared" si="3"/>
        <v>0</v>
      </c>
      <c r="P16" s="893">
        <v>0</v>
      </c>
      <c r="Q16" s="799">
        <f t="shared" si="4"/>
        <v>0</v>
      </c>
      <c r="R16" s="685">
        <f t="shared" si="5"/>
        <v>0</v>
      </c>
      <c r="S16" s="684">
        <v>0</v>
      </c>
    </row>
    <row r="17" spans="1:19" x14ac:dyDescent="0.3">
      <c r="A17" s="1289"/>
      <c r="B17" s="1289"/>
      <c r="C17" s="39"/>
      <c r="D17" s="39" t="s">
        <v>116</v>
      </c>
      <c r="E17" s="41"/>
      <c r="F17" s="41"/>
      <c r="G17" s="41"/>
      <c r="H17" s="42">
        <f>SUM(H14:H16)</f>
        <v>5533206</v>
      </c>
      <c r="I17" s="42">
        <f>SUM(I14:I16)</f>
        <v>5815400</v>
      </c>
      <c r="J17" s="1289"/>
      <c r="K17" s="40"/>
      <c r="L17" s="683">
        <f>SUM(L14:L16)</f>
        <v>5815400</v>
      </c>
      <c r="M17" s="519">
        <f>L17/H17</f>
        <v>1.0510000892791629</v>
      </c>
      <c r="N17" s="40"/>
      <c r="O17" s="683">
        <f>SUM(O14:O16)</f>
        <v>0</v>
      </c>
      <c r="P17" s="893">
        <f t="shared" ref="P17:P20" si="6">O17/I17</f>
        <v>0</v>
      </c>
      <c r="Q17" s="799"/>
      <c r="R17" s="685">
        <f t="shared" si="5"/>
        <v>5815400</v>
      </c>
      <c r="S17" s="519">
        <f>R17/H17</f>
        <v>1.0510000892791629</v>
      </c>
    </row>
    <row r="18" spans="1:19" ht="51.75" customHeight="1" x14ac:dyDescent="0.3">
      <c r="A18" s="1289" t="s">
        <v>200</v>
      </c>
      <c r="B18" s="1289" t="s">
        <v>239</v>
      </c>
      <c r="C18" s="636" t="s">
        <v>59</v>
      </c>
      <c r="D18" s="636" t="s">
        <v>204</v>
      </c>
      <c r="E18" s="636">
        <v>1</v>
      </c>
      <c r="F18" s="32">
        <v>2124138</v>
      </c>
      <c r="G18" s="32">
        <f t="shared" si="0"/>
        <v>2232469</v>
      </c>
      <c r="H18" s="32">
        <f>ROUND((E18*F18),0)</f>
        <v>2124138</v>
      </c>
      <c r="I18" s="32">
        <f t="shared" ref="I18:I19" si="7">+ROUND(G18*E18,0)</f>
        <v>2232469</v>
      </c>
      <c r="J18" s="1290" t="s">
        <v>1748</v>
      </c>
      <c r="K18" s="536">
        <v>0</v>
      </c>
      <c r="L18" s="685">
        <f t="shared" ref="L18:L19" si="8">ROUND(K18*G18,0)</f>
        <v>0</v>
      </c>
      <c r="M18" s="684">
        <f t="shared" ref="M18:M19" si="9">L18/I18</f>
        <v>0</v>
      </c>
      <c r="N18" s="799">
        <v>0</v>
      </c>
      <c r="O18" s="685">
        <f>ROUND(N18*G18,0)</f>
        <v>0</v>
      </c>
      <c r="P18" s="893">
        <f t="shared" si="6"/>
        <v>0</v>
      </c>
      <c r="Q18" s="799">
        <f t="shared" si="4"/>
        <v>0</v>
      </c>
      <c r="R18" s="685">
        <f t="shared" si="5"/>
        <v>0</v>
      </c>
      <c r="S18" s="684">
        <f>R18/H18</f>
        <v>0</v>
      </c>
    </row>
    <row r="19" spans="1:19" ht="45" customHeight="1" x14ac:dyDescent="0.3">
      <c r="A19" s="1289"/>
      <c r="B19" s="1289"/>
      <c r="C19" s="636" t="s">
        <v>61</v>
      </c>
      <c r="D19" s="636" t="s">
        <v>205</v>
      </c>
      <c r="E19" s="636">
        <v>1</v>
      </c>
      <c r="F19" s="32">
        <v>3900057</v>
      </c>
      <c r="G19" s="32">
        <f t="shared" si="0"/>
        <v>4098960</v>
      </c>
      <c r="H19" s="32">
        <f>ROUND((E19*F19),0)</f>
        <v>3900057</v>
      </c>
      <c r="I19" s="32">
        <f t="shared" si="7"/>
        <v>4098960</v>
      </c>
      <c r="J19" s="1289"/>
      <c r="K19" s="537">
        <v>1</v>
      </c>
      <c r="L19" s="752">
        <f t="shared" si="8"/>
        <v>4098960</v>
      </c>
      <c r="M19" s="753">
        <f t="shared" si="9"/>
        <v>1</v>
      </c>
      <c r="N19" s="891">
        <v>0</v>
      </c>
      <c r="O19" s="685">
        <f>ROUND(N19*G19,0)</f>
        <v>0</v>
      </c>
      <c r="P19" s="893">
        <f t="shared" si="6"/>
        <v>0</v>
      </c>
      <c r="Q19" s="799">
        <f t="shared" si="4"/>
        <v>1</v>
      </c>
      <c r="R19" s="685">
        <f t="shared" si="5"/>
        <v>4098960</v>
      </c>
      <c r="S19" s="684">
        <f>R19/H19</f>
        <v>1.0510000238458053</v>
      </c>
    </row>
    <row r="20" spans="1:19" ht="13.5" customHeight="1" x14ac:dyDescent="0.3">
      <c r="A20" s="1289"/>
      <c r="B20" s="1289"/>
      <c r="C20" s="39"/>
      <c r="D20" s="39" t="s">
        <v>206</v>
      </c>
      <c r="E20" s="41"/>
      <c r="F20" s="41"/>
      <c r="G20" s="41"/>
      <c r="H20" s="42">
        <f>SUM(H18:H19)</f>
        <v>6024195</v>
      </c>
      <c r="I20" s="42">
        <f>SUM(I18:I19)</f>
        <v>6331429</v>
      </c>
      <c r="J20" s="1289"/>
      <c r="K20" s="41"/>
      <c r="L20" s="683">
        <f>SUM(L18:L19)</f>
        <v>4098960</v>
      </c>
      <c r="M20" s="519">
        <f>L20/H20</f>
        <v>0.68041622158645265</v>
      </c>
      <c r="N20" s="41"/>
      <c r="O20" s="683">
        <f>SUM(O18:O19)</f>
        <v>0</v>
      </c>
      <c r="P20" s="893">
        <f t="shared" si="6"/>
        <v>0</v>
      </c>
      <c r="Q20" s="40"/>
      <c r="R20" s="685">
        <f t="shared" si="5"/>
        <v>4098960</v>
      </c>
      <c r="S20" s="519">
        <f>R20/H20</f>
        <v>0.68041622158645265</v>
      </c>
    </row>
    <row r="21" spans="1:19" x14ac:dyDescent="0.3">
      <c r="A21" s="638"/>
      <c r="B21" s="638"/>
      <c r="C21" s="638"/>
      <c r="D21" s="638"/>
      <c r="E21" s="638"/>
      <c r="F21" s="680" t="s">
        <v>1740</v>
      </c>
      <c r="G21" s="680"/>
      <c r="H21" s="681">
        <f>0+H17+H20</f>
        <v>11557401</v>
      </c>
      <c r="I21" s="681">
        <f>0+I17+I20</f>
        <v>12146829</v>
      </c>
      <c r="J21" s="638"/>
      <c r="K21" s="549" t="s">
        <v>64</v>
      </c>
      <c r="L21" s="677">
        <f>SUM(L14:L20)/2</f>
        <v>9914360</v>
      </c>
      <c r="N21" s="549" t="s">
        <v>64</v>
      </c>
      <c r="O21" s="677">
        <f>SUM(O14:O20)/2</f>
        <v>0</v>
      </c>
      <c r="Q21" s="549" t="s">
        <v>64</v>
      </c>
      <c r="R21" s="677">
        <f>SUM(R14:R20)/2</f>
        <v>9914360</v>
      </c>
    </row>
    <row r="22" spans="1:19" ht="26.4" x14ac:dyDescent="0.3">
      <c r="F22" s="444" t="s">
        <v>65</v>
      </c>
      <c r="G22" s="444"/>
      <c r="H22" s="181">
        <v>0</v>
      </c>
      <c r="I22" s="181">
        <v>0</v>
      </c>
      <c r="K22" s="548" t="s">
        <v>65</v>
      </c>
      <c r="L22" s="481"/>
      <c r="N22" s="548" t="s">
        <v>65</v>
      </c>
      <c r="O22" s="481"/>
      <c r="Q22" s="548" t="s">
        <v>65</v>
      </c>
      <c r="R22" s="481"/>
    </row>
    <row r="23" spans="1:19" x14ac:dyDescent="0.3">
      <c r="F23" s="443" t="s">
        <v>1740</v>
      </c>
      <c r="G23" s="443"/>
      <c r="H23" s="340">
        <f>+H22+H21</f>
        <v>11557401</v>
      </c>
      <c r="I23" s="340">
        <f>+I22+I21</f>
        <v>12146829</v>
      </c>
      <c r="K23" s="549" t="s">
        <v>64</v>
      </c>
      <c r="L23" s="481">
        <f>L21+L22</f>
        <v>9914360</v>
      </c>
      <c r="N23" s="549" t="s">
        <v>64</v>
      </c>
      <c r="O23" s="481">
        <f>O21+O22</f>
        <v>0</v>
      </c>
      <c r="Q23" s="549" t="s">
        <v>64</v>
      </c>
      <c r="R23" s="481">
        <f>R21+R22</f>
        <v>9914360</v>
      </c>
    </row>
    <row r="24" spans="1:19" ht="26.4" x14ac:dyDescent="0.3">
      <c r="F24" s="659"/>
      <c r="G24" s="659"/>
      <c r="H24" s="659"/>
      <c r="I24" s="659"/>
      <c r="K24" s="501" t="s">
        <v>1439</v>
      </c>
      <c r="L24" s="481">
        <f>ROUND(L23*0.015,0)</f>
        <v>148715</v>
      </c>
      <c r="N24" s="501" t="s">
        <v>1439</v>
      </c>
      <c r="O24" s="481">
        <f>ROUND(O23*0.015,0)</f>
        <v>0</v>
      </c>
      <c r="Q24" s="501" t="s">
        <v>1439</v>
      </c>
      <c r="R24" s="481">
        <f>L24+O24</f>
        <v>148715</v>
      </c>
    </row>
    <row r="25" spans="1:19" ht="39.6" x14ac:dyDescent="0.3">
      <c r="F25" s="659"/>
      <c r="G25" s="659"/>
      <c r="H25" s="659"/>
      <c r="I25" s="659"/>
      <c r="K25" s="96" t="s">
        <v>1440</v>
      </c>
      <c r="L25" s="425">
        <f>L23+L24</f>
        <v>10063075</v>
      </c>
      <c r="M25" s="678">
        <f>L25/H21</f>
        <v>0.87070397574679637</v>
      </c>
      <c r="N25" s="96" t="s">
        <v>1440</v>
      </c>
      <c r="O25" s="425">
        <f>O23+O24</f>
        <v>0</v>
      </c>
      <c r="P25" s="678">
        <f>O25/H21</f>
        <v>0</v>
      </c>
      <c r="Q25" s="96" t="s">
        <v>1440</v>
      </c>
      <c r="R25" s="425">
        <f>R23+R24</f>
        <v>10063075</v>
      </c>
      <c r="S25" s="678">
        <f>R25/H21</f>
        <v>0.87070397574679637</v>
      </c>
    </row>
    <row r="26" spans="1:19" x14ac:dyDescent="0.3">
      <c r="F26" s="442" t="s">
        <v>66</v>
      </c>
      <c r="G26" s="442"/>
      <c r="H26" s="181">
        <f>+H21*19%</f>
        <v>2195906.19</v>
      </c>
      <c r="I26" s="181">
        <f>+I21*19%</f>
        <v>2307897.5100000002</v>
      </c>
      <c r="K26" s="551" t="s">
        <v>66</v>
      </c>
      <c r="L26" s="672">
        <f>L25*0.19</f>
        <v>1911984.25</v>
      </c>
      <c r="N26" s="551" t="s">
        <v>66</v>
      </c>
      <c r="O26" s="672">
        <f>O25*0.19</f>
        <v>0</v>
      </c>
      <c r="Q26" s="551" t="s">
        <v>66</v>
      </c>
      <c r="R26" s="672">
        <f>R25*0.19</f>
        <v>1911984.25</v>
      </c>
    </row>
    <row r="27" spans="1:19" x14ac:dyDescent="0.3">
      <c r="F27" s="441" t="s">
        <v>69</v>
      </c>
      <c r="G27" s="441"/>
      <c r="H27" s="181">
        <f>+H21+H26</f>
        <v>13753307.189999999</v>
      </c>
      <c r="I27" s="181">
        <f>+I21+I26</f>
        <v>14454726.51</v>
      </c>
      <c r="K27" s="552" t="s">
        <v>69</v>
      </c>
      <c r="L27" s="672">
        <f>L25+L26</f>
        <v>11975059.25</v>
      </c>
      <c r="N27" s="552" t="s">
        <v>69</v>
      </c>
      <c r="O27" s="672">
        <f>O25+O26</f>
        <v>0</v>
      </c>
      <c r="Q27" s="552" t="s">
        <v>69</v>
      </c>
      <c r="R27" s="672">
        <f>R25+R26</f>
        <v>11975059.25</v>
      </c>
    </row>
    <row r="29" spans="1:19" x14ac:dyDescent="0.3">
      <c r="A29" s="665" t="s">
        <v>67</v>
      </c>
      <c r="B29" s="184"/>
      <c r="C29" s="184"/>
      <c r="D29" s="185" t="s">
        <v>68</v>
      </c>
      <c r="K29" s="186" t="s">
        <v>70</v>
      </c>
      <c r="L29" s="187" t="s">
        <v>71</v>
      </c>
      <c r="M29" s="186" t="s">
        <v>58</v>
      </c>
      <c r="N29" s="186" t="s">
        <v>70</v>
      </c>
      <c r="O29" s="187" t="s">
        <v>71</v>
      </c>
      <c r="P29" s="186" t="s">
        <v>58</v>
      </c>
    </row>
    <row r="30" spans="1:19" x14ac:dyDescent="0.3">
      <c r="A30" s="665"/>
      <c r="B30" s="184"/>
      <c r="C30" s="184"/>
      <c r="D30" s="185"/>
      <c r="K30" s="69" t="s">
        <v>72</v>
      </c>
      <c r="L30" s="70">
        <f>L25</f>
        <v>10063075</v>
      </c>
      <c r="M30" s="360">
        <f>M25</f>
        <v>0.87070397574679637</v>
      </c>
      <c r="N30" s="69" t="s">
        <v>72</v>
      </c>
      <c r="O30" s="70">
        <f>$L$25</f>
        <v>10063075</v>
      </c>
      <c r="P30" s="360">
        <f>$M$25</f>
        <v>0.87070397574679637</v>
      </c>
    </row>
    <row r="31" spans="1:19" x14ac:dyDescent="0.3">
      <c r="A31" s="665"/>
      <c r="B31" s="184"/>
      <c r="C31" s="184"/>
      <c r="D31" s="185"/>
      <c r="K31" s="72" t="s">
        <v>1</v>
      </c>
      <c r="L31" s="105">
        <f>L30</f>
        <v>10063075</v>
      </c>
      <c r="M31" s="361">
        <f>M30</f>
        <v>0.87070397574679637</v>
      </c>
      <c r="N31" s="69" t="s">
        <v>73</v>
      </c>
      <c r="O31" s="70">
        <f>$O$25</f>
        <v>0</v>
      </c>
      <c r="P31" s="360">
        <f>$P$25</f>
        <v>0</v>
      </c>
    </row>
    <row r="32" spans="1:19" x14ac:dyDescent="0.3">
      <c r="A32" s="665"/>
      <c r="B32" s="184"/>
      <c r="C32" s="184"/>
      <c r="D32" s="185"/>
      <c r="K32" s="72" t="s">
        <v>9</v>
      </c>
      <c r="L32" s="1423"/>
      <c r="M32" s="1424"/>
      <c r="N32" s="72" t="s">
        <v>1</v>
      </c>
      <c r="O32" s="105">
        <f>SUM(O30:O31)</f>
        <v>10063075</v>
      </c>
      <c r="P32" s="361">
        <f>SUM(P30:P31)</f>
        <v>0.87070397574679637</v>
      </c>
      <c r="R32" s="1037">
        <f>+L23/1.051</f>
        <v>9433263.5585156996</v>
      </c>
    </row>
    <row r="33" spans="1:16" x14ac:dyDescent="0.3">
      <c r="A33" s="665"/>
      <c r="B33" s="184"/>
      <c r="C33" s="184"/>
      <c r="D33" s="185"/>
      <c r="K33" s="440" t="s">
        <v>78</v>
      </c>
      <c r="L33" s="1505" t="s">
        <v>2003</v>
      </c>
      <c r="M33" s="1505"/>
      <c r="N33" s="72" t="s">
        <v>9</v>
      </c>
      <c r="O33" s="1423"/>
      <c r="P33" s="1424"/>
    </row>
    <row r="34" spans="1:16" x14ac:dyDescent="0.3">
      <c r="A34" s="665"/>
      <c r="B34" s="184"/>
      <c r="C34" s="184"/>
      <c r="D34" s="185"/>
      <c r="K34" s="439" t="s">
        <v>8</v>
      </c>
      <c r="L34" s="1505" t="s">
        <v>2004</v>
      </c>
      <c r="M34" s="1505" t="s">
        <v>2226</v>
      </c>
      <c r="N34" s="440" t="s">
        <v>78</v>
      </c>
      <c r="O34" s="1505" t="s">
        <v>2003</v>
      </c>
      <c r="P34" s="1505"/>
    </row>
    <row r="35" spans="1:16" x14ac:dyDescent="0.3">
      <c r="A35" s="665"/>
      <c r="B35" s="184"/>
      <c r="C35" s="184"/>
      <c r="D35" s="185" t="s">
        <v>75</v>
      </c>
      <c r="N35" s="439" t="s">
        <v>8</v>
      </c>
      <c r="O35" s="1505" t="s">
        <v>2004</v>
      </c>
      <c r="P35" s="1505" t="s">
        <v>2226</v>
      </c>
    </row>
    <row r="36" spans="1:16" x14ac:dyDescent="0.3">
      <c r="A36" s="665" t="s">
        <v>76</v>
      </c>
      <c r="B36" s="180"/>
      <c r="C36" s="180"/>
      <c r="D36" s="185" t="s">
        <v>77</v>
      </c>
    </row>
    <row r="37" spans="1:16" ht="26.4" x14ac:dyDescent="0.3">
      <c r="A37" s="665" t="s">
        <v>79</v>
      </c>
      <c r="B37" s="180"/>
      <c r="C37" s="180"/>
      <c r="D37" s="185" t="s">
        <v>80</v>
      </c>
    </row>
    <row r="38" spans="1:16" x14ac:dyDescent="0.3">
      <c r="A38" s="638"/>
      <c r="B38" s="638"/>
      <c r="C38" s="638"/>
      <c r="D38" s="638"/>
    </row>
  </sheetData>
  <mergeCells count="28">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7"/>
    <mergeCell ref="B14:B17"/>
    <mergeCell ref="J14:J17"/>
    <mergeCell ref="A18:A20"/>
    <mergeCell ref="B18:B20"/>
    <mergeCell ref="J18:J20"/>
    <mergeCell ref="O33:P33"/>
    <mergeCell ref="O34:P34"/>
    <mergeCell ref="O35:P35"/>
    <mergeCell ref="L32:M32"/>
    <mergeCell ref="L33:M33"/>
    <mergeCell ref="L34:M34"/>
  </mergeCells>
  <pageMargins left="0.7" right="0.7" top="0.75" bottom="0.75" header="0.3" footer="0.3"/>
  <pageSetup paperSize="9" scale="43" orientation="landscape" r:id="rId1"/>
  <drawing r:id="rId2"/>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5">
    <tabColor theme="1"/>
  </sheetPr>
  <dimension ref="A1:G49"/>
  <sheetViews>
    <sheetView topLeftCell="A13" zoomScaleNormal="100" zoomScaleSheetLayoutView="8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RESUMEN!G106</f>
        <v>Proyecto:CDIM_CBSGSM_R0197 CONEXIÓN RÁPIDA BACATÁ</v>
      </c>
      <c r="C5" s="1281"/>
      <c r="D5" s="1281"/>
      <c r="E5" s="1281"/>
      <c r="F5" s="1281"/>
      <c r="G5" s="1282"/>
    </row>
    <row r="6" spans="1:7" x14ac:dyDescent="0.25">
      <c r="A6" s="1177"/>
      <c r="B6" s="1177"/>
      <c r="C6" s="1177"/>
      <c r="D6" s="1177"/>
      <c r="E6" s="1177"/>
      <c r="F6" s="1177"/>
      <c r="G6" s="1177"/>
    </row>
    <row r="7" spans="1:7" x14ac:dyDescent="0.25">
      <c r="A7" s="271" t="s">
        <v>0</v>
      </c>
      <c r="B7" s="1264" t="str">
        <f>RESUMEN!B106</f>
        <v>D00249389</v>
      </c>
      <c r="C7" s="1265"/>
      <c r="D7" s="1177"/>
      <c r="E7" s="1266" t="s">
        <v>627</v>
      </c>
      <c r="F7" s="1267"/>
      <c r="G7" s="280" t="str">
        <f>RESUMEN!E106</f>
        <v>17-394</v>
      </c>
    </row>
    <row r="8" spans="1:7" x14ac:dyDescent="0.25">
      <c r="A8" s="271" t="s">
        <v>628</v>
      </c>
      <c r="B8" s="1264" t="str">
        <f>RESUMEN!C106</f>
        <v>D00249389000</v>
      </c>
      <c r="C8" s="1265"/>
      <c r="D8" s="1177"/>
      <c r="E8" s="1266" t="s">
        <v>629</v>
      </c>
      <c r="F8" s="1267"/>
      <c r="G8" s="280" t="str">
        <f>RESUMEN!U106</f>
        <v>Acta N° 3: Marzo</v>
      </c>
    </row>
    <row r="9" spans="1:7" x14ac:dyDescent="0.25">
      <c r="A9" s="271" t="s">
        <v>630</v>
      </c>
      <c r="B9" s="1283" t="s">
        <v>631</v>
      </c>
      <c r="C9" s="1265"/>
      <c r="D9" s="1177"/>
      <c r="E9" s="1266" t="s">
        <v>632</v>
      </c>
      <c r="F9" s="1267"/>
      <c r="G9" s="1178">
        <f>RESUMEN!H106</f>
        <v>26367175</v>
      </c>
    </row>
    <row r="10" spans="1:7" x14ac:dyDescent="0.25">
      <c r="A10" s="271" t="s">
        <v>633</v>
      </c>
      <c r="B10" s="1283" t="str">
        <f>RESUMEN!D106</f>
        <v>BACATA</v>
      </c>
      <c r="C10" s="1265"/>
      <c r="D10" s="1177"/>
      <c r="E10" s="1266" t="s">
        <v>634</v>
      </c>
      <c r="F10" s="1267"/>
      <c r="G10" s="1178">
        <f>RESUMEN!R106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",RESUMEN!G106)</f>
        <v>A los 14 días del mes de Marzo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Proyecto:CDIM_CBSGSM_R0197 CONEXIÓN RÁPIDA BACATÁ</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RESUMEN!N106</f>
        <v>0</v>
      </c>
      <c r="F19" s="1248"/>
      <c r="G19" s="1177"/>
    </row>
    <row r="20" spans="1:7" ht="27" customHeight="1" x14ac:dyDescent="0.25">
      <c r="A20" s="1177"/>
      <c r="B20" s="1244" t="s">
        <v>1498</v>
      </c>
      <c r="C20" s="1245"/>
      <c r="D20" s="1246"/>
      <c r="E20" s="1247">
        <f>RESUMEN!P106</f>
        <v>0</v>
      </c>
      <c r="F20" s="1248"/>
      <c r="G20" s="1177"/>
    </row>
    <row r="21" spans="1:7" ht="27" customHeight="1" x14ac:dyDescent="0.25">
      <c r="A21" s="1177"/>
      <c r="B21" s="1244" t="s">
        <v>1499</v>
      </c>
      <c r="C21" s="1245"/>
      <c r="D21" s="1246"/>
      <c r="E21" s="1247">
        <f>RESUMEN!Q106</f>
        <v>0</v>
      </c>
      <c r="F21" s="1248"/>
      <c r="G21" s="1177"/>
    </row>
    <row r="22" spans="1:7" x14ac:dyDescent="0.25">
      <c r="A22" s="1177"/>
      <c r="B22" s="1254" t="s">
        <v>64</v>
      </c>
      <c r="C22" s="1254"/>
      <c r="D22" s="1254"/>
      <c r="E22" s="1255">
        <f>RESUMEN!R106</f>
        <v>0</v>
      </c>
      <c r="F22" s="1255"/>
      <c r="G22" s="1177"/>
    </row>
    <row r="23" spans="1:7" x14ac:dyDescent="0.25">
      <c r="A23" s="1177"/>
      <c r="B23" s="1256" t="s">
        <v>66</v>
      </c>
      <c r="C23" s="1256"/>
      <c r="D23" s="1256"/>
      <c r="E23" s="1257">
        <f>RESUMEN!S106</f>
        <v>0</v>
      </c>
      <c r="F23" s="1257"/>
      <c r="G23" s="1177"/>
    </row>
    <row r="24" spans="1:7" x14ac:dyDescent="0.25">
      <c r="A24" s="1177"/>
      <c r="B24" s="1258" t="s">
        <v>1</v>
      </c>
      <c r="C24" s="1258"/>
      <c r="D24" s="1258"/>
      <c r="E24" s="1259">
        <f>RESUMEN!T106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+'OT17-394 BACATÁ'!Q29</f>
        <v>ACTA 1</v>
      </c>
      <c r="C28" s="1253">
        <f>+'OT17-394 BACATÁ'!R29</f>
        <v>3946544</v>
      </c>
      <c r="D28" s="1253"/>
      <c r="E28" s="267">
        <f>+'OT17-394 BACATÁ'!S29</f>
        <v>0.14967640636511118</v>
      </c>
      <c r="F28" s="1177"/>
      <c r="G28" s="1177"/>
    </row>
    <row r="29" spans="1:7" x14ac:dyDescent="0.25">
      <c r="A29" s="1177"/>
      <c r="B29" s="280" t="str">
        <f>+'OT17-394 BACATÁ'!Q30</f>
        <v>ACTA 2</v>
      </c>
      <c r="C29" s="1253">
        <f>+'OT17-394 BACATÁ'!R30</f>
        <v>9307507</v>
      </c>
      <c r="D29" s="1253"/>
      <c r="E29" s="267">
        <f>+'OT17-394 BACATÁ'!S30</f>
        <v>0.35299598838328339</v>
      </c>
      <c r="F29" s="1177"/>
      <c r="G29" s="1177"/>
    </row>
    <row r="30" spans="1:7" x14ac:dyDescent="0.25">
      <c r="A30" s="1177"/>
      <c r="B30" s="280" t="str">
        <f>+'OT17-394 BACATÁ'!Q31</f>
        <v>ACTA 3</v>
      </c>
      <c r="C30" s="1253">
        <f>+'OT17-394 BACATÁ'!R31</f>
        <v>0</v>
      </c>
      <c r="D30" s="1253"/>
      <c r="E30" s="267">
        <f>+'OT17-394 BACATÁ'!S31</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13254051</v>
      </c>
      <c r="D34" s="1251"/>
      <c r="E34" s="264">
        <f>SUM(E28:E33)</f>
        <v>0.50267239474839454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RESUMEN!V106</f>
        <v>Ing. Hernán Giraldo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2" orientation="portrait" r:id="rId1"/>
  <drawing r:id="rId2"/>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7">
    <tabColor rgb="FF72104A"/>
  </sheetPr>
  <dimension ref="A1:V38"/>
  <sheetViews>
    <sheetView topLeftCell="I10" zoomScale="70" zoomScaleNormal="70" workbookViewId="0">
      <selection activeCell="Q13" sqref="Q13"/>
    </sheetView>
  </sheetViews>
  <sheetFormatPr baseColWidth="10" defaultRowHeight="14.4" x14ac:dyDescent="0.3"/>
  <cols>
    <col min="2" max="2" width="23.6640625" customWidth="1"/>
    <col min="3" max="3" width="22.5546875" customWidth="1"/>
    <col min="4" max="4" width="26" customWidth="1"/>
    <col min="6" max="6" width="20.88671875" customWidth="1"/>
    <col min="7" max="7" width="20.88671875" style="849" customWidth="1"/>
    <col min="8" max="8" width="16.88671875" bestFit="1" customWidth="1"/>
    <col min="9" max="9" width="16.88671875" style="849" customWidth="1"/>
    <col min="10" max="10" width="49" customWidth="1"/>
    <col min="11" max="11" width="16.33203125" hidden="1" customWidth="1"/>
    <col min="12" max="12" width="18.33203125" hidden="1" customWidth="1"/>
    <col min="13" max="13" width="7.5546875" hidden="1" customWidth="1"/>
    <col min="14" max="14" width="16.33203125" style="849" bestFit="1" customWidth="1"/>
    <col min="15" max="15" width="18.33203125" style="849" customWidth="1"/>
    <col min="16" max="16" width="14.6640625" style="849" bestFit="1" customWidth="1"/>
    <col min="17" max="19" width="14.6640625" style="1054" customWidth="1"/>
    <col min="20" max="20" width="18.5546875" customWidth="1"/>
    <col min="21" max="21" width="16.88671875" bestFit="1" customWidth="1"/>
  </cols>
  <sheetData>
    <row r="1" spans="1:22" s="437" customFormat="1" ht="45.75" customHeight="1" thickBot="1" x14ac:dyDescent="0.35">
      <c r="A1" s="169"/>
      <c r="B1" s="188"/>
      <c r="C1" s="1307" t="s">
        <v>40</v>
      </c>
      <c r="D1" s="1308"/>
      <c r="E1" s="1308"/>
      <c r="F1" s="1308"/>
      <c r="G1" s="1308"/>
      <c r="H1" s="1308"/>
      <c r="I1" s="1308"/>
      <c r="J1" s="1308"/>
      <c r="K1" s="1308"/>
      <c r="L1" s="1308"/>
      <c r="M1" s="1308"/>
      <c r="N1" s="846"/>
      <c r="O1" s="846"/>
      <c r="P1" s="846"/>
      <c r="Q1" s="1052"/>
      <c r="R1" s="1052"/>
      <c r="S1" s="1052"/>
      <c r="T1" s="1328" t="s">
        <v>2288</v>
      </c>
      <c r="U1" s="1303"/>
      <c r="V1" s="1304"/>
    </row>
    <row r="2" spans="1:22" s="437" customFormat="1" ht="13.5" customHeight="1" thickBot="1" x14ac:dyDescent="0.35">
      <c r="A2" s="170"/>
      <c r="B2" s="190"/>
      <c r="C2" s="1310"/>
      <c r="D2" s="1311"/>
      <c r="E2" s="1311"/>
      <c r="F2" s="1311"/>
      <c r="G2" s="1311"/>
      <c r="H2" s="1311"/>
      <c r="I2" s="1311"/>
      <c r="J2" s="1311"/>
      <c r="K2" s="1311"/>
      <c r="L2" s="1311"/>
      <c r="M2" s="1311"/>
      <c r="N2" s="847"/>
      <c r="O2" s="847"/>
      <c r="P2" s="847"/>
      <c r="Q2" s="1053"/>
      <c r="R2" s="1053"/>
      <c r="S2" s="1053"/>
      <c r="T2" s="1329" t="s">
        <v>41</v>
      </c>
      <c r="U2" s="1305"/>
      <c r="V2" s="1306"/>
    </row>
    <row r="3" spans="1:22" s="437" customFormat="1" ht="13.5" customHeight="1"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s="437" customFormat="1" ht="13.5" customHeight="1"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s="437" customFormat="1" ht="13.5" customHeight="1"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s="437" customFormat="1" ht="13.5" customHeight="1"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s="437" customFormat="1" ht="21.75" customHeight="1" x14ac:dyDescent="0.3">
      <c r="A7" s="1291" t="s">
        <v>2287</v>
      </c>
      <c r="B7" s="1292"/>
      <c r="C7" s="1292"/>
      <c r="D7" s="1292"/>
      <c r="E7" s="1292"/>
      <c r="F7" s="1292"/>
      <c r="G7" s="1292"/>
      <c r="H7" s="1292"/>
      <c r="I7" s="1292"/>
      <c r="J7" s="1292"/>
      <c r="K7" s="1292"/>
      <c r="L7" s="1292"/>
      <c r="M7" s="1292"/>
      <c r="N7" s="1292"/>
      <c r="O7" s="1292"/>
      <c r="P7" s="1292"/>
      <c r="Q7" s="1292"/>
      <c r="R7" s="1292"/>
      <c r="S7" s="1292"/>
      <c r="T7" s="1292"/>
      <c r="U7" s="1292"/>
      <c r="V7" s="1292"/>
    </row>
    <row r="8" spans="1:22" s="437" customFormat="1" ht="13.5" customHeight="1" x14ac:dyDescent="0.3">
      <c r="A8" s="1292" t="s">
        <v>2317</v>
      </c>
      <c r="B8" s="1292"/>
      <c r="C8" s="1292"/>
      <c r="D8" s="1292"/>
      <c r="E8" s="1292"/>
      <c r="F8" s="1292"/>
      <c r="G8" s="1292"/>
      <c r="H8" s="1292"/>
      <c r="I8" s="1292"/>
      <c r="J8" s="1292"/>
      <c r="K8" s="1292"/>
      <c r="L8" s="1292"/>
      <c r="M8" s="1292"/>
      <c r="N8" s="1292"/>
      <c r="O8" s="1292"/>
      <c r="P8" s="1292"/>
      <c r="Q8" s="1292"/>
      <c r="R8" s="1292"/>
      <c r="S8" s="1292"/>
      <c r="T8" s="1292"/>
      <c r="U8" s="1292"/>
      <c r="V8" s="1292"/>
    </row>
    <row r="9" spans="1:22" s="437" customFormat="1" ht="13.5" customHeight="1"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s="437" customFormat="1" ht="13.5" customHeight="1" x14ac:dyDescent="0.3">
      <c r="A10" s="1292" t="s">
        <v>1749</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s="437" customFormat="1" ht="13.5" customHeight="1" x14ac:dyDescent="0.3">
      <c r="A11" s="637"/>
      <c r="B11" s="1301"/>
      <c r="C11" s="1313"/>
      <c r="D11" s="1313"/>
      <c r="E11" s="1313"/>
      <c r="F11" s="1313"/>
      <c r="G11" s="1313"/>
      <c r="H11" s="1313"/>
      <c r="I11" s="1313"/>
      <c r="J11" s="1313"/>
      <c r="K11" s="1293" t="s">
        <v>1980</v>
      </c>
      <c r="L11" s="1294"/>
      <c r="M11" s="1295"/>
      <c r="N11" s="1293" t="s">
        <v>2094</v>
      </c>
      <c r="O11" s="1294"/>
      <c r="P11" s="1295"/>
      <c r="Q11" s="1293" t="s">
        <v>2318</v>
      </c>
      <c r="R11" s="1294"/>
      <c r="S11" s="1295"/>
      <c r="T11" s="1299" t="s">
        <v>49</v>
      </c>
      <c r="U11" s="1299"/>
      <c r="V11" s="1299"/>
    </row>
    <row r="12" spans="1:22" s="437" customFormat="1" ht="13.5" customHeight="1"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c r="T13" s="502" t="s">
        <v>54</v>
      </c>
      <c r="U13" s="502" t="s">
        <v>56</v>
      </c>
      <c r="V13" s="502" t="s">
        <v>58</v>
      </c>
    </row>
    <row r="14" spans="1:22" ht="54" customHeight="1" x14ac:dyDescent="0.3">
      <c r="A14" s="1289" t="s">
        <v>818</v>
      </c>
      <c r="B14" s="1289" t="s">
        <v>418</v>
      </c>
      <c r="C14" s="636" t="s">
        <v>81</v>
      </c>
      <c r="D14" s="636" t="s">
        <v>419</v>
      </c>
      <c r="E14" s="636">
        <v>1.74</v>
      </c>
      <c r="F14" s="32">
        <v>7904580</v>
      </c>
      <c r="G14" s="32">
        <f>+ROUND(F14*1.051,0)</f>
        <v>8307714</v>
      </c>
      <c r="H14" s="32">
        <f>ROUND((E14*F14),0)</f>
        <v>13753969</v>
      </c>
      <c r="I14" s="32">
        <f>+ROUND(G14*E14,0)</f>
        <v>14455422</v>
      </c>
      <c r="J14" s="1290" t="s">
        <v>1750</v>
      </c>
      <c r="K14" s="536">
        <v>0</v>
      </c>
      <c r="L14" s="685">
        <f>ROUND(K14*F14,0)</f>
        <v>0</v>
      </c>
      <c r="M14" s="684">
        <f>L14/H14</f>
        <v>0</v>
      </c>
      <c r="N14" s="799">
        <v>0</v>
      </c>
      <c r="O14" s="685">
        <f>ROUND(N14*G14,0)</f>
        <v>0</v>
      </c>
      <c r="P14" s="684">
        <f>O14/I14</f>
        <v>0</v>
      </c>
      <c r="Q14" s="799">
        <v>0</v>
      </c>
      <c r="R14" s="685">
        <f>ROUND(Q14*G14,0)</f>
        <v>0</v>
      </c>
      <c r="S14" s="684">
        <f>R14/I14</f>
        <v>0</v>
      </c>
      <c r="T14" s="536">
        <f>K14+N14+Q14</f>
        <v>0</v>
      </c>
      <c r="U14" s="685">
        <f>L14+O14+R14</f>
        <v>0</v>
      </c>
      <c r="V14" s="684">
        <f>U14/I14</f>
        <v>0</v>
      </c>
    </row>
    <row r="15" spans="1:22" ht="66.75" customHeight="1" x14ac:dyDescent="0.3">
      <c r="A15" s="1289"/>
      <c r="B15" s="1289"/>
      <c r="C15" s="636" t="s">
        <v>83</v>
      </c>
      <c r="D15" s="636" t="s">
        <v>420</v>
      </c>
      <c r="E15" s="636">
        <v>1.74</v>
      </c>
      <c r="F15" s="32">
        <v>5014359</v>
      </c>
      <c r="G15" s="32">
        <f t="shared" ref="G15:G16" si="0">+ROUND(F15*1.051,0)</f>
        <v>5270091</v>
      </c>
      <c r="H15" s="32">
        <f>ROUND((E15*F15),0)</f>
        <v>8724985</v>
      </c>
      <c r="I15" s="32">
        <f t="shared" ref="I15:I16" si="1">+ROUND(G15*E15,0)</f>
        <v>9169958</v>
      </c>
      <c r="J15" s="1289"/>
      <c r="K15" s="536">
        <v>0</v>
      </c>
      <c r="L15" s="685">
        <f>ROUND(K15*F15,0)</f>
        <v>0</v>
      </c>
      <c r="M15" s="684">
        <f t="shared" ref="M15:M16" si="2">L15/H15</f>
        <v>0</v>
      </c>
      <c r="N15" s="537">
        <v>1.74</v>
      </c>
      <c r="O15" s="752">
        <f t="shared" ref="O15:O16" si="3">ROUND(N15*G15,0)</f>
        <v>9169958</v>
      </c>
      <c r="P15" s="753">
        <f>O15/H15</f>
        <v>1.0509998584524787</v>
      </c>
      <c r="Q15" s="891">
        <v>0</v>
      </c>
      <c r="R15" s="685">
        <f t="shared" ref="R15:R16" si="4">ROUND(Q15*G15,0)</f>
        <v>0</v>
      </c>
      <c r="S15" s="684">
        <f t="shared" ref="S15:S19" si="5">R15/I15</f>
        <v>0</v>
      </c>
      <c r="T15" s="799">
        <f t="shared" ref="T15:T18" si="6">K15+N15+Q15</f>
        <v>1.74</v>
      </c>
      <c r="U15" s="685">
        <f t="shared" ref="U15:U19" si="7">L15+O15+R15</f>
        <v>9169958</v>
      </c>
      <c r="V15" s="684">
        <f>U15/I15</f>
        <v>1</v>
      </c>
    </row>
    <row r="16" spans="1:22" ht="64.5" customHeight="1" x14ac:dyDescent="0.3">
      <c r="A16" s="1289"/>
      <c r="B16" s="1289"/>
      <c r="C16" s="636" t="s">
        <v>61</v>
      </c>
      <c r="D16" s="636" t="s">
        <v>421</v>
      </c>
      <c r="E16" s="636">
        <v>0.42</v>
      </c>
      <c r="F16" s="32">
        <v>4283098</v>
      </c>
      <c r="G16" s="32">
        <f t="shared" si="0"/>
        <v>4501536</v>
      </c>
      <c r="H16" s="32">
        <f>ROUND((E16*F16),0)</f>
        <v>1798901</v>
      </c>
      <c r="I16" s="32">
        <f t="shared" si="1"/>
        <v>1890645</v>
      </c>
      <c r="J16" s="1289"/>
      <c r="K16" s="537">
        <v>0.42</v>
      </c>
      <c r="L16" s="752">
        <f>ROUND(K16*F16,0)</f>
        <v>1798901</v>
      </c>
      <c r="M16" s="753">
        <f t="shared" si="2"/>
        <v>1</v>
      </c>
      <c r="N16" s="799">
        <v>0</v>
      </c>
      <c r="O16" s="685">
        <f t="shared" si="3"/>
        <v>0</v>
      </c>
      <c r="P16" s="684">
        <f t="shared" ref="P16" si="8">O16/I16</f>
        <v>0</v>
      </c>
      <c r="Q16" s="799">
        <v>0</v>
      </c>
      <c r="R16" s="685">
        <f t="shared" si="4"/>
        <v>0</v>
      </c>
      <c r="S16" s="684">
        <f t="shared" si="5"/>
        <v>0</v>
      </c>
      <c r="T16" s="799">
        <f t="shared" si="6"/>
        <v>0.42</v>
      </c>
      <c r="U16" s="685">
        <f t="shared" si="7"/>
        <v>1798901</v>
      </c>
      <c r="V16" s="684">
        <f>U16/H16</f>
        <v>1</v>
      </c>
    </row>
    <row r="17" spans="1:22" ht="16.5" customHeight="1" x14ac:dyDescent="0.3">
      <c r="A17" s="1289"/>
      <c r="B17" s="1289"/>
      <c r="C17" s="39"/>
      <c r="D17" s="39" t="s">
        <v>261</v>
      </c>
      <c r="E17" s="41"/>
      <c r="F17" s="41"/>
      <c r="G17" s="41"/>
      <c r="H17" s="42">
        <f>SUM(H14:H16)</f>
        <v>24277855</v>
      </c>
      <c r="I17" s="42">
        <f>SUM(I14:I16)</f>
        <v>25516025</v>
      </c>
      <c r="J17" s="1289"/>
      <c r="K17" s="41"/>
      <c r="L17" s="683">
        <f>SUM(L14:L16)</f>
        <v>1798901</v>
      </c>
      <c r="M17" s="519">
        <f>L17/H17</f>
        <v>7.409637301153664E-2</v>
      </c>
      <c r="N17" s="41"/>
      <c r="O17" s="683">
        <f>SUM(O14:O16)</f>
        <v>9169958</v>
      </c>
      <c r="P17" s="519">
        <f>+O17/H17</f>
        <v>0.37770873909577268</v>
      </c>
      <c r="Q17" s="41"/>
      <c r="R17" s="683">
        <f>SUM(R14:R16)</f>
        <v>0</v>
      </c>
      <c r="S17" s="1100">
        <f t="shared" si="5"/>
        <v>0</v>
      </c>
      <c r="T17" s="1106"/>
      <c r="U17" s="1107">
        <f t="shared" si="7"/>
        <v>10968859</v>
      </c>
      <c r="V17" s="519">
        <f>U17/I17</f>
        <v>0.42988118251177448</v>
      </c>
    </row>
    <row r="18" spans="1:22" ht="76.5" customHeight="1" x14ac:dyDescent="0.3">
      <c r="A18" s="1289" t="s">
        <v>818</v>
      </c>
      <c r="B18" s="1289" t="s">
        <v>194</v>
      </c>
      <c r="C18" s="636" t="s">
        <v>160</v>
      </c>
      <c r="D18" s="636" t="s">
        <v>161</v>
      </c>
      <c r="E18" s="636">
        <v>30</v>
      </c>
      <c r="F18" s="32">
        <v>69644</v>
      </c>
      <c r="G18" s="32">
        <f>+ROUND(F18*1.051,0)</f>
        <v>73196</v>
      </c>
      <c r="H18" s="32">
        <f>ROUND((E18*F18),0)</f>
        <v>2089320</v>
      </c>
      <c r="I18" s="32">
        <f>+ROUND(G18*E18,0)</f>
        <v>2195880</v>
      </c>
      <c r="J18" s="1290" t="s">
        <v>1751</v>
      </c>
      <c r="K18" s="537">
        <v>30</v>
      </c>
      <c r="L18" s="752">
        <f>ROUND(K18*F18,0)</f>
        <v>2089320</v>
      </c>
      <c r="M18" s="753">
        <f>L18/H18</f>
        <v>1</v>
      </c>
      <c r="N18" s="799">
        <v>0</v>
      </c>
      <c r="O18" s="685">
        <f>ROUND(N18*G18,0)</f>
        <v>0</v>
      </c>
      <c r="P18" s="684">
        <f>O18/I18</f>
        <v>0</v>
      </c>
      <c r="Q18" s="799">
        <v>0</v>
      </c>
      <c r="R18" s="685">
        <f>ROUND(Q18*G18,0)</f>
        <v>0</v>
      </c>
      <c r="S18" s="684">
        <f t="shared" si="5"/>
        <v>0</v>
      </c>
      <c r="T18" s="799">
        <f t="shared" si="6"/>
        <v>30</v>
      </c>
      <c r="U18" s="685">
        <f t="shared" si="7"/>
        <v>2089320</v>
      </c>
      <c r="V18" s="684">
        <f>U18/H18</f>
        <v>1</v>
      </c>
    </row>
    <row r="19" spans="1:22" ht="17.25" customHeight="1" x14ac:dyDescent="0.3">
      <c r="A19" s="1289"/>
      <c r="B19" s="1289"/>
      <c r="C19" s="39"/>
      <c r="D19" s="39" t="s">
        <v>162</v>
      </c>
      <c r="E19" s="41"/>
      <c r="F19" s="41"/>
      <c r="G19" s="41"/>
      <c r="H19" s="42">
        <f>H18</f>
        <v>2089320</v>
      </c>
      <c r="I19" s="42">
        <f>SUM(I18)</f>
        <v>2195880</v>
      </c>
      <c r="J19" s="1289"/>
      <c r="K19" s="41"/>
      <c r="L19" s="683">
        <f>SUM(L18:L18)</f>
        <v>2089320</v>
      </c>
      <c r="M19" s="519">
        <f>SUM(M18:M18)</f>
        <v>1</v>
      </c>
      <c r="N19" s="41"/>
      <c r="O19" s="683">
        <f>SUM(O18:O18)</f>
        <v>0</v>
      </c>
      <c r="P19" s="519">
        <f>SUM(P18:P18)</f>
        <v>0</v>
      </c>
      <c r="Q19" s="41"/>
      <c r="R19" s="683">
        <f>SUM(R18:R18)</f>
        <v>0</v>
      </c>
      <c r="S19" s="1100">
        <f t="shared" si="5"/>
        <v>0</v>
      </c>
      <c r="T19" s="1108"/>
      <c r="U19" s="1107">
        <f t="shared" si="7"/>
        <v>2089320</v>
      </c>
      <c r="V19" s="519">
        <f>U19/H19</f>
        <v>1</v>
      </c>
    </row>
    <row r="20" spans="1:22" x14ac:dyDescent="0.3">
      <c r="A20" s="638"/>
      <c r="B20" s="638"/>
      <c r="C20" s="638"/>
      <c r="D20" s="638"/>
      <c r="E20" s="638"/>
      <c r="F20" s="686" t="s">
        <v>1740</v>
      </c>
      <c r="G20" s="686"/>
      <c r="H20" s="687">
        <f>0+H17+H19</f>
        <v>26367175</v>
      </c>
      <c r="I20" s="687">
        <f>0+I17+I19</f>
        <v>27711905</v>
      </c>
      <c r="J20" s="638"/>
      <c r="K20" s="547" t="s">
        <v>64</v>
      </c>
      <c r="L20" s="688">
        <f>SUM(L14:L19)/2</f>
        <v>3888221</v>
      </c>
      <c r="M20" s="638"/>
      <c r="N20" s="547" t="s">
        <v>64</v>
      </c>
      <c r="O20" s="688">
        <f>SUM(O14:O19)/2</f>
        <v>9169958</v>
      </c>
      <c r="Q20" s="547" t="s">
        <v>64</v>
      </c>
      <c r="R20" s="688">
        <f>SUM(R14:R19)/2</f>
        <v>0</v>
      </c>
      <c r="T20" s="547" t="s">
        <v>64</v>
      </c>
      <c r="U20" s="688">
        <f>SUM(U14:U19)/2</f>
        <v>13058179</v>
      </c>
      <c r="V20" s="638"/>
    </row>
    <row r="21" spans="1:22" x14ac:dyDescent="0.3">
      <c r="A21" s="638"/>
      <c r="B21" s="638"/>
      <c r="C21" s="638"/>
      <c r="D21" s="638"/>
      <c r="E21" s="638"/>
      <c r="F21" s="444" t="s">
        <v>65</v>
      </c>
      <c r="G21" s="444"/>
      <c r="H21" s="181">
        <v>0</v>
      </c>
      <c r="I21" s="181">
        <v>0</v>
      </c>
      <c r="J21" s="638"/>
      <c r="K21" s="548" t="s">
        <v>65</v>
      </c>
      <c r="L21" s="481"/>
      <c r="M21" s="638"/>
      <c r="N21" s="548" t="s">
        <v>65</v>
      </c>
      <c r="O21" s="481"/>
      <c r="Q21" s="548" t="s">
        <v>65</v>
      </c>
      <c r="R21" s="481"/>
      <c r="T21" s="548" t="s">
        <v>65</v>
      </c>
      <c r="U21" s="481"/>
      <c r="V21" s="638"/>
    </row>
    <row r="22" spans="1:22" x14ac:dyDescent="0.3">
      <c r="A22" s="638"/>
      <c r="B22" s="638"/>
      <c r="C22" s="638"/>
      <c r="D22" s="638"/>
      <c r="E22" s="638"/>
      <c r="F22" s="443" t="s">
        <v>1740</v>
      </c>
      <c r="G22" s="443"/>
      <c r="H22" s="340">
        <f>+H21+H20</f>
        <v>26367175</v>
      </c>
      <c r="I22" s="340">
        <f>+I21+I20</f>
        <v>27711905</v>
      </c>
      <c r="J22" s="638"/>
      <c r="K22" s="549" t="s">
        <v>64</v>
      </c>
      <c r="L22" s="481">
        <f>L20+L21</f>
        <v>3888221</v>
      </c>
      <c r="M22" s="638"/>
      <c r="N22" s="549" t="s">
        <v>64</v>
      </c>
      <c r="O22" s="481">
        <f>O20+O21</f>
        <v>9169958</v>
      </c>
      <c r="Q22" s="549" t="s">
        <v>64</v>
      </c>
      <c r="R22" s="481">
        <f>R20+R21</f>
        <v>0</v>
      </c>
      <c r="T22" s="549" t="s">
        <v>64</v>
      </c>
      <c r="U22" s="481">
        <f>U20+U21</f>
        <v>13058179</v>
      </c>
      <c r="V22" s="638"/>
    </row>
    <row r="23" spans="1:22" ht="26.4" x14ac:dyDescent="0.3">
      <c r="A23" s="638"/>
      <c r="B23" s="638"/>
      <c r="C23" s="638"/>
      <c r="D23" s="638"/>
      <c r="E23" s="638"/>
      <c r="F23" s="659"/>
      <c r="G23" s="659"/>
      <c r="H23" s="659"/>
      <c r="I23" s="659"/>
      <c r="J23" s="638"/>
      <c r="K23" s="501" t="s">
        <v>1439</v>
      </c>
      <c r="L23" s="481">
        <f>ROUND(L22*0.015,0)</f>
        <v>58323</v>
      </c>
      <c r="M23" s="638"/>
      <c r="N23" s="501" t="s">
        <v>1439</v>
      </c>
      <c r="O23" s="481">
        <f>ROUND(O22*0.015,0)</f>
        <v>137549</v>
      </c>
      <c r="Q23" s="501" t="s">
        <v>1439</v>
      </c>
      <c r="R23" s="481">
        <f>ROUND(R22*0.015,0)</f>
        <v>0</v>
      </c>
      <c r="T23" s="501" t="s">
        <v>1439</v>
      </c>
      <c r="U23" s="481">
        <f>+L23+O23+R23</f>
        <v>195872</v>
      </c>
      <c r="V23" s="638"/>
    </row>
    <row r="24" spans="1:22" ht="39.6" x14ac:dyDescent="0.3">
      <c r="A24" s="638"/>
      <c r="B24" s="638"/>
      <c r="C24" s="638"/>
      <c r="D24" s="638"/>
      <c r="E24" s="638"/>
      <c r="F24" s="659"/>
      <c r="G24" s="659"/>
      <c r="H24" s="659"/>
      <c r="I24" s="659"/>
      <c r="J24" s="638"/>
      <c r="K24" s="96" t="s">
        <v>1440</v>
      </c>
      <c r="L24" s="783">
        <f>L22+L23</f>
        <v>3946544</v>
      </c>
      <c r="M24" s="678">
        <f>L24/H20</f>
        <v>0.14967640636511118</v>
      </c>
      <c r="N24" s="96" t="s">
        <v>1440</v>
      </c>
      <c r="O24" s="783">
        <f>O22+O23</f>
        <v>9307507</v>
      </c>
      <c r="P24" s="678">
        <f>O24/H22</f>
        <v>0.35299598838328339</v>
      </c>
      <c r="Q24" s="96" t="s">
        <v>1440</v>
      </c>
      <c r="R24" s="783">
        <f>R22+R23</f>
        <v>0</v>
      </c>
      <c r="S24" s="678">
        <f>R24/H20</f>
        <v>0</v>
      </c>
      <c r="T24" s="96" t="s">
        <v>1440</v>
      </c>
      <c r="U24" s="783">
        <f>U22+U23</f>
        <v>13254051</v>
      </c>
      <c r="V24" s="979">
        <f>U24/H20</f>
        <v>0.50267239474839454</v>
      </c>
    </row>
    <row r="25" spans="1:22" x14ac:dyDescent="0.3">
      <c r="A25" s="638"/>
      <c r="B25" s="638"/>
      <c r="C25" s="638"/>
      <c r="D25" s="638"/>
      <c r="E25" s="638"/>
      <c r="F25" s="442" t="s">
        <v>66</v>
      </c>
      <c r="G25" s="442"/>
      <c r="H25" s="181">
        <f>+H20*19%</f>
        <v>5009763.25</v>
      </c>
      <c r="I25" s="181">
        <f>+I20*19%</f>
        <v>5265261.95</v>
      </c>
      <c r="J25" s="638"/>
      <c r="K25" s="551" t="s">
        <v>66</v>
      </c>
      <c r="L25" s="672">
        <f>L24*0.19</f>
        <v>749843.36</v>
      </c>
      <c r="M25" s="638"/>
      <c r="N25" s="551" t="s">
        <v>66</v>
      </c>
      <c r="O25" s="672">
        <f>O24*0.19</f>
        <v>1768426.33</v>
      </c>
      <c r="Q25" s="551" t="s">
        <v>66</v>
      </c>
      <c r="R25" s="672">
        <f>R24*0.19</f>
        <v>0</v>
      </c>
      <c r="T25" s="551" t="s">
        <v>66</v>
      </c>
      <c r="U25" s="672">
        <f>U24*0.19</f>
        <v>2518269.69</v>
      </c>
      <c r="V25" s="638"/>
    </row>
    <row r="26" spans="1:22" x14ac:dyDescent="0.3">
      <c r="A26" s="638"/>
      <c r="B26" s="638"/>
      <c r="C26" s="638"/>
      <c r="D26" s="638"/>
      <c r="E26" s="638"/>
      <c r="F26" s="441" t="s">
        <v>69</v>
      </c>
      <c r="G26" s="441"/>
      <c r="H26" s="181">
        <f>+H20+H25</f>
        <v>31376938.25</v>
      </c>
      <c r="I26" s="181">
        <f>+I20+I25</f>
        <v>32977166.949999999</v>
      </c>
      <c r="J26" s="638"/>
      <c r="K26" s="552" t="s">
        <v>69</v>
      </c>
      <c r="L26" s="672">
        <f>L24+L25</f>
        <v>4696387.3600000003</v>
      </c>
      <c r="M26" s="638"/>
      <c r="N26" s="552" t="s">
        <v>69</v>
      </c>
      <c r="O26" s="672">
        <f>O24+O25</f>
        <v>11075933.33</v>
      </c>
      <c r="Q26" s="552" t="s">
        <v>69</v>
      </c>
      <c r="R26" s="672">
        <f>R24+R25</f>
        <v>0</v>
      </c>
      <c r="T26" s="552" t="s">
        <v>69</v>
      </c>
      <c r="U26" s="672">
        <f>U24+U25</f>
        <v>15772320.689999999</v>
      </c>
      <c r="V26" s="638"/>
    </row>
    <row r="27" spans="1:22" x14ac:dyDescent="0.3">
      <c r="A27" s="638"/>
      <c r="B27" s="638"/>
      <c r="C27" s="638"/>
      <c r="D27" s="638"/>
      <c r="E27" s="638"/>
      <c r="F27" s="638"/>
      <c r="H27" s="638"/>
      <c r="J27" s="638"/>
      <c r="K27" s="638"/>
      <c r="L27" s="638"/>
      <c r="M27" s="638"/>
      <c r="T27" s="638"/>
      <c r="U27" s="638"/>
      <c r="V27" s="638"/>
    </row>
    <row r="28" spans="1:22" ht="26.4" x14ac:dyDescent="0.3">
      <c r="A28" s="665" t="s">
        <v>67</v>
      </c>
      <c r="B28" s="184"/>
      <c r="C28" s="184"/>
      <c r="D28" s="185" t="s">
        <v>68</v>
      </c>
      <c r="E28" s="638"/>
      <c r="F28" s="638"/>
      <c r="H28" s="638"/>
      <c r="J28" s="638"/>
      <c r="K28" s="186" t="s">
        <v>70</v>
      </c>
      <c r="L28" s="187" t="s">
        <v>71</v>
      </c>
      <c r="M28" s="186" t="s">
        <v>58</v>
      </c>
      <c r="N28" s="186" t="s">
        <v>70</v>
      </c>
      <c r="O28" s="187" t="s">
        <v>71</v>
      </c>
      <c r="P28" s="186" t="s">
        <v>58</v>
      </c>
      <c r="Q28" s="186" t="s">
        <v>70</v>
      </c>
      <c r="R28" s="187" t="s">
        <v>71</v>
      </c>
      <c r="S28" s="186" t="s">
        <v>58</v>
      </c>
      <c r="T28" s="638"/>
      <c r="U28" s="638"/>
      <c r="V28" s="638"/>
    </row>
    <row r="29" spans="1:22" x14ac:dyDescent="0.3">
      <c r="A29" s="665"/>
      <c r="B29" s="184"/>
      <c r="C29" s="184"/>
      <c r="D29" s="185"/>
      <c r="E29" s="638"/>
      <c r="F29" s="638"/>
      <c r="H29" s="638"/>
      <c r="J29" s="638"/>
      <c r="K29" s="69" t="s">
        <v>72</v>
      </c>
      <c r="L29" s="70">
        <f>L24</f>
        <v>3946544</v>
      </c>
      <c r="M29" s="71">
        <f>M24</f>
        <v>0.14967640636511118</v>
      </c>
      <c r="N29" s="69" t="s">
        <v>72</v>
      </c>
      <c r="O29" s="70">
        <f>L24</f>
        <v>3946544</v>
      </c>
      <c r="P29" s="71">
        <f>M24</f>
        <v>0.14967640636511118</v>
      </c>
      <c r="Q29" s="69" t="s">
        <v>72</v>
      </c>
      <c r="R29" s="70">
        <f>$L$24</f>
        <v>3946544</v>
      </c>
      <c r="S29" s="71">
        <f>$M$24</f>
        <v>0.14967640636511118</v>
      </c>
      <c r="T29" s="638"/>
      <c r="U29" s="638"/>
      <c r="V29" s="638"/>
    </row>
    <row r="30" spans="1:22" s="849" customFormat="1" x14ac:dyDescent="0.3">
      <c r="A30" s="665"/>
      <c r="B30" s="184"/>
      <c r="C30" s="184"/>
      <c r="D30" s="185"/>
      <c r="K30" s="69"/>
      <c r="L30" s="70"/>
      <c r="M30" s="71"/>
      <c r="N30" s="69" t="s">
        <v>73</v>
      </c>
      <c r="O30" s="70">
        <f>+O24</f>
        <v>9307507</v>
      </c>
      <c r="P30" s="360">
        <f>+P24</f>
        <v>0.35299598838328339</v>
      </c>
      <c r="Q30" s="69" t="s">
        <v>73</v>
      </c>
      <c r="R30" s="70">
        <f>$O$24</f>
        <v>9307507</v>
      </c>
      <c r="S30" s="360">
        <f>$P$24</f>
        <v>0.35299598838328339</v>
      </c>
    </row>
    <row r="31" spans="1:22" x14ac:dyDescent="0.3">
      <c r="A31" s="665"/>
      <c r="B31" s="184"/>
      <c r="C31" s="184"/>
      <c r="D31" s="185"/>
      <c r="E31" s="638"/>
      <c r="F31" s="638"/>
      <c r="H31" s="638"/>
      <c r="J31" s="638"/>
      <c r="K31" s="72" t="s">
        <v>1</v>
      </c>
      <c r="L31" s="105">
        <f>L29</f>
        <v>3946544</v>
      </c>
      <c r="M31" s="73">
        <f>M29</f>
        <v>0.14967640636511118</v>
      </c>
      <c r="N31" s="72" t="s">
        <v>1</v>
      </c>
      <c r="O31" s="105">
        <f>SUM(O29:O30)</f>
        <v>13254051</v>
      </c>
      <c r="P31" s="978">
        <f>SUM(P29:P30)</f>
        <v>0.50267239474839454</v>
      </c>
      <c r="Q31" s="69" t="s">
        <v>74</v>
      </c>
      <c r="R31" s="70">
        <f>$R$24</f>
        <v>0</v>
      </c>
      <c r="S31" s="360">
        <f>$S$24</f>
        <v>0</v>
      </c>
      <c r="T31" s="638"/>
      <c r="U31" s="638"/>
      <c r="V31" s="638"/>
    </row>
    <row r="32" spans="1:22" x14ac:dyDescent="0.3">
      <c r="A32" s="665"/>
      <c r="B32" s="184"/>
      <c r="C32" s="184"/>
      <c r="D32" s="185"/>
      <c r="E32" s="638"/>
      <c r="F32" s="638"/>
      <c r="H32" s="638"/>
      <c r="J32" s="638"/>
      <c r="K32" s="72" t="s">
        <v>9</v>
      </c>
      <c r="L32" s="1423"/>
      <c r="M32" s="1424"/>
      <c r="N32" s="72" t="s">
        <v>9</v>
      </c>
      <c r="O32" s="1423"/>
      <c r="P32" s="1424"/>
      <c r="Q32" s="72" t="s">
        <v>1</v>
      </c>
      <c r="R32" s="105">
        <f>SUM(R29:R31)</f>
        <v>13254051</v>
      </c>
      <c r="S32" s="978">
        <f>SUM(S29:S31)</f>
        <v>0.50267239474839454</v>
      </c>
      <c r="T32" s="638"/>
      <c r="U32" s="638"/>
      <c r="V32" s="638"/>
    </row>
    <row r="33" spans="1:22" x14ac:dyDescent="0.3">
      <c r="A33" s="665"/>
      <c r="B33" s="184"/>
      <c r="C33" s="184"/>
      <c r="D33" s="185"/>
      <c r="E33" s="638"/>
      <c r="F33" s="638"/>
      <c r="H33" s="638"/>
      <c r="J33" s="638"/>
      <c r="K33" s="440" t="s">
        <v>78</v>
      </c>
      <c r="L33" s="1423" t="s">
        <v>1989</v>
      </c>
      <c r="M33" s="1424"/>
      <c r="N33" s="440" t="s">
        <v>78</v>
      </c>
      <c r="O33" s="1423" t="s">
        <v>1986</v>
      </c>
      <c r="P33" s="1424"/>
      <c r="Q33" s="72" t="s">
        <v>9</v>
      </c>
      <c r="R33" s="1423"/>
      <c r="S33" s="1424"/>
      <c r="T33" s="638"/>
      <c r="U33" s="638"/>
      <c r="V33" s="638"/>
    </row>
    <row r="34" spans="1:22" x14ac:dyDescent="0.3">
      <c r="A34" s="665"/>
      <c r="B34" s="184"/>
      <c r="C34" s="184"/>
      <c r="D34" s="185"/>
      <c r="E34" s="638"/>
      <c r="F34" s="638"/>
      <c r="H34" s="638"/>
      <c r="J34" s="638"/>
      <c r="K34" s="439" t="s">
        <v>8</v>
      </c>
      <c r="L34" s="1423" t="s">
        <v>1990</v>
      </c>
      <c r="M34" s="1424"/>
      <c r="N34" s="439" t="s">
        <v>8</v>
      </c>
      <c r="O34" s="1423" t="s">
        <v>1987</v>
      </c>
      <c r="P34" s="1424"/>
      <c r="Q34" s="440" t="s">
        <v>78</v>
      </c>
      <c r="R34" s="1423" t="s">
        <v>1986</v>
      </c>
      <c r="S34" s="1424"/>
      <c r="T34" s="638"/>
      <c r="U34" s="638"/>
      <c r="V34" s="638"/>
    </row>
    <row r="35" spans="1:22" x14ac:dyDescent="0.3">
      <c r="A35" s="665"/>
      <c r="B35" s="184"/>
      <c r="C35" s="184"/>
      <c r="D35" s="185" t="s">
        <v>75</v>
      </c>
      <c r="E35" s="638"/>
      <c r="F35" s="638"/>
      <c r="H35" s="638"/>
      <c r="J35" s="638"/>
      <c r="K35" s="638"/>
      <c r="L35" s="638"/>
      <c r="M35" s="638"/>
      <c r="Q35" s="439" t="s">
        <v>8</v>
      </c>
      <c r="R35" s="1423" t="s">
        <v>1987</v>
      </c>
      <c r="S35" s="1424"/>
      <c r="T35" s="638"/>
      <c r="U35" s="638"/>
      <c r="V35" s="638"/>
    </row>
    <row r="36" spans="1:22" x14ac:dyDescent="0.3">
      <c r="A36" s="665" t="s">
        <v>76</v>
      </c>
      <c r="B36" s="180"/>
      <c r="C36" s="180"/>
      <c r="D36" s="185" t="s">
        <v>77</v>
      </c>
      <c r="E36" s="638"/>
      <c r="F36" s="638"/>
      <c r="H36" s="638"/>
      <c r="J36" s="638"/>
      <c r="K36" s="638"/>
      <c r="L36" s="638"/>
      <c r="M36" s="638"/>
      <c r="T36" s="638"/>
      <c r="U36" s="638"/>
      <c r="V36" s="638"/>
    </row>
    <row r="37" spans="1:22" ht="26.4" x14ac:dyDescent="0.3">
      <c r="A37" s="665" t="s">
        <v>79</v>
      </c>
      <c r="B37" s="180"/>
      <c r="C37" s="180"/>
      <c r="D37" s="185" t="s">
        <v>80</v>
      </c>
      <c r="E37" s="638"/>
      <c r="F37" s="638"/>
      <c r="H37" s="638"/>
      <c r="J37" s="638"/>
      <c r="K37" s="638"/>
      <c r="L37" s="638"/>
      <c r="M37" s="638"/>
      <c r="T37" s="638"/>
      <c r="U37" s="638"/>
      <c r="V37" s="638"/>
    </row>
    <row r="38" spans="1:22" x14ac:dyDescent="0.3">
      <c r="A38" s="638"/>
      <c r="B38" s="638"/>
      <c r="C38" s="638"/>
      <c r="D38" s="638"/>
      <c r="E38" s="638"/>
      <c r="F38" s="638"/>
      <c r="H38" s="638"/>
      <c r="J38" s="638"/>
      <c r="K38" s="638"/>
      <c r="L38" s="638"/>
      <c r="M38" s="638"/>
      <c r="T38" s="638"/>
      <c r="U38" s="638"/>
      <c r="V38" s="638"/>
    </row>
  </sheetData>
  <mergeCells count="32">
    <mergeCell ref="B11:J11"/>
    <mergeCell ref="K11:M12"/>
    <mergeCell ref="T11:V12"/>
    <mergeCell ref="B12:J12"/>
    <mergeCell ref="C1:M2"/>
    <mergeCell ref="T1:V1"/>
    <mergeCell ref="T2:V2"/>
    <mergeCell ref="A3:V3"/>
    <mergeCell ref="A4:V4"/>
    <mergeCell ref="A5:V5"/>
    <mergeCell ref="A6:V6"/>
    <mergeCell ref="A7:V7"/>
    <mergeCell ref="A8:V8"/>
    <mergeCell ref="A9:V9"/>
    <mergeCell ref="A10:V10"/>
    <mergeCell ref="N11:P12"/>
    <mergeCell ref="L32:M32"/>
    <mergeCell ref="L33:M33"/>
    <mergeCell ref="L34:M34"/>
    <mergeCell ref="A14:A17"/>
    <mergeCell ref="B14:B17"/>
    <mergeCell ref="J14:J17"/>
    <mergeCell ref="A18:A19"/>
    <mergeCell ref="B18:B19"/>
    <mergeCell ref="J18:J19"/>
    <mergeCell ref="Q11:S12"/>
    <mergeCell ref="R33:S33"/>
    <mergeCell ref="R34:S34"/>
    <mergeCell ref="R35:S35"/>
    <mergeCell ref="O32:P32"/>
    <mergeCell ref="O33:P33"/>
    <mergeCell ref="O34:P34"/>
  </mergeCells>
  <pageMargins left="0.7" right="0.7" top="0.75" bottom="0.75" header="0.3" footer="0.3"/>
  <pageSetup paperSize="9" scale="36" orientation="landscape" r:id="rId1"/>
  <drawing r:id="rId2"/>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8">
    <tabColor theme="1"/>
  </sheetPr>
  <dimension ref="A1:G49"/>
  <sheetViews>
    <sheetView topLeftCell="A4" zoomScaleNormal="100" zoomScaleSheetLayoutView="80" workbookViewId="0">
      <selection activeCell="A16" sqref="A16:G1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RESUMEN!G107</f>
        <v>Proyecto:CDIM_CADCSR_R0108 LEVANTAMIENTO ELÉCTRICO Y MECÁNICO LÍNEA BOSA 115KV</v>
      </c>
      <c r="C5" s="1281"/>
      <c r="D5" s="1281"/>
      <c r="E5" s="1281"/>
      <c r="F5" s="1281"/>
      <c r="G5" s="1282"/>
    </row>
    <row r="6" spans="1:7" x14ac:dyDescent="0.25">
      <c r="A6" s="1177"/>
      <c r="B6" s="1177"/>
      <c r="C6" s="1177"/>
      <c r="D6" s="1177"/>
      <c r="E6" s="1177"/>
      <c r="F6" s="1177"/>
      <c r="G6" s="1177"/>
    </row>
    <row r="7" spans="1:7" x14ac:dyDescent="0.25">
      <c r="A7" s="271" t="s">
        <v>0</v>
      </c>
      <c r="B7" s="1264" t="str">
        <f>RESUMEN!B107</f>
        <v>D00248954</v>
      </c>
      <c r="C7" s="1265"/>
      <c r="D7" s="1177"/>
      <c r="E7" s="1266" t="s">
        <v>627</v>
      </c>
      <c r="F7" s="1267"/>
      <c r="G7" s="280" t="str">
        <f>RESUMEN!E107</f>
        <v>17-395</v>
      </c>
    </row>
    <row r="8" spans="1:7" x14ac:dyDescent="0.25">
      <c r="A8" s="271" t="s">
        <v>628</v>
      </c>
      <c r="B8" s="1264" t="str">
        <f>RESUMEN!C107</f>
        <v>D00248954000</v>
      </c>
      <c r="C8" s="1265"/>
      <c r="D8" s="1177"/>
      <c r="E8" s="1266" t="s">
        <v>629</v>
      </c>
      <c r="F8" s="1267"/>
      <c r="G8" s="280" t="str">
        <f>RESUMEN!U107</f>
        <v>Acta N° 2: Febrero</v>
      </c>
    </row>
    <row r="9" spans="1:7" x14ac:dyDescent="0.25">
      <c r="A9" s="271" t="s">
        <v>630</v>
      </c>
      <c r="B9" s="1283" t="s">
        <v>631</v>
      </c>
      <c r="C9" s="1265"/>
      <c r="D9" s="1177"/>
      <c r="E9" s="1266" t="s">
        <v>632</v>
      </c>
      <c r="F9" s="1267"/>
      <c r="G9" s="1178">
        <f>RESUMEN!H107</f>
        <v>3311566</v>
      </c>
    </row>
    <row r="10" spans="1:7" x14ac:dyDescent="0.25">
      <c r="A10" s="271" t="s">
        <v>633</v>
      </c>
      <c r="B10" s="1283" t="str">
        <f>RESUMEN!D107</f>
        <v>TECHO</v>
      </c>
      <c r="C10" s="1265"/>
      <c r="D10" s="1177"/>
      <c r="E10" s="1266" t="s">
        <v>634</v>
      </c>
      <c r="F10" s="1267"/>
      <c r="G10" s="1178">
        <f>RESUMEN!R107</f>
        <v>612923</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",RESUMEN!G107)</f>
        <v>A los 14 días del mes de Marzo se reunieron en las instalaciones de CODENSA S.A. E.S.P., los ingenieros Ing. David Jaramillo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Proyecto:CDIM_CADCSR_R0108 LEVANTAMIENTO ELÉCTRICO Y MECÁNICO LÍNEA BOSA 115KV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RESUMEN!N107</f>
        <v>603865</v>
      </c>
      <c r="F19" s="1248"/>
      <c r="G19" s="1177"/>
    </row>
    <row r="20" spans="1:7" ht="27" customHeight="1" x14ac:dyDescent="0.25">
      <c r="A20" s="1177"/>
      <c r="B20" s="1244" t="s">
        <v>1498</v>
      </c>
      <c r="C20" s="1245"/>
      <c r="D20" s="1246"/>
      <c r="E20" s="1247">
        <f>RESUMEN!P107</f>
        <v>0</v>
      </c>
      <c r="F20" s="1248"/>
      <c r="G20" s="1177"/>
    </row>
    <row r="21" spans="1:7" ht="27" customHeight="1" x14ac:dyDescent="0.25">
      <c r="A21" s="1177"/>
      <c r="B21" s="1244" t="s">
        <v>1499</v>
      </c>
      <c r="C21" s="1245"/>
      <c r="D21" s="1246"/>
      <c r="E21" s="1247">
        <f>RESUMEN!Q107</f>
        <v>9058</v>
      </c>
      <c r="F21" s="1248"/>
      <c r="G21" s="1177"/>
    </row>
    <row r="22" spans="1:7" x14ac:dyDescent="0.25">
      <c r="A22" s="1177"/>
      <c r="B22" s="1254" t="s">
        <v>64</v>
      </c>
      <c r="C22" s="1254"/>
      <c r="D22" s="1254"/>
      <c r="E22" s="1255">
        <f>RESUMEN!R107</f>
        <v>612923</v>
      </c>
      <c r="F22" s="1255"/>
      <c r="G22" s="1177"/>
    </row>
    <row r="23" spans="1:7" x14ac:dyDescent="0.25">
      <c r="A23" s="1177"/>
      <c r="B23" s="1256" t="s">
        <v>66</v>
      </c>
      <c r="C23" s="1256"/>
      <c r="D23" s="1256"/>
      <c r="E23" s="1257">
        <f>RESUMEN!S107</f>
        <v>116455.37</v>
      </c>
      <c r="F23" s="1257"/>
      <c r="G23" s="1177"/>
    </row>
    <row r="24" spans="1:7" x14ac:dyDescent="0.25">
      <c r="A24" s="1177"/>
      <c r="B24" s="1258" t="s">
        <v>1</v>
      </c>
      <c r="C24" s="1258"/>
      <c r="D24" s="1258"/>
      <c r="E24" s="1259">
        <f>RESUMEN!T107</f>
        <v>729378.37</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c r="C28" s="1253"/>
      <c r="D28" s="1253"/>
      <c r="E28" s="267"/>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RESUMEN!V107</f>
        <v>Ing. David Jaramillo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7">
    <tabColor rgb="FF72104A"/>
  </sheetPr>
  <dimension ref="A1:S35"/>
  <sheetViews>
    <sheetView view="pageBreakPreview" topLeftCell="F1" zoomScale="70" zoomScaleNormal="60" zoomScaleSheetLayoutView="70" workbookViewId="0">
      <selection activeCell="O29" sqref="O29:P29"/>
    </sheetView>
  </sheetViews>
  <sheetFormatPr baseColWidth="10" defaultRowHeight="14.4" x14ac:dyDescent="0.3"/>
  <cols>
    <col min="1" max="1" width="19.5546875" customWidth="1"/>
    <col min="2" max="2" width="25.88671875" customWidth="1"/>
    <col min="3" max="3" width="21.44140625" customWidth="1"/>
    <col min="4" max="4" width="31.88671875" bestFit="1" customWidth="1"/>
    <col min="6" max="6" width="16.6640625" customWidth="1"/>
    <col min="7" max="7" width="16.6640625" style="849" customWidth="1"/>
    <col min="8" max="8" width="20.44140625" customWidth="1"/>
    <col min="9" max="9" width="20.44140625" style="849" customWidth="1"/>
    <col min="10" max="10" width="45.33203125" customWidth="1"/>
    <col min="11" max="11" width="17.44140625" hidden="1" customWidth="1"/>
    <col min="12" max="12" width="15.44140625" hidden="1" customWidth="1"/>
    <col min="13" max="13" width="20.44140625" hidden="1" customWidth="1"/>
    <col min="14" max="14" width="21.5546875" style="849" customWidth="1"/>
    <col min="15" max="15" width="15.44140625" style="849" customWidth="1"/>
    <col min="16" max="16" width="20.44140625" style="849" customWidth="1"/>
    <col min="17" max="17" width="20.33203125" customWidth="1"/>
    <col min="18" max="18" width="18.5546875" customWidth="1"/>
    <col min="19" max="19" width="16.88671875" customWidth="1"/>
  </cols>
  <sheetData>
    <row r="1" spans="1:19" ht="15.75" customHeight="1" thickBot="1" x14ac:dyDescent="0.35">
      <c r="A1" s="169"/>
      <c r="B1" s="188"/>
      <c r="C1" s="1307" t="s">
        <v>40</v>
      </c>
      <c r="D1" s="1308"/>
      <c r="E1" s="1308"/>
      <c r="F1" s="1308"/>
      <c r="G1" s="1308"/>
      <c r="H1" s="1308"/>
      <c r="I1" s="1308"/>
      <c r="J1" s="1308"/>
      <c r="K1" s="1308"/>
      <c r="L1" s="1308"/>
      <c r="M1" s="1308"/>
      <c r="N1" s="846"/>
      <c r="O1" s="846"/>
      <c r="P1" s="846"/>
      <c r="Q1" s="1328" t="s">
        <v>1663</v>
      </c>
      <c r="R1" s="1303"/>
      <c r="S1" s="1304"/>
    </row>
    <row r="2" spans="1:19" ht="15"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ht="15" customHeight="1" x14ac:dyDescent="0.3">
      <c r="A7" s="1291" t="s">
        <v>1755</v>
      </c>
      <c r="B7" s="1292"/>
      <c r="C7" s="1292"/>
      <c r="D7" s="1292"/>
      <c r="E7" s="1292"/>
      <c r="F7" s="1292"/>
      <c r="G7" s="1292"/>
      <c r="H7" s="1292"/>
      <c r="I7" s="1292"/>
      <c r="J7" s="1292"/>
      <c r="K7" s="1292"/>
      <c r="L7" s="1292"/>
      <c r="M7" s="1292"/>
      <c r="N7" s="1292"/>
      <c r="O7" s="1292"/>
      <c r="P7" s="1292"/>
      <c r="Q7" s="1292"/>
      <c r="R7" s="1292"/>
      <c r="S7" s="1292"/>
    </row>
    <row r="8" spans="1:19" x14ac:dyDescent="0.3">
      <c r="A8" s="1292" t="s">
        <v>2095</v>
      </c>
      <c r="B8" s="1292"/>
      <c r="C8" s="1292"/>
      <c r="D8" s="1292"/>
      <c r="E8" s="1292"/>
      <c r="F8" s="1292"/>
      <c r="G8" s="1292"/>
      <c r="H8" s="1292"/>
      <c r="I8" s="1292"/>
      <c r="J8" s="1292"/>
      <c r="K8" s="1292"/>
      <c r="L8" s="1292"/>
      <c r="M8" s="1292"/>
      <c r="N8" s="1292"/>
      <c r="O8" s="1292"/>
      <c r="P8" s="1292"/>
      <c r="Q8" s="1292"/>
      <c r="R8" s="1292"/>
      <c r="S8" s="1292"/>
    </row>
    <row r="9" spans="1:19" x14ac:dyDescent="0.3">
      <c r="A9" s="1292" t="s">
        <v>2087</v>
      </c>
      <c r="B9" s="1292"/>
      <c r="C9" s="1292"/>
      <c r="D9" s="1292"/>
      <c r="E9" s="1292"/>
      <c r="F9" s="1292"/>
      <c r="G9" s="1292"/>
      <c r="H9" s="1292"/>
      <c r="I9" s="1292"/>
      <c r="J9" s="1292"/>
      <c r="K9" s="1292"/>
      <c r="L9" s="1292"/>
      <c r="M9" s="1292"/>
      <c r="N9" s="1292"/>
      <c r="O9" s="1292"/>
      <c r="P9" s="1292"/>
      <c r="Q9" s="1292"/>
      <c r="R9" s="1292"/>
      <c r="S9" s="1292"/>
    </row>
    <row r="10" spans="1:19" x14ac:dyDescent="0.3">
      <c r="A10" s="1292" t="s">
        <v>1752</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1980</v>
      </c>
      <c r="L11" s="1294"/>
      <c r="M11" s="1295"/>
      <c r="N11" s="1293" t="s">
        <v>2094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9.5" customHeight="1" x14ac:dyDescent="0.3">
      <c r="A14" s="1290" t="s">
        <v>1753</v>
      </c>
      <c r="B14" s="1289" t="s">
        <v>222</v>
      </c>
      <c r="C14" s="636" t="s">
        <v>83</v>
      </c>
      <c r="D14" s="636" t="s">
        <v>223</v>
      </c>
      <c r="E14" s="636">
        <v>0.3</v>
      </c>
      <c r="F14" s="32">
        <v>1915206</v>
      </c>
      <c r="G14" s="32">
        <f>+ROUND(F14*1.051,0)</f>
        <v>2012882</v>
      </c>
      <c r="H14" s="32">
        <f>ROUND((E14*F14),0)</f>
        <v>574562</v>
      </c>
      <c r="I14" s="32">
        <f>+ROUND(G14*E14,0)</f>
        <v>603865</v>
      </c>
      <c r="J14" s="1290" t="s">
        <v>1754</v>
      </c>
      <c r="K14" s="536">
        <v>0</v>
      </c>
      <c r="L14" s="685">
        <f>ROUND(K14*F14,0)</f>
        <v>0</v>
      </c>
      <c r="M14" s="684">
        <f>L14/H14</f>
        <v>0</v>
      </c>
      <c r="N14" s="537">
        <v>0.3</v>
      </c>
      <c r="O14" s="752">
        <f>ROUND(N14*G14,0)</f>
        <v>603865</v>
      </c>
      <c r="P14" s="753">
        <f>+O14/H14</f>
        <v>1.0510005882741984</v>
      </c>
      <c r="Q14" s="536">
        <f>K14+N14</f>
        <v>0.3</v>
      </c>
      <c r="R14" s="685">
        <f>L14+O14</f>
        <v>603865</v>
      </c>
      <c r="S14" s="684">
        <f>R14/H14</f>
        <v>1.0510005882741984</v>
      </c>
    </row>
    <row r="15" spans="1:19" ht="43.2" x14ac:dyDescent="0.3">
      <c r="A15" s="1289"/>
      <c r="B15" s="1289"/>
      <c r="C15" s="636" t="s">
        <v>61</v>
      </c>
      <c r="D15" s="636" t="s">
        <v>224</v>
      </c>
      <c r="E15" s="636">
        <v>0.3</v>
      </c>
      <c r="F15" s="32">
        <v>9123348</v>
      </c>
      <c r="G15" s="32">
        <f>+ROUND(F15*1.051,0)</f>
        <v>9588639</v>
      </c>
      <c r="H15" s="32">
        <f>ROUND((E15*F15),0)</f>
        <v>2737004</v>
      </c>
      <c r="I15" s="32">
        <f>+ROUND(G15*E15,0)</f>
        <v>2876592</v>
      </c>
      <c r="J15" s="1289"/>
      <c r="K15" s="537">
        <v>0.3</v>
      </c>
      <c r="L15" s="752">
        <f>ROUND(K15*F15,0)</f>
        <v>2737004</v>
      </c>
      <c r="M15" s="753">
        <f>L15/H15</f>
        <v>1</v>
      </c>
      <c r="N15" s="799">
        <v>0</v>
      </c>
      <c r="O15" s="685">
        <f>ROUND(N15*G15,0)</f>
        <v>0</v>
      </c>
      <c r="P15" s="684">
        <f>+O15/H15</f>
        <v>0</v>
      </c>
      <c r="Q15" s="799">
        <f>K15+N15</f>
        <v>0.3</v>
      </c>
      <c r="R15" s="685">
        <f>L15+O15</f>
        <v>2737004</v>
      </c>
      <c r="S15" s="684">
        <f>R15/H15</f>
        <v>1</v>
      </c>
    </row>
    <row r="16" spans="1:19" x14ac:dyDescent="0.3">
      <c r="A16" s="1289"/>
      <c r="B16" s="1289"/>
      <c r="C16" s="39"/>
      <c r="D16" s="39" t="s">
        <v>225</v>
      </c>
      <c r="E16" s="41"/>
      <c r="F16" s="41"/>
      <c r="G16" s="41"/>
      <c r="H16" s="42">
        <f>SUM(H14:H15)</f>
        <v>3311566</v>
      </c>
      <c r="I16" s="42">
        <f>SUM(I14:I15)</f>
        <v>3480457</v>
      </c>
      <c r="J16" s="1289"/>
      <c r="K16" s="41"/>
      <c r="L16" s="683">
        <f>SUM(L14:L15)</f>
        <v>2737004</v>
      </c>
      <c r="M16" s="519">
        <f>L16/H16</f>
        <v>0.82649839985070506</v>
      </c>
      <c r="N16" s="41"/>
      <c r="O16" s="683">
        <f>SUM(O14:O15)</f>
        <v>603865</v>
      </c>
      <c r="P16" s="519">
        <f>O16/H16</f>
        <v>0.18235028382342372</v>
      </c>
      <c r="Q16" s="40"/>
      <c r="R16" s="683">
        <f>SUM(R14:R15)</f>
        <v>3340869</v>
      </c>
      <c r="S16" s="519">
        <f>R16/H16</f>
        <v>1.0088486836741288</v>
      </c>
    </row>
    <row r="17" spans="1:19" x14ac:dyDescent="0.3">
      <c r="A17" s="638"/>
      <c r="B17" s="638"/>
      <c r="C17" s="638"/>
      <c r="D17" s="638"/>
      <c r="E17" s="638"/>
      <c r="F17" s="686" t="s">
        <v>1740</v>
      </c>
      <c r="G17" s="686"/>
      <c r="H17" s="687">
        <f>H16</f>
        <v>3311566</v>
      </c>
      <c r="I17" s="687">
        <f>I16</f>
        <v>3480457</v>
      </c>
      <c r="J17" s="638"/>
      <c r="K17" s="547" t="s">
        <v>64</v>
      </c>
      <c r="L17" s="688">
        <f>SUM(L14:L16)/2</f>
        <v>2737004</v>
      </c>
      <c r="M17" s="638"/>
      <c r="N17" s="547" t="s">
        <v>64</v>
      </c>
      <c r="O17" s="688">
        <f>SUM(O14:O16)/2</f>
        <v>603865</v>
      </c>
      <c r="Q17" s="547" t="s">
        <v>64</v>
      </c>
      <c r="R17" s="688">
        <f>SUM(R14:R16)/2</f>
        <v>3340869</v>
      </c>
      <c r="S17" s="638"/>
    </row>
    <row r="18" spans="1:19" x14ac:dyDescent="0.3">
      <c r="A18" s="638"/>
      <c r="B18" s="638"/>
      <c r="C18" s="638"/>
      <c r="D18" s="638"/>
      <c r="E18" s="638"/>
      <c r="F18" s="444" t="s">
        <v>65</v>
      </c>
      <c r="G18" s="444"/>
      <c r="H18" s="181">
        <v>0</v>
      </c>
      <c r="I18" s="181">
        <v>0</v>
      </c>
      <c r="J18" s="638"/>
      <c r="K18" s="548" t="s">
        <v>65</v>
      </c>
      <c r="L18" s="481">
        <v>0</v>
      </c>
      <c r="M18" s="638"/>
      <c r="N18" s="548" t="s">
        <v>65</v>
      </c>
      <c r="O18" s="481">
        <v>0</v>
      </c>
      <c r="Q18" s="548" t="s">
        <v>65</v>
      </c>
      <c r="R18" s="481">
        <v>0</v>
      </c>
      <c r="S18" s="638"/>
    </row>
    <row r="19" spans="1:19" x14ac:dyDescent="0.3">
      <c r="A19" s="638"/>
      <c r="B19" s="638"/>
      <c r="C19" s="638"/>
      <c r="D19" s="638"/>
      <c r="E19" s="638"/>
      <c r="F19" s="443" t="s">
        <v>1740</v>
      </c>
      <c r="G19" s="443"/>
      <c r="H19" s="340">
        <f>+H18+H17</f>
        <v>3311566</v>
      </c>
      <c r="I19" s="340">
        <f>+I18+I17</f>
        <v>3480457</v>
      </c>
      <c r="J19" s="638"/>
      <c r="K19" s="549" t="s">
        <v>64</v>
      </c>
      <c r="L19" s="481">
        <f>L17+L18</f>
        <v>2737004</v>
      </c>
      <c r="M19" s="638"/>
      <c r="N19" s="549" t="s">
        <v>64</v>
      </c>
      <c r="O19" s="481">
        <f>O17+O18</f>
        <v>603865</v>
      </c>
      <c r="Q19" s="549" t="s">
        <v>64</v>
      </c>
      <c r="R19" s="481">
        <f>R17+R18</f>
        <v>3340869</v>
      </c>
      <c r="S19" s="638"/>
    </row>
    <row r="20" spans="1:19" ht="26.4" x14ac:dyDescent="0.3">
      <c r="A20" s="638"/>
      <c r="B20" s="638"/>
      <c r="C20" s="638"/>
      <c r="D20" s="638"/>
      <c r="E20" s="638"/>
      <c r="F20" s="659"/>
      <c r="G20" s="659"/>
      <c r="H20" s="659"/>
      <c r="I20" s="659"/>
      <c r="J20" s="638"/>
      <c r="K20" s="501" t="s">
        <v>1439</v>
      </c>
      <c r="L20" s="481">
        <f>ROUND(L19*0.015,0)</f>
        <v>41055</v>
      </c>
      <c r="M20" s="638"/>
      <c r="N20" s="501" t="s">
        <v>1439</v>
      </c>
      <c r="O20" s="481">
        <f>ROUND(O19*0.015,0)</f>
        <v>9058</v>
      </c>
      <c r="Q20" s="501" t="s">
        <v>1439</v>
      </c>
      <c r="R20" s="481">
        <f>+L20+O20</f>
        <v>50113</v>
      </c>
      <c r="S20" s="638"/>
    </row>
    <row r="21" spans="1:19" s="967" customFormat="1" ht="25.5" customHeight="1" x14ac:dyDescent="0.3">
      <c r="F21" s="968"/>
      <c r="G21" s="968"/>
      <c r="H21" s="968"/>
      <c r="I21" s="968"/>
      <c r="K21" s="969" t="s">
        <v>1440</v>
      </c>
      <c r="L21" s="970">
        <f>L19+L20</f>
        <v>2778059</v>
      </c>
      <c r="M21" s="971">
        <f>L21/H17</f>
        <v>0.83889585773014941</v>
      </c>
      <c r="N21" s="969" t="s">
        <v>1440</v>
      </c>
      <c r="O21" s="970">
        <f>O19+O20</f>
        <v>612923</v>
      </c>
      <c r="P21" s="961">
        <f>O21/H17</f>
        <v>0.18508554563007351</v>
      </c>
      <c r="Q21" s="969" t="s">
        <v>1440</v>
      </c>
      <c r="R21" s="970">
        <f>R19+R20</f>
        <v>3390982</v>
      </c>
      <c r="S21" s="971">
        <f>R21/H17</f>
        <v>1.023981403360223</v>
      </c>
    </row>
    <row r="22" spans="1:19" x14ac:dyDescent="0.3">
      <c r="A22" s="638"/>
      <c r="B22" s="638"/>
      <c r="C22" s="638"/>
      <c r="D22" s="638"/>
      <c r="E22" s="638"/>
      <c r="F22" s="442" t="s">
        <v>66</v>
      </c>
      <c r="G22" s="442"/>
      <c r="H22" s="181">
        <f>+H17*19%</f>
        <v>629197.54</v>
      </c>
      <c r="I22" s="181">
        <f>+I17*19%</f>
        <v>661286.82999999996</v>
      </c>
      <c r="J22" s="638"/>
      <c r="K22" s="551" t="s">
        <v>66</v>
      </c>
      <c r="L22" s="672">
        <f>L21*0.19</f>
        <v>527831.21</v>
      </c>
      <c r="M22" s="638"/>
      <c r="N22" s="551" t="s">
        <v>66</v>
      </c>
      <c r="O22" s="672">
        <f>O21*0.19</f>
        <v>116455.37</v>
      </c>
      <c r="Q22" s="551" t="s">
        <v>66</v>
      </c>
      <c r="R22" s="672">
        <f>R21*0.19</f>
        <v>644286.57999999996</v>
      </c>
      <c r="S22" s="638"/>
    </row>
    <row r="23" spans="1:19" x14ac:dyDescent="0.3">
      <c r="A23" s="638"/>
      <c r="B23" s="638"/>
      <c r="C23" s="638"/>
      <c r="D23" s="638"/>
      <c r="E23" s="638"/>
      <c r="F23" s="441" t="s">
        <v>69</v>
      </c>
      <c r="G23" s="441"/>
      <c r="H23" s="181">
        <f>+H17+H22</f>
        <v>3940763.54</v>
      </c>
      <c r="I23" s="181">
        <f>+I17+I22</f>
        <v>4141743.83</v>
      </c>
      <c r="J23" s="638"/>
      <c r="K23" s="552" t="s">
        <v>69</v>
      </c>
      <c r="L23" s="672">
        <f>L21+L22</f>
        <v>3305890.21</v>
      </c>
      <c r="M23" s="638"/>
      <c r="N23" s="552" t="s">
        <v>69</v>
      </c>
      <c r="O23" s="672">
        <f>O21+O22</f>
        <v>729378.37</v>
      </c>
      <c r="Q23" s="552" t="s">
        <v>69</v>
      </c>
      <c r="R23" s="672">
        <f>R21+R22</f>
        <v>4035268.58</v>
      </c>
      <c r="S23" s="638"/>
    </row>
    <row r="24" spans="1:19" x14ac:dyDescent="0.3">
      <c r="A24" s="638"/>
      <c r="B24" s="638"/>
      <c r="C24" s="638"/>
      <c r="D24" s="638"/>
      <c r="E24" s="638"/>
      <c r="F24" s="638"/>
      <c r="H24" s="638"/>
      <c r="J24" s="638"/>
      <c r="K24" s="638"/>
      <c r="L24" s="638"/>
      <c r="M24" s="638"/>
      <c r="Q24" s="638"/>
      <c r="R24" s="638"/>
      <c r="S24" s="638"/>
    </row>
    <row r="25" spans="1:19" ht="24.75" customHeight="1" x14ac:dyDescent="0.3">
      <c r="A25" s="665" t="s">
        <v>67</v>
      </c>
      <c r="B25" s="184"/>
      <c r="C25" s="184"/>
      <c r="D25" s="185" t="s">
        <v>68</v>
      </c>
      <c r="E25" s="638"/>
      <c r="F25" s="638"/>
      <c r="H25" s="638"/>
      <c r="J25" s="638"/>
      <c r="K25" s="186" t="s">
        <v>70</v>
      </c>
      <c r="L25" s="187" t="s">
        <v>71</v>
      </c>
      <c r="M25" s="186" t="s">
        <v>58</v>
      </c>
      <c r="N25" s="186" t="s">
        <v>70</v>
      </c>
      <c r="O25" s="187" t="s">
        <v>71</v>
      </c>
      <c r="P25" s="186" t="s">
        <v>58</v>
      </c>
      <c r="Q25" s="638"/>
      <c r="R25" s="638"/>
      <c r="S25" s="638"/>
    </row>
    <row r="26" spans="1:19" x14ac:dyDescent="0.3">
      <c r="A26" s="665"/>
      <c r="B26" s="184"/>
      <c r="C26" s="184"/>
      <c r="D26" s="185"/>
      <c r="E26" s="638"/>
      <c r="F26" s="638"/>
      <c r="H26" s="638"/>
      <c r="J26" s="638"/>
      <c r="K26" s="69" t="s">
        <v>72</v>
      </c>
      <c r="L26" s="70">
        <f>L21</f>
        <v>2778059</v>
      </c>
      <c r="M26" s="360">
        <f>M21</f>
        <v>0.83889585773014941</v>
      </c>
      <c r="N26" s="69" t="s">
        <v>72</v>
      </c>
      <c r="O26" s="70">
        <f>L21</f>
        <v>2778059</v>
      </c>
      <c r="P26" s="360">
        <f>M21</f>
        <v>0.83889585773014941</v>
      </c>
      <c r="Q26" s="638"/>
      <c r="R26" s="638"/>
      <c r="S26" s="638"/>
    </row>
    <row r="27" spans="1:19" s="849" customFormat="1" x14ac:dyDescent="0.3">
      <c r="A27" s="665"/>
      <c r="B27" s="184"/>
      <c r="C27" s="184"/>
      <c r="D27" s="185"/>
      <c r="K27" s="69"/>
      <c r="L27" s="70"/>
      <c r="M27" s="360"/>
      <c r="N27" s="69" t="s">
        <v>73</v>
      </c>
      <c r="O27" s="70">
        <f>+O21</f>
        <v>612923</v>
      </c>
      <c r="P27" s="360">
        <f>+P21</f>
        <v>0.18508554563007351</v>
      </c>
    </row>
    <row r="28" spans="1:19" ht="25.5" customHeight="1" x14ac:dyDescent="0.3">
      <c r="A28" s="665"/>
      <c r="B28" s="184"/>
      <c r="C28" s="184"/>
      <c r="D28" s="185"/>
      <c r="E28" s="638"/>
      <c r="F28" s="638"/>
      <c r="H28" s="638"/>
      <c r="J28" s="638"/>
      <c r="K28" s="72" t="s">
        <v>1</v>
      </c>
      <c r="L28" s="105">
        <f>L26</f>
        <v>2778059</v>
      </c>
      <c r="M28" s="361">
        <f>M26</f>
        <v>0.83889585773014941</v>
      </c>
      <c r="N28" s="72" t="s">
        <v>1</v>
      </c>
      <c r="O28" s="105">
        <f>SUM(O26:O27)</f>
        <v>3390982</v>
      </c>
      <c r="P28" s="361">
        <f>SUM(P26:P27)</f>
        <v>1.023981403360223</v>
      </c>
      <c r="Q28" s="638"/>
      <c r="R28" s="638"/>
      <c r="S28" s="638"/>
    </row>
    <row r="29" spans="1:19" ht="15.75" customHeight="1" x14ac:dyDescent="0.3">
      <c r="A29" s="665"/>
      <c r="B29" s="184"/>
      <c r="C29" s="184"/>
      <c r="D29" s="185"/>
      <c r="E29" s="638"/>
      <c r="F29" s="638"/>
      <c r="H29" s="638"/>
      <c r="J29" s="638"/>
      <c r="K29" s="72" t="s">
        <v>9</v>
      </c>
      <c r="L29" s="1423"/>
      <c r="M29" s="1424"/>
      <c r="N29" s="72" t="s">
        <v>9</v>
      </c>
      <c r="O29" s="1423"/>
      <c r="P29" s="1424"/>
      <c r="Q29" s="638"/>
      <c r="R29" s="638"/>
      <c r="S29" s="638"/>
    </row>
    <row r="30" spans="1:19" ht="25.5" customHeight="1" x14ac:dyDescent="0.3">
      <c r="A30" s="665"/>
      <c r="B30" s="184"/>
      <c r="C30" s="184"/>
      <c r="D30" s="185"/>
      <c r="E30" s="638"/>
      <c r="F30" s="638"/>
      <c r="H30" s="638"/>
      <c r="J30" s="638"/>
      <c r="K30" s="440" t="s">
        <v>78</v>
      </c>
      <c r="L30" s="1423" t="s">
        <v>2001</v>
      </c>
      <c r="M30" s="1424"/>
      <c r="N30" s="440" t="s">
        <v>78</v>
      </c>
      <c r="O30" s="1423" t="s">
        <v>2001</v>
      </c>
      <c r="P30" s="1424"/>
      <c r="Q30" s="638"/>
      <c r="R30" s="638"/>
      <c r="S30" s="638"/>
    </row>
    <row r="31" spans="1:19" x14ac:dyDescent="0.3">
      <c r="A31" s="665"/>
      <c r="B31" s="184"/>
      <c r="C31" s="184"/>
      <c r="D31" s="185"/>
      <c r="E31" s="638"/>
      <c r="F31" s="638"/>
      <c r="H31" s="638"/>
      <c r="J31" s="638"/>
      <c r="K31" s="439" t="s">
        <v>8</v>
      </c>
      <c r="L31" s="1423" t="s">
        <v>2002</v>
      </c>
      <c r="M31" s="1424"/>
      <c r="N31" s="439" t="s">
        <v>8</v>
      </c>
      <c r="O31" s="1423" t="s">
        <v>2002</v>
      </c>
      <c r="P31" s="1424"/>
      <c r="Q31" s="638"/>
      <c r="R31" s="638"/>
      <c r="S31" s="638"/>
    </row>
    <row r="32" spans="1:19" x14ac:dyDescent="0.3">
      <c r="A32" s="665"/>
      <c r="B32" s="184"/>
      <c r="C32" s="184"/>
      <c r="D32" s="185" t="s">
        <v>75</v>
      </c>
      <c r="E32" s="638"/>
      <c r="F32" s="638"/>
      <c r="H32" s="638"/>
      <c r="J32" s="638"/>
      <c r="K32" s="638"/>
      <c r="L32" s="638"/>
      <c r="M32" s="638"/>
      <c r="Q32" s="638"/>
      <c r="R32" s="638"/>
      <c r="S32" s="638"/>
    </row>
    <row r="33" spans="1:19" x14ac:dyDescent="0.3">
      <c r="A33" s="665" t="s">
        <v>76</v>
      </c>
      <c r="B33" s="180"/>
      <c r="C33" s="180"/>
      <c r="D33" s="185" t="s">
        <v>77</v>
      </c>
      <c r="E33" s="638"/>
      <c r="F33" s="638"/>
      <c r="H33" s="638"/>
      <c r="J33" s="638"/>
      <c r="K33" s="638"/>
      <c r="L33" s="638"/>
      <c r="M33" s="638"/>
      <c r="Q33" s="638"/>
      <c r="R33" s="638"/>
      <c r="S33" s="638"/>
    </row>
    <row r="34" spans="1:19" x14ac:dyDescent="0.3">
      <c r="A34" s="665" t="s">
        <v>79</v>
      </c>
      <c r="B34" s="180"/>
      <c r="C34" s="180"/>
      <c r="D34" s="185" t="s">
        <v>80</v>
      </c>
      <c r="E34" s="638"/>
      <c r="F34" s="638"/>
      <c r="H34" s="638"/>
      <c r="J34" s="638"/>
      <c r="K34" s="638"/>
      <c r="L34" s="638"/>
      <c r="M34" s="638"/>
      <c r="Q34" s="638"/>
      <c r="R34" s="638"/>
      <c r="S34" s="638"/>
    </row>
    <row r="35" spans="1:19" x14ac:dyDescent="0.3">
      <c r="A35" s="638"/>
      <c r="B35" s="638"/>
      <c r="C35" s="638"/>
      <c r="D35" s="638"/>
      <c r="E35" s="638"/>
      <c r="F35" s="638"/>
      <c r="H35" s="638"/>
      <c r="J35" s="638"/>
      <c r="K35" s="638"/>
      <c r="L35" s="638"/>
      <c r="M35" s="638"/>
      <c r="Q35" s="638"/>
      <c r="R35" s="638"/>
      <c r="S35" s="638"/>
    </row>
  </sheetData>
  <mergeCells count="25">
    <mergeCell ref="A5:S5"/>
    <mergeCell ref="C1:M2"/>
    <mergeCell ref="Q1:S1"/>
    <mergeCell ref="Q2:S2"/>
    <mergeCell ref="A3:S3"/>
    <mergeCell ref="A4:S4"/>
    <mergeCell ref="A14:A16"/>
    <mergeCell ref="A6:S6"/>
    <mergeCell ref="A7:S7"/>
    <mergeCell ref="A8:S8"/>
    <mergeCell ref="A9:S9"/>
    <mergeCell ref="A10:S10"/>
    <mergeCell ref="B11:J11"/>
    <mergeCell ref="K11:M12"/>
    <mergeCell ref="Q11:S12"/>
    <mergeCell ref="B12:J12"/>
    <mergeCell ref="B14:B16"/>
    <mergeCell ref="J14:J16"/>
    <mergeCell ref="N11:P12"/>
    <mergeCell ref="O29:P29"/>
    <mergeCell ref="O30:P30"/>
    <mergeCell ref="O31:P31"/>
    <mergeCell ref="L29:M29"/>
    <mergeCell ref="L30:M30"/>
    <mergeCell ref="L31:M31"/>
  </mergeCells>
  <pageMargins left="0.7" right="0.7" top="0.75" bottom="0.75" header="0.3" footer="0.3"/>
  <pageSetup paperSize="9" scale="38" orientation="landscape" r:id="rId1"/>
  <drawing r:id="rId2"/>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9">
    <tabColor theme="1"/>
  </sheetPr>
  <dimension ref="A1:G49"/>
  <sheetViews>
    <sheetView topLeftCell="A13"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RESUMEN!G108</f>
        <v>Proyecto:CDIM_CBSGSM_R0161 Normalización y  Reposición SE VICTORIA.</v>
      </c>
      <c r="C5" s="1281"/>
      <c r="D5" s="1281"/>
      <c r="E5" s="1281"/>
      <c r="F5" s="1281"/>
      <c r="G5" s="1282"/>
    </row>
    <row r="6" spans="1:7" x14ac:dyDescent="0.25">
      <c r="A6" s="1177"/>
      <c r="B6" s="1177"/>
      <c r="C6" s="1177"/>
      <c r="D6" s="1177"/>
      <c r="E6" s="1177"/>
      <c r="F6" s="1177"/>
      <c r="G6" s="1177"/>
    </row>
    <row r="7" spans="1:7" x14ac:dyDescent="0.25">
      <c r="A7" s="271" t="s">
        <v>0</v>
      </c>
      <c r="B7" s="1264" t="str">
        <f>RESUMEN!B108</f>
        <v>D00249509</v>
      </c>
      <c r="C7" s="1265"/>
      <c r="D7" s="1177"/>
      <c r="E7" s="1266" t="s">
        <v>627</v>
      </c>
      <c r="F7" s="1267"/>
      <c r="G7" s="280" t="str">
        <f>RESUMEN!E108</f>
        <v>17-396</v>
      </c>
    </row>
    <row r="8" spans="1:7" x14ac:dyDescent="0.25">
      <c r="A8" s="271" t="s">
        <v>628</v>
      </c>
      <c r="B8" s="1264" t="str">
        <f>RESUMEN!C108</f>
        <v>D00249509000</v>
      </c>
      <c r="C8" s="1265"/>
      <c r="D8" s="1177"/>
      <c r="E8" s="1266" t="s">
        <v>629</v>
      </c>
      <c r="F8" s="1267"/>
      <c r="G8" s="280" t="str">
        <f>RESUMEN!U108</f>
        <v>Acta N° 2:Marzo</v>
      </c>
    </row>
    <row r="9" spans="1:7" x14ac:dyDescent="0.25">
      <c r="A9" s="271" t="s">
        <v>630</v>
      </c>
      <c r="B9" s="1283" t="s">
        <v>631</v>
      </c>
      <c r="C9" s="1265"/>
      <c r="D9" s="1177"/>
      <c r="E9" s="1266" t="s">
        <v>632</v>
      </c>
      <c r="F9" s="1267"/>
      <c r="G9" s="1178">
        <f>RESUMEN!H108</f>
        <v>9986934</v>
      </c>
    </row>
    <row r="10" spans="1:7" x14ac:dyDescent="0.25">
      <c r="A10" s="271" t="s">
        <v>633</v>
      </c>
      <c r="B10" s="1283" t="str">
        <f>RESUMEN!D108</f>
        <v>VICTORIA</v>
      </c>
      <c r="C10" s="1265"/>
      <c r="D10" s="1177"/>
      <c r="E10" s="1266" t="s">
        <v>634</v>
      </c>
      <c r="F10" s="1267"/>
      <c r="G10" s="1178">
        <f>RESUMEN!R108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",RESUMEN!G108)</f>
        <v>A los 14 días del mes de Marzo se reunieron en las instalaciones de CODENSA S.A. E.S.P., los ingenieros Ing. Néstor Marín / Paola Baratto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Proyecto:CDIM_CBSGSM_R0161 Normalización y  Reposición SE VICTORIA.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RESUMEN!N108</f>
        <v>0</v>
      </c>
      <c r="F19" s="1248"/>
      <c r="G19" s="1177"/>
    </row>
    <row r="20" spans="1:7" ht="27" customHeight="1" x14ac:dyDescent="0.25">
      <c r="A20" s="1177"/>
      <c r="B20" s="1244" t="s">
        <v>1498</v>
      </c>
      <c r="C20" s="1245"/>
      <c r="D20" s="1246"/>
      <c r="E20" s="1247">
        <f>RESUMEN!P108</f>
        <v>0</v>
      </c>
      <c r="F20" s="1248"/>
      <c r="G20" s="1177"/>
    </row>
    <row r="21" spans="1:7" ht="27" customHeight="1" x14ac:dyDescent="0.25">
      <c r="A21" s="1177"/>
      <c r="B21" s="1244" t="s">
        <v>1499</v>
      </c>
      <c r="C21" s="1245"/>
      <c r="D21" s="1246"/>
      <c r="E21" s="1247">
        <f>RESUMEN!Q108</f>
        <v>0</v>
      </c>
      <c r="F21" s="1248"/>
      <c r="G21" s="1177"/>
    </row>
    <row r="22" spans="1:7" x14ac:dyDescent="0.25">
      <c r="A22" s="1177"/>
      <c r="B22" s="1254" t="s">
        <v>64</v>
      </c>
      <c r="C22" s="1254"/>
      <c r="D22" s="1254"/>
      <c r="E22" s="1255">
        <f>RESUMEN!R108</f>
        <v>0</v>
      </c>
      <c r="F22" s="1255"/>
      <c r="G22" s="1177"/>
    </row>
    <row r="23" spans="1:7" x14ac:dyDescent="0.25">
      <c r="A23" s="1177"/>
      <c r="B23" s="1256" t="s">
        <v>66</v>
      </c>
      <c r="C23" s="1256"/>
      <c r="D23" s="1256"/>
      <c r="E23" s="1257">
        <f>RESUMEN!S108</f>
        <v>0</v>
      </c>
      <c r="F23" s="1257"/>
      <c r="G23" s="1177"/>
    </row>
    <row r="24" spans="1:7" x14ac:dyDescent="0.25">
      <c r="A24" s="1177"/>
      <c r="B24" s="1258" t="s">
        <v>1</v>
      </c>
      <c r="C24" s="1258"/>
      <c r="D24" s="1258"/>
      <c r="E24" s="1259">
        <f>RESUMEN!T108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 17-396 VICTORIA'!N33</f>
        <v>ACTA 1</v>
      </c>
      <c r="C28" s="1253">
        <f>+'OT 17-396 VICTORIA'!O33</f>
        <v>4212449</v>
      </c>
      <c r="D28" s="1253"/>
      <c r="E28" s="267">
        <f>+'OT 17-396 VICTORIA'!P33</f>
        <v>0.4217960186780047</v>
      </c>
      <c r="F28" s="1177"/>
      <c r="G28" s="1177"/>
    </row>
    <row r="29" spans="1:7" x14ac:dyDescent="0.25">
      <c r="A29" s="1177"/>
      <c r="B29" s="280" t="str">
        <f>+'OT 17-396 VICTORIA'!N34</f>
        <v>ACTA 2</v>
      </c>
      <c r="C29" s="1253">
        <f>+'OT 17-396 VICTORIA'!O34</f>
        <v>0</v>
      </c>
      <c r="D29" s="1253"/>
      <c r="E29" s="267">
        <f>+'OT 17-396 VICTORIA'!P34</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4212449</v>
      </c>
      <c r="D34" s="1251"/>
      <c r="E34" s="264">
        <f>SUM(E28:E33)</f>
        <v>0.4217960186780047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RESUMEN!V108</f>
        <v>Ing. Néstor Marín / Paola Baratto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1">
    <tabColor rgb="FF72104A"/>
  </sheetPr>
  <dimension ref="A1:S41"/>
  <sheetViews>
    <sheetView topLeftCell="I16" zoomScale="70" zoomScaleNormal="70" workbookViewId="0">
      <selection activeCell="N13" sqref="N13"/>
    </sheetView>
  </sheetViews>
  <sheetFormatPr baseColWidth="10" defaultRowHeight="14.4" x14ac:dyDescent="0.3"/>
  <cols>
    <col min="1" max="1" width="26.109375" customWidth="1"/>
    <col min="2" max="2" width="32.88671875" customWidth="1"/>
    <col min="3" max="3" width="25.44140625" customWidth="1"/>
    <col min="4" max="4" width="33" customWidth="1"/>
    <col min="6" max="6" width="15.5546875" bestFit="1" customWidth="1"/>
    <col min="7" max="7" width="15.5546875" style="849" customWidth="1"/>
    <col min="8" max="8" width="18" bestFit="1" customWidth="1"/>
    <col min="9" max="9" width="18" style="849" customWidth="1"/>
    <col min="10" max="10" width="42.88671875" customWidth="1"/>
    <col min="11" max="11" width="17" bestFit="1" customWidth="1"/>
    <col min="12" max="12" width="19.109375" bestFit="1" customWidth="1"/>
    <col min="14" max="14" width="18.33203125" style="1054" customWidth="1"/>
    <col min="15" max="15" width="16" style="1054" customWidth="1"/>
    <col min="16" max="16" width="17.88671875" style="1054" customWidth="1"/>
    <col min="17" max="17" width="16.88671875" bestFit="1" customWidth="1"/>
    <col min="18" max="18" width="17.3320312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ht="14.25" customHeight="1" x14ac:dyDescent="0.3">
      <c r="A7" s="1291" t="s">
        <v>1761</v>
      </c>
      <c r="B7" s="1292"/>
      <c r="C7" s="1292"/>
      <c r="D7" s="1292"/>
      <c r="E7" s="1292"/>
      <c r="F7" s="1292"/>
      <c r="G7" s="1292"/>
      <c r="H7" s="1292"/>
      <c r="I7" s="1292"/>
      <c r="J7" s="1292"/>
      <c r="K7" s="1292"/>
      <c r="L7" s="1292"/>
      <c r="M7" s="1292"/>
      <c r="N7" s="1292"/>
      <c r="O7" s="1292"/>
      <c r="P7" s="1292"/>
      <c r="Q7" s="1292"/>
      <c r="R7" s="1292"/>
      <c r="S7" s="1292"/>
    </row>
    <row r="8" spans="1:19" x14ac:dyDescent="0.3">
      <c r="A8" s="1292" t="s">
        <v>2340</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1756</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54" customHeight="1" x14ac:dyDescent="0.3">
      <c r="A14" s="1289" t="s">
        <v>875</v>
      </c>
      <c r="B14" s="1289" t="s">
        <v>877</v>
      </c>
      <c r="C14" s="636" t="s">
        <v>81</v>
      </c>
      <c r="D14" s="636" t="s">
        <v>878</v>
      </c>
      <c r="E14" s="31">
        <v>0.14000000000000001</v>
      </c>
      <c r="F14" s="32">
        <v>5536688</v>
      </c>
      <c r="G14" s="32">
        <f>+ROUND(F14*1.051,0)</f>
        <v>5819059</v>
      </c>
      <c r="H14" s="32">
        <f>ROUND((E14*F14),0)</f>
        <v>775136</v>
      </c>
      <c r="I14" s="32">
        <f>+ROUND(G14*E14,0)</f>
        <v>814668</v>
      </c>
      <c r="J14" s="1290" t="s">
        <v>1757</v>
      </c>
      <c r="K14" s="537">
        <v>0.14000000000000001</v>
      </c>
      <c r="L14" s="752">
        <f>ROUND(K14*G14,0)</f>
        <v>814668</v>
      </c>
      <c r="M14" s="753">
        <f>L14/I14</f>
        <v>1</v>
      </c>
      <c r="N14" s="891">
        <v>0</v>
      </c>
      <c r="O14" s="892">
        <f>ROUND(N14*G14,0)</f>
        <v>0</v>
      </c>
      <c r="P14" s="893">
        <f>O14/I14</f>
        <v>0</v>
      </c>
      <c r="Q14" s="536">
        <f>K14+N14</f>
        <v>0.14000000000000001</v>
      </c>
      <c r="R14" s="685">
        <f>L14+O14</f>
        <v>814668</v>
      </c>
      <c r="S14" s="684">
        <f t="shared" ref="S14:S22" si="0">R14/H14</f>
        <v>1.0510000825661561</v>
      </c>
    </row>
    <row r="15" spans="1:19" ht="60.75" customHeight="1" x14ac:dyDescent="0.3">
      <c r="A15" s="1289"/>
      <c r="B15" s="1289"/>
      <c r="C15" s="636" t="s">
        <v>83</v>
      </c>
      <c r="D15" s="636" t="s">
        <v>879</v>
      </c>
      <c r="E15" s="31">
        <v>0.14000000000000001</v>
      </c>
      <c r="F15" s="32">
        <v>8566197</v>
      </c>
      <c r="G15" s="32">
        <f>+ROUND(F15*1.051,0)</f>
        <v>9003073</v>
      </c>
      <c r="H15" s="32">
        <f>ROUND((E15*F15),0)</f>
        <v>1199268</v>
      </c>
      <c r="I15" s="32">
        <f t="shared" ref="I15:I16" si="1">+ROUND(G15*E15,0)</f>
        <v>1260430</v>
      </c>
      <c r="J15" s="1289"/>
      <c r="K15" s="537">
        <v>0.14000000000000001</v>
      </c>
      <c r="L15" s="752">
        <f t="shared" ref="L15:L16" si="2">ROUND(K15*G15,0)</f>
        <v>1260430</v>
      </c>
      <c r="M15" s="753">
        <f t="shared" ref="M15:M16" si="3">L15/I15</f>
        <v>1</v>
      </c>
      <c r="N15" s="891">
        <v>0</v>
      </c>
      <c r="O15" s="892">
        <f t="shared" ref="O15:O16" si="4">ROUND(N15*G15,0)</f>
        <v>0</v>
      </c>
      <c r="P15" s="893">
        <f t="shared" ref="P15:P23" si="5">O15/I15</f>
        <v>0</v>
      </c>
      <c r="Q15" s="799">
        <f t="shared" ref="Q15:Q22" si="6">K15+N15</f>
        <v>0.14000000000000001</v>
      </c>
      <c r="R15" s="685">
        <f t="shared" ref="R15:R23" si="7">L15+O15</f>
        <v>1260430</v>
      </c>
      <c r="S15" s="684">
        <f t="shared" si="0"/>
        <v>1.0509994429935594</v>
      </c>
    </row>
    <row r="16" spans="1:19" ht="55.5" customHeight="1" x14ac:dyDescent="0.3">
      <c r="A16" s="1289"/>
      <c r="B16" s="1289"/>
      <c r="C16" s="636" t="s">
        <v>61</v>
      </c>
      <c r="D16" s="636" t="s">
        <v>880</v>
      </c>
      <c r="E16" s="31">
        <v>0.14000000000000001</v>
      </c>
      <c r="F16" s="32">
        <v>17585079</v>
      </c>
      <c r="G16" s="32">
        <f>+ROUND(F16*1.051,0)</f>
        <v>18481918</v>
      </c>
      <c r="H16" s="32">
        <f>ROUND((E16*F16),0)</f>
        <v>2461911</v>
      </c>
      <c r="I16" s="32">
        <f t="shared" si="1"/>
        <v>2587469</v>
      </c>
      <c r="J16" s="1289"/>
      <c r="K16" s="799">
        <v>0</v>
      </c>
      <c r="L16" s="685">
        <f t="shared" si="2"/>
        <v>0</v>
      </c>
      <c r="M16" s="684">
        <f t="shared" si="3"/>
        <v>0</v>
      </c>
      <c r="N16" s="799">
        <v>0</v>
      </c>
      <c r="O16" s="892">
        <f t="shared" si="4"/>
        <v>0</v>
      </c>
      <c r="P16" s="893">
        <f t="shared" si="5"/>
        <v>0</v>
      </c>
      <c r="Q16" s="799">
        <f t="shared" si="6"/>
        <v>0</v>
      </c>
      <c r="R16" s="685">
        <f t="shared" si="7"/>
        <v>0</v>
      </c>
      <c r="S16" s="684">
        <f t="shared" si="0"/>
        <v>0</v>
      </c>
    </row>
    <row r="17" spans="1:19" x14ac:dyDescent="0.3">
      <c r="A17" s="1289"/>
      <c r="B17" s="1289"/>
      <c r="C17" s="39"/>
      <c r="D17" s="39" t="s">
        <v>229</v>
      </c>
      <c r="E17" s="40"/>
      <c r="F17" s="41"/>
      <c r="G17" s="41"/>
      <c r="H17" s="42">
        <f>SUM(H14:H16)</f>
        <v>4436315</v>
      </c>
      <c r="I17" s="42">
        <f>SUM(I14:I16)</f>
        <v>4662567</v>
      </c>
      <c r="J17" s="1289"/>
      <c r="K17" s="41"/>
      <c r="L17" s="683">
        <f>SUM(L14:L16)</f>
        <v>2075098</v>
      </c>
      <c r="M17" s="519">
        <f>L17/H17</f>
        <v>0.46775262802573758</v>
      </c>
      <c r="N17" s="41"/>
      <c r="O17" s="683">
        <f>SUM(O14:O16)</f>
        <v>0</v>
      </c>
      <c r="P17" s="1100">
        <f t="shared" si="5"/>
        <v>0</v>
      </c>
      <c r="Q17" s="1106"/>
      <c r="R17" s="1107">
        <f t="shared" si="7"/>
        <v>2075098</v>
      </c>
      <c r="S17" s="519">
        <f t="shared" si="0"/>
        <v>0.46775262802573758</v>
      </c>
    </row>
    <row r="18" spans="1:19" s="638" customFormat="1" ht="59.25" customHeight="1" x14ac:dyDescent="0.3">
      <c r="A18" s="1290" t="s">
        <v>1758</v>
      </c>
      <c r="B18" s="1289" t="s">
        <v>877</v>
      </c>
      <c r="C18" s="636" t="s">
        <v>81</v>
      </c>
      <c r="D18" s="636" t="s">
        <v>878</v>
      </c>
      <c r="E18" s="31">
        <v>0.14000000000000001</v>
      </c>
      <c r="F18" s="32">
        <v>5536688</v>
      </c>
      <c r="G18" s="32">
        <f>+ROUND(F18*1.051,0)</f>
        <v>5819059</v>
      </c>
      <c r="H18" s="32">
        <f>ROUND((E18*F18),0)</f>
        <v>775136</v>
      </c>
      <c r="I18" s="32">
        <f t="shared" ref="I18:I20" si="8">+ROUND(G18*E18,0)</f>
        <v>814668</v>
      </c>
      <c r="J18" s="1290" t="s">
        <v>1759</v>
      </c>
      <c r="K18" s="537">
        <v>0.14000000000000001</v>
      </c>
      <c r="L18" s="752">
        <f t="shared" ref="L18:L20" si="9">ROUND(K18*G18,0)</f>
        <v>814668</v>
      </c>
      <c r="M18" s="753">
        <f t="shared" ref="M18:M20" si="10">L18/I18</f>
        <v>1</v>
      </c>
      <c r="N18" s="891">
        <v>0</v>
      </c>
      <c r="O18" s="892">
        <f>ROUND(N18*G18,0)</f>
        <v>0</v>
      </c>
      <c r="P18" s="893">
        <f t="shared" si="5"/>
        <v>0</v>
      </c>
      <c r="Q18" s="799">
        <f t="shared" si="6"/>
        <v>0.14000000000000001</v>
      </c>
      <c r="R18" s="685">
        <f t="shared" si="7"/>
        <v>814668</v>
      </c>
      <c r="S18" s="684">
        <f t="shared" si="0"/>
        <v>1.0510000825661561</v>
      </c>
    </row>
    <row r="19" spans="1:19" s="638" customFormat="1" ht="53.25" customHeight="1" x14ac:dyDescent="0.3">
      <c r="A19" s="1289"/>
      <c r="B19" s="1289"/>
      <c r="C19" s="636" t="s">
        <v>83</v>
      </c>
      <c r="D19" s="636" t="s">
        <v>879</v>
      </c>
      <c r="E19" s="31">
        <v>0.14000000000000001</v>
      </c>
      <c r="F19" s="32">
        <v>8566197</v>
      </c>
      <c r="G19" s="32">
        <f>+ROUND(F19*1.051,0)</f>
        <v>9003073</v>
      </c>
      <c r="H19" s="32">
        <f>ROUND((E19*F19),0)</f>
        <v>1199268</v>
      </c>
      <c r="I19" s="32">
        <f t="shared" si="8"/>
        <v>1260430</v>
      </c>
      <c r="J19" s="1289"/>
      <c r="K19" s="537">
        <v>0.14000000000000001</v>
      </c>
      <c r="L19" s="752">
        <f t="shared" si="9"/>
        <v>1260430</v>
      </c>
      <c r="M19" s="753">
        <f t="shared" si="10"/>
        <v>1</v>
      </c>
      <c r="N19" s="891">
        <v>0</v>
      </c>
      <c r="O19" s="892">
        <f t="shared" ref="O19:O20" si="11">ROUND(N19*G19,0)</f>
        <v>0</v>
      </c>
      <c r="P19" s="893">
        <f t="shared" si="5"/>
        <v>0</v>
      </c>
      <c r="Q19" s="799">
        <f t="shared" si="6"/>
        <v>0.14000000000000001</v>
      </c>
      <c r="R19" s="685">
        <f t="shared" si="7"/>
        <v>1260430</v>
      </c>
      <c r="S19" s="684">
        <f t="shared" si="0"/>
        <v>1.0509994429935594</v>
      </c>
    </row>
    <row r="20" spans="1:19" s="638" customFormat="1" ht="36.75" customHeight="1" x14ac:dyDescent="0.3">
      <c r="A20" s="1289"/>
      <c r="B20" s="1289"/>
      <c r="C20" s="636" t="s">
        <v>61</v>
      </c>
      <c r="D20" s="636" t="s">
        <v>880</v>
      </c>
      <c r="E20" s="31">
        <v>0.14000000000000001</v>
      </c>
      <c r="F20" s="32">
        <v>17585079</v>
      </c>
      <c r="G20" s="32">
        <f>+ROUND(F20*1.051,0)</f>
        <v>18481918</v>
      </c>
      <c r="H20" s="32">
        <f>ROUND((E20*F20),0)</f>
        <v>2461911</v>
      </c>
      <c r="I20" s="32">
        <f t="shared" si="8"/>
        <v>2587469</v>
      </c>
      <c r="J20" s="1289"/>
      <c r="K20" s="799">
        <v>0</v>
      </c>
      <c r="L20" s="685">
        <f t="shared" si="9"/>
        <v>0</v>
      </c>
      <c r="M20" s="684">
        <f t="shared" si="10"/>
        <v>0</v>
      </c>
      <c r="N20" s="799">
        <v>0</v>
      </c>
      <c r="O20" s="892">
        <f t="shared" si="11"/>
        <v>0</v>
      </c>
      <c r="P20" s="893">
        <f t="shared" si="5"/>
        <v>0</v>
      </c>
      <c r="Q20" s="799">
        <f t="shared" si="6"/>
        <v>0</v>
      </c>
      <c r="R20" s="685">
        <f t="shared" si="7"/>
        <v>0</v>
      </c>
      <c r="S20" s="684">
        <f t="shared" si="0"/>
        <v>0</v>
      </c>
    </row>
    <row r="21" spans="1:19" s="638" customFormat="1" x14ac:dyDescent="0.3">
      <c r="A21" s="1289"/>
      <c r="B21" s="1289"/>
      <c r="C21" s="39"/>
      <c r="D21" s="39" t="s">
        <v>229</v>
      </c>
      <c r="E21" s="40"/>
      <c r="F21" s="41"/>
      <c r="G21" s="41"/>
      <c r="H21" s="42">
        <f>SUM(H18:H20)</f>
        <v>4436315</v>
      </c>
      <c r="I21" s="42">
        <f>SUM(I18:I20)</f>
        <v>4662567</v>
      </c>
      <c r="J21" s="1289"/>
      <c r="K21" s="41"/>
      <c r="L21" s="683">
        <f>SUM(L18:L20)</f>
        <v>2075098</v>
      </c>
      <c r="M21" s="519">
        <f>L21/H21</f>
        <v>0.46775262802573758</v>
      </c>
      <c r="N21" s="41"/>
      <c r="O21" s="683">
        <f>SUM(O18:O20)</f>
        <v>0</v>
      </c>
      <c r="P21" s="1100">
        <f t="shared" si="5"/>
        <v>0</v>
      </c>
      <c r="Q21" s="1106"/>
      <c r="R21" s="1107">
        <f t="shared" si="7"/>
        <v>2075098</v>
      </c>
      <c r="S21" s="519">
        <f t="shared" si="0"/>
        <v>0.46775262802573758</v>
      </c>
    </row>
    <row r="22" spans="1:19" ht="67.5" customHeight="1" x14ac:dyDescent="0.3">
      <c r="A22" s="1289" t="s">
        <v>156</v>
      </c>
      <c r="B22" s="1289" t="s">
        <v>194</v>
      </c>
      <c r="C22" s="636" t="s">
        <v>160</v>
      </c>
      <c r="D22" s="636" t="s">
        <v>161</v>
      </c>
      <c r="E22" s="31">
        <v>16</v>
      </c>
      <c r="F22" s="32">
        <v>69644</v>
      </c>
      <c r="G22" s="32">
        <f>+ROUND(F22*1.051,0)</f>
        <v>73196</v>
      </c>
      <c r="H22" s="32">
        <f>ROUND((E22*F22),0)</f>
        <v>1114304</v>
      </c>
      <c r="I22" s="32">
        <f>+ROUND(G22*E22,0)</f>
        <v>1171136</v>
      </c>
      <c r="J22" s="1290" t="s">
        <v>1760</v>
      </c>
      <c r="K22" s="799">
        <v>0</v>
      </c>
      <c r="L22" s="685">
        <f>ROUND(K22*G22,0)</f>
        <v>0</v>
      </c>
      <c r="M22" s="684">
        <f>L22/I22</f>
        <v>0</v>
      </c>
      <c r="N22" s="799">
        <v>0</v>
      </c>
      <c r="O22" s="685">
        <f>ROUND(N22*G22,0)</f>
        <v>0</v>
      </c>
      <c r="P22" s="893">
        <f t="shared" si="5"/>
        <v>0</v>
      </c>
      <c r="Q22" s="799">
        <f t="shared" si="6"/>
        <v>0</v>
      </c>
      <c r="R22" s="685">
        <f t="shared" si="7"/>
        <v>0</v>
      </c>
      <c r="S22" s="684">
        <f t="shared" si="0"/>
        <v>0</v>
      </c>
    </row>
    <row r="23" spans="1:19" x14ac:dyDescent="0.3">
      <c r="A23" s="1289"/>
      <c r="B23" s="1289"/>
      <c r="C23" s="39"/>
      <c r="D23" s="39" t="s">
        <v>162</v>
      </c>
      <c r="E23" s="40"/>
      <c r="F23" s="41"/>
      <c r="G23" s="41"/>
      <c r="H23" s="42">
        <f>H22</f>
        <v>1114304</v>
      </c>
      <c r="I23" s="42">
        <f>SUM(I22)</f>
        <v>1171136</v>
      </c>
      <c r="J23" s="1289"/>
      <c r="K23" s="41"/>
      <c r="L23" s="683">
        <f>SUM(L22:L22)</f>
        <v>0</v>
      </c>
      <c r="M23" s="519">
        <f>L23/H23</f>
        <v>0</v>
      </c>
      <c r="N23" s="41"/>
      <c r="O23" s="683">
        <f>SUM(O22:O22)</f>
        <v>0</v>
      </c>
      <c r="P23" s="1100">
        <f t="shared" si="5"/>
        <v>0</v>
      </c>
      <c r="Q23" s="1108"/>
      <c r="R23" s="1107">
        <f t="shared" si="7"/>
        <v>0</v>
      </c>
      <c r="S23" s="519">
        <f>SUM(S22:S22)</f>
        <v>0</v>
      </c>
    </row>
    <row r="24" spans="1:19" x14ac:dyDescent="0.3">
      <c r="A24" s="638"/>
      <c r="B24" s="638"/>
      <c r="C24" s="638"/>
      <c r="D24" s="638"/>
      <c r="E24" s="638"/>
      <c r="F24" s="686" t="s">
        <v>1740</v>
      </c>
      <c r="G24" s="686"/>
      <c r="H24" s="687">
        <f>0+H17+H23+H21</f>
        <v>9986934</v>
      </c>
      <c r="I24" s="687">
        <f>0+I17+I23+I21</f>
        <v>10496270</v>
      </c>
      <c r="J24" s="638"/>
      <c r="K24" s="547" t="s">
        <v>64</v>
      </c>
      <c r="L24" s="688">
        <f>SUM(L14:L23)/2</f>
        <v>4150196</v>
      </c>
      <c r="M24" s="638"/>
      <c r="N24" s="547" t="s">
        <v>64</v>
      </c>
      <c r="O24" s="688">
        <f>SUM(O14:O23)/2</f>
        <v>0</v>
      </c>
      <c r="Q24" s="547" t="s">
        <v>64</v>
      </c>
      <c r="R24" s="688">
        <f>SUM(R14:R23)/2</f>
        <v>4150196</v>
      </c>
      <c r="S24" s="638"/>
    </row>
    <row r="25" spans="1:19" x14ac:dyDescent="0.3">
      <c r="A25" s="638"/>
      <c r="B25" s="638"/>
      <c r="C25" s="638"/>
      <c r="D25" s="638"/>
      <c r="E25" s="638"/>
      <c r="F25" s="444" t="s">
        <v>65</v>
      </c>
      <c r="G25" s="444"/>
      <c r="H25" s="181">
        <v>0</v>
      </c>
      <c r="I25" s="181">
        <v>0</v>
      </c>
      <c r="J25" s="638"/>
      <c r="K25" s="548" t="s">
        <v>65</v>
      </c>
      <c r="L25" s="481"/>
      <c r="M25" s="638"/>
      <c r="N25" s="548" t="s">
        <v>65</v>
      </c>
      <c r="O25" s="481"/>
      <c r="Q25" s="548" t="s">
        <v>65</v>
      </c>
      <c r="R25" s="481"/>
      <c r="S25" s="638"/>
    </row>
    <row r="26" spans="1:19" x14ac:dyDescent="0.3">
      <c r="A26" s="638"/>
      <c r="B26" s="638"/>
      <c r="C26" s="638"/>
      <c r="D26" s="638"/>
      <c r="E26" s="638"/>
      <c r="F26" s="443" t="s">
        <v>1740</v>
      </c>
      <c r="G26" s="443"/>
      <c r="H26" s="340">
        <f>+H25+H24</f>
        <v>9986934</v>
      </c>
      <c r="I26" s="340">
        <f>+I25+I24</f>
        <v>10496270</v>
      </c>
      <c r="J26" s="638"/>
      <c r="K26" s="549" t="s">
        <v>64</v>
      </c>
      <c r="L26" s="481">
        <f>L24+L25</f>
        <v>4150196</v>
      </c>
      <c r="M26" s="638"/>
      <c r="N26" s="549" t="s">
        <v>64</v>
      </c>
      <c r="O26" s="481">
        <f>O24+O25</f>
        <v>0</v>
      </c>
      <c r="Q26" s="549" t="s">
        <v>64</v>
      </c>
      <c r="R26" s="481">
        <f>R24+R25</f>
        <v>4150196</v>
      </c>
      <c r="S26" s="638"/>
    </row>
    <row r="27" spans="1:19" ht="26.4" x14ac:dyDescent="0.3">
      <c r="A27" s="638"/>
      <c r="B27" s="638"/>
      <c r="C27" s="638"/>
      <c r="D27" s="638"/>
      <c r="E27" s="638"/>
      <c r="F27" s="659"/>
      <c r="G27" s="659"/>
      <c r="H27" s="659"/>
      <c r="I27" s="659"/>
      <c r="J27" s="638"/>
      <c r="K27" s="501" t="s">
        <v>1439</v>
      </c>
      <c r="L27" s="481">
        <f>ROUND(L26*0.015,0)</f>
        <v>62253</v>
      </c>
      <c r="M27" s="638"/>
      <c r="N27" s="501" t="s">
        <v>1439</v>
      </c>
      <c r="O27" s="481">
        <f>ROUND(O26*0.015,0)</f>
        <v>0</v>
      </c>
      <c r="Q27" s="501" t="s">
        <v>1439</v>
      </c>
      <c r="R27" s="481">
        <f>+L27+O27</f>
        <v>62253</v>
      </c>
      <c r="S27" s="638"/>
    </row>
    <row r="28" spans="1:19" ht="26.4" x14ac:dyDescent="0.3">
      <c r="A28" s="638"/>
      <c r="B28" s="638"/>
      <c r="C28" s="638"/>
      <c r="D28" s="638"/>
      <c r="E28" s="638"/>
      <c r="F28" s="659"/>
      <c r="G28" s="659"/>
      <c r="H28" s="659"/>
      <c r="I28" s="659"/>
      <c r="J28" s="638"/>
      <c r="K28" s="96" t="s">
        <v>1440</v>
      </c>
      <c r="L28" s="425">
        <f>L26+L27</f>
        <v>4212449</v>
      </c>
      <c r="M28" s="678">
        <f>L28/H24</f>
        <v>0.4217960186780047</v>
      </c>
      <c r="N28" s="96" t="s">
        <v>1440</v>
      </c>
      <c r="O28" s="425">
        <f>O26+O27</f>
        <v>0</v>
      </c>
      <c r="P28" s="678">
        <f>O28/H24</f>
        <v>0</v>
      </c>
      <c r="Q28" s="96" t="s">
        <v>1440</v>
      </c>
      <c r="R28" s="425">
        <f>R26+R27</f>
        <v>4212449</v>
      </c>
      <c r="S28" s="678">
        <f>R28/H24</f>
        <v>0.4217960186780047</v>
      </c>
    </row>
    <row r="29" spans="1:19" x14ac:dyDescent="0.3">
      <c r="A29" s="638"/>
      <c r="B29" s="638"/>
      <c r="C29" s="638"/>
      <c r="D29" s="638"/>
      <c r="E29" s="638"/>
      <c r="F29" s="442" t="s">
        <v>66</v>
      </c>
      <c r="G29" s="442"/>
      <c r="H29" s="181">
        <f>+H24*19%</f>
        <v>1897517.46</v>
      </c>
      <c r="I29" s="181">
        <f>+I24*19%</f>
        <v>1994291.3</v>
      </c>
      <c r="J29" s="638"/>
      <c r="K29" s="551" t="s">
        <v>66</v>
      </c>
      <c r="L29" s="672">
        <f>L28*0.19</f>
        <v>800365.31</v>
      </c>
      <c r="M29" s="638"/>
      <c r="N29" s="551" t="s">
        <v>66</v>
      </c>
      <c r="O29" s="672">
        <f>O28*0.19</f>
        <v>0</v>
      </c>
      <c r="Q29" s="551" t="s">
        <v>66</v>
      </c>
      <c r="R29" s="672">
        <f>R28*0.19</f>
        <v>800365.31</v>
      </c>
      <c r="S29" s="638"/>
    </row>
    <row r="30" spans="1:19" x14ac:dyDescent="0.3">
      <c r="A30" s="638"/>
      <c r="B30" s="638"/>
      <c r="C30" s="638"/>
      <c r="D30" s="638"/>
      <c r="E30" s="638"/>
      <c r="F30" s="441" t="s">
        <v>69</v>
      </c>
      <c r="G30" s="441"/>
      <c r="H30" s="181">
        <f>+H24+H29</f>
        <v>11884451.460000001</v>
      </c>
      <c r="I30" s="181">
        <f>+I24+I29</f>
        <v>12490561.300000001</v>
      </c>
      <c r="J30" s="638"/>
      <c r="K30" s="552" t="s">
        <v>69</v>
      </c>
      <c r="L30" s="672">
        <f>L28+L29</f>
        <v>5012814.3100000005</v>
      </c>
      <c r="M30" s="638"/>
      <c r="N30" s="552" t="s">
        <v>69</v>
      </c>
      <c r="O30" s="672">
        <f>O28+O29</f>
        <v>0</v>
      </c>
      <c r="Q30" s="552" t="s">
        <v>69</v>
      </c>
      <c r="R30" s="672">
        <f>R28+R29</f>
        <v>5012814.3100000005</v>
      </c>
      <c r="S30" s="638"/>
    </row>
    <row r="31" spans="1:19" x14ac:dyDescent="0.3">
      <c r="A31" s="638"/>
      <c r="B31" s="638"/>
      <c r="C31" s="638"/>
      <c r="D31" s="638"/>
      <c r="E31" s="638"/>
      <c r="F31" s="638"/>
      <c r="H31" s="638"/>
      <c r="J31" s="638"/>
      <c r="K31" s="638"/>
      <c r="L31" s="638"/>
      <c r="M31" s="638"/>
      <c r="Q31" s="638"/>
      <c r="R31" s="638"/>
      <c r="S31" s="638"/>
    </row>
    <row r="32" spans="1:19" x14ac:dyDescent="0.3">
      <c r="A32" s="665" t="s">
        <v>67</v>
      </c>
      <c r="B32" s="184"/>
      <c r="C32" s="184"/>
      <c r="D32" s="185" t="s">
        <v>68</v>
      </c>
      <c r="E32" s="638"/>
      <c r="F32" s="638"/>
      <c r="H32" s="638"/>
      <c r="J32" s="638"/>
      <c r="K32" s="186" t="s">
        <v>70</v>
      </c>
      <c r="L32" s="187" t="s">
        <v>71</v>
      </c>
      <c r="M32" s="186" t="s">
        <v>58</v>
      </c>
      <c r="N32" s="186" t="s">
        <v>70</v>
      </c>
      <c r="O32" s="187" t="s">
        <v>71</v>
      </c>
      <c r="P32" s="186" t="s">
        <v>58</v>
      </c>
      <c r="Q32" s="638"/>
      <c r="R32" s="638"/>
      <c r="S32" s="638"/>
    </row>
    <row r="33" spans="1:19" x14ac:dyDescent="0.3">
      <c r="A33" s="665"/>
      <c r="B33" s="184"/>
      <c r="C33" s="184"/>
      <c r="D33" s="185"/>
      <c r="E33" s="638"/>
      <c r="F33" s="638"/>
      <c r="H33" s="638"/>
      <c r="J33" s="638"/>
      <c r="K33" s="69" t="s">
        <v>72</v>
      </c>
      <c r="L33" s="70">
        <f>L28</f>
        <v>4212449</v>
      </c>
      <c r="M33" s="360">
        <f>M28</f>
        <v>0.4217960186780047</v>
      </c>
      <c r="N33" s="69" t="s">
        <v>72</v>
      </c>
      <c r="O33" s="70">
        <f>$L$28</f>
        <v>4212449</v>
      </c>
      <c r="P33" s="360">
        <f>$M$28</f>
        <v>0.4217960186780047</v>
      </c>
      <c r="Q33" s="638"/>
      <c r="R33" s="638"/>
      <c r="S33" s="638"/>
    </row>
    <row r="34" spans="1:19" x14ac:dyDescent="0.3">
      <c r="A34" s="665"/>
      <c r="B34" s="184"/>
      <c r="C34" s="184"/>
      <c r="D34" s="185"/>
      <c r="E34" s="638"/>
      <c r="F34" s="638"/>
      <c r="H34" s="638"/>
      <c r="J34" s="638"/>
      <c r="K34" s="72" t="s">
        <v>1</v>
      </c>
      <c r="L34" s="105">
        <f>L33</f>
        <v>4212449</v>
      </c>
      <c r="M34" s="361">
        <f>M33</f>
        <v>0.4217960186780047</v>
      </c>
      <c r="N34" s="69" t="s">
        <v>73</v>
      </c>
      <c r="O34" s="70">
        <f>$O$28</f>
        <v>0</v>
      </c>
      <c r="P34" s="360">
        <f>$P$28</f>
        <v>0</v>
      </c>
      <c r="Q34" s="638"/>
      <c r="R34" s="638"/>
      <c r="S34" s="638"/>
    </row>
    <row r="35" spans="1:19" x14ac:dyDescent="0.3">
      <c r="A35" s="665"/>
      <c r="B35" s="184"/>
      <c r="C35" s="184"/>
      <c r="D35" s="185"/>
      <c r="E35" s="638"/>
      <c r="F35" s="638"/>
      <c r="H35" s="638"/>
      <c r="J35" s="638"/>
      <c r="K35" s="72" t="s">
        <v>9</v>
      </c>
      <c r="L35" s="1423"/>
      <c r="M35" s="1424"/>
      <c r="N35" s="72" t="s">
        <v>1</v>
      </c>
      <c r="O35" s="105">
        <f>SUM(O33:O34)</f>
        <v>4212449</v>
      </c>
      <c r="P35" s="361">
        <f>SUM(P33:P34)</f>
        <v>0.4217960186780047</v>
      </c>
      <c r="Q35" s="638"/>
      <c r="R35" s="638"/>
      <c r="S35" s="638"/>
    </row>
    <row r="36" spans="1:19" x14ac:dyDescent="0.3">
      <c r="A36" s="665"/>
      <c r="B36" s="184"/>
      <c r="C36" s="184"/>
      <c r="D36" s="185"/>
      <c r="E36" s="638"/>
      <c r="F36" s="638"/>
      <c r="H36" s="638"/>
      <c r="J36" s="638"/>
      <c r="K36" s="440" t="s">
        <v>78</v>
      </c>
      <c r="L36" s="1423" t="s">
        <v>2300</v>
      </c>
      <c r="M36" s="1424"/>
      <c r="N36" s="72" t="s">
        <v>9</v>
      </c>
      <c r="O36" s="1423"/>
      <c r="P36" s="1424"/>
      <c r="Q36" s="638"/>
      <c r="R36" s="638"/>
      <c r="S36" s="638"/>
    </row>
    <row r="37" spans="1:19" x14ac:dyDescent="0.3">
      <c r="A37" s="665"/>
      <c r="B37" s="184"/>
      <c r="C37" s="184"/>
      <c r="D37" s="185"/>
      <c r="E37" s="638"/>
      <c r="F37" s="638"/>
      <c r="H37" s="638"/>
      <c r="J37" s="638"/>
      <c r="K37" s="439" t="s">
        <v>8</v>
      </c>
      <c r="L37" s="1423" t="s">
        <v>2301</v>
      </c>
      <c r="M37" s="1424"/>
      <c r="N37" s="440" t="s">
        <v>78</v>
      </c>
      <c r="O37" s="1423" t="s">
        <v>2300</v>
      </c>
      <c r="P37" s="1424"/>
      <c r="Q37" s="638"/>
      <c r="R37" s="638"/>
      <c r="S37" s="638"/>
    </row>
    <row r="38" spans="1:19" x14ac:dyDescent="0.3">
      <c r="A38" s="665"/>
      <c r="B38" s="184"/>
      <c r="C38" s="184"/>
      <c r="D38" s="185" t="s">
        <v>75</v>
      </c>
      <c r="E38" s="638"/>
      <c r="F38" s="638"/>
      <c r="H38" s="638"/>
      <c r="J38" s="638"/>
      <c r="K38" s="638"/>
      <c r="L38" s="638"/>
      <c r="M38" s="638"/>
      <c r="N38" s="439" t="s">
        <v>8</v>
      </c>
      <c r="O38" s="1423" t="s">
        <v>2301</v>
      </c>
      <c r="P38" s="1424"/>
      <c r="Q38" s="638"/>
      <c r="R38" s="638"/>
      <c r="S38" s="638"/>
    </row>
    <row r="39" spans="1:19" x14ac:dyDescent="0.3">
      <c r="A39" s="665" t="s">
        <v>76</v>
      </c>
      <c r="B39" s="180"/>
      <c r="C39" s="180"/>
      <c r="D39" s="185" t="s">
        <v>77</v>
      </c>
      <c r="E39" s="638"/>
      <c r="F39" s="638"/>
      <c r="H39" s="638"/>
      <c r="J39" s="638"/>
      <c r="K39" s="638"/>
      <c r="L39" s="638"/>
      <c r="M39" s="638"/>
      <c r="Q39" s="638"/>
      <c r="R39" s="638"/>
      <c r="S39" s="638"/>
    </row>
    <row r="40" spans="1:19" x14ac:dyDescent="0.3">
      <c r="A40" s="665" t="s">
        <v>79</v>
      </c>
      <c r="B40" s="180"/>
      <c r="C40" s="180"/>
      <c r="D40" s="185" t="s">
        <v>80</v>
      </c>
      <c r="E40" s="638"/>
      <c r="F40" s="638"/>
      <c r="H40" s="638"/>
      <c r="J40" s="638"/>
      <c r="K40" s="638"/>
      <c r="L40" s="638"/>
      <c r="M40" s="638"/>
      <c r="Q40" s="638"/>
      <c r="R40" s="638"/>
      <c r="S40" s="638"/>
    </row>
    <row r="41" spans="1:19" x14ac:dyDescent="0.3">
      <c r="A41" s="638"/>
      <c r="B41" s="638"/>
      <c r="C41" s="638"/>
      <c r="D41" s="638"/>
      <c r="E41" s="638"/>
      <c r="F41" s="638"/>
      <c r="H41" s="638"/>
      <c r="J41" s="638"/>
      <c r="K41" s="638"/>
      <c r="L41" s="638"/>
      <c r="M41" s="638"/>
      <c r="Q41" s="638"/>
      <c r="R41" s="638"/>
      <c r="S41" s="638"/>
    </row>
  </sheetData>
  <mergeCells count="31">
    <mergeCell ref="Q11:S12"/>
    <mergeCell ref="B12:J12"/>
    <mergeCell ref="C1:M2"/>
    <mergeCell ref="Q1:S1"/>
    <mergeCell ref="Q2:S2"/>
    <mergeCell ref="A3:S3"/>
    <mergeCell ref="A4:S4"/>
    <mergeCell ref="A5:S5"/>
    <mergeCell ref="A6:S6"/>
    <mergeCell ref="A7:S7"/>
    <mergeCell ref="A8:S8"/>
    <mergeCell ref="A9:S9"/>
    <mergeCell ref="A10:S10"/>
    <mergeCell ref="N11:P12"/>
    <mergeCell ref="A22:A23"/>
    <mergeCell ref="B22:B23"/>
    <mergeCell ref="J22:J23"/>
    <mergeCell ref="B11:J11"/>
    <mergeCell ref="K11:M12"/>
    <mergeCell ref="A18:A21"/>
    <mergeCell ref="B18:B21"/>
    <mergeCell ref="J18:J21"/>
    <mergeCell ref="A14:A17"/>
    <mergeCell ref="B14:B17"/>
    <mergeCell ref="J14:J17"/>
    <mergeCell ref="O36:P36"/>
    <mergeCell ref="O37:P37"/>
    <mergeCell ref="O38:P38"/>
    <mergeCell ref="L35:M35"/>
    <mergeCell ref="L36:M36"/>
    <mergeCell ref="L37:M37"/>
  </mergeCells>
  <pageMargins left="0.7" right="0.7" top="0.75" bottom="0.75" header="0.3" footer="0.3"/>
  <pageSetup paperSize="9" scale="38" orientation="landscape" r:id="rId1"/>
  <drawing r:id="rId2"/>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4"/>
  <dimension ref="A1:G49"/>
  <sheetViews>
    <sheetView topLeftCell="A1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RESUMEN!G109</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RESUMEN!B109</f>
        <v>D00235087</v>
      </c>
      <c r="C7" s="1265"/>
      <c r="D7" s="1177"/>
      <c r="E7" s="1266" t="s">
        <v>627</v>
      </c>
      <c r="F7" s="1267"/>
      <c r="G7" s="280" t="str">
        <f>RESUMEN!E109</f>
        <v>17-397</v>
      </c>
    </row>
    <row r="8" spans="1:7" x14ac:dyDescent="0.25">
      <c r="A8" s="271" t="s">
        <v>628</v>
      </c>
      <c r="B8" s="1264" t="str">
        <f>RESUMEN!C109</f>
        <v>D00235087000</v>
      </c>
      <c r="C8" s="1265"/>
      <c r="D8" s="1177"/>
      <c r="E8" s="1266" t="s">
        <v>629</v>
      </c>
      <c r="F8" s="1267"/>
      <c r="G8" s="280" t="str">
        <f>RESUMEN!U109</f>
        <v>Acta N° 1: Marzo</v>
      </c>
    </row>
    <row r="9" spans="1:7" x14ac:dyDescent="0.25">
      <c r="A9" s="271" t="s">
        <v>630</v>
      </c>
      <c r="B9" s="1283" t="s">
        <v>631</v>
      </c>
      <c r="C9" s="1265"/>
      <c r="D9" s="1177"/>
      <c r="E9" s="1266" t="s">
        <v>632</v>
      </c>
      <c r="F9" s="1267"/>
      <c r="G9" s="1178">
        <f>RESUMEN!H109</f>
        <v>461390</v>
      </c>
    </row>
    <row r="10" spans="1:7" x14ac:dyDescent="0.25">
      <c r="A10" s="271" t="s">
        <v>633</v>
      </c>
      <c r="B10" s="1283" t="str">
        <f>RESUMEN!D109</f>
        <v xml:space="preserve"> FLORIDA ASBUILT</v>
      </c>
      <c r="C10" s="1265"/>
      <c r="D10" s="1177"/>
      <c r="E10" s="1266" t="s">
        <v>634</v>
      </c>
      <c r="F10" s="1267"/>
      <c r="G10" s="1178">
        <f>RESUMEN!R109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RESUMEN!V109,"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",RESUMEN!G109)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RESUMEN!N109</f>
        <v>0</v>
      </c>
      <c r="F19" s="1248"/>
      <c r="G19" s="1177"/>
    </row>
    <row r="20" spans="1:7" ht="27" customHeight="1" x14ac:dyDescent="0.25">
      <c r="A20" s="1177"/>
      <c r="B20" s="1244" t="s">
        <v>1498</v>
      </c>
      <c r="C20" s="1245"/>
      <c r="D20" s="1246"/>
      <c r="E20" s="1247">
        <f>RESUMEN!P109</f>
        <v>0</v>
      </c>
      <c r="F20" s="1248"/>
      <c r="G20" s="1177"/>
    </row>
    <row r="21" spans="1:7" ht="27" customHeight="1" x14ac:dyDescent="0.25">
      <c r="A21" s="1177"/>
      <c r="B21" s="1244" t="s">
        <v>1499</v>
      </c>
      <c r="C21" s="1245"/>
      <c r="D21" s="1246"/>
      <c r="E21" s="1247">
        <f>RESUMEN!Q109</f>
        <v>0</v>
      </c>
      <c r="F21" s="1248"/>
      <c r="G21" s="1177"/>
    </row>
    <row r="22" spans="1:7" x14ac:dyDescent="0.25">
      <c r="A22" s="1177"/>
      <c r="B22" s="1254" t="s">
        <v>64</v>
      </c>
      <c r="C22" s="1254"/>
      <c r="D22" s="1254"/>
      <c r="E22" s="1255">
        <f>RESUMEN!R109</f>
        <v>0</v>
      </c>
      <c r="F22" s="1255"/>
      <c r="G22" s="1177"/>
    </row>
    <row r="23" spans="1:7" x14ac:dyDescent="0.25">
      <c r="A23" s="1177"/>
      <c r="B23" s="1256" t="s">
        <v>66</v>
      </c>
      <c r="C23" s="1256"/>
      <c r="D23" s="1256"/>
      <c r="E23" s="1257">
        <f>RESUMEN!S109</f>
        <v>0</v>
      </c>
      <c r="F23" s="1257"/>
      <c r="G23" s="1177"/>
    </row>
    <row r="24" spans="1:7" x14ac:dyDescent="0.25">
      <c r="A24" s="1177"/>
      <c r="B24" s="1258" t="s">
        <v>1</v>
      </c>
      <c r="C24" s="1258"/>
      <c r="D24" s="1258"/>
      <c r="E24" s="1259">
        <f>RESUMEN!T109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+'OT17-397 FLORIDA ASBUILT'!K31</f>
        <v>ACTA 1</v>
      </c>
      <c r="C28" s="1253">
        <f>+'OT17-397 FLORIDA ASBUILT'!L31</f>
        <v>0</v>
      </c>
      <c r="D28" s="1253"/>
      <c r="E28" s="267">
        <f>+'OT17-397 FLORIDA ASBUILT'!M31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RESUMEN!V109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2">
    <tabColor rgb="FF92D050"/>
  </sheetPr>
  <dimension ref="A1:Q39"/>
  <sheetViews>
    <sheetView topLeftCell="A7" zoomScale="55" zoomScaleNormal="55" workbookViewId="0">
      <selection activeCell="K11" sqref="K11:M12"/>
    </sheetView>
  </sheetViews>
  <sheetFormatPr baseColWidth="10" defaultRowHeight="14.4" x14ac:dyDescent="0.3"/>
  <cols>
    <col min="1" max="1" width="20.33203125" customWidth="1"/>
    <col min="2" max="2" width="25.44140625" bestFit="1" customWidth="1"/>
    <col min="3" max="3" width="22" customWidth="1"/>
    <col min="4" max="4" width="31" customWidth="1"/>
    <col min="5" max="5" width="14.44140625" customWidth="1"/>
    <col min="6" max="6" width="14.44140625" bestFit="1" customWidth="1"/>
    <col min="7" max="7" width="14.44140625" style="849" customWidth="1"/>
    <col min="8" max="8" width="16.33203125" customWidth="1"/>
    <col min="9" max="9" width="16.33203125" style="849" customWidth="1"/>
    <col min="10" max="10" width="43.33203125" customWidth="1"/>
    <col min="11" max="11" width="16.33203125" bestFit="1" customWidth="1"/>
    <col min="12" max="12" width="17.88671875" bestFit="1" customWidth="1"/>
    <col min="15" max="15" width="17.5546875" customWidth="1"/>
  </cols>
  <sheetData>
    <row r="1" spans="1:17" ht="15" thickBot="1" x14ac:dyDescent="0.35">
      <c r="A1" s="169"/>
      <c r="B1" s="188"/>
      <c r="C1" s="1307" t="s">
        <v>40</v>
      </c>
      <c r="D1" s="1308"/>
      <c r="E1" s="1308"/>
      <c r="F1" s="1308"/>
      <c r="G1" s="1308"/>
      <c r="H1" s="1308"/>
      <c r="I1" s="1308"/>
      <c r="J1" s="1308"/>
      <c r="K1" s="1308"/>
      <c r="L1" s="1308"/>
      <c r="M1" s="1308"/>
      <c r="N1" s="1328" t="s">
        <v>1663</v>
      </c>
      <c r="O1" s="1303"/>
      <c r="P1" s="1304"/>
      <c r="Q1" s="638"/>
    </row>
    <row r="2" spans="1:17" ht="15" thickBot="1" x14ac:dyDescent="0.35">
      <c r="A2" s="170"/>
      <c r="B2" s="190"/>
      <c r="C2" s="1310"/>
      <c r="D2" s="1311"/>
      <c r="E2" s="1311"/>
      <c r="F2" s="1311"/>
      <c r="G2" s="1311"/>
      <c r="H2" s="1311"/>
      <c r="I2" s="1311"/>
      <c r="J2" s="1311"/>
      <c r="K2" s="1311"/>
      <c r="L2" s="1311"/>
      <c r="M2" s="1311"/>
      <c r="N2" s="1329" t="s">
        <v>41</v>
      </c>
      <c r="O2" s="1305"/>
      <c r="P2" s="1306"/>
      <c r="Q2" s="638"/>
    </row>
    <row r="3" spans="1:17" x14ac:dyDescent="0.3">
      <c r="A3" s="1292" t="s">
        <v>42</v>
      </c>
      <c r="B3" s="1292"/>
      <c r="C3" s="1292"/>
      <c r="D3" s="1292"/>
      <c r="E3" s="1292"/>
      <c r="F3" s="1292"/>
      <c r="G3" s="1292"/>
      <c r="H3" s="1292"/>
      <c r="I3" s="1292"/>
      <c r="J3" s="1292"/>
      <c r="K3" s="1292"/>
      <c r="L3" s="1292"/>
      <c r="M3" s="1292"/>
      <c r="N3" s="1292"/>
      <c r="O3" s="1292"/>
      <c r="P3" s="1292"/>
      <c r="Q3" s="638"/>
    </row>
    <row r="4" spans="1:17" x14ac:dyDescent="0.3">
      <c r="A4" s="1292" t="s">
        <v>43</v>
      </c>
      <c r="B4" s="1292"/>
      <c r="C4" s="1292"/>
      <c r="D4" s="1292"/>
      <c r="E4" s="1292"/>
      <c r="F4" s="1292"/>
      <c r="G4" s="1292"/>
      <c r="H4" s="1292"/>
      <c r="I4" s="1292"/>
      <c r="J4" s="1292"/>
      <c r="K4" s="1292"/>
      <c r="L4" s="1292"/>
      <c r="M4" s="1292"/>
      <c r="N4" s="1292"/>
      <c r="O4" s="1292"/>
      <c r="P4" s="1292"/>
      <c r="Q4" s="638"/>
    </row>
    <row r="5" spans="1:17" x14ac:dyDescent="0.3">
      <c r="A5" s="1292" t="s">
        <v>44</v>
      </c>
      <c r="B5" s="1292"/>
      <c r="C5" s="1292"/>
      <c r="D5" s="1292"/>
      <c r="E5" s="1292"/>
      <c r="F5" s="1292"/>
      <c r="G5" s="1292"/>
      <c r="H5" s="1292"/>
      <c r="I5" s="1292"/>
      <c r="J5" s="1292"/>
      <c r="K5" s="1292"/>
      <c r="L5" s="1292"/>
      <c r="M5" s="1292"/>
      <c r="N5" s="1292"/>
      <c r="O5" s="1292"/>
      <c r="P5" s="1292"/>
      <c r="Q5" s="638"/>
    </row>
    <row r="6" spans="1:17" x14ac:dyDescent="0.3">
      <c r="A6" s="1292" t="s">
        <v>45</v>
      </c>
      <c r="B6" s="1292"/>
      <c r="C6" s="1292"/>
      <c r="D6" s="1292"/>
      <c r="E6" s="1292"/>
      <c r="F6" s="1292"/>
      <c r="G6" s="1292"/>
      <c r="H6" s="1292"/>
      <c r="I6" s="1292"/>
      <c r="J6" s="1292"/>
      <c r="K6" s="1292"/>
      <c r="L6" s="1292"/>
      <c r="M6" s="1292"/>
      <c r="N6" s="1292"/>
      <c r="O6" s="1292"/>
      <c r="P6" s="1292"/>
      <c r="Q6" s="638"/>
    </row>
    <row r="7" spans="1:17" x14ac:dyDescent="0.3">
      <c r="A7" s="1291" t="s">
        <v>1766</v>
      </c>
      <c r="B7" s="1292"/>
      <c r="C7" s="1292"/>
      <c r="D7" s="1292"/>
      <c r="E7" s="1292"/>
      <c r="F7" s="1292"/>
      <c r="G7" s="1292"/>
      <c r="H7" s="1292"/>
      <c r="I7" s="1292"/>
      <c r="J7" s="1292"/>
      <c r="K7" s="1292"/>
      <c r="L7" s="1292"/>
      <c r="M7" s="1292"/>
      <c r="N7" s="1292"/>
      <c r="O7" s="1292"/>
      <c r="P7" s="1292"/>
      <c r="Q7" s="638"/>
    </row>
    <row r="8" spans="1:17" x14ac:dyDescent="0.3">
      <c r="A8" s="1292" t="s">
        <v>2312</v>
      </c>
      <c r="B8" s="1292"/>
      <c r="C8" s="1292"/>
      <c r="D8" s="1292"/>
      <c r="E8" s="1292"/>
      <c r="F8" s="1292"/>
      <c r="G8" s="1292"/>
      <c r="H8" s="1292"/>
      <c r="I8" s="1292"/>
      <c r="J8" s="1292"/>
      <c r="K8" s="1292"/>
      <c r="L8" s="1292"/>
      <c r="M8" s="1292"/>
      <c r="N8" s="1292"/>
      <c r="O8" s="1292"/>
      <c r="P8" s="1292"/>
      <c r="Q8" s="638"/>
    </row>
    <row r="9" spans="1:17" x14ac:dyDescent="0.3">
      <c r="A9" s="1292" t="s">
        <v>2305</v>
      </c>
      <c r="B9" s="1292"/>
      <c r="C9" s="1292"/>
      <c r="D9" s="1292"/>
      <c r="E9" s="1292"/>
      <c r="F9" s="1292"/>
      <c r="G9" s="1292"/>
      <c r="H9" s="1292"/>
      <c r="I9" s="1292"/>
      <c r="J9" s="1292"/>
      <c r="K9" s="1292"/>
      <c r="L9" s="1292"/>
      <c r="M9" s="1292"/>
      <c r="N9" s="1292"/>
      <c r="O9" s="1292"/>
      <c r="P9" s="1292"/>
      <c r="Q9" s="638"/>
    </row>
    <row r="10" spans="1:17" x14ac:dyDescent="0.3">
      <c r="A10" s="1292" t="s">
        <v>1762</v>
      </c>
      <c r="B10" s="1292"/>
      <c r="C10" s="1292"/>
      <c r="D10" s="1292"/>
      <c r="E10" s="1292"/>
      <c r="F10" s="1292"/>
      <c r="G10" s="1292"/>
      <c r="H10" s="1292"/>
      <c r="I10" s="1292"/>
      <c r="J10" s="1292"/>
      <c r="K10" s="1292"/>
      <c r="L10" s="1292"/>
      <c r="M10" s="1292"/>
      <c r="N10" s="1292"/>
      <c r="O10" s="1292"/>
      <c r="P10" s="1292"/>
      <c r="Q10" s="638"/>
    </row>
    <row r="11" spans="1:17" x14ac:dyDescent="0.3">
      <c r="A11" s="637"/>
      <c r="B11" s="1301"/>
      <c r="C11" s="1313"/>
      <c r="D11" s="1313"/>
      <c r="E11" s="1313"/>
      <c r="F11" s="1313"/>
      <c r="G11" s="1313"/>
      <c r="H11" s="1313"/>
      <c r="I11" s="1313"/>
      <c r="J11" s="1313"/>
      <c r="K11" s="1293" t="s">
        <v>2313</v>
      </c>
      <c r="L11" s="1294"/>
      <c r="M11" s="1295"/>
      <c r="N11" s="1299" t="s">
        <v>49</v>
      </c>
      <c r="O11" s="1299"/>
      <c r="P11" s="1299"/>
      <c r="Q11" s="638"/>
    </row>
    <row r="12" spans="1:17" x14ac:dyDescent="0.3">
      <c r="A12" s="171"/>
      <c r="B12" s="1301"/>
      <c r="C12" s="1302"/>
      <c r="D12" s="1302"/>
      <c r="E12" s="1302"/>
      <c r="F12" s="1302"/>
      <c r="G12" s="1302"/>
      <c r="H12" s="1302"/>
      <c r="I12" s="1302"/>
      <c r="J12" s="1302"/>
      <c r="K12" s="1325"/>
      <c r="L12" s="1326"/>
      <c r="M12" s="1327"/>
      <c r="N12" s="1300"/>
      <c r="O12" s="1300"/>
      <c r="P12" s="1300"/>
      <c r="Q12" s="638"/>
    </row>
    <row r="13" spans="1:17"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638"/>
    </row>
    <row r="14" spans="1:17" ht="51" customHeight="1" x14ac:dyDescent="0.3">
      <c r="A14" s="1289" t="s">
        <v>280</v>
      </c>
      <c r="B14" s="1289" t="s">
        <v>248</v>
      </c>
      <c r="C14" s="636" t="s">
        <v>152</v>
      </c>
      <c r="D14" s="636" t="s">
        <v>249</v>
      </c>
      <c r="E14" s="636">
        <v>0</v>
      </c>
      <c r="F14" s="32">
        <v>313397</v>
      </c>
      <c r="G14" s="32">
        <f>+ROUND(F14*1.051,0)</f>
        <v>329380</v>
      </c>
      <c r="H14" s="32">
        <f>ROUND((E14*F14),0)</f>
        <v>0</v>
      </c>
      <c r="I14" s="32">
        <f>+ROUND(G14*E14,0)</f>
        <v>0</v>
      </c>
      <c r="J14" s="1289" t="s">
        <v>1763</v>
      </c>
      <c r="K14" s="536">
        <v>0</v>
      </c>
      <c r="L14" s="685">
        <f>ROUND(K14*G14,0)</f>
        <v>0</v>
      </c>
      <c r="M14" s="880">
        <v>0</v>
      </c>
      <c r="N14" s="536">
        <f>K14</f>
        <v>0</v>
      </c>
      <c r="O14" s="685">
        <f>L14</f>
        <v>0</v>
      </c>
      <c r="P14" s="684">
        <v>0</v>
      </c>
      <c r="Q14" s="638"/>
    </row>
    <row r="15" spans="1:17" ht="68.25" customHeight="1" x14ac:dyDescent="0.3">
      <c r="A15" s="1289"/>
      <c r="B15" s="1289"/>
      <c r="C15" s="636" t="s">
        <v>61</v>
      </c>
      <c r="D15" s="636" t="s">
        <v>250</v>
      </c>
      <c r="E15" s="636">
        <v>0.05</v>
      </c>
      <c r="F15" s="32">
        <v>1601809</v>
      </c>
      <c r="G15" s="32">
        <f>+ROUND(F15*1.051,0)</f>
        <v>1683501</v>
      </c>
      <c r="H15" s="32">
        <f>ROUND((E15*F15),0)</f>
        <v>80090</v>
      </c>
      <c r="I15" s="32">
        <f>+ROUND(G15*E15,0)</f>
        <v>84175</v>
      </c>
      <c r="J15" s="1289"/>
      <c r="K15" s="799">
        <v>0</v>
      </c>
      <c r="L15" s="685">
        <f>ROUND(K15*G15,0)</f>
        <v>0</v>
      </c>
      <c r="M15" s="880">
        <f>+L15/I15</f>
        <v>0</v>
      </c>
      <c r="N15" s="536">
        <f>K15</f>
        <v>0</v>
      </c>
      <c r="O15" s="685">
        <f>L15</f>
        <v>0</v>
      </c>
      <c r="P15" s="684">
        <f>O15/I15</f>
        <v>0</v>
      </c>
      <c r="Q15" s="638"/>
    </row>
    <row r="16" spans="1:17" x14ac:dyDescent="0.3">
      <c r="A16" s="1289"/>
      <c r="B16" s="1289"/>
      <c r="C16" s="39"/>
      <c r="D16" s="39" t="s">
        <v>102</v>
      </c>
      <c r="E16" s="41"/>
      <c r="F16" s="41"/>
      <c r="G16" s="41"/>
      <c r="H16" s="42">
        <f>SUM(H14:H15)</f>
        <v>80090</v>
      </c>
      <c r="I16" s="42">
        <f>SUM(I14:I15)</f>
        <v>84175</v>
      </c>
      <c r="J16" s="1289"/>
      <c r="K16" s="41"/>
      <c r="L16" s="683">
        <f>SUM(L14:L15)</f>
        <v>0</v>
      </c>
      <c r="M16" s="519">
        <f>L16/H16</f>
        <v>0</v>
      </c>
      <c r="N16" s="40"/>
      <c r="O16" s="683">
        <f>SUM(O14:O15)</f>
        <v>0</v>
      </c>
      <c r="P16" s="1100">
        <f t="shared" ref="P16:P21" si="0">O16/I16</f>
        <v>0</v>
      </c>
      <c r="Q16" s="638"/>
    </row>
    <row r="17" spans="1:17" s="638" customFormat="1" ht="51" customHeight="1" x14ac:dyDescent="0.3">
      <c r="A17" s="1289" t="s">
        <v>281</v>
      </c>
      <c r="B17" s="1289" t="s">
        <v>251</v>
      </c>
      <c r="C17" s="636" t="s">
        <v>59</v>
      </c>
      <c r="D17" s="636" t="s">
        <v>145</v>
      </c>
      <c r="E17" s="636">
        <v>0</v>
      </c>
      <c r="F17" s="32">
        <v>940192</v>
      </c>
      <c r="G17" s="32">
        <f>+ROUND(F17*1.051,0)</f>
        <v>988142</v>
      </c>
      <c r="H17" s="32">
        <f>ROUND((E17*F17),0)</f>
        <v>0</v>
      </c>
      <c r="I17" s="32">
        <f>+ROUND(G17*E17,0)</f>
        <v>0</v>
      </c>
      <c r="J17" s="1289" t="s">
        <v>1764</v>
      </c>
      <c r="K17" s="799">
        <v>0</v>
      </c>
      <c r="L17" s="685">
        <f t="shared" ref="L17:L18" si="1">ROUND(K17*G17,0)</f>
        <v>0</v>
      </c>
      <c r="M17" s="880">
        <v>0</v>
      </c>
      <c r="N17" s="536">
        <f>K17</f>
        <v>0</v>
      </c>
      <c r="O17" s="685">
        <f>L17</f>
        <v>0</v>
      </c>
      <c r="P17" s="684">
        <v>0</v>
      </c>
    </row>
    <row r="18" spans="1:17" s="638" customFormat="1" ht="68.25" customHeight="1" x14ac:dyDescent="0.3">
      <c r="A18" s="1289"/>
      <c r="B18" s="1289"/>
      <c r="C18" s="636" t="s">
        <v>61</v>
      </c>
      <c r="D18" s="636" t="s">
        <v>146</v>
      </c>
      <c r="E18" s="636">
        <v>0.05</v>
      </c>
      <c r="F18" s="32">
        <v>5188469</v>
      </c>
      <c r="G18" s="32">
        <f>+ROUND(F18*1.051,0)</f>
        <v>5453081</v>
      </c>
      <c r="H18" s="32">
        <f>ROUND((E18*F18),0)</f>
        <v>259423</v>
      </c>
      <c r="I18" s="32">
        <f>+ROUND(G18*E18,0)</f>
        <v>272654</v>
      </c>
      <c r="J18" s="1289"/>
      <c r="K18" s="799">
        <v>0</v>
      </c>
      <c r="L18" s="685">
        <f t="shared" si="1"/>
        <v>0</v>
      </c>
      <c r="M18" s="880">
        <f t="shared" ref="M18" si="2">+L18/I18</f>
        <v>0</v>
      </c>
      <c r="N18" s="536">
        <f>K18</f>
        <v>0</v>
      </c>
      <c r="O18" s="685">
        <f>L18</f>
        <v>0</v>
      </c>
      <c r="P18" s="684">
        <f t="shared" si="0"/>
        <v>0</v>
      </c>
    </row>
    <row r="19" spans="1:17" s="638" customFormat="1" x14ac:dyDescent="0.3">
      <c r="A19" s="1289"/>
      <c r="B19" s="1289"/>
      <c r="C19" s="39"/>
      <c r="D19" s="39" t="s">
        <v>147</v>
      </c>
      <c r="E19" s="41"/>
      <c r="F19" s="41"/>
      <c r="G19" s="41"/>
      <c r="H19" s="42">
        <f>SUM(H17:H18)</f>
        <v>259423</v>
      </c>
      <c r="I19" s="42">
        <f>SUM(I17:I18)</f>
        <v>272654</v>
      </c>
      <c r="J19" s="1289"/>
      <c r="K19" s="41"/>
      <c r="L19" s="683">
        <f>SUM(L17:L18)</f>
        <v>0</v>
      </c>
      <c r="M19" s="519">
        <f>L19/H19</f>
        <v>0</v>
      </c>
      <c r="N19" s="40"/>
      <c r="O19" s="683">
        <f>SUM(O17:O18)</f>
        <v>0</v>
      </c>
      <c r="P19" s="1100">
        <f t="shared" si="0"/>
        <v>0</v>
      </c>
    </row>
    <row r="20" spans="1:17" s="638" customFormat="1" ht="96" customHeight="1" x14ac:dyDescent="0.3">
      <c r="A20" s="1289" t="s">
        <v>281</v>
      </c>
      <c r="B20" s="1289" t="s">
        <v>252</v>
      </c>
      <c r="C20" s="636" t="s">
        <v>157</v>
      </c>
      <c r="D20" s="636" t="s">
        <v>158</v>
      </c>
      <c r="E20" s="636">
        <v>0.05</v>
      </c>
      <c r="F20" s="32">
        <v>2437536</v>
      </c>
      <c r="G20" s="32">
        <f>+ROUND(F20*1.051,0)</f>
        <v>2561850</v>
      </c>
      <c r="H20" s="32">
        <f>ROUND((E20*F20),0)</f>
        <v>121877</v>
      </c>
      <c r="I20" s="32">
        <f>+ROUND(G20*E20,0)</f>
        <v>128093</v>
      </c>
      <c r="J20" s="1289" t="s">
        <v>1765</v>
      </c>
      <c r="K20" s="799">
        <v>0</v>
      </c>
      <c r="L20" s="685">
        <f t="shared" ref="L20" si="3">ROUND(K20*G20,0)</f>
        <v>0</v>
      </c>
      <c r="M20" s="880">
        <f t="shared" ref="M20" si="4">+L20/I20</f>
        <v>0</v>
      </c>
      <c r="N20" s="536">
        <f>K20</f>
        <v>0</v>
      </c>
      <c r="O20" s="685">
        <f>L20</f>
        <v>0</v>
      </c>
      <c r="P20" s="684">
        <f t="shared" si="0"/>
        <v>0</v>
      </c>
    </row>
    <row r="21" spans="1:17" s="638" customFormat="1" ht="17.25" customHeight="1" x14ac:dyDescent="0.3">
      <c r="A21" s="1289"/>
      <c r="B21" s="1289"/>
      <c r="C21" s="39"/>
      <c r="D21" s="39" t="s">
        <v>159</v>
      </c>
      <c r="E21" s="41"/>
      <c r="F21" s="41"/>
      <c r="G21" s="41"/>
      <c r="H21" s="42">
        <f>H20</f>
        <v>121877</v>
      </c>
      <c r="I21" s="42">
        <f>SUM(I20)</f>
        <v>128093</v>
      </c>
      <c r="J21" s="1289"/>
      <c r="K21" s="41"/>
      <c r="L21" s="683">
        <f>SUM(L20:L20)</f>
        <v>0</v>
      </c>
      <c r="M21" s="519">
        <f>SUM(M20:M20)</f>
        <v>0</v>
      </c>
      <c r="N21" s="40"/>
      <c r="O21" s="683">
        <f>SUM(O20:O20)</f>
        <v>0</v>
      </c>
      <c r="P21" s="1100">
        <f t="shared" si="0"/>
        <v>0</v>
      </c>
    </row>
    <row r="22" spans="1:17" x14ac:dyDescent="0.3">
      <c r="A22" s="638"/>
      <c r="B22" s="638"/>
      <c r="C22" s="638"/>
      <c r="D22" s="638"/>
      <c r="E22" s="638"/>
      <c r="F22" s="686" t="s">
        <v>1740</v>
      </c>
      <c r="G22" s="686"/>
      <c r="H22" s="687">
        <f>H16+H19+H21</f>
        <v>461390</v>
      </c>
      <c r="I22" s="687">
        <f>I16+I19+I21</f>
        <v>484922</v>
      </c>
      <c r="J22" s="638"/>
      <c r="K22" s="547" t="s">
        <v>64</v>
      </c>
      <c r="L22" s="688">
        <f>SUM(L14:L21)/2</f>
        <v>0</v>
      </c>
      <c r="M22" s="638"/>
      <c r="N22" s="547" t="s">
        <v>64</v>
      </c>
      <c r="O22" s="688">
        <f>SUM(O14:O21)/2</f>
        <v>0</v>
      </c>
      <c r="P22" s="638"/>
      <c r="Q22" s="638"/>
    </row>
    <row r="23" spans="1:17" ht="26.4" x14ac:dyDescent="0.3">
      <c r="A23" s="638"/>
      <c r="B23" s="638"/>
      <c r="C23" s="638"/>
      <c r="D23" s="638"/>
      <c r="E23" s="638"/>
      <c r="F23" s="444" t="s">
        <v>65</v>
      </c>
      <c r="G23" s="444"/>
      <c r="H23" s="181">
        <v>0</v>
      </c>
      <c r="I23" s="181">
        <v>0</v>
      </c>
      <c r="J23" s="638"/>
      <c r="K23" s="548" t="s">
        <v>65</v>
      </c>
      <c r="L23" s="481"/>
      <c r="M23" s="638"/>
      <c r="N23" s="548" t="s">
        <v>65</v>
      </c>
      <c r="O23" s="481"/>
      <c r="P23" s="638"/>
      <c r="Q23" s="638"/>
    </row>
    <row r="24" spans="1:17" x14ac:dyDescent="0.3">
      <c r="A24" s="638"/>
      <c r="B24" s="638"/>
      <c r="C24" s="638"/>
      <c r="D24" s="638"/>
      <c r="E24" s="638"/>
      <c r="F24" s="443" t="s">
        <v>1740</v>
      </c>
      <c r="G24" s="443"/>
      <c r="H24" s="340">
        <f>+H23+H22</f>
        <v>461390</v>
      </c>
      <c r="I24" s="340">
        <f>+I23+I22</f>
        <v>484922</v>
      </c>
      <c r="J24" s="638"/>
      <c r="K24" s="549" t="s">
        <v>64</v>
      </c>
      <c r="L24" s="481">
        <f>L22+L23</f>
        <v>0</v>
      </c>
      <c r="M24" s="638"/>
      <c r="N24" s="549" t="s">
        <v>64</v>
      </c>
      <c r="O24" s="481">
        <f>O22+O23</f>
        <v>0</v>
      </c>
      <c r="P24" s="638"/>
      <c r="Q24" s="638"/>
    </row>
    <row r="25" spans="1:17" ht="26.4" x14ac:dyDescent="0.3">
      <c r="A25" s="638"/>
      <c r="B25" s="638"/>
      <c r="C25" s="638"/>
      <c r="D25" s="638"/>
      <c r="E25" s="638"/>
      <c r="F25" s="659"/>
      <c r="G25" s="659"/>
      <c r="H25" s="659"/>
      <c r="I25" s="659"/>
      <c r="J25" s="638"/>
      <c r="K25" s="501" t="s">
        <v>1439</v>
      </c>
      <c r="L25" s="481">
        <f>ROUND(L24*0.015,0)</f>
        <v>0</v>
      </c>
      <c r="M25" s="638"/>
      <c r="N25" s="501" t="s">
        <v>1439</v>
      </c>
      <c r="O25" s="481">
        <f>ROUND(O24*0.015,0)</f>
        <v>0</v>
      </c>
      <c r="P25" s="638"/>
      <c r="Q25" s="638"/>
    </row>
    <row r="26" spans="1:17" ht="39.6" x14ac:dyDescent="0.3">
      <c r="A26" s="638"/>
      <c r="B26" s="638"/>
      <c r="C26" s="638"/>
      <c r="D26" s="638"/>
      <c r="E26" s="638"/>
      <c r="F26" s="659"/>
      <c r="G26" s="659"/>
      <c r="H26" s="659"/>
      <c r="I26" s="659"/>
      <c r="J26" s="638"/>
      <c r="K26" s="96" t="s">
        <v>1440</v>
      </c>
      <c r="L26" s="425">
        <f>L24+L25</f>
        <v>0</v>
      </c>
      <c r="M26" s="678">
        <f>L26/I22</f>
        <v>0</v>
      </c>
      <c r="N26" s="96" t="s">
        <v>1440</v>
      </c>
      <c r="O26" s="425">
        <f>O24+O25</f>
        <v>0</v>
      </c>
      <c r="P26" s="678">
        <f>O26/I22</f>
        <v>0</v>
      </c>
      <c r="Q26" s="638"/>
    </row>
    <row r="27" spans="1:17" x14ac:dyDescent="0.3">
      <c r="A27" s="638"/>
      <c r="B27" s="638"/>
      <c r="C27" s="638"/>
      <c r="D27" s="638"/>
      <c r="E27" s="638"/>
      <c r="F27" s="442" t="s">
        <v>66</v>
      </c>
      <c r="G27" s="442"/>
      <c r="H27" s="181">
        <f>+H22*19%</f>
        <v>87664.1</v>
      </c>
      <c r="I27" s="181">
        <f>+I22*19%</f>
        <v>92135.180000000008</v>
      </c>
      <c r="J27" s="638"/>
      <c r="K27" s="551" t="s">
        <v>66</v>
      </c>
      <c r="L27" s="672">
        <f>L26*0.19</f>
        <v>0</v>
      </c>
      <c r="M27" s="638"/>
      <c r="N27" s="551" t="s">
        <v>66</v>
      </c>
      <c r="O27" s="672">
        <f>O26*0.19</f>
        <v>0</v>
      </c>
      <c r="P27" s="638"/>
      <c r="Q27" s="638"/>
    </row>
    <row r="28" spans="1:17" x14ac:dyDescent="0.3">
      <c r="A28" s="638"/>
      <c r="B28" s="638"/>
      <c r="C28" s="638"/>
      <c r="D28" s="638"/>
      <c r="E28" s="638"/>
      <c r="F28" s="441" t="s">
        <v>69</v>
      </c>
      <c r="G28" s="441"/>
      <c r="H28" s="181">
        <f>+H22+H27</f>
        <v>549054.1</v>
      </c>
      <c r="I28" s="181">
        <f>+I22+I27</f>
        <v>577057.18000000005</v>
      </c>
      <c r="J28" s="638"/>
      <c r="K28" s="552" t="s">
        <v>69</v>
      </c>
      <c r="L28" s="672">
        <f>L26+L27</f>
        <v>0</v>
      </c>
      <c r="M28" s="638"/>
      <c r="N28" s="552" t="s">
        <v>69</v>
      </c>
      <c r="O28" s="672">
        <f>O26+O27</f>
        <v>0</v>
      </c>
      <c r="P28" s="638"/>
      <c r="Q28" s="638"/>
    </row>
    <row r="29" spans="1:17" x14ac:dyDescent="0.3">
      <c r="A29" s="638"/>
      <c r="B29" s="638"/>
      <c r="C29" s="638"/>
      <c r="D29" s="638"/>
      <c r="E29" s="638"/>
      <c r="F29" s="638"/>
      <c r="H29" s="638"/>
      <c r="J29" s="638"/>
      <c r="K29" s="638"/>
      <c r="L29" s="638"/>
      <c r="M29" s="638"/>
      <c r="N29" s="638"/>
      <c r="O29" s="638"/>
      <c r="P29" s="638"/>
      <c r="Q29" s="638"/>
    </row>
    <row r="30" spans="1:17" x14ac:dyDescent="0.3">
      <c r="A30" s="665" t="s">
        <v>67</v>
      </c>
      <c r="B30" s="184"/>
      <c r="C30" s="184"/>
      <c r="D30" s="185" t="s">
        <v>68</v>
      </c>
      <c r="E30" s="638"/>
      <c r="F30" s="638"/>
      <c r="H30" s="638"/>
      <c r="J30" s="638"/>
      <c r="K30" s="186" t="s">
        <v>70</v>
      </c>
      <c r="L30" s="187" t="s">
        <v>71</v>
      </c>
      <c r="M30" s="186" t="s">
        <v>58</v>
      </c>
      <c r="N30" s="638"/>
      <c r="O30" s="638"/>
      <c r="P30" s="638"/>
      <c r="Q30" s="638"/>
    </row>
    <row r="31" spans="1:17" x14ac:dyDescent="0.3">
      <c r="A31" s="665"/>
      <c r="B31" s="184"/>
      <c r="C31" s="184"/>
      <c r="D31" s="185"/>
      <c r="E31" s="638"/>
      <c r="F31" s="638"/>
      <c r="H31" s="638"/>
      <c r="J31" s="638"/>
      <c r="K31" s="69" t="s">
        <v>72</v>
      </c>
      <c r="L31" s="70">
        <f>L26</f>
        <v>0</v>
      </c>
      <c r="M31" s="360">
        <f>M26</f>
        <v>0</v>
      </c>
      <c r="N31" s="638"/>
      <c r="O31" s="638"/>
      <c r="P31" s="638"/>
      <c r="Q31" s="638"/>
    </row>
    <row r="32" spans="1:17" x14ac:dyDescent="0.3">
      <c r="A32" s="665"/>
      <c r="B32" s="184"/>
      <c r="C32" s="184"/>
      <c r="D32" s="185"/>
      <c r="E32" s="638"/>
      <c r="F32" s="638"/>
      <c r="H32" s="638"/>
      <c r="J32" s="638"/>
      <c r="K32" s="72" t="s">
        <v>1</v>
      </c>
      <c r="L32" s="105">
        <f>L31</f>
        <v>0</v>
      </c>
      <c r="M32" s="361">
        <f>M31</f>
        <v>0</v>
      </c>
      <c r="N32" s="638"/>
      <c r="O32" s="638"/>
      <c r="P32" s="638"/>
      <c r="Q32" s="638"/>
    </row>
    <row r="33" spans="1:17" x14ac:dyDescent="0.3">
      <c r="A33" s="665"/>
      <c r="B33" s="184"/>
      <c r="C33" s="184"/>
      <c r="D33" s="185"/>
      <c r="E33" s="638"/>
      <c r="F33" s="638"/>
      <c r="H33" s="638"/>
      <c r="J33" s="638"/>
      <c r="K33" s="72" t="s">
        <v>9</v>
      </c>
      <c r="L33" s="1423"/>
      <c r="M33" s="1424"/>
      <c r="N33" s="638"/>
      <c r="O33" s="638"/>
      <c r="P33" s="638"/>
      <c r="Q33" s="638"/>
    </row>
    <row r="34" spans="1:17" x14ac:dyDescent="0.3">
      <c r="A34" s="665"/>
      <c r="B34" s="184"/>
      <c r="C34" s="184"/>
      <c r="D34" s="185"/>
      <c r="E34" s="638"/>
      <c r="F34" s="638"/>
      <c r="H34" s="638"/>
      <c r="J34" s="638"/>
      <c r="K34" s="440" t="s">
        <v>78</v>
      </c>
      <c r="L34" s="1423" t="s">
        <v>253</v>
      </c>
      <c r="M34" s="1424"/>
      <c r="N34" s="638"/>
      <c r="O34" s="638"/>
      <c r="P34" s="638"/>
      <c r="Q34" s="638"/>
    </row>
    <row r="35" spans="1:17" x14ac:dyDescent="0.3">
      <c r="A35" s="665"/>
      <c r="B35" s="184"/>
      <c r="C35" s="184"/>
      <c r="D35" s="185"/>
      <c r="E35" s="638"/>
      <c r="F35" s="638"/>
      <c r="H35" s="638"/>
      <c r="J35" s="638"/>
      <c r="K35" s="439" t="s">
        <v>8</v>
      </c>
      <c r="L35" s="1425" t="s">
        <v>287</v>
      </c>
      <c r="M35" s="1426"/>
      <c r="N35" s="638"/>
      <c r="O35" s="638"/>
      <c r="P35" s="638"/>
      <c r="Q35" s="638"/>
    </row>
    <row r="36" spans="1:17" x14ac:dyDescent="0.3">
      <c r="A36" s="665"/>
      <c r="B36" s="184"/>
      <c r="C36" s="184"/>
      <c r="D36" s="185" t="s">
        <v>75</v>
      </c>
      <c r="E36" s="638"/>
      <c r="F36" s="638"/>
      <c r="H36" s="638"/>
      <c r="J36" s="638"/>
      <c r="K36" s="638"/>
      <c r="L36" s="638"/>
      <c r="M36" s="638"/>
      <c r="N36" s="638"/>
      <c r="O36" s="638"/>
      <c r="P36" s="638"/>
      <c r="Q36" s="638"/>
    </row>
    <row r="37" spans="1:17" x14ac:dyDescent="0.3">
      <c r="A37" s="665" t="s">
        <v>76</v>
      </c>
      <c r="B37" s="180"/>
      <c r="C37" s="180"/>
      <c r="D37" s="185" t="s">
        <v>77</v>
      </c>
      <c r="E37" s="638"/>
      <c r="F37" s="638"/>
      <c r="H37" s="638"/>
      <c r="J37" s="638"/>
      <c r="K37" s="638"/>
      <c r="L37" s="638"/>
      <c r="M37" s="638"/>
      <c r="N37" s="638"/>
      <c r="O37" s="638"/>
      <c r="P37" s="638"/>
      <c r="Q37" s="638"/>
    </row>
    <row r="38" spans="1:17" x14ac:dyDescent="0.3">
      <c r="A38" s="665" t="s">
        <v>79</v>
      </c>
      <c r="B38" s="180"/>
      <c r="C38" s="180"/>
      <c r="D38" s="185" t="s">
        <v>80</v>
      </c>
      <c r="E38" s="638"/>
      <c r="F38" s="638"/>
      <c r="H38" s="638"/>
      <c r="J38" s="638"/>
      <c r="K38" s="638"/>
      <c r="L38" s="638"/>
      <c r="M38" s="638"/>
      <c r="N38" s="638"/>
      <c r="O38" s="638"/>
      <c r="P38" s="638"/>
      <c r="Q38" s="638"/>
    </row>
    <row r="39" spans="1:17" x14ac:dyDescent="0.3">
      <c r="A39" s="638"/>
      <c r="B39" s="638"/>
      <c r="C39" s="638"/>
      <c r="D39" s="638"/>
      <c r="E39" s="638"/>
      <c r="F39" s="638"/>
      <c r="H39" s="638"/>
      <c r="J39" s="638"/>
      <c r="K39" s="638"/>
      <c r="L39" s="638"/>
      <c r="M39" s="638"/>
      <c r="N39" s="638"/>
      <c r="O39" s="638"/>
      <c r="P39" s="638"/>
      <c r="Q39" s="638"/>
    </row>
  </sheetData>
  <mergeCells count="27">
    <mergeCell ref="B11:J11"/>
    <mergeCell ref="K11:M12"/>
    <mergeCell ref="N11:P12"/>
    <mergeCell ref="B12:J12"/>
    <mergeCell ref="C1:M2"/>
    <mergeCell ref="N1:P1"/>
    <mergeCell ref="N2:P2"/>
    <mergeCell ref="A3:P3"/>
    <mergeCell ref="A4:P4"/>
    <mergeCell ref="A5:P5"/>
    <mergeCell ref="A6:P6"/>
    <mergeCell ref="A7:P7"/>
    <mergeCell ref="A8:P8"/>
    <mergeCell ref="A9:P9"/>
    <mergeCell ref="A10:P10"/>
    <mergeCell ref="L35:M35"/>
    <mergeCell ref="A17:A19"/>
    <mergeCell ref="B17:B19"/>
    <mergeCell ref="J17:J19"/>
    <mergeCell ref="A20:A21"/>
    <mergeCell ref="B20:B21"/>
    <mergeCell ref="J20:J21"/>
    <mergeCell ref="A14:A16"/>
    <mergeCell ref="B14:B16"/>
    <mergeCell ref="J14:J16"/>
    <mergeCell ref="L33:M33"/>
    <mergeCell ref="L34:M34"/>
  </mergeCells>
  <pageMargins left="0.7" right="0.7" top="0.75" bottom="0.75" header="0.3" footer="0.3"/>
  <drawing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3">
    <tabColor theme="1"/>
  </sheetPr>
  <dimension ref="A1:G49"/>
  <sheetViews>
    <sheetView topLeftCell="A19" zoomScaleNormal="100" zoomScaleSheetLayoutView="80" workbookViewId="0">
      <selection activeCell="G39" sqref="G3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RESUMEN!G110</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RESUMEN!B110</f>
        <v>D00249543</v>
      </c>
      <c r="C7" s="1265"/>
      <c r="D7" s="1177"/>
      <c r="E7" s="1266" t="s">
        <v>627</v>
      </c>
      <c r="F7" s="1267"/>
      <c r="G7" s="280" t="str">
        <f>RESUMEN!E110</f>
        <v>17-398</v>
      </c>
    </row>
    <row r="8" spans="1:7" x14ac:dyDescent="0.25">
      <c r="A8" s="271" t="s">
        <v>628</v>
      </c>
      <c r="B8" s="1264" t="str">
        <f>RESUMEN!C110</f>
        <v>D00249543000</v>
      </c>
      <c r="C8" s="1265"/>
      <c r="D8" s="1177"/>
      <c r="E8" s="1266" t="s">
        <v>629</v>
      </c>
      <c r="F8" s="1267"/>
      <c r="G8" s="280" t="str">
        <f>RESUMEN!U110</f>
        <v>Acta N° 2: Marzo</v>
      </c>
    </row>
    <row r="9" spans="1:7" x14ac:dyDescent="0.25">
      <c r="A9" s="271" t="s">
        <v>630</v>
      </c>
      <c r="B9" s="1283" t="s">
        <v>631</v>
      </c>
      <c r="C9" s="1265"/>
      <c r="D9" s="1177"/>
      <c r="E9" s="1266" t="s">
        <v>632</v>
      </c>
      <c r="F9" s="1267"/>
      <c r="G9" s="1178">
        <f>RESUMEN!H110</f>
        <v>576302</v>
      </c>
    </row>
    <row r="10" spans="1:7" x14ac:dyDescent="0.25">
      <c r="A10" s="271" t="s">
        <v>633</v>
      </c>
      <c r="B10" s="1283" t="str">
        <f>RESUMEN!D110</f>
        <v>CASTELLANA</v>
      </c>
      <c r="C10" s="1265"/>
      <c r="D10" s="1177"/>
      <c r="E10" s="1266" t="s">
        <v>634</v>
      </c>
      <c r="F10" s="1267"/>
      <c r="G10" s="1178">
        <f>RESUMEN!R110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",RESUMEN!G110)</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RESUMEN!N110</f>
        <v>0</v>
      </c>
      <c r="F19" s="1248"/>
      <c r="G19" s="1177"/>
    </row>
    <row r="20" spans="1:7" ht="27" customHeight="1" x14ac:dyDescent="0.25">
      <c r="A20" s="1177"/>
      <c r="B20" s="1244" t="s">
        <v>1498</v>
      </c>
      <c r="C20" s="1245"/>
      <c r="D20" s="1246"/>
      <c r="E20" s="1247">
        <f>RESUMEN!P110</f>
        <v>0</v>
      </c>
      <c r="F20" s="1248"/>
      <c r="G20" s="1177"/>
    </row>
    <row r="21" spans="1:7" ht="27" customHeight="1" x14ac:dyDescent="0.25">
      <c r="A21" s="1177"/>
      <c r="B21" s="1244" t="s">
        <v>1499</v>
      </c>
      <c r="C21" s="1245"/>
      <c r="D21" s="1246"/>
      <c r="E21" s="1247">
        <f>RESUMEN!Q110</f>
        <v>0</v>
      </c>
      <c r="F21" s="1248"/>
      <c r="G21" s="1177"/>
    </row>
    <row r="22" spans="1:7" x14ac:dyDescent="0.25">
      <c r="A22" s="1177"/>
      <c r="B22" s="1254" t="s">
        <v>64</v>
      </c>
      <c r="C22" s="1254"/>
      <c r="D22" s="1254"/>
      <c r="E22" s="1255">
        <f>RESUMEN!R110</f>
        <v>0</v>
      </c>
      <c r="F22" s="1255"/>
      <c r="G22" s="1177"/>
    </row>
    <row r="23" spans="1:7" x14ac:dyDescent="0.25">
      <c r="A23" s="1177"/>
      <c r="B23" s="1256" t="s">
        <v>66</v>
      </c>
      <c r="C23" s="1256"/>
      <c r="D23" s="1256"/>
      <c r="E23" s="1257">
        <f>RESUMEN!S110</f>
        <v>0</v>
      </c>
      <c r="F23" s="1257"/>
      <c r="G23" s="1177"/>
    </row>
    <row r="24" spans="1:7" x14ac:dyDescent="0.25">
      <c r="A24" s="1177"/>
      <c r="B24" s="1258" t="s">
        <v>1</v>
      </c>
      <c r="C24" s="1258"/>
      <c r="D24" s="1258"/>
      <c r="E24" s="1259">
        <f>RESUMEN!T110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+'OT17-398 CASTELLANA AS BUILT'!N34</f>
        <v>ACTA 1</v>
      </c>
      <c r="C28" s="1253">
        <f>+'OT17-398 CASTELLANA AS BUILT'!O34</f>
        <v>516341</v>
      </c>
      <c r="D28" s="1253"/>
      <c r="E28" s="267">
        <f>+'OT17-398 CASTELLANA AS BUILT'!P34</f>
        <v>0.8959555927274242</v>
      </c>
      <c r="F28" s="1177"/>
      <c r="G28" s="1177"/>
    </row>
    <row r="29" spans="1:7" x14ac:dyDescent="0.25">
      <c r="A29" s="1177"/>
      <c r="B29" s="280" t="str">
        <f>+'OT17-398 CASTELLANA AS BUILT'!N35</f>
        <v>ACTA 2</v>
      </c>
      <c r="C29" s="1253">
        <f>+'OT17-398 CASTELLANA AS BUILT'!O35</f>
        <v>0</v>
      </c>
      <c r="D29" s="1253"/>
      <c r="E29" s="267">
        <f>+'OT17-398 CASTELLANA AS BUILT'!P35</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516341</v>
      </c>
      <c r="D34" s="1251"/>
      <c r="E34" s="264">
        <f>SUM(E28:E33)</f>
        <v>0.8959555927274242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RESUMEN!V110</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4">
    <tabColor rgb="FF72104A"/>
  </sheetPr>
  <dimension ref="A1:S41"/>
  <sheetViews>
    <sheetView topLeftCell="D16" zoomScale="70" zoomScaleNormal="70" workbookViewId="0">
      <selection activeCell="J14" sqref="J14:J16"/>
    </sheetView>
  </sheetViews>
  <sheetFormatPr baseColWidth="10" defaultRowHeight="14.4" x14ac:dyDescent="0.3"/>
  <cols>
    <col min="1" max="1" width="22.109375" customWidth="1"/>
    <col min="2" max="2" width="26.109375" customWidth="1"/>
    <col min="3" max="3" width="29.33203125" customWidth="1"/>
    <col min="4" max="4" width="31" customWidth="1"/>
    <col min="6" max="6" width="22.88671875" customWidth="1"/>
    <col min="7" max="7" width="22.88671875" style="849" customWidth="1"/>
    <col min="8" max="8" width="16.109375" bestFit="1" customWidth="1"/>
    <col min="9" max="9" width="16.109375" style="849" customWidth="1"/>
    <col min="10" max="10" width="39" customWidth="1"/>
    <col min="11" max="11" width="17" bestFit="1" customWidth="1"/>
    <col min="12" max="12" width="19.109375" bestFit="1" customWidth="1"/>
    <col min="14" max="14" width="13.88671875" style="1054" customWidth="1"/>
    <col min="15" max="15" width="13.33203125" style="1054" customWidth="1"/>
    <col min="16" max="16" width="11.5546875" style="1054"/>
    <col min="17" max="17" width="16.88671875" bestFit="1" customWidth="1"/>
    <col min="18" max="18" width="13.664062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1766</v>
      </c>
      <c r="B7" s="1292"/>
      <c r="C7" s="1292"/>
      <c r="D7" s="1292"/>
      <c r="E7" s="1292"/>
      <c r="F7" s="1292"/>
      <c r="G7" s="1292"/>
      <c r="H7" s="1292"/>
      <c r="I7" s="1292"/>
      <c r="J7" s="1292"/>
      <c r="K7" s="1292"/>
      <c r="L7" s="1292"/>
      <c r="M7" s="1292"/>
      <c r="N7" s="1292"/>
      <c r="O7" s="1292"/>
      <c r="P7" s="1292"/>
      <c r="Q7" s="1292"/>
      <c r="R7" s="1292"/>
      <c r="S7" s="1292"/>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1767</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65.25" customHeight="1" x14ac:dyDescent="0.3">
      <c r="A14" s="1289" t="s">
        <v>288</v>
      </c>
      <c r="B14" s="1289" t="s">
        <v>243</v>
      </c>
      <c r="C14" s="636" t="s">
        <v>59</v>
      </c>
      <c r="D14" s="636" t="s">
        <v>141</v>
      </c>
      <c r="E14" s="636">
        <v>0</v>
      </c>
      <c r="F14" s="32">
        <v>940192</v>
      </c>
      <c r="G14" s="32">
        <f>+ROUND(F14*1.051,0)</f>
        <v>988142</v>
      </c>
      <c r="H14" s="32">
        <f>ROUND((E14*F14),0)</f>
        <v>0</v>
      </c>
      <c r="I14" s="32">
        <f>+ROUND(G14*E14,0)</f>
        <v>0</v>
      </c>
      <c r="J14" s="1289" t="s">
        <v>1768</v>
      </c>
      <c r="K14" s="536">
        <v>0</v>
      </c>
      <c r="L14" s="685">
        <f>ROUND(K14*G14,0)</f>
        <v>0</v>
      </c>
      <c r="M14" s="684">
        <v>0</v>
      </c>
      <c r="N14" s="799">
        <v>0</v>
      </c>
      <c r="O14" s="685">
        <f>ROUND(N14*G14,0)</f>
        <v>0</v>
      </c>
      <c r="P14" s="684">
        <v>0</v>
      </c>
      <c r="Q14" s="536">
        <f>K14+N14</f>
        <v>0</v>
      </c>
      <c r="R14" s="685">
        <f>L14+O14</f>
        <v>0</v>
      </c>
      <c r="S14" s="684">
        <v>0</v>
      </c>
    </row>
    <row r="15" spans="1:19" ht="66" customHeight="1" x14ac:dyDescent="0.3">
      <c r="A15" s="1289"/>
      <c r="B15" s="1289"/>
      <c r="C15" s="636" t="s">
        <v>61</v>
      </c>
      <c r="D15" s="636" t="s">
        <v>142</v>
      </c>
      <c r="E15" s="636">
        <v>0.05</v>
      </c>
      <c r="F15" s="32">
        <v>2890220</v>
      </c>
      <c r="G15" s="32">
        <f>+ROUND(F15*1.051,0)</f>
        <v>3037621</v>
      </c>
      <c r="H15" s="32">
        <f>ROUND((E15*F15),0)</f>
        <v>144511</v>
      </c>
      <c r="I15" s="32">
        <f>+ROUND(G15*E15,0)</f>
        <v>151881</v>
      </c>
      <c r="J15" s="1289"/>
      <c r="K15" s="537">
        <v>0.05</v>
      </c>
      <c r="L15" s="752">
        <f>ROUND(K15*G15,0)</f>
        <v>151881</v>
      </c>
      <c r="M15" s="753">
        <f>+L15/I15</f>
        <v>1</v>
      </c>
      <c r="N15" s="891">
        <v>0</v>
      </c>
      <c r="O15" s="685">
        <f>ROUND(N15*G15,0)</f>
        <v>0</v>
      </c>
      <c r="P15" s="893">
        <f>+O15/L15</f>
        <v>0</v>
      </c>
      <c r="Q15" s="799">
        <f t="shared" ref="Q15:Q23" si="0">K15+N15</f>
        <v>0.05</v>
      </c>
      <c r="R15" s="685">
        <f t="shared" ref="R15:R24" si="1">L15+O15</f>
        <v>151881</v>
      </c>
      <c r="S15" s="684">
        <f>R15/H15</f>
        <v>1.0509995778868044</v>
      </c>
    </row>
    <row r="16" spans="1:19" x14ac:dyDescent="0.3">
      <c r="A16" s="1289"/>
      <c r="B16" s="1289"/>
      <c r="C16" s="39"/>
      <c r="D16" s="39" t="s">
        <v>143</v>
      </c>
      <c r="E16" s="41"/>
      <c r="F16" s="41"/>
      <c r="G16" s="41"/>
      <c r="H16" s="42">
        <f>SUM(H14:H15)</f>
        <v>144511</v>
      </c>
      <c r="I16" s="42">
        <f>SUM(I14:I15)</f>
        <v>151881</v>
      </c>
      <c r="J16" s="1289"/>
      <c r="K16" s="41"/>
      <c r="L16" s="683">
        <f>SUM(L14:L15)</f>
        <v>151881</v>
      </c>
      <c r="M16" s="519">
        <f>L16/H16</f>
        <v>1.0509995778868044</v>
      </c>
      <c r="N16" s="41"/>
      <c r="O16" s="683">
        <f>SUM(O14:O15)</f>
        <v>0</v>
      </c>
      <c r="P16" s="519">
        <v>0</v>
      </c>
      <c r="Q16" s="1106"/>
      <c r="R16" s="1107">
        <f t="shared" si="1"/>
        <v>151881</v>
      </c>
      <c r="S16" s="519">
        <f>R16/H16</f>
        <v>1.0509995778868044</v>
      </c>
    </row>
    <row r="17" spans="1:19" ht="45" customHeight="1" x14ac:dyDescent="0.3">
      <c r="A17" s="1289" t="s">
        <v>288</v>
      </c>
      <c r="B17" s="1289" t="s">
        <v>244</v>
      </c>
      <c r="C17" s="636" t="s">
        <v>245</v>
      </c>
      <c r="D17" s="636" t="s">
        <v>246</v>
      </c>
      <c r="E17" s="636">
        <v>0.05</v>
      </c>
      <c r="F17" s="32">
        <v>1845563</v>
      </c>
      <c r="G17" s="32">
        <f>+ROUND(F17*1.051,0)</f>
        <v>1939687</v>
      </c>
      <c r="H17" s="32">
        <f>ROUND((E17*F17),0)</f>
        <v>92278</v>
      </c>
      <c r="I17" s="32">
        <f>+ROUND(G17*E17,0)</f>
        <v>96984</v>
      </c>
      <c r="J17" s="1289" t="s">
        <v>1769</v>
      </c>
      <c r="K17" s="799">
        <v>0</v>
      </c>
      <c r="L17" s="685">
        <f>ROUND(K17*G17,0)</f>
        <v>0</v>
      </c>
      <c r="M17" s="684">
        <f>+L17/I17</f>
        <v>0</v>
      </c>
      <c r="N17" s="799">
        <v>0</v>
      </c>
      <c r="O17" s="685">
        <f>ROUND(N17*G17,0)</f>
        <v>0</v>
      </c>
      <c r="P17" s="684">
        <v>0</v>
      </c>
      <c r="Q17" s="799">
        <f t="shared" si="0"/>
        <v>0</v>
      </c>
      <c r="R17" s="685">
        <f t="shared" si="1"/>
        <v>0</v>
      </c>
      <c r="S17" s="684">
        <v>0</v>
      </c>
    </row>
    <row r="18" spans="1:19" x14ac:dyDescent="0.3">
      <c r="A18" s="1289"/>
      <c r="B18" s="1289"/>
      <c r="C18" s="39"/>
      <c r="D18" s="39" t="s">
        <v>247</v>
      </c>
      <c r="E18" s="41"/>
      <c r="F18" s="41"/>
      <c r="G18" s="41"/>
      <c r="H18" s="42">
        <f>H17</f>
        <v>92278</v>
      </c>
      <c r="I18" s="42">
        <f>SUM(I17)</f>
        <v>96984</v>
      </c>
      <c r="J18" s="1289"/>
      <c r="K18" s="41"/>
      <c r="L18" s="683">
        <f>SUM(L17:L17)</f>
        <v>0</v>
      </c>
      <c r="M18" s="519">
        <f>L18/H18</f>
        <v>0</v>
      </c>
      <c r="N18" s="41"/>
      <c r="O18" s="683">
        <f>SUM(O17:O17)</f>
        <v>0</v>
      </c>
      <c r="P18" s="519">
        <v>0</v>
      </c>
      <c r="Q18" s="1106"/>
      <c r="R18" s="1107">
        <f t="shared" si="1"/>
        <v>0</v>
      </c>
      <c r="S18" s="519">
        <f>R18/H18</f>
        <v>0</v>
      </c>
    </row>
    <row r="19" spans="1:19" s="638" customFormat="1" ht="45" customHeight="1" x14ac:dyDescent="0.3">
      <c r="A19" s="1289" t="s">
        <v>144</v>
      </c>
      <c r="B19" s="1289" t="s">
        <v>251</v>
      </c>
      <c r="C19" s="636" t="s">
        <v>59</v>
      </c>
      <c r="D19" s="636" t="s">
        <v>145</v>
      </c>
      <c r="E19" s="636">
        <v>0</v>
      </c>
      <c r="F19" s="32">
        <v>940192</v>
      </c>
      <c r="G19" s="32">
        <f t="shared" ref="G19:G20" si="2">+ROUND(F19*1.051,0)</f>
        <v>988142</v>
      </c>
      <c r="H19" s="32">
        <f>ROUND((E19*F19),0)</f>
        <v>0</v>
      </c>
      <c r="I19" s="32">
        <f>+ROUND(G19*E19,0)</f>
        <v>0</v>
      </c>
      <c r="J19" s="1289" t="s">
        <v>1770</v>
      </c>
      <c r="K19" s="799">
        <v>0</v>
      </c>
      <c r="L19" s="685">
        <f t="shared" ref="L19:L20" si="3">ROUND(K19*G19,0)</f>
        <v>0</v>
      </c>
      <c r="M19" s="684">
        <v>0</v>
      </c>
      <c r="N19" s="799">
        <v>0</v>
      </c>
      <c r="O19" s="685">
        <f>ROUND(N19*G19,0)</f>
        <v>0</v>
      </c>
      <c r="P19" s="684">
        <v>0</v>
      </c>
      <c r="Q19" s="799">
        <f t="shared" si="0"/>
        <v>0</v>
      </c>
      <c r="R19" s="685">
        <f t="shared" si="1"/>
        <v>0</v>
      </c>
      <c r="S19" s="684">
        <v>0</v>
      </c>
    </row>
    <row r="20" spans="1:19" s="638" customFormat="1" ht="84.75" customHeight="1" x14ac:dyDescent="0.3">
      <c r="A20" s="1289"/>
      <c r="B20" s="1289"/>
      <c r="C20" s="636" t="s">
        <v>61</v>
      </c>
      <c r="D20" s="636" t="s">
        <v>146</v>
      </c>
      <c r="E20" s="636">
        <v>0.05</v>
      </c>
      <c r="F20" s="32">
        <v>5188469</v>
      </c>
      <c r="G20" s="32">
        <f t="shared" si="2"/>
        <v>5453081</v>
      </c>
      <c r="H20" s="32">
        <f>ROUND((E20*F20),0)</f>
        <v>259423</v>
      </c>
      <c r="I20" s="32">
        <f>+ROUND(G20*E20,0)</f>
        <v>272654</v>
      </c>
      <c r="J20" s="1289"/>
      <c r="K20" s="537">
        <v>0.05</v>
      </c>
      <c r="L20" s="752">
        <f t="shared" si="3"/>
        <v>272654</v>
      </c>
      <c r="M20" s="753">
        <f t="shared" ref="M20" si="4">+L20/I20</f>
        <v>1</v>
      </c>
      <c r="N20" s="891">
        <v>0</v>
      </c>
      <c r="O20" s="685">
        <f>ROUND(N20*G20,0)</f>
        <v>0</v>
      </c>
      <c r="P20" s="893">
        <f t="shared" ref="P20" si="5">+O20/L20</f>
        <v>0</v>
      </c>
      <c r="Q20" s="799">
        <f t="shared" si="0"/>
        <v>0.05</v>
      </c>
      <c r="R20" s="685">
        <f t="shared" si="1"/>
        <v>272654</v>
      </c>
      <c r="S20" s="684">
        <f>R20/H20</f>
        <v>1.0510016459604583</v>
      </c>
    </row>
    <row r="21" spans="1:19" s="638" customFormat="1" x14ac:dyDescent="0.3">
      <c r="A21" s="1289"/>
      <c r="B21" s="1289"/>
      <c r="C21" s="39"/>
      <c r="D21" s="39" t="s">
        <v>147</v>
      </c>
      <c r="E21" s="41"/>
      <c r="F21" s="41"/>
      <c r="G21" s="41"/>
      <c r="H21" s="42">
        <f>SUM(H19:H20)</f>
        <v>259423</v>
      </c>
      <c r="I21" s="42">
        <f>SUM(I19:I20)</f>
        <v>272654</v>
      </c>
      <c r="J21" s="1289"/>
      <c r="K21" s="41"/>
      <c r="L21" s="683">
        <f>SUM(L19:L20)</f>
        <v>272654</v>
      </c>
      <c r="M21" s="519">
        <f>L21/H21</f>
        <v>1.0510016459604583</v>
      </c>
      <c r="N21" s="41"/>
      <c r="O21" s="683">
        <f>SUM(O19:O20)</f>
        <v>0</v>
      </c>
      <c r="P21" s="519">
        <v>0</v>
      </c>
      <c r="Q21" s="1106"/>
      <c r="R21" s="1107">
        <f t="shared" si="1"/>
        <v>272654</v>
      </c>
      <c r="S21" s="519">
        <f>R21/H21</f>
        <v>1.0510016459604583</v>
      </c>
    </row>
    <row r="22" spans="1:19" ht="45" customHeight="1" x14ac:dyDescent="0.3">
      <c r="A22" s="1289" t="s">
        <v>144</v>
      </c>
      <c r="B22" s="1289" t="s">
        <v>248</v>
      </c>
      <c r="C22" s="636" t="s">
        <v>152</v>
      </c>
      <c r="D22" s="636" t="s">
        <v>249</v>
      </c>
      <c r="E22" s="636">
        <v>0</v>
      </c>
      <c r="F22" s="32">
        <v>313397</v>
      </c>
      <c r="G22" s="32">
        <f t="shared" ref="G22:G23" si="6">+ROUND(F22*1.051,0)</f>
        <v>329380</v>
      </c>
      <c r="H22" s="32">
        <f>ROUND((E22*F22),0)</f>
        <v>0</v>
      </c>
      <c r="I22" s="32">
        <f>+ROUND(G22*E22,0)</f>
        <v>0</v>
      </c>
      <c r="J22" s="1289" t="s">
        <v>1771</v>
      </c>
      <c r="K22" s="799">
        <v>0</v>
      </c>
      <c r="L22" s="685">
        <f t="shared" ref="L22:L23" si="7">ROUND(K22*G22,0)</f>
        <v>0</v>
      </c>
      <c r="M22" s="684">
        <v>0</v>
      </c>
      <c r="N22" s="799">
        <v>0</v>
      </c>
      <c r="O22" s="685">
        <f>ROUND(N22*G22,0)</f>
        <v>0</v>
      </c>
      <c r="P22" s="684">
        <v>0</v>
      </c>
      <c r="Q22" s="799">
        <f t="shared" si="0"/>
        <v>0</v>
      </c>
      <c r="R22" s="685">
        <f t="shared" si="1"/>
        <v>0</v>
      </c>
      <c r="S22" s="684">
        <v>0</v>
      </c>
    </row>
    <row r="23" spans="1:19" ht="43.2" x14ac:dyDescent="0.3">
      <c r="A23" s="1289"/>
      <c r="B23" s="1289"/>
      <c r="C23" s="636" t="s">
        <v>61</v>
      </c>
      <c r="D23" s="636" t="s">
        <v>250</v>
      </c>
      <c r="E23" s="636">
        <v>0.05</v>
      </c>
      <c r="F23" s="32">
        <v>1601809</v>
      </c>
      <c r="G23" s="32">
        <f t="shared" si="6"/>
        <v>1683501</v>
      </c>
      <c r="H23" s="32">
        <f>ROUND((E23*F23),0)</f>
        <v>80090</v>
      </c>
      <c r="I23" s="32">
        <f>+ROUND(G23*E23,0)</f>
        <v>84175</v>
      </c>
      <c r="J23" s="1289"/>
      <c r="K23" s="537">
        <v>0.05</v>
      </c>
      <c r="L23" s="752">
        <f t="shared" si="7"/>
        <v>84175</v>
      </c>
      <c r="M23" s="753">
        <f t="shared" ref="M23" si="8">+L23/I23</f>
        <v>1</v>
      </c>
      <c r="N23" s="891">
        <v>0</v>
      </c>
      <c r="O23" s="685">
        <f>ROUND(N23*G23,0)</f>
        <v>0</v>
      </c>
      <c r="P23" s="893">
        <f t="shared" ref="P23" si="9">+O23/L23</f>
        <v>0</v>
      </c>
      <c r="Q23" s="799">
        <f t="shared" si="0"/>
        <v>0.05</v>
      </c>
      <c r="R23" s="685">
        <f t="shared" si="1"/>
        <v>84175</v>
      </c>
      <c r="S23" s="684">
        <f>R23/H23</f>
        <v>1.051005119240854</v>
      </c>
    </row>
    <row r="24" spans="1:19" x14ac:dyDescent="0.3">
      <c r="A24" s="1289"/>
      <c r="B24" s="1289"/>
      <c r="C24" s="39"/>
      <c r="D24" s="39" t="s">
        <v>102</v>
      </c>
      <c r="E24" s="41"/>
      <c r="F24" s="41"/>
      <c r="G24" s="41"/>
      <c r="H24" s="42">
        <f>SUM(H22:H23)</f>
        <v>80090</v>
      </c>
      <c r="I24" s="42">
        <f>SUM(I22:I23)</f>
        <v>84175</v>
      </c>
      <c r="J24" s="1289"/>
      <c r="K24" s="41"/>
      <c r="L24" s="683">
        <f>SUM(L22:L23)</f>
        <v>84175</v>
      </c>
      <c r="M24" s="519">
        <f>L24/H24</f>
        <v>1.051005119240854</v>
      </c>
      <c r="N24" s="41"/>
      <c r="O24" s="683">
        <f>SUM(O22:O23)</f>
        <v>0</v>
      </c>
      <c r="P24" s="519">
        <v>0</v>
      </c>
      <c r="Q24" s="40"/>
      <c r="R24" s="1107">
        <f t="shared" si="1"/>
        <v>84175</v>
      </c>
      <c r="S24" s="519">
        <f>R24/H24</f>
        <v>1.051005119240854</v>
      </c>
    </row>
    <row r="25" spans="1:19" x14ac:dyDescent="0.3">
      <c r="A25" s="638"/>
      <c r="B25" s="638"/>
      <c r="C25" s="638"/>
      <c r="D25" s="638"/>
      <c r="E25" s="638"/>
      <c r="F25" s="686" t="s">
        <v>1740</v>
      </c>
      <c r="G25" s="686"/>
      <c r="H25" s="687">
        <f>H16+H18+H21+H24</f>
        <v>576302</v>
      </c>
      <c r="I25" s="687">
        <f>I16+I18+I21+I24</f>
        <v>605694</v>
      </c>
      <c r="J25" s="638"/>
      <c r="K25" s="547" t="s">
        <v>64</v>
      </c>
      <c r="L25" s="688">
        <f>SUM(L14:L24)/2</f>
        <v>508710</v>
      </c>
      <c r="M25" s="638"/>
      <c r="N25" s="547" t="s">
        <v>64</v>
      </c>
      <c r="O25" s="688">
        <f>SUM(O14:O24)/2</f>
        <v>0</v>
      </c>
      <c r="Q25" s="547" t="s">
        <v>64</v>
      </c>
      <c r="R25" s="688">
        <f>SUM(R14:R24)/2</f>
        <v>508710</v>
      </c>
      <c r="S25" s="638"/>
    </row>
    <row r="26" spans="1:19" ht="26.4" x14ac:dyDescent="0.3">
      <c r="A26" s="638"/>
      <c r="B26" s="638"/>
      <c r="C26" s="638"/>
      <c r="D26" s="638"/>
      <c r="E26" s="638"/>
      <c r="F26" s="444" t="s">
        <v>65</v>
      </c>
      <c r="G26" s="444"/>
      <c r="H26" s="181">
        <v>0</v>
      </c>
      <c r="I26" s="181">
        <v>0</v>
      </c>
      <c r="J26" s="638"/>
      <c r="K26" s="548" t="s">
        <v>65</v>
      </c>
      <c r="L26" s="481"/>
      <c r="M26" s="638"/>
      <c r="N26" s="548" t="s">
        <v>65</v>
      </c>
      <c r="O26" s="481"/>
      <c r="Q26" s="548" t="s">
        <v>65</v>
      </c>
      <c r="R26" s="481"/>
      <c r="S26" s="638"/>
    </row>
    <row r="27" spans="1:19" x14ac:dyDescent="0.3">
      <c r="A27" s="638"/>
      <c r="B27" s="638"/>
      <c r="C27" s="638"/>
      <c r="D27" s="638"/>
      <c r="E27" s="638"/>
      <c r="F27" s="443" t="s">
        <v>1740</v>
      </c>
      <c r="G27" s="443"/>
      <c r="H27" s="340">
        <f>+H26+H25</f>
        <v>576302</v>
      </c>
      <c r="I27" s="340">
        <f>+I26+I25</f>
        <v>605694</v>
      </c>
      <c r="J27" s="638"/>
      <c r="K27" s="549" t="s">
        <v>64</v>
      </c>
      <c r="L27" s="481">
        <f>L25+L26</f>
        <v>508710</v>
      </c>
      <c r="M27" s="638"/>
      <c r="N27" s="549" t="s">
        <v>64</v>
      </c>
      <c r="O27" s="481">
        <f>O25+O26</f>
        <v>0</v>
      </c>
      <c r="Q27" s="549" t="s">
        <v>64</v>
      </c>
      <c r="R27" s="481">
        <f>R25+R26</f>
        <v>508710</v>
      </c>
      <c r="S27" s="638"/>
    </row>
    <row r="28" spans="1:19" ht="26.4" x14ac:dyDescent="0.3">
      <c r="A28" s="638"/>
      <c r="B28" s="638"/>
      <c r="C28" s="638"/>
      <c r="D28" s="638"/>
      <c r="E28" s="638"/>
      <c r="F28" s="659"/>
      <c r="G28" s="659"/>
      <c r="H28" s="659"/>
      <c r="I28" s="659"/>
      <c r="J28" s="638"/>
      <c r="K28" s="501" t="s">
        <v>1439</v>
      </c>
      <c r="L28" s="481">
        <f>ROUND(L27*0.015,0)</f>
        <v>7631</v>
      </c>
      <c r="M28" s="638"/>
      <c r="N28" s="501" t="s">
        <v>1439</v>
      </c>
      <c r="O28" s="481">
        <f>ROUND(O27*0.015,0)</f>
        <v>0</v>
      </c>
      <c r="Q28" s="501" t="s">
        <v>1439</v>
      </c>
      <c r="R28" s="481">
        <f>L28+O28</f>
        <v>7631</v>
      </c>
      <c r="S28" s="638"/>
    </row>
    <row r="29" spans="1:19" ht="39.6" x14ac:dyDescent="0.3">
      <c r="A29" s="638"/>
      <c r="B29" s="638"/>
      <c r="C29" s="638"/>
      <c r="D29" s="638"/>
      <c r="E29" s="638"/>
      <c r="F29" s="659"/>
      <c r="G29" s="659"/>
      <c r="H29" s="659"/>
      <c r="I29" s="659"/>
      <c r="J29" s="638"/>
      <c r="K29" s="96" t="s">
        <v>1440</v>
      </c>
      <c r="L29" s="425">
        <f>L27+L28</f>
        <v>516341</v>
      </c>
      <c r="M29" s="678">
        <f>L29/H25</f>
        <v>0.8959555927274242</v>
      </c>
      <c r="N29" s="96" t="s">
        <v>1440</v>
      </c>
      <c r="O29" s="425">
        <f>O27+O28</f>
        <v>0</v>
      </c>
      <c r="P29" s="678">
        <f>O29/H25</f>
        <v>0</v>
      </c>
      <c r="Q29" s="96" t="s">
        <v>1440</v>
      </c>
      <c r="R29" s="425">
        <f>R27+R28</f>
        <v>516341</v>
      </c>
      <c r="S29" s="678">
        <f>R29/H25</f>
        <v>0.8959555927274242</v>
      </c>
    </row>
    <row r="30" spans="1:19" x14ac:dyDescent="0.3">
      <c r="A30" s="638"/>
      <c r="B30" s="638"/>
      <c r="C30" s="638"/>
      <c r="D30" s="638"/>
      <c r="E30" s="638"/>
      <c r="F30" s="442" t="s">
        <v>66</v>
      </c>
      <c r="G30" s="442"/>
      <c r="H30" s="181">
        <f>+H25*19%</f>
        <v>109497.38</v>
      </c>
      <c r="I30" s="181">
        <f>+I25*19%</f>
        <v>115081.86</v>
      </c>
      <c r="J30" s="638"/>
      <c r="K30" s="551" t="s">
        <v>66</v>
      </c>
      <c r="L30" s="672">
        <f>L29*0.19</f>
        <v>98104.790000000008</v>
      </c>
      <c r="M30" s="638"/>
      <c r="N30" s="551" t="s">
        <v>66</v>
      </c>
      <c r="O30" s="672">
        <f>O29*0.19</f>
        <v>0</v>
      </c>
      <c r="Q30" s="551" t="s">
        <v>66</v>
      </c>
      <c r="R30" s="672">
        <f>R29*0.19</f>
        <v>98104.790000000008</v>
      </c>
      <c r="S30" s="638"/>
    </row>
    <row r="31" spans="1:19" x14ac:dyDescent="0.3">
      <c r="A31" s="638"/>
      <c r="B31" s="638"/>
      <c r="C31" s="638"/>
      <c r="D31" s="638"/>
      <c r="E31" s="638"/>
      <c r="F31" s="441" t="s">
        <v>69</v>
      </c>
      <c r="G31" s="441"/>
      <c r="H31" s="181">
        <f>+H25+H30</f>
        <v>685799.38</v>
      </c>
      <c r="I31" s="181">
        <f>+I25+I30</f>
        <v>720775.86</v>
      </c>
      <c r="J31" s="638"/>
      <c r="K31" s="552" t="s">
        <v>69</v>
      </c>
      <c r="L31" s="672">
        <f>L29+L30</f>
        <v>614445.79</v>
      </c>
      <c r="M31" s="638"/>
      <c r="N31" s="552" t="s">
        <v>69</v>
      </c>
      <c r="O31" s="672">
        <f>O29+O30</f>
        <v>0</v>
      </c>
      <c r="Q31" s="552" t="s">
        <v>69</v>
      </c>
      <c r="R31" s="672">
        <f>R29+R30</f>
        <v>614445.79</v>
      </c>
      <c r="S31" s="638"/>
    </row>
    <row r="32" spans="1:19" x14ac:dyDescent="0.3">
      <c r="A32" s="638"/>
      <c r="B32" s="638"/>
      <c r="C32" s="638"/>
      <c r="D32" s="638"/>
      <c r="E32" s="638"/>
      <c r="F32" s="638"/>
      <c r="H32" s="638"/>
      <c r="J32" s="638"/>
      <c r="K32" s="638"/>
      <c r="L32" s="638"/>
      <c r="M32" s="638"/>
      <c r="Q32" s="638"/>
      <c r="R32" s="638"/>
      <c r="S32" s="638"/>
    </row>
    <row r="33" spans="1:19" ht="26.4" x14ac:dyDescent="0.3">
      <c r="A33" s="665" t="s">
        <v>67</v>
      </c>
      <c r="B33" s="184"/>
      <c r="C33" s="184"/>
      <c r="D33" s="185" t="s">
        <v>68</v>
      </c>
      <c r="E33" s="638"/>
      <c r="F33" s="638"/>
      <c r="H33" s="638"/>
      <c r="J33" s="638"/>
      <c r="K33" s="186" t="s">
        <v>70</v>
      </c>
      <c r="L33" s="187" t="s">
        <v>71</v>
      </c>
      <c r="M33" s="186" t="s">
        <v>58</v>
      </c>
      <c r="N33" s="186" t="s">
        <v>70</v>
      </c>
      <c r="O33" s="187" t="s">
        <v>71</v>
      </c>
      <c r="P33" s="186" t="s">
        <v>58</v>
      </c>
      <c r="Q33" s="638"/>
      <c r="R33" s="638"/>
      <c r="S33" s="638"/>
    </row>
    <row r="34" spans="1:19" x14ac:dyDescent="0.3">
      <c r="A34" s="665"/>
      <c r="B34" s="184"/>
      <c r="C34" s="184"/>
      <c r="D34" s="185"/>
      <c r="E34" s="638"/>
      <c r="F34" s="638"/>
      <c r="H34" s="638"/>
      <c r="J34" s="638"/>
      <c r="K34" s="69" t="s">
        <v>72</v>
      </c>
      <c r="L34" s="70">
        <f>L29</f>
        <v>516341</v>
      </c>
      <c r="M34" s="360">
        <f>M29</f>
        <v>0.8959555927274242</v>
      </c>
      <c r="N34" s="69" t="s">
        <v>72</v>
      </c>
      <c r="O34" s="70">
        <f>$L$29</f>
        <v>516341</v>
      </c>
      <c r="P34" s="360">
        <f>$M$29</f>
        <v>0.8959555927274242</v>
      </c>
      <c r="Q34" s="638"/>
      <c r="R34" s="638"/>
      <c r="S34" s="638"/>
    </row>
    <row r="35" spans="1:19" x14ac:dyDescent="0.3">
      <c r="A35" s="665"/>
      <c r="B35" s="184"/>
      <c r="C35" s="184"/>
      <c r="D35" s="185"/>
      <c r="E35" s="638"/>
      <c r="F35" s="638"/>
      <c r="H35" s="638"/>
      <c r="J35" s="638"/>
      <c r="K35" s="72" t="s">
        <v>1</v>
      </c>
      <c r="L35" s="105">
        <f>L34</f>
        <v>516341</v>
      </c>
      <c r="M35" s="361">
        <f>M34</f>
        <v>0.8959555927274242</v>
      </c>
      <c r="N35" s="69" t="s">
        <v>73</v>
      </c>
      <c r="O35" s="70">
        <f>$O$29</f>
        <v>0</v>
      </c>
      <c r="P35" s="360">
        <f>$P$29</f>
        <v>0</v>
      </c>
      <c r="Q35" s="638"/>
      <c r="R35" s="638"/>
      <c r="S35" s="638"/>
    </row>
    <row r="36" spans="1:19" x14ac:dyDescent="0.3">
      <c r="A36" s="665"/>
      <c r="B36" s="184"/>
      <c r="C36" s="184"/>
      <c r="D36" s="185"/>
      <c r="E36" s="638"/>
      <c r="F36" s="638"/>
      <c r="H36" s="638"/>
      <c r="J36" s="638"/>
      <c r="K36" s="72" t="s">
        <v>9</v>
      </c>
      <c r="L36" s="1423"/>
      <c r="M36" s="1424"/>
      <c r="N36" s="72" t="s">
        <v>1</v>
      </c>
      <c r="O36" s="105">
        <f>SUM(O34:O35)</f>
        <v>516341</v>
      </c>
      <c r="P36" s="361">
        <f>SUM(P34:P35)</f>
        <v>0.8959555927274242</v>
      </c>
      <c r="Q36" s="638"/>
      <c r="R36" s="638"/>
      <c r="S36" s="638"/>
    </row>
    <row r="37" spans="1:19" x14ac:dyDescent="0.3">
      <c r="A37" s="665"/>
      <c r="B37" s="184"/>
      <c r="C37" s="184"/>
      <c r="D37" s="185"/>
      <c r="E37" s="638"/>
      <c r="F37" s="638"/>
      <c r="H37" s="638"/>
      <c r="J37" s="638"/>
      <c r="K37" s="440" t="s">
        <v>78</v>
      </c>
      <c r="L37" s="1423" t="s">
        <v>2227</v>
      </c>
      <c r="M37" s="1424"/>
      <c r="N37" s="72" t="s">
        <v>9</v>
      </c>
      <c r="O37" s="1423"/>
      <c r="P37" s="1424"/>
      <c r="Q37" s="638"/>
      <c r="R37" s="638"/>
      <c r="S37" s="638"/>
    </row>
    <row r="38" spans="1:19" x14ac:dyDescent="0.3">
      <c r="A38" s="665"/>
      <c r="B38" s="184"/>
      <c r="C38" s="184"/>
      <c r="D38" s="185"/>
      <c r="E38" s="638"/>
      <c r="F38" s="638"/>
      <c r="H38" s="638"/>
      <c r="J38" s="638"/>
      <c r="K38" s="439" t="s">
        <v>8</v>
      </c>
      <c r="L38" s="1423" t="s">
        <v>2228</v>
      </c>
      <c r="M38" s="1424"/>
      <c r="N38" s="440" t="s">
        <v>78</v>
      </c>
      <c r="O38" s="1423" t="s">
        <v>2227</v>
      </c>
      <c r="P38" s="1424"/>
      <c r="Q38" s="638"/>
      <c r="R38" s="638"/>
      <c r="S38" s="638"/>
    </row>
    <row r="39" spans="1:19" x14ac:dyDescent="0.3">
      <c r="A39" s="665"/>
      <c r="B39" s="184"/>
      <c r="C39" s="184"/>
      <c r="D39" s="185" t="s">
        <v>75</v>
      </c>
      <c r="E39" s="638"/>
      <c r="F39" s="638"/>
      <c r="H39" s="638"/>
      <c r="J39" s="638"/>
      <c r="K39" s="638"/>
      <c r="L39" s="638"/>
      <c r="M39" s="638"/>
      <c r="N39" s="439" t="s">
        <v>8</v>
      </c>
      <c r="O39" s="1423" t="s">
        <v>2228</v>
      </c>
      <c r="P39" s="1424"/>
      <c r="Q39" s="638"/>
      <c r="R39" s="638"/>
      <c r="S39" s="638"/>
    </row>
    <row r="40" spans="1:19" x14ac:dyDescent="0.3">
      <c r="A40" s="665" t="s">
        <v>76</v>
      </c>
      <c r="B40" s="180"/>
      <c r="C40" s="180"/>
      <c r="D40" s="185" t="s">
        <v>77</v>
      </c>
      <c r="E40" s="638"/>
      <c r="F40" s="638"/>
      <c r="H40" s="638"/>
      <c r="J40" s="638"/>
      <c r="K40" s="638"/>
      <c r="L40" s="638"/>
      <c r="M40" s="638"/>
      <c r="Q40" s="638"/>
      <c r="R40" s="638"/>
      <c r="S40" s="638"/>
    </row>
    <row r="41" spans="1:19" x14ac:dyDescent="0.3">
      <c r="A41" s="665" t="s">
        <v>79</v>
      </c>
      <c r="B41" s="180"/>
      <c r="C41" s="180"/>
      <c r="D41" s="185" t="s">
        <v>80</v>
      </c>
      <c r="E41" s="638"/>
      <c r="F41" s="638"/>
      <c r="H41" s="638"/>
      <c r="J41" s="638"/>
      <c r="K41" s="638"/>
      <c r="L41" s="638"/>
      <c r="M41" s="638"/>
      <c r="Q41" s="638"/>
      <c r="R41" s="638"/>
      <c r="S41" s="638"/>
    </row>
  </sheetData>
  <mergeCells count="34">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6"/>
    <mergeCell ref="B14:B16"/>
    <mergeCell ref="J14:J16"/>
    <mergeCell ref="A17:A18"/>
    <mergeCell ref="B17:B18"/>
    <mergeCell ref="J17:J18"/>
    <mergeCell ref="A19:A21"/>
    <mergeCell ref="B19:B21"/>
    <mergeCell ref="J19:J21"/>
    <mergeCell ref="A22:A24"/>
    <mergeCell ref="B22:B24"/>
    <mergeCell ref="J22:J24"/>
    <mergeCell ref="O37:P37"/>
    <mergeCell ref="O38:P38"/>
    <mergeCell ref="O39:P39"/>
    <mergeCell ref="L36:M36"/>
    <mergeCell ref="L37:M37"/>
    <mergeCell ref="L38:M38"/>
  </mergeCells>
  <pageMargins left="0.7" right="0.7" top="0.75" bottom="0.75" header="0.3" footer="0.3"/>
  <pageSetup paperSize="9" scale="38" orientation="landscape" r:id="rId1"/>
  <drawing r:id="rId2"/>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3"/>
  <dimension ref="A1:G49"/>
  <sheetViews>
    <sheetView topLeftCell="A13" workbookViewId="0">
      <selection activeCell="F32" sqref="F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RESUMEN!G111</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RESUMEN!B111</f>
        <v>D00235088</v>
      </c>
      <c r="C7" s="1265"/>
      <c r="D7" s="1177"/>
      <c r="E7" s="1266" t="s">
        <v>627</v>
      </c>
      <c r="F7" s="1267"/>
      <c r="G7" s="280" t="str">
        <f>RESUMEN!E111</f>
        <v xml:space="preserve">17-399 </v>
      </c>
    </row>
    <row r="8" spans="1:7" x14ac:dyDescent="0.25">
      <c r="A8" s="271" t="s">
        <v>628</v>
      </c>
      <c r="B8" s="1264" t="str">
        <f>RESUMEN!C111</f>
        <v>D00235088000</v>
      </c>
      <c r="C8" s="1265"/>
      <c r="D8" s="1177"/>
      <c r="E8" s="1266" t="s">
        <v>629</v>
      </c>
      <c r="F8" s="1267"/>
      <c r="G8" s="280" t="str">
        <f>RESUMEN!U111</f>
        <v>Acta N° 1: Marzo</v>
      </c>
    </row>
    <row r="9" spans="1:7" x14ac:dyDescent="0.25">
      <c r="A9" s="271" t="s">
        <v>630</v>
      </c>
      <c r="B9" s="1283" t="s">
        <v>631</v>
      </c>
      <c r="C9" s="1265"/>
      <c r="D9" s="1177"/>
      <c r="E9" s="1266" t="s">
        <v>632</v>
      </c>
      <c r="F9" s="1267"/>
      <c r="G9" s="1178">
        <f>RESUMEN!H111</f>
        <v>484024</v>
      </c>
    </row>
    <row r="10" spans="1:7" x14ac:dyDescent="0.25">
      <c r="A10" s="271" t="s">
        <v>633</v>
      </c>
      <c r="B10" s="1283" t="str">
        <f>RESUMEN!D111</f>
        <v>CHICALA AS BUILT</v>
      </c>
      <c r="C10" s="1265"/>
      <c r="D10" s="1177"/>
      <c r="E10" s="1266" t="s">
        <v>634</v>
      </c>
      <c r="F10" s="1267"/>
      <c r="G10" s="1178">
        <f>RESUMEN!R111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RESUMEN!N111</f>
        <v>0</v>
      </c>
      <c r="F19" s="1248"/>
      <c r="G19" s="1177"/>
    </row>
    <row r="20" spans="1:7" ht="27" customHeight="1" x14ac:dyDescent="0.25">
      <c r="A20" s="1177"/>
      <c r="B20" s="1244" t="s">
        <v>1498</v>
      </c>
      <c r="C20" s="1245"/>
      <c r="D20" s="1246"/>
      <c r="E20" s="1247">
        <f>RESUMEN!P111</f>
        <v>0</v>
      </c>
      <c r="F20" s="1248"/>
      <c r="G20" s="1177"/>
    </row>
    <row r="21" spans="1:7" ht="27" customHeight="1" x14ac:dyDescent="0.25">
      <c r="A21" s="1177"/>
      <c r="B21" s="1244" t="s">
        <v>1499</v>
      </c>
      <c r="C21" s="1245"/>
      <c r="D21" s="1246"/>
      <c r="E21" s="1247">
        <f>RESUMEN!Q111</f>
        <v>0</v>
      </c>
      <c r="F21" s="1248"/>
      <c r="G21" s="1177"/>
    </row>
    <row r="22" spans="1:7" x14ac:dyDescent="0.25">
      <c r="A22" s="1177"/>
      <c r="B22" s="1254" t="s">
        <v>64</v>
      </c>
      <c r="C22" s="1254"/>
      <c r="D22" s="1254"/>
      <c r="E22" s="1255">
        <f>RESUMEN!R111</f>
        <v>0</v>
      </c>
      <c r="F22" s="1255"/>
      <c r="G22" s="1177"/>
    </row>
    <row r="23" spans="1:7" x14ac:dyDescent="0.25">
      <c r="A23" s="1177"/>
      <c r="B23" s="1256" t="s">
        <v>66</v>
      </c>
      <c r="C23" s="1256"/>
      <c r="D23" s="1256"/>
      <c r="E23" s="1257">
        <f>RESUMEN!S111</f>
        <v>0</v>
      </c>
      <c r="F23" s="1257"/>
      <c r="G23" s="1177"/>
    </row>
    <row r="24" spans="1:7" x14ac:dyDescent="0.25">
      <c r="A24" s="1177"/>
      <c r="B24" s="1258" t="s">
        <v>1</v>
      </c>
      <c r="C24" s="1258"/>
      <c r="D24" s="1258"/>
      <c r="E24" s="1259">
        <f>RESUMEN!T111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+'OT17-399 CHICALA AS BUILT'!K32</f>
        <v>ACTA 1</v>
      </c>
      <c r="C28" s="1253">
        <f>+'OT17-399 CHICALA AS BUILT'!L32</f>
        <v>0</v>
      </c>
      <c r="D28" s="1253"/>
      <c r="E28" s="267">
        <f>+'OT17-399 CHICALA AS BUILT'!M32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RESUMEN!V111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5">
    <tabColor rgb="FF92D050"/>
  </sheetPr>
  <dimension ref="A1:P40"/>
  <sheetViews>
    <sheetView topLeftCell="A4" zoomScale="60" zoomScaleNormal="60" workbookViewId="0">
      <selection activeCell="I26" sqref="I26"/>
    </sheetView>
  </sheetViews>
  <sheetFormatPr baseColWidth="10" defaultRowHeight="14.4" x14ac:dyDescent="0.3"/>
  <cols>
    <col min="1" max="1" width="19" customWidth="1"/>
    <col min="2" max="2" width="28" customWidth="1"/>
    <col min="3" max="3" width="25.5546875" customWidth="1"/>
    <col min="4" max="4" width="31.88671875" bestFit="1" customWidth="1"/>
    <col min="6" max="6" width="15.5546875" customWidth="1"/>
    <col min="7" max="7" width="15.5546875" style="849" customWidth="1"/>
    <col min="8" max="8" width="14.33203125" customWidth="1"/>
    <col min="9" max="9" width="14.33203125" style="849" customWidth="1"/>
    <col min="10" max="10" width="30.5546875" customWidth="1"/>
    <col min="11" max="11" width="15.33203125" customWidth="1"/>
    <col min="12" max="12" width="19.109375" bestFit="1" customWidth="1"/>
    <col min="14" max="14" width="15" customWidth="1"/>
    <col min="15" max="15" width="13.6640625" bestFit="1" customWidth="1"/>
  </cols>
  <sheetData>
    <row r="1" spans="1:16" ht="15" thickBot="1" x14ac:dyDescent="0.35">
      <c r="A1" s="169"/>
      <c r="B1" s="188"/>
      <c r="C1" s="1307" t="s">
        <v>40</v>
      </c>
      <c r="D1" s="1308"/>
      <c r="E1" s="1308"/>
      <c r="F1" s="1308"/>
      <c r="G1" s="1308"/>
      <c r="H1" s="1308"/>
      <c r="I1" s="1308"/>
      <c r="J1" s="1308"/>
      <c r="K1" s="1308"/>
      <c r="L1" s="1308"/>
      <c r="M1" s="1308"/>
      <c r="N1" s="1328" t="s">
        <v>1663</v>
      </c>
      <c r="O1" s="1303"/>
      <c r="P1" s="1304"/>
    </row>
    <row r="2" spans="1:16" ht="15" thickBot="1" x14ac:dyDescent="0.35">
      <c r="A2" s="170"/>
      <c r="B2" s="190"/>
      <c r="C2" s="1310"/>
      <c r="D2" s="1311"/>
      <c r="E2" s="1311"/>
      <c r="F2" s="1311"/>
      <c r="G2" s="1311"/>
      <c r="H2" s="1311"/>
      <c r="I2" s="1311"/>
      <c r="J2" s="1311"/>
      <c r="K2" s="1311"/>
      <c r="L2" s="1311"/>
      <c r="M2" s="1311"/>
      <c r="N2" s="1329" t="s">
        <v>41</v>
      </c>
      <c r="O2" s="1305"/>
      <c r="P2" s="1306"/>
    </row>
    <row r="3" spans="1:16" x14ac:dyDescent="0.3">
      <c r="A3" s="1292" t="s">
        <v>42</v>
      </c>
      <c r="B3" s="1292"/>
      <c r="C3" s="1292"/>
      <c r="D3" s="1292"/>
      <c r="E3" s="1292"/>
      <c r="F3" s="1292"/>
      <c r="G3" s="1292"/>
      <c r="H3" s="1292"/>
      <c r="I3" s="1292"/>
      <c r="J3" s="1292"/>
      <c r="K3" s="1292"/>
      <c r="L3" s="1292"/>
      <c r="M3" s="1292"/>
      <c r="N3" s="1292"/>
      <c r="O3" s="1292"/>
      <c r="P3" s="1292"/>
    </row>
    <row r="4" spans="1:16" x14ac:dyDescent="0.3">
      <c r="A4" s="1292" t="s">
        <v>43</v>
      </c>
      <c r="B4" s="1292"/>
      <c r="C4" s="1292"/>
      <c r="D4" s="1292"/>
      <c r="E4" s="1292"/>
      <c r="F4" s="1292"/>
      <c r="G4" s="1292"/>
      <c r="H4" s="1292"/>
      <c r="I4" s="1292"/>
      <c r="J4" s="1292"/>
      <c r="K4" s="1292"/>
      <c r="L4" s="1292"/>
      <c r="M4" s="1292"/>
      <c r="N4" s="1292"/>
      <c r="O4" s="1292"/>
      <c r="P4" s="1292"/>
    </row>
    <row r="5" spans="1:16" x14ac:dyDescent="0.3">
      <c r="A5" s="1292" t="s">
        <v>44</v>
      </c>
      <c r="B5" s="1292"/>
      <c r="C5" s="1292"/>
      <c r="D5" s="1292"/>
      <c r="E5" s="1292"/>
      <c r="F5" s="1292"/>
      <c r="G5" s="1292"/>
      <c r="H5" s="1292"/>
      <c r="I5" s="1292"/>
      <c r="J5" s="1292"/>
      <c r="K5" s="1292"/>
      <c r="L5" s="1292"/>
      <c r="M5" s="1292"/>
      <c r="N5" s="1292"/>
      <c r="O5" s="1292"/>
      <c r="P5" s="1292"/>
    </row>
    <row r="6" spans="1:16" x14ac:dyDescent="0.3">
      <c r="A6" s="1292" t="s">
        <v>45</v>
      </c>
      <c r="B6" s="1292"/>
      <c r="C6" s="1292"/>
      <c r="D6" s="1292"/>
      <c r="E6" s="1292"/>
      <c r="F6" s="1292"/>
      <c r="G6" s="1292"/>
      <c r="H6" s="1292"/>
      <c r="I6" s="1292"/>
      <c r="J6" s="1292"/>
      <c r="K6" s="1292"/>
      <c r="L6" s="1292"/>
      <c r="M6" s="1292"/>
      <c r="N6" s="1292"/>
      <c r="O6" s="1292"/>
      <c r="P6" s="1292"/>
    </row>
    <row r="7" spans="1:16" x14ac:dyDescent="0.3">
      <c r="A7" s="1291" t="s">
        <v>1766</v>
      </c>
      <c r="B7" s="1292"/>
      <c r="C7" s="1292"/>
      <c r="D7" s="1292"/>
      <c r="E7" s="1292"/>
      <c r="F7" s="1292"/>
      <c r="G7" s="1292"/>
      <c r="H7" s="1292"/>
      <c r="I7" s="1292"/>
      <c r="J7" s="1292"/>
      <c r="K7" s="1292"/>
      <c r="L7" s="1292"/>
      <c r="M7" s="1292"/>
      <c r="N7" s="1292"/>
      <c r="O7" s="1292"/>
      <c r="P7" s="1292"/>
    </row>
    <row r="8" spans="1:16" x14ac:dyDescent="0.3">
      <c r="A8" s="1292" t="s">
        <v>2312</v>
      </c>
      <c r="B8" s="1292"/>
      <c r="C8" s="1292"/>
      <c r="D8" s="1292"/>
      <c r="E8" s="1292"/>
      <c r="F8" s="1292"/>
      <c r="G8" s="1292"/>
      <c r="H8" s="1292"/>
      <c r="I8" s="1292"/>
      <c r="J8" s="1292"/>
      <c r="K8" s="1292"/>
      <c r="L8" s="1292"/>
      <c r="M8" s="1292"/>
      <c r="N8" s="1292"/>
      <c r="O8" s="1292"/>
      <c r="P8" s="1292"/>
    </row>
    <row r="9" spans="1:16" x14ac:dyDescent="0.3">
      <c r="A9" s="1292" t="s">
        <v>2305</v>
      </c>
      <c r="B9" s="1292"/>
      <c r="C9" s="1292"/>
      <c r="D9" s="1292"/>
      <c r="E9" s="1292"/>
      <c r="F9" s="1292"/>
      <c r="G9" s="1292"/>
      <c r="H9" s="1292"/>
      <c r="I9" s="1292"/>
      <c r="J9" s="1292"/>
      <c r="K9" s="1292"/>
      <c r="L9" s="1292"/>
      <c r="M9" s="1292"/>
      <c r="N9" s="1292"/>
      <c r="O9" s="1292"/>
      <c r="P9" s="1292"/>
    </row>
    <row r="10" spans="1:16" x14ac:dyDescent="0.3">
      <c r="A10" s="1292" t="s">
        <v>1772</v>
      </c>
      <c r="B10" s="1292"/>
      <c r="C10" s="1292"/>
      <c r="D10" s="1292"/>
      <c r="E10" s="1292"/>
      <c r="F10" s="1292"/>
      <c r="G10" s="1292"/>
      <c r="H10" s="1292"/>
      <c r="I10" s="1292"/>
      <c r="J10" s="1292"/>
      <c r="K10" s="1292"/>
      <c r="L10" s="1292"/>
      <c r="M10" s="1292"/>
      <c r="N10" s="1292"/>
      <c r="O10" s="1292"/>
      <c r="P10" s="1292"/>
    </row>
    <row r="11" spans="1:16" x14ac:dyDescent="0.3">
      <c r="A11" s="637"/>
      <c r="B11" s="1301"/>
      <c r="C11" s="1313"/>
      <c r="D11" s="1313"/>
      <c r="E11" s="1313"/>
      <c r="F11" s="1313"/>
      <c r="G11" s="1313"/>
      <c r="H11" s="1313"/>
      <c r="I11" s="1313"/>
      <c r="J11" s="1313"/>
      <c r="K11" s="1293" t="s">
        <v>2313</v>
      </c>
      <c r="L11" s="1294"/>
      <c r="M11" s="1295"/>
      <c r="N11" s="1299" t="s">
        <v>49</v>
      </c>
      <c r="O11" s="1299"/>
      <c r="P11" s="1299"/>
    </row>
    <row r="12" spans="1:16" x14ac:dyDescent="0.3">
      <c r="A12" s="171"/>
      <c r="B12" s="1301"/>
      <c r="C12" s="1302"/>
      <c r="D12" s="1302"/>
      <c r="E12" s="1302"/>
      <c r="F12" s="1302"/>
      <c r="G12" s="1302"/>
      <c r="H12" s="1302"/>
      <c r="I12" s="1302"/>
      <c r="J12" s="1302"/>
      <c r="K12" s="1325"/>
      <c r="L12" s="1326"/>
      <c r="M12" s="1327"/>
      <c r="N12" s="1300"/>
      <c r="O12" s="1300"/>
      <c r="P12" s="1300"/>
    </row>
    <row r="13" spans="1:16"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row>
    <row r="14" spans="1:16" ht="65.25" customHeight="1" x14ac:dyDescent="0.3">
      <c r="A14" s="1289" t="s">
        <v>1378</v>
      </c>
      <c r="B14" s="1289" t="s">
        <v>243</v>
      </c>
      <c r="C14" s="636" t="s">
        <v>59</v>
      </c>
      <c r="D14" s="636" t="s">
        <v>141</v>
      </c>
      <c r="E14" s="636">
        <v>0</v>
      </c>
      <c r="F14" s="32">
        <v>940192</v>
      </c>
      <c r="G14" s="32">
        <f>+ROUND(F14*1.051,0)</f>
        <v>988142</v>
      </c>
      <c r="H14" s="32">
        <f>ROUND((E14*F14),0)</f>
        <v>0</v>
      </c>
      <c r="I14" s="32">
        <f>+ROUND(G14*E14,0)</f>
        <v>0</v>
      </c>
      <c r="J14" s="1289" t="s">
        <v>1773</v>
      </c>
      <c r="K14" s="536">
        <v>0</v>
      </c>
      <c r="L14" s="685">
        <f>ROUND(K14*G14,0)</f>
        <v>0</v>
      </c>
      <c r="M14" s="684">
        <v>0</v>
      </c>
      <c r="N14" s="536">
        <f>K14</f>
        <v>0</v>
      </c>
      <c r="O14" s="685">
        <f>L14</f>
        <v>0</v>
      </c>
      <c r="P14" s="684">
        <v>0</v>
      </c>
    </row>
    <row r="15" spans="1:16" ht="65.25" customHeight="1" x14ac:dyDescent="0.3">
      <c r="A15" s="1289"/>
      <c r="B15" s="1289"/>
      <c r="C15" s="636" t="s">
        <v>61</v>
      </c>
      <c r="D15" s="636" t="s">
        <v>142</v>
      </c>
      <c r="E15" s="636">
        <v>0.05</v>
      </c>
      <c r="F15" s="32">
        <v>2890220</v>
      </c>
      <c r="G15" s="32">
        <f>+ROUND(F15*1.051,0)</f>
        <v>3037621</v>
      </c>
      <c r="H15" s="32">
        <f>ROUND((E15*F15),0)</f>
        <v>144511</v>
      </c>
      <c r="I15" s="32">
        <f>+ROUND(G15*E15,0)</f>
        <v>151881</v>
      </c>
      <c r="J15" s="1289"/>
      <c r="K15" s="799">
        <v>0</v>
      </c>
      <c r="L15" s="685">
        <f>ROUND(K15*G15,0)</f>
        <v>0</v>
      </c>
      <c r="M15" s="684">
        <f>+L15/I15</f>
        <v>0</v>
      </c>
      <c r="N15" s="536">
        <f>K15</f>
        <v>0</v>
      </c>
      <c r="O15" s="685">
        <f>L15</f>
        <v>0</v>
      </c>
      <c r="P15" s="684">
        <f>O15/I15</f>
        <v>0</v>
      </c>
    </row>
    <row r="16" spans="1:16" ht="17.25" customHeight="1" x14ac:dyDescent="0.3">
      <c r="A16" s="1289"/>
      <c r="B16" s="1289"/>
      <c r="C16" s="39"/>
      <c r="D16" s="39" t="s">
        <v>143</v>
      </c>
      <c r="E16" s="41"/>
      <c r="F16" s="41"/>
      <c r="G16" s="41"/>
      <c r="H16" s="42">
        <f>SUM(H14:H15)</f>
        <v>144511</v>
      </c>
      <c r="I16" s="42">
        <f>SUM(I14:I15)</f>
        <v>151881</v>
      </c>
      <c r="J16" s="1289"/>
      <c r="K16" s="41"/>
      <c r="L16" s="683">
        <f>SUM(L14:L15)</f>
        <v>0</v>
      </c>
      <c r="M16" s="519">
        <f>L16/H16</f>
        <v>0</v>
      </c>
      <c r="N16" s="40"/>
      <c r="O16" s="683">
        <f>SUM(O14:O15)</f>
        <v>0</v>
      </c>
      <c r="P16" s="1100">
        <f t="shared" ref="P16:P22" si="0">O16/I16</f>
        <v>0</v>
      </c>
    </row>
    <row r="17" spans="1:16" ht="45" customHeight="1" x14ac:dyDescent="0.3">
      <c r="A17" s="1289" t="s">
        <v>1774</v>
      </c>
      <c r="B17" s="1289" t="s">
        <v>251</v>
      </c>
      <c r="C17" s="636" t="s">
        <v>59</v>
      </c>
      <c r="D17" s="636" t="s">
        <v>145</v>
      </c>
      <c r="E17" s="636">
        <v>0</v>
      </c>
      <c r="F17" s="32">
        <v>940192</v>
      </c>
      <c r="G17" s="32">
        <f>+ROUND(F17*1.051,0)</f>
        <v>988142</v>
      </c>
      <c r="H17" s="32">
        <f>ROUND((E17*F17),0)</f>
        <v>0</v>
      </c>
      <c r="I17" s="32">
        <f>+ROUND(G17*E17,0)</f>
        <v>0</v>
      </c>
      <c r="J17" s="1289" t="s">
        <v>1775</v>
      </c>
      <c r="K17" s="799">
        <v>0</v>
      </c>
      <c r="L17" s="685">
        <f t="shared" ref="L17:L18" si="1">ROUND(K17*G17,0)</f>
        <v>0</v>
      </c>
      <c r="M17" s="684">
        <v>0</v>
      </c>
      <c r="N17" s="536">
        <f>K17</f>
        <v>0</v>
      </c>
      <c r="O17" s="685">
        <f>L17</f>
        <v>0</v>
      </c>
      <c r="P17" s="684">
        <v>0</v>
      </c>
    </row>
    <row r="18" spans="1:16" ht="43.2" x14ac:dyDescent="0.3">
      <c r="A18" s="1289"/>
      <c r="B18" s="1289"/>
      <c r="C18" s="636" t="s">
        <v>61</v>
      </c>
      <c r="D18" s="636" t="s">
        <v>146</v>
      </c>
      <c r="E18" s="636">
        <v>0.05</v>
      </c>
      <c r="F18" s="32">
        <v>5188469</v>
      </c>
      <c r="G18" s="32">
        <f>+ROUND(F18*1.051,0)</f>
        <v>5453081</v>
      </c>
      <c r="H18" s="32">
        <f>ROUND((E18*F18),0)</f>
        <v>259423</v>
      </c>
      <c r="I18" s="32">
        <f>+ROUND(G18*E18,0)</f>
        <v>272654</v>
      </c>
      <c r="J18" s="1289"/>
      <c r="K18" s="799">
        <v>0</v>
      </c>
      <c r="L18" s="685">
        <f t="shared" si="1"/>
        <v>0</v>
      </c>
      <c r="M18" s="684">
        <f t="shared" ref="M18" si="2">+L18/I18</f>
        <v>0</v>
      </c>
      <c r="N18" s="536">
        <f>K18</f>
        <v>0</v>
      </c>
      <c r="O18" s="685">
        <f>L18</f>
        <v>0</v>
      </c>
      <c r="P18" s="684">
        <f t="shared" si="0"/>
        <v>0</v>
      </c>
    </row>
    <row r="19" spans="1:16" ht="24" customHeight="1" x14ac:dyDescent="0.3">
      <c r="A19" s="1289"/>
      <c r="B19" s="1289"/>
      <c r="C19" s="39"/>
      <c r="D19" s="39" t="s">
        <v>147</v>
      </c>
      <c r="E19" s="41"/>
      <c r="F19" s="41"/>
      <c r="G19" s="41"/>
      <c r="H19" s="42">
        <f>SUM(H17:H18)</f>
        <v>259423</v>
      </c>
      <c r="I19" s="42">
        <f>SUM(I17:I18)</f>
        <v>272654</v>
      </c>
      <c r="J19" s="1289"/>
      <c r="K19" s="41"/>
      <c r="L19" s="683">
        <f>SUM(L17:L18)</f>
        <v>0</v>
      </c>
      <c r="M19" s="519">
        <f>L19/H19</f>
        <v>0</v>
      </c>
      <c r="N19" s="40"/>
      <c r="O19" s="683">
        <f>SUM(O17:O18)</f>
        <v>0</v>
      </c>
      <c r="P19" s="1100">
        <f t="shared" si="0"/>
        <v>0</v>
      </c>
    </row>
    <row r="20" spans="1:16" ht="45" customHeight="1" x14ac:dyDescent="0.3">
      <c r="A20" s="1289" t="s">
        <v>1774</v>
      </c>
      <c r="B20" s="1289" t="s">
        <v>248</v>
      </c>
      <c r="C20" s="636" t="s">
        <v>152</v>
      </c>
      <c r="D20" s="636" t="s">
        <v>249</v>
      </c>
      <c r="E20" s="636">
        <v>0</v>
      </c>
      <c r="F20" s="32">
        <v>313397</v>
      </c>
      <c r="G20" s="32">
        <f>+ROUND(F20*1.051,0)</f>
        <v>329380</v>
      </c>
      <c r="H20" s="32">
        <f>ROUND((E20*F20),0)</f>
        <v>0</v>
      </c>
      <c r="I20" s="32">
        <f>+ROUND(G20*E20,0)</f>
        <v>0</v>
      </c>
      <c r="J20" s="1289" t="s">
        <v>1776</v>
      </c>
      <c r="K20" s="799">
        <v>0</v>
      </c>
      <c r="L20" s="685">
        <f t="shared" ref="L20:L21" si="3">ROUND(K20*G20,0)</f>
        <v>0</v>
      </c>
      <c r="M20" s="684">
        <v>0</v>
      </c>
      <c r="N20" s="536">
        <f>K20</f>
        <v>0</v>
      </c>
      <c r="O20" s="685">
        <f>L20</f>
        <v>0</v>
      </c>
      <c r="P20" s="684">
        <v>0</v>
      </c>
    </row>
    <row r="21" spans="1:16" ht="43.2" x14ac:dyDescent="0.3">
      <c r="A21" s="1289"/>
      <c r="B21" s="1289"/>
      <c r="C21" s="636" t="s">
        <v>61</v>
      </c>
      <c r="D21" s="636" t="s">
        <v>250</v>
      </c>
      <c r="E21" s="636">
        <v>0.05</v>
      </c>
      <c r="F21" s="32">
        <v>1601809</v>
      </c>
      <c r="G21" s="32">
        <f>+ROUND(F21*1.051,0)</f>
        <v>1683501</v>
      </c>
      <c r="H21" s="32">
        <f>ROUND((E21*F21),0)</f>
        <v>80090</v>
      </c>
      <c r="I21" s="32">
        <f>+ROUND(G21*E21,0)</f>
        <v>84175</v>
      </c>
      <c r="J21" s="1289"/>
      <c r="K21" s="799">
        <v>0</v>
      </c>
      <c r="L21" s="685">
        <f t="shared" si="3"/>
        <v>0</v>
      </c>
      <c r="M21" s="684">
        <f t="shared" ref="M21" si="4">+L21/I21</f>
        <v>0</v>
      </c>
      <c r="N21" s="536">
        <f>K21</f>
        <v>0</v>
      </c>
      <c r="O21" s="685">
        <f>L21</f>
        <v>0</v>
      </c>
      <c r="P21" s="684">
        <f t="shared" si="0"/>
        <v>0</v>
      </c>
    </row>
    <row r="22" spans="1:16" ht="18.75" customHeight="1" x14ac:dyDescent="0.3">
      <c r="A22" s="1289"/>
      <c r="B22" s="1289"/>
      <c r="C22" s="39"/>
      <c r="D22" s="39" t="s">
        <v>102</v>
      </c>
      <c r="E22" s="41"/>
      <c r="F22" s="41"/>
      <c r="G22" s="41"/>
      <c r="H22" s="42">
        <f>SUM(H20:H21)</f>
        <v>80090</v>
      </c>
      <c r="I22" s="42">
        <f>SUM(I20:I21)</f>
        <v>84175</v>
      </c>
      <c r="J22" s="1289"/>
      <c r="K22" s="41"/>
      <c r="L22" s="683">
        <f>SUM(L20:L21)</f>
        <v>0</v>
      </c>
      <c r="M22" s="519">
        <f>L22/H22</f>
        <v>0</v>
      </c>
      <c r="N22" s="40"/>
      <c r="O22" s="683">
        <f>SUM(O20:O21)</f>
        <v>0</v>
      </c>
      <c r="P22" s="1100">
        <f t="shared" si="0"/>
        <v>0</v>
      </c>
    </row>
    <row r="23" spans="1:16" x14ac:dyDescent="0.3">
      <c r="A23" s="638"/>
      <c r="B23" s="638"/>
      <c r="C23" s="638"/>
      <c r="D23" s="638"/>
      <c r="E23" s="638"/>
      <c r="F23" s="686" t="s">
        <v>1740</v>
      </c>
      <c r="G23" s="686"/>
      <c r="H23" s="687">
        <f>H16+H19+H22</f>
        <v>484024</v>
      </c>
      <c r="I23" s="687">
        <f>I16+I19+I22</f>
        <v>508710</v>
      </c>
      <c r="J23" s="638"/>
      <c r="K23" s="547" t="s">
        <v>64</v>
      </c>
      <c r="L23" s="688">
        <f>SUM(L14:L22)/2</f>
        <v>0</v>
      </c>
      <c r="M23" s="638"/>
      <c r="N23" s="547" t="s">
        <v>64</v>
      </c>
      <c r="O23" s="688">
        <f>SUM(O14:O22)/2</f>
        <v>0</v>
      </c>
      <c r="P23" s="638"/>
    </row>
    <row r="24" spans="1:16" x14ac:dyDescent="0.3">
      <c r="A24" s="638"/>
      <c r="B24" s="638"/>
      <c r="C24" s="638"/>
      <c r="D24" s="638"/>
      <c r="E24" s="638"/>
      <c r="F24" s="444" t="s">
        <v>65</v>
      </c>
      <c r="G24" s="444"/>
      <c r="H24" s="181">
        <v>0</v>
      </c>
      <c r="I24" s="181">
        <v>0</v>
      </c>
      <c r="J24" s="638"/>
      <c r="K24" s="548" t="s">
        <v>65</v>
      </c>
      <c r="L24" s="481"/>
      <c r="M24" s="638"/>
      <c r="N24" s="548" t="s">
        <v>65</v>
      </c>
      <c r="O24" s="481"/>
      <c r="P24" s="638"/>
    </row>
    <row r="25" spans="1:16" x14ac:dyDescent="0.3">
      <c r="A25" s="638"/>
      <c r="B25" s="638"/>
      <c r="C25" s="638"/>
      <c r="D25" s="638"/>
      <c r="E25" s="638"/>
      <c r="F25" s="443" t="s">
        <v>1740</v>
      </c>
      <c r="G25" s="443"/>
      <c r="H25" s="340">
        <f>+H24+H23</f>
        <v>484024</v>
      </c>
      <c r="I25" s="340">
        <f>+I24+I23</f>
        <v>508710</v>
      </c>
      <c r="J25" s="638"/>
      <c r="K25" s="549" t="s">
        <v>64</v>
      </c>
      <c r="L25" s="481">
        <f>L23+L24</f>
        <v>0</v>
      </c>
      <c r="M25" s="638"/>
      <c r="N25" s="549" t="s">
        <v>64</v>
      </c>
      <c r="O25" s="481">
        <f>O23+O24</f>
        <v>0</v>
      </c>
      <c r="P25" s="638"/>
    </row>
    <row r="26" spans="1:16" ht="26.4" x14ac:dyDescent="0.3">
      <c r="A26" s="638"/>
      <c r="B26" s="638"/>
      <c r="C26" s="638"/>
      <c r="D26" s="638"/>
      <c r="E26" s="638"/>
      <c r="F26" s="659"/>
      <c r="G26" s="659"/>
      <c r="H26" s="659"/>
      <c r="I26" s="659"/>
      <c r="J26" s="638"/>
      <c r="K26" s="501" t="s">
        <v>1439</v>
      </c>
      <c r="L26" s="481">
        <f>ROUND(L25*0.015,0)</f>
        <v>0</v>
      </c>
      <c r="M26" s="638"/>
      <c r="N26" s="501" t="s">
        <v>1439</v>
      </c>
      <c r="O26" s="481">
        <f>ROUND(O25*0.015,0)</f>
        <v>0</v>
      </c>
      <c r="P26" s="638"/>
    </row>
    <row r="27" spans="1:16" ht="39.6" x14ac:dyDescent="0.3">
      <c r="A27" s="638"/>
      <c r="B27" s="638"/>
      <c r="C27" s="638"/>
      <c r="D27" s="638"/>
      <c r="E27" s="638"/>
      <c r="F27" s="659"/>
      <c r="G27" s="659"/>
      <c r="H27" s="659"/>
      <c r="I27" s="659"/>
      <c r="J27" s="638"/>
      <c r="K27" s="96" t="s">
        <v>1440</v>
      </c>
      <c r="L27" s="425">
        <f>L25+L26</f>
        <v>0</v>
      </c>
      <c r="M27" s="678">
        <f>L27/I23</f>
        <v>0</v>
      </c>
      <c r="N27" s="96" t="s">
        <v>1440</v>
      </c>
      <c r="O27" s="425">
        <f>O25+O26</f>
        <v>0</v>
      </c>
      <c r="P27" s="678">
        <f>O27/I23</f>
        <v>0</v>
      </c>
    </row>
    <row r="28" spans="1:16" x14ac:dyDescent="0.3">
      <c r="A28" s="638"/>
      <c r="B28" s="638"/>
      <c r="C28" s="638"/>
      <c r="D28" s="638"/>
      <c r="E28" s="638"/>
      <c r="F28" s="442" t="s">
        <v>66</v>
      </c>
      <c r="G28" s="442"/>
      <c r="H28" s="181">
        <f>+H23*19%</f>
        <v>91964.56</v>
      </c>
      <c r="I28" s="181">
        <f>+I23*19%</f>
        <v>96654.9</v>
      </c>
      <c r="J28" s="638"/>
      <c r="K28" s="551" t="s">
        <v>66</v>
      </c>
      <c r="L28" s="672">
        <f>L27*0.19</f>
        <v>0</v>
      </c>
      <c r="M28" s="638"/>
      <c r="N28" s="551" t="s">
        <v>66</v>
      </c>
      <c r="O28" s="672">
        <f>O27*0.19</f>
        <v>0</v>
      </c>
      <c r="P28" s="638"/>
    </row>
    <row r="29" spans="1:16" x14ac:dyDescent="0.3">
      <c r="A29" s="638"/>
      <c r="B29" s="638"/>
      <c r="C29" s="638"/>
      <c r="D29" s="638"/>
      <c r="E29" s="638"/>
      <c r="F29" s="441" t="s">
        <v>69</v>
      </c>
      <c r="G29" s="441"/>
      <c r="H29" s="181">
        <f>+H23+H28</f>
        <v>575988.56000000006</v>
      </c>
      <c r="I29" s="181">
        <f>+I23+I28</f>
        <v>605364.9</v>
      </c>
      <c r="J29" s="638"/>
      <c r="K29" s="552" t="s">
        <v>69</v>
      </c>
      <c r="L29" s="672">
        <f>L27+L28</f>
        <v>0</v>
      </c>
      <c r="M29" s="638"/>
      <c r="N29" s="552" t="s">
        <v>69</v>
      </c>
      <c r="O29" s="672">
        <f>O27+O28</f>
        <v>0</v>
      </c>
      <c r="P29" s="638"/>
    </row>
    <row r="30" spans="1:16" x14ac:dyDescent="0.3">
      <c r="A30" s="638"/>
      <c r="B30" s="638"/>
      <c r="C30" s="638"/>
      <c r="D30" s="638"/>
      <c r="E30" s="638"/>
      <c r="F30" s="638"/>
      <c r="H30" s="638"/>
      <c r="J30" s="638"/>
      <c r="K30" s="638"/>
      <c r="L30" s="638"/>
      <c r="M30" s="638"/>
      <c r="N30" s="638"/>
      <c r="O30" s="638"/>
      <c r="P30" s="638"/>
    </row>
    <row r="31" spans="1:16" x14ac:dyDescent="0.3">
      <c r="A31" s="665" t="s">
        <v>67</v>
      </c>
      <c r="B31" s="184"/>
      <c r="C31" s="184"/>
      <c r="D31" s="185" t="s">
        <v>68</v>
      </c>
      <c r="E31" s="638"/>
      <c r="F31" s="638"/>
      <c r="H31" s="638"/>
      <c r="J31" s="638"/>
      <c r="K31" s="186" t="s">
        <v>70</v>
      </c>
      <c r="L31" s="187" t="s">
        <v>71</v>
      </c>
      <c r="M31" s="186" t="s">
        <v>58</v>
      </c>
      <c r="N31" s="638"/>
      <c r="O31" s="638"/>
      <c r="P31" s="638"/>
    </row>
    <row r="32" spans="1:16" x14ac:dyDescent="0.3">
      <c r="A32" s="665"/>
      <c r="B32" s="184"/>
      <c r="C32" s="184"/>
      <c r="D32" s="185"/>
      <c r="E32" s="638"/>
      <c r="F32" s="638"/>
      <c r="H32" s="638"/>
      <c r="J32" s="638"/>
      <c r="K32" s="69" t="s">
        <v>72</v>
      </c>
      <c r="L32" s="70">
        <f>L27</f>
        <v>0</v>
      </c>
      <c r="M32" s="360">
        <f>M27</f>
        <v>0</v>
      </c>
      <c r="N32" s="638"/>
      <c r="O32" s="638"/>
      <c r="P32" s="638"/>
    </row>
    <row r="33" spans="1:16" x14ac:dyDescent="0.3">
      <c r="A33" s="665"/>
      <c r="B33" s="184"/>
      <c r="C33" s="184"/>
      <c r="D33" s="185"/>
      <c r="E33" s="638"/>
      <c r="F33" s="638"/>
      <c r="H33" s="638"/>
      <c r="J33" s="638"/>
      <c r="K33" s="72" t="s">
        <v>1</v>
      </c>
      <c r="L33" s="105">
        <f>L32</f>
        <v>0</v>
      </c>
      <c r="M33" s="361">
        <f>M32</f>
        <v>0</v>
      </c>
      <c r="N33" s="638"/>
      <c r="O33" s="638"/>
      <c r="P33" s="638"/>
    </row>
    <row r="34" spans="1:16" x14ac:dyDescent="0.3">
      <c r="A34" s="665"/>
      <c r="B34" s="184"/>
      <c r="C34" s="184"/>
      <c r="D34" s="185"/>
      <c r="E34" s="638"/>
      <c r="F34" s="638"/>
      <c r="H34" s="638"/>
      <c r="J34" s="638"/>
      <c r="K34" s="72" t="s">
        <v>9</v>
      </c>
      <c r="L34" s="1423"/>
      <c r="M34" s="1424"/>
      <c r="N34" s="638"/>
      <c r="O34" s="638"/>
      <c r="P34" s="638"/>
    </row>
    <row r="35" spans="1:16" x14ac:dyDescent="0.3">
      <c r="A35" s="665"/>
      <c r="B35" s="184"/>
      <c r="C35" s="184"/>
      <c r="D35" s="185"/>
      <c r="E35" s="638"/>
      <c r="F35" s="638"/>
      <c r="H35" s="638"/>
      <c r="J35" s="638"/>
      <c r="K35" s="440" t="s">
        <v>78</v>
      </c>
      <c r="L35" s="1423" t="s">
        <v>1777</v>
      </c>
      <c r="M35" s="1424"/>
      <c r="N35" s="638"/>
      <c r="O35" s="638"/>
      <c r="P35" s="638"/>
    </row>
    <row r="36" spans="1:16" x14ac:dyDescent="0.3">
      <c r="A36" s="665"/>
      <c r="B36" s="184"/>
      <c r="C36" s="184"/>
      <c r="D36" s="185"/>
      <c r="E36" s="638"/>
      <c r="F36" s="638"/>
      <c r="H36" s="638"/>
      <c r="J36" s="638"/>
      <c r="K36" s="439" t="s">
        <v>8</v>
      </c>
      <c r="L36" s="1425" t="s">
        <v>1778</v>
      </c>
      <c r="M36" s="1426"/>
      <c r="N36" s="638"/>
      <c r="O36" s="638"/>
      <c r="P36" s="638"/>
    </row>
    <row r="37" spans="1:16" x14ac:dyDescent="0.3">
      <c r="A37" s="665"/>
      <c r="B37" s="184"/>
      <c r="C37" s="184"/>
      <c r="D37" s="185" t="s">
        <v>75</v>
      </c>
      <c r="E37" s="638"/>
      <c r="F37" s="638"/>
      <c r="H37" s="638"/>
      <c r="J37" s="638"/>
      <c r="K37" s="638"/>
      <c r="L37" s="638"/>
      <c r="M37" s="638"/>
      <c r="N37" s="638"/>
      <c r="O37" s="638"/>
      <c r="P37" s="638"/>
    </row>
    <row r="38" spans="1:16" x14ac:dyDescent="0.3">
      <c r="A38" s="665" t="s">
        <v>76</v>
      </c>
      <c r="B38" s="180"/>
      <c r="C38" s="180"/>
      <c r="D38" s="185" t="s">
        <v>77</v>
      </c>
      <c r="E38" s="638"/>
      <c r="F38" s="638"/>
      <c r="H38" s="638"/>
      <c r="J38" s="638"/>
      <c r="K38" s="638"/>
      <c r="L38" s="638"/>
      <c r="M38" s="638"/>
      <c r="N38" s="638"/>
      <c r="O38" s="638"/>
      <c r="P38" s="638"/>
    </row>
    <row r="39" spans="1:16" x14ac:dyDescent="0.3">
      <c r="A39" s="665" t="s">
        <v>79</v>
      </c>
      <c r="B39" s="180"/>
      <c r="C39" s="180"/>
      <c r="D39" s="185" t="s">
        <v>80</v>
      </c>
      <c r="E39" s="638"/>
      <c r="F39" s="638"/>
      <c r="H39" s="638"/>
      <c r="J39" s="638"/>
      <c r="K39" s="638"/>
      <c r="L39" s="638"/>
      <c r="M39" s="638"/>
      <c r="N39" s="638"/>
      <c r="O39" s="638"/>
      <c r="P39" s="638"/>
    </row>
    <row r="40" spans="1:16" x14ac:dyDescent="0.3">
      <c r="A40" s="638"/>
      <c r="B40" s="638"/>
      <c r="C40" s="638"/>
      <c r="D40" s="638"/>
      <c r="E40" s="638"/>
      <c r="F40" s="638"/>
      <c r="H40" s="638"/>
      <c r="J40" s="638"/>
      <c r="K40" s="638"/>
      <c r="L40" s="638"/>
      <c r="M40" s="638"/>
      <c r="N40" s="638"/>
      <c r="O40" s="638"/>
      <c r="P40" s="638"/>
    </row>
  </sheetData>
  <mergeCells count="27">
    <mergeCell ref="A5:P5"/>
    <mergeCell ref="C1:M2"/>
    <mergeCell ref="N1:P1"/>
    <mergeCell ref="N2:P2"/>
    <mergeCell ref="A3:P3"/>
    <mergeCell ref="A4:P4"/>
    <mergeCell ref="A14:A16"/>
    <mergeCell ref="B14:B16"/>
    <mergeCell ref="J14:J16"/>
    <mergeCell ref="A6:P6"/>
    <mergeCell ref="A7:P7"/>
    <mergeCell ref="A8:P8"/>
    <mergeCell ref="A9:P9"/>
    <mergeCell ref="A10:P10"/>
    <mergeCell ref="B11:J11"/>
    <mergeCell ref="K11:M12"/>
    <mergeCell ref="N11:P12"/>
    <mergeCell ref="B12:J12"/>
    <mergeCell ref="L34:M34"/>
    <mergeCell ref="L35:M35"/>
    <mergeCell ref="L36:M36"/>
    <mergeCell ref="A17:A19"/>
    <mergeCell ref="B17:B19"/>
    <mergeCell ref="J17:J19"/>
    <mergeCell ref="A20:A22"/>
    <mergeCell ref="B20:B22"/>
    <mergeCell ref="J20:J22"/>
  </mergeCells>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6">
    <tabColor theme="1"/>
  </sheetPr>
  <dimension ref="A1:G49"/>
  <sheetViews>
    <sheetView topLeftCell="A10" zoomScaleNormal="100" zoomScaleSheetLayoutView="8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RESUMEN!G112</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RESUMEN!B112</f>
        <v>D00249544</v>
      </c>
      <c r="C7" s="1265"/>
      <c r="D7" s="1177"/>
      <c r="E7" s="1266" t="s">
        <v>627</v>
      </c>
      <c r="F7" s="1267"/>
      <c r="G7" s="280" t="str">
        <f>RESUMEN!E112</f>
        <v>17-400</v>
      </c>
    </row>
    <row r="8" spans="1:7" x14ac:dyDescent="0.25">
      <c r="A8" s="271" t="s">
        <v>628</v>
      </c>
      <c r="B8" s="1264" t="str">
        <f>RESUMEN!C112</f>
        <v>D00249544000</v>
      </c>
      <c r="C8" s="1265"/>
      <c r="D8" s="1177"/>
      <c r="E8" s="1266" t="s">
        <v>629</v>
      </c>
      <c r="F8" s="1267"/>
      <c r="G8" s="280" t="str">
        <f>RESUMEN!U112</f>
        <v>Acta N° 2: Marzo</v>
      </c>
    </row>
    <row r="9" spans="1:7" x14ac:dyDescent="0.25">
      <c r="A9" s="271" t="s">
        <v>630</v>
      </c>
      <c r="B9" s="1283" t="s">
        <v>631</v>
      </c>
      <c r="C9" s="1265"/>
      <c r="D9" s="1177"/>
      <c r="E9" s="1266" t="s">
        <v>632</v>
      </c>
      <c r="F9" s="1267"/>
      <c r="G9" s="1178">
        <f>RESUMEN!H112</f>
        <v>696438</v>
      </c>
    </row>
    <row r="10" spans="1:7" x14ac:dyDescent="0.25">
      <c r="A10" s="271" t="s">
        <v>633</v>
      </c>
      <c r="B10" s="1283" t="str">
        <f>RESUMEN!D112</f>
        <v>CALLE PRIMERA</v>
      </c>
      <c r="C10" s="1265"/>
      <c r="D10" s="1177"/>
      <c r="E10" s="1266" t="s">
        <v>634</v>
      </c>
      <c r="F10" s="1267"/>
      <c r="G10" s="1178">
        <f>RESUMEN!R112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",RESUMEN!G112)</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RESUMEN!N112</f>
        <v>0</v>
      </c>
      <c r="F19" s="1248"/>
      <c r="G19" s="1177"/>
    </row>
    <row r="20" spans="1:7" ht="27" customHeight="1" x14ac:dyDescent="0.25">
      <c r="A20" s="1177"/>
      <c r="B20" s="1244" t="s">
        <v>1498</v>
      </c>
      <c r="C20" s="1245"/>
      <c r="D20" s="1246"/>
      <c r="E20" s="1247">
        <f>RESUMEN!P112</f>
        <v>0</v>
      </c>
      <c r="F20" s="1248"/>
      <c r="G20" s="1177"/>
    </row>
    <row r="21" spans="1:7" ht="27" customHeight="1" x14ac:dyDescent="0.25">
      <c r="A21" s="1177"/>
      <c r="B21" s="1244" t="s">
        <v>1499</v>
      </c>
      <c r="C21" s="1245"/>
      <c r="D21" s="1246"/>
      <c r="E21" s="1247">
        <f>RESUMEN!Q112</f>
        <v>0</v>
      </c>
      <c r="F21" s="1248"/>
      <c r="G21" s="1177"/>
    </row>
    <row r="22" spans="1:7" x14ac:dyDescent="0.25">
      <c r="A22" s="1177"/>
      <c r="B22" s="1254" t="s">
        <v>64</v>
      </c>
      <c r="C22" s="1254"/>
      <c r="D22" s="1254"/>
      <c r="E22" s="1255">
        <f>RESUMEN!R112</f>
        <v>0</v>
      </c>
      <c r="F22" s="1255"/>
      <c r="G22" s="1177"/>
    </row>
    <row r="23" spans="1:7" x14ac:dyDescent="0.25">
      <c r="A23" s="1177"/>
      <c r="B23" s="1256" t="s">
        <v>66</v>
      </c>
      <c r="C23" s="1256"/>
      <c r="D23" s="1256"/>
      <c r="E23" s="1257">
        <f>RESUMEN!S112</f>
        <v>0</v>
      </c>
      <c r="F23" s="1257"/>
      <c r="G23" s="1177"/>
    </row>
    <row r="24" spans="1:7" x14ac:dyDescent="0.25">
      <c r="A24" s="1177"/>
      <c r="B24" s="1258" t="s">
        <v>1</v>
      </c>
      <c r="C24" s="1258"/>
      <c r="D24" s="1258"/>
      <c r="E24" s="1259">
        <f>RESUMEN!T112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+'OT17-400 CALLE PRIMERA AS BUIL'!N35</f>
        <v>ACTA 1</v>
      </c>
      <c r="C28" s="1253">
        <f>+'OT17-400 CALLE PRIMERA AS BUIL'!O35</f>
        <v>590635</v>
      </c>
      <c r="D28" s="1253"/>
      <c r="E28" s="267">
        <f>+'OT17-400 CALLE PRIMERA AS BUIL'!P35</f>
        <v>0.84807980035552344</v>
      </c>
      <c r="F28" s="1177"/>
      <c r="G28" s="1177"/>
    </row>
    <row r="29" spans="1:7" x14ac:dyDescent="0.25">
      <c r="A29" s="1177"/>
      <c r="B29" s="280" t="str">
        <f>+'OT17-400 CALLE PRIMERA AS BUIL'!N36</f>
        <v>ACTA 2</v>
      </c>
      <c r="C29" s="1253">
        <f>+'OT17-400 CALLE PRIMERA AS BUIL'!O36</f>
        <v>0</v>
      </c>
      <c r="D29" s="1253"/>
      <c r="E29" s="267">
        <f>+'OT17-400 CALLE PRIMERA AS BUIL'!P36</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590635</v>
      </c>
      <c r="D34" s="1251"/>
      <c r="E34" s="264">
        <f>SUM(E28:E33)</f>
        <v>0.84807980035552344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RESUMEN!V112</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7">
    <tabColor rgb="FF72104A"/>
  </sheetPr>
  <dimension ref="A1:S43"/>
  <sheetViews>
    <sheetView topLeftCell="A17" zoomScale="60" zoomScaleNormal="60" workbookViewId="0">
      <selection activeCell="I31" sqref="I31"/>
    </sheetView>
  </sheetViews>
  <sheetFormatPr baseColWidth="10" defaultRowHeight="14.4" x14ac:dyDescent="0.3"/>
  <cols>
    <col min="1" max="1" width="11.109375" bestFit="1" customWidth="1"/>
    <col min="2" max="2" width="26.5546875" customWidth="1"/>
    <col min="3" max="3" width="29.109375" customWidth="1"/>
    <col min="4" max="4" width="37.44140625" customWidth="1"/>
    <col min="6" max="6" width="16.6640625" customWidth="1"/>
    <col min="7" max="7" width="16.6640625" style="849" customWidth="1"/>
    <col min="8" max="8" width="15.6640625" customWidth="1"/>
    <col min="9" max="9" width="13.44140625" style="849" customWidth="1"/>
    <col min="10" max="10" width="39.88671875" customWidth="1"/>
    <col min="11" max="11" width="19.5546875" bestFit="1" customWidth="1"/>
    <col min="12" max="12" width="16.88671875" customWidth="1"/>
    <col min="14" max="14" width="14.44140625" style="1054" customWidth="1"/>
    <col min="15" max="15" width="16" style="1054" customWidth="1"/>
    <col min="16" max="16" width="11.5546875" style="1054"/>
    <col min="18" max="18" width="13.10937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1766</v>
      </c>
      <c r="B4" s="1292"/>
      <c r="C4" s="1292"/>
      <c r="D4" s="1292"/>
      <c r="E4" s="1292"/>
      <c r="F4" s="1292"/>
      <c r="G4" s="1292"/>
      <c r="H4" s="1292"/>
      <c r="I4" s="1292"/>
      <c r="J4" s="1292"/>
      <c r="K4" s="1292"/>
      <c r="L4" s="1292"/>
      <c r="M4" s="1292"/>
      <c r="N4" s="1292"/>
      <c r="O4" s="1292"/>
      <c r="P4" s="1292"/>
      <c r="Q4" s="1292"/>
      <c r="R4" s="1292"/>
      <c r="S4" s="1292"/>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1785</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1982</v>
      </c>
      <c r="L8" s="1294"/>
      <c r="M8" s="1295"/>
      <c r="N8" s="1293" t="s">
        <v>2324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110.25" customHeight="1" x14ac:dyDescent="0.3">
      <c r="A11" s="1289" t="s">
        <v>1378</v>
      </c>
      <c r="B11" s="1289" t="s">
        <v>240</v>
      </c>
      <c r="C11" s="843" t="s">
        <v>59</v>
      </c>
      <c r="D11" s="843" t="s">
        <v>241</v>
      </c>
      <c r="E11" s="843">
        <v>0.05</v>
      </c>
      <c r="F11" s="32">
        <v>2437535</v>
      </c>
      <c r="G11" s="32">
        <f>+ROUND(F11*1.051,0)</f>
        <v>2561849</v>
      </c>
      <c r="H11" s="32">
        <f>ROUND((E11*F11),0)</f>
        <v>121877</v>
      </c>
      <c r="I11" s="32">
        <f>+ROUND(G11*E11,0)</f>
        <v>128092</v>
      </c>
      <c r="J11" s="1289" t="s">
        <v>1779</v>
      </c>
      <c r="K11" s="536">
        <v>0</v>
      </c>
      <c r="L11" s="685">
        <f>ROUND(K11*G11,0)</f>
        <v>0</v>
      </c>
      <c r="M11" s="684">
        <f>L11/I11</f>
        <v>0</v>
      </c>
      <c r="N11" s="799">
        <v>0</v>
      </c>
      <c r="O11" s="685">
        <f>ROUND(N11*G11,0)</f>
        <v>0</v>
      </c>
      <c r="P11" s="684">
        <f>O11/I11</f>
        <v>0</v>
      </c>
      <c r="Q11" s="536">
        <f>K11+N11</f>
        <v>0</v>
      </c>
      <c r="R11" s="685">
        <f>L11+O11</f>
        <v>0</v>
      </c>
      <c r="S11" s="684">
        <f>R11/I11</f>
        <v>0</v>
      </c>
    </row>
    <row r="12" spans="1:19" x14ac:dyDescent="0.3">
      <c r="A12" s="1289"/>
      <c r="B12" s="1289"/>
      <c r="C12" s="39"/>
      <c r="D12" s="39" t="s">
        <v>242</v>
      </c>
      <c r="E12" s="41"/>
      <c r="F12" s="41"/>
      <c r="G12" s="41"/>
      <c r="H12" s="42">
        <f>H11</f>
        <v>121877</v>
      </c>
      <c r="I12" s="42">
        <f>SUM(I11)</f>
        <v>128092</v>
      </c>
      <c r="J12" s="1289"/>
      <c r="K12" s="41"/>
      <c r="L12" s="683">
        <f>SUM(L11:L11)</f>
        <v>0</v>
      </c>
      <c r="M12" s="519">
        <f>L12/H12</f>
        <v>0</v>
      </c>
      <c r="N12" s="41"/>
      <c r="O12" s="683">
        <f>SUM(O11:O11)</f>
        <v>0</v>
      </c>
      <c r="P12" s="1100">
        <f t="shared" ref="P12:P25" si="0">O12/I12</f>
        <v>0</v>
      </c>
      <c r="Q12" s="1106">
        <f t="shared" ref="Q12:Q24" si="1">K12+N12</f>
        <v>0</v>
      </c>
      <c r="R12" s="1107">
        <f t="shared" ref="R12:R25" si="2">L12+O12</f>
        <v>0</v>
      </c>
      <c r="S12" s="1100">
        <f>R12/I12</f>
        <v>0</v>
      </c>
    </row>
    <row r="13" spans="1:19" ht="98.25" customHeight="1" x14ac:dyDescent="0.3">
      <c r="A13" s="1289" t="s">
        <v>1378</v>
      </c>
      <c r="B13" s="1289" t="s">
        <v>244</v>
      </c>
      <c r="C13" s="843" t="s">
        <v>245</v>
      </c>
      <c r="D13" s="843" t="s">
        <v>246</v>
      </c>
      <c r="E13" s="843">
        <v>0.05</v>
      </c>
      <c r="F13" s="32">
        <v>1845563</v>
      </c>
      <c r="G13" s="32">
        <f>+ROUND(F13*1.051,0)</f>
        <v>1939687</v>
      </c>
      <c r="H13" s="32">
        <f>ROUND((E13*F13),0)</f>
        <v>92278</v>
      </c>
      <c r="I13" s="32">
        <f>+ROUND(G13*E13,0)</f>
        <v>96984</v>
      </c>
      <c r="J13" s="1289" t="s">
        <v>1780</v>
      </c>
      <c r="K13" s="537">
        <v>0.05</v>
      </c>
      <c r="L13" s="752">
        <f>ROUND(K13*G13,0)</f>
        <v>96984</v>
      </c>
      <c r="M13" s="753">
        <f>L13/H13</f>
        <v>1.0509980710461866</v>
      </c>
      <c r="N13" s="891">
        <v>0</v>
      </c>
      <c r="O13" s="892">
        <f>ROUND(N13*G13,0)</f>
        <v>0</v>
      </c>
      <c r="P13" s="684">
        <f t="shared" si="0"/>
        <v>0</v>
      </c>
      <c r="Q13" s="799">
        <f t="shared" si="1"/>
        <v>0.05</v>
      </c>
      <c r="R13" s="685">
        <f t="shared" si="2"/>
        <v>96984</v>
      </c>
      <c r="S13" s="684">
        <f>R13/I13</f>
        <v>1</v>
      </c>
    </row>
    <row r="14" spans="1:19" x14ac:dyDescent="0.3">
      <c r="A14" s="1289"/>
      <c r="B14" s="1289"/>
      <c r="C14" s="39"/>
      <c r="D14" s="39" t="s">
        <v>247</v>
      </c>
      <c r="E14" s="41"/>
      <c r="F14" s="41"/>
      <c r="G14" s="41"/>
      <c r="H14" s="42">
        <f>H13</f>
        <v>92278</v>
      </c>
      <c r="I14" s="42">
        <f>SUM(I13)</f>
        <v>96984</v>
      </c>
      <c r="J14" s="1289"/>
      <c r="K14" s="41"/>
      <c r="L14" s="683">
        <f>SUM(L13:L13)</f>
        <v>96984</v>
      </c>
      <c r="M14" s="519">
        <f>L14/H14</f>
        <v>1.0509980710461866</v>
      </c>
      <c r="N14" s="41"/>
      <c r="O14" s="683">
        <f>SUM(O13:O13)</f>
        <v>0</v>
      </c>
      <c r="P14" s="1100">
        <f t="shared" si="0"/>
        <v>0</v>
      </c>
      <c r="Q14" s="1106">
        <f t="shared" si="1"/>
        <v>0</v>
      </c>
      <c r="R14" s="1107">
        <f t="shared" si="2"/>
        <v>96984</v>
      </c>
      <c r="S14" s="1100">
        <f t="shared" ref="S14:S25" si="3">R14/I14</f>
        <v>1</v>
      </c>
    </row>
    <row r="15" spans="1:19" ht="45" customHeight="1" x14ac:dyDescent="0.3">
      <c r="A15" s="1289" t="s">
        <v>1378</v>
      </c>
      <c r="B15" s="1289" t="s">
        <v>248</v>
      </c>
      <c r="C15" s="843" t="s">
        <v>152</v>
      </c>
      <c r="D15" s="843" t="s">
        <v>249</v>
      </c>
      <c r="E15" s="843">
        <v>0</v>
      </c>
      <c r="F15" s="32">
        <v>313397</v>
      </c>
      <c r="G15" s="32">
        <f>+ROUND(F15*1.051,0)</f>
        <v>329380</v>
      </c>
      <c r="H15" s="32">
        <f>ROUND((E15*F15),0)</f>
        <v>0</v>
      </c>
      <c r="I15" s="32">
        <f t="shared" ref="I15:I16" si="4">+ROUND(G15*E15,0)</f>
        <v>0</v>
      </c>
      <c r="J15" s="1289" t="s">
        <v>1780</v>
      </c>
      <c r="K15" s="799">
        <v>0</v>
      </c>
      <c r="L15" s="685">
        <f t="shared" ref="L15:L16" si="5">ROUND(K15*G15,0)</f>
        <v>0</v>
      </c>
      <c r="M15" s="684">
        <v>0</v>
      </c>
      <c r="N15" s="799">
        <v>0</v>
      </c>
      <c r="O15" s="685">
        <f>ROUND(N15*G15,0)</f>
        <v>0</v>
      </c>
      <c r="P15" s="684">
        <v>0</v>
      </c>
      <c r="Q15" s="799">
        <f t="shared" si="1"/>
        <v>0</v>
      </c>
      <c r="R15" s="685">
        <f t="shared" si="2"/>
        <v>0</v>
      </c>
      <c r="S15" s="684">
        <v>0</v>
      </c>
    </row>
    <row r="16" spans="1:19" ht="90" customHeight="1" x14ac:dyDescent="0.3">
      <c r="A16" s="1289"/>
      <c r="B16" s="1289"/>
      <c r="C16" s="843" t="s">
        <v>61</v>
      </c>
      <c r="D16" s="843" t="s">
        <v>250</v>
      </c>
      <c r="E16" s="843">
        <v>0.05</v>
      </c>
      <c r="F16" s="32">
        <v>1601809</v>
      </c>
      <c r="G16" s="32">
        <f>+ROUND(F16*1.051,0)</f>
        <v>1683501</v>
      </c>
      <c r="H16" s="32">
        <f>ROUND((E16*F16),0)</f>
        <v>80090</v>
      </c>
      <c r="I16" s="32">
        <f t="shared" si="4"/>
        <v>84175</v>
      </c>
      <c r="J16" s="1289"/>
      <c r="K16" s="537">
        <v>0.05</v>
      </c>
      <c r="L16" s="752">
        <f t="shared" si="5"/>
        <v>84175</v>
      </c>
      <c r="M16" s="753">
        <f>L16/H16</f>
        <v>1.051005119240854</v>
      </c>
      <c r="N16" s="891">
        <v>0</v>
      </c>
      <c r="O16" s="685">
        <f>ROUND(N16*G16,0)</f>
        <v>0</v>
      </c>
      <c r="P16" s="684">
        <f t="shared" si="0"/>
        <v>0</v>
      </c>
      <c r="Q16" s="799">
        <f t="shared" si="1"/>
        <v>0.05</v>
      </c>
      <c r="R16" s="685">
        <f t="shared" si="2"/>
        <v>84175</v>
      </c>
      <c r="S16" s="684">
        <f t="shared" si="3"/>
        <v>1</v>
      </c>
    </row>
    <row r="17" spans="1:19" x14ac:dyDescent="0.3">
      <c r="A17" s="1289"/>
      <c r="B17" s="1289"/>
      <c r="C17" s="39"/>
      <c r="D17" s="39" t="s">
        <v>102</v>
      </c>
      <c r="E17" s="41"/>
      <c r="F17" s="41"/>
      <c r="G17" s="41"/>
      <c r="H17" s="42">
        <f>SUM(H15:H16)</f>
        <v>80090</v>
      </c>
      <c r="I17" s="42">
        <f>SUM(I15:I16)</f>
        <v>84175</v>
      </c>
      <c r="J17" s="1289"/>
      <c r="K17" s="41"/>
      <c r="L17" s="683">
        <f>SUM(L15:L16)</f>
        <v>84175</v>
      </c>
      <c r="M17" s="519">
        <f>L17/H17</f>
        <v>1.051005119240854</v>
      </c>
      <c r="N17" s="41"/>
      <c r="O17" s="683">
        <f>SUM(O15:O16)</f>
        <v>0</v>
      </c>
      <c r="P17" s="1100">
        <f t="shared" si="0"/>
        <v>0</v>
      </c>
      <c r="Q17" s="1106">
        <f t="shared" si="1"/>
        <v>0</v>
      </c>
      <c r="R17" s="1107">
        <f t="shared" si="2"/>
        <v>84175</v>
      </c>
      <c r="S17" s="1100">
        <f t="shared" si="3"/>
        <v>1</v>
      </c>
    </row>
    <row r="18" spans="1:19" ht="80.25" customHeight="1" x14ac:dyDescent="0.3">
      <c r="A18" s="1289" t="s">
        <v>1378</v>
      </c>
      <c r="B18" s="1289" t="s">
        <v>252</v>
      </c>
      <c r="C18" s="843" t="s">
        <v>157</v>
      </c>
      <c r="D18" s="843" t="s">
        <v>158</v>
      </c>
      <c r="E18" s="843">
        <v>0.05</v>
      </c>
      <c r="F18" s="32">
        <v>2437536</v>
      </c>
      <c r="G18" s="32">
        <f>+ROUND(F18*1.051,0)</f>
        <v>2561850</v>
      </c>
      <c r="H18" s="32">
        <f>ROUND((E18*F18),0)</f>
        <v>121877</v>
      </c>
      <c r="I18" s="32">
        <f>+ROUND(G18*E18,0)</f>
        <v>128093</v>
      </c>
      <c r="J18" s="1289" t="s">
        <v>1781</v>
      </c>
      <c r="K18" s="537">
        <v>0.05</v>
      </c>
      <c r="L18" s="752">
        <f>ROUND(K18*G18,0)</f>
        <v>128093</v>
      </c>
      <c r="M18" s="753">
        <f>L18/H18</f>
        <v>1.0510022399632417</v>
      </c>
      <c r="N18" s="891">
        <v>0</v>
      </c>
      <c r="O18" s="892">
        <f>ROUND(N18*G18,0)</f>
        <v>0</v>
      </c>
      <c r="P18" s="684">
        <f t="shared" si="0"/>
        <v>0</v>
      </c>
      <c r="Q18" s="799">
        <f t="shared" si="1"/>
        <v>0.05</v>
      </c>
      <c r="R18" s="685">
        <f t="shared" si="2"/>
        <v>128093</v>
      </c>
      <c r="S18" s="684">
        <f t="shared" si="3"/>
        <v>1</v>
      </c>
    </row>
    <row r="19" spans="1:19" x14ac:dyDescent="0.3">
      <c r="A19" s="1289"/>
      <c r="B19" s="1289"/>
      <c r="C19" s="39"/>
      <c r="D19" s="39" t="s">
        <v>159</v>
      </c>
      <c r="E19" s="41"/>
      <c r="F19" s="41"/>
      <c r="G19" s="41"/>
      <c r="H19" s="42">
        <f>H18</f>
        <v>121877</v>
      </c>
      <c r="I19" s="42">
        <f>SUM(I18)</f>
        <v>128093</v>
      </c>
      <c r="J19" s="1289"/>
      <c r="K19" s="41"/>
      <c r="L19" s="683">
        <f>SUM(L18:L18)</f>
        <v>128093</v>
      </c>
      <c r="M19" s="519">
        <f>L19/H19</f>
        <v>1.0510022399632417</v>
      </c>
      <c r="N19" s="41"/>
      <c r="O19" s="683">
        <f>SUM(O18:O18)</f>
        <v>0</v>
      </c>
      <c r="P19" s="1100">
        <f t="shared" si="0"/>
        <v>0</v>
      </c>
      <c r="Q19" s="1106">
        <f t="shared" si="1"/>
        <v>0</v>
      </c>
      <c r="R19" s="1107">
        <f t="shared" si="2"/>
        <v>128093</v>
      </c>
      <c r="S19" s="1100">
        <f t="shared" si="3"/>
        <v>1</v>
      </c>
    </row>
    <row r="20" spans="1:19" s="638" customFormat="1" ht="45" customHeight="1" x14ac:dyDescent="0.3">
      <c r="A20" s="1289" t="s">
        <v>144</v>
      </c>
      <c r="B20" s="1289" t="s">
        <v>251</v>
      </c>
      <c r="C20" s="843" t="s">
        <v>59</v>
      </c>
      <c r="D20" s="843" t="s">
        <v>145</v>
      </c>
      <c r="E20" s="843">
        <v>0</v>
      </c>
      <c r="F20" s="32">
        <v>940192</v>
      </c>
      <c r="G20" s="32">
        <f>+ROUND(F20*1.051,0)</f>
        <v>988142</v>
      </c>
      <c r="H20" s="32">
        <f>ROUND((E20*F20),0)</f>
        <v>0</v>
      </c>
      <c r="I20" s="32">
        <f t="shared" ref="I20:I21" si="6">+ROUND(G20*E20,0)</f>
        <v>0</v>
      </c>
      <c r="J20" s="1289" t="s">
        <v>1782</v>
      </c>
      <c r="K20" s="799">
        <v>0</v>
      </c>
      <c r="L20" s="685">
        <f t="shared" ref="L20:L21" si="7">ROUND(K20*G20,0)</f>
        <v>0</v>
      </c>
      <c r="M20" s="684">
        <v>0</v>
      </c>
      <c r="N20" s="799">
        <v>0</v>
      </c>
      <c r="O20" s="685">
        <f>ROUND(N20*G20,0)</f>
        <v>0</v>
      </c>
      <c r="P20" s="684">
        <v>0</v>
      </c>
      <c r="Q20" s="799">
        <f t="shared" si="1"/>
        <v>0</v>
      </c>
      <c r="R20" s="685">
        <f t="shared" si="2"/>
        <v>0</v>
      </c>
      <c r="S20" s="684">
        <v>0</v>
      </c>
    </row>
    <row r="21" spans="1:19" s="638" customFormat="1" ht="90" customHeight="1" x14ac:dyDescent="0.3">
      <c r="A21" s="1289"/>
      <c r="B21" s="1289"/>
      <c r="C21" s="843" t="s">
        <v>61</v>
      </c>
      <c r="D21" s="843" t="s">
        <v>146</v>
      </c>
      <c r="E21" s="843">
        <v>0.05</v>
      </c>
      <c r="F21" s="32">
        <v>5188469</v>
      </c>
      <c r="G21" s="32">
        <f>+ROUND(F21*1.051,0)</f>
        <v>5453081</v>
      </c>
      <c r="H21" s="32">
        <f>ROUND((E21*F21),0)</f>
        <v>259423</v>
      </c>
      <c r="I21" s="32">
        <f t="shared" si="6"/>
        <v>272654</v>
      </c>
      <c r="J21" s="1289"/>
      <c r="K21" s="537">
        <v>0.05</v>
      </c>
      <c r="L21" s="752">
        <f t="shared" si="7"/>
        <v>272654</v>
      </c>
      <c r="M21" s="753">
        <f>L21/H21</f>
        <v>1.0510016459604583</v>
      </c>
      <c r="N21" s="891">
        <v>0</v>
      </c>
      <c r="O21" s="685">
        <f>ROUND(N21*G21,0)</f>
        <v>0</v>
      </c>
      <c r="P21" s="684">
        <f t="shared" si="0"/>
        <v>0</v>
      </c>
      <c r="Q21" s="799">
        <f t="shared" si="1"/>
        <v>0.05</v>
      </c>
      <c r="R21" s="685">
        <f t="shared" si="2"/>
        <v>272654</v>
      </c>
      <c r="S21" s="684">
        <f t="shared" si="3"/>
        <v>1</v>
      </c>
    </row>
    <row r="22" spans="1:19" s="638" customFormat="1" x14ac:dyDescent="0.3">
      <c r="A22" s="1289"/>
      <c r="B22" s="1289"/>
      <c r="C22" s="39"/>
      <c r="D22" s="39" t="s">
        <v>147</v>
      </c>
      <c r="E22" s="41"/>
      <c r="F22" s="41"/>
      <c r="G22" s="41"/>
      <c r="H22" s="42">
        <f>SUM(H20:H21)</f>
        <v>259423</v>
      </c>
      <c r="I22" s="42">
        <f>SUM(I20:I21)</f>
        <v>272654</v>
      </c>
      <c r="J22" s="1289"/>
      <c r="K22" s="41"/>
      <c r="L22" s="683">
        <f>SUM(L20:L21)</f>
        <v>272654</v>
      </c>
      <c r="M22" s="519">
        <f>L22/H22</f>
        <v>1.0510016459604583</v>
      </c>
      <c r="N22" s="41"/>
      <c r="O22" s="683">
        <f>SUM(O20:O21)</f>
        <v>0</v>
      </c>
      <c r="P22" s="1100">
        <f t="shared" si="0"/>
        <v>0</v>
      </c>
      <c r="Q22" s="1106">
        <f t="shared" si="1"/>
        <v>0</v>
      </c>
      <c r="R22" s="1107">
        <f t="shared" si="2"/>
        <v>272654</v>
      </c>
      <c r="S22" s="1100">
        <f t="shared" si="3"/>
        <v>1</v>
      </c>
    </row>
    <row r="23" spans="1:19" s="638" customFormat="1" ht="45" customHeight="1" x14ac:dyDescent="0.3">
      <c r="A23" s="1290" t="s">
        <v>1783</v>
      </c>
      <c r="B23" s="1289" t="s">
        <v>282</v>
      </c>
      <c r="C23" s="843" t="s">
        <v>81</v>
      </c>
      <c r="D23" s="843" t="s">
        <v>105</v>
      </c>
      <c r="E23" s="843">
        <v>0.05</v>
      </c>
      <c r="F23" s="32">
        <v>417863</v>
      </c>
      <c r="G23" s="32">
        <f>+ROUND(F23*1.051,0)</f>
        <v>439174</v>
      </c>
      <c r="H23" s="32">
        <f>ROUND((E23*F23),0)</f>
        <v>20893</v>
      </c>
      <c r="I23" s="32">
        <f t="shared" ref="I23:I24" si="8">+ROUND(G23*E23,0)</f>
        <v>21959</v>
      </c>
      <c r="J23" s="1289" t="s">
        <v>1784</v>
      </c>
      <c r="K23" s="799">
        <v>0</v>
      </c>
      <c r="L23" s="685">
        <f t="shared" ref="L23:L24" si="9">ROUND(K23*G23,0)</f>
        <v>0</v>
      </c>
      <c r="M23" s="684">
        <f t="shared" ref="M23" si="10">L23/I23</f>
        <v>0</v>
      </c>
      <c r="N23" s="799">
        <v>0</v>
      </c>
      <c r="O23" s="685">
        <f>ROUND(N23*G23,0)</f>
        <v>0</v>
      </c>
      <c r="P23" s="684">
        <f t="shared" si="0"/>
        <v>0</v>
      </c>
      <c r="Q23" s="799">
        <f t="shared" si="1"/>
        <v>0</v>
      </c>
      <c r="R23" s="685">
        <f t="shared" si="2"/>
        <v>0</v>
      </c>
      <c r="S23" s="684">
        <f t="shared" si="3"/>
        <v>0</v>
      </c>
    </row>
    <row r="24" spans="1:19" s="638" customFormat="1" ht="90" customHeight="1" x14ac:dyDescent="0.3">
      <c r="A24" s="1289"/>
      <c r="B24" s="1289"/>
      <c r="C24" s="843" t="s">
        <v>83</v>
      </c>
      <c r="D24" s="843" t="s">
        <v>107</v>
      </c>
      <c r="E24" s="843">
        <v>0</v>
      </c>
      <c r="F24" s="32">
        <v>1845563</v>
      </c>
      <c r="G24" s="32">
        <f>+ROUND(F24*1.051,0)</f>
        <v>1939687</v>
      </c>
      <c r="H24" s="32">
        <f>ROUND((E24*F24),0)</f>
        <v>0</v>
      </c>
      <c r="I24" s="32">
        <f t="shared" si="8"/>
        <v>0</v>
      </c>
      <c r="J24" s="1289"/>
      <c r="K24" s="799">
        <v>0</v>
      </c>
      <c r="L24" s="685">
        <f t="shared" si="9"/>
        <v>0</v>
      </c>
      <c r="M24" s="684">
        <v>0</v>
      </c>
      <c r="N24" s="799">
        <v>0</v>
      </c>
      <c r="O24" s="685">
        <f>ROUND(N24*G24,0)</f>
        <v>0</v>
      </c>
      <c r="P24" s="684">
        <v>0</v>
      </c>
      <c r="Q24" s="799">
        <f t="shared" si="1"/>
        <v>0</v>
      </c>
      <c r="R24" s="685">
        <f t="shared" si="2"/>
        <v>0</v>
      </c>
      <c r="S24" s="684">
        <v>0</v>
      </c>
    </row>
    <row r="25" spans="1:19" s="638" customFormat="1" x14ac:dyDescent="0.3">
      <c r="A25" s="1289"/>
      <c r="B25" s="1289"/>
      <c r="C25" s="39"/>
      <c r="D25" s="39" t="s">
        <v>108</v>
      </c>
      <c r="E25" s="41"/>
      <c r="F25" s="41"/>
      <c r="G25" s="41"/>
      <c r="H25" s="42">
        <f>SUM(H23:H24)</f>
        <v>20893</v>
      </c>
      <c r="I25" s="42">
        <f>SUM(I23:I24)</f>
        <v>21959</v>
      </c>
      <c r="J25" s="1289"/>
      <c r="K25" s="41"/>
      <c r="L25" s="683">
        <f>SUM(L23:L24)</f>
        <v>0</v>
      </c>
      <c r="M25" s="519">
        <f>L25/H25</f>
        <v>0</v>
      </c>
      <c r="N25" s="41"/>
      <c r="O25" s="683">
        <f>SUM(O23:O24)</f>
        <v>0</v>
      </c>
      <c r="P25" s="1100">
        <f t="shared" si="0"/>
        <v>0</v>
      </c>
      <c r="Q25" s="1108"/>
      <c r="R25" s="1107">
        <f t="shared" si="2"/>
        <v>0</v>
      </c>
      <c r="S25" s="1100">
        <f t="shared" si="3"/>
        <v>0</v>
      </c>
    </row>
    <row r="26" spans="1:19" x14ac:dyDescent="0.3">
      <c r="A26" s="638"/>
      <c r="B26" s="638"/>
      <c r="C26" s="638"/>
      <c r="D26" s="638"/>
      <c r="E26" s="638"/>
      <c r="F26" s="686" t="s">
        <v>1740</v>
      </c>
      <c r="G26" s="686"/>
      <c r="H26" s="687">
        <f>H12+H14+H17+H19+H22+H25</f>
        <v>696438</v>
      </c>
      <c r="I26" s="687">
        <f>I12+I14+I17+I19+I22+I25</f>
        <v>731957</v>
      </c>
      <c r="J26" s="638"/>
      <c r="K26" s="547" t="s">
        <v>64</v>
      </c>
      <c r="L26" s="688">
        <f>SUM(L11:L25)/2</f>
        <v>581906</v>
      </c>
      <c r="M26" s="638"/>
      <c r="N26" s="547" t="s">
        <v>64</v>
      </c>
      <c r="O26" s="688">
        <f>SUM(O11:O25)/2</f>
        <v>0</v>
      </c>
      <c r="Q26" s="547" t="s">
        <v>64</v>
      </c>
      <c r="R26" s="688">
        <f>SUM(R11:R25)/2</f>
        <v>581906</v>
      </c>
      <c r="S26" s="638"/>
    </row>
    <row r="27" spans="1:19" ht="26.4" x14ac:dyDescent="0.3">
      <c r="A27" s="638"/>
      <c r="B27" s="638"/>
      <c r="C27" s="638"/>
      <c r="D27" s="638"/>
      <c r="E27" s="638"/>
      <c r="F27" s="444" t="s">
        <v>65</v>
      </c>
      <c r="G27" s="444"/>
      <c r="H27" s="181">
        <v>0</v>
      </c>
      <c r="I27" s="181">
        <v>0</v>
      </c>
      <c r="J27" s="638"/>
      <c r="K27" s="548" t="s">
        <v>65</v>
      </c>
      <c r="L27" s="481"/>
      <c r="M27" s="638"/>
      <c r="N27" s="548" t="s">
        <v>65</v>
      </c>
      <c r="O27" s="481"/>
      <c r="Q27" s="548" t="s">
        <v>65</v>
      </c>
      <c r="R27" s="481"/>
      <c r="S27" s="638"/>
    </row>
    <row r="28" spans="1:19" x14ac:dyDescent="0.3">
      <c r="A28" s="638"/>
      <c r="B28" s="638"/>
      <c r="C28" s="638"/>
      <c r="D28" s="638"/>
      <c r="E28" s="638"/>
      <c r="F28" s="443" t="s">
        <v>1740</v>
      </c>
      <c r="G28" s="443"/>
      <c r="H28" s="340">
        <f>+H27+H26</f>
        <v>696438</v>
      </c>
      <c r="I28" s="340">
        <f>+I27+I26</f>
        <v>731957</v>
      </c>
      <c r="J28" s="638"/>
      <c r="K28" s="549" t="s">
        <v>64</v>
      </c>
      <c r="L28" s="481">
        <f>L26+L27</f>
        <v>581906</v>
      </c>
      <c r="M28" s="638"/>
      <c r="N28" s="549" t="s">
        <v>64</v>
      </c>
      <c r="O28" s="481">
        <f>O26+O27</f>
        <v>0</v>
      </c>
      <c r="Q28" s="549" t="s">
        <v>64</v>
      </c>
      <c r="R28" s="481">
        <f>R26+R27</f>
        <v>581906</v>
      </c>
      <c r="S28" s="638"/>
    </row>
    <row r="29" spans="1:19" ht="26.4" x14ac:dyDescent="0.3">
      <c r="A29" s="638"/>
      <c r="B29" s="638"/>
      <c r="C29" s="638"/>
      <c r="D29" s="638"/>
      <c r="E29" s="638"/>
      <c r="F29" s="659"/>
      <c r="G29" s="659"/>
      <c r="H29" s="659"/>
      <c r="I29" s="659"/>
      <c r="J29" s="638"/>
      <c r="K29" s="501" t="s">
        <v>1439</v>
      </c>
      <c r="L29" s="481">
        <f>ROUND(L28*0.015,0)</f>
        <v>8729</v>
      </c>
      <c r="M29" s="638"/>
      <c r="N29" s="501" t="s">
        <v>1439</v>
      </c>
      <c r="O29" s="481">
        <f>ROUND(O28*0.015,0)</f>
        <v>0</v>
      </c>
      <c r="Q29" s="501" t="s">
        <v>1439</v>
      </c>
      <c r="R29" s="481">
        <f>+L29+O29</f>
        <v>8729</v>
      </c>
      <c r="S29" s="638"/>
    </row>
    <row r="30" spans="1:19" ht="39.6" x14ac:dyDescent="0.3">
      <c r="A30" s="638"/>
      <c r="B30" s="638"/>
      <c r="C30" s="638"/>
      <c r="D30" s="638"/>
      <c r="E30" s="638"/>
      <c r="F30" s="659"/>
      <c r="G30" s="659"/>
      <c r="H30" s="659"/>
      <c r="I30" s="659"/>
      <c r="J30" s="638"/>
      <c r="K30" s="96" t="s">
        <v>1440</v>
      </c>
      <c r="L30" s="425">
        <f>L28+L29</f>
        <v>590635</v>
      </c>
      <c r="M30" s="678">
        <f>L30/H26</f>
        <v>0.84807980035552344</v>
      </c>
      <c r="N30" s="96" t="s">
        <v>1440</v>
      </c>
      <c r="O30" s="425">
        <f>O28+O29</f>
        <v>0</v>
      </c>
      <c r="P30" s="678">
        <f>O30/H26</f>
        <v>0</v>
      </c>
      <c r="Q30" s="96" t="s">
        <v>1440</v>
      </c>
      <c r="R30" s="425">
        <f>R28+R29</f>
        <v>590635</v>
      </c>
      <c r="S30" s="678">
        <f>R30/H26</f>
        <v>0.84807980035552344</v>
      </c>
    </row>
    <row r="31" spans="1:19" x14ac:dyDescent="0.3">
      <c r="A31" s="638"/>
      <c r="B31" s="638"/>
      <c r="C31" s="638"/>
      <c r="D31" s="638"/>
      <c r="E31" s="638"/>
      <c r="F31" s="442" t="s">
        <v>66</v>
      </c>
      <c r="G31" s="442"/>
      <c r="H31" s="181">
        <f>+H26*19%</f>
        <v>132323.22</v>
      </c>
      <c r="I31" s="181">
        <f>+I26*19%</f>
        <v>139071.82999999999</v>
      </c>
      <c r="J31" s="638"/>
      <c r="K31" s="551" t="s">
        <v>66</v>
      </c>
      <c r="L31" s="672">
        <f>L30*0.19</f>
        <v>112220.65</v>
      </c>
      <c r="M31" s="638"/>
      <c r="N31" s="551" t="s">
        <v>66</v>
      </c>
      <c r="O31" s="672">
        <f>O30*0.19</f>
        <v>0</v>
      </c>
      <c r="Q31" s="551" t="s">
        <v>66</v>
      </c>
      <c r="R31" s="672">
        <f>R30*0.19</f>
        <v>112220.65</v>
      </c>
      <c r="S31" s="638"/>
    </row>
    <row r="32" spans="1:19" x14ac:dyDescent="0.3">
      <c r="A32" s="638"/>
      <c r="B32" s="638"/>
      <c r="C32" s="638"/>
      <c r="D32" s="638"/>
      <c r="E32" s="638"/>
      <c r="F32" s="441" t="s">
        <v>69</v>
      </c>
      <c r="G32" s="441"/>
      <c r="H32" s="181">
        <f>+H26+H31</f>
        <v>828761.22</v>
      </c>
      <c r="I32" s="181">
        <f>+I26+I31</f>
        <v>871028.83</v>
      </c>
      <c r="J32" s="638"/>
      <c r="K32" s="552" t="s">
        <v>69</v>
      </c>
      <c r="L32" s="672">
        <f>L30+L31</f>
        <v>702855.65</v>
      </c>
      <c r="M32" s="638"/>
      <c r="N32" s="552" t="s">
        <v>69</v>
      </c>
      <c r="O32" s="672">
        <f>O30+O31</f>
        <v>0</v>
      </c>
      <c r="Q32" s="552" t="s">
        <v>69</v>
      </c>
      <c r="R32" s="672">
        <f>R30+R31</f>
        <v>702855.65</v>
      </c>
      <c r="S32" s="638"/>
    </row>
    <row r="33" spans="1:19" x14ac:dyDescent="0.3">
      <c r="A33" s="638"/>
      <c r="B33" s="638"/>
      <c r="C33" s="638"/>
      <c r="D33" s="638"/>
      <c r="E33" s="638"/>
      <c r="F33" s="638"/>
      <c r="H33" s="638"/>
      <c r="J33" s="638"/>
      <c r="K33" s="638"/>
      <c r="L33" s="638"/>
      <c r="M33" s="638"/>
      <c r="Q33" s="638"/>
      <c r="R33" s="638"/>
      <c r="S33" s="638"/>
    </row>
    <row r="34" spans="1:19" ht="26.4" x14ac:dyDescent="0.3">
      <c r="A34" s="665" t="s">
        <v>67</v>
      </c>
      <c r="B34" s="184"/>
      <c r="C34" s="184"/>
      <c r="D34" s="185" t="s">
        <v>68</v>
      </c>
      <c r="E34" s="638"/>
      <c r="F34" s="638"/>
      <c r="H34" s="638"/>
      <c r="J34" s="638"/>
      <c r="K34" s="186" t="s">
        <v>70</v>
      </c>
      <c r="L34" s="187" t="s">
        <v>71</v>
      </c>
      <c r="M34" s="186" t="s">
        <v>58</v>
      </c>
      <c r="N34" s="186" t="s">
        <v>70</v>
      </c>
      <c r="O34" s="187" t="s">
        <v>71</v>
      </c>
      <c r="P34" s="186" t="s">
        <v>58</v>
      </c>
      <c r="Q34" s="638"/>
      <c r="R34" s="638"/>
      <c r="S34" s="638"/>
    </row>
    <row r="35" spans="1:19" x14ac:dyDescent="0.3">
      <c r="A35" s="665"/>
      <c r="B35" s="184"/>
      <c r="C35" s="184"/>
      <c r="D35" s="185"/>
      <c r="E35" s="638"/>
      <c r="F35" s="638"/>
      <c r="H35" s="638"/>
      <c r="J35" s="638"/>
      <c r="K35" s="69" t="s">
        <v>72</v>
      </c>
      <c r="L35" s="70">
        <f>L30</f>
        <v>590635</v>
      </c>
      <c r="M35" s="360">
        <f>M30</f>
        <v>0.84807980035552344</v>
      </c>
      <c r="N35" s="69" t="s">
        <v>72</v>
      </c>
      <c r="O35" s="70">
        <f>$L$30</f>
        <v>590635</v>
      </c>
      <c r="P35" s="360">
        <f>$M$30</f>
        <v>0.84807980035552344</v>
      </c>
      <c r="Q35" s="638"/>
      <c r="R35" s="638"/>
      <c r="S35" s="638"/>
    </row>
    <row r="36" spans="1:19" x14ac:dyDescent="0.3">
      <c r="A36" s="665"/>
      <c r="B36" s="184"/>
      <c r="C36" s="184"/>
      <c r="D36" s="185"/>
      <c r="E36" s="638"/>
      <c r="F36" s="638"/>
      <c r="H36" s="638"/>
      <c r="J36" s="638"/>
      <c r="K36" s="72" t="s">
        <v>1</v>
      </c>
      <c r="L36" s="105">
        <f>L35</f>
        <v>590635</v>
      </c>
      <c r="M36" s="361">
        <f>M35</f>
        <v>0.84807980035552344</v>
      </c>
      <c r="N36" s="69" t="s">
        <v>73</v>
      </c>
      <c r="O36" s="70">
        <f>$O$30</f>
        <v>0</v>
      </c>
      <c r="P36" s="360">
        <f>$P$30</f>
        <v>0</v>
      </c>
      <c r="Q36" s="638"/>
      <c r="R36" s="638"/>
      <c r="S36" s="638"/>
    </row>
    <row r="37" spans="1:19" x14ac:dyDescent="0.3">
      <c r="A37" s="665"/>
      <c r="B37" s="184"/>
      <c r="C37" s="184"/>
      <c r="D37" s="185"/>
      <c r="E37" s="638"/>
      <c r="F37" s="638"/>
      <c r="H37" s="638"/>
      <c r="J37" s="638"/>
      <c r="K37" s="72" t="s">
        <v>9</v>
      </c>
      <c r="L37" s="1423"/>
      <c r="M37" s="1424"/>
      <c r="N37" s="72" t="s">
        <v>1</v>
      </c>
      <c r="O37" s="105">
        <f>SUM(O35:O36)</f>
        <v>590635</v>
      </c>
      <c r="P37" s="361">
        <f>SUM(P35:P36)</f>
        <v>0.84807980035552344</v>
      </c>
      <c r="Q37" s="638"/>
      <c r="R37" s="638"/>
      <c r="S37" s="638"/>
    </row>
    <row r="38" spans="1:19" x14ac:dyDescent="0.3">
      <c r="A38" s="665"/>
      <c r="B38" s="184"/>
      <c r="C38" s="184"/>
      <c r="D38" s="185"/>
      <c r="E38" s="638"/>
      <c r="F38" s="638"/>
      <c r="H38" s="638"/>
      <c r="J38" s="638"/>
      <c r="K38" s="440" t="s">
        <v>78</v>
      </c>
      <c r="L38" s="1423" t="s">
        <v>2229</v>
      </c>
      <c r="M38" s="1424"/>
      <c r="N38" s="72" t="s">
        <v>9</v>
      </c>
      <c r="O38" s="1423"/>
      <c r="P38" s="1424"/>
      <c r="Q38" s="638"/>
      <c r="R38" s="638"/>
      <c r="S38" s="638"/>
    </row>
    <row r="39" spans="1:19" x14ac:dyDescent="0.3">
      <c r="A39" s="665"/>
      <c r="B39" s="184"/>
      <c r="C39" s="184"/>
      <c r="D39" s="185"/>
      <c r="E39" s="638"/>
      <c r="F39" s="638"/>
      <c r="H39" s="638"/>
      <c r="J39" s="638"/>
      <c r="K39" s="439" t="s">
        <v>8</v>
      </c>
      <c r="L39" s="1423" t="s">
        <v>2230</v>
      </c>
      <c r="M39" s="1424"/>
      <c r="N39" s="440" t="s">
        <v>78</v>
      </c>
      <c r="O39" s="1423" t="s">
        <v>2229</v>
      </c>
      <c r="P39" s="1424"/>
      <c r="Q39" s="638"/>
      <c r="R39" s="638"/>
      <c r="S39" s="638"/>
    </row>
    <row r="40" spans="1:19" x14ac:dyDescent="0.3">
      <c r="A40" s="665"/>
      <c r="B40" s="184"/>
      <c r="C40" s="184"/>
      <c r="D40" s="185" t="s">
        <v>75</v>
      </c>
      <c r="E40" s="638"/>
      <c r="F40" s="638"/>
      <c r="H40" s="638"/>
      <c r="J40" s="638"/>
      <c r="K40" s="638"/>
      <c r="L40" s="638"/>
      <c r="M40" s="638"/>
      <c r="N40" s="439" t="s">
        <v>8</v>
      </c>
      <c r="O40" s="1423" t="s">
        <v>2230</v>
      </c>
      <c r="P40" s="1424"/>
      <c r="Q40" s="638"/>
      <c r="R40" s="638"/>
      <c r="S40" s="638"/>
    </row>
    <row r="41" spans="1:19" x14ac:dyDescent="0.3">
      <c r="A41" s="665" t="s">
        <v>76</v>
      </c>
      <c r="B41" s="180"/>
      <c r="C41" s="180"/>
      <c r="D41" s="185" t="s">
        <v>77</v>
      </c>
      <c r="E41" s="638"/>
      <c r="F41" s="638"/>
      <c r="H41" s="638"/>
      <c r="J41" s="638"/>
      <c r="K41" s="638"/>
      <c r="L41" s="638"/>
      <c r="M41" s="638"/>
      <c r="Q41" s="638"/>
      <c r="R41" s="638"/>
      <c r="S41" s="638"/>
    </row>
    <row r="42" spans="1:19" ht="26.4" x14ac:dyDescent="0.3">
      <c r="A42" s="665" t="s">
        <v>79</v>
      </c>
      <c r="B42" s="180"/>
      <c r="C42" s="180"/>
      <c r="D42" s="185" t="s">
        <v>80</v>
      </c>
      <c r="E42" s="638"/>
      <c r="F42" s="638"/>
      <c r="H42" s="638"/>
      <c r="J42" s="638"/>
      <c r="K42" s="638"/>
      <c r="L42" s="638"/>
      <c r="M42" s="638"/>
      <c r="Q42" s="638"/>
      <c r="R42" s="638"/>
      <c r="S42" s="638"/>
    </row>
    <row r="43" spans="1:19" x14ac:dyDescent="0.3">
      <c r="A43" s="638"/>
      <c r="B43" s="638"/>
      <c r="C43" s="638"/>
      <c r="D43" s="638"/>
      <c r="E43" s="638"/>
      <c r="F43" s="638"/>
      <c r="H43" s="638"/>
      <c r="J43" s="638"/>
      <c r="K43" s="638"/>
      <c r="L43" s="638"/>
      <c r="M43" s="638"/>
      <c r="Q43" s="638"/>
      <c r="R43" s="638"/>
      <c r="S43" s="638"/>
    </row>
  </sheetData>
  <mergeCells count="36">
    <mergeCell ref="A11:A12"/>
    <mergeCell ref="B11:B12"/>
    <mergeCell ref="J11:J12"/>
    <mergeCell ref="A1:S1"/>
    <mergeCell ref="A2:S2"/>
    <mergeCell ref="A3:S3"/>
    <mergeCell ref="A4:S4"/>
    <mergeCell ref="A5:S5"/>
    <mergeCell ref="A6:S6"/>
    <mergeCell ref="A7:S7"/>
    <mergeCell ref="B8:J8"/>
    <mergeCell ref="K8:M9"/>
    <mergeCell ref="Q8:S9"/>
    <mergeCell ref="B9:J9"/>
    <mergeCell ref="N8:P9"/>
    <mergeCell ref="A13:A14"/>
    <mergeCell ref="B13:B14"/>
    <mergeCell ref="J13:J14"/>
    <mergeCell ref="A15:A17"/>
    <mergeCell ref="B15:B17"/>
    <mergeCell ref="J15:J17"/>
    <mergeCell ref="O38:P38"/>
    <mergeCell ref="O39:P39"/>
    <mergeCell ref="O40:P40"/>
    <mergeCell ref="A18:A19"/>
    <mergeCell ref="B18:B19"/>
    <mergeCell ref="J18:J19"/>
    <mergeCell ref="L37:M37"/>
    <mergeCell ref="L38:M38"/>
    <mergeCell ref="L39:M39"/>
    <mergeCell ref="A20:A22"/>
    <mergeCell ref="B20:B22"/>
    <mergeCell ref="J20:J22"/>
    <mergeCell ref="A23:A25"/>
    <mergeCell ref="B23:B25"/>
    <mergeCell ref="J23:J25"/>
  </mergeCells>
  <pageMargins left="0.7" right="0.7" top="0.75" bottom="0.75" header="0.3" footer="0.3"/>
  <pageSetup paperSize="9" scale="39" orientation="landscape"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8">
    <tabColor theme="1"/>
  </sheetPr>
  <dimension ref="A1:G49"/>
  <sheetViews>
    <sheetView topLeftCell="A13" zoomScaleNormal="100" zoomScaleSheetLayoutView="8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RESUMEN!G113</f>
        <v xml:space="preserve">Proyecto:CDIE_CBCCSM_R0178 REPOSICIÓN INTERRUPTORES.
</v>
      </c>
      <c r="C5" s="1281"/>
      <c r="D5" s="1281"/>
      <c r="E5" s="1281"/>
      <c r="F5" s="1281"/>
      <c r="G5" s="1282"/>
    </row>
    <row r="6" spans="1:7" x14ac:dyDescent="0.25">
      <c r="A6" s="1177"/>
      <c r="B6" s="1177"/>
      <c r="C6" s="1177"/>
      <c r="D6" s="1177"/>
      <c r="E6" s="1177"/>
      <c r="F6" s="1177"/>
      <c r="G6" s="1177"/>
    </row>
    <row r="7" spans="1:7" x14ac:dyDescent="0.25">
      <c r="A7" s="271" t="s">
        <v>0</v>
      </c>
      <c r="B7" s="1264" t="str">
        <f>RESUMEN!B113</f>
        <v>D00240791</v>
      </c>
      <c r="C7" s="1265"/>
      <c r="D7" s="1177"/>
      <c r="E7" s="1266" t="s">
        <v>627</v>
      </c>
      <c r="F7" s="1267"/>
      <c r="G7" s="280" t="str">
        <f>RESUMEN!E113</f>
        <v>17-401</v>
      </c>
    </row>
    <row r="8" spans="1:7" x14ac:dyDescent="0.25">
      <c r="A8" s="271" t="s">
        <v>628</v>
      </c>
      <c r="B8" s="1264" t="str">
        <f>RESUMEN!C113</f>
        <v>D00240791000</v>
      </c>
      <c r="C8" s="1265"/>
      <c r="D8" s="1177"/>
      <c r="E8" s="1266" t="s">
        <v>629</v>
      </c>
      <c r="F8" s="1267"/>
      <c r="G8" s="280" t="str">
        <f>RESUMEN!U113</f>
        <v>Acta N° 2: Marzo</v>
      </c>
    </row>
    <row r="9" spans="1:7" x14ac:dyDescent="0.25">
      <c r="A9" s="271" t="s">
        <v>630</v>
      </c>
      <c r="B9" s="1283" t="s">
        <v>631</v>
      </c>
      <c r="C9" s="1265"/>
      <c r="D9" s="1177"/>
      <c r="E9" s="1266" t="s">
        <v>632</v>
      </c>
      <c r="F9" s="1267"/>
      <c r="G9" s="1178">
        <f>RESUMEN!H113</f>
        <v>13260193</v>
      </c>
    </row>
    <row r="10" spans="1:7" x14ac:dyDescent="0.25">
      <c r="A10" s="271" t="s">
        <v>633</v>
      </c>
      <c r="B10" s="1283" t="str">
        <f>RESUMEN!D113</f>
        <v>BOSA</v>
      </c>
      <c r="C10" s="1265"/>
      <c r="D10" s="1177"/>
      <c r="E10" s="1266" t="s">
        <v>634</v>
      </c>
      <c r="F10" s="1267"/>
      <c r="G10" s="1178">
        <f>RESUMEN!R113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",RESUMEN!G113)</f>
        <v xml:space="preserve">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RESUMEN!N113</f>
        <v>0</v>
      </c>
      <c r="F19" s="1248"/>
      <c r="G19" s="1177"/>
    </row>
    <row r="20" spans="1:7" ht="27" customHeight="1" x14ac:dyDescent="0.25">
      <c r="A20" s="1177"/>
      <c r="B20" s="1244" t="s">
        <v>1498</v>
      </c>
      <c r="C20" s="1245"/>
      <c r="D20" s="1246"/>
      <c r="E20" s="1247">
        <f>RESUMEN!P113</f>
        <v>0</v>
      </c>
      <c r="F20" s="1248"/>
      <c r="G20" s="1177"/>
    </row>
    <row r="21" spans="1:7" ht="27" customHeight="1" x14ac:dyDescent="0.25">
      <c r="A21" s="1177"/>
      <c r="B21" s="1244" t="s">
        <v>1499</v>
      </c>
      <c r="C21" s="1245"/>
      <c r="D21" s="1246"/>
      <c r="E21" s="1247">
        <f>RESUMEN!Q113</f>
        <v>0</v>
      </c>
      <c r="F21" s="1248"/>
      <c r="G21" s="1177"/>
    </row>
    <row r="22" spans="1:7" x14ac:dyDescent="0.25">
      <c r="A22" s="1177"/>
      <c r="B22" s="1254" t="s">
        <v>64</v>
      </c>
      <c r="C22" s="1254"/>
      <c r="D22" s="1254"/>
      <c r="E22" s="1255">
        <f>RESUMEN!R113</f>
        <v>0</v>
      </c>
      <c r="F22" s="1255"/>
      <c r="G22" s="1177"/>
    </row>
    <row r="23" spans="1:7" x14ac:dyDescent="0.25">
      <c r="A23" s="1177"/>
      <c r="B23" s="1256" t="s">
        <v>66</v>
      </c>
      <c r="C23" s="1256"/>
      <c r="D23" s="1256"/>
      <c r="E23" s="1257">
        <f>RESUMEN!S113</f>
        <v>0</v>
      </c>
      <c r="F23" s="1257"/>
      <c r="G23" s="1177"/>
    </row>
    <row r="24" spans="1:7" x14ac:dyDescent="0.25">
      <c r="A24" s="1177"/>
      <c r="B24" s="1258" t="s">
        <v>1</v>
      </c>
      <c r="C24" s="1258"/>
      <c r="D24" s="1258"/>
      <c r="E24" s="1259">
        <f>RESUMEN!T113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+'OT17-401 BOSA DIS. INT.'!N30</f>
        <v>ACTA 1</v>
      </c>
      <c r="C28" s="1253">
        <f>+'OT17-401 BOSA DIS. INT.'!O30</f>
        <v>11519231</v>
      </c>
      <c r="D28" s="1253"/>
      <c r="E28" s="267">
        <f>+'OT17-401 BOSA DIS. INT.'!P30</f>
        <v>0.86870764249057308</v>
      </c>
      <c r="F28" s="1177"/>
      <c r="G28" s="1177"/>
    </row>
    <row r="29" spans="1:7" x14ac:dyDescent="0.25">
      <c r="A29" s="1177"/>
      <c r="B29" s="280" t="str">
        <f>+'OT17-401 BOSA DIS. INT.'!N31</f>
        <v>ACTA 2</v>
      </c>
      <c r="C29" s="1253">
        <f>+'OT17-401 BOSA DIS. INT.'!O31</f>
        <v>0</v>
      </c>
      <c r="D29" s="1253"/>
      <c r="E29" s="267">
        <f>+'OT17-401 BOSA DIS. INT.'!P31</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11519231</v>
      </c>
      <c r="D34" s="1251"/>
      <c r="E34" s="264">
        <f>SUM(E28:E33)</f>
        <v>0.86870764249057308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RESUMEN!V113</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9">
    <tabColor rgb="FF72104A"/>
  </sheetPr>
  <dimension ref="A1:S38"/>
  <sheetViews>
    <sheetView topLeftCell="D13" zoomScale="70" zoomScaleNormal="70" zoomScaleSheetLayoutView="70" workbookViewId="0">
      <selection activeCell="I18" sqref="I18"/>
    </sheetView>
  </sheetViews>
  <sheetFormatPr baseColWidth="10" defaultRowHeight="14.4" x14ac:dyDescent="0.3"/>
  <cols>
    <col min="1" max="1" width="18.44140625" customWidth="1"/>
    <col min="2" max="2" width="27" bestFit="1" customWidth="1"/>
    <col min="3" max="3" width="23.44140625" customWidth="1"/>
    <col min="4" max="4" width="32.33203125" customWidth="1"/>
    <col min="6" max="6" width="14.44140625" bestFit="1" customWidth="1"/>
    <col min="7" max="7" width="14.44140625" style="849" customWidth="1"/>
    <col min="8" max="8" width="17.6640625" bestFit="1" customWidth="1"/>
    <col min="9" max="9" width="21.33203125" style="849" customWidth="1"/>
    <col min="10" max="10" width="34" customWidth="1"/>
    <col min="11" max="11" width="18.109375" customWidth="1"/>
    <col min="12" max="12" width="17.88671875" bestFit="1" customWidth="1"/>
    <col min="14" max="14" width="15.21875" style="1054" customWidth="1"/>
    <col min="15" max="15" width="12.6640625" style="1054" bestFit="1" customWidth="1"/>
    <col min="16" max="16" width="11.5546875" style="1054"/>
    <col min="17" max="17" width="18.5546875" customWidth="1"/>
    <col min="18" max="18" width="15.4414062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ht="12" customHeight="1" x14ac:dyDescent="0.3">
      <c r="A7" s="1508" t="s">
        <v>1789</v>
      </c>
      <c r="B7" s="1509"/>
      <c r="C7" s="1509"/>
      <c r="D7" s="1509"/>
      <c r="E7" s="1509"/>
      <c r="F7" s="1509"/>
      <c r="G7" s="1509"/>
      <c r="H7" s="1509"/>
      <c r="I7" s="1509"/>
      <c r="J7" s="1509"/>
      <c r="K7" s="1509"/>
      <c r="L7" s="1509"/>
      <c r="M7" s="1509"/>
      <c r="N7" s="1509"/>
      <c r="O7" s="1509"/>
      <c r="P7" s="1509"/>
      <c r="Q7" s="1509"/>
      <c r="R7" s="1509"/>
      <c r="S7" s="1509"/>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1786</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5" customHeight="1" x14ac:dyDescent="0.3">
      <c r="A14" s="1289" t="s">
        <v>151</v>
      </c>
      <c r="B14" s="1289" t="s">
        <v>216</v>
      </c>
      <c r="C14" s="636" t="s">
        <v>81</v>
      </c>
      <c r="D14" s="636" t="s">
        <v>82</v>
      </c>
      <c r="E14" s="31">
        <v>0.7</v>
      </c>
      <c r="F14" s="32">
        <v>1880385</v>
      </c>
      <c r="G14" s="32">
        <f>+ROUND(F14*1.051,0)</f>
        <v>1976285</v>
      </c>
      <c r="H14" s="32">
        <f>ROUND((E14*F14),0)</f>
        <v>1316270</v>
      </c>
      <c r="I14" s="32">
        <f>+ROUND(G14*E14,0)</f>
        <v>1383400</v>
      </c>
      <c r="J14" s="1290" t="s">
        <v>1787</v>
      </c>
      <c r="K14" s="537">
        <v>0.7</v>
      </c>
      <c r="L14" s="752">
        <f>ROUND(K14*G14,0)</f>
        <v>1383400</v>
      </c>
      <c r="M14" s="753">
        <f t="shared" ref="M14:M20" si="0">L14/H14</f>
        <v>1.0510001747361863</v>
      </c>
      <c r="N14" s="891">
        <v>0</v>
      </c>
      <c r="O14" s="892">
        <f>ROUND(N14*G14,0)</f>
        <v>0</v>
      </c>
      <c r="P14" s="893">
        <f>O14/I14</f>
        <v>0</v>
      </c>
      <c r="Q14" s="536">
        <f>K14+N14</f>
        <v>0.7</v>
      </c>
      <c r="R14" s="685">
        <f>L14+O14</f>
        <v>1383400</v>
      </c>
      <c r="S14" s="684">
        <f>R14/I14</f>
        <v>1</v>
      </c>
    </row>
    <row r="15" spans="1:19" ht="43.2" x14ac:dyDescent="0.3">
      <c r="A15" s="1289"/>
      <c r="B15" s="1289"/>
      <c r="C15" s="636" t="s">
        <v>83</v>
      </c>
      <c r="D15" s="636" t="s">
        <v>84</v>
      </c>
      <c r="E15" s="31">
        <v>0.7</v>
      </c>
      <c r="F15" s="32">
        <v>1845563</v>
      </c>
      <c r="G15" s="32">
        <f t="shared" ref="G15:G16" si="1">+ROUND(F15*1.051,0)</f>
        <v>1939687</v>
      </c>
      <c r="H15" s="32">
        <f>ROUND((E15*F15),0)</f>
        <v>1291894</v>
      </c>
      <c r="I15" s="32">
        <f t="shared" ref="I15:I16" si="2">+ROUND(G15*E15,0)</f>
        <v>1357781</v>
      </c>
      <c r="J15" s="1289"/>
      <c r="K15" s="799">
        <v>0</v>
      </c>
      <c r="L15" s="685">
        <f t="shared" ref="L15:L16" si="3">ROUND(K15*G15,0)</f>
        <v>0</v>
      </c>
      <c r="M15" s="684">
        <f t="shared" si="0"/>
        <v>0</v>
      </c>
      <c r="N15" s="799">
        <v>0</v>
      </c>
      <c r="O15" s="892">
        <f t="shared" ref="O15:O16" si="4">ROUND(N15*G15,0)</f>
        <v>0</v>
      </c>
      <c r="P15" s="893">
        <f t="shared" ref="P15:P20" si="5">O15/I15</f>
        <v>0</v>
      </c>
      <c r="Q15" s="799">
        <f t="shared" ref="Q15:Q19" si="6">K15+N15</f>
        <v>0</v>
      </c>
      <c r="R15" s="685">
        <f t="shared" ref="R15:R20" si="7">L15+O15</f>
        <v>0</v>
      </c>
      <c r="S15" s="684">
        <f t="shared" ref="S15:S20" si="8">R15/I15</f>
        <v>0</v>
      </c>
    </row>
    <row r="16" spans="1:19" ht="43.2" x14ac:dyDescent="0.3">
      <c r="A16" s="1289"/>
      <c r="B16" s="1289"/>
      <c r="C16" s="636" t="s">
        <v>61</v>
      </c>
      <c r="D16" s="636" t="s">
        <v>85</v>
      </c>
      <c r="E16" s="31">
        <v>0.7</v>
      </c>
      <c r="F16" s="32">
        <v>7312607</v>
      </c>
      <c r="G16" s="32">
        <f t="shared" si="1"/>
        <v>7685550</v>
      </c>
      <c r="H16" s="32">
        <f>ROUND((E16*F16),0)</f>
        <v>5118825</v>
      </c>
      <c r="I16" s="32">
        <f t="shared" si="2"/>
        <v>5379885</v>
      </c>
      <c r="J16" s="1289"/>
      <c r="K16" s="537">
        <v>0.7</v>
      </c>
      <c r="L16" s="752">
        <f t="shared" si="3"/>
        <v>5379885</v>
      </c>
      <c r="M16" s="753">
        <f t="shared" si="0"/>
        <v>1.0509999853481999</v>
      </c>
      <c r="N16" s="891">
        <v>0</v>
      </c>
      <c r="O16" s="892">
        <f t="shared" si="4"/>
        <v>0</v>
      </c>
      <c r="P16" s="893">
        <f t="shared" si="5"/>
        <v>0</v>
      </c>
      <c r="Q16" s="799">
        <f t="shared" si="6"/>
        <v>0.7</v>
      </c>
      <c r="R16" s="685">
        <f t="shared" si="7"/>
        <v>5379885</v>
      </c>
      <c r="S16" s="684">
        <f t="shared" si="8"/>
        <v>1</v>
      </c>
    </row>
    <row r="17" spans="1:19" x14ac:dyDescent="0.3">
      <c r="A17" s="1289"/>
      <c r="B17" s="1289"/>
      <c r="C17" s="39"/>
      <c r="D17" s="39" t="s">
        <v>86</v>
      </c>
      <c r="E17" s="40"/>
      <c r="F17" s="41"/>
      <c r="G17" s="41"/>
      <c r="H17" s="42">
        <f>SUM(H14:H16)</f>
        <v>7726989</v>
      </c>
      <c r="I17" s="42">
        <f>SUM(I14:I16)</f>
        <v>8121066</v>
      </c>
      <c r="J17" s="1289"/>
      <c r="K17" s="40"/>
      <c r="L17" s="683">
        <f>SUM(L14:L16)</f>
        <v>6763285</v>
      </c>
      <c r="M17" s="519">
        <f t="shared" si="0"/>
        <v>0.87528078530977593</v>
      </c>
      <c r="N17" s="40"/>
      <c r="O17" s="683">
        <f>SUM(O14:O16)</f>
        <v>0</v>
      </c>
      <c r="P17" s="1100">
        <f t="shared" si="5"/>
        <v>0</v>
      </c>
      <c r="Q17" s="1106"/>
      <c r="R17" s="1107">
        <f t="shared" si="7"/>
        <v>6763285</v>
      </c>
      <c r="S17" s="1100">
        <f t="shared" si="8"/>
        <v>0.83280754029089288</v>
      </c>
    </row>
    <row r="18" spans="1:19" ht="60.75" customHeight="1" x14ac:dyDescent="0.3">
      <c r="A18" s="1289" t="s">
        <v>151</v>
      </c>
      <c r="B18" s="1289" t="s">
        <v>195</v>
      </c>
      <c r="C18" s="636" t="s">
        <v>83</v>
      </c>
      <c r="D18" s="636" t="s">
        <v>91</v>
      </c>
      <c r="E18" s="31">
        <v>0.7</v>
      </c>
      <c r="F18" s="32">
        <v>1671452</v>
      </c>
      <c r="G18" s="32">
        <f t="shared" ref="G18:G19" si="9">+ROUND(F18*1.051,0)</f>
        <v>1756696</v>
      </c>
      <c r="H18" s="32">
        <f>ROUND((E18*F18),0)</f>
        <v>1170016</v>
      </c>
      <c r="I18" s="32">
        <f t="shared" ref="I18:I19" si="10">+ROUND(G18*E18,0)</f>
        <v>1229687</v>
      </c>
      <c r="J18" s="1290" t="s">
        <v>1788</v>
      </c>
      <c r="K18" s="799">
        <v>0</v>
      </c>
      <c r="L18" s="685">
        <f t="shared" ref="L18:L19" si="11">ROUND(K18*G18,0)</f>
        <v>0</v>
      </c>
      <c r="M18" s="684">
        <f t="shared" si="0"/>
        <v>0</v>
      </c>
      <c r="N18" s="799">
        <v>0</v>
      </c>
      <c r="O18" s="685">
        <f>ROUND(N18*G18,0)</f>
        <v>0</v>
      </c>
      <c r="P18" s="893">
        <f t="shared" si="5"/>
        <v>0</v>
      </c>
      <c r="Q18" s="799">
        <f t="shared" si="6"/>
        <v>0</v>
      </c>
      <c r="R18" s="685">
        <f t="shared" si="7"/>
        <v>0</v>
      </c>
      <c r="S18" s="684">
        <f t="shared" si="8"/>
        <v>0</v>
      </c>
    </row>
    <row r="19" spans="1:19" ht="46.5" customHeight="1" x14ac:dyDescent="0.3">
      <c r="A19" s="1289"/>
      <c r="B19" s="1289"/>
      <c r="C19" s="636" t="s">
        <v>61</v>
      </c>
      <c r="D19" s="636" t="s">
        <v>92</v>
      </c>
      <c r="E19" s="31">
        <v>0.7</v>
      </c>
      <c r="F19" s="32">
        <v>6233126</v>
      </c>
      <c r="G19" s="32">
        <f t="shared" si="9"/>
        <v>6551015</v>
      </c>
      <c r="H19" s="32">
        <f>ROUND((E19*F19),0)</f>
        <v>4363188</v>
      </c>
      <c r="I19" s="32">
        <f t="shared" si="10"/>
        <v>4585711</v>
      </c>
      <c r="J19" s="1289"/>
      <c r="K19" s="537">
        <v>0.7</v>
      </c>
      <c r="L19" s="752">
        <f t="shared" si="11"/>
        <v>4585711</v>
      </c>
      <c r="M19" s="753">
        <f t="shared" si="0"/>
        <v>1.0510000944263689</v>
      </c>
      <c r="N19" s="799">
        <v>0</v>
      </c>
      <c r="O19" s="685">
        <f>ROUND(N19*G19,0)</f>
        <v>0</v>
      </c>
      <c r="P19" s="893">
        <f t="shared" si="5"/>
        <v>0</v>
      </c>
      <c r="Q19" s="799">
        <f t="shared" si="6"/>
        <v>0.7</v>
      </c>
      <c r="R19" s="685">
        <f t="shared" si="7"/>
        <v>4585711</v>
      </c>
      <c r="S19" s="684">
        <f t="shared" si="8"/>
        <v>1</v>
      </c>
    </row>
    <row r="20" spans="1:19" x14ac:dyDescent="0.3">
      <c r="A20" s="1289"/>
      <c r="B20" s="1289"/>
      <c r="C20" s="39"/>
      <c r="D20" s="39" t="s">
        <v>63</v>
      </c>
      <c r="E20" s="40"/>
      <c r="F20" s="41"/>
      <c r="G20" s="41"/>
      <c r="H20" s="42">
        <f>SUM(H18:H19)</f>
        <v>5533204</v>
      </c>
      <c r="I20" s="42">
        <f>SUM(I18:I19)</f>
        <v>5815398</v>
      </c>
      <c r="J20" s="1289"/>
      <c r="K20" s="41"/>
      <c r="L20" s="683">
        <f>SUM(L18:L19)</f>
        <v>4585711</v>
      </c>
      <c r="M20" s="519">
        <f t="shared" si="0"/>
        <v>0.82876232287839013</v>
      </c>
      <c r="N20" s="41"/>
      <c r="O20" s="683">
        <f>SUM(O18:O19)</f>
        <v>0</v>
      </c>
      <c r="P20" s="1100">
        <f t="shared" si="5"/>
        <v>0</v>
      </c>
      <c r="Q20" s="1108"/>
      <c r="R20" s="1107">
        <f t="shared" si="7"/>
        <v>4585711</v>
      </c>
      <c r="S20" s="1100">
        <f t="shared" si="8"/>
        <v>0.78854637292236918</v>
      </c>
    </row>
    <row r="21" spans="1:19" x14ac:dyDescent="0.3">
      <c r="A21" s="638"/>
      <c r="B21" s="638"/>
      <c r="C21" s="638"/>
      <c r="D21" s="638"/>
      <c r="E21" s="638"/>
      <c r="F21" s="686" t="s">
        <v>1740</v>
      </c>
      <c r="G21" s="686"/>
      <c r="H21" s="687">
        <f>0+H17+H20</f>
        <v>13260193</v>
      </c>
      <c r="I21" s="687">
        <f>0+I17+I20</f>
        <v>13936464</v>
      </c>
      <c r="J21" s="638"/>
      <c r="K21" s="547" t="s">
        <v>64</v>
      </c>
      <c r="L21" s="688">
        <f>SUM(L14:L20)/2</f>
        <v>11348996</v>
      </c>
      <c r="M21" s="638"/>
      <c r="N21" s="547" t="s">
        <v>64</v>
      </c>
      <c r="O21" s="688">
        <f>SUM(O14:O20)/2</f>
        <v>0</v>
      </c>
      <c r="Q21" s="547" t="s">
        <v>64</v>
      </c>
      <c r="R21" s="688">
        <f>SUM(R14:R20)/2</f>
        <v>11348996</v>
      </c>
      <c r="S21" s="638"/>
    </row>
    <row r="22" spans="1:19" ht="26.4" x14ac:dyDescent="0.3">
      <c r="A22" s="638"/>
      <c r="B22" s="638"/>
      <c r="C22" s="638"/>
      <c r="D22" s="638"/>
      <c r="E22" s="638"/>
      <c r="F22" s="444" t="s">
        <v>65</v>
      </c>
      <c r="G22" s="444"/>
      <c r="H22" s="181">
        <v>0</v>
      </c>
      <c r="I22" s="181">
        <v>0</v>
      </c>
      <c r="J22" s="638"/>
      <c r="K22" s="548" t="s">
        <v>65</v>
      </c>
      <c r="L22" s="481"/>
      <c r="M22" s="638"/>
      <c r="N22" s="548" t="s">
        <v>65</v>
      </c>
      <c r="O22" s="481"/>
      <c r="Q22" s="548" t="s">
        <v>65</v>
      </c>
      <c r="R22" s="481"/>
      <c r="S22" s="638"/>
    </row>
    <row r="23" spans="1:19" x14ac:dyDescent="0.3">
      <c r="A23" s="638"/>
      <c r="B23" s="638"/>
      <c r="C23" s="638"/>
      <c r="D23" s="638"/>
      <c r="E23" s="638"/>
      <c r="F23" s="443" t="s">
        <v>1740</v>
      </c>
      <c r="G23" s="443"/>
      <c r="H23" s="340">
        <f>+H22+H21</f>
        <v>13260193</v>
      </c>
      <c r="I23" s="340">
        <f>+I22+I21</f>
        <v>13936464</v>
      </c>
      <c r="J23" s="638"/>
      <c r="K23" s="549" t="s">
        <v>64</v>
      </c>
      <c r="L23" s="481">
        <f>L21+L22</f>
        <v>11348996</v>
      </c>
      <c r="M23" s="638"/>
      <c r="N23" s="549" t="s">
        <v>64</v>
      </c>
      <c r="O23" s="481">
        <f>O21+O22</f>
        <v>0</v>
      </c>
      <c r="Q23" s="549" t="s">
        <v>64</v>
      </c>
      <c r="R23" s="481">
        <f>R21+R22</f>
        <v>11348996</v>
      </c>
      <c r="S23" s="638"/>
    </row>
    <row r="24" spans="1:19" ht="26.4" x14ac:dyDescent="0.3">
      <c r="A24" s="638"/>
      <c r="B24" s="638"/>
      <c r="C24" s="638"/>
      <c r="D24" s="638"/>
      <c r="E24" s="638"/>
      <c r="F24" s="659"/>
      <c r="G24" s="659"/>
      <c r="H24" s="659"/>
      <c r="I24" s="659"/>
      <c r="J24" s="638"/>
      <c r="K24" s="501" t="s">
        <v>1439</v>
      </c>
      <c r="L24" s="481">
        <f>ROUND(L23*0.015,0)</f>
        <v>170235</v>
      </c>
      <c r="M24" s="638"/>
      <c r="N24" s="501" t="s">
        <v>1439</v>
      </c>
      <c r="O24" s="481">
        <f>ROUND(O23*0.015,0)</f>
        <v>0</v>
      </c>
      <c r="Q24" s="501" t="s">
        <v>1439</v>
      </c>
      <c r="R24" s="481">
        <f>+L24+O24</f>
        <v>170235</v>
      </c>
      <c r="S24" s="638"/>
    </row>
    <row r="25" spans="1:19" ht="39.6" x14ac:dyDescent="0.3">
      <c r="A25" s="638"/>
      <c r="B25" s="638"/>
      <c r="C25" s="638"/>
      <c r="D25" s="638"/>
      <c r="E25" s="638"/>
      <c r="F25" s="659"/>
      <c r="G25" s="659"/>
      <c r="H25" s="659"/>
      <c r="I25" s="659"/>
      <c r="J25" s="638"/>
      <c r="K25" s="96" t="s">
        <v>1440</v>
      </c>
      <c r="L25" s="425">
        <f>L23+L24</f>
        <v>11519231</v>
      </c>
      <c r="M25" s="678">
        <f>L25/H21</f>
        <v>0.86870764249057308</v>
      </c>
      <c r="N25" s="96" t="s">
        <v>1440</v>
      </c>
      <c r="O25" s="425">
        <f>O23+O24</f>
        <v>0</v>
      </c>
      <c r="P25" s="678">
        <f>O25/H21</f>
        <v>0</v>
      </c>
      <c r="Q25" s="96" t="s">
        <v>1440</v>
      </c>
      <c r="R25" s="425">
        <f>R23+R24</f>
        <v>11519231</v>
      </c>
      <c r="S25" s="678">
        <f>R25/H21</f>
        <v>0.86870764249057308</v>
      </c>
    </row>
    <row r="26" spans="1:19" x14ac:dyDescent="0.3">
      <c r="A26" s="638"/>
      <c r="B26" s="638"/>
      <c r="C26" s="638"/>
      <c r="D26" s="638"/>
      <c r="E26" s="638"/>
      <c r="F26" s="442" t="s">
        <v>66</v>
      </c>
      <c r="G26" s="442"/>
      <c r="H26" s="181">
        <f>+H21*19%</f>
        <v>2519436.67</v>
      </c>
      <c r="I26" s="181">
        <f>+I21*19%</f>
        <v>2647928.16</v>
      </c>
      <c r="J26" s="638"/>
      <c r="K26" s="551" t="s">
        <v>66</v>
      </c>
      <c r="L26" s="672">
        <f>L25*0.19</f>
        <v>2188653.89</v>
      </c>
      <c r="M26" s="638"/>
      <c r="N26" s="551" t="s">
        <v>66</v>
      </c>
      <c r="O26" s="672">
        <f>O25*0.19</f>
        <v>0</v>
      </c>
      <c r="Q26" s="551" t="s">
        <v>66</v>
      </c>
      <c r="R26" s="672">
        <f>R25*0.19</f>
        <v>2188653.89</v>
      </c>
      <c r="S26" s="638"/>
    </row>
    <row r="27" spans="1:19" x14ac:dyDescent="0.3">
      <c r="A27" s="638"/>
      <c r="B27" s="638"/>
      <c r="C27" s="638"/>
      <c r="D27" s="638"/>
      <c r="E27" s="638"/>
      <c r="F27" s="441" t="s">
        <v>69</v>
      </c>
      <c r="G27" s="441"/>
      <c r="H27" s="181">
        <f>+H21+H26</f>
        <v>15779629.67</v>
      </c>
      <c r="I27" s="181">
        <f>+I21+I26</f>
        <v>16584392.16</v>
      </c>
      <c r="J27" s="638"/>
      <c r="K27" s="552" t="s">
        <v>69</v>
      </c>
      <c r="L27" s="672">
        <f>L25+L26</f>
        <v>13707884.890000001</v>
      </c>
      <c r="M27" s="638"/>
      <c r="N27" s="552" t="s">
        <v>69</v>
      </c>
      <c r="O27" s="672">
        <f>O25+O26</f>
        <v>0</v>
      </c>
      <c r="Q27" s="552" t="s">
        <v>69</v>
      </c>
      <c r="R27" s="672">
        <f>R25+R26</f>
        <v>13707884.890000001</v>
      </c>
      <c r="S27" s="638"/>
    </row>
    <row r="28" spans="1:19" x14ac:dyDescent="0.3">
      <c r="A28" s="638"/>
      <c r="B28" s="638"/>
      <c r="C28" s="638"/>
      <c r="D28" s="638"/>
      <c r="E28" s="638"/>
      <c r="F28" s="638"/>
      <c r="H28" s="638"/>
      <c r="J28" s="638"/>
      <c r="K28" s="638"/>
      <c r="L28" s="638"/>
      <c r="M28" s="638"/>
      <c r="Q28" s="638"/>
      <c r="R28" s="638"/>
      <c r="S28" s="638"/>
    </row>
    <row r="29" spans="1:19" ht="26.4" x14ac:dyDescent="0.3">
      <c r="A29" s="665" t="s">
        <v>67</v>
      </c>
      <c r="B29" s="184"/>
      <c r="C29" s="184"/>
      <c r="D29" s="185" t="s">
        <v>68</v>
      </c>
      <c r="E29" s="638"/>
      <c r="F29" s="638"/>
      <c r="H29" s="638"/>
      <c r="J29" s="638"/>
      <c r="K29" s="186" t="s">
        <v>70</v>
      </c>
      <c r="L29" s="187" t="s">
        <v>71</v>
      </c>
      <c r="M29" s="186" t="s">
        <v>58</v>
      </c>
      <c r="N29" s="186" t="s">
        <v>70</v>
      </c>
      <c r="O29" s="187" t="s">
        <v>71</v>
      </c>
      <c r="P29" s="186" t="s">
        <v>58</v>
      </c>
      <c r="Q29" s="638"/>
      <c r="R29" s="638"/>
      <c r="S29" s="638"/>
    </row>
    <row r="30" spans="1:19" x14ac:dyDescent="0.3">
      <c r="A30" s="665"/>
      <c r="B30" s="184"/>
      <c r="C30" s="184"/>
      <c r="D30" s="185"/>
      <c r="E30" s="638"/>
      <c r="F30" s="638"/>
      <c r="H30" s="638"/>
      <c r="J30" s="638"/>
      <c r="K30" s="69" t="s">
        <v>72</v>
      </c>
      <c r="L30" s="70">
        <f>L25</f>
        <v>11519231</v>
      </c>
      <c r="M30" s="360">
        <f>M25</f>
        <v>0.86870764249057308</v>
      </c>
      <c r="N30" s="69" t="s">
        <v>72</v>
      </c>
      <c r="O30" s="70">
        <f>$L$25</f>
        <v>11519231</v>
      </c>
      <c r="P30" s="360">
        <f>$M$25</f>
        <v>0.86870764249057308</v>
      </c>
      <c r="Q30" s="638"/>
      <c r="R30" s="638"/>
      <c r="S30" s="638"/>
    </row>
    <row r="31" spans="1:19" x14ac:dyDescent="0.3">
      <c r="A31" s="665"/>
      <c r="B31" s="184"/>
      <c r="C31" s="184"/>
      <c r="D31" s="185"/>
      <c r="E31" s="638"/>
      <c r="F31" s="638"/>
      <c r="H31" s="638"/>
      <c r="J31" s="638"/>
      <c r="K31" s="72" t="s">
        <v>1</v>
      </c>
      <c r="L31" s="105">
        <f>L30</f>
        <v>11519231</v>
      </c>
      <c r="M31" s="361">
        <f>M30</f>
        <v>0.86870764249057308</v>
      </c>
      <c r="N31" s="69" t="s">
        <v>73</v>
      </c>
      <c r="O31" s="70">
        <f>$O$25</f>
        <v>0</v>
      </c>
      <c r="P31" s="360">
        <f>$P$25</f>
        <v>0</v>
      </c>
      <c r="Q31" s="638"/>
      <c r="R31" s="638"/>
      <c r="S31" s="638"/>
    </row>
    <row r="32" spans="1:19" x14ac:dyDescent="0.3">
      <c r="A32" s="665"/>
      <c r="B32" s="184"/>
      <c r="C32" s="184"/>
      <c r="D32" s="185"/>
      <c r="E32" s="638"/>
      <c r="F32" s="638"/>
      <c r="H32" s="638"/>
      <c r="J32" s="638"/>
      <c r="K32" s="72" t="s">
        <v>9</v>
      </c>
      <c r="L32" s="1423"/>
      <c r="M32" s="1424"/>
      <c r="N32" s="72" t="s">
        <v>1</v>
      </c>
      <c r="O32" s="105">
        <f>SUM(O30:O31)</f>
        <v>11519231</v>
      </c>
      <c r="P32" s="361">
        <f>SUM(P30:P31)</f>
        <v>0.86870764249057308</v>
      </c>
      <c r="Q32" s="638"/>
      <c r="R32" s="638"/>
      <c r="S32" s="638"/>
    </row>
    <row r="33" spans="1:19" x14ac:dyDescent="0.3">
      <c r="A33" s="665"/>
      <c r="B33" s="184"/>
      <c r="C33" s="184"/>
      <c r="D33" s="185"/>
      <c r="E33" s="638"/>
      <c r="F33" s="638"/>
      <c r="H33" s="638"/>
      <c r="J33" s="638"/>
      <c r="K33" s="440" t="s">
        <v>78</v>
      </c>
      <c r="L33" s="1423" t="s">
        <v>1605</v>
      </c>
      <c r="M33" s="1424"/>
      <c r="N33" s="72" t="s">
        <v>9</v>
      </c>
      <c r="O33" s="1423"/>
      <c r="P33" s="1424"/>
      <c r="Q33" s="638"/>
      <c r="R33" s="638"/>
      <c r="S33" s="638"/>
    </row>
    <row r="34" spans="1:19" x14ac:dyDescent="0.3">
      <c r="A34" s="665"/>
      <c r="B34" s="184"/>
      <c r="C34" s="184"/>
      <c r="D34" s="185"/>
      <c r="E34" s="638"/>
      <c r="F34" s="638"/>
      <c r="H34" s="638"/>
      <c r="J34" s="638"/>
      <c r="K34" s="439" t="s">
        <v>8</v>
      </c>
      <c r="L34" s="1425" t="s">
        <v>1604</v>
      </c>
      <c r="M34" s="1426"/>
      <c r="N34" s="440" t="s">
        <v>78</v>
      </c>
      <c r="O34" s="1423" t="s">
        <v>1605</v>
      </c>
      <c r="P34" s="1424"/>
      <c r="Q34" s="638"/>
      <c r="R34" s="638"/>
      <c r="S34" s="638"/>
    </row>
    <row r="35" spans="1:19" x14ac:dyDescent="0.3">
      <c r="A35" s="665"/>
      <c r="B35" s="184"/>
      <c r="C35" s="184"/>
      <c r="D35" s="185" t="s">
        <v>75</v>
      </c>
      <c r="E35" s="638"/>
      <c r="F35" s="638"/>
      <c r="H35" s="638"/>
      <c r="J35" s="638"/>
      <c r="K35" s="638"/>
      <c r="L35" s="638"/>
      <c r="M35" s="638"/>
      <c r="N35" s="439" t="s">
        <v>8</v>
      </c>
      <c r="O35" s="1425" t="s">
        <v>1604</v>
      </c>
      <c r="P35" s="1426"/>
      <c r="Q35" s="638"/>
      <c r="R35" s="638"/>
      <c r="S35" s="638"/>
    </row>
    <row r="36" spans="1:19" x14ac:dyDescent="0.3">
      <c r="A36" s="665" t="s">
        <v>76</v>
      </c>
      <c r="B36" s="180"/>
      <c r="C36" s="180"/>
      <c r="D36" s="185" t="s">
        <v>77</v>
      </c>
      <c r="E36" s="638"/>
      <c r="F36" s="638"/>
      <c r="H36" s="638"/>
      <c r="J36" s="638"/>
      <c r="K36" s="638"/>
      <c r="L36" s="638"/>
      <c r="M36" s="638"/>
      <c r="Q36" s="638"/>
      <c r="R36" s="638"/>
      <c r="S36" s="638"/>
    </row>
    <row r="37" spans="1:19" x14ac:dyDescent="0.3">
      <c r="A37" s="665" t="s">
        <v>79</v>
      </c>
      <c r="B37" s="180"/>
      <c r="C37" s="180"/>
      <c r="D37" s="185" t="s">
        <v>80</v>
      </c>
      <c r="E37" s="638"/>
      <c r="F37" s="638"/>
      <c r="H37" s="638"/>
      <c r="J37" s="638"/>
      <c r="K37" s="638"/>
      <c r="L37" s="638"/>
      <c r="M37" s="638"/>
      <c r="Q37" s="638"/>
      <c r="R37" s="638"/>
      <c r="S37" s="638"/>
    </row>
    <row r="38" spans="1:19" x14ac:dyDescent="0.3">
      <c r="A38" s="638"/>
      <c r="B38" s="638"/>
      <c r="C38" s="638"/>
      <c r="D38" s="638"/>
      <c r="E38" s="638"/>
      <c r="F38" s="638"/>
      <c r="H38" s="638"/>
      <c r="J38" s="638"/>
      <c r="K38" s="638"/>
      <c r="L38" s="638"/>
      <c r="M38" s="638"/>
      <c r="Q38" s="638"/>
      <c r="R38" s="638"/>
      <c r="S38" s="638"/>
    </row>
  </sheetData>
  <mergeCells count="28">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7"/>
    <mergeCell ref="B14:B17"/>
    <mergeCell ref="J14:J17"/>
    <mergeCell ref="A18:A20"/>
    <mergeCell ref="B18:B20"/>
    <mergeCell ref="J18:J20"/>
    <mergeCell ref="O33:P33"/>
    <mergeCell ref="O34:P34"/>
    <mergeCell ref="O35:P35"/>
    <mergeCell ref="L32:M32"/>
    <mergeCell ref="L33:M33"/>
    <mergeCell ref="L34:M34"/>
  </mergeCells>
  <pageMargins left="0.7" right="0.7" top="0.75" bottom="0.75" header="0.3" footer="0.3"/>
  <pageSetup paperSize="9" scale="41" orientation="landscape" r:id="rId1"/>
  <drawing r:id="rId2"/>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0">
    <tabColor theme="1"/>
  </sheetPr>
  <dimension ref="A1:G49"/>
  <sheetViews>
    <sheetView topLeftCell="A19" zoomScale="115" zoomScaleNormal="115" zoomScaleSheetLayoutView="8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RESUMEN!G114</f>
        <v xml:space="preserve">Proyecto:CDIE_CBCCSM_R0178 REPOSICIÓN INTERRUPTORES.
</v>
      </c>
      <c r="C5" s="1281"/>
      <c r="D5" s="1281"/>
      <c r="E5" s="1281"/>
      <c r="F5" s="1281"/>
      <c r="G5" s="1282"/>
    </row>
    <row r="6" spans="1:7" x14ac:dyDescent="0.25">
      <c r="A6" s="1177"/>
      <c r="B6" s="1177"/>
      <c r="C6" s="1177"/>
      <c r="D6" s="1177"/>
      <c r="E6" s="1177"/>
      <c r="F6" s="1177"/>
      <c r="G6" s="1177"/>
    </row>
    <row r="7" spans="1:7" x14ac:dyDescent="0.25">
      <c r="A7" s="271" t="s">
        <v>0</v>
      </c>
      <c r="B7" s="1264" t="str">
        <f>RESUMEN!B114</f>
        <v>D00249264</v>
      </c>
      <c r="C7" s="1265"/>
      <c r="D7" s="1177"/>
      <c r="E7" s="1266" t="s">
        <v>627</v>
      </c>
      <c r="F7" s="1267"/>
      <c r="G7" s="280" t="str">
        <f>RESUMEN!E114</f>
        <v>17-402</v>
      </c>
    </row>
    <row r="8" spans="1:7" x14ac:dyDescent="0.25">
      <c r="A8" s="271" t="s">
        <v>628</v>
      </c>
      <c r="B8" s="1264" t="str">
        <f>RESUMEN!C114</f>
        <v>D00249264000</v>
      </c>
      <c r="C8" s="1265"/>
      <c r="D8" s="1177"/>
      <c r="E8" s="1266" t="s">
        <v>629</v>
      </c>
      <c r="F8" s="1267"/>
      <c r="G8" s="280" t="str">
        <f>RESUMEN!U114</f>
        <v>Acta N° 2: Marzo</v>
      </c>
    </row>
    <row r="9" spans="1:7" x14ac:dyDescent="0.25">
      <c r="A9" s="271" t="s">
        <v>630</v>
      </c>
      <c r="B9" s="1283" t="s">
        <v>631</v>
      </c>
      <c r="C9" s="1265"/>
      <c r="D9" s="1177"/>
      <c r="E9" s="1266" t="s">
        <v>632</v>
      </c>
      <c r="F9" s="1267"/>
      <c r="G9" s="1178">
        <f>RESUMEN!H114</f>
        <v>26520386</v>
      </c>
    </row>
    <row r="10" spans="1:7" x14ac:dyDescent="0.25">
      <c r="A10" s="271" t="s">
        <v>633</v>
      </c>
      <c r="B10" s="1283" t="str">
        <f>RESUMEN!D114</f>
        <v>CALLE 51</v>
      </c>
      <c r="C10" s="1265"/>
      <c r="D10" s="1177"/>
      <c r="E10" s="1266" t="s">
        <v>634</v>
      </c>
      <c r="F10" s="1267"/>
      <c r="G10" s="1178">
        <f>RESUMEN!R114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",RESUMEN!G114)</f>
        <v xml:space="preserve">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RESUMEN!N114</f>
        <v>0</v>
      </c>
      <c r="F19" s="1248"/>
      <c r="G19" s="1177"/>
    </row>
    <row r="20" spans="1:7" ht="27" customHeight="1" x14ac:dyDescent="0.25">
      <c r="A20" s="1177"/>
      <c r="B20" s="1244" t="s">
        <v>1498</v>
      </c>
      <c r="C20" s="1245"/>
      <c r="D20" s="1246"/>
      <c r="E20" s="1247">
        <f>RESUMEN!P114</f>
        <v>0</v>
      </c>
      <c r="F20" s="1248"/>
      <c r="G20" s="1177"/>
    </row>
    <row r="21" spans="1:7" ht="27" customHeight="1" x14ac:dyDescent="0.25">
      <c r="A21" s="1177"/>
      <c r="B21" s="1244" t="s">
        <v>1499</v>
      </c>
      <c r="C21" s="1245"/>
      <c r="D21" s="1246"/>
      <c r="E21" s="1247">
        <f>RESUMEN!Q114</f>
        <v>0</v>
      </c>
      <c r="F21" s="1248"/>
      <c r="G21" s="1177"/>
    </row>
    <row r="22" spans="1:7" x14ac:dyDescent="0.25">
      <c r="A22" s="1177"/>
      <c r="B22" s="1254" t="s">
        <v>64</v>
      </c>
      <c r="C22" s="1254"/>
      <c r="D22" s="1254"/>
      <c r="E22" s="1255">
        <f>RESUMEN!R114</f>
        <v>0</v>
      </c>
      <c r="F22" s="1255"/>
      <c r="G22" s="1177"/>
    </row>
    <row r="23" spans="1:7" x14ac:dyDescent="0.25">
      <c r="A23" s="1177"/>
      <c r="B23" s="1256" t="s">
        <v>66</v>
      </c>
      <c r="C23" s="1256"/>
      <c r="D23" s="1256"/>
      <c r="E23" s="1257">
        <f>RESUMEN!S114</f>
        <v>0</v>
      </c>
      <c r="F23" s="1257"/>
      <c r="G23" s="1177"/>
    </row>
    <row r="24" spans="1:7" x14ac:dyDescent="0.25">
      <c r="A24" s="1177"/>
      <c r="B24" s="1258" t="s">
        <v>1</v>
      </c>
      <c r="C24" s="1258"/>
      <c r="D24" s="1258"/>
      <c r="E24" s="1259">
        <f>RESUMEN!T114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+'OT17-402 CALLE51'!N34</f>
        <v>ACTA 1</v>
      </c>
      <c r="C28" s="1253">
        <f>+'OT17-402 CALLE51'!O34</f>
        <v>1684981</v>
      </c>
      <c r="D28" s="1253"/>
      <c r="E28" s="267">
        <f>+'OT17-402 CALLE51'!P34</f>
        <v>6.353531204259244E-2</v>
      </c>
      <c r="F28" s="1177"/>
      <c r="G28" s="1177"/>
    </row>
    <row r="29" spans="1:7" x14ac:dyDescent="0.25">
      <c r="A29" s="1177"/>
      <c r="B29" s="280" t="str">
        <f>+'OT17-402 CALLE51'!N35</f>
        <v>ACTA 2</v>
      </c>
      <c r="C29" s="1253">
        <f>+'OT17-402 CALLE51'!O35</f>
        <v>0</v>
      </c>
      <c r="D29" s="1253"/>
      <c r="E29" s="267">
        <f>+'OT17-402 CALLE51'!P35</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1684981</v>
      </c>
      <c r="D34" s="1251"/>
      <c r="E34" s="264">
        <f>SUM(E28:E33)</f>
        <v>6.353531204259244E-2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RESUMEN!V114</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1">
    <tabColor rgb="FF72104A"/>
  </sheetPr>
  <dimension ref="A1:S41"/>
  <sheetViews>
    <sheetView topLeftCell="H19" zoomScale="90" zoomScaleNormal="90" workbookViewId="0">
      <selection activeCell="M28" sqref="M28"/>
    </sheetView>
  </sheetViews>
  <sheetFormatPr baseColWidth="10" defaultRowHeight="14.4" x14ac:dyDescent="0.3"/>
  <cols>
    <col min="1" max="1" width="20.109375" customWidth="1"/>
    <col min="2" max="2" width="23.44140625" customWidth="1"/>
    <col min="3" max="3" width="31.33203125" customWidth="1"/>
    <col min="4" max="4" width="29.88671875" customWidth="1"/>
    <col min="5" max="5" width="11.5546875" bestFit="1" customWidth="1"/>
    <col min="6" max="6" width="12.33203125" bestFit="1" customWidth="1"/>
    <col min="7" max="7" width="12.33203125" style="849" customWidth="1"/>
    <col min="8" max="8" width="18.44140625" bestFit="1" customWidth="1"/>
    <col min="9" max="9" width="19.109375" style="849" customWidth="1"/>
    <col min="10" max="10" width="35.44140625" customWidth="1"/>
    <col min="11" max="11" width="20.44140625" customWidth="1"/>
    <col min="12" max="12" width="15.88671875" bestFit="1" customWidth="1"/>
    <col min="13" max="13" width="11.5546875" bestFit="1" customWidth="1"/>
    <col min="14" max="16" width="11.5546875" style="1054" customWidth="1"/>
    <col min="17" max="17" width="19.88671875" customWidth="1"/>
    <col min="18" max="18" width="15.88671875" bestFit="1" customWidth="1"/>
    <col min="19" max="19" width="11.554687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508" t="s">
        <v>1789</v>
      </c>
      <c r="B4" s="1509"/>
      <c r="C4" s="1509"/>
      <c r="D4" s="1509"/>
      <c r="E4" s="1509"/>
      <c r="F4" s="1509"/>
      <c r="G4" s="1509"/>
      <c r="H4" s="1509"/>
      <c r="I4" s="1509"/>
      <c r="J4" s="1509"/>
      <c r="K4" s="1509"/>
      <c r="L4" s="1509"/>
      <c r="M4" s="1509"/>
      <c r="N4" s="1509"/>
      <c r="O4" s="1509"/>
      <c r="P4" s="1509"/>
      <c r="Q4" s="1509"/>
      <c r="R4" s="1509"/>
      <c r="S4" s="1509"/>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1792</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2163</v>
      </c>
      <c r="L8" s="1294"/>
      <c r="M8" s="1295"/>
      <c r="N8" s="1293" t="s">
        <v>2336</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30" customHeight="1" x14ac:dyDescent="0.3">
      <c r="A11" s="1289" t="s">
        <v>151</v>
      </c>
      <c r="B11" s="1289" t="s">
        <v>1089</v>
      </c>
      <c r="C11" s="843" t="s">
        <v>81</v>
      </c>
      <c r="D11" s="843" t="s">
        <v>82</v>
      </c>
      <c r="E11" s="843">
        <v>0.7</v>
      </c>
      <c r="F11" s="32">
        <v>1880385</v>
      </c>
      <c r="G11" s="32">
        <f>+ROUND(F11*1.051,0)</f>
        <v>1976285</v>
      </c>
      <c r="H11" s="32">
        <f>ROUND((E11*F11),0)</f>
        <v>1316270</v>
      </c>
      <c r="I11" s="32">
        <f>+ROUND(G11*E11,0)</f>
        <v>1383400</v>
      </c>
      <c r="J11" s="1290" t="s">
        <v>1790</v>
      </c>
      <c r="K11" s="537">
        <f>0.7*60%</f>
        <v>0.42</v>
      </c>
      <c r="L11" s="752">
        <f>ROUND(K11*G11,0)</f>
        <v>830040</v>
      </c>
      <c r="M11" s="753">
        <f>L11/H11</f>
        <v>0.63060010484171181</v>
      </c>
      <c r="N11" s="891">
        <v>0</v>
      </c>
      <c r="O11" s="892">
        <f>ROUND(N11*G11,0)</f>
        <v>0</v>
      </c>
      <c r="P11" s="893">
        <f>O11/I11</f>
        <v>0</v>
      </c>
      <c r="Q11" s="536">
        <f>K11+N11</f>
        <v>0.42</v>
      </c>
      <c r="R11" s="685">
        <f>L11+O11</f>
        <v>830040</v>
      </c>
      <c r="S11" s="684">
        <f>R11/I11</f>
        <v>0.6</v>
      </c>
    </row>
    <row r="12" spans="1:19" ht="28.8" x14ac:dyDescent="0.3">
      <c r="A12" s="1289"/>
      <c r="B12" s="1289"/>
      <c r="C12" s="843" t="s">
        <v>83</v>
      </c>
      <c r="D12" s="843" t="s">
        <v>84</v>
      </c>
      <c r="E12" s="843">
        <v>0.7</v>
      </c>
      <c r="F12" s="32">
        <v>1845563</v>
      </c>
      <c r="G12" s="32">
        <f t="shared" ref="G12:G13" si="0">+ROUND(F12*1.051,0)</f>
        <v>1939687</v>
      </c>
      <c r="H12" s="32">
        <f>ROUND((E12*F12),0)</f>
        <v>1291894</v>
      </c>
      <c r="I12" s="32">
        <f t="shared" ref="I12:I23" si="1">+ROUND(G12*E12,0)</f>
        <v>1357781</v>
      </c>
      <c r="J12" s="1289"/>
      <c r="K12" s="799">
        <v>0</v>
      </c>
      <c r="L12" s="685">
        <f t="shared" ref="L12:L13" si="2">ROUND(K12*G12,0)</f>
        <v>0</v>
      </c>
      <c r="M12" s="684">
        <f>L12/H12</f>
        <v>0</v>
      </c>
      <c r="N12" s="799">
        <v>0</v>
      </c>
      <c r="O12" s="892">
        <f t="shared" ref="O12:O13" si="3">ROUND(N12*G12,0)</f>
        <v>0</v>
      </c>
      <c r="P12" s="893">
        <f t="shared" ref="P12:P24" si="4">O12/I12</f>
        <v>0</v>
      </c>
      <c r="Q12" s="799">
        <f t="shared" ref="Q12:Q23" si="5">K12+N12</f>
        <v>0</v>
      </c>
      <c r="R12" s="685">
        <f t="shared" ref="R12:R24" si="6">L12+O12</f>
        <v>0</v>
      </c>
      <c r="S12" s="684">
        <f t="shared" ref="S12:S24" si="7">R12/I12</f>
        <v>0</v>
      </c>
    </row>
    <row r="13" spans="1:19" ht="28.8" x14ac:dyDescent="0.3">
      <c r="A13" s="1289"/>
      <c r="B13" s="1289"/>
      <c r="C13" s="843" t="s">
        <v>61</v>
      </c>
      <c r="D13" s="843" t="s">
        <v>85</v>
      </c>
      <c r="E13" s="843">
        <v>0.7</v>
      </c>
      <c r="F13" s="32">
        <v>7312607</v>
      </c>
      <c r="G13" s="32">
        <f t="shared" si="0"/>
        <v>7685550</v>
      </c>
      <c r="H13" s="32">
        <f>ROUND((E13*F13),0)</f>
        <v>5118825</v>
      </c>
      <c r="I13" s="32">
        <f t="shared" si="1"/>
        <v>5379885</v>
      </c>
      <c r="J13" s="1289"/>
      <c r="K13" s="799">
        <v>0</v>
      </c>
      <c r="L13" s="685">
        <f t="shared" si="2"/>
        <v>0</v>
      </c>
      <c r="M13" s="684">
        <f>L13/H13</f>
        <v>0</v>
      </c>
      <c r="N13" s="799">
        <v>0</v>
      </c>
      <c r="O13" s="892">
        <f t="shared" si="3"/>
        <v>0</v>
      </c>
      <c r="P13" s="893">
        <f t="shared" si="4"/>
        <v>0</v>
      </c>
      <c r="Q13" s="799">
        <f t="shared" si="5"/>
        <v>0</v>
      </c>
      <c r="R13" s="685">
        <f t="shared" si="6"/>
        <v>0</v>
      </c>
      <c r="S13" s="684">
        <f t="shared" si="7"/>
        <v>0</v>
      </c>
    </row>
    <row r="14" spans="1:19" x14ac:dyDescent="0.3">
      <c r="A14" s="1289"/>
      <c r="B14" s="1289"/>
      <c r="C14" s="39"/>
      <c r="D14" s="39" t="s">
        <v>86</v>
      </c>
      <c r="E14" s="41"/>
      <c r="F14" s="41"/>
      <c r="G14" s="41"/>
      <c r="H14" s="42">
        <f>SUM(H11:H13)</f>
        <v>7726989</v>
      </c>
      <c r="I14" s="42">
        <f>SUM(I11:I13)</f>
        <v>8121066</v>
      </c>
      <c r="J14" s="1289"/>
      <c r="K14" s="40"/>
      <c r="L14" s="683">
        <f>SUM(L11:L13)</f>
        <v>830040</v>
      </c>
      <c r="M14" s="519">
        <f t="shared" ref="M14:M24" si="8">L14/H14</f>
        <v>0.10742088541862814</v>
      </c>
      <c r="N14" s="40"/>
      <c r="O14" s="683">
        <f>SUM(O11:O13)</f>
        <v>0</v>
      </c>
      <c r="P14" s="1100">
        <f t="shared" si="4"/>
        <v>0</v>
      </c>
      <c r="Q14" s="1106"/>
      <c r="R14" s="1107">
        <f t="shared" si="6"/>
        <v>830040</v>
      </c>
      <c r="S14" s="1100">
        <f t="shared" si="7"/>
        <v>0.10220825689632371</v>
      </c>
    </row>
    <row r="15" spans="1:19" ht="45" customHeight="1" x14ac:dyDescent="0.3">
      <c r="A15" s="1289" t="s">
        <v>151</v>
      </c>
      <c r="B15" s="1289" t="s">
        <v>1091</v>
      </c>
      <c r="C15" s="843" t="s">
        <v>83</v>
      </c>
      <c r="D15" s="843" t="s">
        <v>91</v>
      </c>
      <c r="E15" s="843">
        <v>0.7</v>
      </c>
      <c r="F15" s="32">
        <v>1671452</v>
      </c>
      <c r="G15" s="32">
        <f t="shared" ref="G15:G16" si="9">+ROUND(F15*1.051,0)</f>
        <v>1756696</v>
      </c>
      <c r="H15" s="32">
        <f>ROUND((E15*F15),0)</f>
        <v>1170016</v>
      </c>
      <c r="I15" s="32">
        <f t="shared" si="1"/>
        <v>1229687</v>
      </c>
      <c r="J15" s="1290" t="s">
        <v>1791</v>
      </c>
      <c r="K15" s="799">
        <v>0</v>
      </c>
      <c r="L15" s="685">
        <f t="shared" ref="L15:L16" si="10">ROUND(K15*G15,0)</f>
        <v>0</v>
      </c>
      <c r="M15" s="684">
        <f t="shared" si="8"/>
        <v>0</v>
      </c>
      <c r="N15" s="799">
        <v>0</v>
      </c>
      <c r="O15" s="685">
        <f>ROUND(N15*G15,0)</f>
        <v>0</v>
      </c>
      <c r="P15" s="893">
        <f t="shared" si="4"/>
        <v>0</v>
      </c>
      <c r="Q15" s="799">
        <f t="shared" si="5"/>
        <v>0</v>
      </c>
      <c r="R15" s="685">
        <f t="shared" si="6"/>
        <v>0</v>
      </c>
      <c r="S15" s="684">
        <f t="shared" si="7"/>
        <v>0</v>
      </c>
    </row>
    <row r="16" spans="1:19" ht="20.25" customHeight="1" x14ac:dyDescent="0.3">
      <c r="A16" s="1289"/>
      <c r="B16" s="1289"/>
      <c r="C16" s="843" t="s">
        <v>61</v>
      </c>
      <c r="D16" s="843" t="s">
        <v>92</v>
      </c>
      <c r="E16" s="843">
        <v>0.7</v>
      </c>
      <c r="F16" s="32">
        <v>6233126</v>
      </c>
      <c r="G16" s="32">
        <f t="shared" si="9"/>
        <v>6551015</v>
      </c>
      <c r="H16" s="32">
        <f>ROUND((E16*F16),0)</f>
        <v>4363188</v>
      </c>
      <c r="I16" s="32">
        <f t="shared" si="1"/>
        <v>4585711</v>
      </c>
      <c r="J16" s="1289"/>
      <c r="K16" s="799">
        <v>0</v>
      </c>
      <c r="L16" s="685">
        <f t="shared" si="10"/>
        <v>0</v>
      </c>
      <c r="M16" s="684">
        <f t="shared" si="8"/>
        <v>0</v>
      </c>
      <c r="N16" s="799">
        <v>0</v>
      </c>
      <c r="O16" s="685">
        <f>ROUND(N16*G16,0)</f>
        <v>0</v>
      </c>
      <c r="P16" s="893">
        <f t="shared" si="4"/>
        <v>0</v>
      </c>
      <c r="Q16" s="799">
        <f t="shared" si="5"/>
        <v>0</v>
      </c>
      <c r="R16" s="685">
        <f t="shared" si="6"/>
        <v>0</v>
      </c>
      <c r="S16" s="684">
        <f t="shared" si="7"/>
        <v>0</v>
      </c>
    </row>
    <row r="17" spans="1:19" x14ac:dyDescent="0.3">
      <c r="A17" s="1289"/>
      <c r="B17" s="1289"/>
      <c r="C17" s="39"/>
      <c r="D17" s="39" t="s">
        <v>63</v>
      </c>
      <c r="E17" s="41"/>
      <c r="F17" s="41"/>
      <c r="G17" s="41"/>
      <c r="H17" s="42">
        <f>SUM(H15:H16)</f>
        <v>5533204</v>
      </c>
      <c r="I17" s="42">
        <f>SUM(I15:I16)</f>
        <v>5815398</v>
      </c>
      <c r="J17" s="1289"/>
      <c r="K17" s="41"/>
      <c r="L17" s="683">
        <f>SUM(L15:L16)</f>
        <v>0</v>
      </c>
      <c r="M17" s="519">
        <f t="shared" si="8"/>
        <v>0</v>
      </c>
      <c r="N17" s="41"/>
      <c r="O17" s="683">
        <f>SUM(O15:O16)</f>
        <v>0</v>
      </c>
      <c r="P17" s="1100">
        <f t="shared" si="4"/>
        <v>0</v>
      </c>
      <c r="Q17" s="1106"/>
      <c r="R17" s="1107">
        <f t="shared" si="6"/>
        <v>0</v>
      </c>
      <c r="S17" s="1100">
        <f t="shared" si="7"/>
        <v>0</v>
      </c>
    </row>
    <row r="18" spans="1:19" ht="30" customHeight="1" x14ac:dyDescent="0.3">
      <c r="A18" s="1289" t="s">
        <v>109</v>
      </c>
      <c r="B18" s="1289" t="s">
        <v>1089</v>
      </c>
      <c r="C18" s="843" t="s">
        <v>81</v>
      </c>
      <c r="D18" s="843" t="s">
        <v>82</v>
      </c>
      <c r="E18" s="843">
        <v>0.7</v>
      </c>
      <c r="F18" s="32">
        <v>1880385</v>
      </c>
      <c r="G18" s="32">
        <f t="shared" ref="G18:G20" si="11">+ROUND(F18*1.051,0)</f>
        <v>1976285</v>
      </c>
      <c r="H18" s="32">
        <f>ROUND((E18*F18),0)</f>
        <v>1316270</v>
      </c>
      <c r="I18" s="32">
        <f t="shared" si="1"/>
        <v>1383400</v>
      </c>
      <c r="J18" s="1290" t="s">
        <v>1790</v>
      </c>
      <c r="K18" s="537">
        <f>0.7*60%</f>
        <v>0.42</v>
      </c>
      <c r="L18" s="752">
        <f t="shared" ref="L18:L20" si="12">ROUND(K18*G18,0)</f>
        <v>830040</v>
      </c>
      <c r="M18" s="753">
        <f>L18/H18</f>
        <v>0.63060010484171181</v>
      </c>
      <c r="N18" s="891">
        <v>0</v>
      </c>
      <c r="O18" s="892">
        <f>ROUND(N18*G18,0)</f>
        <v>0</v>
      </c>
      <c r="P18" s="893">
        <f t="shared" si="4"/>
        <v>0</v>
      </c>
      <c r="Q18" s="799">
        <f t="shared" si="5"/>
        <v>0.42</v>
      </c>
      <c r="R18" s="685">
        <f t="shared" si="6"/>
        <v>830040</v>
      </c>
      <c r="S18" s="684">
        <f t="shared" si="7"/>
        <v>0.6</v>
      </c>
    </row>
    <row r="19" spans="1:19" ht="28.8" x14ac:dyDescent="0.3">
      <c r="A19" s="1289"/>
      <c r="B19" s="1289"/>
      <c r="C19" s="843" t="s">
        <v>83</v>
      </c>
      <c r="D19" s="843" t="s">
        <v>84</v>
      </c>
      <c r="E19" s="843">
        <v>0.7</v>
      </c>
      <c r="F19" s="32">
        <v>1845563</v>
      </c>
      <c r="G19" s="32">
        <f t="shared" si="11"/>
        <v>1939687</v>
      </c>
      <c r="H19" s="32">
        <f>ROUND((E19*F19),0)</f>
        <v>1291894</v>
      </c>
      <c r="I19" s="32">
        <f t="shared" si="1"/>
        <v>1357781</v>
      </c>
      <c r="J19" s="1289"/>
      <c r="K19" s="799">
        <v>0</v>
      </c>
      <c r="L19" s="685">
        <f t="shared" si="12"/>
        <v>0</v>
      </c>
      <c r="M19" s="684">
        <f t="shared" ref="M19:M20" si="13">L19/H19</f>
        <v>0</v>
      </c>
      <c r="N19" s="799">
        <v>0</v>
      </c>
      <c r="O19" s="892">
        <f t="shared" ref="O19:O20" si="14">ROUND(N19*G19,0)</f>
        <v>0</v>
      </c>
      <c r="P19" s="893">
        <f t="shared" si="4"/>
        <v>0</v>
      </c>
      <c r="Q19" s="799">
        <f t="shared" si="5"/>
        <v>0</v>
      </c>
      <c r="R19" s="685">
        <f t="shared" si="6"/>
        <v>0</v>
      </c>
      <c r="S19" s="684">
        <f t="shared" si="7"/>
        <v>0</v>
      </c>
    </row>
    <row r="20" spans="1:19" ht="28.8" x14ac:dyDescent="0.3">
      <c r="A20" s="1289"/>
      <c r="B20" s="1289"/>
      <c r="C20" s="843" t="s">
        <v>61</v>
      </c>
      <c r="D20" s="843" t="s">
        <v>85</v>
      </c>
      <c r="E20" s="843">
        <v>0.7</v>
      </c>
      <c r="F20" s="32">
        <v>7312607</v>
      </c>
      <c r="G20" s="32">
        <f t="shared" si="11"/>
        <v>7685550</v>
      </c>
      <c r="H20" s="32">
        <f>ROUND((E20*F20),0)</f>
        <v>5118825</v>
      </c>
      <c r="I20" s="32">
        <f t="shared" si="1"/>
        <v>5379885</v>
      </c>
      <c r="J20" s="1289"/>
      <c r="K20" s="799">
        <v>0</v>
      </c>
      <c r="L20" s="685">
        <f t="shared" si="12"/>
        <v>0</v>
      </c>
      <c r="M20" s="684">
        <f t="shared" si="13"/>
        <v>0</v>
      </c>
      <c r="N20" s="799">
        <v>0</v>
      </c>
      <c r="O20" s="892">
        <f t="shared" si="14"/>
        <v>0</v>
      </c>
      <c r="P20" s="893">
        <f t="shared" si="4"/>
        <v>0</v>
      </c>
      <c r="Q20" s="799">
        <f t="shared" si="5"/>
        <v>0</v>
      </c>
      <c r="R20" s="685">
        <f t="shared" si="6"/>
        <v>0</v>
      </c>
      <c r="S20" s="684">
        <f t="shared" si="7"/>
        <v>0</v>
      </c>
    </row>
    <row r="21" spans="1:19" x14ac:dyDescent="0.3">
      <c r="A21" s="1289"/>
      <c r="B21" s="1289"/>
      <c r="C21" s="39"/>
      <c r="D21" s="39" t="s">
        <v>86</v>
      </c>
      <c r="E21" s="41"/>
      <c r="F21" s="41"/>
      <c r="G21" s="41"/>
      <c r="H21" s="42">
        <f>SUM(H18:H20)</f>
        <v>7726989</v>
      </c>
      <c r="I21" s="42">
        <f>SUM(I18:I20)</f>
        <v>8121066</v>
      </c>
      <c r="J21" s="1289"/>
      <c r="K21" s="40"/>
      <c r="L21" s="683">
        <f>SUM(L18:L20)</f>
        <v>830040</v>
      </c>
      <c r="M21" s="519">
        <f>L21/H21</f>
        <v>0.10742088541862814</v>
      </c>
      <c r="N21" s="40"/>
      <c r="O21" s="683">
        <f>SUM(O18:O20)</f>
        <v>0</v>
      </c>
      <c r="P21" s="1100">
        <f t="shared" si="4"/>
        <v>0</v>
      </c>
      <c r="Q21" s="1106"/>
      <c r="R21" s="1107">
        <f t="shared" si="6"/>
        <v>830040</v>
      </c>
      <c r="S21" s="1100">
        <f t="shared" si="7"/>
        <v>0.10220825689632371</v>
      </c>
    </row>
    <row r="22" spans="1:19" ht="45" customHeight="1" x14ac:dyDescent="0.3">
      <c r="A22" s="1289" t="s">
        <v>109</v>
      </c>
      <c r="B22" s="1289" t="s">
        <v>1091</v>
      </c>
      <c r="C22" s="843" t="s">
        <v>83</v>
      </c>
      <c r="D22" s="843" t="s">
        <v>91</v>
      </c>
      <c r="E22" s="843">
        <v>0.7</v>
      </c>
      <c r="F22" s="32">
        <v>1671452</v>
      </c>
      <c r="G22" s="32">
        <f t="shared" ref="G22:G23" si="15">+ROUND(F22*1.051,0)</f>
        <v>1756696</v>
      </c>
      <c r="H22" s="32">
        <f>ROUND((E22*F22),0)</f>
        <v>1170016</v>
      </c>
      <c r="I22" s="32">
        <f t="shared" si="1"/>
        <v>1229687</v>
      </c>
      <c r="J22" s="1290" t="s">
        <v>1791</v>
      </c>
      <c r="K22" s="799">
        <v>0</v>
      </c>
      <c r="L22" s="685">
        <f t="shared" ref="L22:L23" si="16">ROUND(K22*G22,0)</f>
        <v>0</v>
      </c>
      <c r="M22" s="684">
        <f t="shared" si="8"/>
        <v>0</v>
      </c>
      <c r="N22" s="799">
        <v>0</v>
      </c>
      <c r="O22" s="685">
        <f>ROUND(N22*G22,0)</f>
        <v>0</v>
      </c>
      <c r="P22" s="893">
        <f t="shared" si="4"/>
        <v>0</v>
      </c>
      <c r="Q22" s="799">
        <f t="shared" si="5"/>
        <v>0</v>
      </c>
      <c r="R22" s="685">
        <f t="shared" si="6"/>
        <v>0</v>
      </c>
      <c r="S22" s="684">
        <f t="shared" si="7"/>
        <v>0</v>
      </c>
    </row>
    <row r="23" spans="1:19" ht="61.5" customHeight="1" x14ac:dyDescent="0.3">
      <c r="A23" s="1289"/>
      <c r="B23" s="1289"/>
      <c r="C23" s="843" t="s">
        <v>61</v>
      </c>
      <c r="D23" s="843" t="s">
        <v>92</v>
      </c>
      <c r="E23" s="843">
        <v>0.7</v>
      </c>
      <c r="F23" s="32">
        <v>6233126</v>
      </c>
      <c r="G23" s="32">
        <f t="shared" si="15"/>
        <v>6551015</v>
      </c>
      <c r="H23" s="32">
        <f>ROUND((E23*F23),0)</f>
        <v>4363188</v>
      </c>
      <c r="I23" s="32">
        <f t="shared" si="1"/>
        <v>4585711</v>
      </c>
      <c r="J23" s="1289"/>
      <c r="K23" s="799">
        <v>0</v>
      </c>
      <c r="L23" s="685">
        <f t="shared" si="16"/>
        <v>0</v>
      </c>
      <c r="M23" s="684">
        <f t="shared" si="8"/>
        <v>0</v>
      </c>
      <c r="N23" s="799">
        <v>0</v>
      </c>
      <c r="O23" s="685">
        <f>ROUND(N23*G23,0)</f>
        <v>0</v>
      </c>
      <c r="P23" s="893">
        <f t="shared" si="4"/>
        <v>0</v>
      </c>
      <c r="Q23" s="799">
        <f t="shared" si="5"/>
        <v>0</v>
      </c>
      <c r="R23" s="685">
        <f t="shared" si="6"/>
        <v>0</v>
      </c>
      <c r="S23" s="684">
        <f t="shared" si="7"/>
        <v>0</v>
      </c>
    </row>
    <row r="24" spans="1:19" x14ac:dyDescent="0.3">
      <c r="A24" s="1289"/>
      <c r="B24" s="1289"/>
      <c r="C24" s="39"/>
      <c r="D24" s="39" t="s">
        <v>63</v>
      </c>
      <c r="E24" s="41"/>
      <c r="F24" s="41"/>
      <c r="G24" s="41"/>
      <c r="H24" s="42">
        <f>SUM(H22:H23)</f>
        <v>5533204</v>
      </c>
      <c r="I24" s="42">
        <f>SUM(I22:I23)</f>
        <v>5815398</v>
      </c>
      <c r="J24" s="1289"/>
      <c r="K24" s="41"/>
      <c r="L24" s="683">
        <f>SUM(L22:L23)</f>
        <v>0</v>
      </c>
      <c r="M24" s="519">
        <f t="shared" si="8"/>
        <v>0</v>
      </c>
      <c r="N24" s="41"/>
      <c r="O24" s="683">
        <f>SUM(O22:O23)</f>
        <v>0</v>
      </c>
      <c r="P24" s="1100">
        <f t="shared" si="4"/>
        <v>0</v>
      </c>
      <c r="Q24" s="1108"/>
      <c r="R24" s="1107">
        <f t="shared" si="6"/>
        <v>0</v>
      </c>
      <c r="S24" s="1100">
        <f t="shared" si="7"/>
        <v>0</v>
      </c>
    </row>
    <row r="25" spans="1:19" x14ac:dyDescent="0.3">
      <c r="A25" s="638"/>
      <c r="B25" s="638"/>
      <c r="C25" s="638"/>
      <c r="D25" s="638"/>
      <c r="E25" s="638"/>
      <c r="F25" s="686" t="s">
        <v>1740</v>
      </c>
      <c r="G25" s="686"/>
      <c r="H25" s="687">
        <f>0+H14+H17+H21+H24</f>
        <v>26520386</v>
      </c>
      <c r="I25" s="687">
        <f>0+I14+I17+I21+I24</f>
        <v>27872928</v>
      </c>
      <c r="J25" s="638"/>
      <c r="K25" s="547" t="s">
        <v>64</v>
      </c>
      <c r="L25" s="688">
        <f>SUM(L11:L24)/2</f>
        <v>1660080</v>
      </c>
      <c r="M25" s="638"/>
      <c r="N25" s="547" t="s">
        <v>64</v>
      </c>
      <c r="O25" s="688">
        <f>SUM(O11:O24)/2</f>
        <v>0</v>
      </c>
      <c r="Q25" s="547" t="s">
        <v>64</v>
      </c>
      <c r="R25" s="688">
        <f>SUM(R11:R24)/2</f>
        <v>1660080</v>
      </c>
      <c r="S25" s="638"/>
    </row>
    <row r="26" spans="1:19" ht="26.4" x14ac:dyDescent="0.3">
      <c r="A26" s="638"/>
      <c r="B26" s="638"/>
      <c r="C26" s="638"/>
      <c r="D26" s="638"/>
      <c r="E26" s="638"/>
      <c r="F26" s="444" t="s">
        <v>65</v>
      </c>
      <c r="G26" s="444"/>
      <c r="H26" s="181">
        <v>0</v>
      </c>
      <c r="I26" s="181">
        <v>0</v>
      </c>
      <c r="J26" s="638"/>
      <c r="K26" s="548" t="s">
        <v>65</v>
      </c>
      <c r="L26" s="481"/>
      <c r="M26" s="638"/>
      <c r="N26" s="548" t="s">
        <v>65</v>
      </c>
      <c r="O26" s="481"/>
      <c r="Q26" s="548" t="s">
        <v>65</v>
      </c>
      <c r="R26" s="481"/>
      <c r="S26" s="638"/>
    </row>
    <row r="27" spans="1:19" x14ac:dyDescent="0.3">
      <c r="A27" s="638"/>
      <c r="B27" s="638"/>
      <c r="C27" s="638"/>
      <c r="D27" s="638"/>
      <c r="E27" s="638"/>
      <c r="F27" s="443" t="s">
        <v>1740</v>
      </c>
      <c r="G27" s="443"/>
      <c r="H27" s="340">
        <f>+H26+H25</f>
        <v>26520386</v>
      </c>
      <c r="I27" s="340">
        <f>+I26+I25</f>
        <v>27872928</v>
      </c>
      <c r="J27" s="638"/>
      <c r="K27" s="549" t="s">
        <v>64</v>
      </c>
      <c r="L27" s="481">
        <f>L25+L26</f>
        <v>1660080</v>
      </c>
      <c r="M27" s="638"/>
      <c r="N27" s="549" t="s">
        <v>64</v>
      </c>
      <c r="O27" s="481">
        <f>O25+O26</f>
        <v>0</v>
      </c>
      <c r="Q27" s="549" t="s">
        <v>64</v>
      </c>
      <c r="R27" s="481">
        <f>R25+R26</f>
        <v>1660080</v>
      </c>
      <c r="S27" s="638"/>
    </row>
    <row r="28" spans="1:19" ht="26.4" x14ac:dyDescent="0.3">
      <c r="A28" s="638"/>
      <c r="B28" s="638"/>
      <c r="C28" s="638"/>
      <c r="D28" s="638"/>
      <c r="E28" s="638"/>
      <c r="F28" s="659"/>
      <c r="G28" s="659"/>
      <c r="H28" s="659"/>
      <c r="I28" s="659"/>
      <c r="J28" s="638"/>
      <c r="K28" s="501" t="s">
        <v>1439</v>
      </c>
      <c r="L28" s="481">
        <f>ROUND(L27*0.015,0)</f>
        <v>24901</v>
      </c>
      <c r="M28" s="638"/>
      <c r="N28" s="501" t="s">
        <v>1439</v>
      </c>
      <c r="O28" s="481">
        <f>ROUND(O27*0.015,0)</f>
        <v>0</v>
      </c>
      <c r="Q28" s="501" t="s">
        <v>1439</v>
      </c>
      <c r="R28" s="481">
        <f>+L28+O28</f>
        <v>24901</v>
      </c>
      <c r="S28" s="638"/>
    </row>
    <row r="29" spans="1:19" ht="39.6" x14ac:dyDescent="0.3">
      <c r="A29" s="638"/>
      <c r="B29" s="638"/>
      <c r="C29" s="638"/>
      <c r="D29" s="638"/>
      <c r="E29" s="638"/>
      <c r="F29" s="659"/>
      <c r="G29" s="659"/>
      <c r="H29" s="659"/>
      <c r="I29" s="659"/>
      <c r="J29" s="638"/>
      <c r="K29" s="96" t="s">
        <v>1440</v>
      </c>
      <c r="L29" s="783">
        <f>L27+L28</f>
        <v>1684981</v>
      </c>
      <c r="M29" s="832">
        <f>L29/H25</f>
        <v>6.353531204259244E-2</v>
      </c>
      <c r="N29" s="96" t="s">
        <v>1440</v>
      </c>
      <c r="O29" s="783">
        <f>O27+O28</f>
        <v>0</v>
      </c>
      <c r="P29" s="832">
        <f>O29/H25</f>
        <v>0</v>
      </c>
      <c r="Q29" s="96" t="s">
        <v>1440</v>
      </c>
      <c r="R29" s="783">
        <f>R27+R28</f>
        <v>1684981</v>
      </c>
      <c r="S29" s="832">
        <f>R29/H25</f>
        <v>6.353531204259244E-2</v>
      </c>
    </row>
    <row r="30" spans="1:19" x14ac:dyDescent="0.3">
      <c r="A30" s="638"/>
      <c r="B30" s="638"/>
      <c r="C30" s="638"/>
      <c r="D30" s="638"/>
      <c r="E30" s="638"/>
      <c r="F30" s="442" t="s">
        <v>66</v>
      </c>
      <c r="G30" s="442"/>
      <c r="H30" s="181">
        <f>+H25*19%</f>
        <v>5038873.34</v>
      </c>
      <c r="I30" s="181">
        <f>+I25*19%</f>
        <v>5295856.32</v>
      </c>
      <c r="J30" s="638"/>
      <c r="K30" s="551" t="s">
        <v>66</v>
      </c>
      <c r="L30" s="672">
        <f>L29*0.19</f>
        <v>320146.39</v>
      </c>
      <c r="M30" s="638"/>
      <c r="N30" s="551" t="s">
        <v>66</v>
      </c>
      <c r="O30" s="672">
        <f>O29*0.19</f>
        <v>0</v>
      </c>
      <c r="Q30" s="551" t="s">
        <v>66</v>
      </c>
      <c r="R30" s="672">
        <f>R29*0.19</f>
        <v>320146.39</v>
      </c>
      <c r="S30" s="638"/>
    </row>
    <row r="31" spans="1:19" x14ac:dyDescent="0.3">
      <c r="A31" s="638"/>
      <c r="B31" s="638"/>
      <c r="C31" s="638"/>
      <c r="D31" s="638"/>
      <c r="E31" s="638"/>
      <c r="F31" s="441" t="s">
        <v>69</v>
      </c>
      <c r="G31" s="441"/>
      <c r="H31" s="181">
        <f>+H25+H30</f>
        <v>31559259.34</v>
      </c>
      <c r="I31" s="181">
        <f>+I25+I30</f>
        <v>33168784.32</v>
      </c>
      <c r="J31" s="638"/>
      <c r="K31" s="552" t="s">
        <v>69</v>
      </c>
      <c r="L31" s="672">
        <f>L29+L30</f>
        <v>2005127.3900000001</v>
      </c>
      <c r="M31" s="638"/>
      <c r="N31" s="552" t="s">
        <v>69</v>
      </c>
      <c r="O31" s="672">
        <f>O29+O30</f>
        <v>0</v>
      </c>
      <c r="Q31" s="552" t="s">
        <v>69</v>
      </c>
      <c r="R31" s="672">
        <f>R29+R30</f>
        <v>2005127.3900000001</v>
      </c>
      <c r="S31" s="638"/>
    </row>
    <row r="32" spans="1:19" x14ac:dyDescent="0.3">
      <c r="A32" s="638"/>
      <c r="B32" s="638"/>
      <c r="C32" s="638"/>
      <c r="D32" s="638"/>
      <c r="E32" s="638"/>
      <c r="F32" s="638"/>
      <c r="H32" s="638"/>
      <c r="J32" s="638"/>
      <c r="K32" s="638"/>
      <c r="L32" s="638"/>
      <c r="M32" s="638"/>
      <c r="Q32" s="638"/>
      <c r="R32" s="638"/>
      <c r="S32" s="638"/>
    </row>
    <row r="33" spans="1:19" ht="29.25" customHeight="1" x14ac:dyDescent="0.3">
      <c r="A33" s="665" t="s">
        <v>67</v>
      </c>
      <c r="B33" s="184"/>
      <c r="C33" s="184"/>
      <c r="D33" s="185" t="s">
        <v>68</v>
      </c>
      <c r="E33" s="638"/>
      <c r="F33" s="638"/>
      <c r="H33" s="638"/>
      <c r="J33" s="638"/>
      <c r="K33" s="186" t="s">
        <v>70</v>
      </c>
      <c r="L33" s="187" t="s">
        <v>71</v>
      </c>
      <c r="M33" s="186" t="s">
        <v>58</v>
      </c>
      <c r="N33" s="186" t="s">
        <v>70</v>
      </c>
      <c r="O33" s="187" t="s">
        <v>71</v>
      </c>
      <c r="P33" s="186" t="s">
        <v>58</v>
      </c>
      <c r="Q33" s="638"/>
      <c r="R33" s="638"/>
      <c r="S33" s="638"/>
    </row>
    <row r="34" spans="1:19" x14ac:dyDescent="0.3">
      <c r="A34" s="665"/>
      <c r="B34" s="184"/>
      <c r="C34" s="184"/>
      <c r="D34" s="185"/>
      <c r="E34" s="638"/>
      <c r="F34" s="638"/>
      <c r="H34" s="638"/>
      <c r="J34" s="638"/>
      <c r="K34" s="69" t="s">
        <v>72</v>
      </c>
      <c r="L34" s="70">
        <f>L29</f>
        <v>1684981</v>
      </c>
      <c r="M34" s="360">
        <f>M29</f>
        <v>6.353531204259244E-2</v>
      </c>
      <c r="N34" s="69" t="s">
        <v>72</v>
      </c>
      <c r="O34" s="70">
        <f>$L$29</f>
        <v>1684981</v>
      </c>
      <c r="P34" s="360">
        <f>$M$29</f>
        <v>6.353531204259244E-2</v>
      </c>
      <c r="Q34" s="638"/>
      <c r="R34" s="638"/>
      <c r="S34" s="638"/>
    </row>
    <row r="35" spans="1:19" x14ac:dyDescent="0.3">
      <c r="A35" s="665"/>
      <c r="B35" s="184"/>
      <c r="C35" s="184"/>
      <c r="D35" s="185"/>
      <c r="E35" s="638"/>
      <c r="F35" s="638"/>
      <c r="H35" s="638"/>
      <c r="J35" s="638"/>
      <c r="K35" s="72" t="s">
        <v>1</v>
      </c>
      <c r="L35" s="105">
        <f>L34</f>
        <v>1684981</v>
      </c>
      <c r="M35" s="361">
        <f>M34</f>
        <v>6.353531204259244E-2</v>
      </c>
      <c r="N35" s="69" t="s">
        <v>73</v>
      </c>
      <c r="O35" s="70">
        <f>$O$29</f>
        <v>0</v>
      </c>
      <c r="P35" s="360">
        <f>$P$29</f>
        <v>0</v>
      </c>
      <c r="Q35" s="638"/>
      <c r="R35" s="638"/>
      <c r="S35" s="638"/>
    </row>
    <row r="36" spans="1:19" x14ac:dyDescent="0.3">
      <c r="A36" s="665"/>
      <c r="B36" s="184"/>
      <c r="C36" s="184"/>
      <c r="D36" s="185"/>
      <c r="E36" s="638"/>
      <c r="F36" s="638"/>
      <c r="H36" s="638"/>
      <c r="J36" s="638"/>
      <c r="K36" s="72" t="s">
        <v>9</v>
      </c>
      <c r="L36" s="1423"/>
      <c r="M36" s="1424"/>
      <c r="N36" s="72" t="s">
        <v>1</v>
      </c>
      <c r="O36" s="105">
        <f>SUM(O34:O35)</f>
        <v>1684981</v>
      </c>
      <c r="P36" s="361">
        <f>SUM(P34:P35)</f>
        <v>6.353531204259244E-2</v>
      </c>
      <c r="Q36" s="638"/>
      <c r="R36" s="638"/>
      <c r="S36" s="638"/>
    </row>
    <row r="37" spans="1:19" x14ac:dyDescent="0.3">
      <c r="A37" s="665"/>
      <c r="B37" s="184"/>
      <c r="C37" s="184"/>
      <c r="D37" s="185"/>
      <c r="E37" s="638"/>
      <c r="F37" s="638"/>
      <c r="H37" s="638"/>
      <c r="J37" s="638"/>
      <c r="K37" s="440" t="s">
        <v>78</v>
      </c>
      <c r="L37" s="1423" t="s">
        <v>2238</v>
      </c>
      <c r="M37" s="1424"/>
      <c r="N37" s="72" t="s">
        <v>9</v>
      </c>
      <c r="O37" s="1423"/>
      <c r="P37" s="1424"/>
      <c r="Q37" s="638"/>
      <c r="R37" s="638"/>
      <c r="S37" s="638"/>
    </row>
    <row r="38" spans="1:19" x14ac:dyDescent="0.3">
      <c r="A38" s="665"/>
      <c r="B38" s="184"/>
      <c r="C38" s="184"/>
      <c r="D38" s="185"/>
      <c r="E38" s="638"/>
      <c r="F38" s="638"/>
      <c r="H38" s="638"/>
      <c r="J38" s="638"/>
      <c r="K38" s="439" t="s">
        <v>8</v>
      </c>
      <c r="L38" s="1425" t="s">
        <v>2239</v>
      </c>
      <c r="M38" s="1426"/>
      <c r="N38" s="440" t="s">
        <v>78</v>
      </c>
      <c r="O38" s="1423" t="s">
        <v>2238</v>
      </c>
      <c r="P38" s="1424"/>
      <c r="Q38" s="638"/>
      <c r="R38" s="638"/>
      <c r="S38" s="638"/>
    </row>
    <row r="39" spans="1:19" x14ac:dyDescent="0.3">
      <c r="A39" s="665"/>
      <c r="B39" s="184"/>
      <c r="C39" s="184"/>
      <c r="D39" s="185" t="s">
        <v>75</v>
      </c>
      <c r="E39" s="638"/>
      <c r="F39" s="638"/>
      <c r="H39" s="638"/>
      <c r="J39" s="638"/>
      <c r="K39" s="638"/>
      <c r="L39" s="638"/>
      <c r="M39" s="638"/>
      <c r="N39" s="439" t="s">
        <v>8</v>
      </c>
      <c r="O39" s="1425" t="s">
        <v>2239</v>
      </c>
      <c r="P39" s="1426"/>
      <c r="Q39" s="638"/>
      <c r="R39" s="638"/>
      <c r="S39" s="638"/>
    </row>
    <row r="40" spans="1:19" x14ac:dyDescent="0.3">
      <c r="A40" s="665" t="s">
        <v>76</v>
      </c>
      <c r="B40" s="180"/>
      <c r="C40" s="180"/>
      <c r="D40" s="185" t="s">
        <v>77</v>
      </c>
      <c r="E40" s="638"/>
      <c r="F40" s="638"/>
      <c r="H40" s="638"/>
      <c r="J40" s="638"/>
      <c r="K40" s="638"/>
      <c r="L40" s="638"/>
      <c r="M40" s="638"/>
      <c r="Q40" s="638"/>
      <c r="R40" s="638"/>
      <c r="S40" s="638"/>
    </row>
    <row r="41" spans="1:19" x14ac:dyDescent="0.3">
      <c r="A41" s="665" t="s">
        <v>79</v>
      </c>
      <c r="B41" s="180"/>
      <c r="C41" s="180"/>
      <c r="D41" s="185" t="s">
        <v>80</v>
      </c>
      <c r="E41" s="638"/>
      <c r="F41" s="638"/>
      <c r="H41" s="638"/>
      <c r="J41" s="638"/>
      <c r="K41" s="638"/>
      <c r="L41" s="638"/>
      <c r="M41" s="638"/>
      <c r="Q41" s="638"/>
      <c r="R41" s="638"/>
      <c r="S41" s="638"/>
    </row>
  </sheetData>
  <mergeCells count="30">
    <mergeCell ref="A11:A14"/>
    <mergeCell ref="B11:B14"/>
    <mergeCell ref="J11:J14"/>
    <mergeCell ref="A1:S1"/>
    <mergeCell ref="A2:S2"/>
    <mergeCell ref="A3:S3"/>
    <mergeCell ref="A4:S4"/>
    <mergeCell ref="A5:S5"/>
    <mergeCell ref="A6:S6"/>
    <mergeCell ref="A7:S7"/>
    <mergeCell ref="B8:J8"/>
    <mergeCell ref="K8:M9"/>
    <mergeCell ref="Q8:S9"/>
    <mergeCell ref="B9:J9"/>
    <mergeCell ref="N8:P9"/>
    <mergeCell ref="A22:A24"/>
    <mergeCell ref="B22:B24"/>
    <mergeCell ref="J22:J24"/>
    <mergeCell ref="A15:A17"/>
    <mergeCell ref="B15:B17"/>
    <mergeCell ref="J15:J17"/>
    <mergeCell ref="A18:A21"/>
    <mergeCell ref="B18:B21"/>
    <mergeCell ref="J18:J21"/>
    <mergeCell ref="O37:P37"/>
    <mergeCell ref="O38:P38"/>
    <mergeCell ref="O39:P39"/>
    <mergeCell ref="L36:M36"/>
    <mergeCell ref="L37:M37"/>
    <mergeCell ref="L38:M38"/>
  </mergeCells>
  <pageMargins left="0.7" right="0.7" top="0.75" bottom="0.75" header="0.3" footer="0.3"/>
  <pageSetup scale="28"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2">
    <tabColor theme="1"/>
  </sheetPr>
  <dimension ref="A1:G49"/>
  <sheetViews>
    <sheetView topLeftCell="A10" zoomScaleNormal="100" zoomScaleSheetLayoutView="80"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RESUMEN!G115</f>
        <v xml:space="preserve">Proyecto:CDIE_CBCCSM_R0178 REPOSICIÓN INTERRUPTORES.
</v>
      </c>
      <c r="C5" s="1281"/>
      <c r="D5" s="1281"/>
      <c r="E5" s="1281"/>
      <c r="F5" s="1281"/>
      <c r="G5" s="1282"/>
    </row>
    <row r="6" spans="1:7" x14ac:dyDescent="0.25">
      <c r="A6" s="1177"/>
      <c r="B6" s="1177"/>
      <c r="C6" s="1177"/>
      <c r="D6" s="1177"/>
      <c r="E6" s="1177"/>
      <c r="F6" s="1177"/>
      <c r="G6" s="1177"/>
    </row>
    <row r="7" spans="1:7" x14ac:dyDescent="0.25">
      <c r="A7" s="271" t="s">
        <v>0</v>
      </c>
      <c r="B7" s="1264" t="str">
        <f>RESUMEN!B115</f>
        <v>D00240791</v>
      </c>
      <c r="C7" s="1265"/>
      <c r="D7" s="1177"/>
      <c r="E7" s="1266" t="s">
        <v>627</v>
      </c>
      <c r="F7" s="1267"/>
      <c r="G7" s="280" t="str">
        <f>RESUMEN!E115</f>
        <v>17-403</v>
      </c>
    </row>
    <row r="8" spans="1:7" x14ac:dyDescent="0.25">
      <c r="A8" s="271" t="s">
        <v>628</v>
      </c>
      <c r="B8" s="1264" t="str">
        <f>RESUMEN!C115</f>
        <v>D00240791000</v>
      </c>
      <c r="C8" s="1265"/>
      <c r="D8" s="1177"/>
      <c r="E8" s="1266" t="s">
        <v>629</v>
      </c>
      <c r="F8" s="1267"/>
      <c r="G8" s="280" t="str">
        <f>RESUMEN!U115</f>
        <v>Acta N° 2: Marzo</v>
      </c>
    </row>
    <row r="9" spans="1:7" x14ac:dyDescent="0.25">
      <c r="A9" s="271" t="s">
        <v>630</v>
      </c>
      <c r="B9" s="1283" t="s">
        <v>631</v>
      </c>
      <c r="C9" s="1265"/>
      <c r="D9" s="1177"/>
      <c r="E9" s="1266" t="s">
        <v>632</v>
      </c>
      <c r="F9" s="1267"/>
      <c r="G9" s="1178">
        <f>RESUMEN!H115</f>
        <v>35831769</v>
      </c>
    </row>
    <row r="10" spans="1:7" x14ac:dyDescent="0.25">
      <c r="A10" s="271" t="s">
        <v>633</v>
      </c>
      <c r="B10" s="1283" t="str">
        <f>RESUMEN!D115</f>
        <v>FONTIBON</v>
      </c>
      <c r="C10" s="1265"/>
      <c r="D10" s="1177"/>
      <c r="E10" s="1266" t="s">
        <v>634</v>
      </c>
      <c r="F10" s="1267"/>
      <c r="G10" s="1178">
        <f>RESUMEN!R115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",RESUMEN!G115)</f>
        <v xml:space="preserve">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RESUMEN!N115</f>
        <v>0</v>
      </c>
      <c r="F19" s="1248"/>
      <c r="G19" s="1177"/>
    </row>
    <row r="20" spans="1:7" ht="27" customHeight="1" x14ac:dyDescent="0.25">
      <c r="A20" s="1177"/>
      <c r="B20" s="1244" t="s">
        <v>1498</v>
      </c>
      <c r="C20" s="1245"/>
      <c r="D20" s="1246"/>
      <c r="E20" s="1247">
        <f>RESUMEN!P115</f>
        <v>0</v>
      </c>
      <c r="F20" s="1248"/>
      <c r="G20" s="1177"/>
    </row>
    <row r="21" spans="1:7" ht="27" customHeight="1" x14ac:dyDescent="0.25">
      <c r="A21" s="1177"/>
      <c r="B21" s="1244" t="s">
        <v>1499</v>
      </c>
      <c r="C21" s="1245"/>
      <c r="D21" s="1246"/>
      <c r="E21" s="1247">
        <f>RESUMEN!Q115</f>
        <v>0</v>
      </c>
      <c r="F21" s="1248"/>
      <c r="G21" s="1177"/>
    </row>
    <row r="22" spans="1:7" x14ac:dyDescent="0.25">
      <c r="A22" s="1177"/>
      <c r="B22" s="1254" t="s">
        <v>64</v>
      </c>
      <c r="C22" s="1254"/>
      <c r="D22" s="1254"/>
      <c r="E22" s="1255">
        <f>RESUMEN!R115</f>
        <v>0</v>
      </c>
      <c r="F22" s="1255"/>
      <c r="G22" s="1177"/>
    </row>
    <row r="23" spans="1:7" x14ac:dyDescent="0.25">
      <c r="A23" s="1177"/>
      <c r="B23" s="1256" t="s">
        <v>66</v>
      </c>
      <c r="C23" s="1256"/>
      <c r="D23" s="1256"/>
      <c r="E23" s="1257">
        <f>RESUMEN!S115</f>
        <v>0</v>
      </c>
      <c r="F23" s="1257"/>
      <c r="G23" s="1177"/>
    </row>
    <row r="24" spans="1:7" x14ac:dyDescent="0.25">
      <c r="A24" s="1177"/>
      <c r="B24" s="1258" t="s">
        <v>1</v>
      </c>
      <c r="C24" s="1258"/>
      <c r="D24" s="1258"/>
      <c r="E24" s="1259">
        <f>RESUMEN!T115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+'OT17-403 FONTIBÓN INT'!N44</f>
        <v>ACTA 1</v>
      </c>
      <c r="C28" s="1253">
        <f>+'OT17-403 FONTIBÓN INT'!O44</f>
        <v>14161112</v>
      </c>
      <c r="D28" s="1253"/>
      <c r="E28" s="267">
        <f>+'OT17-403 FONTIBÓN INT'!P44</f>
        <v>0.39521107651704274</v>
      </c>
      <c r="F28" s="1177"/>
      <c r="G28" s="1177"/>
    </row>
    <row r="29" spans="1:7" x14ac:dyDescent="0.25">
      <c r="A29" s="1177"/>
      <c r="B29" s="280" t="str">
        <f>+'OT17-403 FONTIBÓN INT'!N45</f>
        <v>ACTA 2</v>
      </c>
      <c r="C29" s="1253">
        <f>+'OT17-403 FONTIBÓN INT'!O45</f>
        <v>0</v>
      </c>
      <c r="D29" s="1253"/>
      <c r="E29" s="267">
        <f>+'OT17-403 FONTIBÓN INT'!P45</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14161112</v>
      </c>
      <c r="D34" s="1251"/>
      <c r="E34" s="264">
        <f>SUM(E28:E33)</f>
        <v>0.39521107651704274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RESUMEN!V115</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3">
    <tabColor rgb="FF72104A"/>
  </sheetPr>
  <dimension ref="A1:S51"/>
  <sheetViews>
    <sheetView topLeftCell="G28" zoomScale="80" zoomScaleNormal="80" workbookViewId="0">
      <selection activeCell="J13" sqref="J13"/>
    </sheetView>
  </sheetViews>
  <sheetFormatPr baseColWidth="10" defaultRowHeight="14.4" x14ac:dyDescent="0.3"/>
  <cols>
    <col min="1" max="1" width="21.44140625" customWidth="1"/>
    <col min="2" max="2" width="31.33203125" customWidth="1"/>
    <col min="3" max="3" width="25.33203125" customWidth="1"/>
    <col min="4" max="4" width="26.6640625" customWidth="1"/>
    <col min="6" max="6" width="14.44140625" bestFit="1" customWidth="1"/>
    <col min="7" max="7" width="14.44140625" style="849" customWidth="1"/>
    <col min="8" max="8" width="18.44140625" bestFit="1" customWidth="1"/>
    <col min="9" max="9" width="18.44140625" style="849" customWidth="1"/>
    <col min="10" max="10" width="37.109375" customWidth="1"/>
    <col min="11" max="11" width="16.33203125" bestFit="1" customWidth="1"/>
    <col min="12" max="12" width="18.33203125" customWidth="1"/>
    <col min="14" max="16" width="11.5546875" style="1054"/>
    <col min="17" max="17" width="16.88671875" bestFit="1" customWidth="1"/>
    <col min="18" max="18" width="15.4414062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508" t="s">
        <v>1789</v>
      </c>
      <c r="B7" s="1509"/>
      <c r="C7" s="1509"/>
      <c r="D7" s="1509"/>
      <c r="E7" s="1509"/>
      <c r="F7" s="1509"/>
      <c r="G7" s="1509"/>
      <c r="H7" s="1509"/>
      <c r="I7" s="1509"/>
      <c r="J7" s="1509"/>
      <c r="K7" s="1509"/>
      <c r="L7" s="1509"/>
      <c r="M7" s="1509"/>
      <c r="N7" s="1509"/>
      <c r="O7" s="1509"/>
      <c r="P7" s="1509"/>
      <c r="Q7" s="1509"/>
      <c r="R7" s="1509"/>
      <c r="S7" s="1509"/>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1799</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5" customHeight="1" x14ac:dyDescent="0.3">
      <c r="A14" s="1289" t="s">
        <v>1359</v>
      </c>
      <c r="B14" s="1289" t="s">
        <v>216</v>
      </c>
      <c r="C14" s="843" t="s">
        <v>81</v>
      </c>
      <c r="D14" s="843" t="s">
        <v>82</v>
      </c>
      <c r="E14" s="843">
        <v>0</v>
      </c>
      <c r="F14" s="32">
        <v>1880385</v>
      </c>
      <c r="G14" s="32">
        <f>+ROUND(F14*1.051,0)</f>
        <v>1976285</v>
      </c>
      <c r="H14" s="32">
        <f>ROUND((E14*F14),0)</f>
        <v>0</v>
      </c>
      <c r="I14" s="32">
        <f>+ROUND(G14*E14,0)</f>
        <v>0</v>
      </c>
      <c r="J14" s="1290" t="s">
        <v>1793</v>
      </c>
      <c r="K14" s="536">
        <v>0</v>
      </c>
      <c r="L14" s="685">
        <f>ROUND(K14*G14,0)</f>
        <v>0</v>
      </c>
      <c r="M14" s="684">
        <v>0</v>
      </c>
      <c r="N14" s="799">
        <v>0</v>
      </c>
      <c r="O14" s="685">
        <f>ROUND(N14*G14,0)</f>
        <v>0</v>
      </c>
      <c r="P14" s="684">
        <v>0</v>
      </c>
      <c r="Q14" s="536">
        <f>K14+N14</f>
        <v>0</v>
      </c>
      <c r="R14" s="685">
        <f>L14+O14</f>
        <v>0</v>
      </c>
      <c r="S14" s="684">
        <v>0</v>
      </c>
    </row>
    <row r="15" spans="1:19" ht="43.2" x14ac:dyDescent="0.3">
      <c r="A15" s="1289"/>
      <c r="B15" s="1289"/>
      <c r="C15" s="843" t="s">
        <v>83</v>
      </c>
      <c r="D15" s="843" t="s">
        <v>84</v>
      </c>
      <c r="E15" s="843">
        <v>0.7</v>
      </c>
      <c r="F15" s="32">
        <v>1845563</v>
      </c>
      <c r="G15" s="32">
        <f>+ROUND(F15*1.051,0)</f>
        <v>1939687</v>
      </c>
      <c r="H15" s="32">
        <f>ROUND((E15*F15),0)</f>
        <v>1291894</v>
      </c>
      <c r="I15" s="32">
        <f>+ROUND(G15*E15,0)</f>
        <v>1357781</v>
      </c>
      <c r="J15" s="1289"/>
      <c r="K15" s="799">
        <v>0</v>
      </c>
      <c r="L15" s="685">
        <f t="shared" ref="L15:L16" si="0">ROUND(K15*G15,0)</f>
        <v>0</v>
      </c>
      <c r="M15" s="684">
        <f>+L15/H15</f>
        <v>0</v>
      </c>
      <c r="N15" s="799">
        <v>0</v>
      </c>
      <c r="O15" s="685">
        <f t="shared" ref="O15:O16" si="1">ROUND(N15*G15,0)</f>
        <v>0</v>
      </c>
      <c r="P15" s="684">
        <f>+O15/I15</f>
        <v>0</v>
      </c>
      <c r="Q15" s="799">
        <f t="shared" ref="Q15:Q33" si="2">K15+N15</f>
        <v>0</v>
      </c>
      <c r="R15" s="685">
        <f t="shared" ref="R15:R34" si="3">L15+O15</f>
        <v>0</v>
      </c>
      <c r="S15" s="684">
        <f>R15/I15</f>
        <v>0</v>
      </c>
    </row>
    <row r="16" spans="1:19" ht="43.2" x14ac:dyDescent="0.3">
      <c r="A16" s="1289"/>
      <c r="B16" s="1289"/>
      <c r="C16" s="843" t="s">
        <v>61</v>
      </c>
      <c r="D16" s="843" t="s">
        <v>85</v>
      </c>
      <c r="E16" s="843">
        <v>0.7</v>
      </c>
      <c r="F16" s="32">
        <v>7312607</v>
      </c>
      <c r="G16" s="32">
        <f>+ROUND(F16*1.051,0)</f>
        <v>7685550</v>
      </c>
      <c r="H16" s="32">
        <f>ROUND((E16*F16),0)</f>
        <v>5118825</v>
      </c>
      <c r="I16" s="32">
        <f>+ROUND(G16*E16,0)</f>
        <v>5379885</v>
      </c>
      <c r="J16" s="1289"/>
      <c r="K16" s="537">
        <f>0.7*70%</f>
        <v>0.48999999999999994</v>
      </c>
      <c r="L16" s="752">
        <f t="shared" si="0"/>
        <v>3765920</v>
      </c>
      <c r="M16" s="753">
        <f>+L16/H16</f>
        <v>0.73570008742240656</v>
      </c>
      <c r="N16" s="891">
        <v>0</v>
      </c>
      <c r="O16" s="685">
        <f t="shared" si="1"/>
        <v>0</v>
      </c>
      <c r="P16" s="684">
        <f t="shared" ref="P16:P34" si="4">+O16/I16</f>
        <v>0</v>
      </c>
      <c r="Q16" s="799">
        <f t="shared" si="2"/>
        <v>0.48999999999999994</v>
      </c>
      <c r="R16" s="685">
        <f t="shared" si="3"/>
        <v>3765920</v>
      </c>
      <c r="S16" s="684">
        <f t="shared" ref="S16:S34" si="5">R16/I16</f>
        <v>0.70000009293878962</v>
      </c>
    </row>
    <row r="17" spans="1:19" x14ac:dyDescent="0.3">
      <c r="A17" s="1289"/>
      <c r="B17" s="1289"/>
      <c r="C17" s="39"/>
      <c r="D17" s="39" t="s">
        <v>86</v>
      </c>
      <c r="E17" s="41"/>
      <c r="F17" s="41"/>
      <c r="G17" s="41"/>
      <c r="H17" s="42">
        <f>SUM(H14:H16)</f>
        <v>6410719</v>
      </c>
      <c r="I17" s="42">
        <f>SUM(I14:I16)</f>
        <v>6737666</v>
      </c>
      <c r="J17" s="1289"/>
      <c r="K17" s="40"/>
      <c r="L17" s="683">
        <f>SUM(L14:L16)</f>
        <v>3765920</v>
      </c>
      <c r="M17" s="519">
        <f>L17/H17</f>
        <v>0.58744112789844638</v>
      </c>
      <c r="N17" s="40"/>
      <c r="O17" s="683">
        <f>SUM(O14:O16)</f>
        <v>0</v>
      </c>
      <c r="P17" s="1100">
        <f t="shared" si="4"/>
        <v>0</v>
      </c>
      <c r="Q17" s="1106">
        <f t="shared" si="2"/>
        <v>0</v>
      </c>
      <c r="R17" s="1107">
        <f t="shared" si="3"/>
        <v>3765920</v>
      </c>
      <c r="S17" s="1100">
        <f t="shared" si="5"/>
        <v>0.5589353939479933</v>
      </c>
    </row>
    <row r="18" spans="1:19" ht="60" customHeight="1" x14ac:dyDescent="0.3">
      <c r="A18" s="1289" t="s">
        <v>1359</v>
      </c>
      <c r="B18" s="1289" t="s">
        <v>195</v>
      </c>
      <c r="C18" s="843" t="s">
        <v>83</v>
      </c>
      <c r="D18" s="843" t="s">
        <v>91</v>
      </c>
      <c r="E18" s="843">
        <v>0.7</v>
      </c>
      <c r="F18" s="32">
        <v>1671452</v>
      </c>
      <c r="G18" s="32">
        <f>+ROUND(F18*1.051,0)</f>
        <v>1756696</v>
      </c>
      <c r="H18" s="32">
        <f>ROUND((E18*F18),0)</f>
        <v>1170016</v>
      </c>
      <c r="I18" s="32">
        <f>+ROUND(G18*E18,0)</f>
        <v>1229687</v>
      </c>
      <c r="J18" s="1290" t="s">
        <v>1794</v>
      </c>
      <c r="K18" s="799">
        <v>0</v>
      </c>
      <c r="L18" s="685">
        <f t="shared" ref="L18:L19" si="6">ROUND(K18*G18,0)</f>
        <v>0</v>
      </c>
      <c r="M18" s="684">
        <f>+L18/H18</f>
        <v>0</v>
      </c>
      <c r="N18" s="799">
        <v>0</v>
      </c>
      <c r="O18" s="685">
        <f>ROUND(N18*G18,0)</f>
        <v>0</v>
      </c>
      <c r="P18" s="684">
        <f t="shared" si="4"/>
        <v>0</v>
      </c>
      <c r="Q18" s="799">
        <f t="shared" si="2"/>
        <v>0</v>
      </c>
      <c r="R18" s="685">
        <f t="shared" si="3"/>
        <v>0</v>
      </c>
      <c r="S18" s="684">
        <f t="shared" si="5"/>
        <v>0</v>
      </c>
    </row>
    <row r="19" spans="1:19" ht="57.75" customHeight="1" x14ac:dyDescent="0.3">
      <c r="A19" s="1289"/>
      <c r="B19" s="1289"/>
      <c r="C19" s="843" t="s">
        <v>61</v>
      </c>
      <c r="D19" s="843" t="s">
        <v>92</v>
      </c>
      <c r="E19" s="843">
        <v>0.7</v>
      </c>
      <c r="F19" s="32">
        <v>6233126</v>
      </c>
      <c r="G19" s="32">
        <f>+ROUND(F19*1.051,0)</f>
        <v>6551015</v>
      </c>
      <c r="H19" s="32">
        <f>ROUND((E19*F19),0)</f>
        <v>4363188</v>
      </c>
      <c r="I19" s="32">
        <f>+ROUND(G19*E19,0)</f>
        <v>4585711</v>
      </c>
      <c r="J19" s="1289"/>
      <c r="K19" s="537">
        <v>0.48999999999999994</v>
      </c>
      <c r="L19" s="752">
        <f t="shared" si="6"/>
        <v>3209997</v>
      </c>
      <c r="M19" s="753">
        <f>+L19/H19</f>
        <v>0.73569990566530707</v>
      </c>
      <c r="N19" s="891">
        <v>0</v>
      </c>
      <c r="O19" s="685">
        <f>ROUND(N19*G19,0)</f>
        <v>0</v>
      </c>
      <c r="P19" s="684">
        <f t="shared" si="4"/>
        <v>0</v>
      </c>
      <c r="Q19" s="799">
        <f t="shared" si="2"/>
        <v>0.48999999999999994</v>
      </c>
      <c r="R19" s="685">
        <f t="shared" si="3"/>
        <v>3209997</v>
      </c>
      <c r="S19" s="684">
        <f t="shared" si="5"/>
        <v>0.69999984735191556</v>
      </c>
    </row>
    <row r="20" spans="1:19" x14ac:dyDescent="0.3">
      <c r="A20" s="1289"/>
      <c r="B20" s="1289"/>
      <c r="C20" s="39"/>
      <c r="D20" s="39" t="s">
        <v>63</v>
      </c>
      <c r="E20" s="41"/>
      <c r="F20" s="41"/>
      <c r="G20" s="41"/>
      <c r="H20" s="42">
        <f>SUM(H18:H19)</f>
        <v>5533204</v>
      </c>
      <c r="I20" s="42">
        <f>SUM(I18:I19)</f>
        <v>5815398</v>
      </c>
      <c r="J20" s="1289"/>
      <c r="K20" s="41"/>
      <c r="L20" s="683">
        <f>SUM(L18:L19)</f>
        <v>3209997</v>
      </c>
      <c r="M20" s="519">
        <f t="shared" ref="M20" si="7">L20/H20</f>
        <v>0.5801334995058921</v>
      </c>
      <c r="N20" s="41"/>
      <c r="O20" s="683">
        <f>SUM(O18:O19)</f>
        <v>0</v>
      </c>
      <c r="P20" s="1100">
        <f t="shared" si="4"/>
        <v>0</v>
      </c>
      <c r="Q20" s="1106">
        <f t="shared" si="2"/>
        <v>0</v>
      </c>
      <c r="R20" s="1107">
        <f t="shared" si="3"/>
        <v>3209997</v>
      </c>
      <c r="S20" s="1100">
        <f t="shared" si="5"/>
        <v>0.55198234067556506</v>
      </c>
    </row>
    <row r="21" spans="1:19" s="638" customFormat="1" ht="45" customHeight="1" x14ac:dyDescent="0.3">
      <c r="A21" s="1289" t="s">
        <v>1358</v>
      </c>
      <c r="B21" s="1289" t="s">
        <v>216</v>
      </c>
      <c r="C21" s="843" t="s">
        <v>81</v>
      </c>
      <c r="D21" s="843" t="s">
        <v>82</v>
      </c>
      <c r="E21" s="843">
        <v>0</v>
      </c>
      <c r="F21" s="32">
        <v>1880385</v>
      </c>
      <c r="G21" s="32">
        <f>+ROUND(F21*1.051,0)</f>
        <v>1976285</v>
      </c>
      <c r="H21" s="32">
        <f>ROUND((E21*F21),0)</f>
        <v>0</v>
      </c>
      <c r="I21" s="32">
        <f>+ROUND(G21*E21,0)</f>
        <v>0</v>
      </c>
      <c r="J21" s="1290" t="s">
        <v>1793</v>
      </c>
      <c r="K21" s="799">
        <v>0</v>
      </c>
      <c r="L21" s="685">
        <f t="shared" ref="L21:L23" si="8">ROUND(K21*G21,0)</f>
        <v>0</v>
      </c>
      <c r="M21" s="684">
        <v>0</v>
      </c>
      <c r="N21" s="799">
        <v>0</v>
      </c>
      <c r="O21" s="685">
        <f>ROUND(N21*G21,0)</f>
        <v>0</v>
      </c>
      <c r="P21" s="684">
        <v>0</v>
      </c>
      <c r="Q21" s="799">
        <f t="shared" si="2"/>
        <v>0</v>
      </c>
      <c r="R21" s="685">
        <f t="shared" si="3"/>
        <v>0</v>
      </c>
      <c r="S21" s="684">
        <v>0</v>
      </c>
    </row>
    <row r="22" spans="1:19" s="638" customFormat="1" ht="43.2" x14ac:dyDescent="0.3">
      <c r="A22" s="1289"/>
      <c r="B22" s="1289"/>
      <c r="C22" s="843" t="s">
        <v>83</v>
      </c>
      <c r="D22" s="843" t="s">
        <v>84</v>
      </c>
      <c r="E22" s="843">
        <v>0.7</v>
      </c>
      <c r="F22" s="32">
        <v>1845563</v>
      </c>
      <c r="G22" s="32">
        <f>+ROUND(F22*1.051,0)</f>
        <v>1939687</v>
      </c>
      <c r="H22" s="32">
        <f>ROUND((E22*F22),0)</f>
        <v>1291894</v>
      </c>
      <c r="I22" s="32">
        <f>+ROUND(G22*E22,0)</f>
        <v>1357781</v>
      </c>
      <c r="J22" s="1289"/>
      <c r="K22" s="799">
        <v>0</v>
      </c>
      <c r="L22" s="685">
        <f t="shared" si="8"/>
        <v>0</v>
      </c>
      <c r="M22" s="684">
        <f>+L22/H22</f>
        <v>0</v>
      </c>
      <c r="N22" s="799">
        <v>0</v>
      </c>
      <c r="O22" s="685">
        <f t="shared" ref="O22:O23" si="9">ROUND(N22*G22,0)</f>
        <v>0</v>
      </c>
      <c r="P22" s="684">
        <f t="shared" si="4"/>
        <v>0</v>
      </c>
      <c r="Q22" s="799">
        <f t="shared" si="2"/>
        <v>0</v>
      </c>
      <c r="R22" s="685">
        <f t="shared" si="3"/>
        <v>0</v>
      </c>
      <c r="S22" s="684">
        <f t="shared" si="5"/>
        <v>0</v>
      </c>
    </row>
    <row r="23" spans="1:19" s="638" customFormat="1" ht="43.2" x14ac:dyDescent="0.3">
      <c r="A23" s="1289"/>
      <c r="B23" s="1289"/>
      <c r="C23" s="843" t="s">
        <v>61</v>
      </c>
      <c r="D23" s="843" t="s">
        <v>85</v>
      </c>
      <c r="E23" s="843">
        <v>0.7</v>
      </c>
      <c r="F23" s="32">
        <v>7312607</v>
      </c>
      <c r="G23" s="32">
        <f>+ROUND(F23*1.051,0)</f>
        <v>7685550</v>
      </c>
      <c r="H23" s="32">
        <f>ROUND((E23*F23),0)</f>
        <v>5118825</v>
      </c>
      <c r="I23" s="32">
        <f>+ROUND(G23*E23,0)</f>
        <v>5379885</v>
      </c>
      <c r="J23" s="1289"/>
      <c r="K23" s="537">
        <f>0.7*70%</f>
        <v>0.48999999999999994</v>
      </c>
      <c r="L23" s="752">
        <f t="shared" si="8"/>
        <v>3765920</v>
      </c>
      <c r="M23" s="753">
        <f>+L23/H23</f>
        <v>0.73570008742240656</v>
      </c>
      <c r="N23" s="891">
        <v>0</v>
      </c>
      <c r="O23" s="685">
        <f t="shared" si="9"/>
        <v>0</v>
      </c>
      <c r="P23" s="684">
        <f t="shared" si="4"/>
        <v>0</v>
      </c>
      <c r="Q23" s="799">
        <f t="shared" si="2"/>
        <v>0.48999999999999994</v>
      </c>
      <c r="R23" s="685">
        <f t="shared" si="3"/>
        <v>3765920</v>
      </c>
      <c r="S23" s="684">
        <f t="shared" si="5"/>
        <v>0.70000009293878962</v>
      </c>
    </row>
    <row r="24" spans="1:19" s="638" customFormat="1" x14ac:dyDescent="0.3">
      <c r="A24" s="1289"/>
      <c r="B24" s="1289"/>
      <c r="C24" s="39"/>
      <c r="D24" s="39" t="s">
        <v>86</v>
      </c>
      <c r="E24" s="41"/>
      <c r="F24" s="41"/>
      <c r="G24" s="41"/>
      <c r="H24" s="42">
        <f>SUM(H21:H23)</f>
        <v>6410719</v>
      </c>
      <c r="I24" s="42">
        <f>SUM(I21:I23)</f>
        <v>6737666</v>
      </c>
      <c r="J24" s="1289"/>
      <c r="K24" s="40"/>
      <c r="L24" s="683">
        <f>SUM(L21:L23)</f>
        <v>3765920</v>
      </c>
      <c r="M24" s="519">
        <f t="shared" ref="M24:M27" si="10">L24/H24</f>
        <v>0.58744112789844638</v>
      </c>
      <c r="N24" s="40"/>
      <c r="O24" s="683">
        <f>SUM(O21:O23)</f>
        <v>0</v>
      </c>
      <c r="P24" s="1100">
        <f t="shared" si="4"/>
        <v>0</v>
      </c>
      <c r="Q24" s="1106">
        <f t="shared" si="2"/>
        <v>0</v>
      </c>
      <c r="R24" s="1107">
        <f t="shared" si="3"/>
        <v>3765920</v>
      </c>
      <c r="S24" s="1100">
        <f t="shared" si="5"/>
        <v>0.5589353939479933</v>
      </c>
    </row>
    <row r="25" spans="1:19" s="638" customFormat="1" ht="45" customHeight="1" x14ac:dyDescent="0.3">
      <c r="A25" s="1289" t="s">
        <v>1358</v>
      </c>
      <c r="B25" s="1289" t="s">
        <v>195</v>
      </c>
      <c r="C25" s="843" t="s">
        <v>83</v>
      </c>
      <c r="D25" s="843" t="s">
        <v>91</v>
      </c>
      <c r="E25" s="843">
        <v>0.7</v>
      </c>
      <c r="F25" s="32">
        <v>1671452</v>
      </c>
      <c r="G25" s="32">
        <f>+ROUND(F25*1.051,0)</f>
        <v>1756696</v>
      </c>
      <c r="H25" s="32">
        <f>ROUND((E25*F25),0)</f>
        <v>1170016</v>
      </c>
      <c r="I25" s="32">
        <f>+ROUND(G25*E25,0)</f>
        <v>1229687</v>
      </c>
      <c r="J25" s="1290" t="s">
        <v>1794</v>
      </c>
      <c r="K25" s="799">
        <v>0</v>
      </c>
      <c r="L25" s="685">
        <f t="shared" ref="L25:L26" si="11">ROUND(K25*G25,0)</f>
        <v>0</v>
      </c>
      <c r="M25" s="684">
        <f>+L25/H25</f>
        <v>0</v>
      </c>
      <c r="N25" s="799">
        <v>0</v>
      </c>
      <c r="O25" s="685">
        <f>ROUND(N25*G25,0)</f>
        <v>0</v>
      </c>
      <c r="P25" s="684">
        <f t="shared" si="4"/>
        <v>0</v>
      </c>
      <c r="Q25" s="799">
        <f t="shared" si="2"/>
        <v>0</v>
      </c>
      <c r="R25" s="685">
        <f t="shared" si="3"/>
        <v>0</v>
      </c>
      <c r="S25" s="684">
        <f t="shared" si="5"/>
        <v>0</v>
      </c>
    </row>
    <row r="26" spans="1:19" s="638" customFormat="1" ht="53.25" customHeight="1" x14ac:dyDescent="0.3">
      <c r="A26" s="1289"/>
      <c r="B26" s="1289"/>
      <c r="C26" s="843" t="s">
        <v>61</v>
      </c>
      <c r="D26" s="843" t="s">
        <v>92</v>
      </c>
      <c r="E26" s="843">
        <v>0.7</v>
      </c>
      <c r="F26" s="32">
        <v>6233126</v>
      </c>
      <c r="G26" s="32">
        <f>+ROUND(F26*1.051,0)</f>
        <v>6551015</v>
      </c>
      <c r="H26" s="32">
        <f>ROUND((E26*F26),0)</f>
        <v>4363188</v>
      </c>
      <c r="I26" s="32">
        <f>+ROUND(G26*E26,0)</f>
        <v>4585711</v>
      </c>
      <c r="J26" s="1289"/>
      <c r="K26" s="537">
        <f>0.7*70%</f>
        <v>0.48999999999999994</v>
      </c>
      <c r="L26" s="752">
        <f t="shared" si="11"/>
        <v>3209997</v>
      </c>
      <c r="M26" s="753">
        <f>+L26/H26</f>
        <v>0.73569990566530707</v>
      </c>
      <c r="N26" s="891">
        <v>0</v>
      </c>
      <c r="O26" s="685">
        <f>ROUND(N26*G26,0)</f>
        <v>0</v>
      </c>
      <c r="P26" s="684">
        <f t="shared" si="4"/>
        <v>0</v>
      </c>
      <c r="Q26" s="799">
        <f t="shared" si="2"/>
        <v>0.48999999999999994</v>
      </c>
      <c r="R26" s="685">
        <f t="shared" si="3"/>
        <v>3209997</v>
      </c>
      <c r="S26" s="684">
        <f t="shared" si="5"/>
        <v>0.69999984735191556</v>
      </c>
    </row>
    <row r="27" spans="1:19" s="638" customFormat="1" x14ac:dyDescent="0.3">
      <c r="A27" s="1289"/>
      <c r="B27" s="1289"/>
      <c r="C27" s="39"/>
      <c r="D27" s="39" t="s">
        <v>63</v>
      </c>
      <c r="E27" s="41"/>
      <c r="F27" s="41"/>
      <c r="G27" s="41"/>
      <c r="H27" s="42">
        <f>SUM(H25:H26)</f>
        <v>5533204</v>
      </c>
      <c r="I27" s="42">
        <f>SUM(I25:I26)</f>
        <v>5815398</v>
      </c>
      <c r="J27" s="1289"/>
      <c r="K27" s="41"/>
      <c r="L27" s="683">
        <f>SUM(L25:L26)</f>
        <v>3209997</v>
      </c>
      <c r="M27" s="519">
        <f t="shared" si="10"/>
        <v>0.5801334995058921</v>
      </c>
      <c r="N27" s="41"/>
      <c r="O27" s="683">
        <f>SUM(O25:O26)</f>
        <v>0</v>
      </c>
      <c r="P27" s="1100">
        <f t="shared" si="4"/>
        <v>0</v>
      </c>
      <c r="Q27" s="1106">
        <f t="shared" si="2"/>
        <v>0</v>
      </c>
      <c r="R27" s="1107">
        <f t="shared" si="3"/>
        <v>3209997</v>
      </c>
      <c r="S27" s="1100">
        <f t="shared" si="5"/>
        <v>0.55198234067556506</v>
      </c>
    </row>
    <row r="28" spans="1:19" s="638" customFormat="1" ht="45" customHeight="1" x14ac:dyDescent="0.3">
      <c r="A28" s="1289" t="s">
        <v>237</v>
      </c>
      <c r="B28" s="1289" t="s">
        <v>216</v>
      </c>
      <c r="C28" s="843" t="s">
        <v>81</v>
      </c>
      <c r="D28" s="843" t="s">
        <v>82</v>
      </c>
      <c r="E28" s="843">
        <v>0</v>
      </c>
      <c r="F28" s="32">
        <v>1880385</v>
      </c>
      <c r="G28" s="32">
        <f>+ROUND(F28*1.051,0)</f>
        <v>1976285</v>
      </c>
      <c r="H28" s="32">
        <f>ROUND((E28*F28),0)</f>
        <v>0</v>
      </c>
      <c r="I28" s="32">
        <f t="shared" ref="I28:I30" si="12">+ROUND(G28*E28,0)</f>
        <v>0</v>
      </c>
      <c r="J28" s="1290" t="s">
        <v>1793</v>
      </c>
      <c r="K28" s="799">
        <v>0</v>
      </c>
      <c r="L28" s="685">
        <f t="shared" ref="L28:L30" si="13">ROUND(K28*G28,0)</f>
        <v>0</v>
      </c>
      <c r="M28" s="684">
        <v>0</v>
      </c>
      <c r="N28" s="799">
        <v>0</v>
      </c>
      <c r="O28" s="685">
        <f>ROUND(N28*G28,0)</f>
        <v>0</v>
      </c>
      <c r="P28" s="684">
        <v>0</v>
      </c>
      <c r="Q28" s="799">
        <f t="shared" si="2"/>
        <v>0</v>
      </c>
      <c r="R28" s="685">
        <f t="shared" si="3"/>
        <v>0</v>
      </c>
      <c r="S28" s="684">
        <v>0</v>
      </c>
    </row>
    <row r="29" spans="1:19" s="638" customFormat="1" ht="43.2" x14ac:dyDescent="0.3">
      <c r="A29" s="1289"/>
      <c r="B29" s="1289"/>
      <c r="C29" s="843" t="s">
        <v>83</v>
      </c>
      <c r="D29" s="843" t="s">
        <v>84</v>
      </c>
      <c r="E29" s="843">
        <v>0.7</v>
      </c>
      <c r="F29" s="32">
        <v>1845563</v>
      </c>
      <c r="G29" s="32">
        <f>+ROUND(F29*1.051,0)</f>
        <v>1939687</v>
      </c>
      <c r="H29" s="32">
        <f>ROUND((E29*F29),0)</f>
        <v>1291894</v>
      </c>
      <c r="I29" s="32">
        <f t="shared" si="12"/>
        <v>1357781</v>
      </c>
      <c r="J29" s="1289"/>
      <c r="K29" s="799">
        <v>0</v>
      </c>
      <c r="L29" s="685">
        <f t="shared" si="13"/>
        <v>0</v>
      </c>
      <c r="M29" s="684">
        <f>+L29/H29</f>
        <v>0</v>
      </c>
      <c r="N29" s="799">
        <v>0</v>
      </c>
      <c r="O29" s="685">
        <f t="shared" ref="O29:O30" si="14">ROUND(N29*G29,0)</f>
        <v>0</v>
      </c>
      <c r="P29" s="684">
        <f t="shared" si="4"/>
        <v>0</v>
      </c>
      <c r="Q29" s="799">
        <f t="shared" si="2"/>
        <v>0</v>
      </c>
      <c r="R29" s="685">
        <f t="shared" si="3"/>
        <v>0</v>
      </c>
      <c r="S29" s="684">
        <f t="shared" si="5"/>
        <v>0</v>
      </c>
    </row>
    <row r="30" spans="1:19" s="638" customFormat="1" ht="43.2" x14ac:dyDescent="0.3">
      <c r="A30" s="1289"/>
      <c r="B30" s="1289"/>
      <c r="C30" s="843" t="s">
        <v>61</v>
      </c>
      <c r="D30" s="843" t="s">
        <v>85</v>
      </c>
      <c r="E30" s="843">
        <v>0.7</v>
      </c>
      <c r="F30" s="32">
        <v>7312607</v>
      </c>
      <c r="G30" s="32">
        <f>+ROUND(F30*1.051,0)</f>
        <v>7685550</v>
      </c>
      <c r="H30" s="32">
        <f>ROUND((E30*F30),0)</f>
        <v>5118825</v>
      </c>
      <c r="I30" s="32">
        <f t="shared" si="12"/>
        <v>5379885</v>
      </c>
      <c r="J30" s="1289"/>
      <c r="K30" s="799">
        <v>0</v>
      </c>
      <c r="L30" s="685">
        <f t="shared" si="13"/>
        <v>0</v>
      </c>
      <c r="M30" s="684">
        <f>+L30/H30</f>
        <v>0</v>
      </c>
      <c r="N30" s="799">
        <v>0</v>
      </c>
      <c r="O30" s="685">
        <f t="shared" si="14"/>
        <v>0</v>
      </c>
      <c r="P30" s="684">
        <f t="shared" si="4"/>
        <v>0</v>
      </c>
      <c r="Q30" s="799">
        <f t="shared" si="2"/>
        <v>0</v>
      </c>
      <c r="R30" s="685">
        <f t="shared" si="3"/>
        <v>0</v>
      </c>
      <c r="S30" s="684">
        <f t="shared" si="5"/>
        <v>0</v>
      </c>
    </row>
    <row r="31" spans="1:19" s="638" customFormat="1" x14ac:dyDescent="0.3">
      <c r="A31" s="1289"/>
      <c r="B31" s="1289"/>
      <c r="C31" s="39"/>
      <c r="D31" s="39" t="s">
        <v>86</v>
      </c>
      <c r="E31" s="41"/>
      <c r="F31" s="41"/>
      <c r="G31" s="41"/>
      <c r="H31" s="42">
        <f>SUM(H28:H30)</f>
        <v>6410719</v>
      </c>
      <c r="I31" s="42">
        <f>SUM(I28:I30)</f>
        <v>6737666</v>
      </c>
      <c r="J31" s="1289"/>
      <c r="K31" s="40"/>
      <c r="L31" s="683">
        <f>SUM(L28:L30)</f>
        <v>0</v>
      </c>
      <c r="M31" s="519">
        <f t="shared" ref="M31:M34" si="15">L31/H31</f>
        <v>0</v>
      </c>
      <c r="N31" s="40"/>
      <c r="O31" s="683">
        <f>SUM(O28:O30)</f>
        <v>0</v>
      </c>
      <c r="P31" s="1100">
        <f t="shared" si="4"/>
        <v>0</v>
      </c>
      <c r="Q31" s="1106">
        <f t="shared" si="2"/>
        <v>0</v>
      </c>
      <c r="R31" s="1107">
        <f t="shared" si="3"/>
        <v>0</v>
      </c>
      <c r="S31" s="1100">
        <f t="shared" si="5"/>
        <v>0</v>
      </c>
    </row>
    <row r="32" spans="1:19" s="638" customFormat="1" ht="36" customHeight="1" x14ac:dyDescent="0.3">
      <c r="A32" s="1289" t="s">
        <v>237</v>
      </c>
      <c r="B32" s="1289" t="s">
        <v>195</v>
      </c>
      <c r="C32" s="843" t="s">
        <v>83</v>
      </c>
      <c r="D32" s="843" t="s">
        <v>91</v>
      </c>
      <c r="E32" s="843">
        <v>0.7</v>
      </c>
      <c r="F32" s="32">
        <v>1671452</v>
      </c>
      <c r="G32" s="32">
        <f>+ROUND(F32*1.051,0)</f>
        <v>1756696</v>
      </c>
      <c r="H32" s="32">
        <f>ROUND((E32*F32),0)</f>
        <v>1170016</v>
      </c>
      <c r="I32" s="32">
        <f>+ROUND(G32*E32,0)</f>
        <v>1229687</v>
      </c>
      <c r="J32" s="1290" t="s">
        <v>1794</v>
      </c>
      <c r="K32" s="799">
        <v>0</v>
      </c>
      <c r="L32" s="685">
        <f t="shared" ref="L32:L33" si="16">ROUND(K32*G32,0)</f>
        <v>0</v>
      </c>
      <c r="M32" s="684">
        <f t="shared" ref="M32:M33" si="17">+L32/H32</f>
        <v>0</v>
      </c>
      <c r="N32" s="799">
        <v>0</v>
      </c>
      <c r="O32" s="685">
        <f>ROUND(N32*G32,0)</f>
        <v>0</v>
      </c>
      <c r="P32" s="684">
        <f t="shared" si="4"/>
        <v>0</v>
      </c>
      <c r="Q32" s="799">
        <f t="shared" si="2"/>
        <v>0</v>
      </c>
      <c r="R32" s="685">
        <f t="shared" si="3"/>
        <v>0</v>
      </c>
      <c r="S32" s="684">
        <f t="shared" si="5"/>
        <v>0</v>
      </c>
    </row>
    <row r="33" spans="1:19" s="638" customFormat="1" ht="57" customHeight="1" x14ac:dyDescent="0.3">
      <c r="A33" s="1289"/>
      <c r="B33" s="1289"/>
      <c r="C33" s="843" t="s">
        <v>61</v>
      </c>
      <c r="D33" s="843" t="s">
        <v>92</v>
      </c>
      <c r="E33" s="843">
        <v>0.7</v>
      </c>
      <c r="F33" s="32">
        <v>6233126</v>
      </c>
      <c r="G33" s="32">
        <f>+ROUND(F33*1.051,0)</f>
        <v>6551015</v>
      </c>
      <c r="H33" s="32">
        <f>ROUND((E33*F33),0)</f>
        <v>4363188</v>
      </c>
      <c r="I33" s="32">
        <f>+ROUND(G33*E33,0)</f>
        <v>4585711</v>
      </c>
      <c r="J33" s="1289"/>
      <c r="K33" s="799">
        <v>0</v>
      </c>
      <c r="L33" s="685">
        <f t="shared" si="16"/>
        <v>0</v>
      </c>
      <c r="M33" s="684">
        <f t="shared" si="17"/>
        <v>0</v>
      </c>
      <c r="N33" s="799">
        <v>0</v>
      </c>
      <c r="O33" s="685">
        <f>ROUND(N33*G33,0)</f>
        <v>0</v>
      </c>
      <c r="P33" s="684">
        <f t="shared" si="4"/>
        <v>0</v>
      </c>
      <c r="Q33" s="799">
        <f t="shared" si="2"/>
        <v>0</v>
      </c>
      <c r="R33" s="685">
        <f t="shared" si="3"/>
        <v>0</v>
      </c>
      <c r="S33" s="684">
        <f t="shared" si="5"/>
        <v>0</v>
      </c>
    </row>
    <row r="34" spans="1:19" s="638" customFormat="1" x14ac:dyDescent="0.3">
      <c r="A34" s="1289"/>
      <c r="B34" s="1289"/>
      <c r="C34" s="39"/>
      <c r="D34" s="39" t="s">
        <v>63</v>
      </c>
      <c r="E34" s="41"/>
      <c r="F34" s="41"/>
      <c r="G34" s="41"/>
      <c r="H34" s="42">
        <f>SUM(H32:H33)</f>
        <v>5533204</v>
      </c>
      <c r="I34" s="42">
        <f>SUM(I32:I33)</f>
        <v>5815398</v>
      </c>
      <c r="J34" s="1289"/>
      <c r="K34" s="41"/>
      <c r="L34" s="683">
        <f>SUM(L32:L33)</f>
        <v>0</v>
      </c>
      <c r="M34" s="519">
        <f t="shared" si="15"/>
        <v>0</v>
      </c>
      <c r="N34" s="41"/>
      <c r="O34" s="683">
        <f>SUM(O32:O33)</f>
        <v>0</v>
      </c>
      <c r="P34" s="1100">
        <f t="shared" si="4"/>
        <v>0</v>
      </c>
      <c r="Q34" s="1108"/>
      <c r="R34" s="1107">
        <f t="shared" si="3"/>
        <v>0</v>
      </c>
      <c r="S34" s="1100">
        <f t="shared" si="5"/>
        <v>0</v>
      </c>
    </row>
    <row r="35" spans="1:19" x14ac:dyDescent="0.3">
      <c r="A35" s="638"/>
      <c r="B35" s="638"/>
      <c r="C35" s="638"/>
      <c r="D35" s="638"/>
      <c r="E35" s="638"/>
      <c r="F35" s="686" t="s">
        <v>1740</v>
      </c>
      <c r="G35" s="686"/>
      <c r="H35" s="687">
        <f>0+H17+H20+H24+H27+H31+H34</f>
        <v>35831769</v>
      </c>
      <c r="I35" s="687">
        <f>0+I17+I20+I24+I27+I31+I34</f>
        <v>37659192</v>
      </c>
      <c r="J35" s="638"/>
      <c r="K35" s="547" t="s">
        <v>64</v>
      </c>
      <c r="L35" s="688">
        <f>SUM(L14:L34)/2</f>
        <v>13951834</v>
      </c>
      <c r="M35" s="638"/>
      <c r="N35" s="547" t="s">
        <v>64</v>
      </c>
      <c r="O35" s="688">
        <f>SUM(O14:O34)/2</f>
        <v>0</v>
      </c>
      <c r="Q35" s="547" t="s">
        <v>64</v>
      </c>
      <c r="R35" s="688">
        <f>SUM(R14:R34)/2</f>
        <v>13951834</v>
      </c>
      <c r="S35" s="638"/>
    </row>
    <row r="36" spans="1:19" ht="26.4" x14ac:dyDescent="0.3">
      <c r="A36" s="638"/>
      <c r="B36" s="638"/>
      <c r="C36" s="638"/>
      <c r="D36" s="638"/>
      <c r="E36" s="638"/>
      <c r="F36" s="444" t="s">
        <v>65</v>
      </c>
      <c r="G36" s="444"/>
      <c r="H36" s="181">
        <v>0</v>
      </c>
      <c r="I36" s="181">
        <v>0</v>
      </c>
      <c r="J36" s="638"/>
      <c r="K36" s="548" t="s">
        <v>65</v>
      </c>
      <c r="L36" s="481"/>
      <c r="M36" s="638"/>
      <c r="N36" s="548" t="s">
        <v>65</v>
      </c>
      <c r="O36" s="481"/>
      <c r="Q36" s="548" t="s">
        <v>65</v>
      </c>
      <c r="R36" s="481"/>
      <c r="S36" s="638"/>
    </row>
    <row r="37" spans="1:19" x14ac:dyDescent="0.3">
      <c r="A37" s="638"/>
      <c r="B37" s="638"/>
      <c r="C37" s="638"/>
      <c r="D37" s="638"/>
      <c r="E37" s="638"/>
      <c r="F37" s="443" t="s">
        <v>1740</v>
      </c>
      <c r="G37" s="443"/>
      <c r="H37" s="340">
        <f>+H36+H35</f>
        <v>35831769</v>
      </c>
      <c r="I37" s="340">
        <f>+I36+I35</f>
        <v>37659192</v>
      </c>
      <c r="J37" s="638"/>
      <c r="K37" s="549" t="s">
        <v>64</v>
      </c>
      <c r="L37" s="481">
        <f>L35+L36</f>
        <v>13951834</v>
      </c>
      <c r="M37" s="638"/>
      <c r="N37" s="549" t="s">
        <v>64</v>
      </c>
      <c r="O37" s="481">
        <f>O35+O36</f>
        <v>0</v>
      </c>
      <c r="Q37" s="549" t="s">
        <v>64</v>
      </c>
      <c r="R37" s="481">
        <f>R35+R36</f>
        <v>13951834</v>
      </c>
      <c r="S37" s="638"/>
    </row>
    <row r="38" spans="1:19" ht="26.4" x14ac:dyDescent="0.3">
      <c r="A38" s="638"/>
      <c r="B38" s="638"/>
      <c r="C38" s="638"/>
      <c r="D38" s="638"/>
      <c r="E38" s="638"/>
      <c r="F38" s="659"/>
      <c r="G38" s="659"/>
      <c r="H38" s="659"/>
      <c r="I38" s="659"/>
      <c r="J38" s="638"/>
      <c r="K38" s="501" t="s">
        <v>1439</v>
      </c>
      <c r="L38" s="481">
        <f>ROUND(L37*0.015,0)</f>
        <v>209278</v>
      </c>
      <c r="M38" s="638"/>
      <c r="N38" s="501" t="s">
        <v>1439</v>
      </c>
      <c r="O38" s="481">
        <f>ROUND(O37*0.015,0)</f>
        <v>0</v>
      </c>
      <c r="Q38" s="501" t="s">
        <v>1439</v>
      </c>
      <c r="R38" s="481">
        <f>L38+O38</f>
        <v>209278</v>
      </c>
      <c r="S38" s="638"/>
    </row>
    <row r="39" spans="1:19" ht="39.6" x14ac:dyDescent="0.3">
      <c r="A39" s="638"/>
      <c r="B39" s="638"/>
      <c r="C39" s="638"/>
      <c r="D39" s="638"/>
      <c r="E39" s="638"/>
      <c r="F39" s="659"/>
      <c r="G39" s="659"/>
      <c r="H39" s="659"/>
      <c r="I39" s="659"/>
      <c r="J39" s="638"/>
      <c r="K39" s="96" t="s">
        <v>1440</v>
      </c>
      <c r="L39" s="425">
        <f>L37+L38</f>
        <v>14161112</v>
      </c>
      <c r="M39" s="678">
        <f>L39/H35</f>
        <v>0.39521107651704274</v>
      </c>
      <c r="N39" s="96" t="s">
        <v>1440</v>
      </c>
      <c r="O39" s="425">
        <f>O37+O38</f>
        <v>0</v>
      </c>
      <c r="P39" s="678">
        <f>O39/H35</f>
        <v>0</v>
      </c>
      <c r="Q39" s="96" t="s">
        <v>1440</v>
      </c>
      <c r="R39" s="425">
        <f>R37+R38</f>
        <v>14161112</v>
      </c>
      <c r="S39" s="678">
        <f>R39/H37</f>
        <v>0.39521107651704274</v>
      </c>
    </row>
    <row r="40" spans="1:19" x14ac:dyDescent="0.3">
      <c r="A40" s="638"/>
      <c r="B40" s="638"/>
      <c r="C40" s="638"/>
      <c r="D40" s="638"/>
      <c r="E40" s="638"/>
      <c r="F40" s="442" t="s">
        <v>66</v>
      </c>
      <c r="G40" s="442"/>
      <c r="H40" s="181">
        <f>+H35*19%</f>
        <v>6808036.1100000003</v>
      </c>
      <c r="I40" s="181">
        <f>+I35*19%</f>
        <v>7155246.4800000004</v>
      </c>
      <c r="J40" s="638"/>
      <c r="K40" s="551" t="s">
        <v>66</v>
      </c>
      <c r="L40" s="672">
        <f>L39*0.19</f>
        <v>2690611.2800000003</v>
      </c>
      <c r="M40" s="638"/>
      <c r="N40" s="551" t="s">
        <v>66</v>
      </c>
      <c r="O40" s="672">
        <f>O39*0.19</f>
        <v>0</v>
      </c>
      <c r="Q40" s="551" t="s">
        <v>66</v>
      </c>
      <c r="R40" s="672">
        <f>R39*0.19</f>
        <v>2690611.2800000003</v>
      </c>
      <c r="S40" s="638"/>
    </row>
    <row r="41" spans="1:19" x14ac:dyDescent="0.3">
      <c r="A41" s="638"/>
      <c r="B41" s="638"/>
      <c r="C41" s="638"/>
      <c r="D41" s="638"/>
      <c r="E41" s="638"/>
      <c r="F41" s="441" t="s">
        <v>69</v>
      </c>
      <c r="G41" s="441"/>
      <c r="H41" s="181">
        <f>+H35+H40</f>
        <v>42639805.109999999</v>
      </c>
      <c r="I41" s="181">
        <f>+I35+I40</f>
        <v>44814438.480000004</v>
      </c>
      <c r="J41" s="638"/>
      <c r="K41" s="552" t="s">
        <v>69</v>
      </c>
      <c r="L41" s="672">
        <f>L39+L40</f>
        <v>16851723.280000001</v>
      </c>
      <c r="M41" s="638"/>
      <c r="N41" s="552" t="s">
        <v>69</v>
      </c>
      <c r="O41" s="672">
        <f>O39+O40</f>
        <v>0</v>
      </c>
      <c r="Q41" s="552" t="s">
        <v>69</v>
      </c>
      <c r="R41" s="672">
        <f>R39+R40</f>
        <v>16851723.280000001</v>
      </c>
      <c r="S41" s="638"/>
    </row>
    <row r="42" spans="1:19" x14ac:dyDescent="0.3">
      <c r="A42" s="638"/>
      <c r="B42" s="638"/>
      <c r="C42" s="638"/>
      <c r="D42" s="638"/>
      <c r="E42" s="638"/>
      <c r="F42" s="638"/>
      <c r="H42" s="638"/>
      <c r="J42" s="638"/>
      <c r="K42" s="638"/>
      <c r="L42" s="638"/>
      <c r="M42" s="638"/>
      <c r="Q42" s="638"/>
      <c r="R42" s="638"/>
      <c r="S42" s="638"/>
    </row>
    <row r="43" spans="1:19" ht="24.75" customHeight="1" x14ac:dyDescent="0.3">
      <c r="A43" s="665" t="s">
        <v>67</v>
      </c>
      <c r="B43" s="184"/>
      <c r="C43" s="184"/>
      <c r="D43" s="185" t="s">
        <v>68</v>
      </c>
      <c r="E43" s="638"/>
      <c r="F43" s="638"/>
      <c r="H43" s="638"/>
      <c r="J43" s="638"/>
      <c r="K43" s="186" t="s">
        <v>70</v>
      </c>
      <c r="L43" s="187" t="s">
        <v>71</v>
      </c>
      <c r="M43" s="186" t="s">
        <v>58</v>
      </c>
      <c r="N43" s="186" t="s">
        <v>70</v>
      </c>
      <c r="O43" s="187" t="s">
        <v>71</v>
      </c>
      <c r="P43" s="186" t="s">
        <v>58</v>
      </c>
      <c r="Q43" s="638"/>
      <c r="R43" s="638"/>
      <c r="S43" s="638"/>
    </row>
    <row r="44" spans="1:19" x14ac:dyDescent="0.3">
      <c r="A44" s="665"/>
      <c r="B44" s="184"/>
      <c r="C44" s="184"/>
      <c r="D44" s="185"/>
      <c r="E44" s="638"/>
      <c r="F44" s="638"/>
      <c r="H44" s="638"/>
      <c r="J44" s="638"/>
      <c r="K44" s="69" t="s">
        <v>72</v>
      </c>
      <c r="L44" s="70">
        <f>L39</f>
        <v>14161112</v>
      </c>
      <c r="M44" s="360">
        <f>M39</f>
        <v>0.39521107651704274</v>
      </c>
      <c r="N44" s="69" t="s">
        <v>72</v>
      </c>
      <c r="O44" s="70">
        <f>$L$39</f>
        <v>14161112</v>
      </c>
      <c r="P44" s="360">
        <f>$M$39</f>
        <v>0.39521107651704274</v>
      </c>
      <c r="Q44" s="638"/>
      <c r="R44" s="638"/>
      <c r="S44" s="638"/>
    </row>
    <row r="45" spans="1:19" x14ac:dyDescent="0.3">
      <c r="A45" s="665"/>
      <c r="B45" s="184"/>
      <c r="C45" s="184"/>
      <c r="D45" s="185"/>
      <c r="E45" s="638"/>
      <c r="F45" s="638"/>
      <c r="H45" s="638"/>
      <c r="J45" s="638"/>
      <c r="K45" s="72" t="s">
        <v>1</v>
      </c>
      <c r="L45" s="105">
        <f>L44</f>
        <v>14161112</v>
      </c>
      <c r="M45" s="361">
        <f>M44</f>
        <v>0.39521107651704274</v>
      </c>
      <c r="N45" s="69" t="s">
        <v>73</v>
      </c>
      <c r="O45" s="70">
        <f>$O$39</f>
        <v>0</v>
      </c>
      <c r="P45" s="360">
        <f>$P$39</f>
        <v>0</v>
      </c>
      <c r="Q45" s="638"/>
      <c r="R45" s="638"/>
      <c r="S45" s="638"/>
    </row>
    <row r="46" spans="1:19" x14ac:dyDescent="0.3">
      <c r="A46" s="665"/>
      <c r="B46" s="184"/>
      <c r="C46" s="184"/>
      <c r="D46" s="185"/>
      <c r="E46" s="638"/>
      <c r="F46" s="638"/>
      <c r="H46" s="638"/>
      <c r="J46" s="638"/>
      <c r="K46" s="72" t="s">
        <v>9</v>
      </c>
      <c r="L46" s="1423"/>
      <c r="M46" s="1424"/>
      <c r="N46" s="72" t="s">
        <v>1</v>
      </c>
      <c r="O46" s="105">
        <f>SUM(O44:O45)</f>
        <v>14161112</v>
      </c>
      <c r="P46" s="361">
        <f>SUM(P44:P45)</f>
        <v>0.39521107651704274</v>
      </c>
      <c r="Q46" s="638"/>
      <c r="R46" s="638"/>
      <c r="S46" s="638"/>
    </row>
    <row r="47" spans="1:19" x14ac:dyDescent="0.3">
      <c r="A47" s="665"/>
      <c r="B47" s="184"/>
      <c r="C47" s="184"/>
      <c r="D47" s="185"/>
      <c r="E47" s="638"/>
      <c r="F47" s="638"/>
      <c r="H47" s="638"/>
      <c r="J47" s="638"/>
      <c r="K47" s="440" t="s">
        <v>78</v>
      </c>
      <c r="L47" s="1423" t="s">
        <v>1605</v>
      </c>
      <c r="M47" s="1424"/>
      <c r="N47" s="72" t="s">
        <v>9</v>
      </c>
      <c r="O47" s="1423"/>
      <c r="P47" s="1424"/>
      <c r="Q47" s="638"/>
      <c r="R47" s="638"/>
      <c r="S47" s="638"/>
    </row>
    <row r="48" spans="1:19" x14ac:dyDescent="0.3">
      <c r="A48" s="665"/>
      <c r="B48" s="184"/>
      <c r="C48" s="184"/>
      <c r="D48" s="185"/>
      <c r="E48" s="638"/>
      <c r="F48" s="638"/>
      <c r="H48" s="638"/>
      <c r="J48" s="638"/>
      <c r="K48" s="439" t="s">
        <v>8</v>
      </c>
      <c r="L48" s="1425" t="s">
        <v>1604</v>
      </c>
      <c r="M48" s="1426"/>
      <c r="N48" s="440" t="s">
        <v>78</v>
      </c>
      <c r="O48" s="1423" t="s">
        <v>1605</v>
      </c>
      <c r="P48" s="1424"/>
      <c r="Q48" s="638"/>
      <c r="R48" s="638"/>
      <c r="S48" s="638"/>
    </row>
    <row r="49" spans="1:19" x14ac:dyDescent="0.3">
      <c r="A49" s="665"/>
      <c r="B49" s="184"/>
      <c r="C49" s="184"/>
      <c r="D49" s="185" t="s">
        <v>75</v>
      </c>
      <c r="E49" s="638"/>
      <c r="F49" s="638"/>
      <c r="H49" s="638"/>
      <c r="J49" s="638"/>
      <c r="K49" s="638"/>
      <c r="L49" s="638"/>
      <c r="M49" s="638"/>
      <c r="N49" s="439" t="s">
        <v>8</v>
      </c>
      <c r="O49" s="1425" t="s">
        <v>1604</v>
      </c>
      <c r="P49" s="1426"/>
      <c r="Q49" s="638"/>
      <c r="R49" s="638"/>
      <c r="S49" s="638"/>
    </row>
    <row r="50" spans="1:19" x14ac:dyDescent="0.3">
      <c r="A50" s="665" t="s">
        <v>76</v>
      </c>
      <c r="B50" s="180"/>
      <c r="C50" s="180"/>
      <c r="D50" s="185" t="s">
        <v>77</v>
      </c>
      <c r="E50" s="638"/>
      <c r="F50" s="638"/>
      <c r="H50" s="638"/>
      <c r="J50" s="638"/>
      <c r="K50" s="638"/>
      <c r="L50" s="638"/>
      <c r="M50" s="638"/>
      <c r="Q50" s="638"/>
      <c r="R50" s="638"/>
      <c r="S50" s="638"/>
    </row>
    <row r="51" spans="1:19" x14ac:dyDescent="0.3">
      <c r="A51" s="665" t="s">
        <v>79</v>
      </c>
      <c r="B51" s="180"/>
      <c r="C51" s="180"/>
      <c r="D51" s="185" t="s">
        <v>80</v>
      </c>
      <c r="E51" s="638"/>
      <c r="F51" s="638"/>
      <c r="H51" s="638"/>
      <c r="J51" s="638"/>
      <c r="K51" s="638"/>
      <c r="L51" s="638"/>
      <c r="M51" s="638"/>
      <c r="Q51" s="638"/>
      <c r="R51" s="638"/>
      <c r="S51" s="638"/>
    </row>
  </sheetData>
  <mergeCells count="40">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7"/>
    <mergeCell ref="B14:B17"/>
    <mergeCell ref="J14:J17"/>
    <mergeCell ref="A18:A20"/>
    <mergeCell ref="B18:B20"/>
    <mergeCell ref="J18:J20"/>
    <mergeCell ref="A28:A31"/>
    <mergeCell ref="B28:B31"/>
    <mergeCell ref="J28:J31"/>
    <mergeCell ref="A32:A34"/>
    <mergeCell ref="B32:B34"/>
    <mergeCell ref="J32:J34"/>
    <mergeCell ref="A21:A24"/>
    <mergeCell ref="B21:B24"/>
    <mergeCell ref="J21:J24"/>
    <mergeCell ref="A25:A27"/>
    <mergeCell ref="B25:B27"/>
    <mergeCell ref="J25:J27"/>
    <mergeCell ref="O47:P47"/>
    <mergeCell ref="O48:P48"/>
    <mergeCell ref="O49:P49"/>
    <mergeCell ref="L46:M46"/>
    <mergeCell ref="L47:M47"/>
    <mergeCell ref="L48:M48"/>
  </mergeCells>
  <pageMargins left="0.7" right="0.7" top="0.75" bottom="0.75" header="0.3" footer="0.3"/>
  <pageSetup paperSize="9" scale="35" orientation="landscape" r:id="rId1"/>
  <drawing r:id="rId2"/>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4">
    <tabColor theme="1"/>
  </sheetPr>
  <dimension ref="A1:G49"/>
  <sheetViews>
    <sheetView topLeftCell="A10" zoomScaleNormal="100" zoomScaleSheetLayoutView="80" workbookViewId="0">
      <selection activeCell="G26" sqref="G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RESUMEN!G116</f>
        <v xml:space="preserve">Proyecto:CDIE_CBCCSM_R0178 REPOSICIÓN INTERRUPTORES.
</v>
      </c>
      <c r="C5" s="1281"/>
      <c r="D5" s="1281"/>
      <c r="E5" s="1281"/>
      <c r="F5" s="1281"/>
      <c r="G5" s="1282"/>
    </row>
    <row r="6" spans="1:7" x14ac:dyDescent="0.25">
      <c r="A6" s="1177"/>
      <c r="B6" s="1177"/>
      <c r="C6" s="1177"/>
      <c r="D6" s="1177"/>
      <c r="E6" s="1177"/>
      <c r="F6" s="1177"/>
      <c r="G6" s="1177"/>
    </row>
    <row r="7" spans="1:7" x14ac:dyDescent="0.25">
      <c r="A7" s="271" t="s">
        <v>0</v>
      </c>
      <c r="B7" s="1264" t="str">
        <f>RESUMEN!B116</f>
        <v>D00240791</v>
      </c>
      <c r="C7" s="1265"/>
      <c r="D7" s="1177"/>
      <c r="E7" s="1266" t="s">
        <v>627</v>
      </c>
      <c r="F7" s="1267"/>
      <c r="G7" s="280" t="str">
        <f>RESUMEN!E116</f>
        <v>17-404</v>
      </c>
    </row>
    <row r="8" spans="1:7" x14ac:dyDescent="0.25">
      <c r="A8" s="271" t="s">
        <v>628</v>
      </c>
      <c r="B8" s="1264" t="str">
        <f>RESUMEN!C116</f>
        <v>D00240791000</v>
      </c>
      <c r="C8" s="1265"/>
      <c r="D8" s="1177"/>
      <c r="E8" s="1266" t="s">
        <v>629</v>
      </c>
      <c r="F8" s="1267"/>
      <c r="G8" s="280" t="str">
        <f>RESUMEN!U116</f>
        <v>Acta N° 2: Marzo</v>
      </c>
    </row>
    <row r="9" spans="1:7" x14ac:dyDescent="0.25">
      <c r="A9" s="271" t="s">
        <v>630</v>
      </c>
      <c r="B9" s="1283" t="s">
        <v>631</v>
      </c>
      <c r="C9" s="1265"/>
      <c r="D9" s="1177"/>
      <c r="E9" s="1266" t="s">
        <v>632</v>
      </c>
      <c r="F9" s="1267"/>
      <c r="G9" s="1178">
        <f>RESUMEN!H116</f>
        <v>39780579</v>
      </c>
    </row>
    <row r="10" spans="1:7" x14ac:dyDescent="0.25">
      <c r="A10" s="271" t="s">
        <v>633</v>
      </c>
      <c r="B10" s="1283" t="str">
        <f>RESUMEN!D116</f>
        <v>MOSQUERA</v>
      </c>
      <c r="C10" s="1265"/>
      <c r="D10" s="1177"/>
      <c r="E10" s="1266" t="s">
        <v>634</v>
      </c>
      <c r="F10" s="1267"/>
      <c r="G10" s="1178">
        <f>RESUMEN!R116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",RESUMEN!G116)</f>
        <v xml:space="preserve">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RESUMEN!N116</f>
        <v>0</v>
      </c>
      <c r="F19" s="1248"/>
      <c r="G19" s="1177"/>
    </row>
    <row r="20" spans="1:7" ht="27" customHeight="1" x14ac:dyDescent="0.25">
      <c r="A20" s="1177"/>
      <c r="B20" s="1244" t="s">
        <v>1498</v>
      </c>
      <c r="C20" s="1245"/>
      <c r="D20" s="1246"/>
      <c r="E20" s="1247">
        <f>RESUMEN!P116</f>
        <v>0</v>
      </c>
      <c r="F20" s="1248"/>
      <c r="G20" s="1177"/>
    </row>
    <row r="21" spans="1:7" ht="27" customHeight="1" x14ac:dyDescent="0.25">
      <c r="A21" s="1177"/>
      <c r="B21" s="1244" t="s">
        <v>1499</v>
      </c>
      <c r="C21" s="1245"/>
      <c r="D21" s="1246"/>
      <c r="E21" s="1247">
        <f>RESUMEN!Q116</f>
        <v>0</v>
      </c>
      <c r="F21" s="1248"/>
      <c r="G21" s="1177"/>
    </row>
    <row r="22" spans="1:7" x14ac:dyDescent="0.25">
      <c r="A22" s="1177"/>
      <c r="B22" s="1254" t="s">
        <v>64</v>
      </c>
      <c r="C22" s="1254"/>
      <c r="D22" s="1254"/>
      <c r="E22" s="1255">
        <f>RESUMEN!R116</f>
        <v>0</v>
      </c>
      <c r="F22" s="1255"/>
      <c r="G22" s="1177"/>
    </row>
    <row r="23" spans="1:7" x14ac:dyDescent="0.25">
      <c r="A23" s="1177"/>
      <c r="B23" s="1256" t="s">
        <v>66</v>
      </c>
      <c r="C23" s="1256"/>
      <c r="D23" s="1256"/>
      <c r="E23" s="1257">
        <f>RESUMEN!S116</f>
        <v>0</v>
      </c>
      <c r="F23" s="1257"/>
      <c r="G23" s="1177"/>
    </row>
    <row r="24" spans="1:7" x14ac:dyDescent="0.25">
      <c r="A24" s="1177"/>
      <c r="B24" s="1258" t="s">
        <v>1</v>
      </c>
      <c r="C24" s="1258"/>
      <c r="D24" s="1258"/>
      <c r="E24" s="1259">
        <f>RESUMEN!T116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+'OT17-404 MOSQUERA INT'!N44</f>
        <v>ACTA 1</v>
      </c>
      <c r="C28" s="1253">
        <f>+'OT17-404 MOSQUERA INT'!O44</f>
        <v>10029273</v>
      </c>
      <c r="D28" s="1253"/>
      <c r="E28" s="267">
        <f>+'OT17-404 MOSQUERA INT'!P44</f>
        <v>0.25211480707709155</v>
      </c>
      <c r="F28" s="1177"/>
      <c r="G28" s="1177"/>
    </row>
    <row r="29" spans="1:7" x14ac:dyDescent="0.25">
      <c r="A29" s="1177"/>
      <c r="B29" s="280" t="str">
        <f>+'OT17-404 MOSQUERA INT'!N45</f>
        <v>ACTA 2</v>
      </c>
      <c r="C29" s="1253">
        <f>+'OT17-404 MOSQUERA INT'!O45</f>
        <v>0</v>
      </c>
      <c r="D29" s="1253"/>
      <c r="E29" s="267">
        <f>+'OT17-404 MOSQUERA INT'!P45</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10029273</v>
      </c>
      <c r="D34" s="1251"/>
      <c r="E34" s="264">
        <f>SUM(E28:E33)</f>
        <v>0.25211480707709155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RESUMEN!V116</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5">
    <tabColor rgb="FF72104A"/>
  </sheetPr>
  <dimension ref="A1:S51"/>
  <sheetViews>
    <sheetView topLeftCell="G31" zoomScale="80" zoomScaleNormal="80" workbookViewId="0">
      <selection activeCell="A8" sqref="A8:S8"/>
    </sheetView>
  </sheetViews>
  <sheetFormatPr baseColWidth="10" defaultRowHeight="14.4" x14ac:dyDescent="0.3"/>
  <cols>
    <col min="1" max="1" width="16.88671875" customWidth="1"/>
    <col min="2" max="2" width="32.44140625" bestFit="1" customWidth="1"/>
    <col min="3" max="3" width="25.88671875" customWidth="1"/>
    <col min="4" max="4" width="34.109375" customWidth="1"/>
    <col min="6" max="6" width="17.88671875" bestFit="1" customWidth="1"/>
    <col min="7" max="7" width="16.33203125" style="849" bestFit="1" customWidth="1"/>
    <col min="8" max="8" width="18" bestFit="1" customWidth="1"/>
    <col min="9" max="9" width="17.88671875" style="849" bestFit="1" customWidth="1"/>
    <col min="10" max="10" width="28" customWidth="1"/>
    <col min="11" max="11" width="21.5546875" customWidth="1"/>
    <col min="12" max="12" width="17.88671875" bestFit="1" customWidth="1"/>
    <col min="14" max="14" width="15.88671875" style="1054" customWidth="1"/>
    <col min="15" max="15" width="14.88671875" style="1054" customWidth="1"/>
    <col min="16" max="16" width="11.5546875" style="1054"/>
    <col min="17" max="17" width="23.44140625" customWidth="1"/>
    <col min="18" max="18" width="15.664062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508" t="s">
        <v>1789</v>
      </c>
      <c r="B7" s="1509"/>
      <c r="C7" s="1509"/>
      <c r="D7" s="1509"/>
      <c r="E7" s="1509"/>
      <c r="F7" s="1509"/>
      <c r="G7" s="1509"/>
      <c r="H7" s="1509"/>
      <c r="I7" s="1509"/>
      <c r="J7" s="1509"/>
      <c r="K7" s="1509"/>
      <c r="L7" s="1509"/>
      <c r="M7" s="1509"/>
      <c r="N7" s="1509"/>
      <c r="O7" s="1509"/>
      <c r="P7" s="1509"/>
      <c r="Q7" s="1509"/>
      <c r="R7" s="1509"/>
      <c r="S7" s="1509"/>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1800</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5" customHeight="1" x14ac:dyDescent="0.3">
      <c r="A14" s="1289" t="s">
        <v>1551</v>
      </c>
      <c r="B14" s="1289" t="s">
        <v>216</v>
      </c>
      <c r="C14" s="843" t="s">
        <v>81</v>
      </c>
      <c r="D14" s="843" t="s">
        <v>82</v>
      </c>
      <c r="E14" s="843">
        <v>0.7</v>
      </c>
      <c r="F14" s="32">
        <v>1880385</v>
      </c>
      <c r="G14" s="32">
        <f>+ROUND(F14*1.051,0)</f>
        <v>1976285</v>
      </c>
      <c r="H14" s="32">
        <f>ROUND((E14*F14),0)</f>
        <v>1316270</v>
      </c>
      <c r="I14" s="32">
        <f>+ROUND(G14*E14,0)</f>
        <v>1383400</v>
      </c>
      <c r="J14" s="1290" t="s">
        <v>1795</v>
      </c>
      <c r="K14" s="537">
        <f>0.7*70%</f>
        <v>0.48999999999999994</v>
      </c>
      <c r="L14" s="752">
        <f>ROUND(K14*G14,0)</f>
        <v>968380</v>
      </c>
      <c r="M14" s="753">
        <f>L14/H14</f>
        <v>0.73570012231533044</v>
      </c>
      <c r="N14" s="891">
        <v>0</v>
      </c>
      <c r="O14" s="892">
        <f>ROUND(N14*G14,0)</f>
        <v>0</v>
      </c>
      <c r="P14" s="893">
        <f>O14/I14</f>
        <v>0</v>
      </c>
      <c r="Q14" s="536">
        <f>K14+N14</f>
        <v>0.48999999999999994</v>
      </c>
      <c r="R14" s="685">
        <f>L14+O14</f>
        <v>968380</v>
      </c>
      <c r="S14" s="684">
        <f>R14/I14</f>
        <v>0.7</v>
      </c>
    </row>
    <row r="15" spans="1:19" ht="43.2" x14ac:dyDescent="0.3">
      <c r="A15" s="1289"/>
      <c r="B15" s="1289"/>
      <c r="C15" s="843" t="s">
        <v>83</v>
      </c>
      <c r="D15" s="843" t="s">
        <v>84</v>
      </c>
      <c r="E15" s="843">
        <v>0.7</v>
      </c>
      <c r="F15" s="32">
        <v>1845563</v>
      </c>
      <c r="G15" s="32">
        <f t="shared" ref="G15:G16" si="0">+ROUND(F15*1.051,0)</f>
        <v>1939687</v>
      </c>
      <c r="H15" s="32">
        <f>ROUND((E15*F15),0)</f>
        <v>1291894</v>
      </c>
      <c r="I15" s="32">
        <f t="shared" ref="I15:I16" si="1">+ROUND(G15*E15,0)</f>
        <v>1357781</v>
      </c>
      <c r="J15" s="1289"/>
      <c r="K15" s="799">
        <v>0</v>
      </c>
      <c r="L15" s="685">
        <f t="shared" ref="L15:L16" si="2">ROUND(K15*G15,0)</f>
        <v>0</v>
      </c>
      <c r="M15" s="684">
        <f>L15/H15</f>
        <v>0</v>
      </c>
      <c r="N15" s="799">
        <v>0</v>
      </c>
      <c r="O15" s="892">
        <f t="shared" ref="O15:O16" si="3">ROUND(N15*G15,0)</f>
        <v>0</v>
      </c>
      <c r="P15" s="893">
        <f t="shared" ref="P15:P34" si="4">O15/I15</f>
        <v>0</v>
      </c>
      <c r="Q15" s="799">
        <f t="shared" ref="Q15:Q33" si="5">K15+N15</f>
        <v>0</v>
      </c>
      <c r="R15" s="685">
        <f t="shared" ref="R15:R34" si="6">L15+O15</f>
        <v>0</v>
      </c>
      <c r="S15" s="684">
        <f t="shared" ref="S15:S34" si="7">R15/I15</f>
        <v>0</v>
      </c>
    </row>
    <row r="16" spans="1:19" ht="43.2" x14ac:dyDescent="0.3">
      <c r="A16" s="1289"/>
      <c r="B16" s="1289"/>
      <c r="C16" s="843" t="s">
        <v>61</v>
      </c>
      <c r="D16" s="843" t="s">
        <v>85</v>
      </c>
      <c r="E16" s="843">
        <v>0.7</v>
      </c>
      <c r="F16" s="32">
        <v>7312607</v>
      </c>
      <c r="G16" s="32">
        <f t="shared" si="0"/>
        <v>7685550</v>
      </c>
      <c r="H16" s="32">
        <f>ROUND((E16*F16),0)</f>
        <v>5118825</v>
      </c>
      <c r="I16" s="32">
        <f t="shared" si="1"/>
        <v>5379885</v>
      </c>
      <c r="J16" s="1289"/>
      <c r="K16" s="799">
        <v>0</v>
      </c>
      <c r="L16" s="685">
        <f t="shared" si="2"/>
        <v>0</v>
      </c>
      <c r="M16" s="684">
        <f>L16/H16</f>
        <v>0</v>
      </c>
      <c r="N16" s="799">
        <v>0</v>
      </c>
      <c r="O16" s="892">
        <f t="shared" si="3"/>
        <v>0</v>
      </c>
      <c r="P16" s="893">
        <f t="shared" si="4"/>
        <v>0</v>
      </c>
      <c r="Q16" s="799">
        <f t="shared" si="5"/>
        <v>0</v>
      </c>
      <c r="R16" s="685">
        <f t="shared" si="6"/>
        <v>0</v>
      </c>
      <c r="S16" s="684">
        <f t="shared" si="7"/>
        <v>0</v>
      </c>
    </row>
    <row r="17" spans="1:19" x14ac:dyDescent="0.3">
      <c r="A17" s="1289"/>
      <c r="B17" s="1289"/>
      <c r="C17" s="39"/>
      <c r="D17" s="39" t="s">
        <v>86</v>
      </c>
      <c r="E17" s="41"/>
      <c r="F17" s="41"/>
      <c r="G17" s="41"/>
      <c r="H17" s="42">
        <f>SUM(H14:H16)</f>
        <v>7726989</v>
      </c>
      <c r="I17" s="42">
        <f>SUM(I14:I16)</f>
        <v>8121066</v>
      </c>
      <c r="J17" s="1289"/>
      <c r="K17" s="40"/>
      <c r="L17" s="683">
        <f>SUM(L14:L16)</f>
        <v>968380</v>
      </c>
      <c r="M17" s="519">
        <f t="shared" ref="M17:M34" si="8">L17/H17</f>
        <v>0.12532436632173283</v>
      </c>
      <c r="N17" s="40"/>
      <c r="O17" s="683">
        <f>SUM(O14:O16)</f>
        <v>0</v>
      </c>
      <c r="P17" s="1100">
        <f t="shared" si="4"/>
        <v>0</v>
      </c>
      <c r="Q17" s="1106">
        <f t="shared" si="5"/>
        <v>0</v>
      </c>
      <c r="R17" s="1107">
        <f t="shared" si="6"/>
        <v>968380</v>
      </c>
      <c r="S17" s="1100">
        <f t="shared" si="7"/>
        <v>0.11924296637904433</v>
      </c>
    </row>
    <row r="18" spans="1:19" ht="45" customHeight="1" x14ac:dyDescent="0.3">
      <c r="A18" s="1289" t="s">
        <v>1551</v>
      </c>
      <c r="B18" s="1290" t="s">
        <v>195</v>
      </c>
      <c r="C18" s="843" t="s">
        <v>83</v>
      </c>
      <c r="D18" s="843" t="s">
        <v>91</v>
      </c>
      <c r="E18" s="843">
        <v>0.7</v>
      </c>
      <c r="F18" s="32">
        <v>1671452</v>
      </c>
      <c r="G18" s="32">
        <f t="shared" ref="G18:G19" si="9">+ROUND(F18*1.051,0)</f>
        <v>1756696</v>
      </c>
      <c r="H18" s="32">
        <f>ROUND((E18*F18),0)</f>
        <v>1170016</v>
      </c>
      <c r="I18" s="32">
        <f t="shared" ref="I18:I19" si="10">+ROUND(G18*E18,0)</f>
        <v>1229687</v>
      </c>
      <c r="J18" s="1290" t="s">
        <v>1796</v>
      </c>
      <c r="K18" s="799">
        <v>0</v>
      </c>
      <c r="L18" s="685">
        <f t="shared" ref="L18:L19" si="11">ROUND(K18*G18,0)</f>
        <v>0</v>
      </c>
      <c r="M18" s="684">
        <f t="shared" si="8"/>
        <v>0</v>
      </c>
      <c r="N18" s="799">
        <v>0</v>
      </c>
      <c r="O18" s="685">
        <f>ROUND(N18*G18,0)</f>
        <v>0</v>
      </c>
      <c r="P18" s="893">
        <f t="shared" si="4"/>
        <v>0</v>
      </c>
      <c r="Q18" s="799">
        <f t="shared" si="5"/>
        <v>0</v>
      </c>
      <c r="R18" s="685">
        <f t="shared" si="6"/>
        <v>0</v>
      </c>
      <c r="S18" s="684">
        <f t="shared" si="7"/>
        <v>0</v>
      </c>
    </row>
    <row r="19" spans="1:19" ht="57.6" x14ac:dyDescent="0.3">
      <c r="A19" s="1289"/>
      <c r="B19" s="1289"/>
      <c r="C19" s="843" t="s">
        <v>1797</v>
      </c>
      <c r="D19" s="844" t="s">
        <v>1798</v>
      </c>
      <c r="E19" s="843">
        <v>0.7</v>
      </c>
      <c r="F19" s="32">
        <v>6233126</v>
      </c>
      <c r="G19" s="32">
        <f t="shared" si="9"/>
        <v>6551015</v>
      </c>
      <c r="H19" s="32">
        <f>ROUND((E19*F19),0)</f>
        <v>4363188</v>
      </c>
      <c r="I19" s="32">
        <f t="shared" si="10"/>
        <v>4585711</v>
      </c>
      <c r="J19" s="1289"/>
      <c r="K19" s="799">
        <v>0</v>
      </c>
      <c r="L19" s="685">
        <f t="shared" si="11"/>
        <v>0</v>
      </c>
      <c r="M19" s="684">
        <f t="shared" si="8"/>
        <v>0</v>
      </c>
      <c r="N19" s="799">
        <v>0</v>
      </c>
      <c r="O19" s="685">
        <f>ROUND(N19*G19,0)</f>
        <v>0</v>
      </c>
      <c r="P19" s="893">
        <f t="shared" si="4"/>
        <v>0</v>
      </c>
      <c r="Q19" s="799">
        <f t="shared" si="5"/>
        <v>0</v>
      </c>
      <c r="R19" s="685">
        <f t="shared" si="6"/>
        <v>0</v>
      </c>
      <c r="S19" s="684">
        <f t="shared" si="7"/>
        <v>0</v>
      </c>
    </row>
    <row r="20" spans="1:19" x14ac:dyDescent="0.3">
      <c r="A20" s="1289"/>
      <c r="B20" s="1289"/>
      <c r="C20" s="39"/>
      <c r="D20" s="39" t="s">
        <v>63</v>
      </c>
      <c r="E20" s="41"/>
      <c r="F20" s="41"/>
      <c r="G20" s="41"/>
      <c r="H20" s="42">
        <f>SUM(H18:H19)</f>
        <v>5533204</v>
      </c>
      <c r="I20" s="42">
        <f>SUM(I18:I19)</f>
        <v>5815398</v>
      </c>
      <c r="J20" s="1289"/>
      <c r="K20" s="41"/>
      <c r="L20" s="683">
        <f>SUM(L18:L19)</f>
        <v>0</v>
      </c>
      <c r="M20" s="519">
        <f t="shared" si="8"/>
        <v>0</v>
      </c>
      <c r="N20" s="41"/>
      <c r="O20" s="683">
        <f>SUM(O18:O19)</f>
        <v>0</v>
      </c>
      <c r="P20" s="1100">
        <f t="shared" si="4"/>
        <v>0</v>
      </c>
      <c r="Q20" s="1106">
        <f t="shared" si="5"/>
        <v>0</v>
      </c>
      <c r="R20" s="1107">
        <f t="shared" si="6"/>
        <v>0</v>
      </c>
      <c r="S20" s="1100">
        <f t="shared" si="7"/>
        <v>0</v>
      </c>
    </row>
    <row r="21" spans="1:19" ht="45" customHeight="1" x14ac:dyDescent="0.3">
      <c r="A21" s="1290" t="s">
        <v>1550</v>
      </c>
      <c r="B21" s="1290" t="s">
        <v>216</v>
      </c>
      <c r="C21" s="843" t="s">
        <v>81</v>
      </c>
      <c r="D21" s="843" t="s">
        <v>82</v>
      </c>
      <c r="E21" s="843">
        <v>0.7</v>
      </c>
      <c r="F21" s="32">
        <v>1880385</v>
      </c>
      <c r="G21" s="32">
        <f t="shared" ref="G21:G23" si="12">+ROUND(F21*1.051,0)</f>
        <v>1976285</v>
      </c>
      <c r="H21" s="32">
        <f>ROUND((E21*F21),0)</f>
        <v>1316270</v>
      </c>
      <c r="I21" s="32">
        <f t="shared" ref="I21:I23" si="13">+ROUND(G21*E21,0)</f>
        <v>1383400</v>
      </c>
      <c r="J21" s="1290" t="s">
        <v>1795</v>
      </c>
      <c r="K21" s="537">
        <f>0.7*70%</f>
        <v>0.48999999999999994</v>
      </c>
      <c r="L21" s="752">
        <f t="shared" ref="L21:L23" si="14">ROUND(K21*G21,0)</f>
        <v>968380</v>
      </c>
      <c r="M21" s="753">
        <f>L21/H21</f>
        <v>0.73570012231533044</v>
      </c>
      <c r="N21" s="891">
        <v>0</v>
      </c>
      <c r="O21" s="892">
        <f>ROUND(N21*G21,0)</f>
        <v>0</v>
      </c>
      <c r="P21" s="893">
        <f t="shared" si="4"/>
        <v>0</v>
      </c>
      <c r="Q21" s="799">
        <f t="shared" si="5"/>
        <v>0.48999999999999994</v>
      </c>
      <c r="R21" s="685">
        <f t="shared" si="6"/>
        <v>968380</v>
      </c>
      <c r="S21" s="684">
        <f t="shared" si="7"/>
        <v>0.7</v>
      </c>
    </row>
    <row r="22" spans="1:19" ht="43.2" x14ac:dyDescent="0.3">
      <c r="A22" s="1289"/>
      <c r="B22" s="1289"/>
      <c r="C22" s="843" t="s">
        <v>83</v>
      </c>
      <c r="D22" s="843" t="s">
        <v>84</v>
      </c>
      <c r="E22" s="843">
        <v>0.7</v>
      </c>
      <c r="F22" s="32">
        <v>1845563</v>
      </c>
      <c r="G22" s="32">
        <f t="shared" si="12"/>
        <v>1939687</v>
      </c>
      <c r="H22" s="32">
        <f>ROUND((E22*F22),0)</f>
        <v>1291894</v>
      </c>
      <c r="I22" s="32">
        <f t="shared" si="13"/>
        <v>1357781</v>
      </c>
      <c r="J22" s="1289"/>
      <c r="K22" s="799">
        <v>0</v>
      </c>
      <c r="L22" s="685">
        <f t="shared" si="14"/>
        <v>0</v>
      </c>
      <c r="M22" s="684">
        <f>L22/H22</f>
        <v>0</v>
      </c>
      <c r="N22" s="799">
        <v>0</v>
      </c>
      <c r="O22" s="892">
        <f t="shared" ref="O22:O23" si="15">ROUND(N22*G22,0)</f>
        <v>0</v>
      </c>
      <c r="P22" s="893">
        <f t="shared" si="4"/>
        <v>0</v>
      </c>
      <c r="Q22" s="799">
        <f t="shared" si="5"/>
        <v>0</v>
      </c>
      <c r="R22" s="685">
        <f t="shared" si="6"/>
        <v>0</v>
      </c>
      <c r="S22" s="684">
        <f t="shared" si="7"/>
        <v>0</v>
      </c>
    </row>
    <row r="23" spans="1:19" ht="43.2" x14ac:dyDescent="0.3">
      <c r="A23" s="1289"/>
      <c r="B23" s="1289"/>
      <c r="C23" s="843" t="s">
        <v>61</v>
      </c>
      <c r="D23" s="843" t="s">
        <v>85</v>
      </c>
      <c r="E23" s="843">
        <v>0.7</v>
      </c>
      <c r="F23" s="32">
        <v>7312607</v>
      </c>
      <c r="G23" s="32">
        <f t="shared" si="12"/>
        <v>7685550</v>
      </c>
      <c r="H23" s="32">
        <f>ROUND((E23*F23),0)</f>
        <v>5118825</v>
      </c>
      <c r="I23" s="32">
        <f t="shared" si="13"/>
        <v>5379885</v>
      </c>
      <c r="J23" s="1289"/>
      <c r="K23" s="537">
        <f>0.7*70%</f>
        <v>0.48999999999999994</v>
      </c>
      <c r="L23" s="752">
        <f t="shared" si="14"/>
        <v>3765920</v>
      </c>
      <c r="M23" s="753">
        <f>L23/H23</f>
        <v>0.73570008742240656</v>
      </c>
      <c r="N23" s="891">
        <v>0</v>
      </c>
      <c r="O23" s="892">
        <f t="shared" si="15"/>
        <v>0</v>
      </c>
      <c r="P23" s="893">
        <f t="shared" si="4"/>
        <v>0</v>
      </c>
      <c r="Q23" s="799">
        <f t="shared" si="5"/>
        <v>0.48999999999999994</v>
      </c>
      <c r="R23" s="685">
        <f t="shared" si="6"/>
        <v>3765920</v>
      </c>
      <c r="S23" s="684">
        <f t="shared" si="7"/>
        <v>0.70000009293878962</v>
      </c>
    </row>
    <row r="24" spans="1:19" x14ac:dyDescent="0.3">
      <c r="A24" s="1289"/>
      <c r="B24" s="1289"/>
      <c r="C24" s="39"/>
      <c r="D24" s="39" t="s">
        <v>86</v>
      </c>
      <c r="E24" s="41"/>
      <c r="F24" s="41"/>
      <c r="G24" s="41"/>
      <c r="H24" s="42">
        <f>SUM(H21:H23)</f>
        <v>7726989</v>
      </c>
      <c r="I24" s="42">
        <f>SUM(I21:I23)</f>
        <v>8121066</v>
      </c>
      <c r="J24" s="1289"/>
      <c r="K24" s="40"/>
      <c r="L24" s="683">
        <f>SUM(L21:L23)</f>
        <v>4734300</v>
      </c>
      <c r="M24" s="519">
        <f t="shared" si="8"/>
        <v>0.61269661442510137</v>
      </c>
      <c r="N24" s="40"/>
      <c r="O24" s="683">
        <f>SUM(O21:O23)</f>
        <v>0</v>
      </c>
      <c r="P24" s="1100">
        <f t="shared" si="4"/>
        <v>0</v>
      </c>
      <c r="Q24" s="1106">
        <f t="shared" si="5"/>
        <v>0</v>
      </c>
      <c r="R24" s="1107">
        <f t="shared" si="6"/>
        <v>4734300</v>
      </c>
      <c r="S24" s="1100">
        <f t="shared" si="7"/>
        <v>0.58296533977189691</v>
      </c>
    </row>
    <row r="25" spans="1:19" ht="45" customHeight="1" x14ac:dyDescent="0.3">
      <c r="A25" s="1290" t="s">
        <v>1550</v>
      </c>
      <c r="B25" s="1289" t="s">
        <v>195</v>
      </c>
      <c r="C25" s="843" t="s">
        <v>83</v>
      </c>
      <c r="D25" s="843" t="s">
        <v>91</v>
      </c>
      <c r="E25" s="843">
        <v>0.7</v>
      </c>
      <c r="F25" s="32">
        <v>1671452</v>
      </c>
      <c r="G25" s="32">
        <f t="shared" ref="G25:G26" si="16">+ROUND(F25*1.051,0)</f>
        <v>1756696</v>
      </c>
      <c r="H25" s="32">
        <f>ROUND((E25*F25),0)</f>
        <v>1170016</v>
      </c>
      <c r="I25" s="32">
        <f t="shared" ref="I25:I26" si="17">+ROUND(G25*E25,0)</f>
        <v>1229687</v>
      </c>
      <c r="J25" s="1290" t="s">
        <v>1796</v>
      </c>
      <c r="K25" s="799">
        <v>0</v>
      </c>
      <c r="L25" s="685">
        <f t="shared" ref="L25:L26" si="18">ROUND(K25*G25,0)</f>
        <v>0</v>
      </c>
      <c r="M25" s="684">
        <f>L25/H25</f>
        <v>0</v>
      </c>
      <c r="N25" s="799">
        <v>0</v>
      </c>
      <c r="O25" s="685">
        <f>ROUND(N25*G25,0)</f>
        <v>0</v>
      </c>
      <c r="P25" s="893">
        <f t="shared" si="4"/>
        <v>0</v>
      </c>
      <c r="Q25" s="799">
        <f t="shared" si="5"/>
        <v>0</v>
      </c>
      <c r="R25" s="685">
        <f t="shared" si="6"/>
        <v>0</v>
      </c>
      <c r="S25" s="684">
        <f t="shared" si="7"/>
        <v>0</v>
      </c>
    </row>
    <row r="26" spans="1:19" ht="43.2" x14ac:dyDescent="0.3">
      <c r="A26" s="1289"/>
      <c r="B26" s="1289"/>
      <c r="C26" s="843" t="s">
        <v>61</v>
      </c>
      <c r="D26" s="843" t="s">
        <v>92</v>
      </c>
      <c r="E26" s="843">
        <v>0.7</v>
      </c>
      <c r="F26" s="32">
        <v>6233126</v>
      </c>
      <c r="G26" s="32">
        <f t="shared" si="16"/>
        <v>6551015</v>
      </c>
      <c r="H26" s="32">
        <f>ROUND((E26*F26),0)</f>
        <v>4363188</v>
      </c>
      <c r="I26" s="32">
        <f t="shared" si="17"/>
        <v>4585711</v>
      </c>
      <c r="J26" s="1289"/>
      <c r="K26" s="537">
        <f>0.7*70%</f>
        <v>0.48999999999999994</v>
      </c>
      <c r="L26" s="752">
        <f t="shared" si="18"/>
        <v>3209997</v>
      </c>
      <c r="M26" s="753">
        <f>L26/H26</f>
        <v>0.73569990566530707</v>
      </c>
      <c r="N26" s="891">
        <v>0</v>
      </c>
      <c r="O26" s="685">
        <f>ROUND(N26*G26,0)</f>
        <v>0</v>
      </c>
      <c r="P26" s="893">
        <f t="shared" si="4"/>
        <v>0</v>
      </c>
      <c r="Q26" s="799">
        <f t="shared" si="5"/>
        <v>0.48999999999999994</v>
      </c>
      <c r="R26" s="685">
        <f t="shared" si="6"/>
        <v>3209997</v>
      </c>
      <c r="S26" s="684">
        <f t="shared" si="7"/>
        <v>0.69999984735191556</v>
      </c>
    </row>
    <row r="27" spans="1:19" x14ac:dyDescent="0.3">
      <c r="A27" s="1289"/>
      <c r="B27" s="1289"/>
      <c r="C27" s="39"/>
      <c r="D27" s="39" t="s">
        <v>63</v>
      </c>
      <c r="E27" s="41"/>
      <c r="F27" s="41"/>
      <c r="G27" s="41"/>
      <c r="H27" s="42">
        <f>SUM(H25:H26)</f>
        <v>5533204</v>
      </c>
      <c r="I27" s="42">
        <f>SUM(I25:I26)</f>
        <v>5815398</v>
      </c>
      <c r="J27" s="1289"/>
      <c r="K27" s="41"/>
      <c r="L27" s="683">
        <f>SUM(L25:L26)</f>
        <v>3209997</v>
      </c>
      <c r="M27" s="519">
        <f t="shared" si="8"/>
        <v>0.5801334995058921</v>
      </c>
      <c r="N27" s="41"/>
      <c r="O27" s="683">
        <f>SUM(O25:O26)</f>
        <v>0</v>
      </c>
      <c r="P27" s="1100">
        <f t="shared" si="4"/>
        <v>0</v>
      </c>
      <c r="Q27" s="1106">
        <f t="shared" si="5"/>
        <v>0</v>
      </c>
      <c r="R27" s="1107">
        <f t="shared" si="6"/>
        <v>3209997</v>
      </c>
      <c r="S27" s="1100">
        <f t="shared" si="7"/>
        <v>0.55198234067556506</v>
      </c>
    </row>
    <row r="28" spans="1:19" ht="45" customHeight="1" x14ac:dyDescent="0.3">
      <c r="A28" s="1289" t="s">
        <v>151</v>
      </c>
      <c r="B28" s="1289" t="s">
        <v>216</v>
      </c>
      <c r="C28" s="843" t="s">
        <v>81</v>
      </c>
      <c r="D28" s="843" t="s">
        <v>82</v>
      </c>
      <c r="E28" s="843">
        <v>0.7</v>
      </c>
      <c r="F28" s="32">
        <v>1880385</v>
      </c>
      <c r="G28" s="32">
        <f t="shared" ref="G28:G30" si="19">+ROUND(F28*1.051,0)</f>
        <v>1976285</v>
      </c>
      <c r="H28" s="32">
        <f>ROUND((E28*F28),0)</f>
        <v>1316270</v>
      </c>
      <c r="I28" s="32">
        <f t="shared" ref="I28:I30" si="20">+ROUND(G28*E28,0)</f>
        <v>1383400</v>
      </c>
      <c r="J28" s="1290" t="s">
        <v>1795</v>
      </c>
      <c r="K28" s="537">
        <f>0.7*70%</f>
        <v>0.48999999999999994</v>
      </c>
      <c r="L28" s="752">
        <f t="shared" ref="L28:L30" si="21">ROUND(K28*G28,0)</f>
        <v>968380</v>
      </c>
      <c r="M28" s="753">
        <f>L28/H28</f>
        <v>0.73570012231533044</v>
      </c>
      <c r="N28" s="891">
        <v>0</v>
      </c>
      <c r="O28" s="892">
        <f>ROUND(N28*G28,0)</f>
        <v>0</v>
      </c>
      <c r="P28" s="893">
        <f t="shared" si="4"/>
        <v>0</v>
      </c>
      <c r="Q28" s="799">
        <f t="shared" si="5"/>
        <v>0.48999999999999994</v>
      </c>
      <c r="R28" s="685">
        <f t="shared" si="6"/>
        <v>968380</v>
      </c>
      <c r="S28" s="684">
        <f t="shared" si="7"/>
        <v>0.7</v>
      </c>
    </row>
    <row r="29" spans="1:19" ht="43.2" x14ac:dyDescent="0.3">
      <c r="A29" s="1289"/>
      <c r="B29" s="1289"/>
      <c r="C29" s="843" t="s">
        <v>83</v>
      </c>
      <c r="D29" s="843" t="s">
        <v>84</v>
      </c>
      <c r="E29" s="843">
        <v>0.7</v>
      </c>
      <c r="F29" s="32">
        <v>1845563</v>
      </c>
      <c r="G29" s="32">
        <f t="shared" si="19"/>
        <v>1939687</v>
      </c>
      <c r="H29" s="32">
        <f>ROUND((E29*F29),0)</f>
        <v>1291894</v>
      </c>
      <c r="I29" s="32">
        <f t="shared" si="20"/>
        <v>1357781</v>
      </c>
      <c r="J29" s="1289"/>
      <c r="K29" s="799">
        <v>0</v>
      </c>
      <c r="L29" s="685">
        <f t="shared" si="21"/>
        <v>0</v>
      </c>
      <c r="M29" s="684">
        <f>L29/H29</f>
        <v>0</v>
      </c>
      <c r="N29" s="799">
        <v>0</v>
      </c>
      <c r="O29" s="892">
        <f t="shared" ref="O29:O30" si="22">ROUND(N29*G29,0)</f>
        <v>0</v>
      </c>
      <c r="P29" s="893">
        <f t="shared" si="4"/>
        <v>0</v>
      </c>
      <c r="Q29" s="799">
        <f t="shared" si="5"/>
        <v>0</v>
      </c>
      <c r="R29" s="685">
        <f t="shared" si="6"/>
        <v>0</v>
      </c>
      <c r="S29" s="684">
        <f t="shared" si="7"/>
        <v>0</v>
      </c>
    </row>
    <row r="30" spans="1:19" ht="43.2" x14ac:dyDescent="0.3">
      <c r="A30" s="1289"/>
      <c r="B30" s="1289"/>
      <c r="C30" s="843" t="s">
        <v>61</v>
      </c>
      <c r="D30" s="843" t="s">
        <v>85</v>
      </c>
      <c r="E30" s="843">
        <v>0.7</v>
      </c>
      <c r="F30" s="32">
        <v>7312607</v>
      </c>
      <c r="G30" s="32">
        <f t="shared" si="19"/>
        <v>7685550</v>
      </c>
      <c r="H30" s="32">
        <f>ROUND((E30*F30),0)</f>
        <v>5118825</v>
      </c>
      <c r="I30" s="32">
        <f t="shared" si="20"/>
        <v>5379885</v>
      </c>
      <c r="J30" s="1289"/>
      <c r="K30" s="799">
        <v>0</v>
      </c>
      <c r="L30" s="685">
        <f t="shared" si="21"/>
        <v>0</v>
      </c>
      <c r="M30" s="684">
        <f>L30/H30</f>
        <v>0</v>
      </c>
      <c r="N30" s="799">
        <v>0</v>
      </c>
      <c r="O30" s="892">
        <f t="shared" si="22"/>
        <v>0</v>
      </c>
      <c r="P30" s="893">
        <f t="shared" si="4"/>
        <v>0</v>
      </c>
      <c r="Q30" s="799">
        <f t="shared" si="5"/>
        <v>0</v>
      </c>
      <c r="R30" s="685">
        <f t="shared" si="6"/>
        <v>0</v>
      </c>
      <c r="S30" s="684">
        <f t="shared" si="7"/>
        <v>0</v>
      </c>
    </row>
    <row r="31" spans="1:19" ht="19.5" customHeight="1" x14ac:dyDescent="0.3">
      <c r="A31" s="1289"/>
      <c r="B31" s="1289"/>
      <c r="C31" s="39"/>
      <c r="D31" s="39" t="s">
        <v>86</v>
      </c>
      <c r="E31" s="41"/>
      <c r="F31" s="41"/>
      <c r="G31" s="41"/>
      <c r="H31" s="42">
        <f>SUM(H28:H30)</f>
        <v>7726989</v>
      </c>
      <c r="I31" s="42">
        <f>SUM(I28:I30)</f>
        <v>8121066</v>
      </c>
      <c r="J31" s="1289"/>
      <c r="K31" s="40"/>
      <c r="L31" s="683">
        <f>SUM(L28:L30)</f>
        <v>968380</v>
      </c>
      <c r="M31" s="519">
        <f t="shared" si="8"/>
        <v>0.12532436632173283</v>
      </c>
      <c r="N31" s="40"/>
      <c r="O31" s="683">
        <f>SUM(O28:O30)</f>
        <v>0</v>
      </c>
      <c r="P31" s="1100">
        <f t="shared" si="4"/>
        <v>0</v>
      </c>
      <c r="Q31" s="1106">
        <f t="shared" si="5"/>
        <v>0</v>
      </c>
      <c r="R31" s="1107">
        <f t="shared" si="6"/>
        <v>968380</v>
      </c>
      <c r="S31" s="1100">
        <f t="shared" si="7"/>
        <v>0.11924296637904433</v>
      </c>
    </row>
    <row r="32" spans="1:19" ht="45" customHeight="1" x14ac:dyDescent="0.3">
      <c r="A32" s="1289" t="s">
        <v>151</v>
      </c>
      <c r="B32" s="1289" t="s">
        <v>195</v>
      </c>
      <c r="C32" s="843" t="s">
        <v>83</v>
      </c>
      <c r="D32" s="843" t="s">
        <v>91</v>
      </c>
      <c r="E32" s="843">
        <v>0.7</v>
      </c>
      <c r="F32" s="32">
        <v>1671452</v>
      </c>
      <c r="G32" s="32">
        <f t="shared" ref="G32:G33" si="23">+ROUND(F32*1.051,0)</f>
        <v>1756696</v>
      </c>
      <c r="H32" s="32">
        <f>ROUND((E32*F32),0)</f>
        <v>1170016</v>
      </c>
      <c r="I32" s="32">
        <f t="shared" ref="I32:I33" si="24">+ROUND(G32*E32,0)</f>
        <v>1229687</v>
      </c>
      <c r="J32" s="1290" t="s">
        <v>1796</v>
      </c>
      <c r="K32" s="799">
        <v>0</v>
      </c>
      <c r="L32" s="685">
        <f t="shared" ref="L32:L33" si="25">ROUND(K32*G32,0)</f>
        <v>0</v>
      </c>
      <c r="M32" s="684">
        <f t="shared" si="8"/>
        <v>0</v>
      </c>
      <c r="N32" s="799">
        <v>0</v>
      </c>
      <c r="O32" s="685">
        <f>ROUND(N32*G32,0)</f>
        <v>0</v>
      </c>
      <c r="P32" s="893">
        <f t="shared" si="4"/>
        <v>0</v>
      </c>
      <c r="Q32" s="799">
        <f t="shared" si="5"/>
        <v>0</v>
      </c>
      <c r="R32" s="685">
        <f t="shared" si="6"/>
        <v>0</v>
      </c>
      <c r="S32" s="684">
        <f t="shared" si="7"/>
        <v>0</v>
      </c>
    </row>
    <row r="33" spans="1:19" ht="43.2" x14ac:dyDescent="0.3">
      <c r="A33" s="1289"/>
      <c r="B33" s="1289"/>
      <c r="C33" s="843" t="s">
        <v>61</v>
      </c>
      <c r="D33" s="843" t="s">
        <v>92</v>
      </c>
      <c r="E33" s="843">
        <v>0.7</v>
      </c>
      <c r="F33" s="32">
        <v>6233126</v>
      </c>
      <c r="G33" s="32">
        <f t="shared" si="23"/>
        <v>6551015</v>
      </c>
      <c r="H33" s="32">
        <f>ROUND((E33*F33),0)</f>
        <v>4363188</v>
      </c>
      <c r="I33" s="32">
        <f t="shared" si="24"/>
        <v>4585711</v>
      </c>
      <c r="J33" s="1289"/>
      <c r="K33" s="799">
        <v>0</v>
      </c>
      <c r="L33" s="685">
        <f t="shared" si="25"/>
        <v>0</v>
      </c>
      <c r="M33" s="684">
        <f t="shared" si="8"/>
        <v>0</v>
      </c>
      <c r="N33" s="799">
        <v>0</v>
      </c>
      <c r="O33" s="685">
        <f>ROUND(N33*G33,0)</f>
        <v>0</v>
      </c>
      <c r="P33" s="893">
        <f t="shared" si="4"/>
        <v>0</v>
      </c>
      <c r="Q33" s="799">
        <f t="shared" si="5"/>
        <v>0</v>
      </c>
      <c r="R33" s="685">
        <f t="shared" si="6"/>
        <v>0</v>
      </c>
      <c r="S33" s="684">
        <f t="shared" si="7"/>
        <v>0</v>
      </c>
    </row>
    <row r="34" spans="1:19" x14ac:dyDescent="0.3">
      <c r="A34" s="1289"/>
      <c r="B34" s="1289"/>
      <c r="C34" s="39"/>
      <c r="D34" s="39" t="s">
        <v>63</v>
      </c>
      <c r="E34" s="41"/>
      <c r="F34" s="41"/>
      <c r="G34" s="41"/>
      <c r="H34" s="42">
        <f>SUM(H32:H33)</f>
        <v>5533204</v>
      </c>
      <c r="I34" s="42">
        <f>SUM(I32:I33)</f>
        <v>5815398</v>
      </c>
      <c r="J34" s="1289"/>
      <c r="K34" s="41"/>
      <c r="L34" s="683">
        <f>SUM(L32:L33)</f>
        <v>0</v>
      </c>
      <c r="M34" s="519">
        <f t="shared" si="8"/>
        <v>0</v>
      </c>
      <c r="N34" s="41"/>
      <c r="O34" s="683">
        <f>SUM(O32:O33)</f>
        <v>0</v>
      </c>
      <c r="P34" s="1100">
        <f t="shared" si="4"/>
        <v>0</v>
      </c>
      <c r="Q34" s="1108"/>
      <c r="R34" s="1107">
        <f t="shared" si="6"/>
        <v>0</v>
      </c>
      <c r="S34" s="1100">
        <f t="shared" si="7"/>
        <v>0</v>
      </c>
    </row>
    <row r="35" spans="1:19" x14ac:dyDescent="0.3">
      <c r="A35" s="638"/>
      <c r="B35" s="638"/>
      <c r="C35" s="638"/>
      <c r="D35" s="638"/>
      <c r="E35" s="638"/>
      <c r="F35" s="686" t="s">
        <v>1740</v>
      </c>
      <c r="G35" s="686"/>
      <c r="H35" s="687">
        <f>0+H17+H20+H24+H27+H31+H34</f>
        <v>39780579</v>
      </c>
      <c r="I35" s="687">
        <f>0+I17+I20+I24+I27+I31+I34</f>
        <v>41809392</v>
      </c>
      <c r="J35" s="638"/>
      <c r="K35" s="547" t="s">
        <v>64</v>
      </c>
      <c r="L35" s="688">
        <f>SUM(L14:L34)/2</f>
        <v>9881057</v>
      </c>
      <c r="M35" s="638"/>
      <c r="N35" s="547" t="s">
        <v>64</v>
      </c>
      <c r="O35" s="688">
        <f>SUM(O14:O34)/2</f>
        <v>0</v>
      </c>
      <c r="Q35" s="547" t="s">
        <v>64</v>
      </c>
      <c r="R35" s="688">
        <f>SUM(R14:R34)/2</f>
        <v>9881057</v>
      </c>
      <c r="S35" s="638"/>
    </row>
    <row r="36" spans="1:19" x14ac:dyDescent="0.3">
      <c r="A36" s="638"/>
      <c r="B36" s="638"/>
      <c r="C36" s="638"/>
      <c r="D36" s="638"/>
      <c r="E36" s="638"/>
      <c r="F36" s="444" t="s">
        <v>65</v>
      </c>
      <c r="G36" s="444"/>
      <c r="H36" s="181">
        <v>0</v>
      </c>
      <c r="I36" s="181">
        <v>0</v>
      </c>
      <c r="J36" s="638"/>
      <c r="K36" s="548" t="s">
        <v>65</v>
      </c>
      <c r="L36" s="481"/>
      <c r="M36" s="638"/>
      <c r="N36" s="548" t="s">
        <v>65</v>
      </c>
      <c r="O36" s="481"/>
      <c r="Q36" s="548" t="s">
        <v>65</v>
      </c>
      <c r="R36" s="481"/>
      <c r="S36" s="638"/>
    </row>
    <row r="37" spans="1:19" x14ac:dyDescent="0.3">
      <c r="A37" s="638"/>
      <c r="B37" s="638"/>
      <c r="C37" s="638"/>
      <c r="D37" s="638"/>
      <c r="E37" s="638"/>
      <c r="F37" s="443" t="s">
        <v>1740</v>
      </c>
      <c r="G37" s="443"/>
      <c r="H37" s="340">
        <f>+H36+H35</f>
        <v>39780579</v>
      </c>
      <c r="I37" s="340">
        <f>+I36+I35</f>
        <v>41809392</v>
      </c>
      <c r="J37" s="638"/>
      <c r="K37" s="549" t="s">
        <v>64</v>
      </c>
      <c r="L37" s="481">
        <f>L35+L36</f>
        <v>9881057</v>
      </c>
      <c r="M37" s="638"/>
      <c r="N37" s="549" t="s">
        <v>64</v>
      </c>
      <c r="O37" s="481">
        <f>O35+O36</f>
        <v>0</v>
      </c>
      <c r="Q37" s="549" t="s">
        <v>64</v>
      </c>
      <c r="R37" s="481">
        <f>R35+R36</f>
        <v>9881057</v>
      </c>
      <c r="S37" s="638"/>
    </row>
    <row r="38" spans="1:19" ht="26.4" x14ac:dyDescent="0.3">
      <c r="A38" s="638"/>
      <c r="B38" s="638"/>
      <c r="C38" s="638"/>
      <c r="D38" s="638"/>
      <c r="E38" s="638"/>
      <c r="F38" s="659"/>
      <c r="G38" s="659"/>
      <c r="H38" s="659"/>
      <c r="I38" s="659"/>
      <c r="J38" s="638"/>
      <c r="K38" s="501" t="s">
        <v>1439</v>
      </c>
      <c r="L38" s="481">
        <f>ROUND(L37*0.015,0)</f>
        <v>148216</v>
      </c>
      <c r="M38" s="638"/>
      <c r="N38" s="501" t="s">
        <v>1439</v>
      </c>
      <c r="O38" s="481">
        <f>ROUND(O37*0.015,0)</f>
        <v>0</v>
      </c>
      <c r="Q38" s="501" t="s">
        <v>1439</v>
      </c>
      <c r="R38" s="481">
        <f>+L38+O38</f>
        <v>148216</v>
      </c>
      <c r="S38" s="638"/>
    </row>
    <row r="39" spans="1:19" ht="27" customHeight="1" x14ac:dyDescent="0.3">
      <c r="A39" s="638"/>
      <c r="B39" s="638"/>
      <c r="C39" s="638"/>
      <c r="D39" s="638"/>
      <c r="E39" s="638"/>
      <c r="F39" s="659"/>
      <c r="G39" s="659"/>
      <c r="H39" s="659"/>
      <c r="I39" s="659"/>
      <c r="J39" s="638"/>
      <c r="K39" s="96" t="s">
        <v>1440</v>
      </c>
      <c r="L39" s="425">
        <f>L37+L38</f>
        <v>10029273</v>
      </c>
      <c r="M39" s="678">
        <f>L39/H37</f>
        <v>0.25211480707709155</v>
      </c>
      <c r="N39" s="96" t="s">
        <v>1440</v>
      </c>
      <c r="O39" s="425">
        <f>O37+O38</f>
        <v>0</v>
      </c>
      <c r="P39" s="678">
        <f>O39/H35</f>
        <v>0</v>
      </c>
      <c r="Q39" s="96" t="s">
        <v>1440</v>
      </c>
      <c r="R39" s="425">
        <f>R37+R38</f>
        <v>10029273</v>
      </c>
      <c r="S39" s="678">
        <f>R39/H35</f>
        <v>0.25211480707709155</v>
      </c>
    </row>
    <row r="40" spans="1:19" x14ac:dyDescent="0.3">
      <c r="A40" s="638"/>
      <c r="B40" s="638"/>
      <c r="C40" s="638"/>
      <c r="D40" s="638"/>
      <c r="E40" s="638"/>
      <c r="F40" s="442" t="s">
        <v>66</v>
      </c>
      <c r="G40" s="442"/>
      <c r="H40" s="181">
        <f>+H35*19%</f>
        <v>7558310.0099999998</v>
      </c>
      <c r="I40" s="181">
        <f>+I35*19%</f>
        <v>7943784.4800000004</v>
      </c>
      <c r="J40" s="638"/>
      <c r="K40" s="551" t="s">
        <v>66</v>
      </c>
      <c r="L40" s="672">
        <f>L39*0.19</f>
        <v>1905561.87</v>
      </c>
      <c r="M40" s="638"/>
      <c r="N40" s="551" t="s">
        <v>66</v>
      </c>
      <c r="O40" s="672">
        <f>O39*0.19</f>
        <v>0</v>
      </c>
      <c r="Q40" s="551" t="s">
        <v>66</v>
      </c>
      <c r="R40" s="672">
        <f>R39*0.19</f>
        <v>1905561.87</v>
      </c>
      <c r="S40" s="638"/>
    </row>
    <row r="41" spans="1:19" x14ac:dyDescent="0.3">
      <c r="A41" s="638"/>
      <c r="B41" s="638"/>
      <c r="C41" s="638"/>
      <c r="D41" s="638"/>
      <c r="E41" s="638"/>
      <c r="F41" s="441" t="s">
        <v>69</v>
      </c>
      <c r="G41" s="441"/>
      <c r="H41" s="181">
        <f>+H35+H40</f>
        <v>47338889.009999998</v>
      </c>
      <c r="I41" s="181">
        <f>+I35+I40</f>
        <v>49753176.480000004</v>
      </c>
      <c r="J41" s="638"/>
      <c r="K41" s="552" t="s">
        <v>69</v>
      </c>
      <c r="L41" s="672">
        <f>L39+L40</f>
        <v>11934834.870000001</v>
      </c>
      <c r="M41" s="638"/>
      <c r="N41" s="552" t="s">
        <v>69</v>
      </c>
      <c r="O41" s="672">
        <f>O39+O40</f>
        <v>0</v>
      </c>
      <c r="Q41" s="552" t="s">
        <v>69</v>
      </c>
      <c r="R41" s="672">
        <f>R39+R40</f>
        <v>11934834.870000001</v>
      </c>
      <c r="S41" s="638"/>
    </row>
    <row r="42" spans="1:19" x14ac:dyDescent="0.3">
      <c r="A42" s="638"/>
      <c r="B42" s="638"/>
      <c r="C42" s="638"/>
      <c r="D42" s="638"/>
      <c r="E42" s="638"/>
      <c r="F42" s="638"/>
      <c r="H42" s="638"/>
      <c r="J42" s="638"/>
      <c r="K42" s="638"/>
      <c r="L42" s="638"/>
      <c r="M42" s="638"/>
      <c r="Q42" s="638"/>
      <c r="R42" s="638"/>
      <c r="S42" s="638"/>
    </row>
    <row r="43" spans="1:19" ht="24" customHeight="1" x14ac:dyDescent="0.3">
      <c r="A43" s="665" t="s">
        <v>67</v>
      </c>
      <c r="B43" s="184"/>
      <c r="C43" s="184"/>
      <c r="D43" s="185" t="s">
        <v>68</v>
      </c>
      <c r="E43" s="638"/>
      <c r="F43" s="638"/>
      <c r="H43" s="638"/>
      <c r="J43" s="638"/>
      <c r="K43" s="186" t="s">
        <v>70</v>
      </c>
      <c r="L43" s="187" t="s">
        <v>71</v>
      </c>
      <c r="M43" s="186" t="s">
        <v>58</v>
      </c>
      <c r="N43" s="186" t="s">
        <v>70</v>
      </c>
      <c r="O43" s="187" t="s">
        <v>71</v>
      </c>
      <c r="P43" s="186" t="s">
        <v>58</v>
      </c>
      <c r="Q43" s="638"/>
      <c r="R43" s="638"/>
      <c r="S43" s="638"/>
    </row>
    <row r="44" spans="1:19" x14ac:dyDescent="0.3">
      <c r="A44" s="665"/>
      <c r="B44" s="184"/>
      <c r="C44" s="184"/>
      <c r="D44" s="185"/>
      <c r="E44" s="638"/>
      <c r="F44" s="638"/>
      <c r="H44" s="638"/>
      <c r="J44" s="638"/>
      <c r="K44" s="69" t="s">
        <v>72</v>
      </c>
      <c r="L44" s="70">
        <f>L39</f>
        <v>10029273</v>
      </c>
      <c r="M44" s="360">
        <f>M39</f>
        <v>0.25211480707709155</v>
      </c>
      <c r="N44" s="69" t="s">
        <v>72</v>
      </c>
      <c r="O44" s="70">
        <f>$L$39</f>
        <v>10029273</v>
      </c>
      <c r="P44" s="360">
        <f>$M$39</f>
        <v>0.25211480707709155</v>
      </c>
      <c r="Q44" s="638"/>
      <c r="R44" s="638"/>
      <c r="S44" s="638"/>
    </row>
    <row r="45" spans="1:19" x14ac:dyDescent="0.3">
      <c r="A45" s="665"/>
      <c r="B45" s="184"/>
      <c r="C45" s="184"/>
      <c r="D45" s="185"/>
      <c r="E45" s="638"/>
      <c r="F45" s="638"/>
      <c r="H45" s="638"/>
      <c r="J45" s="638"/>
      <c r="K45" s="72" t="s">
        <v>1</v>
      </c>
      <c r="L45" s="105">
        <f>L44</f>
        <v>10029273</v>
      </c>
      <c r="M45" s="361">
        <f>M44</f>
        <v>0.25211480707709155</v>
      </c>
      <c r="N45" s="69" t="s">
        <v>73</v>
      </c>
      <c r="O45" s="70">
        <f>$O$39</f>
        <v>0</v>
      </c>
      <c r="P45" s="360">
        <f>$P$39</f>
        <v>0</v>
      </c>
      <c r="Q45" s="638"/>
      <c r="R45" s="638"/>
      <c r="S45" s="638"/>
    </row>
    <row r="46" spans="1:19" x14ac:dyDescent="0.3">
      <c r="A46" s="665"/>
      <c r="B46" s="184"/>
      <c r="C46" s="184"/>
      <c r="D46" s="185"/>
      <c r="E46" s="638"/>
      <c r="F46" s="638"/>
      <c r="H46" s="638"/>
      <c r="J46" s="638"/>
      <c r="K46" s="72" t="s">
        <v>9</v>
      </c>
      <c r="L46" s="1423"/>
      <c r="M46" s="1424"/>
      <c r="N46" s="72" t="s">
        <v>1</v>
      </c>
      <c r="O46" s="105">
        <f>SUM(O44:O45)</f>
        <v>10029273</v>
      </c>
      <c r="P46" s="361">
        <f>SUM(P44:P45)</f>
        <v>0.25211480707709155</v>
      </c>
      <c r="Q46" s="638"/>
      <c r="R46" s="638"/>
      <c r="S46" s="638"/>
    </row>
    <row r="47" spans="1:19" x14ac:dyDescent="0.3">
      <c r="A47" s="665"/>
      <c r="B47" s="184"/>
      <c r="C47" s="184"/>
      <c r="D47" s="185"/>
      <c r="E47" s="638"/>
      <c r="F47" s="638"/>
      <c r="H47" s="638"/>
      <c r="J47" s="638"/>
      <c r="K47" s="440" t="s">
        <v>78</v>
      </c>
      <c r="L47" s="1423" t="s">
        <v>1605</v>
      </c>
      <c r="M47" s="1424"/>
      <c r="N47" s="72" t="s">
        <v>9</v>
      </c>
      <c r="O47" s="1423"/>
      <c r="P47" s="1424"/>
      <c r="Q47" s="638"/>
      <c r="R47" s="638"/>
      <c r="S47" s="638"/>
    </row>
    <row r="48" spans="1:19" x14ac:dyDescent="0.3">
      <c r="A48" s="665"/>
      <c r="B48" s="184"/>
      <c r="C48" s="184"/>
      <c r="D48" s="185"/>
      <c r="E48" s="638"/>
      <c r="F48" s="638"/>
      <c r="H48" s="638"/>
      <c r="J48" s="638"/>
      <c r="K48" s="439" t="s">
        <v>8</v>
      </c>
      <c r="L48" s="1425" t="s">
        <v>1604</v>
      </c>
      <c r="M48" s="1426"/>
      <c r="N48" s="440" t="s">
        <v>78</v>
      </c>
      <c r="O48" s="1423" t="s">
        <v>1605</v>
      </c>
      <c r="P48" s="1424"/>
      <c r="Q48" s="638"/>
      <c r="R48" s="638"/>
      <c r="S48" s="638"/>
    </row>
    <row r="49" spans="1:19" x14ac:dyDescent="0.3">
      <c r="A49" s="665"/>
      <c r="B49" s="184"/>
      <c r="C49" s="184"/>
      <c r="D49" s="185" t="s">
        <v>75</v>
      </c>
      <c r="E49" s="638"/>
      <c r="F49" s="638"/>
      <c r="H49" s="638"/>
      <c r="J49" s="638"/>
      <c r="K49" s="638"/>
      <c r="L49" s="638"/>
      <c r="M49" s="638"/>
      <c r="N49" s="439" t="s">
        <v>8</v>
      </c>
      <c r="O49" s="1425" t="s">
        <v>1604</v>
      </c>
      <c r="P49" s="1426"/>
      <c r="Q49" s="638"/>
      <c r="R49" s="638"/>
      <c r="S49" s="638"/>
    </row>
    <row r="50" spans="1:19" x14ac:dyDescent="0.3">
      <c r="A50" s="665" t="s">
        <v>76</v>
      </c>
      <c r="B50" s="180"/>
      <c r="C50" s="180"/>
      <c r="D50" s="185" t="s">
        <v>77</v>
      </c>
      <c r="E50" s="638"/>
      <c r="F50" s="638"/>
      <c r="H50" s="638"/>
      <c r="J50" s="638"/>
      <c r="K50" s="638"/>
      <c r="L50" s="638"/>
      <c r="M50" s="638"/>
      <c r="Q50" s="638"/>
      <c r="R50" s="638"/>
      <c r="S50" s="638"/>
    </row>
    <row r="51" spans="1:19" ht="26.4" x14ac:dyDescent="0.3">
      <c r="A51" s="665" t="s">
        <v>79</v>
      </c>
      <c r="B51" s="180"/>
      <c r="C51" s="180"/>
      <c r="D51" s="185" t="s">
        <v>80</v>
      </c>
      <c r="E51" s="638"/>
      <c r="F51" s="638"/>
      <c r="H51" s="638"/>
      <c r="J51" s="638"/>
      <c r="K51" s="638"/>
      <c r="L51" s="638"/>
      <c r="M51" s="638"/>
      <c r="Q51" s="638"/>
      <c r="R51" s="638"/>
      <c r="S51" s="638"/>
    </row>
  </sheetData>
  <mergeCells count="40">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7"/>
    <mergeCell ref="B14:B17"/>
    <mergeCell ref="J14:J17"/>
    <mergeCell ref="A18:A20"/>
    <mergeCell ref="B18:B20"/>
    <mergeCell ref="J18:J20"/>
    <mergeCell ref="A21:A24"/>
    <mergeCell ref="B21:B24"/>
    <mergeCell ref="J21:J24"/>
    <mergeCell ref="A25:A27"/>
    <mergeCell ref="B25:B27"/>
    <mergeCell ref="J25:J27"/>
    <mergeCell ref="A28:A31"/>
    <mergeCell ref="B28:B31"/>
    <mergeCell ref="J28:J31"/>
    <mergeCell ref="A32:A34"/>
    <mergeCell ref="B32:B34"/>
    <mergeCell ref="J32:J34"/>
    <mergeCell ref="O47:P47"/>
    <mergeCell ref="O48:P48"/>
    <mergeCell ref="O49:P49"/>
    <mergeCell ref="L46:M46"/>
    <mergeCell ref="L47:M47"/>
    <mergeCell ref="L48:M48"/>
  </mergeCells>
  <pageMargins left="0.7" right="0.7" top="0.75" bottom="0.75" header="0.3" footer="0.3"/>
  <pageSetup paperSize="9" scale="38" orientation="landscape" r:id="rId1"/>
  <drawing r:id="rId2"/>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5"/>
  <dimension ref="A1:G49"/>
  <sheetViews>
    <sheetView topLeftCell="A19" workbookViewId="0">
      <selection activeCell="I35" sqref="I3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RESUMEN!G117</f>
        <v xml:space="preserve">Proyecto:CDIE_CBCCSM_R0178 REPOSICIÓN INTERRUPTORES.
</v>
      </c>
      <c r="C5" s="1281"/>
      <c r="D5" s="1281"/>
      <c r="E5" s="1281"/>
      <c r="F5" s="1281"/>
      <c r="G5" s="1282"/>
    </row>
    <row r="6" spans="1:7" x14ac:dyDescent="0.25">
      <c r="A6" s="1177"/>
      <c r="B6" s="1177"/>
      <c r="C6" s="1177"/>
      <c r="D6" s="1177"/>
      <c r="E6" s="1177"/>
      <c r="F6" s="1177"/>
      <c r="G6" s="1177"/>
    </row>
    <row r="7" spans="1:7" x14ac:dyDescent="0.25">
      <c r="A7" s="271" t="s">
        <v>0</v>
      </c>
      <c r="B7" s="1264" t="str">
        <f>RESUMEN!B117</f>
        <v>D00240791</v>
      </c>
      <c r="C7" s="1265"/>
      <c r="D7" s="1177"/>
      <c r="E7" s="1266" t="s">
        <v>627</v>
      </c>
      <c r="F7" s="1267"/>
      <c r="G7" s="280" t="str">
        <f>RESUMEN!E117</f>
        <v xml:space="preserve">17-405 </v>
      </c>
    </row>
    <row r="8" spans="1:7" x14ac:dyDescent="0.25">
      <c r="A8" s="271" t="s">
        <v>628</v>
      </c>
      <c r="B8" s="1264" t="str">
        <f>RESUMEN!C117</f>
        <v>D00240791000</v>
      </c>
      <c r="C8" s="1265"/>
      <c r="D8" s="1177"/>
      <c r="E8" s="1266" t="s">
        <v>629</v>
      </c>
      <c r="F8" s="1267"/>
      <c r="G8" s="280" t="str">
        <f>RESUMEN!U117</f>
        <v>Acta N° 1: Marzo</v>
      </c>
    </row>
    <row r="9" spans="1:7" x14ac:dyDescent="0.25">
      <c r="A9" s="271" t="s">
        <v>630</v>
      </c>
      <c r="B9" s="1283" t="s">
        <v>631</v>
      </c>
      <c r="C9" s="1265"/>
      <c r="D9" s="1177"/>
      <c r="E9" s="1266" t="s">
        <v>632</v>
      </c>
      <c r="F9" s="1267"/>
      <c r="G9" s="1178">
        <f>RESUMEN!H117</f>
        <v>13260193</v>
      </c>
    </row>
    <row r="10" spans="1:7" x14ac:dyDescent="0.25">
      <c r="A10" s="271" t="s">
        <v>633</v>
      </c>
      <c r="B10" s="1283" t="str">
        <f>RESUMEN!D117</f>
        <v>MUÑA INT.</v>
      </c>
      <c r="C10" s="1265"/>
      <c r="D10" s="1177"/>
      <c r="E10" s="1266" t="s">
        <v>634</v>
      </c>
      <c r="F10" s="1267"/>
      <c r="G10" s="1178">
        <f>RESUMEN!R117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",RESUMEN!G117)</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RESUMEN!N117</f>
        <v>0</v>
      </c>
      <c r="F19" s="1248"/>
      <c r="G19" s="1177"/>
    </row>
    <row r="20" spans="1:7" ht="27" customHeight="1" x14ac:dyDescent="0.25">
      <c r="A20" s="1177"/>
      <c r="B20" s="1244" t="s">
        <v>1498</v>
      </c>
      <c r="C20" s="1245"/>
      <c r="D20" s="1246"/>
      <c r="E20" s="1247">
        <f>RESUMEN!P117</f>
        <v>0</v>
      </c>
      <c r="F20" s="1248"/>
      <c r="G20" s="1177"/>
    </row>
    <row r="21" spans="1:7" ht="27" customHeight="1" x14ac:dyDescent="0.25">
      <c r="A21" s="1177"/>
      <c r="B21" s="1244" t="s">
        <v>1499</v>
      </c>
      <c r="C21" s="1245"/>
      <c r="D21" s="1246"/>
      <c r="E21" s="1247">
        <f>RESUMEN!Q117</f>
        <v>0</v>
      </c>
      <c r="F21" s="1248"/>
      <c r="G21" s="1177"/>
    </row>
    <row r="22" spans="1:7" x14ac:dyDescent="0.25">
      <c r="A22" s="1177"/>
      <c r="B22" s="1254" t="s">
        <v>64</v>
      </c>
      <c r="C22" s="1254"/>
      <c r="D22" s="1254"/>
      <c r="E22" s="1255">
        <f>RESUMEN!R117</f>
        <v>0</v>
      </c>
      <c r="F22" s="1255"/>
      <c r="G22" s="1177"/>
    </row>
    <row r="23" spans="1:7" x14ac:dyDescent="0.25">
      <c r="A23" s="1177"/>
      <c r="B23" s="1256" t="s">
        <v>66</v>
      </c>
      <c r="C23" s="1256"/>
      <c r="D23" s="1256"/>
      <c r="E23" s="1257">
        <f>RESUMEN!S117</f>
        <v>0</v>
      </c>
      <c r="F23" s="1257"/>
      <c r="G23" s="1177"/>
    </row>
    <row r="24" spans="1:7" x14ac:dyDescent="0.25">
      <c r="A24" s="1177"/>
      <c r="B24" s="1258" t="s">
        <v>1</v>
      </c>
      <c r="C24" s="1258"/>
      <c r="D24" s="1258"/>
      <c r="E24" s="1259">
        <f>RESUMEN!T117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+'OT17-405 MUÑA INT.'!K30</f>
        <v>ACTA 1</v>
      </c>
      <c r="C28" s="1253">
        <f>+'OT17-405 MUÑA INT.'!L30</f>
        <v>0</v>
      </c>
      <c r="D28" s="1253"/>
      <c r="E28" s="267">
        <f>+'OT17-405 MUÑA INT.'!M30</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RESUMEN!V117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6">
    <tabColor rgb="FF92D050"/>
  </sheetPr>
  <dimension ref="A1:P38"/>
  <sheetViews>
    <sheetView topLeftCell="A10" zoomScale="70" zoomScaleNormal="70" workbookViewId="0">
      <selection activeCell="D24" sqref="D24"/>
    </sheetView>
  </sheetViews>
  <sheetFormatPr baseColWidth="10" defaultRowHeight="14.4" x14ac:dyDescent="0.3"/>
  <cols>
    <col min="1" max="1" width="26.44140625" customWidth="1"/>
    <col min="2" max="2" width="20.44140625" customWidth="1"/>
    <col min="3" max="3" width="25.5546875" customWidth="1"/>
    <col min="4" max="4" width="32" customWidth="1"/>
    <col min="6" max="6" width="14.44140625" bestFit="1" customWidth="1"/>
    <col min="7" max="7" width="14.44140625" style="849" customWidth="1"/>
    <col min="8" max="8" width="18.6640625" customWidth="1"/>
    <col min="9" max="9" width="18.6640625" style="849" customWidth="1"/>
    <col min="10" max="10" width="36.88671875" customWidth="1"/>
    <col min="11" max="11" width="17.88671875" customWidth="1"/>
    <col min="12" max="12" width="15.5546875" bestFit="1" customWidth="1"/>
    <col min="14" max="14" width="20.44140625" bestFit="1" customWidth="1"/>
    <col min="15" max="15" width="15.44140625" bestFit="1" customWidth="1"/>
  </cols>
  <sheetData>
    <row r="1" spans="1:16" ht="15" thickBot="1" x14ac:dyDescent="0.35">
      <c r="A1" s="169"/>
      <c r="B1" s="188"/>
      <c r="C1" s="1307" t="s">
        <v>40</v>
      </c>
      <c r="D1" s="1308"/>
      <c r="E1" s="1308"/>
      <c r="F1" s="1308"/>
      <c r="G1" s="1308"/>
      <c r="H1" s="1308"/>
      <c r="I1" s="1308"/>
      <c r="J1" s="1308"/>
      <c r="K1" s="1308"/>
      <c r="L1" s="1308"/>
      <c r="M1" s="1308"/>
      <c r="N1" s="1328" t="s">
        <v>1663</v>
      </c>
      <c r="O1" s="1303"/>
      <c r="P1" s="1304"/>
    </row>
    <row r="2" spans="1:16" ht="15" thickBot="1" x14ac:dyDescent="0.35">
      <c r="A2" s="170"/>
      <c r="B2" s="190"/>
      <c r="C2" s="1310"/>
      <c r="D2" s="1311"/>
      <c r="E2" s="1311"/>
      <c r="F2" s="1311"/>
      <c r="G2" s="1311"/>
      <c r="H2" s="1311"/>
      <c r="I2" s="1311"/>
      <c r="J2" s="1311"/>
      <c r="K2" s="1311"/>
      <c r="L2" s="1311"/>
      <c r="M2" s="1311"/>
      <c r="N2" s="1329" t="s">
        <v>41</v>
      </c>
      <c r="O2" s="1305"/>
      <c r="P2" s="1306"/>
    </row>
    <row r="3" spans="1:16" x14ac:dyDescent="0.3">
      <c r="A3" s="1292" t="s">
        <v>42</v>
      </c>
      <c r="B3" s="1292"/>
      <c r="C3" s="1292"/>
      <c r="D3" s="1292"/>
      <c r="E3" s="1292"/>
      <c r="F3" s="1292"/>
      <c r="G3" s="1292"/>
      <c r="H3" s="1292"/>
      <c r="I3" s="1292"/>
      <c r="J3" s="1292"/>
      <c r="K3" s="1292"/>
      <c r="L3" s="1292"/>
      <c r="M3" s="1292"/>
      <c r="N3" s="1292"/>
      <c r="O3" s="1292"/>
      <c r="P3" s="1292"/>
    </row>
    <row r="4" spans="1:16" x14ac:dyDescent="0.3">
      <c r="A4" s="1292" t="s">
        <v>43</v>
      </c>
      <c r="B4" s="1292"/>
      <c r="C4" s="1292"/>
      <c r="D4" s="1292"/>
      <c r="E4" s="1292"/>
      <c r="F4" s="1292"/>
      <c r="G4" s="1292"/>
      <c r="H4" s="1292"/>
      <c r="I4" s="1292"/>
      <c r="J4" s="1292"/>
      <c r="K4" s="1292"/>
      <c r="L4" s="1292"/>
      <c r="M4" s="1292"/>
      <c r="N4" s="1292"/>
      <c r="O4" s="1292"/>
      <c r="P4" s="1292"/>
    </row>
    <row r="5" spans="1:16" x14ac:dyDescent="0.3">
      <c r="A5" s="1292" t="s">
        <v>44</v>
      </c>
      <c r="B5" s="1292"/>
      <c r="C5" s="1292"/>
      <c r="D5" s="1292"/>
      <c r="E5" s="1292"/>
      <c r="F5" s="1292"/>
      <c r="G5" s="1292"/>
      <c r="H5" s="1292"/>
      <c r="I5" s="1292"/>
      <c r="J5" s="1292"/>
      <c r="K5" s="1292"/>
      <c r="L5" s="1292"/>
      <c r="M5" s="1292"/>
      <c r="N5" s="1292"/>
      <c r="O5" s="1292"/>
      <c r="P5" s="1292"/>
    </row>
    <row r="6" spans="1:16" x14ac:dyDescent="0.3">
      <c r="A6" s="1292" t="s">
        <v>45</v>
      </c>
      <c r="B6" s="1292"/>
      <c r="C6" s="1292"/>
      <c r="D6" s="1292"/>
      <c r="E6" s="1292"/>
      <c r="F6" s="1292"/>
      <c r="G6" s="1292"/>
      <c r="H6" s="1292"/>
      <c r="I6" s="1292"/>
      <c r="J6" s="1292"/>
      <c r="K6" s="1292"/>
      <c r="L6" s="1292"/>
      <c r="M6" s="1292"/>
      <c r="N6" s="1292"/>
      <c r="O6" s="1292"/>
      <c r="P6" s="1292"/>
    </row>
    <row r="7" spans="1:16" x14ac:dyDescent="0.3">
      <c r="A7" s="1508" t="s">
        <v>1789</v>
      </c>
      <c r="B7" s="1509"/>
      <c r="C7" s="1509"/>
      <c r="D7" s="1509"/>
      <c r="E7" s="1509"/>
      <c r="F7" s="1509"/>
      <c r="G7" s="1509"/>
      <c r="H7" s="1509"/>
      <c r="I7" s="1509"/>
      <c r="J7" s="1509"/>
      <c r="K7" s="1509"/>
      <c r="L7" s="1509"/>
      <c r="M7" s="1509"/>
      <c r="N7" s="1509"/>
      <c r="O7" s="1509"/>
      <c r="P7" s="1509"/>
    </row>
    <row r="8" spans="1:16" x14ac:dyDescent="0.3">
      <c r="A8" s="1292" t="s">
        <v>2312</v>
      </c>
      <c r="B8" s="1292"/>
      <c r="C8" s="1292"/>
      <c r="D8" s="1292"/>
      <c r="E8" s="1292"/>
      <c r="F8" s="1292"/>
      <c r="G8" s="1292"/>
      <c r="H8" s="1292"/>
      <c r="I8" s="1292"/>
      <c r="J8" s="1292"/>
      <c r="K8" s="1292"/>
      <c r="L8" s="1292"/>
      <c r="M8" s="1292"/>
      <c r="N8" s="1292"/>
      <c r="O8" s="1292"/>
      <c r="P8" s="1292"/>
    </row>
    <row r="9" spans="1:16" x14ac:dyDescent="0.3">
      <c r="A9" s="1292" t="s">
        <v>2305</v>
      </c>
      <c r="B9" s="1292"/>
      <c r="C9" s="1292"/>
      <c r="D9" s="1292"/>
      <c r="E9" s="1292"/>
      <c r="F9" s="1292"/>
      <c r="G9" s="1292"/>
      <c r="H9" s="1292"/>
      <c r="I9" s="1292"/>
      <c r="J9" s="1292"/>
      <c r="K9" s="1292"/>
      <c r="L9" s="1292"/>
      <c r="M9" s="1292"/>
      <c r="N9" s="1292"/>
      <c r="O9" s="1292"/>
      <c r="P9" s="1292"/>
    </row>
    <row r="10" spans="1:16" x14ac:dyDescent="0.3">
      <c r="A10" s="1292" t="s">
        <v>1803</v>
      </c>
      <c r="B10" s="1292"/>
      <c r="C10" s="1292"/>
      <c r="D10" s="1292"/>
      <c r="E10" s="1292"/>
      <c r="F10" s="1292"/>
      <c r="G10" s="1292"/>
      <c r="H10" s="1292"/>
      <c r="I10" s="1292"/>
      <c r="J10" s="1292"/>
      <c r="K10" s="1292"/>
      <c r="L10" s="1292"/>
      <c r="M10" s="1292"/>
      <c r="N10" s="1292"/>
      <c r="O10" s="1292"/>
      <c r="P10" s="1292"/>
    </row>
    <row r="11" spans="1:16" x14ac:dyDescent="0.3">
      <c r="A11" s="637"/>
      <c r="B11" s="1301"/>
      <c r="C11" s="1313"/>
      <c r="D11" s="1313"/>
      <c r="E11" s="1313"/>
      <c r="F11" s="1313"/>
      <c r="G11" s="1313"/>
      <c r="H11" s="1313"/>
      <c r="I11" s="1313"/>
      <c r="J11" s="1313"/>
      <c r="K11" s="1293" t="s">
        <v>2313</v>
      </c>
      <c r="L11" s="1294"/>
      <c r="M11" s="1295"/>
      <c r="N11" s="1299" t="s">
        <v>49</v>
      </c>
      <c r="O11" s="1299"/>
      <c r="P11" s="1299"/>
    </row>
    <row r="12" spans="1:16" x14ac:dyDescent="0.3">
      <c r="A12" s="171"/>
      <c r="B12" s="1301"/>
      <c r="C12" s="1302"/>
      <c r="D12" s="1302"/>
      <c r="E12" s="1302"/>
      <c r="F12" s="1302"/>
      <c r="G12" s="1302"/>
      <c r="H12" s="1302"/>
      <c r="I12" s="1302"/>
      <c r="J12" s="1302"/>
      <c r="K12" s="1325"/>
      <c r="L12" s="1326"/>
      <c r="M12" s="1327"/>
      <c r="N12" s="1300"/>
      <c r="O12" s="1300"/>
      <c r="P12" s="1300"/>
    </row>
    <row r="13" spans="1:16"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row>
    <row r="14" spans="1:16" ht="45" customHeight="1" x14ac:dyDescent="0.3">
      <c r="A14" s="1289" t="s">
        <v>151</v>
      </c>
      <c r="B14" s="1289" t="s">
        <v>216</v>
      </c>
      <c r="C14" s="843" t="s">
        <v>81</v>
      </c>
      <c r="D14" s="843" t="s">
        <v>82</v>
      </c>
      <c r="E14" s="843">
        <v>0.7</v>
      </c>
      <c r="F14" s="32">
        <v>1880385</v>
      </c>
      <c r="G14" s="32">
        <f>+ROUND(F14*1.051,0)</f>
        <v>1976285</v>
      </c>
      <c r="H14" s="32">
        <f>ROUND((E14*F14),0)</f>
        <v>1316270</v>
      </c>
      <c r="I14" s="32">
        <f>+ROUND(G14*E14,0)</f>
        <v>1383400</v>
      </c>
      <c r="J14" s="1290" t="s">
        <v>1801</v>
      </c>
      <c r="K14" s="536">
        <v>0</v>
      </c>
      <c r="L14" s="685">
        <f>ROUND(K14*G14,0)</f>
        <v>0</v>
      </c>
      <c r="M14" s="684">
        <f>L14/I14</f>
        <v>0</v>
      </c>
      <c r="N14" s="536">
        <f>K14</f>
        <v>0</v>
      </c>
      <c r="O14" s="685">
        <f>L14</f>
        <v>0</v>
      </c>
      <c r="P14" s="684">
        <f>O14/I14</f>
        <v>0</v>
      </c>
    </row>
    <row r="15" spans="1:16" ht="43.2" x14ac:dyDescent="0.3">
      <c r="A15" s="1289"/>
      <c r="B15" s="1289"/>
      <c r="C15" s="843" t="s">
        <v>83</v>
      </c>
      <c r="D15" s="843" t="s">
        <v>84</v>
      </c>
      <c r="E15" s="843">
        <v>0.7</v>
      </c>
      <c r="F15" s="32">
        <v>1845563</v>
      </c>
      <c r="G15" s="32">
        <f t="shared" ref="G15:G16" si="0">+ROUND(F15*1.051,0)</f>
        <v>1939687</v>
      </c>
      <c r="H15" s="32">
        <f>ROUND((E15*F15),0)</f>
        <v>1291894</v>
      </c>
      <c r="I15" s="32">
        <f>+ROUND(G15*E15,0)</f>
        <v>1357781</v>
      </c>
      <c r="J15" s="1289"/>
      <c r="K15" s="799">
        <v>0</v>
      </c>
      <c r="L15" s="685">
        <f t="shared" ref="L15:L16" si="1">ROUND(K15*G15,0)</f>
        <v>0</v>
      </c>
      <c r="M15" s="684">
        <f t="shared" ref="M15:M16" si="2">L15/I15</f>
        <v>0</v>
      </c>
      <c r="N15" s="536">
        <f>K15</f>
        <v>0</v>
      </c>
      <c r="O15" s="685">
        <f t="shared" ref="O15:O16" si="3">L15</f>
        <v>0</v>
      </c>
      <c r="P15" s="684">
        <f t="shared" ref="P15:P20" si="4">O15/I15</f>
        <v>0</v>
      </c>
    </row>
    <row r="16" spans="1:16" ht="43.2" x14ac:dyDescent="0.3">
      <c r="A16" s="1289"/>
      <c r="B16" s="1289"/>
      <c r="C16" s="843" t="s">
        <v>61</v>
      </c>
      <c r="D16" s="843" t="s">
        <v>85</v>
      </c>
      <c r="E16" s="843">
        <v>0.7</v>
      </c>
      <c r="F16" s="32">
        <v>7312607</v>
      </c>
      <c r="G16" s="32">
        <f t="shared" si="0"/>
        <v>7685550</v>
      </c>
      <c r="H16" s="32">
        <f>ROUND((E16*F16),0)</f>
        <v>5118825</v>
      </c>
      <c r="I16" s="32">
        <f>+ROUND(G16*E16,0)</f>
        <v>5379885</v>
      </c>
      <c r="J16" s="1289"/>
      <c r="K16" s="799">
        <v>0</v>
      </c>
      <c r="L16" s="685">
        <f t="shared" si="1"/>
        <v>0</v>
      </c>
      <c r="M16" s="684">
        <f t="shared" si="2"/>
        <v>0</v>
      </c>
      <c r="N16" s="536">
        <f>K16</f>
        <v>0</v>
      </c>
      <c r="O16" s="685">
        <f t="shared" si="3"/>
        <v>0</v>
      </c>
      <c r="P16" s="684">
        <f t="shared" si="4"/>
        <v>0</v>
      </c>
    </row>
    <row r="17" spans="1:16" x14ac:dyDescent="0.3">
      <c r="A17" s="1289"/>
      <c r="B17" s="1289"/>
      <c r="C17" s="39"/>
      <c r="D17" s="39" t="s">
        <v>86</v>
      </c>
      <c r="E17" s="41"/>
      <c r="F17" s="41"/>
      <c r="G17" s="41"/>
      <c r="H17" s="42">
        <f>SUM(H14:H16)</f>
        <v>7726989</v>
      </c>
      <c r="I17" s="42">
        <f>SUM(I14:I16)</f>
        <v>8121066</v>
      </c>
      <c r="J17" s="1289"/>
      <c r="K17" s="40"/>
      <c r="L17" s="683">
        <f>SUM(L14:L16)</f>
        <v>0</v>
      </c>
      <c r="M17" s="519">
        <f t="shared" ref="M17:M20" si="5">L17/H17</f>
        <v>0</v>
      </c>
      <c r="N17" s="40"/>
      <c r="O17" s="683">
        <f>SUM(O14:O16)</f>
        <v>0</v>
      </c>
      <c r="P17" s="1100">
        <f t="shared" si="4"/>
        <v>0</v>
      </c>
    </row>
    <row r="18" spans="1:16" ht="45" customHeight="1" x14ac:dyDescent="0.3">
      <c r="A18" s="1289" t="s">
        <v>151</v>
      </c>
      <c r="B18" s="1289" t="s">
        <v>195</v>
      </c>
      <c r="C18" s="843" t="s">
        <v>83</v>
      </c>
      <c r="D18" s="843" t="s">
        <v>91</v>
      </c>
      <c r="E18" s="843">
        <v>0.7</v>
      </c>
      <c r="F18" s="32">
        <v>1671452</v>
      </c>
      <c r="G18" s="32">
        <f t="shared" ref="G18:G19" si="6">+ROUND(F18*1.051,0)</f>
        <v>1756696</v>
      </c>
      <c r="H18" s="32">
        <f>ROUND((E18*F18),0)</f>
        <v>1170016</v>
      </c>
      <c r="I18" s="32">
        <f>+ROUND(G18*E18,0)</f>
        <v>1229687</v>
      </c>
      <c r="J18" s="1290" t="s">
        <v>1802</v>
      </c>
      <c r="K18" s="799">
        <v>0</v>
      </c>
      <c r="L18" s="685">
        <f t="shared" ref="L18:L19" si="7">ROUND(K18*G18,0)</f>
        <v>0</v>
      </c>
      <c r="M18" s="684">
        <f t="shared" ref="M18:M19" si="8">L18/I18</f>
        <v>0</v>
      </c>
      <c r="N18" s="536">
        <f>K18</f>
        <v>0</v>
      </c>
      <c r="O18" s="685">
        <f>L18</f>
        <v>0</v>
      </c>
      <c r="P18" s="684">
        <f t="shared" si="4"/>
        <v>0</v>
      </c>
    </row>
    <row r="19" spans="1:16" ht="60.75" customHeight="1" x14ac:dyDescent="0.3">
      <c r="A19" s="1289"/>
      <c r="B19" s="1289"/>
      <c r="C19" s="843" t="s">
        <v>61</v>
      </c>
      <c r="D19" s="843" t="s">
        <v>92</v>
      </c>
      <c r="E19" s="843">
        <v>0.7</v>
      </c>
      <c r="F19" s="32">
        <v>6233126</v>
      </c>
      <c r="G19" s="32">
        <f t="shared" si="6"/>
        <v>6551015</v>
      </c>
      <c r="H19" s="32">
        <f>ROUND((E19*F19),0)</f>
        <v>4363188</v>
      </c>
      <c r="I19" s="32">
        <f>+ROUND(G19*E19,0)</f>
        <v>4585711</v>
      </c>
      <c r="J19" s="1289"/>
      <c r="K19" s="799">
        <v>0</v>
      </c>
      <c r="L19" s="685">
        <f t="shared" si="7"/>
        <v>0</v>
      </c>
      <c r="M19" s="684">
        <f t="shared" si="8"/>
        <v>0</v>
      </c>
      <c r="N19" s="536">
        <f>K19</f>
        <v>0</v>
      </c>
      <c r="O19" s="685">
        <f>L19</f>
        <v>0</v>
      </c>
      <c r="P19" s="684">
        <f t="shared" si="4"/>
        <v>0</v>
      </c>
    </row>
    <row r="20" spans="1:16" x14ac:dyDescent="0.3">
      <c r="A20" s="1289"/>
      <c r="B20" s="1289"/>
      <c r="C20" s="39"/>
      <c r="D20" s="39" t="s">
        <v>63</v>
      </c>
      <c r="E20" s="41"/>
      <c r="F20" s="41"/>
      <c r="G20" s="41"/>
      <c r="H20" s="42">
        <f>SUM(H18:H19)</f>
        <v>5533204</v>
      </c>
      <c r="I20" s="42">
        <f>SUM(I18:I19)</f>
        <v>5815398</v>
      </c>
      <c r="J20" s="1289"/>
      <c r="K20" s="41"/>
      <c r="L20" s="683">
        <f>SUM(L18:L19)</f>
        <v>0</v>
      </c>
      <c r="M20" s="519">
        <f t="shared" si="5"/>
        <v>0</v>
      </c>
      <c r="N20" s="40"/>
      <c r="O20" s="683">
        <f>SUM(O18:O19)</f>
        <v>0</v>
      </c>
      <c r="P20" s="1100">
        <f t="shared" si="4"/>
        <v>0</v>
      </c>
    </row>
    <row r="21" spans="1:16" x14ac:dyDescent="0.3">
      <c r="A21" s="638"/>
      <c r="B21" s="638"/>
      <c r="C21" s="638"/>
      <c r="D21" s="638"/>
      <c r="E21" s="638"/>
      <c r="F21" s="686" t="s">
        <v>1740</v>
      </c>
      <c r="G21" s="686"/>
      <c r="H21" s="687">
        <f>0+H17+H20</f>
        <v>13260193</v>
      </c>
      <c r="I21" s="687">
        <f>0+I17+I20</f>
        <v>13936464</v>
      </c>
      <c r="J21" s="638"/>
      <c r="K21" s="547" t="s">
        <v>64</v>
      </c>
      <c r="L21" s="688">
        <f>SUM(L14:L20)/2</f>
        <v>0</v>
      </c>
      <c r="M21" s="638"/>
      <c r="N21" s="547" t="s">
        <v>64</v>
      </c>
      <c r="O21" s="688">
        <f>SUM(O14:O20)/2</f>
        <v>0</v>
      </c>
      <c r="P21" s="638"/>
    </row>
    <row r="22" spans="1:16" ht="26.4" x14ac:dyDescent="0.3">
      <c r="A22" s="638"/>
      <c r="B22" s="638"/>
      <c r="C22" s="638"/>
      <c r="D22" s="638"/>
      <c r="E22" s="638"/>
      <c r="F22" s="444" t="s">
        <v>65</v>
      </c>
      <c r="G22" s="444"/>
      <c r="H22" s="181">
        <v>0</v>
      </c>
      <c r="I22" s="181">
        <v>0</v>
      </c>
      <c r="J22" s="638"/>
      <c r="K22" s="548" t="s">
        <v>65</v>
      </c>
      <c r="L22" s="481"/>
      <c r="M22" s="638"/>
      <c r="N22" s="548" t="s">
        <v>65</v>
      </c>
      <c r="O22" s="481"/>
      <c r="P22" s="638"/>
    </row>
    <row r="23" spans="1:16" x14ac:dyDescent="0.3">
      <c r="A23" s="638"/>
      <c r="B23" s="638"/>
      <c r="C23" s="638"/>
      <c r="D23" s="638"/>
      <c r="E23" s="638"/>
      <c r="F23" s="443" t="s">
        <v>1740</v>
      </c>
      <c r="G23" s="443"/>
      <c r="H23" s="340">
        <f>+H22+H21</f>
        <v>13260193</v>
      </c>
      <c r="I23" s="340">
        <f>+I22+I21</f>
        <v>13936464</v>
      </c>
      <c r="J23" s="638"/>
      <c r="K23" s="549" t="s">
        <v>64</v>
      </c>
      <c r="L23" s="481">
        <f>L21+L22</f>
        <v>0</v>
      </c>
      <c r="M23" s="638"/>
      <c r="N23" s="549" t="s">
        <v>64</v>
      </c>
      <c r="O23" s="481">
        <f>O21+O22</f>
        <v>0</v>
      </c>
      <c r="P23" s="638"/>
    </row>
    <row r="24" spans="1:16" ht="26.4" x14ac:dyDescent="0.3">
      <c r="A24" s="638"/>
      <c r="B24" s="638"/>
      <c r="C24" s="638"/>
      <c r="D24" s="638"/>
      <c r="E24" s="638"/>
      <c r="F24" s="659"/>
      <c r="G24" s="659"/>
      <c r="H24" s="659"/>
      <c r="I24" s="659"/>
      <c r="J24" s="638"/>
      <c r="K24" s="501" t="s">
        <v>1439</v>
      </c>
      <c r="L24" s="481">
        <f>ROUND(L23*0.015,0)</f>
        <v>0</v>
      </c>
      <c r="M24" s="638"/>
      <c r="N24" s="501" t="s">
        <v>1439</v>
      </c>
      <c r="O24" s="481">
        <f>+L24</f>
        <v>0</v>
      </c>
      <c r="P24" s="638"/>
    </row>
    <row r="25" spans="1:16" ht="26.4" x14ac:dyDescent="0.3">
      <c r="A25" s="638"/>
      <c r="B25" s="638"/>
      <c r="C25" s="638"/>
      <c r="D25" s="638"/>
      <c r="E25" s="638"/>
      <c r="F25" s="659"/>
      <c r="G25" s="659"/>
      <c r="H25" s="659"/>
      <c r="I25" s="659"/>
      <c r="J25" s="638"/>
      <c r="K25" s="96" t="s">
        <v>1440</v>
      </c>
      <c r="L25" s="425">
        <f>L23+L24</f>
        <v>0</v>
      </c>
      <c r="M25" s="678">
        <f>L25/I21</f>
        <v>0</v>
      </c>
      <c r="N25" s="96" t="s">
        <v>1440</v>
      </c>
      <c r="O25" s="425">
        <f>O23+O24</f>
        <v>0</v>
      </c>
      <c r="P25" s="678">
        <f>O25/I21</f>
        <v>0</v>
      </c>
    </row>
    <row r="26" spans="1:16" x14ac:dyDescent="0.3">
      <c r="A26" s="638"/>
      <c r="B26" s="638"/>
      <c r="C26" s="638"/>
      <c r="D26" s="638"/>
      <c r="E26" s="638"/>
      <c r="F26" s="442" t="s">
        <v>66</v>
      </c>
      <c r="G26" s="442"/>
      <c r="H26" s="181">
        <f>+H21*19%</f>
        <v>2519436.67</v>
      </c>
      <c r="I26" s="181">
        <f>+I21*19%</f>
        <v>2647928.16</v>
      </c>
      <c r="J26" s="638"/>
      <c r="K26" s="551" t="s">
        <v>66</v>
      </c>
      <c r="L26" s="672">
        <f>L25*0.19</f>
        <v>0</v>
      </c>
      <c r="M26" s="638"/>
      <c r="N26" s="551" t="s">
        <v>66</v>
      </c>
      <c r="O26" s="672">
        <f>O25*0.19</f>
        <v>0</v>
      </c>
      <c r="P26" s="638"/>
    </row>
    <row r="27" spans="1:16" x14ac:dyDescent="0.3">
      <c r="A27" s="638"/>
      <c r="B27" s="638"/>
      <c r="C27" s="638"/>
      <c r="D27" s="638"/>
      <c r="E27" s="638"/>
      <c r="F27" s="441" t="s">
        <v>69</v>
      </c>
      <c r="G27" s="441"/>
      <c r="H27" s="181">
        <f>+H21+H26</f>
        <v>15779629.67</v>
      </c>
      <c r="I27" s="181">
        <f>+I21+I26</f>
        <v>16584392.16</v>
      </c>
      <c r="J27" s="638"/>
      <c r="K27" s="552" t="s">
        <v>69</v>
      </c>
      <c r="L27" s="672">
        <f>L25+L26</f>
        <v>0</v>
      </c>
      <c r="M27" s="638"/>
      <c r="N27" s="552" t="s">
        <v>69</v>
      </c>
      <c r="O27" s="672">
        <f>O25+O26</f>
        <v>0</v>
      </c>
      <c r="P27" s="638"/>
    </row>
    <row r="28" spans="1:16" x14ac:dyDescent="0.3">
      <c r="A28" s="638"/>
      <c r="B28" s="638"/>
      <c r="C28" s="638"/>
      <c r="D28" s="638"/>
      <c r="E28" s="638"/>
      <c r="F28" s="638"/>
      <c r="H28" s="638"/>
      <c r="J28" s="638"/>
      <c r="K28" s="638"/>
      <c r="L28" s="638"/>
      <c r="M28" s="638"/>
      <c r="N28" s="638"/>
      <c r="O28" s="638"/>
      <c r="P28" s="638"/>
    </row>
    <row r="29" spans="1:16" x14ac:dyDescent="0.3">
      <c r="A29" s="665" t="s">
        <v>67</v>
      </c>
      <c r="B29" s="184"/>
      <c r="C29" s="184"/>
      <c r="D29" s="185" t="s">
        <v>68</v>
      </c>
      <c r="E29" s="638"/>
      <c r="F29" s="638"/>
      <c r="H29" s="638"/>
      <c r="J29" s="638"/>
      <c r="K29" s="186" t="s">
        <v>70</v>
      </c>
      <c r="L29" s="187" t="s">
        <v>71</v>
      </c>
      <c r="M29" s="186" t="s">
        <v>58</v>
      </c>
      <c r="N29" s="638"/>
      <c r="O29" s="638"/>
      <c r="P29" s="638"/>
    </row>
    <row r="30" spans="1:16" x14ac:dyDescent="0.3">
      <c r="A30" s="665"/>
      <c r="B30" s="184"/>
      <c r="C30" s="184"/>
      <c r="D30" s="185"/>
      <c r="E30" s="638"/>
      <c r="F30" s="638"/>
      <c r="H30" s="638"/>
      <c r="J30" s="638"/>
      <c r="K30" s="69" t="s">
        <v>72</v>
      </c>
      <c r="L30" s="70">
        <f>L25</f>
        <v>0</v>
      </c>
      <c r="M30" s="360">
        <f>M25</f>
        <v>0</v>
      </c>
      <c r="N30" s="638"/>
      <c r="O30" s="638"/>
      <c r="P30" s="638"/>
    </row>
    <row r="31" spans="1:16" x14ac:dyDescent="0.3">
      <c r="A31" s="665"/>
      <c r="B31" s="184"/>
      <c r="C31" s="184"/>
      <c r="D31" s="185"/>
      <c r="E31" s="638"/>
      <c r="F31" s="638"/>
      <c r="H31" s="638"/>
      <c r="J31" s="638"/>
      <c r="K31" s="72" t="s">
        <v>1</v>
      </c>
      <c r="L31" s="105">
        <f>L30</f>
        <v>0</v>
      </c>
      <c r="M31" s="361">
        <f>M30</f>
        <v>0</v>
      </c>
      <c r="N31" s="638"/>
      <c r="O31" s="638"/>
      <c r="P31" s="638"/>
    </row>
    <row r="32" spans="1:16" x14ac:dyDescent="0.3">
      <c r="A32" s="665"/>
      <c r="B32" s="184"/>
      <c r="C32" s="184"/>
      <c r="D32" s="185"/>
      <c r="E32" s="638"/>
      <c r="F32" s="638"/>
      <c r="H32" s="638"/>
      <c r="J32" s="638"/>
      <c r="K32" s="72" t="s">
        <v>9</v>
      </c>
      <c r="L32" s="1423"/>
      <c r="M32" s="1424"/>
      <c r="N32" s="638"/>
      <c r="O32" s="638"/>
      <c r="P32" s="638"/>
    </row>
    <row r="33" spans="1:16" x14ac:dyDescent="0.3">
      <c r="A33" s="665"/>
      <c r="B33" s="184"/>
      <c r="C33" s="184"/>
      <c r="D33" s="185"/>
      <c r="E33" s="638"/>
      <c r="F33" s="638"/>
      <c r="H33" s="638"/>
      <c r="J33" s="638"/>
      <c r="K33" s="440" t="s">
        <v>78</v>
      </c>
      <c r="L33" s="1423" t="s">
        <v>1605</v>
      </c>
      <c r="M33" s="1424"/>
      <c r="N33" s="638"/>
      <c r="O33" s="638"/>
      <c r="P33" s="638"/>
    </row>
    <row r="34" spans="1:16" x14ac:dyDescent="0.3">
      <c r="A34" s="665"/>
      <c r="B34" s="184"/>
      <c r="C34" s="184"/>
      <c r="D34" s="185"/>
      <c r="E34" s="638"/>
      <c r="F34" s="638"/>
      <c r="H34" s="638"/>
      <c r="J34" s="638"/>
      <c r="K34" s="439" t="s">
        <v>8</v>
      </c>
      <c r="L34" s="1425" t="s">
        <v>1604</v>
      </c>
      <c r="M34" s="1426"/>
      <c r="N34" s="638"/>
      <c r="O34" s="638"/>
      <c r="P34" s="638"/>
    </row>
    <row r="35" spans="1:16" x14ac:dyDescent="0.3">
      <c r="A35" s="665"/>
      <c r="B35" s="184"/>
      <c r="C35" s="184"/>
      <c r="D35" s="185" t="s">
        <v>75</v>
      </c>
      <c r="E35" s="638"/>
      <c r="F35" s="638"/>
      <c r="H35" s="638"/>
      <c r="J35" s="638"/>
      <c r="K35" s="638"/>
      <c r="L35" s="638"/>
      <c r="M35" s="638"/>
      <c r="N35" s="638"/>
      <c r="O35" s="638"/>
      <c r="P35" s="638"/>
    </row>
    <row r="36" spans="1:16" x14ac:dyDescent="0.3">
      <c r="A36" s="665" t="s">
        <v>76</v>
      </c>
      <c r="B36" s="180"/>
      <c r="C36" s="180"/>
      <c r="D36" s="185" t="s">
        <v>77</v>
      </c>
      <c r="E36" s="638"/>
      <c r="F36" s="638"/>
      <c r="H36" s="638"/>
      <c r="J36" s="638"/>
      <c r="K36" s="638"/>
      <c r="L36" s="638"/>
      <c r="M36" s="638"/>
      <c r="N36" s="638"/>
      <c r="O36" s="638"/>
      <c r="P36" s="638"/>
    </row>
    <row r="37" spans="1:16" x14ac:dyDescent="0.3">
      <c r="A37" s="665" t="s">
        <v>79</v>
      </c>
      <c r="B37" s="180"/>
      <c r="C37" s="180"/>
      <c r="D37" s="185" t="s">
        <v>80</v>
      </c>
      <c r="E37" s="638"/>
      <c r="F37" s="638"/>
      <c r="H37" s="638"/>
      <c r="J37" s="638"/>
      <c r="K37" s="638"/>
      <c r="L37" s="638"/>
      <c r="M37" s="638"/>
      <c r="N37" s="638"/>
      <c r="O37" s="638"/>
      <c r="P37" s="638"/>
    </row>
    <row r="38" spans="1:16" x14ac:dyDescent="0.3">
      <c r="A38" s="638"/>
      <c r="B38" s="638"/>
      <c r="C38" s="638"/>
      <c r="D38" s="638"/>
      <c r="E38" s="638"/>
      <c r="F38" s="638"/>
      <c r="H38" s="638"/>
      <c r="J38" s="638"/>
      <c r="K38" s="638"/>
      <c r="L38" s="638"/>
      <c r="M38" s="638"/>
      <c r="N38" s="638"/>
      <c r="O38" s="638"/>
      <c r="P38" s="638"/>
    </row>
  </sheetData>
  <mergeCells count="24">
    <mergeCell ref="B11:J11"/>
    <mergeCell ref="K11:M12"/>
    <mergeCell ref="N11:P12"/>
    <mergeCell ref="B12:J12"/>
    <mergeCell ref="C1:M2"/>
    <mergeCell ref="N1:P1"/>
    <mergeCell ref="N2:P2"/>
    <mergeCell ref="A3:P3"/>
    <mergeCell ref="A4:P4"/>
    <mergeCell ref="A5:P5"/>
    <mergeCell ref="A6:P6"/>
    <mergeCell ref="A7:P7"/>
    <mergeCell ref="A8:P8"/>
    <mergeCell ref="A9:P9"/>
    <mergeCell ref="A10:P10"/>
    <mergeCell ref="L32:M32"/>
    <mergeCell ref="L33:M33"/>
    <mergeCell ref="L34:M34"/>
    <mergeCell ref="A14:A17"/>
    <mergeCell ref="B14:B17"/>
    <mergeCell ref="J14:J17"/>
    <mergeCell ref="A18:A20"/>
    <mergeCell ref="B18:B20"/>
    <mergeCell ref="J18:J20"/>
  </mergeCells>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7">
    <tabColor theme="1"/>
  </sheetPr>
  <dimension ref="A1:G49"/>
  <sheetViews>
    <sheetView topLeftCell="A13" zoomScaleNormal="100" zoomScaleSheetLayoutView="8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RESUMEN!G118</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RESUMEN!B118</f>
        <v>D00249540</v>
      </c>
      <c r="C7" s="1265"/>
      <c r="D7" s="1177"/>
      <c r="E7" s="1266" t="s">
        <v>627</v>
      </c>
      <c r="F7" s="1267"/>
      <c r="G7" s="280" t="str">
        <f>RESUMEN!E118</f>
        <v>17-406</v>
      </c>
    </row>
    <row r="8" spans="1:7" x14ac:dyDescent="0.25">
      <c r="A8" s="271" t="s">
        <v>628</v>
      </c>
      <c r="B8" s="1264" t="str">
        <f>RESUMEN!C118</f>
        <v>D00249540000</v>
      </c>
      <c r="C8" s="1265"/>
      <c r="D8" s="1177"/>
      <c r="E8" s="1266" t="s">
        <v>629</v>
      </c>
      <c r="F8" s="1267"/>
      <c r="G8" s="280" t="str">
        <f>RESUMEN!U118</f>
        <v>Acta N° 2: Marzo</v>
      </c>
    </row>
    <row r="9" spans="1:7" x14ac:dyDescent="0.25">
      <c r="A9" s="271" t="s">
        <v>630</v>
      </c>
      <c r="B9" s="1283" t="s">
        <v>631</v>
      </c>
      <c r="C9" s="1265"/>
      <c r="D9" s="1177"/>
      <c r="E9" s="1266" t="s">
        <v>632</v>
      </c>
      <c r="F9" s="1267"/>
      <c r="G9" s="1178">
        <f>RESUMEN!H118</f>
        <v>23818208</v>
      </c>
    </row>
    <row r="10" spans="1:7" x14ac:dyDescent="0.25">
      <c r="A10" s="271" t="s">
        <v>633</v>
      </c>
      <c r="B10" s="1283" t="str">
        <f>RESUMEN!D118</f>
        <v>DIAMANTE</v>
      </c>
      <c r="C10" s="1265"/>
      <c r="D10" s="1177"/>
      <c r="E10" s="1266" t="s">
        <v>634</v>
      </c>
      <c r="F10" s="1267"/>
      <c r="G10" s="1178">
        <f>RESUMEN!R118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",RESUMEN!G118)</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RESUMEN!N118</f>
        <v>0</v>
      </c>
      <c r="F19" s="1248"/>
      <c r="G19" s="1177"/>
    </row>
    <row r="20" spans="1:7" ht="27" customHeight="1" x14ac:dyDescent="0.25">
      <c r="A20" s="1177"/>
      <c r="B20" s="1244" t="s">
        <v>1498</v>
      </c>
      <c r="C20" s="1245"/>
      <c r="D20" s="1246"/>
      <c r="E20" s="1247">
        <f>RESUMEN!P118</f>
        <v>0</v>
      </c>
      <c r="F20" s="1248"/>
      <c r="G20" s="1177"/>
    </row>
    <row r="21" spans="1:7" ht="27" customHeight="1" x14ac:dyDescent="0.25">
      <c r="A21" s="1177"/>
      <c r="B21" s="1244" t="s">
        <v>1499</v>
      </c>
      <c r="C21" s="1245"/>
      <c r="D21" s="1246"/>
      <c r="E21" s="1247">
        <f>RESUMEN!Q118</f>
        <v>0</v>
      </c>
      <c r="F21" s="1248"/>
      <c r="G21" s="1177"/>
    </row>
    <row r="22" spans="1:7" x14ac:dyDescent="0.25">
      <c r="A22" s="1177"/>
      <c r="B22" s="1254" t="s">
        <v>64</v>
      </c>
      <c r="C22" s="1254"/>
      <c r="D22" s="1254"/>
      <c r="E22" s="1255">
        <f>RESUMEN!R118</f>
        <v>0</v>
      </c>
      <c r="F22" s="1255"/>
      <c r="G22" s="1177"/>
    </row>
    <row r="23" spans="1:7" x14ac:dyDescent="0.25">
      <c r="A23" s="1177"/>
      <c r="B23" s="1256" t="s">
        <v>66</v>
      </c>
      <c r="C23" s="1256"/>
      <c r="D23" s="1256"/>
      <c r="E23" s="1257">
        <f>RESUMEN!S118</f>
        <v>0</v>
      </c>
      <c r="F23" s="1257"/>
      <c r="G23" s="1177"/>
    </row>
    <row r="24" spans="1:7" x14ac:dyDescent="0.25">
      <c r="A24" s="1177"/>
      <c r="B24" s="1258" t="s">
        <v>1</v>
      </c>
      <c r="C24" s="1258"/>
      <c r="D24" s="1258"/>
      <c r="E24" s="1259">
        <f>RESUMEN!T118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+'OT17-406 DIAMANTE SSAA'!N39</f>
        <v>ACTA 1</v>
      </c>
      <c r="C28" s="1253">
        <f>+'OT17-406 DIAMANTE SSAA'!O39</f>
        <v>8815192.0590000004</v>
      </c>
      <c r="D28" s="1253"/>
      <c r="E28" s="267">
        <f>+'OT17-406 DIAMANTE SSAA'!P39</f>
        <v>0.36703160196668577</v>
      </c>
      <c r="F28" s="1177"/>
      <c r="G28" s="1177"/>
    </row>
    <row r="29" spans="1:7" x14ac:dyDescent="0.25">
      <c r="A29" s="1177"/>
      <c r="B29" s="280" t="str">
        <f>+'OT17-406 DIAMANTE SSAA'!N40</f>
        <v>ACTA 2</v>
      </c>
      <c r="C29" s="1253">
        <f>+'OT17-406 DIAMANTE SSAA'!O40</f>
        <v>0</v>
      </c>
      <c r="D29" s="1253"/>
      <c r="E29" s="267">
        <f>+'OT17-406 DIAMANTE SSAA'!P40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8815192.0590000004</v>
      </c>
      <c r="D34" s="1251"/>
      <c r="E34" s="264">
        <f>SUM(E28:E33)</f>
        <v>0.36703160196668577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RESUMEN!V118</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8">
    <tabColor rgb="FF72104A"/>
  </sheetPr>
  <dimension ref="A1:S47"/>
  <sheetViews>
    <sheetView topLeftCell="H26" zoomScale="80" zoomScaleNormal="80" zoomScaleSheetLayoutView="70" workbookViewId="0">
      <selection activeCell="I15" sqref="I15"/>
    </sheetView>
  </sheetViews>
  <sheetFormatPr baseColWidth="10" defaultRowHeight="14.4" x14ac:dyDescent="0.3"/>
  <cols>
    <col min="1" max="1" width="25" customWidth="1"/>
    <col min="2" max="2" width="30.88671875" customWidth="1"/>
    <col min="3" max="3" width="37.6640625" customWidth="1"/>
    <col min="4" max="4" width="32.109375" customWidth="1"/>
    <col min="6" max="6" width="19.44140625" customWidth="1"/>
    <col min="7" max="7" width="19.44140625" style="849" customWidth="1"/>
    <col min="8" max="8" width="18.6640625" bestFit="1" customWidth="1"/>
    <col min="9" max="9" width="18.6640625" style="849" customWidth="1"/>
    <col min="10" max="10" width="43.109375" customWidth="1"/>
    <col min="11" max="11" width="16.33203125" bestFit="1" customWidth="1"/>
    <col min="12" max="12" width="19.109375" bestFit="1" customWidth="1"/>
    <col min="14" max="16" width="11.5546875" style="1054"/>
    <col min="17" max="17" width="16.88671875" customWidth="1"/>
    <col min="18" max="18" width="15.8867187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1766</v>
      </c>
      <c r="B4" s="1292"/>
      <c r="C4" s="1292"/>
      <c r="D4" s="1292"/>
      <c r="E4" s="1292"/>
      <c r="F4" s="1292"/>
      <c r="G4" s="1292"/>
      <c r="H4" s="1292"/>
      <c r="I4" s="1292"/>
      <c r="J4" s="1292"/>
      <c r="K4" s="1292"/>
      <c r="L4" s="1292"/>
      <c r="M4" s="1292"/>
      <c r="N4" s="1292"/>
      <c r="O4" s="1292"/>
      <c r="P4" s="1292"/>
      <c r="Q4" s="1292"/>
      <c r="R4" s="1292"/>
      <c r="S4" s="1292"/>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1814</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1982</v>
      </c>
      <c r="L8" s="1294"/>
      <c r="M8" s="1295"/>
      <c r="N8" s="1293" t="s">
        <v>2324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75" customHeight="1" x14ac:dyDescent="0.3">
      <c r="A11" s="1289" t="s">
        <v>1622</v>
      </c>
      <c r="B11" s="1289" t="s">
        <v>240</v>
      </c>
      <c r="C11" s="843" t="s">
        <v>59</v>
      </c>
      <c r="D11" s="843" t="s">
        <v>241</v>
      </c>
      <c r="E11" s="843">
        <v>2</v>
      </c>
      <c r="F11" s="32">
        <v>2437535</v>
      </c>
      <c r="G11" s="32">
        <f>+ROUND(F11*1.051,0)</f>
        <v>2561849</v>
      </c>
      <c r="H11" s="32">
        <f>ROUND((E11*F11),0)</f>
        <v>4875070</v>
      </c>
      <c r="I11" s="32">
        <f>+ROUND(G11*E11,0)</f>
        <v>5123698</v>
      </c>
      <c r="J11" s="1290" t="s">
        <v>1804</v>
      </c>
      <c r="K11" s="536">
        <v>0</v>
      </c>
      <c r="L11" s="685">
        <f>ROUND(K11*G11,0)</f>
        <v>0</v>
      </c>
      <c r="M11" s="684">
        <f>L11/I11</f>
        <v>0</v>
      </c>
      <c r="N11" s="799">
        <v>0</v>
      </c>
      <c r="O11" s="685">
        <f>ROUND(N11*G11,0)</f>
        <v>0</v>
      </c>
      <c r="P11" s="684">
        <f>O11/I11</f>
        <v>0</v>
      </c>
      <c r="Q11" s="536">
        <f>K11+N11</f>
        <v>0</v>
      </c>
      <c r="R11" s="685">
        <f>L11+O11</f>
        <v>0</v>
      </c>
      <c r="S11" s="684">
        <f>R11/I11</f>
        <v>0</v>
      </c>
    </row>
    <row r="12" spans="1:19" x14ac:dyDescent="0.3">
      <c r="A12" s="1289"/>
      <c r="B12" s="1289"/>
      <c r="C12" s="39"/>
      <c r="D12" s="39" t="s">
        <v>242</v>
      </c>
      <c r="E12" s="41"/>
      <c r="F12" s="41"/>
      <c r="G12" s="41"/>
      <c r="H12" s="42">
        <f>H11</f>
        <v>4875070</v>
      </c>
      <c r="I12" s="42">
        <f>SUM(I11)</f>
        <v>5123698</v>
      </c>
      <c r="J12" s="1289"/>
      <c r="K12" s="41"/>
      <c r="L12" s="683">
        <f>SUM(L11:L11)</f>
        <v>0</v>
      </c>
      <c r="M12" s="519">
        <f t="shared" ref="M12:M29" si="0">L12/H12</f>
        <v>0</v>
      </c>
      <c r="N12" s="41"/>
      <c r="O12" s="683">
        <f>SUM(O11:O11)</f>
        <v>0</v>
      </c>
      <c r="P12" s="1100">
        <f t="shared" ref="P12:P29" si="1">O12/I12</f>
        <v>0</v>
      </c>
      <c r="Q12" s="1106">
        <f t="shared" ref="Q12:Q28" si="2">K12+N12</f>
        <v>0</v>
      </c>
      <c r="R12" s="1107">
        <f t="shared" ref="R12:R29" si="3">L12+O12</f>
        <v>0</v>
      </c>
      <c r="S12" s="1100">
        <f t="shared" ref="S12:S29" si="4">R12/I12</f>
        <v>0</v>
      </c>
    </row>
    <row r="13" spans="1:19" s="638" customFormat="1" ht="65.25" customHeight="1" x14ac:dyDescent="0.3">
      <c r="A13" s="1289" t="s">
        <v>1622</v>
      </c>
      <c r="B13" s="1289" t="s">
        <v>243</v>
      </c>
      <c r="C13" s="843" t="s">
        <v>59</v>
      </c>
      <c r="D13" s="843" t="s">
        <v>141</v>
      </c>
      <c r="E13" s="843">
        <v>1</v>
      </c>
      <c r="F13" s="32">
        <v>940192</v>
      </c>
      <c r="G13" s="32">
        <f t="shared" ref="G13:G14" si="5">+ROUND(F13*1.051,0)</f>
        <v>988142</v>
      </c>
      <c r="H13" s="32">
        <f>ROUND((E13*F13),0)</f>
        <v>940192</v>
      </c>
      <c r="I13" s="32">
        <f t="shared" ref="I13:I14" si="6">+ROUND(G13*E13,0)</f>
        <v>988142</v>
      </c>
      <c r="J13" s="1289" t="s">
        <v>1805</v>
      </c>
      <c r="K13" s="799">
        <v>0</v>
      </c>
      <c r="L13" s="685">
        <f t="shared" ref="L13:L14" si="7">ROUND(K13*G13,0)</f>
        <v>0</v>
      </c>
      <c r="M13" s="684">
        <f t="shared" ref="M13" si="8">L13/I13</f>
        <v>0</v>
      </c>
      <c r="N13" s="799">
        <v>0</v>
      </c>
      <c r="O13" s="685">
        <f>ROUND(N13*G13,0)</f>
        <v>0</v>
      </c>
      <c r="P13" s="684">
        <f t="shared" si="1"/>
        <v>0</v>
      </c>
      <c r="Q13" s="799">
        <f t="shared" si="2"/>
        <v>0</v>
      </c>
      <c r="R13" s="685">
        <f t="shared" si="3"/>
        <v>0</v>
      </c>
      <c r="S13" s="684">
        <f t="shared" si="4"/>
        <v>0</v>
      </c>
    </row>
    <row r="14" spans="1:19" s="638" customFormat="1" ht="60" customHeight="1" x14ac:dyDescent="0.3">
      <c r="A14" s="1289"/>
      <c r="B14" s="1289"/>
      <c r="C14" s="843" t="s">
        <v>61</v>
      </c>
      <c r="D14" s="843" t="s">
        <v>142</v>
      </c>
      <c r="E14" s="843">
        <v>1</v>
      </c>
      <c r="F14" s="32">
        <v>2890220</v>
      </c>
      <c r="G14" s="32">
        <f t="shared" si="5"/>
        <v>3037621</v>
      </c>
      <c r="H14" s="32">
        <f>ROUND((E14*F14),0)</f>
        <v>2890220</v>
      </c>
      <c r="I14" s="32">
        <f t="shared" si="6"/>
        <v>3037621</v>
      </c>
      <c r="J14" s="1289"/>
      <c r="K14" s="537">
        <f>1*70%</f>
        <v>0.7</v>
      </c>
      <c r="L14" s="752">
        <f t="shared" si="7"/>
        <v>2126335</v>
      </c>
      <c r="M14" s="753">
        <f>L14/H14</f>
        <v>0.73570005051518572</v>
      </c>
      <c r="N14" s="891">
        <v>0</v>
      </c>
      <c r="O14" s="685">
        <f>ROUND(N14*G14,0)</f>
        <v>0</v>
      </c>
      <c r="P14" s="684">
        <f t="shared" si="1"/>
        <v>0</v>
      </c>
      <c r="Q14" s="799">
        <f t="shared" si="2"/>
        <v>0.7</v>
      </c>
      <c r="R14" s="685">
        <f t="shared" si="3"/>
        <v>2126335</v>
      </c>
      <c r="S14" s="684">
        <f t="shared" si="4"/>
        <v>0.70000009876149794</v>
      </c>
    </row>
    <row r="15" spans="1:19" s="638" customFormat="1" x14ac:dyDescent="0.3">
      <c r="A15" s="1289"/>
      <c r="B15" s="1289"/>
      <c r="C15" s="39"/>
      <c r="D15" s="39" t="s">
        <v>143</v>
      </c>
      <c r="E15" s="41"/>
      <c r="F15" s="41"/>
      <c r="G15" s="41"/>
      <c r="H15" s="42">
        <f>SUM(H13:H14)</f>
        <v>3830412</v>
      </c>
      <c r="I15" s="42">
        <f>SUM(I13:I14)</f>
        <v>4025763</v>
      </c>
      <c r="J15" s="1289"/>
      <c r="K15" s="41"/>
      <c r="L15" s="683">
        <f>SUM(L13:L14)</f>
        <v>2126335</v>
      </c>
      <c r="M15" s="519">
        <f t="shared" si="0"/>
        <v>0.55511913600939011</v>
      </c>
      <c r="N15" s="41"/>
      <c r="O15" s="683">
        <f>SUM(O13:O14)</f>
        <v>0</v>
      </c>
      <c r="P15" s="1100">
        <f t="shared" si="1"/>
        <v>0</v>
      </c>
      <c r="Q15" s="1106">
        <f t="shared" si="2"/>
        <v>0</v>
      </c>
      <c r="R15" s="1107">
        <f t="shared" si="3"/>
        <v>2126335</v>
      </c>
      <c r="S15" s="1100">
        <f t="shared" si="4"/>
        <v>0.52818186266802092</v>
      </c>
    </row>
    <row r="16" spans="1:19" ht="109.5" customHeight="1" x14ac:dyDescent="0.3">
      <c r="A16" s="1289" t="s">
        <v>1806</v>
      </c>
      <c r="B16" s="1289" t="s">
        <v>244</v>
      </c>
      <c r="C16" s="843" t="s">
        <v>245</v>
      </c>
      <c r="D16" s="843" t="s">
        <v>246</v>
      </c>
      <c r="E16" s="843">
        <v>1</v>
      </c>
      <c r="F16" s="32">
        <v>1845563</v>
      </c>
      <c r="G16" s="32">
        <f>+ROUND(F16*1.051,0)</f>
        <v>1939687</v>
      </c>
      <c r="H16" s="32">
        <f>ROUND((E16*F16),0)</f>
        <v>1845563</v>
      </c>
      <c r="I16" s="32">
        <f>+ROUND(G16*E16,0)</f>
        <v>1939687</v>
      </c>
      <c r="J16" s="1289" t="s">
        <v>1807</v>
      </c>
      <c r="K16" s="537">
        <f>0.33</f>
        <v>0.33</v>
      </c>
      <c r="L16" s="752">
        <f>ROUND(K16*G16,0)</f>
        <v>640097</v>
      </c>
      <c r="M16" s="753">
        <f>L16/H16</f>
        <v>0.34683020845129642</v>
      </c>
      <c r="N16" s="891">
        <v>0</v>
      </c>
      <c r="O16" s="892">
        <f>ROUND(N16*G16,0)</f>
        <v>0</v>
      </c>
      <c r="P16" s="684">
        <f t="shared" si="1"/>
        <v>0</v>
      </c>
      <c r="Q16" s="799">
        <f t="shared" si="2"/>
        <v>0.33</v>
      </c>
      <c r="R16" s="685">
        <f t="shared" si="3"/>
        <v>640097</v>
      </c>
      <c r="S16" s="684">
        <f t="shared" si="4"/>
        <v>0.33000014950865786</v>
      </c>
    </row>
    <row r="17" spans="1:19" x14ac:dyDescent="0.3">
      <c r="A17" s="1289"/>
      <c r="B17" s="1289"/>
      <c r="C17" s="39"/>
      <c r="D17" s="39" t="s">
        <v>247</v>
      </c>
      <c r="E17" s="41"/>
      <c r="F17" s="41"/>
      <c r="G17" s="41"/>
      <c r="H17" s="42">
        <f>H16</f>
        <v>1845563</v>
      </c>
      <c r="I17" s="42">
        <f>SUM(I16)</f>
        <v>1939687</v>
      </c>
      <c r="J17" s="1289"/>
      <c r="K17" s="41"/>
      <c r="L17" s="683">
        <f>SUM(L16:L16)</f>
        <v>640097</v>
      </c>
      <c r="M17" s="519">
        <f t="shared" si="0"/>
        <v>0.34683020845129642</v>
      </c>
      <c r="N17" s="41"/>
      <c r="O17" s="683">
        <f>SUM(O16:O16)</f>
        <v>0</v>
      </c>
      <c r="P17" s="1100">
        <f t="shared" si="1"/>
        <v>0</v>
      </c>
      <c r="Q17" s="1106">
        <f t="shared" si="2"/>
        <v>0</v>
      </c>
      <c r="R17" s="1107">
        <f t="shared" si="3"/>
        <v>640097</v>
      </c>
      <c r="S17" s="1100">
        <f t="shared" si="4"/>
        <v>0.33000014950865786</v>
      </c>
    </row>
    <row r="18" spans="1:19" ht="65.25" customHeight="1" x14ac:dyDescent="0.3">
      <c r="A18" s="1289" t="s">
        <v>144</v>
      </c>
      <c r="B18" s="1289" t="s">
        <v>251</v>
      </c>
      <c r="C18" s="843" t="s">
        <v>59</v>
      </c>
      <c r="D18" s="843" t="s">
        <v>145</v>
      </c>
      <c r="E18" s="843">
        <v>1</v>
      </c>
      <c r="F18" s="32">
        <v>940192</v>
      </c>
      <c r="G18" s="32">
        <f t="shared" ref="G18:G19" si="9">+ROUND(F18*1.051,0)</f>
        <v>988142</v>
      </c>
      <c r="H18" s="32">
        <f>ROUND((E18*F18),0)</f>
        <v>940192</v>
      </c>
      <c r="I18" s="32">
        <f t="shared" ref="I18:I19" si="10">+ROUND(G18*E18,0)</f>
        <v>988142</v>
      </c>
      <c r="J18" s="1289" t="s">
        <v>1808</v>
      </c>
      <c r="K18" s="799">
        <v>0</v>
      </c>
      <c r="L18" s="685">
        <f t="shared" ref="L18:L19" si="11">ROUND(K18*G18,0)</f>
        <v>0</v>
      </c>
      <c r="M18" s="684">
        <f t="shared" ref="M18" si="12">L18/I18</f>
        <v>0</v>
      </c>
      <c r="N18" s="799">
        <v>0</v>
      </c>
      <c r="O18" s="685">
        <f>ROUND(N18*G18,0)</f>
        <v>0</v>
      </c>
      <c r="P18" s="684">
        <f t="shared" si="1"/>
        <v>0</v>
      </c>
      <c r="Q18" s="799">
        <f t="shared" si="2"/>
        <v>0</v>
      </c>
      <c r="R18" s="685">
        <f t="shared" si="3"/>
        <v>0</v>
      </c>
      <c r="S18" s="684">
        <f t="shared" si="4"/>
        <v>0</v>
      </c>
    </row>
    <row r="19" spans="1:19" ht="60" customHeight="1" x14ac:dyDescent="0.3">
      <c r="A19" s="1289"/>
      <c r="B19" s="1289"/>
      <c r="C19" s="843" t="s">
        <v>61</v>
      </c>
      <c r="D19" s="843" t="s">
        <v>146</v>
      </c>
      <c r="E19" s="843">
        <v>1</v>
      </c>
      <c r="F19" s="32">
        <v>5188469</v>
      </c>
      <c r="G19" s="32">
        <f t="shared" si="9"/>
        <v>5453081</v>
      </c>
      <c r="H19" s="32">
        <f>ROUND((E19*F19),0)</f>
        <v>5188469</v>
      </c>
      <c r="I19" s="32">
        <f t="shared" si="10"/>
        <v>5453081</v>
      </c>
      <c r="J19" s="1289"/>
      <c r="K19" s="537">
        <f>1*70%</f>
        <v>0.7</v>
      </c>
      <c r="L19" s="752">
        <f t="shared" si="11"/>
        <v>3817157</v>
      </c>
      <c r="M19" s="753">
        <f>L19/H19</f>
        <v>0.73570006874860383</v>
      </c>
      <c r="N19" s="891">
        <v>0</v>
      </c>
      <c r="O19" s="685">
        <f>ROUND(N19*G19,0)</f>
        <v>0</v>
      </c>
      <c r="P19" s="684">
        <f t="shared" si="1"/>
        <v>0</v>
      </c>
      <c r="Q19" s="799">
        <f t="shared" si="2"/>
        <v>0.7</v>
      </c>
      <c r="R19" s="685">
        <f t="shared" si="3"/>
        <v>3817157</v>
      </c>
      <c r="S19" s="684">
        <f t="shared" si="4"/>
        <v>0.70000005501477058</v>
      </c>
    </row>
    <row r="20" spans="1:19" x14ac:dyDescent="0.3">
      <c r="A20" s="1289"/>
      <c r="B20" s="1289"/>
      <c r="C20" s="39"/>
      <c r="D20" s="39" t="s">
        <v>147</v>
      </c>
      <c r="E20" s="41"/>
      <c r="F20" s="41"/>
      <c r="G20" s="41"/>
      <c r="H20" s="42">
        <f>SUM(H18:H19)</f>
        <v>6128661</v>
      </c>
      <c r="I20" s="42">
        <f>SUM(I18:I19)</f>
        <v>6441223</v>
      </c>
      <c r="J20" s="1289"/>
      <c r="K20" s="41"/>
      <c r="L20" s="683">
        <f>SUM(L18:L19)</f>
        <v>3817157</v>
      </c>
      <c r="M20" s="519">
        <f t="shared" si="0"/>
        <v>0.62283702753342041</v>
      </c>
      <c r="N20" s="41"/>
      <c r="O20" s="683">
        <f>SUM(O18:O19)</f>
        <v>0</v>
      </c>
      <c r="P20" s="1100">
        <f t="shared" si="1"/>
        <v>0</v>
      </c>
      <c r="Q20" s="1106">
        <f t="shared" si="2"/>
        <v>0</v>
      </c>
      <c r="R20" s="1107">
        <f t="shared" si="3"/>
        <v>3817157</v>
      </c>
      <c r="S20" s="1100">
        <f t="shared" si="4"/>
        <v>0.59261370084532083</v>
      </c>
    </row>
    <row r="21" spans="1:19" ht="67.5" customHeight="1" x14ac:dyDescent="0.3">
      <c r="A21" s="1289" t="s">
        <v>144</v>
      </c>
      <c r="B21" s="1289" t="s">
        <v>248</v>
      </c>
      <c r="C21" s="843" t="s">
        <v>152</v>
      </c>
      <c r="D21" s="843" t="s">
        <v>249</v>
      </c>
      <c r="E21" s="843">
        <v>1</v>
      </c>
      <c r="F21" s="32">
        <v>313397</v>
      </c>
      <c r="G21" s="32">
        <f t="shared" ref="G21:G22" si="13">+ROUND(F21*1.051,0)</f>
        <v>329380</v>
      </c>
      <c r="H21" s="32">
        <f>ROUND((E21*F21),0)</f>
        <v>313397</v>
      </c>
      <c r="I21" s="32">
        <f t="shared" ref="I21:I22" si="14">+ROUND(G21*E21,0)</f>
        <v>329380</v>
      </c>
      <c r="J21" s="1289" t="s">
        <v>1809</v>
      </c>
      <c r="K21" s="799">
        <v>0</v>
      </c>
      <c r="L21" s="685">
        <f t="shared" ref="L21:L22" si="15">ROUND(K21*G21,0)</f>
        <v>0</v>
      </c>
      <c r="M21" s="684">
        <f t="shared" ref="M21" si="16">L21/I21</f>
        <v>0</v>
      </c>
      <c r="N21" s="799">
        <v>0</v>
      </c>
      <c r="O21" s="685">
        <f>ROUND(N21*G21,0)</f>
        <v>0</v>
      </c>
      <c r="P21" s="684">
        <f t="shared" si="1"/>
        <v>0</v>
      </c>
      <c r="Q21" s="799">
        <f t="shared" si="2"/>
        <v>0</v>
      </c>
      <c r="R21" s="685">
        <f t="shared" si="3"/>
        <v>0</v>
      </c>
      <c r="S21" s="684">
        <f t="shared" si="4"/>
        <v>0</v>
      </c>
    </row>
    <row r="22" spans="1:19" ht="59.25" customHeight="1" x14ac:dyDescent="0.3">
      <c r="A22" s="1289"/>
      <c r="B22" s="1289"/>
      <c r="C22" s="843" t="s">
        <v>61</v>
      </c>
      <c r="D22" s="843" t="s">
        <v>250</v>
      </c>
      <c r="E22" s="843">
        <v>1</v>
      </c>
      <c r="F22" s="32">
        <v>1601809</v>
      </c>
      <c r="G22" s="32">
        <f t="shared" si="13"/>
        <v>1683501</v>
      </c>
      <c r="H22" s="32">
        <f>ROUND((E22*F22),0)</f>
        <v>1601809</v>
      </c>
      <c r="I22" s="32">
        <f t="shared" si="14"/>
        <v>1683501</v>
      </c>
      <c r="J22" s="1289"/>
      <c r="K22" s="537">
        <f>1*70%</f>
        <v>0.7</v>
      </c>
      <c r="L22" s="752">
        <f t="shared" si="15"/>
        <v>1178451</v>
      </c>
      <c r="M22" s="753">
        <f>L22/H22</f>
        <v>0.73570007410371652</v>
      </c>
      <c r="N22" s="891">
        <v>0</v>
      </c>
      <c r="O22" s="685">
        <f>ROUND(N22*G22,0)</f>
        <v>0</v>
      </c>
      <c r="P22" s="684">
        <f t="shared" si="1"/>
        <v>0</v>
      </c>
      <c r="Q22" s="799">
        <f t="shared" si="2"/>
        <v>0.7</v>
      </c>
      <c r="R22" s="685">
        <f t="shared" si="3"/>
        <v>1178451</v>
      </c>
      <c r="S22" s="684">
        <f t="shared" si="4"/>
        <v>0.70000017820007232</v>
      </c>
    </row>
    <row r="23" spans="1:19" x14ac:dyDescent="0.3">
      <c r="A23" s="1289"/>
      <c r="B23" s="1289"/>
      <c r="C23" s="39"/>
      <c r="D23" s="39" t="s">
        <v>102</v>
      </c>
      <c r="E23" s="41"/>
      <c r="F23" s="41"/>
      <c r="G23" s="41"/>
      <c r="H23" s="42">
        <f>SUM(H21:H22)</f>
        <v>1915206</v>
      </c>
      <c r="I23" s="42">
        <f>SUM(I21:I22)</f>
        <v>2012881</v>
      </c>
      <c r="J23" s="1289"/>
      <c r="K23" s="41"/>
      <c r="L23" s="683">
        <f>SUM(L21:L22)</f>
        <v>1178451</v>
      </c>
      <c r="M23" s="519">
        <f t="shared" si="0"/>
        <v>0.61531292195199894</v>
      </c>
      <c r="N23" s="41"/>
      <c r="O23" s="683">
        <f>SUM(O21:O22)</f>
        <v>0</v>
      </c>
      <c r="P23" s="1100">
        <f t="shared" si="1"/>
        <v>0</v>
      </c>
      <c r="Q23" s="1106">
        <f t="shared" si="2"/>
        <v>0</v>
      </c>
      <c r="R23" s="1107">
        <f t="shared" si="3"/>
        <v>1178451</v>
      </c>
      <c r="S23" s="1100">
        <f t="shared" si="4"/>
        <v>0.58545487785914818</v>
      </c>
    </row>
    <row r="24" spans="1:19" s="638" customFormat="1" ht="109.5" customHeight="1" x14ac:dyDescent="0.3">
      <c r="A24" s="1289" t="s">
        <v>144</v>
      </c>
      <c r="B24" s="1289" t="s">
        <v>194</v>
      </c>
      <c r="C24" s="843" t="s">
        <v>160</v>
      </c>
      <c r="D24" s="843" t="s">
        <v>161</v>
      </c>
      <c r="E24" s="843">
        <v>16</v>
      </c>
      <c r="F24" s="32">
        <v>69644</v>
      </c>
      <c r="G24" s="32">
        <f>+ROUND(F24*1.051,0)</f>
        <v>73196</v>
      </c>
      <c r="H24" s="32">
        <f>ROUND((E24*F24),0)</f>
        <v>1114304</v>
      </c>
      <c r="I24" s="32">
        <f>+ROUND(G24*E24,0)</f>
        <v>1171136</v>
      </c>
      <c r="J24" s="1290" t="s">
        <v>1810</v>
      </c>
      <c r="K24" s="799">
        <v>0</v>
      </c>
      <c r="L24" s="685">
        <f>ROUND(K24*G24,0)</f>
        <v>0</v>
      </c>
      <c r="M24" s="684">
        <f>L24/I24</f>
        <v>0</v>
      </c>
      <c r="N24" s="799">
        <v>0</v>
      </c>
      <c r="O24" s="685">
        <f>ROUND(N24*G24,0)</f>
        <v>0</v>
      </c>
      <c r="P24" s="684">
        <f t="shared" si="1"/>
        <v>0</v>
      </c>
      <c r="Q24" s="799">
        <f t="shared" si="2"/>
        <v>0</v>
      </c>
      <c r="R24" s="685">
        <f t="shared" si="3"/>
        <v>0</v>
      </c>
      <c r="S24" s="684">
        <f t="shared" si="4"/>
        <v>0</v>
      </c>
    </row>
    <row r="25" spans="1:19" s="638" customFormat="1" x14ac:dyDescent="0.3">
      <c r="A25" s="1289"/>
      <c r="B25" s="1289"/>
      <c r="C25" s="39"/>
      <c r="D25" s="39" t="s">
        <v>162</v>
      </c>
      <c r="E25" s="41"/>
      <c r="F25" s="41"/>
      <c r="G25" s="41"/>
      <c r="H25" s="42">
        <f>H24</f>
        <v>1114304</v>
      </c>
      <c r="I25" s="42">
        <f>SUM(I24)</f>
        <v>1171136</v>
      </c>
      <c r="J25" s="1289"/>
      <c r="K25" s="41"/>
      <c r="L25" s="683">
        <f>SUM(L24:L24)</f>
        <v>0</v>
      </c>
      <c r="M25" s="519">
        <f t="shared" si="0"/>
        <v>0</v>
      </c>
      <c r="N25" s="41"/>
      <c r="O25" s="683">
        <f>SUM(O24:O24)</f>
        <v>0</v>
      </c>
      <c r="P25" s="1100">
        <f t="shared" si="1"/>
        <v>0</v>
      </c>
      <c r="Q25" s="1106">
        <f t="shared" si="2"/>
        <v>0</v>
      </c>
      <c r="R25" s="1107">
        <f t="shared" si="3"/>
        <v>0</v>
      </c>
      <c r="S25" s="1100">
        <f t="shared" si="4"/>
        <v>0</v>
      </c>
    </row>
    <row r="26" spans="1:19" s="638" customFormat="1" ht="109.5" customHeight="1" x14ac:dyDescent="0.3">
      <c r="A26" s="1289" t="s">
        <v>283</v>
      </c>
      <c r="B26" s="1289" t="s">
        <v>252</v>
      </c>
      <c r="C26" s="843" t="s">
        <v>157</v>
      </c>
      <c r="D26" s="843" t="s">
        <v>158</v>
      </c>
      <c r="E26" s="843">
        <v>1</v>
      </c>
      <c r="F26" s="32">
        <v>2437536</v>
      </c>
      <c r="G26" s="32">
        <f>+ROUND(F26*1.051,0)</f>
        <v>2561850</v>
      </c>
      <c r="H26" s="32">
        <f>ROUND((E26*F26),0)</f>
        <v>2437536</v>
      </c>
      <c r="I26" s="32">
        <f>+ROUND(G26*E26,0)</f>
        <v>2561850</v>
      </c>
      <c r="J26" s="1290" t="s">
        <v>1811</v>
      </c>
      <c r="K26" s="537">
        <f>0.33</f>
        <v>0.33</v>
      </c>
      <c r="L26" s="752">
        <f>ROUND(K26*G26,0)</f>
        <v>845411</v>
      </c>
      <c r="M26" s="753">
        <f>L26/H26</f>
        <v>0.34683015963661668</v>
      </c>
      <c r="N26" s="891">
        <v>0</v>
      </c>
      <c r="O26" s="892">
        <f>ROUND(N26*G26,0)</f>
        <v>0</v>
      </c>
      <c r="P26" s="684">
        <f t="shared" si="1"/>
        <v>0</v>
      </c>
      <c r="Q26" s="799">
        <f t="shared" si="2"/>
        <v>0.33</v>
      </c>
      <c r="R26" s="685">
        <f t="shared" si="3"/>
        <v>845411</v>
      </c>
      <c r="S26" s="684">
        <f t="shared" si="4"/>
        <v>0.33000019517145812</v>
      </c>
    </row>
    <row r="27" spans="1:19" s="638" customFormat="1" x14ac:dyDescent="0.3">
      <c r="A27" s="1289"/>
      <c r="B27" s="1289"/>
      <c r="C27" s="39"/>
      <c r="D27" s="39" t="s">
        <v>159</v>
      </c>
      <c r="E27" s="41"/>
      <c r="F27" s="41"/>
      <c r="G27" s="41"/>
      <c r="H27" s="42">
        <f>H26</f>
        <v>2437536</v>
      </c>
      <c r="I27" s="42">
        <f>SUM(I26)</f>
        <v>2561850</v>
      </c>
      <c r="J27" s="1289"/>
      <c r="K27" s="41"/>
      <c r="L27" s="683">
        <f>SUM(L26:L26)</f>
        <v>845411</v>
      </c>
      <c r="M27" s="519">
        <f>L27/H27</f>
        <v>0.34683015963661668</v>
      </c>
      <c r="N27" s="41"/>
      <c r="O27" s="683">
        <f>SUM(O26:O26)</f>
        <v>0</v>
      </c>
      <c r="P27" s="1100">
        <f t="shared" si="1"/>
        <v>0</v>
      </c>
      <c r="Q27" s="1106">
        <f t="shared" si="2"/>
        <v>0</v>
      </c>
      <c r="R27" s="1107">
        <f t="shared" si="3"/>
        <v>845411</v>
      </c>
      <c r="S27" s="1100">
        <f t="shared" si="4"/>
        <v>0.33000019517145812</v>
      </c>
    </row>
    <row r="28" spans="1:19" s="638" customFormat="1" ht="109.5" customHeight="1" x14ac:dyDescent="0.3">
      <c r="A28" s="1289" t="s">
        <v>283</v>
      </c>
      <c r="B28" s="1289" t="s">
        <v>194</v>
      </c>
      <c r="C28" s="843" t="s">
        <v>160</v>
      </c>
      <c r="D28" s="843" t="s">
        <v>161</v>
      </c>
      <c r="E28" s="843">
        <v>24</v>
      </c>
      <c r="F28" s="32">
        <v>69644</v>
      </c>
      <c r="G28" s="32">
        <f>+ROUND(F28*1.051,0)</f>
        <v>73196</v>
      </c>
      <c r="H28" s="32">
        <f>ROUND((E28*F28),0)</f>
        <v>1671456</v>
      </c>
      <c r="I28" s="32">
        <f>+ROUND(G28*E28,0)</f>
        <v>1756704</v>
      </c>
      <c r="J28" s="1289" t="s">
        <v>1812</v>
      </c>
      <c r="K28" s="799">
        <v>0</v>
      </c>
      <c r="L28" s="685">
        <f>ROUND(K28*G28,0)</f>
        <v>0</v>
      </c>
      <c r="M28" s="684">
        <f>L28/I28</f>
        <v>0</v>
      </c>
      <c r="N28" s="799">
        <v>0</v>
      </c>
      <c r="O28" s="685">
        <f>ROUND(N28*G28,0)</f>
        <v>0</v>
      </c>
      <c r="P28" s="684">
        <f t="shared" si="1"/>
        <v>0</v>
      </c>
      <c r="Q28" s="799">
        <f t="shared" si="2"/>
        <v>0</v>
      </c>
      <c r="R28" s="685">
        <f t="shared" si="3"/>
        <v>0</v>
      </c>
      <c r="S28" s="684">
        <f t="shared" si="4"/>
        <v>0</v>
      </c>
    </row>
    <row r="29" spans="1:19" s="638" customFormat="1" x14ac:dyDescent="0.3">
      <c r="A29" s="1289"/>
      <c r="B29" s="1289"/>
      <c r="C29" s="39"/>
      <c r="D29" s="39" t="s">
        <v>162</v>
      </c>
      <c r="E29" s="41"/>
      <c r="F29" s="41"/>
      <c r="G29" s="41"/>
      <c r="H29" s="42">
        <f>H28</f>
        <v>1671456</v>
      </c>
      <c r="I29" s="42">
        <f>SUM(I28)</f>
        <v>1756704</v>
      </c>
      <c r="J29" s="1289"/>
      <c r="K29" s="41"/>
      <c r="L29" s="683">
        <f>SUM(L28:L28)</f>
        <v>0</v>
      </c>
      <c r="M29" s="519">
        <f t="shared" si="0"/>
        <v>0</v>
      </c>
      <c r="N29" s="41"/>
      <c r="O29" s="683">
        <f>SUM(O28:O28)</f>
        <v>0</v>
      </c>
      <c r="P29" s="1100">
        <f t="shared" si="1"/>
        <v>0</v>
      </c>
      <c r="Q29" s="1108"/>
      <c r="R29" s="1107">
        <f t="shared" si="3"/>
        <v>0</v>
      </c>
      <c r="S29" s="1100">
        <f t="shared" si="4"/>
        <v>0</v>
      </c>
    </row>
    <row r="30" spans="1:19" x14ac:dyDescent="0.3">
      <c r="A30" s="638"/>
      <c r="B30" s="638"/>
      <c r="C30" s="638"/>
      <c r="D30" s="638"/>
      <c r="E30" s="638"/>
      <c r="F30" s="686" t="s">
        <v>1740</v>
      </c>
      <c r="G30" s="686"/>
      <c r="H30" s="687">
        <f>H12+H17+H20+H23+H25+H27+H29+H15</f>
        <v>23818208</v>
      </c>
      <c r="I30" s="687">
        <f>I12+I17+I20+I23+I25+I27+I29+I15</f>
        <v>25032942</v>
      </c>
      <c r="J30" s="638"/>
      <c r="K30" s="547" t="s">
        <v>64</v>
      </c>
      <c r="L30" s="688">
        <f>SUM(L11:L29)/2</f>
        <v>8607451</v>
      </c>
      <c r="M30" s="638"/>
      <c r="N30" s="547" t="s">
        <v>64</v>
      </c>
      <c r="O30" s="688">
        <f>SUM(O11:O29)/2</f>
        <v>0</v>
      </c>
      <c r="Q30" s="547" t="s">
        <v>64</v>
      </c>
      <c r="R30" s="688">
        <f>SUM(R11:R29)/2</f>
        <v>8607451</v>
      </c>
      <c r="S30" s="638"/>
    </row>
    <row r="31" spans="1:19" ht="26.4" x14ac:dyDescent="0.3">
      <c r="A31" s="638"/>
      <c r="B31" s="638"/>
      <c r="C31" s="638"/>
      <c r="D31" s="638"/>
      <c r="E31" s="638"/>
      <c r="F31" s="691" t="s">
        <v>1813</v>
      </c>
      <c r="G31" s="691"/>
      <c r="H31" s="681">
        <f>((H12+H15+H17+H20+H23+H25+H27)*0.3)*0.03</f>
        <v>199320.76799999998</v>
      </c>
      <c r="I31" s="681">
        <f>((I12+I15+I17+I20+I23+I25+I27)*0.3)*0.03</f>
        <v>209486.14199999996</v>
      </c>
      <c r="J31" s="638"/>
      <c r="K31" s="548" t="s">
        <v>65</v>
      </c>
      <c r="L31" s="682">
        <f>((L12+L15+L17+L20+L23+L25+L27)*0.3)*0.03</f>
        <v>77467.058999999994</v>
      </c>
      <c r="M31" s="638"/>
      <c r="N31" s="548" t="s">
        <v>65</v>
      </c>
      <c r="O31" s="682">
        <f>((O12+O15+O17+O20+O23+O25+O27)*0.3)*0.03</f>
        <v>0</v>
      </c>
      <c r="Q31" s="548" t="s">
        <v>65</v>
      </c>
      <c r="R31" s="688">
        <f>((R12+R15+R17+R20+R23+R25+R27)*0.3)*0.03</f>
        <v>77467.058999999994</v>
      </c>
      <c r="S31" s="638"/>
    </row>
    <row r="32" spans="1:19" x14ac:dyDescent="0.3">
      <c r="A32" s="638"/>
      <c r="B32" s="638"/>
      <c r="C32" s="638"/>
      <c r="D32" s="638"/>
      <c r="E32" s="638"/>
      <c r="F32" s="690" t="s">
        <v>1740</v>
      </c>
      <c r="G32" s="690"/>
      <c r="H32" s="681">
        <f>+H31+H30</f>
        <v>24017528.767999999</v>
      </c>
      <c r="I32" s="681">
        <f>+I31+I30</f>
        <v>25242428.142000001</v>
      </c>
      <c r="J32" s="638"/>
      <c r="K32" s="549" t="s">
        <v>64</v>
      </c>
      <c r="L32" s="481">
        <f>L30+L31</f>
        <v>8684918.0590000004</v>
      </c>
      <c r="M32" s="638"/>
      <c r="N32" s="549" t="s">
        <v>64</v>
      </c>
      <c r="O32" s="481">
        <f>O30+O31</f>
        <v>0</v>
      </c>
      <c r="Q32" s="549" t="s">
        <v>64</v>
      </c>
      <c r="R32" s="481">
        <f>R30+R31</f>
        <v>8684918.0590000004</v>
      </c>
      <c r="S32" s="638"/>
    </row>
    <row r="33" spans="1:19" ht="26.4" x14ac:dyDescent="0.3">
      <c r="A33" s="638"/>
      <c r="B33" s="638"/>
      <c r="C33" s="638"/>
      <c r="D33" s="638"/>
      <c r="E33" s="638"/>
      <c r="F33" s="659"/>
      <c r="G33" s="659"/>
      <c r="H33" s="659"/>
      <c r="I33" s="659"/>
      <c r="J33" s="638"/>
      <c r="K33" s="501" t="s">
        <v>1439</v>
      </c>
      <c r="L33" s="481">
        <f>ROUND(L32*0.015,0)</f>
        <v>130274</v>
      </c>
      <c r="M33" s="638"/>
      <c r="N33" s="501" t="s">
        <v>1439</v>
      </c>
      <c r="O33" s="481">
        <f>ROUND(O32*0.015,0)</f>
        <v>0</v>
      </c>
      <c r="Q33" s="501" t="s">
        <v>1439</v>
      </c>
      <c r="R33" s="481">
        <f>+L33+O33</f>
        <v>130274</v>
      </c>
      <c r="S33" s="638"/>
    </row>
    <row r="34" spans="1:19" ht="39.6" x14ac:dyDescent="0.3">
      <c r="A34" s="638"/>
      <c r="B34" s="638"/>
      <c r="C34" s="638"/>
      <c r="D34" s="638"/>
      <c r="E34" s="638"/>
      <c r="F34" s="659"/>
      <c r="G34" s="659"/>
      <c r="H34" s="659"/>
      <c r="I34" s="659"/>
      <c r="J34" s="638"/>
      <c r="K34" s="96" t="s">
        <v>1440</v>
      </c>
      <c r="L34" s="783">
        <f>L32+L33</f>
        <v>8815192.0590000004</v>
      </c>
      <c r="M34" s="832">
        <f>L34/H32</f>
        <v>0.36703160196668577</v>
      </c>
      <c r="N34" s="96" t="s">
        <v>1440</v>
      </c>
      <c r="O34" s="783">
        <f>O32+O33</f>
        <v>0</v>
      </c>
      <c r="P34" s="832">
        <f>O34/H32</f>
        <v>0</v>
      </c>
      <c r="Q34" s="96" t="s">
        <v>1440</v>
      </c>
      <c r="R34" s="425">
        <f>R32+R33</f>
        <v>8815192.0590000004</v>
      </c>
      <c r="S34" s="678">
        <f>R34/H32</f>
        <v>0.36703160196668577</v>
      </c>
    </row>
    <row r="35" spans="1:19" x14ac:dyDescent="0.3">
      <c r="A35" s="638"/>
      <c r="B35" s="638"/>
      <c r="C35" s="638"/>
      <c r="D35" s="638"/>
      <c r="E35" s="638"/>
      <c r="F35" s="442" t="s">
        <v>66</v>
      </c>
      <c r="G35" s="442"/>
      <c r="H35" s="181">
        <f>+H32*19%</f>
        <v>4563330.4659200003</v>
      </c>
      <c r="I35" s="181">
        <f>+I32*19%</f>
        <v>4796061.3469799999</v>
      </c>
      <c r="J35" s="638"/>
      <c r="K35" s="551" t="s">
        <v>66</v>
      </c>
      <c r="L35" s="672">
        <f>L34*0.19</f>
        <v>1674886.4912100001</v>
      </c>
      <c r="M35" s="638"/>
      <c r="N35" s="551" t="s">
        <v>66</v>
      </c>
      <c r="O35" s="672">
        <f>O34*0.19</f>
        <v>0</v>
      </c>
      <c r="Q35" s="551" t="s">
        <v>66</v>
      </c>
      <c r="R35" s="672">
        <f>R34*0.19</f>
        <v>1674886.4912100001</v>
      </c>
      <c r="S35" s="638"/>
    </row>
    <row r="36" spans="1:19" x14ac:dyDescent="0.3">
      <c r="A36" s="638"/>
      <c r="B36" s="638"/>
      <c r="C36" s="638"/>
      <c r="D36" s="638"/>
      <c r="E36" s="638"/>
      <c r="F36" s="441" t="s">
        <v>69</v>
      </c>
      <c r="G36" s="441"/>
      <c r="H36" s="181">
        <f>+H30+H35</f>
        <v>28381538.465920001</v>
      </c>
      <c r="I36" s="181">
        <f>+I30+I35</f>
        <v>29829003.346979998</v>
      </c>
      <c r="J36" s="638"/>
      <c r="K36" s="552" t="s">
        <v>69</v>
      </c>
      <c r="L36" s="672">
        <f>L34+L35</f>
        <v>10490078.550210001</v>
      </c>
      <c r="M36" s="638"/>
      <c r="N36" s="552" t="s">
        <v>69</v>
      </c>
      <c r="O36" s="672">
        <f>O34+O35</f>
        <v>0</v>
      </c>
      <c r="Q36" s="552" t="s">
        <v>69</v>
      </c>
      <c r="R36" s="672">
        <f>R34+R35</f>
        <v>10490078.550210001</v>
      </c>
      <c r="S36" s="638"/>
    </row>
    <row r="37" spans="1:19" x14ac:dyDescent="0.3">
      <c r="A37" s="638"/>
      <c r="B37" s="638"/>
      <c r="C37" s="638"/>
      <c r="D37" s="638"/>
      <c r="E37" s="638"/>
      <c r="F37" s="638"/>
      <c r="H37" s="638"/>
      <c r="J37" s="638"/>
      <c r="K37" s="638"/>
      <c r="L37" s="638"/>
      <c r="M37" s="638"/>
      <c r="Q37" s="638"/>
      <c r="R37" s="638"/>
      <c r="S37" s="638"/>
    </row>
    <row r="38" spans="1:19" ht="26.4" x14ac:dyDescent="0.3">
      <c r="A38" s="665" t="s">
        <v>67</v>
      </c>
      <c r="B38" s="184"/>
      <c r="C38" s="184"/>
      <c r="D38" s="185" t="s">
        <v>68</v>
      </c>
      <c r="E38" s="638"/>
      <c r="F38" s="638"/>
      <c r="H38" s="638"/>
      <c r="J38" s="638"/>
      <c r="K38" s="186" t="s">
        <v>70</v>
      </c>
      <c r="L38" s="187" t="s">
        <v>71</v>
      </c>
      <c r="M38" s="186" t="s">
        <v>58</v>
      </c>
      <c r="N38" s="186" t="s">
        <v>70</v>
      </c>
      <c r="O38" s="187" t="s">
        <v>71</v>
      </c>
      <c r="P38" s="186" t="s">
        <v>58</v>
      </c>
      <c r="Q38" s="638"/>
      <c r="R38" s="638"/>
      <c r="S38" s="638"/>
    </row>
    <row r="39" spans="1:19" x14ac:dyDescent="0.3">
      <c r="A39" s="665"/>
      <c r="B39" s="184"/>
      <c r="C39" s="184"/>
      <c r="D39" s="185"/>
      <c r="E39" s="638"/>
      <c r="F39" s="638"/>
      <c r="H39" s="638"/>
      <c r="J39" s="638"/>
      <c r="K39" s="69" t="s">
        <v>72</v>
      </c>
      <c r="L39" s="70">
        <f>L34</f>
        <v>8815192.0590000004</v>
      </c>
      <c r="M39" s="360">
        <f>M34</f>
        <v>0.36703160196668577</v>
      </c>
      <c r="N39" s="69" t="s">
        <v>72</v>
      </c>
      <c r="O39" s="70">
        <f>$L$34</f>
        <v>8815192.0590000004</v>
      </c>
      <c r="P39" s="360">
        <f>$M$34</f>
        <v>0.36703160196668577</v>
      </c>
      <c r="Q39" s="638"/>
      <c r="R39" s="638"/>
      <c r="S39" s="638"/>
    </row>
    <row r="40" spans="1:19" x14ac:dyDescent="0.3">
      <c r="A40" s="665"/>
      <c r="B40" s="184"/>
      <c r="C40" s="184"/>
      <c r="D40" s="185"/>
      <c r="E40" s="638"/>
      <c r="F40" s="638"/>
      <c r="H40" s="638"/>
      <c r="J40" s="638"/>
      <c r="K40" s="72" t="s">
        <v>1</v>
      </c>
      <c r="L40" s="105">
        <f>L39</f>
        <v>8815192.0590000004</v>
      </c>
      <c r="M40" s="361">
        <f>M39</f>
        <v>0.36703160196668577</v>
      </c>
      <c r="N40" s="69" t="s">
        <v>73</v>
      </c>
      <c r="O40" s="70">
        <f>$O$34</f>
        <v>0</v>
      </c>
      <c r="P40" s="360">
        <f>$P$34</f>
        <v>0</v>
      </c>
      <c r="Q40" s="638"/>
      <c r="R40" s="638"/>
      <c r="S40" s="638"/>
    </row>
    <row r="41" spans="1:19" x14ac:dyDescent="0.3">
      <c r="A41" s="665"/>
      <c r="B41" s="184"/>
      <c r="C41" s="184"/>
      <c r="D41" s="185"/>
      <c r="E41" s="638"/>
      <c r="F41" s="638"/>
      <c r="H41" s="638"/>
      <c r="J41" s="638"/>
      <c r="K41" s="72" t="s">
        <v>9</v>
      </c>
      <c r="L41" s="1423"/>
      <c r="M41" s="1424"/>
      <c r="N41" s="72" t="s">
        <v>1</v>
      </c>
      <c r="O41" s="105">
        <f>SUM(O39:O40)</f>
        <v>8815192.0590000004</v>
      </c>
      <c r="P41" s="361">
        <f>SUM(P39:P40)</f>
        <v>0.36703160196668577</v>
      </c>
      <c r="Q41" s="638"/>
      <c r="R41" s="638"/>
      <c r="S41" s="638"/>
    </row>
    <row r="42" spans="1:19" x14ac:dyDescent="0.3">
      <c r="A42" s="665"/>
      <c r="B42" s="184"/>
      <c r="C42" s="184"/>
      <c r="D42" s="185"/>
      <c r="E42" s="638"/>
      <c r="F42" s="638"/>
      <c r="H42" s="638"/>
      <c r="J42" s="638"/>
      <c r="K42" s="440" t="s">
        <v>78</v>
      </c>
      <c r="L42" s="1423" t="s">
        <v>2231</v>
      </c>
      <c r="M42" s="1424"/>
      <c r="N42" s="72" t="s">
        <v>9</v>
      </c>
      <c r="O42" s="1423"/>
      <c r="P42" s="1424"/>
      <c r="Q42" s="638"/>
      <c r="R42" s="638"/>
      <c r="S42" s="638"/>
    </row>
    <row r="43" spans="1:19" x14ac:dyDescent="0.3">
      <c r="A43" s="665"/>
      <c r="B43" s="184"/>
      <c r="C43" s="184"/>
      <c r="D43" s="185"/>
      <c r="E43" s="638"/>
      <c r="F43" s="638"/>
      <c r="H43" s="638"/>
      <c r="J43" s="638"/>
      <c r="K43" s="439" t="s">
        <v>8</v>
      </c>
      <c r="L43" s="1423" t="s">
        <v>2232</v>
      </c>
      <c r="M43" s="1424"/>
      <c r="N43" s="440" t="s">
        <v>78</v>
      </c>
      <c r="O43" s="1423" t="s">
        <v>2231</v>
      </c>
      <c r="P43" s="1424"/>
      <c r="Q43" s="638"/>
      <c r="R43" s="638"/>
      <c r="S43" s="638"/>
    </row>
    <row r="44" spans="1:19" x14ac:dyDescent="0.3">
      <c r="A44" s="665"/>
      <c r="B44" s="184"/>
      <c r="C44" s="184"/>
      <c r="D44" s="185" t="s">
        <v>75</v>
      </c>
      <c r="E44" s="638"/>
      <c r="F44" s="638"/>
      <c r="H44" s="638"/>
      <c r="J44" s="638"/>
      <c r="K44" s="638"/>
      <c r="L44" s="638"/>
      <c r="M44" s="638"/>
      <c r="N44" s="439" t="s">
        <v>8</v>
      </c>
      <c r="O44" s="1423" t="s">
        <v>2232</v>
      </c>
      <c r="P44" s="1424"/>
      <c r="Q44" s="638"/>
      <c r="R44" s="638"/>
      <c r="S44" s="638"/>
    </row>
    <row r="45" spans="1:19" x14ac:dyDescent="0.3">
      <c r="A45" s="665" t="s">
        <v>76</v>
      </c>
      <c r="B45" s="180"/>
      <c r="C45" s="180"/>
      <c r="D45" s="185" t="s">
        <v>77</v>
      </c>
      <c r="E45" s="638"/>
      <c r="F45" s="638"/>
      <c r="H45" s="638"/>
      <c r="J45" s="638"/>
      <c r="K45" s="638"/>
      <c r="L45" s="638"/>
      <c r="M45" s="638"/>
      <c r="Q45" s="638"/>
      <c r="R45" s="638"/>
      <c r="S45" s="638"/>
    </row>
    <row r="46" spans="1:19" x14ac:dyDescent="0.3">
      <c r="A46" s="665" t="s">
        <v>79</v>
      </c>
      <c r="B46" s="180"/>
      <c r="C46" s="180"/>
      <c r="D46" s="185" t="s">
        <v>80</v>
      </c>
      <c r="E46" s="638"/>
      <c r="F46" s="638"/>
      <c r="H46" s="638"/>
      <c r="J46" s="638"/>
      <c r="K46" s="638"/>
      <c r="L46" s="638"/>
      <c r="M46" s="638"/>
      <c r="Q46" s="638"/>
      <c r="R46" s="638"/>
      <c r="S46" s="638"/>
    </row>
    <row r="47" spans="1:19" x14ac:dyDescent="0.3">
      <c r="A47" s="638"/>
      <c r="B47" s="638"/>
      <c r="C47" s="638"/>
      <c r="D47" s="638"/>
      <c r="E47" s="638"/>
      <c r="F47" s="638"/>
      <c r="H47" s="638"/>
      <c r="J47" s="638"/>
      <c r="K47" s="638"/>
      <c r="L47" s="638"/>
      <c r="M47" s="638"/>
      <c r="Q47" s="638"/>
      <c r="R47" s="638"/>
      <c r="S47" s="638"/>
    </row>
  </sheetData>
  <mergeCells count="42">
    <mergeCell ref="A1:S1"/>
    <mergeCell ref="A2:S2"/>
    <mergeCell ref="A3:S3"/>
    <mergeCell ref="A4:S4"/>
    <mergeCell ref="A5:S5"/>
    <mergeCell ref="A16:A17"/>
    <mergeCell ref="B16:B17"/>
    <mergeCell ref="J16:J17"/>
    <mergeCell ref="A18:A20"/>
    <mergeCell ref="A6:S6"/>
    <mergeCell ref="A11:A12"/>
    <mergeCell ref="B11:B12"/>
    <mergeCell ref="J11:J12"/>
    <mergeCell ref="A13:A15"/>
    <mergeCell ref="B13:B15"/>
    <mergeCell ref="J13:J15"/>
    <mergeCell ref="A7:S7"/>
    <mergeCell ref="B8:J8"/>
    <mergeCell ref="K8:M9"/>
    <mergeCell ref="Q8:S9"/>
    <mergeCell ref="B9:J9"/>
    <mergeCell ref="A26:A27"/>
    <mergeCell ref="B26:B27"/>
    <mergeCell ref="J26:J27"/>
    <mergeCell ref="A28:A29"/>
    <mergeCell ref="B28:B29"/>
    <mergeCell ref="J28:J29"/>
    <mergeCell ref="A24:A25"/>
    <mergeCell ref="B24:B25"/>
    <mergeCell ref="J24:J25"/>
    <mergeCell ref="A21:A23"/>
    <mergeCell ref="B21:B23"/>
    <mergeCell ref="J21:J23"/>
    <mergeCell ref="N8:P9"/>
    <mergeCell ref="O42:P42"/>
    <mergeCell ref="O43:P43"/>
    <mergeCell ref="O44:P44"/>
    <mergeCell ref="B18:B20"/>
    <mergeCell ref="J18:J20"/>
    <mergeCell ref="L41:M41"/>
    <mergeCell ref="L42:M42"/>
    <mergeCell ref="L43:M43"/>
  </mergeCells>
  <pageMargins left="0.7" right="0.7" top="0.75" bottom="0.75" header="0.3" footer="0.3"/>
  <pageSetup paperSize="9" scale="34" orientation="landscape"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9">
    <tabColor theme="1"/>
  </sheetPr>
  <dimension ref="A1:G49"/>
  <sheetViews>
    <sheetView topLeftCell="A16" zoomScaleNormal="100" zoomScaleSheetLayoutView="80" workbookViewId="0">
      <selection activeCell="I35" sqref="I3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RESUMEN!G119</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RESUMEN!B119</f>
        <v>D00249388</v>
      </c>
      <c r="C7" s="1265"/>
      <c r="D7" s="1177"/>
      <c r="E7" s="1266" t="s">
        <v>627</v>
      </c>
      <c r="F7" s="1267"/>
      <c r="G7" s="280" t="str">
        <f>RESUMEN!E119</f>
        <v>17-407</v>
      </c>
    </row>
    <row r="8" spans="1:7" x14ac:dyDescent="0.25">
      <c r="A8" s="271" t="s">
        <v>628</v>
      </c>
      <c r="B8" s="1264" t="str">
        <f>RESUMEN!C119</f>
        <v>D00249388000</v>
      </c>
      <c r="C8" s="1265"/>
      <c r="D8" s="1177"/>
      <c r="E8" s="1266" t="s">
        <v>629</v>
      </c>
      <c r="F8" s="1267"/>
      <c r="G8" s="280" t="str">
        <f>RESUMEN!U119</f>
        <v>Acta N° 2: Marzo</v>
      </c>
    </row>
    <row r="9" spans="1:7" x14ac:dyDescent="0.25">
      <c r="A9" s="271" t="s">
        <v>630</v>
      </c>
      <c r="B9" s="1283" t="s">
        <v>631</v>
      </c>
      <c r="C9" s="1265"/>
      <c r="D9" s="1177"/>
      <c r="E9" s="1266" t="s">
        <v>632</v>
      </c>
      <c r="F9" s="1267"/>
      <c r="G9" s="1178">
        <f>RESUMEN!H119</f>
        <v>2115504</v>
      </c>
    </row>
    <row r="10" spans="1:7" x14ac:dyDescent="0.25">
      <c r="A10" s="271" t="s">
        <v>633</v>
      </c>
      <c r="B10" s="1283" t="str">
        <f>RESUMEN!D119</f>
        <v>DIAMANTE</v>
      </c>
      <c r="C10" s="1265"/>
      <c r="D10" s="1177"/>
      <c r="E10" s="1266" t="s">
        <v>634</v>
      </c>
      <c r="F10" s="1267"/>
      <c r="G10" s="1178">
        <f>RESUMEN!R119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RESUMEN!V119,"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",RESUMEN!G119)</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RESUMEN!N119</f>
        <v>0</v>
      </c>
      <c r="F19" s="1248"/>
      <c r="G19" s="1177"/>
    </row>
    <row r="20" spans="1:7" ht="27" customHeight="1" x14ac:dyDescent="0.25">
      <c r="A20" s="1177"/>
      <c r="B20" s="1244" t="s">
        <v>1498</v>
      </c>
      <c r="C20" s="1245"/>
      <c r="D20" s="1246"/>
      <c r="E20" s="1247">
        <f>RESUMEN!P119</f>
        <v>0</v>
      </c>
      <c r="F20" s="1248"/>
      <c r="G20" s="1177"/>
    </row>
    <row r="21" spans="1:7" ht="27" customHeight="1" x14ac:dyDescent="0.25">
      <c r="A21" s="1177"/>
      <c r="B21" s="1244" t="s">
        <v>1499</v>
      </c>
      <c r="C21" s="1245"/>
      <c r="D21" s="1246"/>
      <c r="E21" s="1247">
        <f>RESUMEN!Q119</f>
        <v>0</v>
      </c>
      <c r="F21" s="1248"/>
      <c r="G21" s="1177"/>
    </row>
    <row r="22" spans="1:7" x14ac:dyDescent="0.25">
      <c r="A22" s="1177"/>
      <c r="B22" s="1254" t="s">
        <v>64</v>
      </c>
      <c r="C22" s="1254"/>
      <c r="D22" s="1254"/>
      <c r="E22" s="1255">
        <f>RESUMEN!R119</f>
        <v>0</v>
      </c>
      <c r="F22" s="1255"/>
      <c r="G22" s="1177"/>
    </row>
    <row r="23" spans="1:7" x14ac:dyDescent="0.25">
      <c r="A23" s="1177"/>
      <c r="B23" s="1256" t="s">
        <v>66</v>
      </c>
      <c r="C23" s="1256"/>
      <c r="D23" s="1256"/>
      <c r="E23" s="1257">
        <f>RESUMEN!S119</f>
        <v>0</v>
      </c>
      <c r="F23" s="1257"/>
      <c r="G23" s="1177"/>
    </row>
    <row r="24" spans="1:7" x14ac:dyDescent="0.25">
      <c r="A24" s="1177"/>
      <c r="B24" s="1258" t="s">
        <v>1</v>
      </c>
      <c r="C24" s="1258"/>
      <c r="D24" s="1258"/>
      <c r="E24" s="1259">
        <f>RESUMEN!T119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+'OT17-407 DIAMANTE MEDIDA SSAA'!N28</f>
        <v>ACTA 1</v>
      </c>
      <c r="C28" s="1253">
        <f>+'OT17-407 DIAMANTE MEDIDA SSAA'!O28</f>
        <v>527857</v>
      </c>
      <c r="D28" s="1253"/>
      <c r="E28" s="267">
        <f>+'OT17-407 DIAMANTE MEDIDA SSAA'!P28</f>
        <v>0.24951831809346614</v>
      </c>
      <c r="F28" s="1177"/>
      <c r="G28" s="1177"/>
    </row>
    <row r="29" spans="1:7" x14ac:dyDescent="0.25">
      <c r="A29" s="1177"/>
      <c r="B29" s="280" t="str">
        <f>+'OT17-407 DIAMANTE MEDIDA SSAA'!N29</f>
        <v>ACTA 2</v>
      </c>
      <c r="C29" s="1253">
        <f>+'OT17-407 DIAMANTE MEDIDA SSAA'!O29</f>
        <v>0</v>
      </c>
      <c r="D29" s="1253"/>
      <c r="E29" s="267">
        <f>+'OT17-407 DIAMANTE MEDIDA SSAA'!P29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527857</v>
      </c>
      <c r="D34" s="1251"/>
      <c r="E34" s="264">
        <f>SUM(E28:E33)</f>
        <v>0.24951831809346614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RESUMEN!V119</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0">
    <tabColor rgb="FF72104A"/>
  </sheetPr>
  <dimension ref="A1:S36"/>
  <sheetViews>
    <sheetView topLeftCell="I13" zoomScale="90" zoomScaleNormal="90" workbookViewId="0">
      <selection activeCell="J22" sqref="J22"/>
    </sheetView>
  </sheetViews>
  <sheetFormatPr baseColWidth="10" defaultRowHeight="14.4" x14ac:dyDescent="0.3"/>
  <cols>
    <col min="2" max="3" width="23" customWidth="1"/>
    <col min="4" max="4" width="25.6640625" customWidth="1"/>
    <col min="6" max="6" width="17.88671875" bestFit="1" customWidth="1"/>
    <col min="7" max="7" width="14.44140625" style="849" bestFit="1" customWidth="1"/>
    <col min="8" max="8" width="18.44140625" customWidth="1"/>
    <col min="9" max="9" width="18.44140625" style="849" customWidth="1"/>
    <col min="10" max="10" width="48" customWidth="1"/>
    <col min="11" max="11" width="20.44140625" bestFit="1" customWidth="1"/>
    <col min="12" max="12" width="15.5546875" bestFit="1" customWidth="1"/>
    <col min="13" max="13" width="13.5546875" customWidth="1"/>
    <col min="14" max="16" width="13.5546875" style="1054" customWidth="1"/>
    <col min="17" max="17" width="20.44140625" bestFit="1" customWidth="1"/>
    <col min="18" max="18" width="1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1766</v>
      </c>
      <c r="B4" s="1292"/>
      <c r="C4" s="1292"/>
      <c r="D4" s="1292"/>
      <c r="E4" s="1292"/>
      <c r="F4" s="1292"/>
      <c r="G4" s="1292"/>
      <c r="H4" s="1292"/>
      <c r="I4" s="1292"/>
      <c r="J4" s="1292"/>
      <c r="K4" s="1292"/>
      <c r="L4" s="1292"/>
      <c r="M4" s="1292"/>
      <c r="N4" s="1292"/>
      <c r="O4" s="1292"/>
      <c r="P4" s="1292"/>
      <c r="Q4" s="1292"/>
      <c r="R4" s="1292"/>
      <c r="S4" s="1292"/>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1815</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1982</v>
      </c>
      <c r="L8" s="1294"/>
      <c r="M8" s="1295"/>
      <c r="N8" s="1293" t="s">
        <v>2324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60" customHeight="1" x14ac:dyDescent="0.3">
      <c r="A11" s="1289" t="s">
        <v>1816</v>
      </c>
      <c r="B11" s="1289" t="s">
        <v>170</v>
      </c>
      <c r="C11" s="636" t="s">
        <v>83</v>
      </c>
      <c r="D11" s="636" t="s">
        <v>123</v>
      </c>
      <c r="E11" s="636">
        <v>0</v>
      </c>
      <c r="F11" s="32">
        <v>1044658</v>
      </c>
      <c r="G11" s="32">
        <f>+ROUND(F11*1.051,0)</f>
        <v>1097936</v>
      </c>
      <c r="H11" s="32">
        <f>ROUND((E11*F11),0)</f>
        <v>0</v>
      </c>
      <c r="I11" s="32">
        <f>+ROUND(G11*E11,0)</f>
        <v>0</v>
      </c>
      <c r="J11" s="1289" t="s">
        <v>1379</v>
      </c>
      <c r="K11" s="536">
        <v>0</v>
      </c>
      <c r="L11" s="685">
        <f>ROUND(K11*G11,0)</f>
        <v>0</v>
      </c>
      <c r="M11" s="684">
        <v>0</v>
      </c>
      <c r="N11" s="799">
        <v>0</v>
      </c>
      <c r="O11" s="685">
        <f>ROUND(N11*G11,0)</f>
        <v>0</v>
      </c>
      <c r="P11" s="684">
        <v>0</v>
      </c>
      <c r="Q11" s="536">
        <f>K11+N11</f>
        <v>0</v>
      </c>
      <c r="R11" s="685">
        <f>L11+O11</f>
        <v>0</v>
      </c>
      <c r="S11" s="684">
        <v>0</v>
      </c>
    </row>
    <row r="12" spans="1:19" ht="43.2" x14ac:dyDescent="0.3">
      <c r="A12" s="1289"/>
      <c r="B12" s="1289"/>
      <c r="C12" s="636" t="s">
        <v>61</v>
      </c>
      <c r="D12" s="636" t="s">
        <v>125</v>
      </c>
      <c r="E12" s="636">
        <v>0.7</v>
      </c>
      <c r="F12" s="32">
        <v>1009836</v>
      </c>
      <c r="G12" s="32">
        <f>+ROUND(F12*1.051,0)</f>
        <v>1061338</v>
      </c>
      <c r="H12" s="32">
        <f>ROUND((E12*F12),0)</f>
        <v>706885</v>
      </c>
      <c r="I12" s="32">
        <f>+ROUND(G12*E12,0)</f>
        <v>742937</v>
      </c>
      <c r="J12" s="1289"/>
      <c r="K12" s="537">
        <f>0.7*70%</f>
        <v>0.48999999999999994</v>
      </c>
      <c r="L12" s="752">
        <f>ROUND(K12*G12,0)</f>
        <v>520056</v>
      </c>
      <c r="M12" s="753">
        <f>+L12/I12</f>
        <v>0.70000013460091504</v>
      </c>
      <c r="N12" s="891">
        <v>0</v>
      </c>
      <c r="O12" s="685">
        <f>ROUND(N12*G12,0)</f>
        <v>0</v>
      </c>
      <c r="P12" s="893">
        <f>+O12/I12</f>
        <v>0</v>
      </c>
      <c r="Q12" s="536">
        <f>K12+N12</f>
        <v>0.48999999999999994</v>
      </c>
      <c r="R12" s="685">
        <f t="shared" ref="R12:R18" si="0">L12+O12</f>
        <v>520056</v>
      </c>
      <c r="S12" s="684">
        <f>R12/I12</f>
        <v>0.70000013460091504</v>
      </c>
    </row>
    <row r="13" spans="1:19" x14ac:dyDescent="0.3">
      <c r="A13" s="1289"/>
      <c r="B13" s="1289"/>
      <c r="C13" s="39"/>
      <c r="D13" s="39" t="s">
        <v>126</v>
      </c>
      <c r="E13" s="41"/>
      <c r="F13" s="41"/>
      <c r="G13" s="41"/>
      <c r="H13" s="42">
        <f>SUM(H11:H12)</f>
        <v>706885</v>
      </c>
      <c r="I13" s="42">
        <f>SUM(I11:I12)</f>
        <v>742937</v>
      </c>
      <c r="J13" s="1289"/>
      <c r="K13" s="41"/>
      <c r="L13" s="683">
        <f>SUM(L11:L12)</f>
        <v>520056</v>
      </c>
      <c r="M13" s="519">
        <f>L13/H13</f>
        <v>0.73570099804069966</v>
      </c>
      <c r="N13" s="41"/>
      <c r="O13" s="683">
        <f>SUM(O11:O12)</f>
        <v>0</v>
      </c>
      <c r="P13" s="1100">
        <f t="shared" ref="P13:P18" si="1">+O13/I13</f>
        <v>0</v>
      </c>
      <c r="Q13" s="1108"/>
      <c r="R13" s="1107">
        <f t="shared" si="0"/>
        <v>520056</v>
      </c>
      <c r="S13" s="1100">
        <f t="shared" ref="S13:S18" si="2">R13/I13</f>
        <v>0.70000013460091504</v>
      </c>
    </row>
    <row r="14" spans="1:19" ht="60" customHeight="1" x14ac:dyDescent="0.3">
      <c r="A14" s="1289" t="s">
        <v>283</v>
      </c>
      <c r="B14" s="1289" t="s">
        <v>282</v>
      </c>
      <c r="C14" s="636" t="s">
        <v>81</v>
      </c>
      <c r="D14" s="636" t="s">
        <v>105</v>
      </c>
      <c r="E14" s="636">
        <v>0</v>
      </c>
      <c r="F14" s="32">
        <v>417863</v>
      </c>
      <c r="G14" s="32">
        <f t="shared" ref="G14:G15" si="3">+ROUND(F14*1.051,0)</f>
        <v>439174</v>
      </c>
      <c r="H14" s="32">
        <f>ROUND((E14*F14),0)</f>
        <v>0</v>
      </c>
      <c r="I14" s="32">
        <f t="shared" ref="I14:I15" si="4">+ROUND(G14*E14,0)</f>
        <v>0</v>
      </c>
      <c r="J14" s="1289" t="s">
        <v>1817</v>
      </c>
      <c r="K14" s="799">
        <v>0</v>
      </c>
      <c r="L14" s="685">
        <f t="shared" ref="L14:L15" si="5">ROUND(K14*G14,0)</f>
        <v>0</v>
      </c>
      <c r="M14" s="684">
        <v>0</v>
      </c>
      <c r="N14" s="799">
        <v>0</v>
      </c>
      <c r="O14" s="685">
        <f>ROUND(N14*G14,0)</f>
        <v>0</v>
      </c>
      <c r="P14" s="893">
        <v>0</v>
      </c>
      <c r="Q14" s="536">
        <f>K14+N14</f>
        <v>0</v>
      </c>
      <c r="R14" s="685">
        <f t="shared" si="0"/>
        <v>0</v>
      </c>
      <c r="S14" s="684">
        <v>0</v>
      </c>
    </row>
    <row r="15" spans="1:19" ht="43.2" x14ac:dyDescent="0.3">
      <c r="A15" s="1289"/>
      <c r="B15" s="1289"/>
      <c r="C15" s="636" t="s">
        <v>83</v>
      </c>
      <c r="D15" s="636" t="s">
        <v>107</v>
      </c>
      <c r="E15" s="636">
        <v>8.4000000000000005E-2</v>
      </c>
      <c r="F15" s="32">
        <v>1845563</v>
      </c>
      <c r="G15" s="32">
        <f t="shared" si="3"/>
        <v>1939687</v>
      </c>
      <c r="H15" s="32">
        <f>ROUND((E15*F15),0)</f>
        <v>155027</v>
      </c>
      <c r="I15" s="32">
        <f t="shared" si="4"/>
        <v>162934</v>
      </c>
      <c r="J15" s="1289"/>
      <c r="K15" s="799">
        <v>0</v>
      </c>
      <c r="L15" s="685">
        <f t="shared" si="5"/>
        <v>0</v>
      </c>
      <c r="M15" s="684">
        <f t="shared" ref="M15" si="6">+L15/I15</f>
        <v>0</v>
      </c>
      <c r="N15" s="799">
        <v>0</v>
      </c>
      <c r="O15" s="685">
        <f>ROUND(N15*G15,0)</f>
        <v>0</v>
      </c>
      <c r="P15" s="893">
        <f t="shared" si="1"/>
        <v>0</v>
      </c>
      <c r="Q15" s="536">
        <f>K15+N15</f>
        <v>0</v>
      </c>
      <c r="R15" s="685">
        <f t="shared" si="0"/>
        <v>0</v>
      </c>
      <c r="S15" s="684">
        <f t="shared" si="2"/>
        <v>0</v>
      </c>
    </row>
    <row r="16" spans="1:19"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0</v>
      </c>
      <c r="P16" s="1100">
        <f t="shared" si="1"/>
        <v>0</v>
      </c>
      <c r="Q16" s="1108"/>
      <c r="R16" s="1107">
        <f t="shared" si="0"/>
        <v>0</v>
      </c>
      <c r="S16" s="1100">
        <f t="shared" si="2"/>
        <v>0</v>
      </c>
    </row>
    <row r="17" spans="1:19" ht="30" customHeight="1" x14ac:dyDescent="0.3">
      <c r="A17" s="1289" t="s">
        <v>283</v>
      </c>
      <c r="B17" s="1289" t="s">
        <v>194</v>
      </c>
      <c r="C17" s="636" t="s">
        <v>160</v>
      </c>
      <c r="D17" s="636" t="s">
        <v>161</v>
      </c>
      <c r="E17" s="636">
        <v>18</v>
      </c>
      <c r="F17" s="32">
        <v>69644</v>
      </c>
      <c r="G17" s="32">
        <f>+ROUND(F17*1.051,0)</f>
        <v>73196</v>
      </c>
      <c r="H17" s="32">
        <f>ROUND((E17*F17),0)</f>
        <v>1253592</v>
      </c>
      <c r="I17" s="32">
        <f>+ROUND(G17*E17,0)</f>
        <v>1317528</v>
      </c>
      <c r="J17" s="1289" t="s">
        <v>1818</v>
      </c>
      <c r="K17" s="799">
        <v>0</v>
      </c>
      <c r="L17" s="685">
        <f>ROUND(K17*G17,0)</f>
        <v>0</v>
      </c>
      <c r="M17" s="684">
        <f>+L17/I17</f>
        <v>0</v>
      </c>
      <c r="N17" s="799">
        <v>0</v>
      </c>
      <c r="O17" s="685">
        <f>ROUND(N17*G17,0)</f>
        <v>0</v>
      </c>
      <c r="P17" s="893">
        <f t="shared" si="1"/>
        <v>0</v>
      </c>
      <c r="Q17" s="536">
        <f>K17+N17</f>
        <v>0</v>
      </c>
      <c r="R17" s="685">
        <f t="shared" si="0"/>
        <v>0</v>
      </c>
      <c r="S17" s="684">
        <f t="shared" si="2"/>
        <v>0</v>
      </c>
    </row>
    <row r="18" spans="1:19"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0</v>
      </c>
      <c r="P18" s="1100">
        <f t="shared" si="1"/>
        <v>0</v>
      </c>
      <c r="Q18" s="1108"/>
      <c r="R18" s="1107">
        <f t="shared" si="0"/>
        <v>0</v>
      </c>
      <c r="S18" s="1100">
        <f t="shared" si="2"/>
        <v>0</v>
      </c>
    </row>
    <row r="19" spans="1:19" x14ac:dyDescent="0.3">
      <c r="A19" s="638"/>
      <c r="B19" s="638"/>
      <c r="C19" s="638"/>
      <c r="D19" s="638"/>
      <c r="E19" s="638"/>
      <c r="F19" s="686" t="s">
        <v>1740</v>
      </c>
      <c r="G19" s="686"/>
      <c r="H19" s="687">
        <f>H13+H16+H18</f>
        <v>2115504</v>
      </c>
      <c r="I19" s="687">
        <f>I13+I16+I18</f>
        <v>2223399</v>
      </c>
      <c r="J19" s="638"/>
      <c r="K19" s="547" t="s">
        <v>64</v>
      </c>
      <c r="L19" s="688">
        <f>SUM(L11:L18)/2</f>
        <v>520056</v>
      </c>
      <c r="M19" s="638"/>
      <c r="N19" s="547" t="s">
        <v>64</v>
      </c>
      <c r="O19" s="688">
        <f>SUM(O11:O18)/2</f>
        <v>0</v>
      </c>
      <c r="Q19" s="547" t="s">
        <v>64</v>
      </c>
      <c r="R19" s="688">
        <f>SUM(R11:R18)/2</f>
        <v>520056</v>
      </c>
      <c r="S19" s="638"/>
    </row>
    <row r="20" spans="1:19" ht="26.4" x14ac:dyDescent="0.3">
      <c r="A20" s="638"/>
      <c r="B20" s="638"/>
      <c r="C20" s="638"/>
      <c r="D20" s="638"/>
      <c r="E20" s="638"/>
      <c r="F20" s="444" t="s">
        <v>65</v>
      </c>
      <c r="G20" s="444"/>
      <c r="H20" s="181">
        <v>0</v>
      </c>
      <c r="I20" s="181">
        <v>0</v>
      </c>
      <c r="J20" s="638"/>
      <c r="K20" s="548" t="s">
        <v>65</v>
      </c>
      <c r="L20" s="682">
        <v>0</v>
      </c>
      <c r="M20" s="638"/>
      <c r="N20" s="548" t="s">
        <v>65</v>
      </c>
      <c r="O20" s="682">
        <v>0</v>
      </c>
      <c r="Q20" s="548" t="s">
        <v>65</v>
      </c>
      <c r="R20" s="682">
        <v>0</v>
      </c>
      <c r="S20" s="638"/>
    </row>
    <row r="21" spans="1:19" x14ac:dyDescent="0.3">
      <c r="A21" s="638"/>
      <c r="B21" s="638"/>
      <c r="C21" s="638"/>
      <c r="D21" s="638"/>
      <c r="E21" s="638"/>
      <c r="F21" s="443" t="s">
        <v>1740</v>
      </c>
      <c r="G21" s="443"/>
      <c r="H21" s="340">
        <f>+H20+H19</f>
        <v>2115504</v>
      </c>
      <c r="I21" s="340">
        <f>+I20+I19</f>
        <v>2223399</v>
      </c>
      <c r="J21" s="638"/>
      <c r="K21" s="549" t="s">
        <v>64</v>
      </c>
      <c r="L21" s="481">
        <f>L19+L20</f>
        <v>520056</v>
      </c>
      <c r="M21" s="638"/>
      <c r="N21" s="549" t="s">
        <v>64</v>
      </c>
      <c r="O21" s="481">
        <f>O19+O20</f>
        <v>0</v>
      </c>
      <c r="Q21" s="549" t="s">
        <v>64</v>
      </c>
      <c r="R21" s="481">
        <f>R19+R20</f>
        <v>520056</v>
      </c>
      <c r="S21" s="638"/>
    </row>
    <row r="22" spans="1:19" ht="26.4" x14ac:dyDescent="0.3">
      <c r="A22" s="638"/>
      <c r="B22" s="638"/>
      <c r="C22" s="638"/>
      <c r="D22" s="638"/>
      <c r="E22" s="638"/>
      <c r="F22" s="659"/>
      <c r="G22" s="659"/>
      <c r="H22" s="659"/>
      <c r="I22" s="659"/>
      <c r="J22" s="638"/>
      <c r="K22" s="501" t="s">
        <v>1439</v>
      </c>
      <c r="L22" s="481">
        <f>ROUND(L21*0.015,0)</f>
        <v>7801</v>
      </c>
      <c r="M22" s="638"/>
      <c r="N22" s="501" t="s">
        <v>1439</v>
      </c>
      <c r="O22" s="481">
        <f>ROUND(O21*0.015,0)</f>
        <v>0</v>
      </c>
      <c r="Q22" s="501" t="s">
        <v>1439</v>
      </c>
      <c r="R22" s="481">
        <f>+L22+O22</f>
        <v>7801</v>
      </c>
      <c r="S22" s="638"/>
    </row>
    <row r="23" spans="1:19" ht="39.6" x14ac:dyDescent="0.3">
      <c r="A23" s="638"/>
      <c r="B23" s="638"/>
      <c r="C23" s="638"/>
      <c r="D23" s="638"/>
      <c r="E23" s="638"/>
      <c r="F23" s="659"/>
      <c r="G23" s="659"/>
      <c r="H23" s="659"/>
      <c r="I23" s="659"/>
      <c r="J23" s="638"/>
      <c r="K23" s="96" t="s">
        <v>1440</v>
      </c>
      <c r="L23" s="425">
        <f>L21+L22</f>
        <v>527857</v>
      </c>
      <c r="M23" s="678">
        <f>L23/H19</f>
        <v>0.24951831809346614</v>
      </c>
      <c r="N23" s="96" t="s">
        <v>1440</v>
      </c>
      <c r="O23" s="425">
        <f>O21+O22</f>
        <v>0</v>
      </c>
      <c r="P23" s="678">
        <f>O23/H19</f>
        <v>0</v>
      </c>
      <c r="Q23" s="96" t="s">
        <v>1440</v>
      </c>
      <c r="R23" s="425">
        <f>R21+R22</f>
        <v>527857</v>
      </c>
      <c r="S23" s="678">
        <f>R23/H19</f>
        <v>0.24951831809346614</v>
      </c>
    </row>
    <row r="24" spans="1:19" x14ac:dyDescent="0.3">
      <c r="A24" s="638"/>
      <c r="B24" s="638"/>
      <c r="C24" s="638"/>
      <c r="D24" s="638"/>
      <c r="E24" s="638"/>
      <c r="F24" s="442" t="s">
        <v>66</v>
      </c>
      <c r="G24" s="442"/>
      <c r="H24" s="181">
        <f>+H19*19%</f>
        <v>401945.76</v>
      </c>
      <c r="I24" s="181">
        <f>+I19*19%</f>
        <v>422445.81</v>
      </c>
      <c r="J24" s="638"/>
      <c r="K24" s="551" t="s">
        <v>66</v>
      </c>
      <c r="L24" s="672">
        <f>L23*0.19</f>
        <v>100292.83</v>
      </c>
      <c r="M24" s="638"/>
      <c r="N24" s="551" t="s">
        <v>66</v>
      </c>
      <c r="O24" s="672">
        <f>O23*0.19</f>
        <v>0</v>
      </c>
      <c r="Q24" s="551" t="s">
        <v>66</v>
      </c>
      <c r="R24" s="672">
        <f>R23*0.19</f>
        <v>100292.83</v>
      </c>
      <c r="S24" s="638"/>
    </row>
    <row r="25" spans="1:19" x14ac:dyDescent="0.3">
      <c r="A25" s="638"/>
      <c r="B25" s="638"/>
      <c r="C25" s="638"/>
      <c r="D25" s="638"/>
      <c r="E25" s="638"/>
      <c r="F25" s="441" t="s">
        <v>69</v>
      </c>
      <c r="G25" s="441"/>
      <c r="H25" s="181">
        <f>+H19+H24</f>
        <v>2517449.7599999998</v>
      </c>
      <c r="I25" s="181">
        <f>+I19+I24</f>
        <v>2645844.81</v>
      </c>
      <c r="J25" s="638"/>
      <c r="K25" s="552" t="s">
        <v>69</v>
      </c>
      <c r="L25" s="672">
        <f>L23+L24</f>
        <v>628149.82999999996</v>
      </c>
      <c r="M25" s="638"/>
      <c r="N25" s="552" t="s">
        <v>69</v>
      </c>
      <c r="O25" s="672">
        <f>O23+O24</f>
        <v>0</v>
      </c>
      <c r="Q25" s="552" t="s">
        <v>69</v>
      </c>
      <c r="R25" s="672">
        <f>R23+R24</f>
        <v>628149.82999999996</v>
      </c>
      <c r="S25" s="638"/>
    </row>
    <row r="26" spans="1:19" x14ac:dyDescent="0.3">
      <c r="A26" s="638"/>
      <c r="B26" s="638"/>
      <c r="C26" s="638"/>
      <c r="D26" s="638"/>
      <c r="E26" s="638"/>
      <c r="F26" s="638"/>
      <c r="H26" s="638"/>
      <c r="J26" s="638"/>
      <c r="K26" s="638"/>
      <c r="L26" s="638"/>
      <c r="M26" s="638"/>
      <c r="Q26" s="638"/>
      <c r="R26" s="638"/>
      <c r="S26" s="638"/>
    </row>
    <row r="27" spans="1:19" ht="26.4" x14ac:dyDescent="0.3">
      <c r="A27" s="665" t="s">
        <v>67</v>
      </c>
      <c r="B27" s="184"/>
      <c r="C27" s="184"/>
      <c r="D27" s="185" t="s">
        <v>68</v>
      </c>
      <c r="E27" s="638"/>
      <c r="F27" s="638"/>
      <c r="H27" s="638"/>
      <c r="J27" s="638"/>
      <c r="K27" s="186" t="s">
        <v>70</v>
      </c>
      <c r="L27" s="187" t="s">
        <v>71</v>
      </c>
      <c r="M27" s="186" t="s">
        <v>58</v>
      </c>
      <c r="N27" s="186" t="s">
        <v>70</v>
      </c>
      <c r="O27" s="187" t="s">
        <v>71</v>
      </c>
      <c r="P27" s="186" t="s">
        <v>58</v>
      </c>
      <c r="Q27" s="638"/>
      <c r="R27" s="638"/>
      <c r="S27" s="638"/>
    </row>
    <row r="28" spans="1:19" x14ac:dyDescent="0.3">
      <c r="A28" s="665"/>
      <c r="B28" s="184"/>
      <c r="C28" s="184"/>
      <c r="D28" s="185"/>
      <c r="E28" s="638"/>
      <c r="F28" s="638"/>
      <c r="H28" s="638"/>
      <c r="J28" s="638"/>
      <c r="K28" s="69" t="s">
        <v>72</v>
      </c>
      <c r="L28" s="70">
        <f>L23</f>
        <v>527857</v>
      </c>
      <c r="M28" s="360">
        <f>M23</f>
        <v>0.24951831809346614</v>
      </c>
      <c r="N28" s="69" t="s">
        <v>72</v>
      </c>
      <c r="O28" s="70">
        <f>$L$23</f>
        <v>527857</v>
      </c>
      <c r="P28" s="360">
        <f>$M$23</f>
        <v>0.24951831809346614</v>
      </c>
      <c r="Q28" s="638"/>
      <c r="R28" s="638"/>
      <c r="S28" s="638"/>
    </row>
    <row r="29" spans="1:19" x14ac:dyDescent="0.3">
      <c r="A29" s="665"/>
      <c r="B29" s="184"/>
      <c r="C29" s="184"/>
      <c r="D29" s="185"/>
      <c r="E29" s="638"/>
      <c r="F29" s="638"/>
      <c r="H29" s="638"/>
      <c r="J29" s="638"/>
      <c r="K29" s="72" t="s">
        <v>1</v>
      </c>
      <c r="L29" s="105">
        <f>L28</f>
        <v>527857</v>
      </c>
      <c r="M29" s="361">
        <f>M28</f>
        <v>0.24951831809346614</v>
      </c>
      <c r="N29" s="69" t="s">
        <v>73</v>
      </c>
      <c r="O29" s="70">
        <f>$O$23</f>
        <v>0</v>
      </c>
      <c r="P29" s="360">
        <f>$P$23</f>
        <v>0</v>
      </c>
      <c r="Q29" s="638"/>
      <c r="R29" s="638"/>
      <c r="S29" s="638"/>
    </row>
    <row r="30" spans="1:19" x14ac:dyDescent="0.3">
      <c r="A30" s="665"/>
      <c r="B30" s="184"/>
      <c r="C30" s="184"/>
      <c r="D30" s="185"/>
      <c r="E30" s="638"/>
      <c r="F30" s="638"/>
      <c r="H30" s="638"/>
      <c r="J30" s="638"/>
      <c r="K30" s="72" t="s">
        <v>9</v>
      </c>
      <c r="L30" s="1423"/>
      <c r="M30" s="1424"/>
      <c r="N30" s="72" t="s">
        <v>1</v>
      </c>
      <c r="O30" s="105">
        <f>SUM(O28:O29)</f>
        <v>527857</v>
      </c>
      <c r="P30" s="361">
        <f>SUM(P28:P29)</f>
        <v>0.24951831809346614</v>
      </c>
      <c r="Q30" s="638"/>
      <c r="R30" s="638"/>
      <c r="S30" s="638"/>
    </row>
    <row r="31" spans="1:19" x14ac:dyDescent="0.3">
      <c r="A31" s="665"/>
      <c r="B31" s="184"/>
      <c r="C31" s="184"/>
      <c r="D31" s="185"/>
      <c r="E31" s="638"/>
      <c r="F31" s="638"/>
      <c r="H31" s="638"/>
      <c r="J31" s="638"/>
      <c r="K31" s="440" t="s">
        <v>78</v>
      </c>
      <c r="L31" s="1423" t="s">
        <v>1984</v>
      </c>
      <c r="M31" s="1424"/>
      <c r="N31" s="72" t="s">
        <v>9</v>
      </c>
      <c r="O31" s="1423"/>
      <c r="P31" s="1424"/>
      <c r="Q31" s="638"/>
      <c r="R31" s="638"/>
      <c r="S31" s="638"/>
    </row>
    <row r="32" spans="1:19" x14ac:dyDescent="0.3">
      <c r="A32" s="665"/>
      <c r="B32" s="184"/>
      <c r="C32" s="184"/>
      <c r="D32" s="185"/>
      <c r="E32" s="638"/>
      <c r="F32" s="638"/>
      <c r="H32" s="638"/>
      <c r="J32" s="638"/>
      <c r="K32" s="439" t="s">
        <v>8</v>
      </c>
      <c r="L32" s="1423" t="s">
        <v>1985</v>
      </c>
      <c r="M32" s="1424"/>
      <c r="N32" s="440" t="s">
        <v>78</v>
      </c>
      <c r="O32" s="1423" t="s">
        <v>1984</v>
      </c>
      <c r="P32" s="1424"/>
      <c r="Q32" s="638"/>
      <c r="R32" s="638"/>
      <c r="S32" s="638"/>
    </row>
    <row r="33" spans="1:19" x14ac:dyDescent="0.3">
      <c r="A33" s="665"/>
      <c r="B33" s="184"/>
      <c r="C33" s="184"/>
      <c r="D33" s="185" t="s">
        <v>75</v>
      </c>
      <c r="E33" s="638"/>
      <c r="F33" s="638"/>
      <c r="H33" s="638"/>
      <c r="J33" s="638"/>
      <c r="K33" s="638"/>
      <c r="L33" s="638"/>
      <c r="M33" s="638"/>
      <c r="N33" s="439" t="s">
        <v>8</v>
      </c>
      <c r="O33" s="1423" t="s">
        <v>1985</v>
      </c>
      <c r="P33" s="1424"/>
      <c r="Q33" s="638"/>
      <c r="R33" s="638"/>
      <c r="S33" s="638"/>
    </row>
    <row r="34" spans="1:19" x14ac:dyDescent="0.3">
      <c r="A34" s="665" t="s">
        <v>76</v>
      </c>
      <c r="B34" s="180"/>
      <c r="C34" s="180"/>
      <c r="D34" s="185" t="s">
        <v>77</v>
      </c>
      <c r="E34" s="638"/>
      <c r="F34" s="638"/>
      <c r="H34" s="638"/>
      <c r="J34" s="638"/>
      <c r="K34" s="638"/>
      <c r="L34" s="638"/>
      <c r="M34" s="638"/>
      <c r="Q34" s="638"/>
      <c r="R34" s="638"/>
      <c r="S34" s="638"/>
    </row>
    <row r="35" spans="1:19" ht="26.4" x14ac:dyDescent="0.3">
      <c r="A35" s="665" t="s">
        <v>79</v>
      </c>
      <c r="B35" s="180"/>
      <c r="C35" s="180"/>
      <c r="D35" s="185" t="s">
        <v>80</v>
      </c>
      <c r="E35" s="638"/>
      <c r="F35" s="638"/>
      <c r="H35" s="638"/>
      <c r="J35" s="638"/>
      <c r="K35" s="638"/>
      <c r="L35" s="638"/>
      <c r="M35" s="638"/>
      <c r="Q35" s="638"/>
      <c r="R35" s="638"/>
      <c r="S35" s="638"/>
    </row>
    <row r="36" spans="1:19" x14ac:dyDescent="0.3">
      <c r="A36" s="638"/>
      <c r="B36" s="638"/>
      <c r="C36" s="638"/>
      <c r="D36" s="638"/>
      <c r="E36" s="638"/>
      <c r="F36" s="638"/>
      <c r="H36" s="638"/>
      <c r="J36" s="638"/>
      <c r="K36" s="638"/>
      <c r="L36" s="638"/>
      <c r="M36" s="638"/>
      <c r="Q36" s="638"/>
      <c r="R36" s="638"/>
      <c r="S36" s="638"/>
    </row>
  </sheetData>
  <mergeCells count="27">
    <mergeCell ref="A6:S6"/>
    <mergeCell ref="A1:S1"/>
    <mergeCell ref="A2:S2"/>
    <mergeCell ref="A3:S3"/>
    <mergeCell ref="A4:S4"/>
    <mergeCell ref="A5:S5"/>
    <mergeCell ref="A11:A13"/>
    <mergeCell ref="B11:B13"/>
    <mergeCell ref="J11:J13"/>
    <mergeCell ref="A7:S7"/>
    <mergeCell ref="B8:J8"/>
    <mergeCell ref="K8:M9"/>
    <mergeCell ref="Q8:S9"/>
    <mergeCell ref="B9:J9"/>
    <mergeCell ref="N8:P9"/>
    <mergeCell ref="A17:A18"/>
    <mergeCell ref="B17:B18"/>
    <mergeCell ref="J17:J18"/>
    <mergeCell ref="A14:A16"/>
    <mergeCell ref="B14:B16"/>
    <mergeCell ref="J14:J16"/>
    <mergeCell ref="O31:P31"/>
    <mergeCell ref="O32:P32"/>
    <mergeCell ref="O33:P33"/>
    <mergeCell ref="L30:M30"/>
    <mergeCell ref="L31:M31"/>
    <mergeCell ref="L32:M32"/>
  </mergeCells>
  <pageMargins left="0.7" right="0.7" top="0.75" bottom="0.75" header="0.3" footer="0.3"/>
  <pageSetup paperSize="9" scale="41" orientation="landscape"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1">
    <tabColor theme="1"/>
  </sheetPr>
  <dimension ref="A1:G49"/>
  <sheetViews>
    <sheetView topLeftCell="A16" zoomScaleNormal="100" zoomScaleSheetLayoutView="8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RESUMEN!G120</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RESUMEN!B120</f>
        <v>D00249540</v>
      </c>
      <c r="C7" s="1265"/>
      <c r="D7" s="1177"/>
      <c r="E7" s="1266" t="s">
        <v>627</v>
      </c>
      <c r="F7" s="1267"/>
      <c r="G7" s="280" t="str">
        <f>RESUMEN!E120</f>
        <v>17-408</v>
      </c>
    </row>
    <row r="8" spans="1:7" x14ac:dyDescent="0.25">
      <c r="A8" s="271" t="s">
        <v>628</v>
      </c>
      <c r="B8" s="1264" t="str">
        <f>RESUMEN!C120</f>
        <v>D00249540000</v>
      </c>
      <c r="C8" s="1265"/>
      <c r="D8" s="1177"/>
      <c r="E8" s="1266" t="s">
        <v>629</v>
      </c>
      <c r="F8" s="1267"/>
      <c r="G8" s="280" t="str">
        <f>RESUMEN!U120</f>
        <v>Acta N° 2: Marzo</v>
      </c>
    </row>
    <row r="9" spans="1:7" x14ac:dyDescent="0.25">
      <c r="A9" s="271" t="s">
        <v>630</v>
      </c>
      <c r="B9" s="1283" t="s">
        <v>631</v>
      </c>
      <c r="C9" s="1265"/>
      <c r="D9" s="1177"/>
      <c r="E9" s="1266" t="s">
        <v>632</v>
      </c>
      <c r="F9" s="1267"/>
      <c r="G9" s="1178">
        <f>RESUMEN!H120</f>
        <v>23818208</v>
      </c>
    </row>
    <row r="10" spans="1:7" x14ac:dyDescent="0.25">
      <c r="A10" s="271" t="s">
        <v>633</v>
      </c>
      <c r="B10" s="1283" t="str">
        <f>RESUMEN!D120</f>
        <v>LA ISLA</v>
      </c>
      <c r="C10" s="1265"/>
      <c r="D10" s="1177"/>
      <c r="E10" s="1266" t="s">
        <v>634</v>
      </c>
      <c r="F10" s="1267"/>
      <c r="G10" s="1178">
        <f>RESUMEN!R120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",RESUMEN!G120)</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RESUMEN!N120</f>
        <v>0</v>
      </c>
      <c r="F19" s="1248"/>
      <c r="G19" s="1177"/>
    </row>
    <row r="20" spans="1:7" ht="27" customHeight="1" x14ac:dyDescent="0.25">
      <c r="A20" s="1177"/>
      <c r="B20" s="1244" t="s">
        <v>1498</v>
      </c>
      <c r="C20" s="1245"/>
      <c r="D20" s="1246"/>
      <c r="E20" s="1247">
        <f>RESUMEN!P120</f>
        <v>0</v>
      </c>
      <c r="F20" s="1248"/>
      <c r="G20" s="1177"/>
    </row>
    <row r="21" spans="1:7" ht="27" customHeight="1" x14ac:dyDescent="0.25">
      <c r="A21" s="1177"/>
      <c r="B21" s="1244" t="s">
        <v>1499</v>
      </c>
      <c r="C21" s="1245"/>
      <c r="D21" s="1246"/>
      <c r="E21" s="1247">
        <f>RESUMEN!Q120</f>
        <v>0</v>
      </c>
      <c r="F21" s="1248"/>
      <c r="G21" s="1177"/>
    </row>
    <row r="22" spans="1:7" x14ac:dyDescent="0.25">
      <c r="A22" s="1177"/>
      <c r="B22" s="1254" t="s">
        <v>64</v>
      </c>
      <c r="C22" s="1254"/>
      <c r="D22" s="1254"/>
      <c r="E22" s="1255">
        <f>RESUMEN!R120</f>
        <v>0</v>
      </c>
      <c r="F22" s="1255"/>
      <c r="G22" s="1177"/>
    </row>
    <row r="23" spans="1:7" x14ac:dyDescent="0.25">
      <c r="A23" s="1177"/>
      <c r="B23" s="1256" t="s">
        <v>66</v>
      </c>
      <c r="C23" s="1256"/>
      <c r="D23" s="1256"/>
      <c r="E23" s="1257">
        <f>RESUMEN!S120</f>
        <v>0</v>
      </c>
      <c r="F23" s="1257"/>
      <c r="G23" s="1177"/>
    </row>
    <row r="24" spans="1:7" x14ac:dyDescent="0.25">
      <c r="A24" s="1177"/>
      <c r="B24" s="1258" t="s">
        <v>1</v>
      </c>
      <c r="C24" s="1258"/>
      <c r="D24" s="1258"/>
      <c r="E24" s="1259">
        <f>RESUMEN!T120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+'OT17-408 LA ISLA SSAA'!N39</f>
        <v>ACTA 1</v>
      </c>
      <c r="C28" s="1253">
        <f>+'OT17-408 LA ISLA SSAA'!O39</f>
        <v>8815192.0590000004</v>
      </c>
      <c r="D28" s="1253"/>
      <c r="E28" s="267">
        <f>+'OT17-408 LA ISLA SSAA'!P39</f>
        <v>0.36703160196668577</v>
      </c>
      <c r="F28" s="1177"/>
      <c r="G28" s="1177"/>
    </row>
    <row r="29" spans="1:7" x14ac:dyDescent="0.25">
      <c r="A29" s="1177"/>
      <c r="B29" s="280" t="str">
        <f>+'OT17-408 LA ISLA SSAA'!N40</f>
        <v>ACTA 2</v>
      </c>
      <c r="C29" s="1253">
        <f>+'OT17-408 LA ISLA SSAA'!O40</f>
        <v>0</v>
      </c>
      <c r="D29" s="1253"/>
      <c r="E29" s="267">
        <f>+'OT17-408 LA ISLA SSAA'!P40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8815192.0590000004</v>
      </c>
      <c r="D34" s="1251"/>
      <c r="E34" s="264">
        <f>SUM(E28:E33)</f>
        <v>0.36703160196668577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RESUMEN!V120</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2">
    <tabColor rgb="FF72104A"/>
  </sheetPr>
  <dimension ref="A1:S46"/>
  <sheetViews>
    <sheetView topLeftCell="G25" zoomScale="80" zoomScaleNormal="80" workbookViewId="0">
      <selection activeCell="K16" sqref="K16"/>
    </sheetView>
  </sheetViews>
  <sheetFormatPr baseColWidth="10" defaultRowHeight="14.4" x14ac:dyDescent="0.3"/>
  <cols>
    <col min="1" max="1" width="28.5546875" customWidth="1"/>
    <col min="2" max="2" width="31.33203125" customWidth="1"/>
    <col min="3" max="3" width="22.109375" customWidth="1"/>
    <col min="4" max="4" width="30.109375" customWidth="1"/>
    <col min="6" max="6" width="17.6640625" bestFit="1" customWidth="1"/>
    <col min="7" max="7" width="17.6640625" style="849" customWidth="1"/>
    <col min="8" max="8" width="18" bestFit="1" customWidth="1"/>
    <col min="9" max="9" width="18" style="849" customWidth="1"/>
    <col min="10" max="10" width="32.33203125" customWidth="1"/>
    <col min="11" max="11" width="23.6640625" customWidth="1"/>
    <col min="12" max="12" width="19.109375" bestFit="1" customWidth="1"/>
    <col min="14" max="14" width="16.109375" style="1054" customWidth="1"/>
    <col min="15" max="15" width="14.6640625" style="1054" customWidth="1"/>
    <col min="16" max="16" width="11.5546875" style="1054"/>
    <col min="17" max="17" width="20.44140625" bestFit="1" customWidth="1"/>
    <col min="18" max="18" width="15.8867187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1766</v>
      </c>
      <c r="B4" s="1292"/>
      <c r="C4" s="1292"/>
      <c r="D4" s="1292"/>
      <c r="E4" s="1292"/>
      <c r="F4" s="1292"/>
      <c r="G4" s="1292"/>
      <c r="H4" s="1292"/>
      <c r="I4" s="1292"/>
      <c r="J4" s="1292"/>
      <c r="K4" s="1292"/>
      <c r="L4" s="1292"/>
      <c r="M4" s="1292"/>
      <c r="N4" s="1292"/>
      <c r="O4" s="1292"/>
      <c r="P4" s="1292"/>
      <c r="Q4" s="1292"/>
      <c r="R4" s="1292"/>
      <c r="S4" s="1292"/>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1819</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1982</v>
      </c>
      <c r="L8" s="1294"/>
      <c r="M8" s="1295"/>
      <c r="N8" s="1293" t="s">
        <v>2324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60" customHeight="1" x14ac:dyDescent="0.3">
      <c r="A11" s="1289" t="s">
        <v>1820</v>
      </c>
      <c r="B11" s="1289" t="s">
        <v>240</v>
      </c>
      <c r="C11" s="843" t="s">
        <v>59</v>
      </c>
      <c r="D11" s="843" t="s">
        <v>241</v>
      </c>
      <c r="E11" s="843">
        <v>2</v>
      </c>
      <c r="F11" s="32">
        <v>2437535</v>
      </c>
      <c r="G11" s="32">
        <f>+ROUND(F11*1.051,0)</f>
        <v>2561849</v>
      </c>
      <c r="H11" s="32">
        <f>ROUND((E11*F11),0)</f>
        <v>4875070</v>
      </c>
      <c r="I11" s="32">
        <f>+ROUND(G11*E11,0)</f>
        <v>5123698</v>
      </c>
      <c r="J11" s="1290" t="s">
        <v>1821</v>
      </c>
      <c r="K11" s="536">
        <v>0</v>
      </c>
      <c r="L11" s="685">
        <f>ROUND(K11*G11,0)</f>
        <v>0</v>
      </c>
      <c r="M11" s="684">
        <f>L11/I11</f>
        <v>0</v>
      </c>
      <c r="N11" s="799">
        <v>0</v>
      </c>
      <c r="O11" s="685">
        <f>ROUND(N11*G11,0)</f>
        <v>0</v>
      </c>
      <c r="P11" s="684">
        <f>O11/I11</f>
        <v>0</v>
      </c>
      <c r="Q11" s="536">
        <f>K11+N11</f>
        <v>0</v>
      </c>
      <c r="R11" s="685">
        <f>L11+O11</f>
        <v>0</v>
      </c>
      <c r="S11" s="684">
        <f>R11/I11</f>
        <v>0</v>
      </c>
    </row>
    <row r="12" spans="1:19" x14ac:dyDescent="0.3">
      <c r="A12" s="1289"/>
      <c r="B12" s="1289"/>
      <c r="C12" s="39"/>
      <c r="D12" s="39" t="s">
        <v>242</v>
      </c>
      <c r="E12" s="41"/>
      <c r="F12" s="41"/>
      <c r="G12" s="41"/>
      <c r="H12" s="42">
        <f>H11</f>
        <v>4875070</v>
      </c>
      <c r="I12" s="42">
        <f>SUM(I11)</f>
        <v>5123698</v>
      </c>
      <c r="J12" s="1289"/>
      <c r="K12" s="41"/>
      <c r="L12" s="683">
        <f>SUM(L11:L11)</f>
        <v>0</v>
      </c>
      <c r="M12" s="519">
        <f t="shared" ref="M12:M29" si="0">L12/H12</f>
        <v>0</v>
      </c>
      <c r="N12" s="41"/>
      <c r="O12" s="683">
        <f>SUM(O11:O11)</f>
        <v>0</v>
      </c>
      <c r="P12" s="1100">
        <f t="shared" ref="P12:P29" si="1">O12/I12</f>
        <v>0</v>
      </c>
      <c r="Q12" s="1106"/>
      <c r="R12" s="1107">
        <f t="shared" ref="R12:R29" si="2">L12+O12</f>
        <v>0</v>
      </c>
      <c r="S12" s="1100">
        <f t="shared" ref="S12:S29" si="3">R12/I12</f>
        <v>0</v>
      </c>
    </row>
    <row r="13" spans="1:19" ht="60" customHeight="1" x14ac:dyDescent="0.3">
      <c r="A13" s="1289" t="s">
        <v>1820</v>
      </c>
      <c r="B13" s="1289" t="s">
        <v>243</v>
      </c>
      <c r="C13" s="843" t="s">
        <v>59</v>
      </c>
      <c r="D13" s="843" t="s">
        <v>141</v>
      </c>
      <c r="E13" s="843">
        <v>1</v>
      </c>
      <c r="F13" s="32">
        <v>940192</v>
      </c>
      <c r="G13" s="32">
        <f>+ROUND(F13*1.051,0)</f>
        <v>988142</v>
      </c>
      <c r="H13" s="32">
        <f>ROUND((E13*F13),0)</f>
        <v>940192</v>
      </c>
      <c r="I13" s="32">
        <f>+ROUND(G13*E13,0)</f>
        <v>988142</v>
      </c>
      <c r="J13" s="1289" t="s">
        <v>1822</v>
      </c>
      <c r="K13" s="799">
        <v>0</v>
      </c>
      <c r="L13" s="685">
        <f t="shared" ref="L13:L14" si="4">ROUND(K13*G13,0)</f>
        <v>0</v>
      </c>
      <c r="M13" s="684">
        <f t="shared" ref="M13:M14" si="5">L13/I13</f>
        <v>0</v>
      </c>
      <c r="N13" s="799">
        <v>0</v>
      </c>
      <c r="O13" s="685">
        <f>ROUND(N13*G13,0)</f>
        <v>0</v>
      </c>
      <c r="P13" s="684">
        <f t="shared" si="1"/>
        <v>0</v>
      </c>
      <c r="Q13" s="799">
        <f t="shared" ref="Q13:Q28" si="6">K13+N13</f>
        <v>0</v>
      </c>
      <c r="R13" s="685">
        <f t="shared" si="2"/>
        <v>0</v>
      </c>
      <c r="S13" s="684">
        <f t="shared" si="3"/>
        <v>0</v>
      </c>
    </row>
    <row r="14" spans="1:19" ht="43.2" x14ac:dyDescent="0.3">
      <c r="A14" s="1289"/>
      <c r="B14" s="1289"/>
      <c r="C14" s="843" t="s">
        <v>61</v>
      </c>
      <c r="D14" s="843" t="s">
        <v>142</v>
      </c>
      <c r="E14" s="843">
        <v>1</v>
      </c>
      <c r="F14" s="32">
        <v>2890220</v>
      </c>
      <c r="G14" s="32">
        <f>+ROUND(F14*1.051,0)</f>
        <v>3037621</v>
      </c>
      <c r="H14" s="32">
        <f>ROUND((E14*F14),0)</f>
        <v>2890220</v>
      </c>
      <c r="I14" s="32">
        <f>+ROUND(G14*E14,0)</f>
        <v>3037621</v>
      </c>
      <c r="J14" s="1289"/>
      <c r="K14" s="537">
        <f>1*70%</f>
        <v>0.7</v>
      </c>
      <c r="L14" s="752">
        <f t="shared" si="4"/>
        <v>2126335</v>
      </c>
      <c r="M14" s="753">
        <f t="shared" si="5"/>
        <v>0.70000009876149794</v>
      </c>
      <c r="N14" s="891">
        <v>0</v>
      </c>
      <c r="O14" s="685">
        <f>ROUND(N14*G14,0)</f>
        <v>0</v>
      </c>
      <c r="P14" s="684">
        <f t="shared" si="1"/>
        <v>0</v>
      </c>
      <c r="Q14" s="799">
        <f t="shared" si="6"/>
        <v>0.7</v>
      </c>
      <c r="R14" s="685">
        <f t="shared" si="2"/>
        <v>2126335</v>
      </c>
      <c r="S14" s="684">
        <f t="shared" si="3"/>
        <v>0.70000009876149794</v>
      </c>
    </row>
    <row r="15" spans="1:19" x14ac:dyDescent="0.3">
      <c r="A15" s="1289"/>
      <c r="B15" s="1289"/>
      <c r="C15" s="39"/>
      <c r="D15" s="39" t="s">
        <v>143</v>
      </c>
      <c r="E15" s="41"/>
      <c r="F15" s="41"/>
      <c r="G15" s="41"/>
      <c r="H15" s="42">
        <f>SUM(H13:H14)</f>
        <v>3830412</v>
      </c>
      <c r="I15" s="42">
        <f>SUM(I13:I14)</f>
        <v>4025763</v>
      </c>
      <c r="J15" s="1289"/>
      <c r="K15" s="41"/>
      <c r="L15" s="683">
        <f>SUM(L13:L14)</f>
        <v>2126335</v>
      </c>
      <c r="M15" s="519">
        <f t="shared" si="0"/>
        <v>0.55511913600939011</v>
      </c>
      <c r="N15" s="41"/>
      <c r="O15" s="683">
        <f>SUM(O13:O14)</f>
        <v>0</v>
      </c>
      <c r="P15" s="1100">
        <f t="shared" si="1"/>
        <v>0</v>
      </c>
      <c r="Q15" s="1106"/>
      <c r="R15" s="1107">
        <f t="shared" si="2"/>
        <v>2126335</v>
      </c>
      <c r="S15" s="1100">
        <f t="shared" si="3"/>
        <v>0.52818186266802092</v>
      </c>
    </row>
    <row r="16" spans="1:19" ht="60" customHeight="1" x14ac:dyDescent="0.3">
      <c r="A16" s="1289" t="s">
        <v>1820</v>
      </c>
      <c r="B16" s="1289" t="s">
        <v>244</v>
      </c>
      <c r="C16" s="843" t="s">
        <v>245</v>
      </c>
      <c r="D16" s="843" t="s">
        <v>246</v>
      </c>
      <c r="E16" s="843">
        <v>1</v>
      </c>
      <c r="F16" s="32">
        <v>1845563</v>
      </c>
      <c r="G16" s="32">
        <f>+ROUND(F16*1.051,0)</f>
        <v>1939687</v>
      </c>
      <c r="H16" s="32">
        <f>ROUND((E16*F16),0)</f>
        <v>1845563</v>
      </c>
      <c r="I16" s="32">
        <f>+ROUND(G16*E16,0)</f>
        <v>1939687</v>
      </c>
      <c r="J16" s="1289" t="s">
        <v>1807</v>
      </c>
      <c r="K16" s="537">
        <v>0.33</v>
      </c>
      <c r="L16" s="752">
        <f>ROUND(K16*G16,0)</f>
        <v>640097</v>
      </c>
      <c r="M16" s="753">
        <f>L16/I16</f>
        <v>0.33000014950865786</v>
      </c>
      <c r="N16" s="891">
        <v>0</v>
      </c>
      <c r="O16" s="892">
        <f>ROUND(N16*G16,0)</f>
        <v>0</v>
      </c>
      <c r="P16" s="684">
        <f t="shared" si="1"/>
        <v>0</v>
      </c>
      <c r="Q16" s="799">
        <f t="shared" si="6"/>
        <v>0.33</v>
      </c>
      <c r="R16" s="685">
        <f t="shared" si="2"/>
        <v>640097</v>
      </c>
      <c r="S16" s="684">
        <f t="shared" si="3"/>
        <v>0.33000014950865786</v>
      </c>
    </row>
    <row r="17" spans="1:19" x14ac:dyDescent="0.3">
      <c r="A17" s="1289"/>
      <c r="B17" s="1289"/>
      <c r="C17" s="39"/>
      <c r="D17" s="39" t="s">
        <v>247</v>
      </c>
      <c r="E17" s="41"/>
      <c r="F17" s="41"/>
      <c r="G17" s="41"/>
      <c r="H17" s="42">
        <f>H16</f>
        <v>1845563</v>
      </c>
      <c r="I17" s="42">
        <f>SUM(I16)</f>
        <v>1939687</v>
      </c>
      <c r="J17" s="1289"/>
      <c r="K17" s="41"/>
      <c r="L17" s="683">
        <f>SUM(L16:L16)</f>
        <v>640097</v>
      </c>
      <c r="M17" s="519">
        <f t="shared" si="0"/>
        <v>0.34683020845129642</v>
      </c>
      <c r="N17" s="41"/>
      <c r="O17" s="683">
        <f>SUM(O16:O16)</f>
        <v>0</v>
      </c>
      <c r="P17" s="1100">
        <f t="shared" si="1"/>
        <v>0</v>
      </c>
      <c r="Q17" s="1106"/>
      <c r="R17" s="1107">
        <f t="shared" si="2"/>
        <v>640097</v>
      </c>
      <c r="S17" s="1100">
        <f t="shared" si="3"/>
        <v>0.33000014950865786</v>
      </c>
    </row>
    <row r="18" spans="1:19" ht="60" customHeight="1" x14ac:dyDescent="0.3">
      <c r="A18" s="1289" t="s">
        <v>144</v>
      </c>
      <c r="B18" s="1289" t="s">
        <v>251</v>
      </c>
      <c r="C18" s="843" t="s">
        <v>59</v>
      </c>
      <c r="D18" s="843" t="s">
        <v>145</v>
      </c>
      <c r="E18" s="843">
        <v>1</v>
      </c>
      <c r="F18" s="32">
        <v>940192</v>
      </c>
      <c r="G18" s="32">
        <f>+ROUND(F18*1.051,0)</f>
        <v>988142</v>
      </c>
      <c r="H18" s="32">
        <f>ROUND((E18*F18),0)</f>
        <v>940192</v>
      </c>
      <c r="I18" s="32">
        <f>+ROUND(G18*E18,0)</f>
        <v>988142</v>
      </c>
      <c r="J18" s="1289" t="s">
        <v>1808</v>
      </c>
      <c r="K18" s="799">
        <v>0</v>
      </c>
      <c r="L18" s="685">
        <f>ROUND(K18*G18,0)</f>
        <v>0</v>
      </c>
      <c r="M18" s="684">
        <f>L18/I18</f>
        <v>0</v>
      </c>
      <c r="N18" s="799">
        <v>0</v>
      </c>
      <c r="O18" s="685">
        <f>ROUND(N18*G18,0)</f>
        <v>0</v>
      </c>
      <c r="P18" s="684">
        <f t="shared" si="1"/>
        <v>0</v>
      </c>
      <c r="Q18" s="799">
        <f t="shared" si="6"/>
        <v>0</v>
      </c>
      <c r="R18" s="685">
        <f t="shared" si="2"/>
        <v>0</v>
      </c>
      <c r="S18" s="684">
        <f t="shared" si="3"/>
        <v>0</v>
      </c>
    </row>
    <row r="19" spans="1:19" ht="43.2" x14ac:dyDescent="0.3">
      <c r="A19" s="1289"/>
      <c r="B19" s="1289"/>
      <c r="C19" s="843" t="s">
        <v>61</v>
      </c>
      <c r="D19" s="843" t="s">
        <v>146</v>
      </c>
      <c r="E19" s="843">
        <v>1</v>
      </c>
      <c r="F19" s="32">
        <v>5188469</v>
      </c>
      <c r="G19" s="32">
        <f>+ROUND(F19*1.051,0)</f>
        <v>5453081</v>
      </c>
      <c r="H19" s="32">
        <f>ROUND((E19*F19),0)</f>
        <v>5188469</v>
      </c>
      <c r="I19" s="32">
        <f>+ROUND(G19*E19,0)</f>
        <v>5453081</v>
      </c>
      <c r="J19" s="1289"/>
      <c r="K19" s="537">
        <f>1*70%</f>
        <v>0.7</v>
      </c>
      <c r="L19" s="752">
        <f>ROUND(K19*G19,0)</f>
        <v>3817157</v>
      </c>
      <c r="M19" s="753">
        <f>L19/I19</f>
        <v>0.70000005501477058</v>
      </c>
      <c r="N19" s="891">
        <v>0</v>
      </c>
      <c r="O19" s="685">
        <f>ROUND(N19*G19,0)</f>
        <v>0</v>
      </c>
      <c r="P19" s="684">
        <f t="shared" si="1"/>
        <v>0</v>
      </c>
      <c r="Q19" s="799">
        <f t="shared" si="6"/>
        <v>0.7</v>
      </c>
      <c r="R19" s="685">
        <f t="shared" si="2"/>
        <v>3817157</v>
      </c>
      <c r="S19" s="684">
        <f t="shared" si="3"/>
        <v>0.70000005501477058</v>
      </c>
    </row>
    <row r="20" spans="1:19" x14ac:dyDescent="0.3">
      <c r="A20" s="1289"/>
      <c r="B20" s="1289"/>
      <c r="C20" s="39"/>
      <c r="D20" s="39" t="s">
        <v>147</v>
      </c>
      <c r="E20" s="41"/>
      <c r="F20" s="41"/>
      <c r="G20" s="41"/>
      <c r="H20" s="42">
        <f>SUM(H18:H19)</f>
        <v>6128661</v>
      </c>
      <c r="I20" s="42">
        <f>SUM(I18:I19)</f>
        <v>6441223</v>
      </c>
      <c r="J20" s="1289"/>
      <c r="K20" s="41"/>
      <c r="L20" s="683">
        <f>SUM(L18:L19)</f>
        <v>3817157</v>
      </c>
      <c r="M20" s="519">
        <f t="shared" si="0"/>
        <v>0.62283702753342041</v>
      </c>
      <c r="N20" s="41"/>
      <c r="O20" s="683">
        <f>SUM(O18:O19)</f>
        <v>0</v>
      </c>
      <c r="P20" s="1100">
        <f t="shared" si="1"/>
        <v>0</v>
      </c>
      <c r="Q20" s="1106"/>
      <c r="R20" s="1107">
        <f t="shared" si="2"/>
        <v>3817157</v>
      </c>
      <c r="S20" s="1100">
        <f t="shared" si="3"/>
        <v>0.59261370084532083</v>
      </c>
    </row>
    <row r="21" spans="1:19" ht="60" customHeight="1" x14ac:dyDescent="0.3">
      <c r="A21" s="1289" t="s">
        <v>144</v>
      </c>
      <c r="B21" s="1289" t="s">
        <v>248</v>
      </c>
      <c r="C21" s="843" t="s">
        <v>152</v>
      </c>
      <c r="D21" s="843" t="s">
        <v>249</v>
      </c>
      <c r="E21" s="843">
        <v>1</v>
      </c>
      <c r="F21" s="32">
        <v>313397</v>
      </c>
      <c r="G21" s="32">
        <f>+ROUND(F21*1.051,0)</f>
        <v>329380</v>
      </c>
      <c r="H21" s="32">
        <f>ROUND((E21*F21),0)</f>
        <v>313397</v>
      </c>
      <c r="I21" s="32">
        <f>+ROUND(G21*E21,0)</f>
        <v>329380</v>
      </c>
      <c r="J21" s="1290" t="s">
        <v>1823</v>
      </c>
      <c r="K21" s="799">
        <v>0</v>
      </c>
      <c r="L21" s="685">
        <f t="shared" ref="L21:L22" si="7">ROUND(K21*G21,0)</f>
        <v>0</v>
      </c>
      <c r="M21" s="684">
        <f t="shared" ref="M21:M22" si="8">L21/I21</f>
        <v>0</v>
      </c>
      <c r="N21" s="799">
        <v>0</v>
      </c>
      <c r="O21" s="685">
        <f>ROUND(N21*G21,0)</f>
        <v>0</v>
      </c>
      <c r="P21" s="684">
        <f t="shared" si="1"/>
        <v>0</v>
      </c>
      <c r="Q21" s="799">
        <f t="shared" si="6"/>
        <v>0</v>
      </c>
      <c r="R21" s="685">
        <f t="shared" si="2"/>
        <v>0</v>
      </c>
      <c r="S21" s="684">
        <f t="shared" si="3"/>
        <v>0</v>
      </c>
    </row>
    <row r="22" spans="1:19" ht="43.2" x14ac:dyDescent="0.3">
      <c r="A22" s="1289"/>
      <c r="B22" s="1289"/>
      <c r="C22" s="843" t="s">
        <v>61</v>
      </c>
      <c r="D22" s="843" t="s">
        <v>250</v>
      </c>
      <c r="E22" s="843">
        <v>1</v>
      </c>
      <c r="F22" s="32">
        <v>1601809</v>
      </c>
      <c r="G22" s="32">
        <f>+ROUND(F22*1.051,0)</f>
        <v>1683501</v>
      </c>
      <c r="H22" s="32">
        <f>ROUND((E22*F22),0)</f>
        <v>1601809</v>
      </c>
      <c r="I22" s="32">
        <f>+ROUND(G22*E22,0)</f>
        <v>1683501</v>
      </c>
      <c r="J22" s="1289"/>
      <c r="K22" s="537">
        <f>1*70%</f>
        <v>0.7</v>
      </c>
      <c r="L22" s="752">
        <f t="shared" si="7"/>
        <v>1178451</v>
      </c>
      <c r="M22" s="753">
        <f t="shared" si="8"/>
        <v>0.70000017820007232</v>
      </c>
      <c r="N22" s="891">
        <v>0</v>
      </c>
      <c r="O22" s="685">
        <f>ROUND(N22*G22,0)</f>
        <v>0</v>
      </c>
      <c r="P22" s="684">
        <f t="shared" si="1"/>
        <v>0</v>
      </c>
      <c r="Q22" s="799">
        <f t="shared" si="6"/>
        <v>0.7</v>
      </c>
      <c r="R22" s="685">
        <f t="shared" si="2"/>
        <v>1178451</v>
      </c>
      <c r="S22" s="684">
        <f t="shared" si="3"/>
        <v>0.70000017820007232</v>
      </c>
    </row>
    <row r="23" spans="1:19" x14ac:dyDescent="0.3">
      <c r="A23" s="1289"/>
      <c r="B23" s="1289"/>
      <c r="C23" s="39"/>
      <c r="D23" s="39" t="s">
        <v>102</v>
      </c>
      <c r="E23" s="41"/>
      <c r="F23" s="41"/>
      <c r="G23" s="41"/>
      <c r="H23" s="42">
        <f>SUM(H21:H22)</f>
        <v>1915206</v>
      </c>
      <c r="I23" s="42">
        <f>SUM(I21:I22)</f>
        <v>2012881</v>
      </c>
      <c r="J23" s="1289"/>
      <c r="K23" s="41"/>
      <c r="L23" s="683">
        <f>SUM(L21:L22)</f>
        <v>1178451</v>
      </c>
      <c r="M23" s="519">
        <f t="shared" si="0"/>
        <v>0.61531292195199894</v>
      </c>
      <c r="N23" s="41"/>
      <c r="O23" s="683">
        <f>SUM(O21:O22)</f>
        <v>0</v>
      </c>
      <c r="P23" s="1100">
        <f t="shared" si="1"/>
        <v>0</v>
      </c>
      <c r="Q23" s="1106"/>
      <c r="R23" s="1107">
        <f t="shared" si="2"/>
        <v>1178451</v>
      </c>
      <c r="S23" s="1100">
        <f t="shared" si="3"/>
        <v>0.58545487785914818</v>
      </c>
    </row>
    <row r="24" spans="1:19" ht="30" customHeight="1" x14ac:dyDescent="0.3">
      <c r="A24" s="1289" t="s">
        <v>144</v>
      </c>
      <c r="B24" s="1289" t="s">
        <v>194</v>
      </c>
      <c r="C24" s="843" t="s">
        <v>160</v>
      </c>
      <c r="D24" s="843" t="s">
        <v>161</v>
      </c>
      <c r="E24" s="843">
        <v>16</v>
      </c>
      <c r="F24" s="32">
        <v>69644</v>
      </c>
      <c r="G24" s="32">
        <f>+ROUND(F24*1.051,0)</f>
        <v>73196</v>
      </c>
      <c r="H24" s="32">
        <f>ROUND((E24*F24),0)</f>
        <v>1114304</v>
      </c>
      <c r="I24" s="32">
        <f>+ROUND(G24*E24,0)</f>
        <v>1171136</v>
      </c>
      <c r="J24" s="1290" t="s">
        <v>1824</v>
      </c>
      <c r="K24" s="799">
        <v>0</v>
      </c>
      <c r="L24" s="685">
        <f>ROUND(K24*G24,0)</f>
        <v>0</v>
      </c>
      <c r="M24" s="684">
        <f>L24/I24</f>
        <v>0</v>
      </c>
      <c r="N24" s="799">
        <v>0</v>
      </c>
      <c r="O24" s="685">
        <f>ROUND(N24*G24,0)</f>
        <v>0</v>
      </c>
      <c r="P24" s="684">
        <f t="shared" si="1"/>
        <v>0</v>
      </c>
      <c r="Q24" s="799">
        <f t="shared" si="6"/>
        <v>0</v>
      </c>
      <c r="R24" s="685">
        <f t="shared" si="2"/>
        <v>0</v>
      </c>
      <c r="S24" s="684">
        <f t="shared" si="3"/>
        <v>0</v>
      </c>
    </row>
    <row r="25" spans="1:19" x14ac:dyDescent="0.3">
      <c r="A25" s="1289"/>
      <c r="B25" s="1289"/>
      <c r="C25" s="39"/>
      <c r="D25" s="39" t="s">
        <v>162</v>
      </c>
      <c r="E25" s="41"/>
      <c r="F25" s="41"/>
      <c r="G25" s="41"/>
      <c r="H25" s="42">
        <f>H24</f>
        <v>1114304</v>
      </c>
      <c r="I25" s="42">
        <f>SUM(I24)</f>
        <v>1171136</v>
      </c>
      <c r="J25" s="1289"/>
      <c r="K25" s="41"/>
      <c r="L25" s="683">
        <f>SUM(L24:L24)</f>
        <v>0</v>
      </c>
      <c r="M25" s="519">
        <f t="shared" si="0"/>
        <v>0</v>
      </c>
      <c r="N25" s="41"/>
      <c r="O25" s="683">
        <f>SUM(O24:O24)</f>
        <v>0</v>
      </c>
      <c r="P25" s="1100">
        <f t="shared" si="1"/>
        <v>0</v>
      </c>
      <c r="Q25" s="1106"/>
      <c r="R25" s="1107">
        <f t="shared" si="2"/>
        <v>0</v>
      </c>
      <c r="S25" s="1100">
        <f t="shared" si="3"/>
        <v>0</v>
      </c>
    </row>
    <row r="26" spans="1:19" ht="102" customHeight="1" x14ac:dyDescent="0.3">
      <c r="A26" s="1289" t="s">
        <v>283</v>
      </c>
      <c r="B26" s="1289" t="s">
        <v>252</v>
      </c>
      <c r="C26" s="843" t="s">
        <v>157</v>
      </c>
      <c r="D26" s="843" t="s">
        <v>158</v>
      </c>
      <c r="E26" s="843">
        <v>1</v>
      </c>
      <c r="F26" s="32">
        <v>2437536</v>
      </c>
      <c r="G26" s="32">
        <f>+ROUND(F26*1.051,0)</f>
        <v>2561850</v>
      </c>
      <c r="H26" s="32">
        <f>ROUND((E26*F26),0)</f>
        <v>2437536</v>
      </c>
      <c r="I26" s="32">
        <f>+ROUND(G26*E26,0)</f>
        <v>2561850</v>
      </c>
      <c r="J26" s="1290" t="s">
        <v>1825</v>
      </c>
      <c r="K26" s="537">
        <v>0.33</v>
      </c>
      <c r="L26" s="752">
        <f>ROUND(K26*G26,0)</f>
        <v>845411</v>
      </c>
      <c r="M26" s="753">
        <f>L26/I26</f>
        <v>0.33000019517145812</v>
      </c>
      <c r="N26" s="891">
        <v>0</v>
      </c>
      <c r="O26" s="892">
        <f>ROUND(N26*G26,0)</f>
        <v>0</v>
      </c>
      <c r="P26" s="684">
        <f t="shared" si="1"/>
        <v>0</v>
      </c>
      <c r="Q26" s="799">
        <f t="shared" si="6"/>
        <v>0.33</v>
      </c>
      <c r="R26" s="685">
        <f t="shared" si="2"/>
        <v>845411</v>
      </c>
      <c r="S26" s="684">
        <f t="shared" si="3"/>
        <v>0.33000019517145812</v>
      </c>
    </row>
    <row r="27" spans="1:19" x14ac:dyDescent="0.3">
      <c r="A27" s="1289"/>
      <c r="B27" s="1289"/>
      <c r="C27" s="39"/>
      <c r="D27" s="39" t="s">
        <v>159</v>
      </c>
      <c r="E27" s="41"/>
      <c r="F27" s="41"/>
      <c r="G27" s="41"/>
      <c r="H27" s="42">
        <f>H26</f>
        <v>2437536</v>
      </c>
      <c r="I27" s="42">
        <f>SUM(I26)</f>
        <v>2561850</v>
      </c>
      <c r="J27" s="1289"/>
      <c r="K27" s="41"/>
      <c r="L27" s="683">
        <f>SUM(L26:L26)</f>
        <v>845411</v>
      </c>
      <c r="M27" s="519">
        <f t="shared" si="0"/>
        <v>0.34683015963661668</v>
      </c>
      <c r="N27" s="41"/>
      <c r="O27" s="683">
        <f>SUM(O26:O26)</f>
        <v>0</v>
      </c>
      <c r="P27" s="1100">
        <f t="shared" si="1"/>
        <v>0</v>
      </c>
      <c r="Q27" s="1106"/>
      <c r="R27" s="1107">
        <f t="shared" si="2"/>
        <v>845411</v>
      </c>
      <c r="S27" s="1100">
        <f t="shared" si="3"/>
        <v>0.33000019517145812</v>
      </c>
    </row>
    <row r="28" spans="1:19" ht="98.25" customHeight="1" x14ac:dyDescent="0.3">
      <c r="A28" s="1289" t="s">
        <v>283</v>
      </c>
      <c r="B28" s="1289" t="s">
        <v>194</v>
      </c>
      <c r="C28" s="843" t="s">
        <v>160</v>
      </c>
      <c r="D28" s="843" t="s">
        <v>161</v>
      </c>
      <c r="E28" s="843">
        <v>24</v>
      </c>
      <c r="F28" s="32">
        <v>69644</v>
      </c>
      <c r="G28" s="32">
        <f>+ROUND(F28*1.051,0)</f>
        <v>73196</v>
      </c>
      <c r="H28" s="32">
        <f>ROUND((E28*F28),0)</f>
        <v>1671456</v>
      </c>
      <c r="I28" s="32">
        <f>+ROUND(G28*E28,0)</f>
        <v>1756704</v>
      </c>
      <c r="J28" s="1289" t="s">
        <v>1812</v>
      </c>
      <c r="K28" s="799">
        <v>0</v>
      </c>
      <c r="L28" s="685">
        <f>ROUND(K28*G28,0)</f>
        <v>0</v>
      </c>
      <c r="M28" s="684">
        <f>L28/I28</f>
        <v>0</v>
      </c>
      <c r="N28" s="799">
        <v>0</v>
      </c>
      <c r="O28" s="685">
        <f>ROUND(N28*G28,0)</f>
        <v>0</v>
      </c>
      <c r="P28" s="684">
        <f t="shared" si="1"/>
        <v>0</v>
      </c>
      <c r="Q28" s="799">
        <f t="shared" si="6"/>
        <v>0</v>
      </c>
      <c r="R28" s="685">
        <f t="shared" si="2"/>
        <v>0</v>
      </c>
      <c r="S28" s="684">
        <f t="shared" si="3"/>
        <v>0</v>
      </c>
    </row>
    <row r="29" spans="1:19" x14ac:dyDescent="0.3">
      <c r="A29" s="1289"/>
      <c r="B29" s="1289"/>
      <c r="C29" s="39"/>
      <c r="D29" s="39" t="s">
        <v>162</v>
      </c>
      <c r="E29" s="41"/>
      <c r="F29" s="41"/>
      <c r="G29" s="41"/>
      <c r="H29" s="42">
        <f>H28</f>
        <v>1671456</v>
      </c>
      <c r="I29" s="42">
        <f>SUM(I28)</f>
        <v>1756704</v>
      </c>
      <c r="J29" s="1289"/>
      <c r="K29" s="41"/>
      <c r="L29" s="683">
        <f>SUM(L28:L28)</f>
        <v>0</v>
      </c>
      <c r="M29" s="519">
        <f t="shared" si="0"/>
        <v>0</v>
      </c>
      <c r="N29" s="41"/>
      <c r="O29" s="683">
        <f>SUM(O28:O28)</f>
        <v>0</v>
      </c>
      <c r="P29" s="1100">
        <f t="shared" si="1"/>
        <v>0</v>
      </c>
      <c r="Q29" s="1108"/>
      <c r="R29" s="1107">
        <f t="shared" si="2"/>
        <v>0</v>
      </c>
      <c r="S29" s="1100">
        <f t="shared" si="3"/>
        <v>0</v>
      </c>
    </row>
    <row r="30" spans="1:19" x14ac:dyDescent="0.3">
      <c r="A30" s="638"/>
      <c r="B30" s="638"/>
      <c r="C30" s="638"/>
      <c r="D30" s="638"/>
      <c r="E30" s="638"/>
      <c r="F30" s="686" t="s">
        <v>1740</v>
      </c>
      <c r="G30" s="686"/>
      <c r="H30" s="687">
        <f>H12+H17+H20+H23+H25+H27+H29+H15</f>
        <v>23818208</v>
      </c>
      <c r="I30" s="687">
        <f>I12+I17+I20+I23+I25+I27+I29+I15</f>
        <v>25032942</v>
      </c>
      <c r="J30" s="638"/>
      <c r="K30" s="547" t="s">
        <v>64</v>
      </c>
      <c r="L30" s="688">
        <f>SUM(L11:L29)/2</f>
        <v>8607451</v>
      </c>
      <c r="M30" s="638"/>
      <c r="N30" s="547" t="s">
        <v>64</v>
      </c>
      <c r="O30" s="688">
        <f>SUM(O11:O29)/2</f>
        <v>0</v>
      </c>
      <c r="Q30" s="547" t="s">
        <v>64</v>
      </c>
      <c r="R30" s="688">
        <f>SUM(R11:R29)/2</f>
        <v>8607451</v>
      </c>
      <c r="S30" s="638"/>
    </row>
    <row r="31" spans="1:19" x14ac:dyDescent="0.3">
      <c r="A31" s="638"/>
      <c r="B31" s="638"/>
      <c r="C31" s="638"/>
      <c r="D31" s="638"/>
      <c r="E31" s="638"/>
      <c r="F31" s="689" t="s">
        <v>1813</v>
      </c>
      <c r="G31" s="689"/>
      <c r="H31" s="682">
        <f>((H12+H15+H17+H20+H23+H25+H27)*0.3)*0.03</f>
        <v>199320.76799999998</v>
      </c>
      <c r="I31" s="682">
        <f>((I12+I15+I17+I20+I23+I25+I27)*0.3)*0.03</f>
        <v>209486.14199999996</v>
      </c>
      <c r="J31" s="638"/>
      <c r="K31" s="548" t="s">
        <v>65</v>
      </c>
      <c r="L31" s="682">
        <f>((L12+L15+L17+L20+L23+L25+L27)*0.3)*0.03</f>
        <v>77467.058999999994</v>
      </c>
      <c r="M31" s="638"/>
      <c r="N31" s="548" t="s">
        <v>65</v>
      </c>
      <c r="O31" s="682">
        <f>((O12+O15+O17+O20+O23+O25+O27)*0.3)*0.03</f>
        <v>0</v>
      </c>
      <c r="Q31" s="548" t="s">
        <v>65</v>
      </c>
      <c r="R31" s="682">
        <f>((R12+R15+R17+R20+R23+R25+R27)*0.3)*0.03</f>
        <v>77467.058999999994</v>
      </c>
      <c r="S31" s="638"/>
    </row>
    <row r="32" spans="1:19" x14ac:dyDescent="0.3">
      <c r="A32" s="638"/>
      <c r="B32" s="638"/>
      <c r="C32" s="638"/>
      <c r="D32" s="638"/>
      <c r="E32" s="638"/>
      <c r="F32" s="690" t="s">
        <v>1740</v>
      </c>
      <c r="G32" s="690"/>
      <c r="H32" s="681">
        <f>+H31+H30</f>
        <v>24017528.767999999</v>
      </c>
      <c r="I32" s="681">
        <f>+I31+I30</f>
        <v>25242428.142000001</v>
      </c>
      <c r="J32" s="638"/>
      <c r="K32" s="549" t="s">
        <v>64</v>
      </c>
      <c r="L32" s="481">
        <f>L30+L31</f>
        <v>8684918.0590000004</v>
      </c>
      <c r="M32" s="638"/>
      <c r="N32" s="549" t="s">
        <v>64</v>
      </c>
      <c r="O32" s="481">
        <f>O30+O31</f>
        <v>0</v>
      </c>
      <c r="Q32" s="549" t="s">
        <v>64</v>
      </c>
      <c r="R32" s="481">
        <f>R30+R31</f>
        <v>8684918.0590000004</v>
      </c>
      <c r="S32" s="638"/>
    </row>
    <row r="33" spans="1:19" ht="26.4" x14ac:dyDescent="0.3">
      <c r="A33" s="638"/>
      <c r="B33" s="638"/>
      <c r="C33" s="638"/>
      <c r="D33" s="638"/>
      <c r="E33" s="638"/>
      <c r="F33" s="659"/>
      <c r="G33" s="659"/>
      <c r="H33" s="659"/>
      <c r="I33" s="659"/>
      <c r="J33" s="638"/>
      <c r="K33" s="501" t="s">
        <v>1439</v>
      </c>
      <c r="L33" s="481">
        <f>ROUND(L32*0.015,0)</f>
        <v>130274</v>
      </c>
      <c r="M33" s="638"/>
      <c r="N33" s="501" t="s">
        <v>1439</v>
      </c>
      <c r="O33" s="481">
        <f>ROUND(O32*0.015,0)</f>
        <v>0</v>
      </c>
      <c r="Q33" s="501" t="s">
        <v>1439</v>
      </c>
      <c r="R33" s="481">
        <f>L33+O33</f>
        <v>130274</v>
      </c>
      <c r="S33" s="638"/>
    </row>
    <row r="34" spans="1:19" ht="26.4" x14ac:dyDescent="0.3">
      <c r="A34" s="638"/>
      <c r="B34" s="638"/>
      <c r="C34" s="638"/>
      <c r="D34" s="638"/>
      <c r="E34" s="638"/>
      <c r="F34" s="659"/>
      <c r="G34" s="659"/>
      <c r="H34" s="659"/>
      <c r="I34" s="659"/>
      <c r="J34" s="638"/>
      <c r="K34" s="96" t="s">
        <v>1440</v>
      </c>
      <c r="L34" s="425">
        <f>L32+L33</f>
        <v>8815192.0590000004</v>
      </c>
      <c r="M34" s="678">
        <f>L34/H32</f>
        <v>0.36703160196668577</v>
      </c>
      <c r="N34" s="96" t="s">
        <v>1440</v>
      </c>
      <c r="O34" s="425">
        <f>O32+O33</f>
        <v>0</v>
      </c>
      <c r="P34" s="678">
        <f>O34/H32</f>
        <v>0</v>
      </c>
      <c r="Q34" s="96" t="s">
        <v>1440</v>
      </c>
      <c r="R34" s="425">
        <f>R32+R33</f>
        <v>8815192.0590000004</v>
      </c>
      <c r="S34" s="678">
        <f>R34/H32</f>
        <v>0.36703160196668577</v>
      </c>
    </row>
    <row r="35" spans="1:19" x14ac:dyDescent="0.3">
      <c r="A35" s="638"/>
      <c r="B35" s="638"/>
      <c r="C35" s="638"/>
      <c r="D35" s="638"/>
      <c r="E35" s="638"/>
      <c r="F35" s="442" t="s">
        <v>66</v>
      </c>
      <c r="G35" s="442"/>
      <c r="H35" s="181">
        <f>+H32*19%</f>
        <v>4563330.4659200003</v>
      </c>
      <c r="I35" s="181">
        <f>+I32*19%</f>
        <v>4796061.3469799999</v>
      </c>
      <c r="J35" s="638"/>
      <c r="K35" s="551" t="s">
        <v>66</v>
      </c>
      <c r="L35" s="672">
        <f>L34*0.19</f>
        <v>1674886.4912100001</v>
      </c>
      <c r="M35" s="638"/>
      <c r="N35" s="551" t="s">
        <v>66</v>
      </c>
      <c r="O35" s="672">
        <f>O34*0.19</f>
        <v>0</v>
      </c>
      <c r="Q35" s="551" t="s">
        <v>66</v>
      </c>
      <c r="R35" s="672">
        <f>R34*0.19</f>
        <v>1674886.4912100001</v>
      </c>
      <c r="S35" s="638"/>
    </row>
    <row r="36" spans="1:19" x14ac:dyDescent="0.3">
      <c r="A36" s="638"/>
      <c r="B36" s="638"/>
      <c r="C36" s="638"/>
      <c r="D36" s="638"/>
      <c r="E36" s="638"/>
      <c r="F36" s="441" t="s">
        <v>69</v>
      </c>
      <c r="G36" s="441"/>
      <c r="H36" s="181">
        <f>+H30+H35</f>
        <v>28381538.465920001</v>
      </c>
      <c r="I36" s="181">
        <f>+I30+I35</f>
        <v>29829003.346979998</v>
      </c>
      <c r="J36" s="638"/>
      <c r="K36" s="552" t="s">
        <v>69</v>
      </c>
      <c r="L36" s="672">
        <f>L34+L35</f>
        <v>10490078.550210001</v>
      </c>
      <c r="M36" s="638"/>
      <c r="N36" s="552" t="s">
        <v>69</v>
      </c>
      <c r="O36" s="672">
        <f>O34+O35</f>
        <v>0</v>
      </c>
      <c r="Q36" s="552" t="s">
        <v>69</v>
      </c>
      <c r="R36" s="672">
        <f>R34+R35</f>
        <v>10490078.550210001</v>
      </c>
      <c r="S36" s="638"/>
    </row>
    <row r="37" spans="1:19" x14ac:dyDescent="0.3">
      <c r="A37" s="638"/>
      <c r="B37" s="638"/>
      <c r="C37" s="638"/>
      <c r="D37" s="638"/>
      <c r="E37" s="638"/>
      <c r="F37" s="638"/>
      <c r="H37" s="638"/>
      <c r="J37" s="638"/>
      <c r="K37" s="638"/>
      <c r="L37" s="638"/>
      <c r="M37" s="638"/>
      <c r="Q37" s="638"/>
      <c r="R37" s="638"/>
      <c r="S37" s="638"/>
    </row>
    <row r="38" spans="1:19" x14ac:dyDescent="0.3">
      <c r="A38" s="665" t="s">
        <v>67</v>
      </c>
      <c r="B38" s="184"/>
      <c r="C38" s="184"/>
      <c r="D38" s="185" t="s">
        <v>68</v>
      </c>
      <c r="E38" s="638"/>
      <c r="F38" s="638"/>
      <c r="H38" s="638"/>
      <c r="J38" s="638"/>
      <c r="K38" s="186" t="s">
        <v>70</v>
      </c>
      <c r="L38" s="187" t="s">
        <v>71</v>
      </c>
      <c r="M38" s="186" t="s">
        <v>58</v>
      </c>
      <c r="N38" s="186" t="s">
        <v>70</v>
      </c>
      <c r="O38" s="187" t="s">
        <v>71</v>
      </c>
      <c r="P38" s="186" t="s">
        <v>58</v>
      </c>
      <c r="Q38" s="638"/>
      <c r="R38" s="638"/>
      <c r="S38" s="638"/>
    </row>
    <row r="39" spans="1:19" x14ac:dyDescent="0.3">
      <c r="A39" s="665"/>
      <c r="B39" s="184"/>
      <c r="C39" s="184"/>
      <c r="D39" s="185"/>
      <c r="E39" s="638"/>
      <c r="F39" s="638"/>
      <c r="H39" s="638"/>
      <c r="J39" s="638"/>
      <c r="K39" s="69" t="s">
        <v>72</v>
      </c>
      <c r="L39" s="70">
        <f>L34</f>
        <v>8815192.0590000004</v>
      </c>
      <c r="M39" s="360">
        <f>M34</f>
        <v>0.36703160196668577</v>
      </c>
      <c r="N39" s="69" t="s">
        <v>72</v>
      </c>
      <c r="O39" s="70">
        <f>$L$34</f>
        <v>8815192.0590000004</v>
      </c>
      <c r="P39" s="360">
        <f>$M$34</f>
        <v>0.36703160196668577</v>
      </c>
      <c r="Q39" s="638"/>
      <c r="R39" s="638"/>
      <c r="S39" s="638"/>
    </row>
    <row r="40" spans="1:19" x14ac:dyDescent="0.3">
      <c r="A40" s="665"/>
      <c r="B40" s="184"/>
      <c r="C40" s="184"/>
      <c r="D40" s="185"/>
      <c r="E40" s="638"/>
      <c r="F40" s="638"/>
      <c r="H40" s="638"/>
      <c r="J40" s="638"/>
      <c r="K40" s="72" t="s">
        <v>1</v>
      </c>
      <c r="L40" s="105">
        <f>L39</f>
        <v>8815192.0590000004</v>
      </c>
      <c r="M40" s="361">
        <f>M39</f>
        <v>0.36703160196668577</v>
      </c>
      <c r="N40" s="69" t="s">
        <v>73</v>
      </c>
      <c r="O40" s="70">
        <f>$O$34</f>
        <v>0</v>
      </c>
      <c r="P40" s="360">
        <f>$P$34</f>
        <v>0</v>
      </c>
      <c r="Q40" s="638"/>
      <c r="R40" s="638"/>
      <c r="S40" s="638"/>
    </row>
    <row r="41" spans="1:19" x14ac:dyDescent="0.3">
      <c r="A41" s="665"/>
      <c r="B41" s="184"/>
      <c r="C41" s="184"/>
      <c r="D41" s="185"/>
      <c r="E41" s="638"/>
      <c r="F41" s="638"/>
      <c r="H41" s="638"/>
      <c r="J41" s="638"/>
      <c r="K41" s="72" t="s">
        <v>9</v>
      </c>
      <c r="L41" s="1423"/>
      <c r="M41" s="1424"/>
      <c r="N41" s="72" t="s">
        <v>1</v>
      </c>
      <c r="O41" s="105">
        <f>SUM(O39:O40)</f>
        <v>8815192.0590000004</v>
      </c>
      <c r="P41" s="361">
        <f>SUM(P39:P40)</f>
        <v>0.36703160196668577</v>
      </c>
      <c r="Q41" s="638"/>
      <c r="R41" s="638"/>
      <c r="S41" s="638"/>
    </row>
    <row r="42" spans="1:19" x14ac:dyDescent="0.3">
      <c r="A42" s="665"/>
      <c r="B42" s="184"/>
      <c r="C42" s="184"/>
      <c r="D42" s="185"/>
      <c r="E42" s="638"/>
      <c r="F42" s="638"/>
      <c r="H42" s="638"/>
      <c r="J42" s="638"/>
      <c r="K42" s="440" t="s">
        <v>78</v>
      </c>
      <c r="L42" s="1423" t="s">
        <v>2231</v>
      </c>
      <c r="M42" s="1424"/>
      <c r="N42" s="72" t="s">
        <v>9</v>
      </c>
      <c r="O42" s="1423"/>
      <c r="P42" s="1424"/>
      <c r="Q42" s="638"/>
      <c r="R42" s="638"/>
      <c r="S42" s="638"/>
    </row>
    <row r="43" spans="1:19" x14ac:dyDescent="0.3">
      <c r="A43" s="665"/>
      <c r="B43" s="184"/>
      <c r="C43" s="184"/>
      <c r="D43" s="185"/>
      <c r="E43" s="638"/>
      <c r="F43" s="638"/>
      <c r="H43" s="638"/>
      <c r="J43" s="638"/>
      <c r="K43" s="439" t="s">
        <v>8</v>
      </c>
      <c r="L43" s="1423" t="s">
        <v>2232</v>
      </c>
      <c r="M43" s="1424"/>
      <c r="N43" s="440" t="s">
        <v>78</v>
      </c>
      <c r="O43" s="1423" t="s">
        <v>2231</v>
      </c>
      <c r="P43" s="1424"/>
      <c r="Q43" s="638"/>
      <c r="R43" s="638"/>
      <c r="S43" s="638"/>
    </row>
    <row r="44" spans="1:19" x14ac:dyDescent="0.3">
      <c r="A44" s="665"/>
      <c r="B44" s="184"/>
      <c r="C44" s="184"/>
      <c r="D44" s="185" t="s">
        <v>75</v>
      </c>
      <c r="E44" s="638"/>
      <c r="F44" s="638"/>
      <c r="H44" s="638"/>
      <c r="J44" s="638"/>
      <c r="K44" s="638"/>
      <c r="L44" s="638"/>
      <c r="M44" s="638"/>
      <c r="N44" s="439" t="s">
        <v>8</v>
      </c>
      <c r="O44" s="1423" t="s">
        <v>2232</v>
      </c>
      <c r="P44" s="1424"/>
      <c r="Q44" s="638"/>
      <c r="R44" s="638"/>
      <c r="S44" s="638"/>
    </row>
    <row r="45" spans="1:19" x14ac:dyDescent="0.3">
      <c r="A45" s="665" t="s">
        <v>76</v>
      </c>
      <c r="B45" s="180"/>
      <c r="C45" s="180"/>
      <c r="D45" s="185" t="s">
        <v>77</v>
      </c>
      <c r="E45" s="638"/>
      <c r="F45" s="638"/>
      <c r="H45" s="638"/>
      <c r="J45" s="638"/>
      <c r="K45" s="638"/>
      <c r="L45" s="638"/>
      <c r="M45" s="638"/>
      <c r="Q45" s="638"/>
      <c r="R45" s="638"/>
      <c r="S45" s="638"/>
    </row>
    <row r="46" spans="1:19" x14ac:dyDescent="0.3">
      <c r="A46" s="665" t="s">
        <v>79</v>
      </c>
      <c r="B46" s="180"/>
      <c r="C46" s="180"/>
      <c r="D46" s="185" t="s">
        <v>80</v>
      </c>
      <c r="E46" s="638"/>
      <c r="F46" s="638"/>
      <c r="H46" s="638"/>
      <c r="J46" s="638"/>
      <c r="K46" s="638"/>
      <c r="L46" s="638"/>
      <c r="M46" s="638"/>
      <c r="Q46" s="638"/>
      <c r="R46" s="638"/>
      <c r="S46" s="638"/>
    </row>
  </sheetData>
  <mergeCells count="42">
    <mergeCell ref="A11:A12"/>
    <mergeCell ref="B11:B12"/>
    <mergeCell ref="J11:J12"/>
    <mergeCell ref="A1:S1"/>
    <mergeCell ref="A2:S2"/>
    <mergeCell ref="A3:S3"/>
    <mergeCell ref="A4:S4"/>
    <mergeCell ref="A5:S5"/>
    <mergeCell ref="A6:S6"/>
    <mergeCell ref="A7:S7"/>
    <mergeCell ref="B8:J8"/>
    <mergeCell ref="K8:M9"/>
    <mergeCell ref="Q8:S9"/>
    <mergeCell ref="B9:J9"/>
    <mergeCell ref="N8:P9"/>
    <mergeCell ref="A13:A15"/>
    <mergeCell ref="B13:B15"/>
    <mergeCell ref="J13:J15"/>
    <mergeCell ref="A16:A17"/>
    <mergeCell ref="B16:B17"/>
    <mergeCell ref="J16:J17"/>
    <mergeCell ref="A18:A20"/>
    <mergeCell ref="B18:B20"/>
    <mergeCell ref="J18:J20"/>
    <mergeCell ref="A21:A23"/>
    <mergeCell ref="B21:B23"/>
    <mergeCell ref="J21:J23"/>
    <mergeCell ref="O42:P42"/>
    <mergeCell ref="O43:P43"/>
    <mergeCell ref="O44:P44"/>
    <mergeCell ref="L43:M43"/>
    <mergeCell ref="A24:A25"/>
    <mergeCell ref="B24:B25"/>
    <mergeCell ref="J24:J25"/>
    <mergeCell ref="A26:A27"/>
    <mergeCell ref="B26:B27"/>
    <mergeCell ref="J26:J27"/>
    <mergeCell ref="A28:A29"/>
    <mergeCell ref="B28:B29"/>
    <mergeCell ref="J28:J29"/>
    <mergeCell ref="L41:M41"/>
    <mergeCell ref="L42:M42"/>
  </mergeCells>
  <pageMargins left="0.7" right="0.7" top="0.75" bottom="0.75" header="0.3" footer="0.3"/>
  <pageSetup paperSize="9" scale="38" orientation="landscape"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3">
    <tabColor theme="1"/>
  </sheetPr>
  <dimension ref="A1:G49"/>
  <sheetViews>
    <sheetView topLeftCell="A13" zoomScaleNormal="100" zoomScaleSheetLayoutView="80" workbookViewId="0">
      <selection activeCell="F29" sqref="F29: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RESUMEN!G121</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RESUMEN!B121</f>
        <v>D00249388</v>
      </c>
      <c r="C7" s="1265"/>
      <c r="D7" s="1177"/>
      <c r="E7" s="1266" t="s">
        <v>627</v>
      </c>
      <c r="F7" s="1267"/>
      <c r="G7" s="280" t="str">
        <f>RESUMEN!E121</f>
        <v>17-409</v>
      </c>
    </row>
    <row r="8" spans="1:7" x14ac:dyDescent="0.25">
      <c r="A8" s="271" t="s">
        <v>628</v>
      </c>
      <c r="B8" s="1264" t="str">
        <f>RESUMEN!C121</f>
        <v>D00249388000</v>
      </c>
      <c r="C8" s="1265"/>
      <c r="D8" s="1177"/>
      <c r="E8" s="1266" t="s">
        <v>629</v>
      </c>
      <c r="F8" s="1267"/>
      <c r="G8" s="280" t="str">
        <f>RESUMEN!U121</f>
        <v>Acta N° 2: Marzo</v>
      </c>
    </row>
    <row r="9" spans="1:7" x14ac:dyDescent="0.25">
      <c r="A9" s="271" t="s">
        <v>630</v>
      </c>
      <c r="B9" s="1283" t="s">
        <v>631</v>
      </c>
      <c r="C9" s="1265"/>
      <c r="D9" s="1177"/>
      <c r="E9" s="1266" t="s">
        <v>632</v>
      </c>
      <c r="F9" s="1267"/>
      <c r="G9" s="1178">
        <f>RESUMEN!H121</f>
        <v>2115504</v>
      </c>
    </row>
    <row r="10" spans="1:7" x14ac:dyDescent="0.25">
      <c r="A10" s="271" t="s">
        <v>633</v>
      </c>
      <c r="B10" s="1283" t="str">
        <f>RESUMEN!D121</f>
        <v>LA ISLA</v>
      </c>
      <c r="C10" s="1265"/>
      <c r="D10" s="1177"/>
      <c r="E10" s="1266" t="s">
        <v>634</v>
      </c>
      <c r="F10" s="1267"/>
      <c r="G10" s="1178">
        <f>RESUMEN!R121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",RESUMEN!G121)</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RESUMEN!N121</f>
        <v>0</v>
      </c>
      <c r="F19" s="1248"/>
      <c r="G19" s="1177"/>
    </row>
    <row r="20" spans="1:7" ht="27" customHeight="1" x14ac:dyDescent="0.25">
      <c r="A20" s="1177"/>
      <c r="B20" s="1244" t="s">
        <v>1498</v>
      </c>
      <c r="C20" s="1245"/>
      <c r="D20" s="1246"/>
      <c r="E20" s="1247">
        <f>RESUMEN!P121</f>
        <v>0</v>
      </c>
      <c r="F20" s="1248"/>
      <c r="G20" s="1177"/>
    </row>
    <row r="21" spans="1:7" ht="27" customHeight="1" x14ac:dyDescent="0.25">
      <c r="A21" s="1177"/>
      <c r="B21" s="1244" t="s">
        <v>1499</v>
      </c>
      <c r="C21" s="1245"/>
      <c r="D21" s="1246"/>
      <c r="E21" s="1247">
        <f>RESUMEN!Q121</f>
        <v>0</v>
      </c>
      <c r="F21" s="1248"/>
      <c r="G21" s="1177"/>
    </row>
    <row r="22" spans="1:7" x14ac:dyDescent="0.25">
      <c r="A22" s="1177"/>
      <c r="B22" s="1254" t="s">
        <v>64</v>
      </c>
      <c r="C22" s="1254"/>
      <c r="D22" s="1254"/>
      <c r="E22" s="1255">
        <f>RESUMEN!R121</f>
        <v>0</v>
      </c>
      <c r="F22" s="1255"/>
      <c r="G22" s="1177"/>
    </row>
    <row r="23" spans="1:7" x14ac:dyDescent="0.25">
      <c r="A23" s="1177"/>
      <c r="B23" s="1256" t="s">
        <v>66</v>
      </c>
      <c r="C23" s="1256"/>
      <c r="D23" s="1256"/>
      <c r="E23" s="1257">
        <f>RESUMEN!S121</f>
        <v>0</v>
      </c>
      <c r="F23" s="1257"/>
      <c r="G23" s="1177"/>
    </row>
    <row r="24" spans="1:7" x14ac:dyDescent="0.25">
      <c r="A24" s="1177"/>
      <c r="B24" s="1258" t="s">
        <v>1</v>
      </c>
      <c r="C24" s="1258"/>
      <c r="D24" s="1258"/>
      <c r="E24" s="1259">
        <f>RESUMEN!T121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+'OT117-409 LA ISLA MEDIDA'!N28</f>
        <v>ACTA 1</v>
      </c>
      <c r="C28" s="1253">
        <f>+'OT117-409 LA ISLA MEDIDA'!O28</f>
        <v>527857</v>
      </c>
      <c r="D28" s="1253"/>
      <c r="E28" s="267">
        <f>+'OT117-409 LA ISLA MEDIDA'!P28</f>
        <v>0.24951831809346614</v>
      </c>
      <c r="F28" s="1177"/>
      <c r="G28" s="1177"/>
    </row>
    <row r="29" spans="1:7" x14ac:dyDescent="0.25">
      <c r="A29" s="1177"/>
      <c r="B29" s="280" t="str">
        <f>+'OT117-409 LA ISLA MEDIDA'!N29</f>
        <v>ACTA 2</v>
      </c>
      <c r="C29" s="1253">
        <f>+'OT117-409 LA ISLA MEDIDA'!O29</f>
        <v>0</v>
      </c>
      <c r="D29" s="1253"/>
      <c r="E29" s="267">
        <f>+'OT117-409 LA ISLA MEDIDA'!P29</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527857</v>
      </c>
      <c r="D34" s="1251"/>
      <c r="E34" s="264">
        <f>SUM(E28:E33)</f>
        <v>0.24951831809346614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RESUMEN!V121</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4">
    <tabColor rgb="FF72104A"/>
  </sheetPr>
  <dimension ref="A1:S35"/>
  <sheetViews>
    <sheetView topLeftCell="I13" zoomScale="85" zoomScaleNormal="85" workbookViewId="0">
      <selection activeCell="K18" sqref="K18"/>
    </sheetView>
  </sheetViews>
  <sheetFormatPr baseColWidth="10" defaultRowHeight="14.4" x14ac:dyDescent="0.3"/>
  <cols>
    <col min="1" max="2" width="22" customWidth="1"/>
    <col min="3" max="3" width="28.33203125" customWidth="1"/>
    <col min="4" max="4" width="28.5546875" customWidth="1"/>
    <col min="6" max="6" width="15.5546875" bestFit="1" customWidth="1"/>
    <col min="7" max="7" width="15.5546875" style="849" customWidth="1"/>
    <col min="8" max="8" width="16.109375" bestFit="1" customWidth="1"/>
    <col min="9" max="9" width="17.33203125" style="849" bestFit="1" customWidth="1"/>
    <col min="10" max="10" width="54.109375" customWidth="1"/>
    <col min="11" max="11" width="17.44140625" customWidth="1"/>
    <col min="12" max="12" width="19.109375" bestFit="1" customWidth="1"/>
    <col min="14" max="16" width="11.5546875" style="1054"/>
    <col min="17" max="17" width="15.6640625" customWidth="1"/>
    <col min="18" max="18" width="15.4414062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1766</v>
      </c>
      <c r="B4" s="1292"/>
      <c r="C4" s="1292"/>
      <c r="D4" s="1292"/>
      <c r="E4" s="1292"/>
      <c r="F4" s="1292"/>
      <c r="G4" s="1292"/>
      <c r="H4" s="1292"/>
      <c r="I4" s="1292"/>
      <c r="J4" s="1292"/>
      <c r="K4" s="1292"/>
      <c r="L4" s="1292"/>
      <c r="M4" s="1292"/>
      <c r="N4" s="1292"/>
      <c r="O4" s="1292"/>
      <c r="P4" s="1292"/>
      <c r="Q4" s="1292"/>
      <c r="R4" s="1292"/>
      <c r="S4" s="1292"/>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1826</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1982</v>
      </c>
      <c r="L8" s="1294"/>
      <c r="M8" s="1295"/>
      <c r="N8" s="1293" t="s">
        <v>2313</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60" customHeight="1" x14ac:dyDescent="0.3">
      <c r="A11" s="1289" t="s">
        <v>1820</v>
      </c>
      <c r="B11" s="1289" t="s">
        <v>170</v>
      </c>
      <c r="C11" s="843" t="s">
        <v>83</v>
      </c>
      <c r="D11" s="843" t="s">
        <v>123</v>
      </c>
      <c r="E11" s="843">
        <v>0</v>
      </c>
      <c r="F11" s="32">
        <v>1044658</v>
      </c>
      <c r="G11" s="32">
        <f>+ROUND(F11*1.051,0)</f>
        <v>1097936</v>
      </c>
      <c r="H11" s="32">
        <f>ROUND((E11*F11),0)</f>
        <v>0</v>
      </c>
      <c r="I11" s="32">
        <f>+ROUND(G11*E11,0)</f>
        <v>0</v>
      </c>
      <c r="J11" s="1289" t="s">
        <v>1379</v>
      </c>
      <c r="K11" s="536">
        <v>0</v>
      </c>
      <c r="L11" s="685">
        <f>ROUND(K11*G11,0)</f>
        <v>0</v>
      </c>
      <c r="M11" s="880">
        <v>0</v>
      </c>
      <c r="N11" s="799">
        <v>0</v>
      </c>
      <c r="O11" s="685">
        <f>ROUND(N11*G11,0)</f>
        <v>0</v>
      </c>
      <c r="P11" s="880">
        <v>0</v>
      </c>
      <c r="Q11" s="536">
        <f>K11+N11</f>
        <v>0</v>
      </c>
      <c r="R11" s="685">
        <f>L11+O11</f>
        <v>0</v>
      </c>
      <c r="S11" s="684">
        <v>0</v>
      </c>
    </row>
    <row r="12" spans="1:19" ht="57" customHeight="1" x14ac:dyDescent="0.3">
      <c r="A12" s="1289"/>
      <c r="B12" s="1289"/>
      <c r="C12" s="843" t="s">
        <v>61</v>
      </c>
      <c r="D12" s="843" t="s">
        <v>125</v>
      </c>
      <c r="E12" s="843">
        <v>0.7</v>
      </c>
      <c r="F12" s="32">
        <v>1009836</v>
      </c>
      <c r="G12" s="32">
        <f>+ROUND(F12*1.051,0)</f>
        <v>1061338</v>
      </c>
      <c r="H12" s="32">
        <f>ROUND((E12*F12),0)</f>
        <v>706885</v>
      </c>
      <c r="I12" s="32">
        <f>+ROUND(G12*E12,0)</f>
        <v>742937</v>
      </c>
      <c r="J12" s="1289"/>
      <c r="K12" s="537">
        <f>0.7*70%</f>
        <v>0.48999999999999994</v>
      </c>
      <c r="L12" s="752">
        <f>ROUND(K12*G12,0)</f>
        <v>520056</v>
      </c>
      <c r="M12" s="753">
        <f>+L12/H12</f>
        <v>0.73570099804069966</v>
      </c>
      <c r="N12" s="891">
        <v>0</v>
      </c>
      <c r="O12" s="685">
        <f>ROUND(N12*G12,0)</f>
        <v>0</v>
      </c>
      <c r="P12" s="893">
        <f>+O12/I12</f>
        <v>0</v>
      </c>
      <c r="Q12" s="799">
        <f t="shared" ref="Q12:Q17" si="0">K12+N12</f>
        <v>0.48999999999999994</v>
      </c>
      <c r="R12" s="685">
        <f t="shared" ref="R12:R18" si="1">L12+O12</f>
        <v>520056</v>
      </c>
      <c r="S12" s="684">
        <f>R12/I12</f>
        <v>0.70000013460091504</v>
      </c>
    </row>
    <row r="13" spans="1:19" x14ac:dyDescent="0.3">
      <c r="A13" s="1289"/>
      <c r="B13" s="1289"/>
      <c r="C13" s="39"/>
      <c r="D13" s="39" t="s">
        <v>126</v>
      </c>
      <c r="E13" s="41"/>
      <c r="F13" s="41"/>
      <c r="G13" s="41"/>
      <c r="H13" s="42">
        <f>SUM(H11:H12)</f>
        <v>706885</v>
      </c>
      <c r="I13" s="42">
        <f>SUM(I11:I12)</f>
        <v>742937</v>
      </c>
      <c r="J13" s="1289"/>
      <c r="K13" s="41"/>
      <c r="L13" s="683">
        <f>SUM(L11:L12)</f>
        <v>520056</v>
      </c>
      <c r="M13" s="519">
        <f>L13/H13</f>
        <v>0.73570099804069966</v>
      </c>
      <c r="N13" s="41"/>
      <c r="O13" s="683">
        <f>SUM(O11:O12)</f>
        <v>0</v>
      </c>
      <c r="P13" s="1100">
        <f t="shared" ref="P13:P18" si="2">+O13/I13</f>
        <v>0</v>
      </c>
      <c r="Q13" s="1106"/>
      <c r="R13" s="1107">
        <f t="shared" si="1"/>
        <v>520056</v>
      </c>
      <c r="S13" s="1100">
        <f t="shared" ref="S13:S18" si="3">R13/I13</f>
        <v>0.70000013460091504</v>
      </c>
    </row>
    <row r="14" spans="1:19" ht="45" customHeight="1" x14ac:dyDescent="0.3">
      <c r="A14" s="1289" t="s">
        <v>283</v>
      </c>
      <c r="B14" s="1289" t="s">
        <v>282</v>
      </c>
      <c r="C14" s="843" t="s">
        <v>81</v>
      </c>
      <c r="D14" s="843" t="s">
        <v>105</v>
      </c>
      <c r="E14" s="843">
        <v>0</v>
      </c>
      <c r="F14" s="32">
        <v>417863</v>
      </c>
      <c r="G14" s="32">
        <f t="shared" ref="G14:G15" si="4">+ROUND(F14*1.051,0)</f>
        <v>439174</v>
      </c>
      <c r="H14" s="32">
        <f>ROUND((E14*F14),0)</f>
        <v>0</v>
      </c>
      <c r="I14" s="32">
        <f t="shared" ref="I14:I15" si="5">+ROUND(G14*E14,0)</f>
        <v>0</v>
      </c>
      <c r="J14" s="1289" t="s">
        <v>1817</v>
      </c>
      <c r="K14" s="799">
        <v>0</v>
      </c>
      <c r="L14" s="685">
        <f t="shared" ref="L14:L15" si="6">ROUND(K14*G14,0)</f>
        <v>0</v>
      </c>
      <c r="M14" s="880">
        <v>0</v>
      </c>
      <c r="N14" s="799">
        <v>0</v>
      </c>
      <c r="O14" s="685">
        <f>ROUND(N14*G14,0)</f>
        <v>0</v>
      </c>
      <c r="P14" s="893">
        <v>0</v>
      </c>
      <c r="Q14" s="799">
        <f t="shared" si="0"/>
        <v>0</v>
      </c>
      <c r="R14" s="685">
        <f t="shared" si="1"/>
        <v>0</v>
      </c>
      <c r="S14" s="684" t="e">
        <f t="shared" si="3"/>
        <v>#DIV/0!</v>
      </c>
    </row>
    <row r="15" spans="1:19" ht="90" customHeight="1" x14ac:dyDescent="0.3">
      <c r="A15" s="1289"/>
      <c r="B15" s="1289"/>
      <c r="C15" s="843" t="s">
        <v>83</v>
      </c>
      <c r="D15" s="843" t="s">
        <v>107</v>
      </c>
      <c r="E15" s="843">
        <v>8.4000000000000005E-2</v>
      </c>
      <c r="F15" s="32">
        <v>1845563</v>
      </c>
      <c r="G15" s="32">
        <f t="shared" si="4"/>
        <v>1939687</v>
      </c>
      <c r="H15" s="32">
        <f>ROUND((E15*F15),0)</f>
        <v>155027</v>
      </c>
      <c r="I15" s="32">
        <f t="shared" si="5"/>
        <v>162934</v>
      </c>
      <c r="J15" s="1289"/>
      <c r="K15" s="799">
        <v>0</v>
      </c>
      <c r="L15" s="685">
        <f t="shared" si="6"/>
        <v>0</v>
      </c>
      <c r="M15" s="880">
        <f t="shared" ref="M15" si="7">+L15/I15</f>
        <v>0</v>
      </c>
      <c r="N15" s="799">
        <v>0</v>
      </c>
      <c r="O15" s="685">
        <f>ROUND(N15*G15,0)</f>
        <v>0</v>
      </c>
      <c r="P15" s="893">
        <f t="shared" si="2"/>
        <v>0</v>
      </c>
      <c r="Q15" s="799">
        <f t="shared" si="0"/>
        <v>0</v>
      </c>
      <c r="R15" s="685">
        <f t="shared" si="1"/>
        <v>0</v>
      </c>
      <c r="S15" s="684">
        <f t="shared" si="3"/>
        <v>0</v>
      </c>
    </row>
    <row r="16" spans="1:19"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0</v>
      </c>
      <c r="P16" s="1100">
        <f t="shared" si="2"/>
        <v>0</v>
      </c>
      <c r="Q16" s="1106"/>
      <c r="R16" s="1107">
        <f t="shared" si="1"/>
        <v>0</v>
      </c>
      <c r="S16" s="1100">
        <f t="shared" si="3"/>
        <v>0</v>
      </c>
    </row>
    <row r="17" spans="1:19" ht="30" customHeight="1" x14ac:dyDescent="0.3">
      <c r="A17" s="1289" t="s">
        <v>283</v>
      </c>
      <c r="B17" s="1289" t="s">
        <v>194</v>
      </c>
      <c r="C17" s="843" t="s">
        <v>160</v>
      </c>
      <c r="D17" s="843" t="s">
        <v>161</v>
      </c>
      <c r="E17" s="843">
        <v>18</v>
      </c>
      <c r="F17" s="32">
        <v>69644</v>
      </c>
      <c r="G17" s="32">
        <f>+ROUND(F17*1.051,0)</f>
        <v>73196</v>
      </c>
      <c r="H17" s="32">
        <f>ROUND((E17*F17),0)</f>
        <v>1253592</v>
      </c>
      <c r="I17" s="32">
        <f>+ROUND(G17*E17,0)</f>
        <v>1317528</v>
      </c>
      <c r="J17" s="1289" t="s">
        <v>1818</v>
      </c>
      <c r="K17" s="799">
        <v>0</v>
      </c>
      <c r="L17" s="685">
        <f>ROUND(K17*G17,0)</f>
        <v>0</v>
      </c>
      <c r="M17" s="880">
        <f>+L17/I17</f>
        <v>0</v>
      </c>
      <c r="N17" s="799">
        <v>0</v>
      </c>
      <c r="O17" s="685">
        <f>ROUND(N17*G17,0)</f>
        <v>0</v>
      </c>
      <c r="P17" s="893">
        <f t="shared" si="2"/>
        <v>0</v>
      </c>
      <c r="Q17" s="799">
        <f t="shared" si="0"/>
        <v>0</v>
      </c>
      <c r="R17" s="685">
        <f t="shared" si="1"/>
        <v>0</v>
      </c>
      <c r="S17" s="684">
        <f t="shared" si="3"/>
        <v>0</v>
      </c>
    </row>
    <row r="18" spans="1:19"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0</v>
      </c>
      <c r="P18" s="1100">
        <f t="shared" si="2"/>
        <v>0</v>
      </c>
      <c r="Q18" s="1108"/>
      <c r="R18" s="1107">
        <f t="shared" si="1"/>
        <v>0</v>
      </c>
      <c r="S18" s="1100">
        <f t="shared" si="3"/>
        <v>0</v>
      </c>
    </row>
    <row r="19" spans="1:19" x14ac:dyDescent="0.3">
      <c r="A19" s="638"/>
      <c r="B19" s="638"/>
      <c r="C19" s="638"/>
      <c r="D19" s="638"/>
      <c r="E19" s="638"/>
      <c r="F19" s="686" t="s">
        <v>1740</v>
      </c>
      <c r="G19" s="686"/>
      <c r="H19" s="687">
        <f>H13+H16+H18</f>
        <v>2115504</v>
      </c>
      <c r="I19" s="687">
        <f>I13+I16+I18</f>
        <v>2223399</v>
      </c>
      <c r="J19" s="638"/>
      <c r="K19" s="547" t="s">
        <v>64</v>
      </c>
      <c r="L19" s="688">
        <f>SUM(L11:L18)/2</f>
        <v>520056</v>
      </c>
      <c r="M19" s="638"/>
      <c r="N19" s="547" t="s">
        <v>64</v>
      </c>
      <c r="O19" s="688">
        <f>SUM(O11:O18)/2</f>
        <v>0</v>
      </c>
      <c r="Q19" s="547" t="s">
        <v>64</v>
      </c>
      <c r="R19" s="688">
        <f>SUM(R11:R18)/2</f>
        <v>520056</v>
      </c>
      <c r="S19" s="638"/>
    </row>
    <row r="20" spans="1:19" ht="26.4" x14ac:dyDescent="0.3">
      <c r="A20" s="638"/>
      <c r="B20" s="638"/>
      <c r="C20" s="638"/>
      <c r="D20" s="638"/>
      <c r="E20" s="638"/>
      <c r="F20" s="444" t="s">
        <v>65</v>
      </c>
      <c r="G20" s="444"/>
      <c r="H20" s="181">
        <v>0</v>
      </c>
      <c r="I20" s="181">
        <v>0</v>
      </c>
      <c r="J20" s="638"/>
      <c r="K20" s="548" t="s">
        <v>65</v>
      </c>
      <c r="L20" s="682">
        <v>0</v>
      </c>
      <c r="M20" s="638"/>
      <c r="N20" s="548" t="s">
        <v>65</v>
      </c>
      <c r="O20" s="682">
        <v>0</v>
      </c>
      <c r="Q20" s="548" t="s">
        <v>65</v>
      </c>
      <c r="R20" s="682">
        <v>0</v>
      </c>
      <c r="S20" s="638"/>
    </row>
    <row r="21" spans="1:19" x14ac:dyDescent="0.3">
      <c r="A21" s="638"/>
      <c r="B21" s="638"/>
      <c r="C21" s="638"/>
      <c r="D21" s="638"/>
      <c r="E21" s="638"/>
      <c r="F21" s="443" t="s">
        <v>1740</v>
      </c>
      <c r="G21" s="443"/>
      <c r="H21" s="340">
        <f>+H20+H19</f>
        <v>2115504</v>
      </c>
      <c r="I21" s="340">
        <f>+I20+I19</f>
        <v>2223399</v>
      </c>
      <c r="J21" s="638"/>
      <c r="K21" s="549" t="s">
        <v>64</v>
      </c>
      <c r="L21" s="481">
        <f>L19+L20</f>
        <v>520056</v>
      </c>
      <c r="M21" s="638"/>
      <c r="N21" s="549" t="s">
        <v>64</v>
      </c>
      <c r="O21" s="481">
        <f>O19+O20</f>
        <v>0</v>
      </c>
      <c r="Q21" s="549" t="s">
        <v>64</v>
      </c>
      <c r="R21" s="481">
        <f>R19+R20</f>
        <v>520056</v>
      </c>
      <c r="S21" s="638"/>
    </row>
    <row r="22" spans="1:19" ht="26.4" x14ac:dyDescent="0.3">
      <c r="A22" s="638"/>
      <c r="B22" s="638"/>
      <c r="C22" s="638"/>
      <c r="D22" s="638"/>
      <c r="E22" s="638"/>
      <c r="F22" s="659"/>
      <c r="G22" s="659"/>
      <c r="H22" s="659"/>
      <c r="I22" s="659"/>
      <c r="J22" s="638"/>
      <c r="K22" s="501" t="s">
        <v>1439</v>
      </c>
      <c r="L22" s="481">
        <f>ROUND(L21*0.015,0)</f>
        <v>7801</v>
      </c>
      <c r="M22" s="638"/>
      <c r="N22" s="501" t="s">
        <v>1439</v>
      </c>
      <c r="O22" s="481">
        <f>ROUND(O21*0.015,0)</f>
        <v>0</v>
      </c>
      <c r="Q22" s="501" t="s">
        <v>1439</v>
      </c>
      <c r="R22" s="481">
        <f>+L22+O22</f>
        <v>7801</v>
      </c>
      <c r="S22" s="638"/>
    </row>
    <row r="23" spans="1:19" ht="39.6" x14ac:dyDescent="0.3">
      <c r="A23" s="638"/>
      <c r="B23" s="638"/>
      <c r="C23" s="638"/>
      <c r="D23" s="638"/>
      <c r="E23" s="638"/>
      <c r="F23" s="659"/>
      <c r="G23" s="659"/>
      <c r="H23" s="659"/>
      <c r="I23" s="659"/>
      <c r="J23" s="638"/>
      <c r="K23" s="96" t="s">
        <v>1440</v>
      </c>
      <c r="L23" s="783">
        <f>L21+L22</f>
        <v>527857</v>
      </c>
      <c r="M23" s="832">
        <f>L23/H19</f>
        <v>0.24951831809346614</v>
      </c>
      <c r="N23" s="96" t="s">
        <v>1440</v>
      </c>
      <c r="O23" s="783">
        <f>O21+O22</f>
        <v>0</v>
      </c>
      <c r="P23" s="832">
        <f>O23/H19</f>
        <v>0</v>
      </c>
      <c r="Q23" s="96" t="s">
        <v>1440</v>
      </c>
      <c r="R23" s="783">
        <f>R21+R22</f>
        <v>527857</v>
      </c>
      <c r="S23" s="832">
        <f>R23/H19</f>
        <v>0.24951831809346614</v>
      </c>
    </row>
    <row r="24" spans="1:19" x14ac:dyDescent="0.3">
      <c r="A24" s="638"/>
      <c r="B24" s="638"/>
      <c r="C24" s="638"/>
      <c r="D24" s="638"/>
      <c r="E24" s="638"/>
      <c r="F24" s="442" t="s">
        <v>66</v>
      </c>
      <c r="G24" s="442"/>
      <c r="H24" s="181">
        <f>+H19*19%</f>
        <v>401945.76</v>
      </c>
      <c r="I24" s="181">
        <f>+I19*19%</f>
        <v>422445.81</v>
      </c>
      <c r="J24" s="638"/>
      <c r="K24" s="551" t="s">
        <v>66</v>
      </c>
      <c r="L24" s="672">
        <f>L23*0.19</f>
        <v>100292.83</v>
      </c>
      <c r="M24" s="638"/>
      <c r="N24" s="551" t="s">
        <v>66</v>
      </c>
      <c r="O24" s="672">
        <f>O23*0.19</f>
        <v>0</v>
      </c>
      <c r="Q24" s="551" t="s">
        <v>66</v>
      </c>
      <c r="R24" s="672">
        <f>R23*0.19</f>
        <v>100292.83</v>
      </c>
      <c r="S24" s="638"/>
    </row>
    <row r="25" spans="1:19" x14ac:dyDescent="0.3">
      <c r="A25" s="638"/>
      <c r="B25" s="638"/>
      <c r="C25" s="638"/>
      <c r="D25" s="638"/>
      <c r="E25" s="638"/>
      <c r="F25" s="441" t="s">
        <v>69</v>
      </c>
      <c r="G25" s="441"/>
      <c r="H25" s="181">
        <f>+H19+H24</f>
        <v>2517449.7599999998</v>
      </c>
      <c r="I25" s="181">
        <f>+I19+I24</f>
        <v>2645844.81</v>
      </c>
      <c r="J25" s="638"/>
      <c r="K25" s="552" t="s">
        <v>69</v>
      </c>
      <c r="L25" s="672">
        <f>L23+L24</f>
        <v>628149.82999999996</v>
      </c>
      <c r="M25" s="638"/>
      <c r="N25" s="552" t="s">
        <v>69</v>
      </c>
      <c r="O25" s="672">
        <f>O23+O24</f>
        <v>0</v>
      </c>
      <c r="Q25" s="552" t="s">
        <v>69</v>
      </c>
      <c r="R25" s="672">
        <f>R23+R24</f>
        <v>628149.82999999996</v>
      </c>
      <c r="S25" s="638"/>
    </row>
    <row r="26" spans="1:19" x14ac:dyDescent="0.3">
      <c r="A26" s="638"/>
      <c r="B26" s="638"/>
      <c r="C26" s="638"/>
      <c r="D26" s="638"/>
      <c r="E26" s="638"/>
      <c r="F26" s="638"/>
      <c r="H26" s="638"/>
      <c r="J26" s="638"/>
      <c r="K26" s="638"/>
      <c r="L26" s="638"/>
      <c r="M26" s="638"/>
      <c r="Q26" s="638"/>
      <c r="R26" s="638"/>
      <c r="S26" s="638"/>
    </row>
    <row r="27" spans="1:19" ht="26.4" x14ac:dyDescent="0.3">
      <c r="A27" s="665" t="s">
        <v>67</v>
      </c>
      <c r="B27" s="184"/>
      <c r="C27" s="184"/>
      <c r="D27" s="185" t="s">
        <v>68</v>
      </c>
      <c r="E27" s="638"/>
      <c r="F27" s="638"/>
      <c r="H27" s="638"/>
      <c r="J27" s="638"/>
      <c r="K27" s="186" t="s">
        <v>70</v>
      </c>
      <c r="L27" s="187" t="s">
        <v>71</v>
      </c>
      <c r="M27" s="186" t="s">
        <v>58</v>
      </c>
      <c r="N27" s="186" t="s">
        <v>70</v>
      </c>
      <c r="O27" s="187" t="s">
        <v>71</v>
      </c>
      <c r="P27" s="186" t="s">
        <v>58</v>
      </c>
      <c r="Q27" s="638"/>
      <c r="R27" s="638"/>
      <c r="S27" s="638"/>
    </row>
    <row r="28" spans="1:19" x14ac:dyDescent="0.3">
      <c r="A28" s="665"/>
      <c r="B28" s="184"/>
      <c r="C28" s="184"/>
      <c r="D28" s="185"/>
      <c r="E28" s="638"/>
      <c r="F28" s="638"/>
      <c r="H28" s="638"/>
      <c r="J28" s="638"/>
      <c r="K28" s="69" t="s">
        <v>72</v>
      </c>
      <c r="L28" s="70">
        <f>L23</f>
        <v>527857</v>
      </c>
      <c r="M28" s="360">
        <f>M23</f>
        <v>0.24951831809346614</v>
      </c>
      <c r="N28" s="69" t="s">
        <v>72</v>
      </c>
      <c r="O28" s="70">
        <f>$L$23</f>
        <v>527857</v>
      </c>
      <c r="P28" s="360">
        <f>$M$23</f>
        <v>0.24951831809346614</v>
      </c>
      <c r="Q28" s="638"/>
      <c r="R28" s="638"/>
      <c r="S28" s="638"/>
    </row>
    <row r="29" spans="1:19" x14ac:dyDescent="0.3">
      <c r="A29" s="665"/>
      <c r="B29" s="184"/>
      <c r="C29" s="184"/>
      <c r="D29" s="185"/>
      <c r="E29" s="638"/>
      <c r="F29" s="638"/>
      <c r="H29" s="638"/>
      <c r="J29" s="638"/>
      <c r="K29" s="72" t="s">
        <v>1</v>
      </c>
      <c r="L29" s="105">
        <f>L28</f>
        <v>527857</v>
      </c>
      <c r="M29" s="361">
        <f>M28</f>
        <v>0.24951831809346614</v>
      </c>
      <c r="N29" s="69" t="s">
        <v>73</v>
      </c>
      <c r="O29" s="70">
        <f>$O$23</f>
        <v>0</v>
      </c>
      <c r="P29" s="360">
        <f>$P$23</f>
        <v>0</v>
      </c>
      <c r="Q29" s="638"/>
      <c r="R29" s="638"/>
      <c r="S29" s="638"/>
    </row>
    <row r="30" spans="1:19" x14ac:dyDescent="0.3">
      <c r="A30" s="665"/>
      <c r="B30" s="184"/>
      <c r="C30" s="184"/>
      <c r="D30" s="185"/>
      <c r="E30" s="638"/>
      <c r="F30" s="638"/>
      <c r="H30" s="638"/>
      <c r="J30" s="638"/>
      <c r="K30" s="72" t="s">
        <v>9</v>
      </c>
      <c r="L30" s="1423"/>
      <c r="M30" s="1424"/>
      <c r="N30" s="72" t="s">
        <v>1</v>
      </c>
      <c r="O30" s="105">
        <f>SUM(O28:O29)</f>
        <v>527857</v>
      </c>
      <c r="P30" s="361">
        <f>SUM(P28:P29)</f>
        <v>0.24951831809346614</v>
      </c>
      <c r="Q30" s="638"/>
      <c r="R30" s="638"/>
      <c r="S30" s="638"/>
    </row>
    <row r="31" spans="1:19" x14ac:dyDescent="0.3">
      <c r="A31" s="665"/>
      <c r="B31" s="184"/>
      <c r="C31" s="184"/>
      <c r="D31" s="185"/>
      <c r="E31" s="638"/>
      <c r="F31" s="638"/>
      <c r="H31" s="638"/>
      <c r="J31" s="638"/>
      <c r="K31" s="440" t="s">
        <v>78</v>
      </c>
      <c r="L31" s="1423" t="s">
        <v>1984</v>
      </c>
      <c r="M31" s="1424"/>
      <c r="N31" s="72" t="s">
        <v>9</v>
      </c>
      <c r="O31" s="1423"/>
      <c r="P31" s="1424"/>
      <c r="Q31" s="638"/>
      <c r="R31" s="638"/>
      <c r="S31" s="638"/>
    </row>
    <row r="32" spans="1:19" x14ac:dyDescent="0.3">
      <c r="A32" s="665"/>
      <c r="B32" s="184"/>
      <c r="C32" s="184"/>
      <c r="D32" s="185"/>
      <c r="E32" s="638"/>
      <c r="F32" s="638"/>
      <c r="H32" s="638"/>
      <c r="J32" s="638"/>
      <c r="K32" s="439" t="s">
        <v>8</v>
      </c>
      <c r="L32" s="1423" t="s">
        <v>1985</v>
      </c>
      <c r="M32" s="1424"/>
      <c r="N32" s="440" t="s">
        <v>78</v>
      </c>
      <c r="O32" s="1423" t="s">
        <v>1984</v>
      </c>
      <c r="P32" s="1424"/>
      <c r="Q32" s="638"/>
      <c r="R32" s="638"/>
      <c r="S32" s="638"/>
    </row>
    <row r="33" spans="1:19" x14ac:dyDescent="0.3">
      <c r="A33" s="665"/>
      <c r="B33" s="184"/>
      <c r="C33" s="184"/>
      <c r="D33" s="185" t="s">
        <v>75</v>
      </c>
      <c r="E33" s="638"/>
      <c r="F33" s="638"/>
      <c r="H33" s="638"/>
      <c r="J33" s="638"/>
      <c r="K33" s="638"/>
      <c r="L33" s="638"/>
      <c r="M33" s="638"/>
      <c r="N33" s="439" t="s">
        <v>8</v>
      </c>
      <c r="O33" s="1423" t="s">
        <v>1985</v>
      </c>
      <c r="P33" s="1424"/>
      <c r="Q33" s="638"/>
      <c r="R33" s="638"/>
      <c r="S33" s="638"/>
    </row>
    <row r="34" spans="1:19" x14ac:dyDescent="0.3">
      <c r="A34" s="665" t="s">
        <v>76</v>
      </c>
      <c r="B34" s="180"/>
      <c r="C34" s="180"/>
      <c r="D34" s="185" t="s">
        <v>77</v>
      </c>
      <c r="E34" s="638"/>
      <c r="F34" s="638"/>
      <c r="H34" s="638"/>
      <c r="J34" s="638"/>
      <c r="K34" s="638"/>
      <c r="L34" s="638"/>
      <c r="M34" s="638"/>
      <c r="Q34" s="638"/>
      <c r="R34" s="638"/>
      <c r="S34" s="638"/>
    </row>
    <row r="35" spans="1:19" x14ac:dyDescent="0.3">
      <c r="A35" s="665" t="s">
        <v>79</v>
      </c>
      <c r="B35" s="180"/>
      <c r="C35" s="180"/>
      <c r="D35" s="185" t="s">
        <v>80</v>
      </c>
      <c r="E35" s="638"/>
      <c r="F35" s="638"/>
      <c r="H35" s="638"/>
      <c r="J35" s="638"/>
      <c r="K35" s="638"/>
      <c r="L35" s="638"/>
      <c r="M35" s="638"/>
      <c r="Q35" s="638"/>
      <c r="R35" s="638"/>
      <c r="S35" s="638"/>
    </row>
  </sheetData>
  <mergeCells count="27">
    <mergeCell ref="A11:A13"/>
    <mergeCell ref="B11:B13"/>
    <mergeCell ref="J11:J13"/>
    <mergeCell ref="A1:S1"/>
    <mergeCell ref="A2:S2"/>
    <mergeCell ref="A3:S3"/>
    <mergeCell ref="A4:S4"/>
    <mergeCell ref="A5:S5"/>
    <mergeCell ref="A6:S6"/>
    <mergeCell ref="A7:S7"/>
    <mergeCell ref="B8:J8"/>
    <mergeCell ref="K8:M9"/>
    <mergeCell ref="Q8:S9"/>
    <mergeCell ref="B9:J9"/>
    <mergeCell ref="N8:P9"/>
    <mergeCell ref="A14:A16"/>
    <mergeCell ref="B14:B16"/>
    <mergeCell ref="J14:J16"/>
    <mergeCell ref="A17:A18"/>
    <mergeCell ref="B17:B18"/>
    <mergeCell ref="J17:J18"/>
    <mergeCell ref="O31:P31"/>
    <mergeCell ref="O32:P32"/>
    <mergeCell ref="O33:P33"/>
    <mergeCell ref="L30:M30"/>
    <mergeCell ref="L31:M31"/>
    <mergeCell ref="L32:M32"/>
  </mergeCells>
  <pageMargins left="0.7" right="0.7" top="0.75" bottom="0.75" header="0.3" footer="0.3"/>
  <pageSetup paperSize="9" scale="39" orientation="landscape"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5">
    <tabColor theme="1"/>
  </sheetPr>
  <dimension ref="A1:G49"/>
  <sheetViews>
    <sheetView topLeftCell="A13"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RESUMEN!G122</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RESUMEN!B122</f>
        <v>D00249389</v>
      </c>
      <c r="C7" s="1265"/>
      <c r="D7" s="1177"/>
      <c r="E7" s="1266" t="s">
        <v>627</v>
      </c>
      <c r="F7" s="1267"/>
      <c r="G7" s="280" t="str">
        <f>RESUMEN!E122</f>
        <v>17-410</v>
      </c>
    </row>
    <row r="8" spans="1:7" x14ac:dyDescent="0.25">
      <c r="A8" s="271" t="s">
        <v>628</v>
      </c>
      <c r="B8" s="1264" t="str">
        <f>RESUMEN!C122</f>
        <v>D00249389000</v>
      </c>
      <c r="C8" s="1265"/>
      <c r="D8" s="1177"/>
      <c r="E8" s="1266" t="s">
        <v>629</v>
      </c>
      <c r="F8" s="1267"/>
      <c r="G8" s="280" t="str">
        <f>RESUMEN!U122</f>
        <v>Acta N° 3: Marzo</v>
      </c>
    </row>
    <row r="9" spans="1:7" x14ac:dyDescent="0.25">
      <c r="A9" s="271" t="s">
        <v>630</v>
      </c>
      <c r="B9" s="1283" t="s">
        <v>631</v>
      </c>
      <c r="C9" s="1265"/>
      <c r="D9" s="1177"/>
      <c r="E9" s="1266" t="s">
        <v>632</v>
      </c>
      <c r="F9" s="1267"/>
      <c r="G9" s="1178">
        <f>RESUMEN!H122</f>
        <v>2841890</v>
      </c>
    </row>
    <row r="10" spans="1:7" x14ac:dyDescent="0.25">
      <c r="A10" s="271" t="s">
        <v>633</v>
      </c>
      <c r="B10" s="1283" t="str">
        <f>RESUMEN!D122</f>
        <v>FACATATIVÁ</v>
      </c>
      <c r="C10" s="1265"/>
      <c r="D10" s="1177"/>
      <c r="E10" s="1266" t="s">
        <v>634</v>
      </c>
      <c r="F10" s="1267"/>
      <c r="G10" s="1178">
        <f>RESUMEN!R122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",RESUMEN!G122)</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RESUMEN!N122</f>
        <v>0</v>
      </c>
      <c r="F19" s="1248"/>
      <c r="G19" s="1177"/>
    </row>
    <row r="20" spans="1:7" ht="27" customHeight="1" x14ac:dyDescent="0.25">
      <c r="A20" s="1177"/>
      <c r="B20" s="1244" t="s">
        <v>1498</v>
      </c>
      <c r="C20" s="1245"/>
      <c r="D20" s="1246"/>
      <c r="E20" s="1247">
        <f>RESUMEN!P122</f>
        <v>0</v>
      </c>
      <c r="F20" s="1248"/>
      <c r="G20" s="1177"/>
    </row>
    <row r="21" spans="1:7" ht="27" customHeight="1" x14ac:dyDescent="0.25">
      <c r="A21" s="1177"/>
      <c r="B21" s="1244" t="s">
        <v>1499</v>
      </c>
      <c r="C21" s="1245"/>
      <c r="D21" s="1246"/>
      <c r="E21" s="1247">
        <f>RESUMEN!Q122</f>
        <v>0</v>
      </c>
      <c r="F21" s="1248"/>
      <c r="G21" s="1177"/>
    </row>
    <row r="22" spans="1:7" x14ac:dyDescent="0.25">
      <c r="A22" s="1177"/>
      <c r="B22" s="1254" t="s">
        <v>64</v>
      </c>
      <c r="C22" s="1254"/>
      <c r="D22" s="1254"/>
      <c r="E22" s="1255">
        <f>RESUMEN!R122</f>
        <v>0</v>
      </c>
      <c r="F22" s="1255"/>
      <c r="G22" s="1177"/>
    </row>
    <row r="23" spans="1:7" x14ac:dyDescent="0.25">
      <c r="A23" s="1177"/>
      <c r="B23" s="1256" t="s">
        <v>66</v>
      </c>
      <c r="C23" s="1256"/>
      <c r="D23" s="1256"/>
      <c r="E23" s="1257">
        <f>RESUMEN!S122</f>
        <v>0</v>
      </c>
      <c r="F23" s="1257"/>
      <c r="G23" s="1177"/>
    </row>
    <row r="24" spans="1:7" x14ac:dyDescent="0.25">
      <c r="A24" s="1177"/>
      <c r="B24" s="1258" t="s">
        <v>1</v>
      </c>
      <c r="C24" s="1258"/>
      <c r="D24" s="1258"/>
      <c r="E24" s="1259">
        <f>RESUMEN!T122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+'OT17-410 FACA MINI MANTIS'!Q31</f>
        <v>ACTA 1</v>
      </c>
      <c r="C28" s="1253">
        <f>+'OT17-410 FACA MINI MANTIS'!R31</f>
        <v>717488</v>
      </c>
      <c r="D28" s="1253"/>
      <c r="E28" s="267">
        <f>+'OT17-410 FACA MINI MANTIS'!S31</f>
        <v>0.25246860364053497</v>
      </c>
      <c r="F28" s="1177"/>
      <c r="G28" s="1177"/>
    </row>
    <row r="29" spans="1:7" x14ac:dyDescent="0.25">
      <c r="A29" s="1177"/>
      <c r="B29" s="280" t="str">
        <f>+'OT17-410 FACA MINI MANTIS'!Q32</f>
        <v>ACTA 2</v>
      </c>
      <c r="C29" s="1253">
        <f>+'OT17-410 FACA MINI MANTIS'!R32</f>
        <v>1594287</v>
      </c>
      <c r="D29" s="1253"/>
      <c r="E29" s="267">
        <f>+'OT17-410 FACA MINI MANTIS'!S32</f>
        <v>0.56099532353468995</v>
      </c>
      <c r="F29" s="1177"/>
      <c r="G29" s="1177"/>
    </row>
    <row r="30" spans="1:7" x14ac:dyDescent="0.25">
      <c r="A30" s="1177"/>
      <c r="B30" s="280" t="str">
        <f>+'OT17-410 FACA MINI MANTIS'!Q33</f>
        <v>ACTA 3</v>
      </c>
      <c r="C30" s="1253">
        <f>+'OT17-410 FACA MINI MANTIS'!R33</f>
        <v>0</v>
      </c>
      <c r="D30" s="1253"/>
      <c r="E30" s="267">
        <f>+'OT17-410 FACA MINI MANTIS'!S33</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2311775</v>
      </c>
      <c r="D34" s="1251"/>
      <c r="E34" s="264">
        <f>SUM(E28:E33)</f>
        <v>0.81346392717522487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RESUMEN!V122</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7">
    <tabColor rgb="FF72104A"/>
  </sheetPr>
  <dimension ref="A1:V39"/>
  <sheetViews>
    <sheetView topLeftCell="K13" zoomScale="70" zoomScaleNormal="70" workbookViewId="0">
      <selection activeCell="O12" sqref="O12"/>
    </sheetView>
  </sheetViews>
  <sheetFormatPr baseColWidth="10" defaultRowHeight="14.4" x14ac:dyDescent="0.3"/>
  <cols>
    <col min="1" max="1" width="18.88671875" customWidth="1"/>
    <col min="2" max="2" width="29.88671875" customWidth="1"/>
    <col min="3" max="3" width="24.6640625" customWidth="1"/>
    <col min="4" max="4" width="25.109375" customWidth="1"/>
    <col min="6" max="6" width="15.5546875" bestFit="1" customWidth="1"/>
    <col min="7" max="7" width="15.5546875" style="849" customWidth="1"/>
    <col min="8" max="8" width="16.109375" bestFit="1" customWidth="1"/>
    <col min="9" max="9" width="16.109375" style="849" customWidth="1"/>
    <col min="10" max="10" width="69.109375" customWidth="1"/>
    <col min="11" max="11" width="21.6640625" bestFit="1" customWidth="1"/>
    <col min="12" max="12" width="16.88671875" bestFit="1" customWidth="1"/>
    <col min="13" max="13" width="7.109375" bestFit="1" customWidth="1"/>
    <col min="14" max="14" width="19.44140625" style="849" customWidth="1"/>
    <col min="15" max="15" width="19.109375" style="849" bestFit="1" customWidth="1"/>
    <col min="16" max="16" width="12.33203125" style="849" bestFit="1" customWidth="1"/>
    <col min="17" max="17" width="14.6640625" style="1054" customWidth="1"/>
    <col min="18" max="18" width="15" style="1054" customWidth="1"/>
    <col min="19" max="19" width="13.88671875" style="1054" customWidth="1"/>
    <col min="20" max="20" width="20" customWidth="1"/>
    <col min="21" max="21" width="19.6640625" customWidth="1"/>
  </cols>
  <sheetData>
    <row r="1" spans="1:22" x14ac:dyDescent="0.3">
      <c r="A1" s="1292" t="s">
        <v>43</v>
      </c>
      <c r="B1" s="1292"/>
      <c r="C1" s="1292"/>
      <c r="D1" s="1292"/>
      <c r="E1" s="1292"/>
      <c r="F1" s="1292"/>
      <c r="G1" s="1292"/>
      <c r="H1" s="1292"/>
      <c r="I1" s="1292"/>
      <c r="J1" s="1292"/>
      <c r="K1" s="1292"/>
      <c r="L1" s="1292"/>
      <c r="M1" s="1292"/>
      <c r="N1" s="1292"/>
      <c r="O1" s="1292"/>
      <c r="P1" s="1292"/>
      <c r="Q1" s="1292"/>
      <c r="R1" s="1292"/>
      <c r="S1" s="1292"/>
      <c r="T1" s="1292"/>
      <c r="U1" s="1292"/>
      <c r="V1" s="1292"/>
    </row>
    <row r="2" spans="1:22" x14ac:dyDescent="0.3">
      <c r="A2" s="1292" t="s">
        <v>44</v>
      </c>
      <c r="B2" s="1292"/>
      <c r="C2" s="1292"/>
      <c r="D2" s="1292"/>
      <c r="E2" s="1292"/>
      <c r="F2" s="1292"/>
      <c r="G2" s="1292"/>
      <c r="H2" s="1292"/>
      <c r="I2" s="1292"/>
      <c r="J2" s="1292"/>
      <c r="K2" s="1292"/>
      <c r="L2" s="1292"/>
      <c r="M2" s="1292"/>
      <c r="N2" s="1292"/>
      <c r="O2" s="1292"/>
      <c r="P2" s="1292"/>
      <c r="Q2" s="1292"/>
      <c r="R2" s="1292"/>
      <c r="S2" s="1292"/>
      <c r="T2" s="1292"/>
      <c r="U2" s="1292"/>
      <c r="V2" s="1292"/>
    </row>
    <row r="3" spans="1:22" x14ac:dyDescent="0.3">
      <c r="A3" s="1292" t="s">
        <v>45</v>
      </c>
      <c r="B3" s="1292"/>
      <c r="C3" s="1292"/>
      <c r="D3" s="1292"/>
      <c r="E3" s="1292"/>
      <c r="F3" s="1292"/>
      <c r="G3" s="1292"/>
      <c r="H3" s="1292"/>
      <c r="I3" s="1292"/>
      <c r="J3" s="1292"/>
      <c r="K3" s="1292"/>
      <c r="L3" s="1292"/>
      <c r="M3" s="1292"/>
      <c r="N3" s="1292"/>
      <c r="O3" s="1292"/>
      <c r="P3" s="1292"/>
      <c r="Q3" s="1292"/>
      <c r="R3" s="1292"/>
      <c r="S3" s="1292"/>
      <c r="T3" s="1292"/>
      <c r="U3" s="1292"/>
      <c r="V3" s="1292"/>
    </row>
    <row r="4" spans="1:22" x14ac:dyDescent="0.3">
      <c r="A4" s="1291" t="s">
        <v>1745</v>
      </c>
      <c r="B4" s="1292"/>
      <c r="C4" s="1292"/>
      <c r="D4" s="1292"/>
      <c r="E4" s="1292"/>
      <c r="F4" s="1292"/>
      <c r="G4" s="1292"/>
      <c r="H4" s="1292"/>
      <c r="I4" s="1292"/>
      <c r="J4" s="1292"/>
      <c r="K4" s="1292"/>
      <c r="L4" s="1292"/>
      <c r="M4" s="1292"/>
      <c r="N4" s="1292"/>
      <c r="O4" s="1292"/>
      <c r="P4" s="1292"/>
      <c r="Q4" s="1292"/>
      <c r="R4" s="1292"/>
      <c r="S4" s="1292"/>
      <c r="T4" s="1292"/>
      <c r="U4" s="1292"/>
      <c r="V4" s="1292"/>
    </row>
    <row r="5" spans="1:22" x14ac:dyDescent="0.3">
      <c r="A5" s="1292" t="s">
        <v>2317</v>
      </c>
      <c r="B5" s="1292"/>
      <c r="C5" s="1292"/>
      <c r="D5" s="1292"/>
      <c r="E5" s="1292"/>
      <c r="F5" s="1292"/>
      <c r="G5" s="1292"/>
      <c r="H5" s="1292"/>
      <c r="I5" s="1292"/>
      <c r="J5" s="1292"/>
      <c r="K5" s="1292"/>
      <c r="L5" s="1292"/>
      <c r="M5" s="1292"/>
      <c r="N5" s="1292"/>
      <c r="O5" s="1292"/>
      <c r="P5" s="1292"/>
      <c r="Q5" s="1292"/>
      <c r="R5" s="1292"/>
      <c r="S5" s="1292"/>
      <c r="T5" s="1292"/>
      <c r="U5" s="1292"/>
      <c r="V5" s="1292"/>
    </row>
    <row r="6" spans="1:22" x14ac:dyDescent="0.3">
      <c r="A6" s="1292" t="s">
        <v>2305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2" t="s">
        <v>1827</v>
      </c>
      <c r="B7" s="1292"/>
      <c r="C7" s="1292"/>
      <c r="D7" s="1292"/>
      <c r="E7" s="1292"/>
      <c r="F7" s="1292"/>
      <c r="G7" s="1292"/>
      <c r="H7" s="1292"/>
      <c r="I7" s="1292"/>
      <c r="J7" s="1292"/>
      <c r="K7" s="1292"/>
      <c r="L7" s="1292"/>
      <c r="M7" s="1292"/>
      <c r="N7" s="1292"/>
      <c r="O7" s="1292"/>
      <c r="P7" s="1292"/>
      <c r="Q7" s="1292"/>
      <c r="R7" s="1292"/>
      <c r="S7" s="1292"/>
      <c r="T7" s="1292"/>
      <c r="U7" s="1292"/>
      <c r="V7" s="1292"/>
    </row>
    <row r="8" spans="1:22" x14ac:dyDescent="0.3">
      <c r="A8" s="637"/>
      <c r="B8" s="1301"/>
      <c r="C8" s="1313"/>
      <c r="D8" s="1313"/>
      <c r="E8" s="1313"/>
      <c r="F8" s="1313"/>
      <c r="G8" s="1313"/>
      <c r="H8" s="1313"/>
      <c r="I8" s="1313"/>
      <c r="J8" s="1313"/>
      <c r="K8" s="1293" t="s">
        <v>1980</v>
      </c>
      <c r="L8" s="1294"/>
      <c r="M8" s="1295"/>
      <c r="N8" s="1293" t="s">
        <v>2094</v>
      </c>
      <c r="O8" s="1294"/>
      <c r="P8" s="1295"/>
      <c r="Q8" s="1293" t="s">
        <v>2318</v>
      </c>
      <c r="R8" s="1294"/>
      <c r="S8" s="1295"/>
      <c r="T8" s="1299" t="s">
        <v>49</v>
      </c>
      <c r="U8" s="1299"/>
      <c r="V8" s="1299"/>
    </row>
    <row r="9" spans="1:22" x14ac:dyDescent="0.3">
      <c r="A9" s="171"/>
      <c r="B9" s="1301"/>
      <c r="C9" s="1302"/>
      <c r="D9" s="1302"/>
      <c r="E9" s="1302"/>
      <c r="F9" s="1302"/>
      <c r="G9" s="1302"/>
      <c r="H9" s="1302"/>
      <c r="I9" s="1302"/>
      <c r="J9" s="1302"/>
      <c r="K9" s="1325"/>
      <c r="L9" s="1326"/>
      <c r="M9" s="1327"/>
      <c r="N9" s="1325"/>
      <c r="O9" s="1326"/>
      <c r="P9" s="1327"/>
      <c r="Q9" s="1325"/>
      <c r="R9" s="1326"/>
      <c r="S9" s="1327"/>
      <c r="T9" s="1300"/>
      <c r="U9" s="1300"/>
      <c r="V9" s="1300"/>
    </row>
    <row r="10" spans="1:22"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c r="T10" s="502" t="s">
        <v>54</v>
      </c>
      <c r="U10" s="502" t="s">
        <v>56</v>
      </c>
      <c r="V10" s="502" t="s">
        <v>58</v>
      </c>
    </row>
    <row r="11" spans="1:22" ht="90" customHeight="1" x14ac:dyDescent="0.3">
      <c r="A11" s="1290" t="s">
        <v>1828</v>
      </c>
      <c r="B11" s="1289" t="s">
        <v>170</v>
      </c>
      <c r="C11" s="730" t="s">
        <v>83</v>
      </c>
      <c r="D11" s="730" t="s">
        <v>123</v>
      </c>
      <c r="E11" s="730">
        <v>0</v>
      </c>
      <c r="F11" s="32">
        <v>1044658</v>
      </c>
      <c r="G11" s="32">
        <f>+ROUND(F11*1.051,0)</f>
        <v>1097936</v>
      </c>
      <c r="H11" s="32">
        <f>ROUND((E11*F11),0)</f>
        <v>0</v>
      </c>
      <c r="I11" s="32">
        <f>+ROUND(G11*E11,0)</f>
        <v>0</v>
      </c>
      <c r="J11" s="1290" t="s">
        <v>1829</v>
      </c>
      <c r="K11" s="536">
        <v>0</v>
      </c>
      <c r="L11" s="685">
        <f>ROUND(K11*F11,0)</f>
        <v>0</v>
      </c>
      <c r="M11" s="684">
        <v>0</v>
      </c>
      <c r="N11" s="799">
        <v>0</v>
      </c>
      <c r="O11" s="685">
        <f>ROUND(N11*I11,0)</f>
        <v>0</v>
      </c>
      <c r="P11" s="880">
        <v>0</v>
      </c>
      <c r="Q11" s="799">
        <v>0</v>
      </c>
      <c r="R11" s="685">
        <f>ROUND(Q11*G11,0)</f>
        <v>0</v>
      </c>
      <c r="S11" s="880">
        <v>0</v>
      </c>
      <c r="T11" s="536">
        <f>K11+N11+Q11</f>
        <v>0</v>
      </c>
      <c r="U11" s="685">
        <f>L11+O11+R11</f>
        <v>0</v>
      </c>
      <c r="V11" s="684">
        <v>0</v>
      </c>
    </row>
    <row r="12" spans="1:22" ht="90" customHeight="1" x14ac:dyDescent="0.3">
      <c r="A12" s="1289"/>
      <c r="B12" s="1289"/>
      <c r="C12" s="730" t="s">
        <v>61</v>
      </c>
      <c r="D12" s="730" t="s">
        <v>125</v>
      </c>
      <c r="E12" s="730">
        <v>0.7</v>
      </c>
      <c r="F12" s="32">
        <v>1009836</v>
      </c>
      <c r="G12" s="32">
        <f>+ROUND(F12*1.051,0)</f>
        <v>1061338</v>
      </c>
      <c r="H12" s="32">
        <f>ROUND((E12*F12),0)</f>
        <v>706885</v>
      </c>
      <c r="I12" s="32">
        <f>+ROUND(G12*E12,0)</f>
        <v>742937</v>
      </c>
      <c r="J12" s="1289"/>
      <c r="K12" s="537">
        <v>0.7</v>
      </c>
      <c r="L12" s="752">
        <f>ROUND(K12*F12,0)</f>
        <v>706885</v>
      </c>
      <c r="M12" s="753">
        <f>L12/H12</f>
        <v>1</v>
      </c>
      <c r="N12" s="799">
        <v>0</v>
      </c>
      <c r="O12" s="685">
        <f>ROUND(N12*I12,0)</f>
        <v>0</v>
      </c>
      <c r="P12" s="880">
        <f>+O12/I12</f>
        <v>0</v>
      </c>
      <c r="Q12" s="799">
        <v>0</v>
      </c>
      <c r="R12" s="685">
        <f>ROUND(Q12*G12,0)</f>
        <v>0</v>
      </c>
      <c r="S12" s="1109">
        <f>+R12/I12</f>
        <v>0</v>
      </c>
      <c r="T12" s="799">
        <f t="shared" ref="T12:T20" si="0">K12+N12+Q12</f>
        <v>0.7</v>
      </c>
      <c r="U12" s="685">
        <f t="shared" ref="U12:U21" si="1">L12+O12+R12</f>
        <v>706885</v>
      </c>
      <c r="V12" s="684">
        <f>U12/H12</f>
        <v>1</v>
      </c>
    </row>
    <row r="13" spans="1:22" x14ac:dyDescent="0.3">
      <c r="A13" s="1289"/>
      <c r="B13" s="1289"/>
      <c r="C13" s="39"/>
      <c r="D13" s="39" t="s">
        <v>126</v>
      </c>
      <c r="E13" s="41"/>
      <c r="F13" s="41"/>
      <c r="G13" s="41"/>
      <c r="H13" s="42">
        <f>SUM(H11:H12)</f>
        <v>706885</v>
      </c>
      <c r="I13" s="42">
        <f>SUM(I11:I12)</f>
        <v>742937</v>
      </c>
      <c r="J13" s="1289"/>
      <c r="K13" s="41"/>
      <c r="L13" s="683">
        <f>SUM(L11:L12)</f>
        <v>706885</v>
      </c>
      <c r="M13" s="519">
        <f>L13/H13</f>
        <v>1</v>
      </c>
      <c r="N13" s="41"/>
      <c r="O13" s="683">
        <f>SUM(O11:O12)</f>
        <v>0</v>
      </c>
      <c r="P13" s="519">
        <f>O13/I13</f>
        <v>0</v>
      </c>
      <c r="Q13" s="41"/>
      <c r="R13" s="683">
        <f>SUM(R11:R12)</f>
        <v>0</v>
      </c>
      <c r="S13" s="1110">
        <f t="shared" ref="S13:S21" si="2">+R13/I13</f>
        <v>0</v>
      </c>
      <c r="T13" s="1106"/>
      <c r="U13" s="1107">
        <f t="shared" si="1"/>
        <v>706885</v>
      </c>
      <c r="V13" s="519">
        <f>U13/H13</f>
        <v>1</v>
      </c>
    </row>
    <row r="14" spans="1:22" ht="90.75" customHeight="1" x14ac:dyDescent="0.3">
      <c r="A14" s="1290" t="s">
        <v>1828</v>
      </c>
      <c r="B14" s="1289" t="s">
        <v>282</v>
      </c>
      <c r="C14" s="730" t="s">
        <v>81</v>
      </c>
      <c r="D14" s="730" t="s">
        <v>105</v>
      </c>
      <c r="E14" s="730">
        <v>0</v>
      </c>
      <c r="F14" s="32">
        <v>417863</v>
      </c>
      <c r="G14" s="32">
        <f>+ROUND(F14*1.051,0)</f>
        <v>439174</v>
      </c>
      <c r="H14" s="32">
        <f>ROUND((E14*F14),0)</f>
        <v>0</v>
      </c>
      <c r="I14" s="32">
        <f>+ROUND(G14*E14,0)</f>
        <v>0</v>
      </c>
      <c r="J14" s="1290" t="s">
        <v>1830</v>
      </c>
      <c r="K14" s="536">
        <v>0</v>
      </c>
      <c r="L14" s="685">
        <f>ROUND(K14*F14,0)</f>
        <v>0</v>
      </c>
      <c r="M14" s="684">
        <v>0</v>
      </c>
      <c r="N14" s="799">
        <v>0</v>
      </c>
      <c r="O14" s="685">
        <f t="shared" ref="O14" si="3">ROUND(N14*I14,0)</f>
        <v>0</v>
      </c>
      <c r="P14" s="880">
        <v>0</v>
      </c>
      <c r="Q14" s="799">
        <v>0</v>
      </c>
      <c r="R14" s="685">
        <f>ROUND(Q14*G14,0)</f>
        <v>0</v>
      </c>
      <c r="S14" s="1109">
        <v>0</v>
      </c>
      <c r="T14" s="799">
        <f t="shared" si="0"/>
        <v>0</v>
      </c>
      <c r="U14" s="685">
        <f t="shared" si="1"/>
        <v>0</v>
      </c>
      <c r="V14" s="684">
        <v>0</v>
      </c>
    </row>
    <row r="15" spans="1:22" ht="71.25" customHeight="1" x14ac:dyDescent="0.3">
      <c r="A15" s="1289"/>
      <c r="B15" s="1289"/>
      <c r="C15" s="730" t="s">
        <v>83</v>
      </c>
      <c r="D15" s="730" t="s">
        <v>107</v>
      </c>
      <c r="E15" s="730">
        <v>8.4000000000000005E-2</v>
      </c>
      <c r="F15" s="32">
        <v>1845563</v>
      </c>
      <c r="G15" s="32">
        <f>+ROUND(F15*1.051,0)</f>
        <v>1939687</v>
      </c>
      <c r="H15" s="32">
        <f>ROUND((E15*F15),0)</f>
        <v>155027</v>
      </c>
      <c r="I15" s="32">
        <f>+ROUND(G15*E15,0)</f>
        <v>162934</v>
      </c>
      <c r="J15" s="1289"/>
      <c r="K15" s="536">
        <v>0</v>
      </c>
      <c r="L15" s="685">
        <f>ROUND(K15*F15,0)</f>
        <v>0</v>
      </c>
      <c r="M15" s="684">
        <f>L15/H15</f>
        <v>0</v>
      </c>
      <c r="N15" s="537">
        <f>0.084*70%</f>
        <v>5.8799999999999998E-2</v>
      </c>
      <c r="O15" s="752">
        <f>ROUND(N15*G15,0)</f>
        <v>114054</v>
      </c>
      <c r="P15" s="753">
        <f>+O15/H15</f>
        <v>0.73570410315622436</v>
      </c>
      <c r="Q15" s="891">
        <v>0</v>
      </c>
      <c r="R15" s="685">
        <f>ROUND(Q15*G15,0)</f>
        <v>0</v>
      </c>
      <c r="S15" s="1109">
        <f t="shared" si="2"/>
        <v>0</v>
      </c>
      <c r="T15" s="799">
        <f t="shared" si="0"/>
        <v>5.8799999999999998E-2</v>
      </c>
      <c r="U15" s="685">
        <f t="shared" si="1"/>
        <v>114054</v>
      </c>
      <c r="V15" s="684">
        <f>U15/I15</f>
        <v>0.70000122749088589</v>
      </c>
    </row>
    <row r="16" spans="1:22"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114054</v>
      </c>
      <c r="P16" s="519">
        <f>O16/H16</f>
        <v>0.73570410315622436</v>
      </c>
      <c r="Q16" s="41"/>
      <c r="R16" s="683">
        <f>SUM(R14:R15)</f>
        <v>0</v>
      </c>
      <c r="S16" s="1110">
        <f t="shared" si="2"/>
        <v>0</v>
      </c>
      <c r="T16" s="1106"/>
      <c r="U16" s="1107">
        <f t="shared" si="1"/>
        <v>114054</v>
      </c>
      <c r="V16" s="1100">
        <f t="shared" ref="V16:V21" si="4">U16/I16</f>
        <v>0.70000122749088589</v>
      </c>
    </row>
    <row r="17" spans="1:22" ht="30" customHeight="1" x14ac:dyDescent="0.3">
      <c r="A17" s="1290" t="s">
        <v>1186</v>
      </c>
      <c r="B17" s="1289" t="s">
        <v>194</v>
      </c>
      <c r="C17" s="730" t="s">
        <v>160</v>
      </c>
      <c r="D17" s="730" t="s">
        <v>161</v>
      </c>
      <c r="E17" s="730">
        <v>18</v>
      </c>
      <c r="F17" s="32">
        <v>69644</v>
      </c>
      <c r="G17" s="32">
        <f>+ROUND(F17*1.051,0)</f>
        <v>73196</v>
      </c>
      <c r="H17" s="32">
        <f>ROUND((E17*F17),0)</f>
        <v>1253592</v>
      </c>
      <c r="I17" s="32">
        <f>+ROUND(G17*E17,0)</f>
        <v>1317528</v>
      </c>
      <c r="J17" s="1290" t="s">
        <v>1831</v>
      </c>
      <c r="K17" s="536">
        <v>0</v>
      </c>
      <c r="L17" s="685">
        <f>ROUND(K17*F17,0)</f>
        <v>0</v>
      </c>
      <c r="M17" s="684">
        <f>L17/H17</f>
        <v>0</v>
      </c>
      <c r="N17" s="537">
        <f>18*70%</f>
        <v>12.6</v>
      </c>
      <c r="O17" s="752">
        <f>ROUND(N17*G17,0)</f>
        <v>922270</v>
      </c>
      <c r="P17" s="753">
        <f>+O17/H17</f>
        <v>0.73570188705735196</v>
      </c>
      <c r="Q17" s="891">
        <v>0</v>
      </c>
      <c r="R17" s="892">
        <f>ROUND(Q17*G17,0)</f>
        <v>0</v>
      </c>
      <c r="S17" s="1109">
        <f t="shared" si="2"/>
        <v>0</v>
      </c>
      <c r="T17" s="799">
        <f t="shared" si="0"/>
        <v>12.6</v>
      </c>
      <c r="U17" s="685">
        <f t="shared" si="1"/>
        <v>922270</v>
      </c>
      <c r="V17" s="684">
        <f t="shared" si="4"/>
        <v>0.7000003035988609</v>
      </c>
    </row>
    <row r="18" spans="1:22"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922270</v>
      </c>
      <c r="P18" s="519">
        <f>O18/H18</f>
        <v>0.73570188705735196</v>
      </c>
      <c r="Q18" s="41"/>
      <c r="R18" s="683">
        <f>SUM(R17:R17)</f>
        <v>0</v>
      </c>
      <c r="S18" s="1110">
        <f t="shared" si="2"/>
        <v>0</v>
      </c>
      <c r="T18" s="1106"/>
      <c r="U18" s="1107">
        <f t="shared" si="1"/>
        <v>922270</v>
      </c>
      <c r="V18" s="1100">
        <f t="shared" si="4"/>
        <v>0.7000003035988609</v>
      </c>
    </row>
    <row r="19" spans="1:22" s="735" customFormat="1" ht="43.2" x14ac:dyDescent="0.3">
      <c r="A19" s="1289" t="s">
        <v>281</v>
      </c>
      <c r="B19" s="1289" t="s">
        <v>251</v>
      </c>
      <c r="C19" s="730" t="s">
        <v>59</v>
      </c>
      <c r="D19" s="730" t="s">
        <v>145</v>
      </c>
      <c r="E19" s="730">
        <v>0</v>
      </c>
      <c r="F19" s="32">
        <v>940192</v>
      </c>
      <c r="G19" s="32">
        <f>+ROUND(F19*1.051,0)</f>
        <v>988142</v>
      </c>
      <c r="H19" s="32">
        <f>ROUND((E19*F19),0)</f>
        <v>0</v>
      </c>
      <c r="I19" s="32">
        <f>+ROUND(G19*E19,0)</f>
        <v>0</v>
      </c>
      <c r="J19" s="1290" t="s">
        <v>1841</v>
      </c>
      <c r="K19" s="536">
        <v>0</v>
      </c>
      <c r="L19" s="685">
        <f>ROUND(K19*F19,0)</f>
        <v>0</v>
      </c>
      <c r="M19" s="684">
        <v>0</v>
      </c>
      <c r="N19" s="799">
        <v>0</v>
      </c>
      <c r="O19" s="685">
        <f t="shared" ref="O19" si="5">ROUND(N19*I19,0)</f>
        <v>0</v>
      </c>
      <c r="P19" s="880">
        <v>0</v>
      </c>
      <c r="Q19" s="799">
        <v>0</v>
      </c>
      <c r="R19" s="685">
        <f>ROUND(Q19*G19,0)</f>
        <v>0</v>
      </c>
      <c r="S19" s="1109">
        <v>0</v>
      </c>
      <c r="T19" s="799">
        <f t="shared" si="0"/>
        <v>0</v>
      </c>
      <c r="U19" s="685">
        <f t="shared" si="1"/>
        <v>0</v>
      </c>
      <c r="V19" s="684">
        <v>0</v>
      </c>
    </row>
    <row r="20" spans="1:22" s="735" customFormat="1" ht="43.2" x14ac:dyDescent="0.3">
      <c r="A20" s="1289"/>
      <c r="B20" s="1289"/>
      <c r="C20" s="730" t="s">
        <v>61</v>
      </c>
      <c r="D20" s="730" t="s">
        <v>146</v>
      </c>
      <c r="E20" s="730">
        <v>0.14000000000000001</v>
      </c>
      <c r="F20" s="32">
        <v>5188469</v>
      </c>
      <c r="G20" s="32">
        <f>+ROUND(F20*1.051,0)</f>
        <v>5453081</v>
      </c>
      <c r="H20" s="32">
        <f>ROUND((E20*F20),0)</f>
        <v>726386</v>
      </c>
      <c r="I20" s="32">
        <f>+ROUND(G20*E20,0)</f>
        <v>763431</v>
      </c>
      <c r="J20" s="1289"/>
      <c r="K20" s="536">
        <v>0</v>
      </c>
      <c r="L20" s="685">
        <f>ROUND(K20*F20,0)</f>
        <v>0</v>
      </c>
      <c r="M20" s="684">
        <f>L20/H20</f>
        <v>0</v>
      </c>
      <c r="N20" s="537">
        <f>0.14*70%</f>
        <v>9.8000000000000004E-2</v>
      </c>
      <c r="O20" s="752">
        <f>ROUND(N20*G20,0)</f>
        <v>534402</v>
      </c>
      <c r="P20" s="753">
        <f>+O20/H20</f>
        <v>0.73569975192253156</v>
      </c>
      <c r="Q20" s="891">
        <v>0</v>
      </c>
      <c r="R20" s="685">
        <f>ROUND(Q20*G20,0)</f>
        <v>0</v>
      </c>
      <c r="S20" s="1109">
        <f t="shared" si="2"/>
        <v>0</v>
      </c>
      <c r="T20" s="799">
        <f t="shared" si="0"/>
        <v>9.8000000000000004E-2</v>
      </c>
      <c r="U20" s="685">
        <f t="shared" si="1"/>
        <v>534402</v>
      </c>
      <c r="V20" s="684">
        <f t="shared" si="4"/>
        <v>0.70000039296282179</v>
      </c>
    </row>
    <row r="21" spans="1:22" s="735" customFormat="1" x14ac:dyDescent="0.3">
      <c r="A21" s="1289"/>
      <c r="B21" s="1289"/>
      <c r="C21" s="39"/>
      <c r="D21" s="39" t="s">
        <v>147</v>
      </c>
      <c r="E21" s="41"/>
      <c r="F21" s="41"/>
      <c r="G21" s="41"/>
      <c r="H21" s="42">
        <f>SUM(H19:H20)</f>
        <v>726386</v>
      </c>
      <c r="I21" s="42">
        <f>SUM(I19:I20)</f>
        <v>763431</v>
      </c>
      <c r="J21" s="1289"/>
      <c r="K21" s="41"/>
      <c r="L21" s="683">
        <f>SUM(L19:L20)</f>
        <v>0</v>
      </c>
      <c r="M21" s="519">
        <f>L21/H21</f>
        <v>0</v>
      </c>
      <c r="N21" s="41"/>
      <c r="O21" s="683">
        <f>SUM(O19:O20)</f>
        <v>534402</v>
      </c>
      <c r="P21" s="519">
        <f>O21/H21</f>
        <v>0.73569975192253156</v>
      </c>
      <c r="Q21" s="41"/>
      <c r="R21" s="683">
        <f>SUM(R19:R20)</f>
        <v>0</v>
      </c>
      <c r="S21" s="1110">
        <f t="shared" si="2"/>
        <v>0</v>
      </c>
      <c r="T21" s="1108"/>
      <c r="U21" s="1107">
        <f t="shared" si="1"/>
        <v>534402</v>
      </c>
      <c r="V21" s="1100">
        <f t="shared" si="4"/>
        <v>0.70000039296282179</v>
      </c>
    </row>
    <row r="22" spans="1:22" x14ac:dyDescent="0.3">
      <c r="A22" s="638"/>
      <c r="B22" s="638"/>
      <c r="C22" s="638"/>
      <c r="D22" s="638"/>
      <c r="E22" s="638"/>
      <c r="F22" s="686" t="s">
        <v>1740</v>
      </c>
      <c r="G22" s="686"/>
      <c r="H22" s="687">
        <f>H13+H16+H18+H21</f>
        <v>2841890</v>
      </c>
      <c r="I22" s="687">
        <f>I13+I16+I18+I21</f>
        <v>2986830</v>
      </c>
      <c r="J22" s="638"/>
      <c r="K22" s="547" t="s">
        <v>64</v>
      </c>
      <c r="L22" s="688">
        <f>SUM(L11:L21)/2</f>
        <v>706885</v>
      </c>
      <c r="M22" s="638"/>
      <c r="N22" s="547" t="s">
        <v>64</v>
      </c>
      <c r="O22" s="688">
        <f>SUM(O11:O21)/2</f>
        <v>1570726</v>
      </c>
      <c r="Q22" s="547" t="s">
        <v>64</v>
      </c>
      <c r="R22" s="688">
        <f>SUM(R11:R21)/2</f>
        <v>0</v>
      </c>
      <c r="T22" s="547" t="s">
        <v>64</v>
      </c>
      <c r="U22" s="688">
        <f>SUM(U11:U21)/2</f>
        <v>2277611</v>
      </c>
      <c r="V22" s="638"/>
    </row>
    <row r="23" spans="1:22" x14ac:dyDescent="0.3">
      <c r="A23" s="638"/>
      <c r="B23" s="638"/>
      <c r="C23" s="638"/>
      <c r="D23" s="638"/>
      <c r="E23" s="638"/>
      <c r="F23" s="444" t="s">
        <v>65</v>
      </c>
      <c r="G23" s="444"/>
      <c r="H23" s="181">
        <v>0</v>
      </c>
      <c r="I23" s="181">
        <v>0</v>
      </c>
      <c r="J23" s="638"/>
      <c r="K23" s="548" t="s">
        <v>65</v>
      </c>
      <c r="L23" s="682">
        <v>0</v>
      </c>
      <c r="M23" s="638"/>
      <c r="N23" s="548" t="s">
        <v>65</v>
      </c>
      <c r="O23" s="682">
        <v>0</v>
      </c>
      <c r="Q23" s="548" t="s">
        <v>65</v>
      </c>
      <c r="R23" s="682">
        <v>0</v>
      </c>
      <c r="T23" s="548" t="s">
        <v>65</v>
      </c>
      <c r="U23" s="682">
        <v>0</v>
      </c>
      <c r="V23" s="638"/>
    </row>
    <row r="24" spans="1:22" x14ac:dyDescent="0.3">
      <c r="A24" s="638"/>
      <c r="B24" s="638"/>
      <c r="C24" s="638"/>
      <c r="D24" s="638"/>
      <c r="E24" s="638"/>
      <c r="F24" s="443" t="s">
        <v>1740</v>
      </c>
      <c r="G24" s="443"/>
      <c r="H24" s="340">
        <f>+H23+H22</f>
        <v>2841890</v>
      </c>
      <c r="I24" s="340">
        <f>+I23+I22</f>
        <v>2986830</v>
      </c>
      <c r="J24" s="638"/>
      <c r="K24" s="549" t="s">
        <v>64</v>
      </c>
      <c r="L24" s="481">
        <f>L22+L23</f>
        <v>706885</v>
      </c>
      <c r="M24" s="638"/>
      <c r="N24" s="549" t="s">
        <v>64</v>
      </c>
      <c r="O24" s="481">
        <f>O22+O23</f>
        <v>1570726</v>
      </c>
      <c r="Q24" s="549" t="s">
        <v>64</v>
      </c>
      <c r="R24" s="481">
        <f>R22+R23</f>
        <v>0</v>
      </c>
      <c r="T24" s="549" t="s">
        <v>64</v>
      </c>
      <c r="U24" s="481">
        <f>U22+U23</f>
        <v>2277611</v>
      </c>
      <c r="V24" s="638"/>
    </row>
    <row r="25" spans="1:22" ht="26.4" x14ac:dyDescent="0.3">
      <c r="A25" s="638"/>
      <c r="B25" s="638"/>
      <c r="C25" s="638"/>
      <c r="D25" s="638"/>
      <c r="E25" s="638"/>
      <c r="F25" s="659"/>
      <c r="G25" s="659"/>
      <c r="H25" s="659"/>
      <c r="I25" s="659"/>
      <c r="J25" s="638"/>
      <c r="K25" s="501" t="s">
        <v>1439</v>
      </c>
      <c r="L25" s="481">
        <f>ROUND(L24*0.015,0)</f>
        <v>10603</v>
      </c>
      <c r="M25" s="638"/>
      <c r="N25" s="501" t="s">
        <v>1439</v>
      </c>
      <c r="O25" s="481">
        <f>ROUND(O24*0.015,0)</f>
        <v>23561</v>
      </c>
      <c r="Q25" s="501" t="s">
        <v>1439</v>
      </c>
      <c r="R25" s="481">
        <f>ROUND(R24*0.015,0)</f>
        <v>0</v>
      </c>
      <c r="T25" s="501" t="s">
        <v>1439</v>
      </c>
      <c r="U25" s="481">
        <f>L25+O25+R25</f>
        <v>34164</v>
      </c>
      <c r="V25" s="638"/>
    </row>
    <row r="26" spans="1:22" ht="39.6" x14ac:dyDescent="0.3">
      <c r="A26" s="638"/>
      <c r="B26" s="638"/>
      <c r="C26" s="638"/>
      <c r="D26" s="638"/>
      <c r="E26" s="638"/>
      <c r="F26" s="659"/>
      <c r="G26" s="659"/>
      <c r="H26" s="659"/>
      <c r="I26" s="659"/>
      <c r="J26" s="638"/>
      <c r="K26" s="96" t="s">
        <v>1440</v>
      </c>
      <c r="L26" s="425">
        <f>L24+L25</f>
        <v>717488</v>
      </c>
      <c r="M26" s="678">
        <f>L26/H22</f>
        <v>0.25246860364053497</v>
      </c>
      <c r="N26" s="96" t="s">
        <v>1440</v>
      </c>
      <c r="O26" s="783">
        <f>O24+O25</f>
        <v>1594287</v>
      </c>
      <c r="P26" s="832">
        <f>O26/H22</f>
        <v>0.56099532353468995</v>
      </c>
      <c r="Q26" s="96" t="s">
        <v>1440</v>
      </c>
      <c r="R26" s="783">
        <f>R24+R25</f>
        <v>0</v>
      </c>
      <c r="S26" s="832">
        <f>R26/H22</f>
        <v>0</v>
      </c>
      <c r="T26" s="96" t="s">
        <v>1440</v>
      </c>
      <c r="U26" s="783">
        <f>U24+U25</f>
        <v>2311775</v>
      </c>
      <c r="V26" s="832">
        <f>U26/H22</f>
        <v>0.81346392717522498</v>
      </c>
    </row>
    <row r="27" spans="1:22" x14ac:dyDescent="0.3">
      <c r="A27" s="638"/>
      <c r="B27" s="638"/>
      <c r="C27" s="638"/>
      <c r="D27" s="638"/>
      <c r="E27" s="638"/>
      <c r="F27" s="442" t="s">
        <v>66</v>
      </c>
      <c r="G27" s="442"/>
      <c r="H27" s="181">
        <f>+H22*19%</f>
        <v>539959.1</v>
      </c>
      <c r="I27" s="181">
        <f>+I22*19%</f>
        <v>567497.69999999995</v>
      </c>
      <c r="J27" s="638"/>
      <c r="K27" s="551" t="s">
        <v>66</v>
      </c>
      <c r="L27" s="672">
        <f>L26*0.19</f>
        <v>136322.72</v>
      </c>
      <c r="M27" s="638"/>
      <c r="N27" s="551" t="s">
        <v>66</v>
      </c>
      <c r="O27" s="672">
        <f>O26*0.19</f>
        <v>302914.53000000003</v>
      </c>
      <c r="Q27" s="551" t="s">
        <v>66</v>
      </c>
      <c r="R27" s="672">
        <f>R26*0.19</f>
        <v>0</v>
      </c>
      <c r="T27" s="551" t="s">
        <v>66</v>
      </c>
      <c r="U27" s="672">
        <f>U26*0.19</f>
        <v>439237.25</v>
      </c>
      <c r="V27" s="638"/>
    </row>
    <row r="28" spans="1:22" x14ac:dyDescent="0.3">
      <c r="A28" s="638"/>
      <c r="B28" s="638"/>
      <c r="C28" s="638"/>
      <c r="D28" s="638"/>
      <c r="E28" s="638"/>
      <c r="F28" s="441" t="s">
        <v>69</v>
      </c>
      <c r="G28" s="441"/>
      <c r="H28" s="181">
        <f>+H22+H27</f>
        <v>3381849.1</v>
      </c>
      <c r="I28" s="181">
        <f>+I22+I27</f>
        <v>3554327.7</v>
      </c>
      <c r="J28" s="638"/>
      <c r="K28" s="552" t="s">
        <v>69</v>
      </c>
      <c r="L28" s="672">
        <f>L26+L27</f>
        <v>853810.72</v>
      </c>
      <c r="M28" s="638"/>
      <c r="N28" s="552" t="s">
        <v>69</v>
      </c>
      <c r="O28" s="672">
        <f>O26+O27</f>
        <v>1897201.53</v>
      </c>
      <c r="Q28" s="552" t="s">
        <v>69</v>
      </c>
      <c r="R28" s="672">
        <f>R26+R27</f>
        <v>0</v>
      </c>
      <c r="T28" s="552" t="s">
        <v>69</v>
      </c>
      <c r="U28" s="672">
        <f>U26+U27</f>
        <v>2751012.25</v>
      </c>
      <c r="V28" s="638"/>
    </row>
    <row r="29" spans="1:22" x14ac:dyDescent="0.3">
      <c r="A29" s="638"/>
      <c r="B29" s="638"/>
      <c r="C29" s="638"/>
      <c r="D29" s="638"/>
      <c r="E29" s="638"/>
      <c r="F29" s="638"/>
      <c r="H29" s="638"/>
      <c r="J29" s="638"/>
      <c r="K29" s="638"/>
      <c r="L29" s="638"/>
      <c r="M29" s="638"/>
      <c r="T29" s="638"/>
      <c r="U29" s="638"/>
      <c r="V29" s="638"/>
    </row>
    <row r="30" spans="1:22" x14ac:dyDescent="0.3">
      <c r="A30" s="665" t="s">
        <v>67</v>
      </c>
      <c r="B30" s="184"/>
      <c r="C30" s="184"/>
      <c r="D30" s="185" t="s">
        <v>68</v>
      </c>
      <c r="E30" s="638"/>
      <c r="F30" s="638"/>
      <c r="H30" s="638"/>
      <c r="J30" s="638"/>
      <c r="K30" s="186" t="s">
        <v>70</v>
      </c>
      <c r="L30" s="187" t="s">
        <v>71</v>
      </c>
      <c r="M30" s="186" t="s">
        <v>58</v>
      </c>
      <c r="N30" s="186" t="s">
        <v>70</v>
      </c>
      <c r="O30" s="187" t="s">
        <v>71</v>
      </c>
      <c r="P30" s="186" t="s">
        <v>58</v>
      </c>
      <c r="Q30" s="186" t="s">
        <v>70</v>
      </c>
      <c r="R30" s="187" t="s">
        <v>71</v>
      </c>
      <c r="S30" s="186" t="s">
        <v>58</v>
      </c>
      <c r="T30" s="638"/>
      <c r="U30" s="638"/>
      <c r="V30" s="638"/>
    </row>
    <row r="31" spans="1:22" x14ac:dyDescent="0.3">
      <c r="A31" s="665"/>
      <c r="B31" s="184"/>
      <c r="C31" s="184"/>
      <c r="D31" s="185"/>
      <c r="E31" s="638"/>
      <c r="F31" s="638"/>
      <c r="H31" s="638"/>
      <c r="J31" s="638"/>
      <c r="K31" s="69" t="s">
        <v>72</v>
      </c>
      <c r="L31" s="70">
        <f>L26</f>
        <v>717488</v>
      </c>
      <c r="M31" s="360">
        <f>M26</f>
        <v>0.25246860364053497</v>
      </c>
      <c r="N31" s="69" t="s">
        <v>72</v>
      </c>
      <c r="O31" s="70">
        <f>L26</f>
        <v>717488</v>
      </c>
      <c r="P31" s="360">
        <f>M26</f>
        <v>0.25246860364053497</v>
      </c>
      <c r="Q31" s="69" t="s">
        <v>72</v>
      </c>
      <c r="R31" s="70">
        <f>$L$26</f>
        <v>717488</v>
      </c>
      <c r="S31" s="360">
        <f>$M$26</f>
        <v>0.25246860364053497</v>
      </c>
      <c r="T31" s="638"/>
      <c r="U31" s="638"/>
      <c r="V31" s="638"/>
    </row>
    <row r="32" spans="1:22" s="849" customFormat="1" x14ac:dyDescent="0.3">
      <c r="A32" s="665"/>
      <c r="B32" s="184"/>
      <c r="C32" s="184"/>
      <c r="D32" s="185"/>
      <c r="K32" s="69"/>
      <c r="L32" s="70"/>
      <c r="M32" s="360"/>
      <c r="N32" s="69" t="s">
        <v>73</v>
      </c>
      <c r="O32" s="70">
        <f>+O26</f>
        <v>1594287</v>
      </c>
      <c r="P32" s="360">
        <f>+P26</f>
        <v>0.56099532353468995</v>
      </c>
      <c r="Q32" s="69" t="s">
        <v>73</v>
      </c>
      <c r="R32" s="70">
        <f>$O$26</f>
        <v>1594287</v>
      </c>
      <c r="S32" s="360">
        <f>$P$26</f>
        <v>0.56099532353468995</v>
      </c>
    </row>
    <row r="33" spans="1:22" x14ac:dyDescent="0.3">
      <c r="A33" s="665"/>
      <c r="B33" s="184"/>
      <c r="C33" s="184"/>
      <c r="D33" s="185"/>
      <c r="E33" s="638"/>
      <c r="F33" s="638"/>
      <c r="H33" s="638"/>
      <c r="J33" s="638"/>
      <c r="K33" s="72" t="s">
        <v>1</v>
      </c>
      <c r="L33" s="105">
        <f>L31</f>
        <v>717488</v>
      </c>
      <c r="M33" s="361">
        <f>M31</f>
        <v>0.25246860364053497</v>
      </c>
      <c r="N33" s="72" t="s">
        <v>1</v>
      </c>
      <c r="O33" s="105">
        <f>SUM(O31:O32)</f>
        <v>2311775</v>
      </c>
      <c r="P33" s="361">
        <f>SUM(P31:P32)</f>
        <v>0.81346392717522487</v>
      </c>
      <c r="Q33" s="69" t="s">
        <v>74</v>
      </c>
      <c r="R33" s="70">
        <f>$R$26</f>
        <v>0</v>
      </c>
      <c r="S33" s="360">
        <f>$S$26</f>
        <v>0</v>
      </c>
      <c r="T33" s="638"/>
      <c r="U33" s="638"/>
      <c r="V33" s="638"/>
    </row>
    <row r="34" spans="1:22" x14ac:dyDescent="0.3">
      <c r="A34" s="665"/>
      <c r="B34" s="184"/>
      <c r="C34" s="184"/>
      <c r="D34" s="185"/>
      <c r="E34" s="638"/>
      <c r="F34" s="638"/>
      <c r="H34" s="638"/>
      <c r="J34" s="638"/>
      <c r="K34" s="72" t="s">
        <v>9</v>
      </c>
      <c r="L34" s="1423"/>
      <c r="M34" s="1424"/>
      <c r="N34" s="72" t="s">
        <v>9</v>
      </c>
      <c r="O34" s="1423"/>
      <c r="P34" s="1424"/>
      <c r="Q34" s="72" t="s">
        <v>1</v>
      </c>
      <c r="R34" s="105">
        <f>SUM(R31:R33)</f>
        <v>2311775</v>
      </c>
      <c r="S34" s="361">
        <f>SUM(S31:S33)</f>
        <v>0.81346392717522487</v>
      </c>
      <c r="T34" s="638"/>
      <c r="U34" s="638"/>
      <c r="V34" s="638"/>
    </row>
    <row r="35" spans="1:22" x14ac:dyDescent="0.3">
      <c r="A35" s="665"/>
      <c r="B35" s="184"/>
      <c r="C35" s="184"/>
      <c r="D35" s="185"/>
      <c r="E35" s="638"/>
      <c r="F35" s="638"/>
      <c r="H35" s="638"/>
      <c r="J35" s="638"/>
      <c r="K35" s="440" t="s">
        <v>78</v>
      </c>
      <c r="L35" s="1423" t="s">
        <v>1986</v>
      </c>
      <c r="M35" s="1424"/>
      <c r="N35" s="440" t="s">
        <v>78</v>
      </c>
      <c r="O35" s="1423" t="s">
        <v>1986</v>
      </c>
      <c r="P35" s="1424"/>
      <c r="Q35" s="72" t="s">
        <v>9</v>
      </c>
      <c r="R35" s="1423"/>
      <c r="S35" s="1424"/>
      <c r="T35" s="638"/>
      <c r="U35" s="638"/>
      <c r="V35" s="638"/>
    </row>
    <row r="36" spans="1:22" x14ac:dyDescent="0.3">
      <c r="A36" s="665"/>
      <c r="B36" s="184"/>
      <c r="C36" s="184"/>
      <c r="D36" s="185"/>
      <c r="E36" s="638"/>
      <c r="F36" s="638"/>
      <c r="H36" s="638"/>
      <c r="J36" s="638"/>
      <c r="K36" s="439" t="s">
        <v>8</v>
      </c>
      <c r="L36" s="1423" t="s">
        <v>1987</v>
      </c>
      <c r="M36" s="1424"/>
      <c r="N36" s="439" t="s">
        <v>8</v>
      </c>
      <c r="O36" s="1423" t="s">
        <v>1987</v>
      </c>
      <c r="P36" s="1424"/>
      <c r="Q36" s="440" t="s">
        <v>78</v>
      </c>
      <c r="R36" s="1423" t="s">
        <v>1986</v>
      </c>
      <c r="S36" s="1424"/>
      <c r="T36" s="638"/>
      <c r="U36" s="638"/>
      <c r="V36" s="638"/>
    </row>
    <row r="37" spans="1:22" x14ac:dyDescent="0.3">
      <c r="A37" s="665"/>
      <c r="B37" s="184"/>
      <c r="C37" s="184"/>
      <c r="D37" s="185" t="s">
        <v>75</v>
      </c>
      <c r="E37" s="638"/>
      <c r="F37" s="638"/>
      <c r="H37" s="638"/>
      <c r="J37" s="638"/>
      <c r="K37" s="638"/>
      <c r="L37" s="638"/>
      <c r="M37" s="638"/>
      <c r="Q37" s="439" t="s">
        <v>8</v>
      </c>
      <c r="R37" s="1423" t="s">
        <v>1987</v>
      </c>
      <c r="S37" s="1424"/>
      <c r="T37" s="638"/>
      <c r="U37" s="638"/>
      <c r="V37" s="638"/>
    </row>
    <row r="38" spans="1:22" x14ac:dyDescent="0.3">
      <c r="A38" s="665" t="s">
        <v>76</v>
      </c>
      <c r="B38" s="180"/>
      <c r="C38" s="180"/>
      <c r="D38" s="185" t="s">
        <v>77</v>
      </c>
      <c r="E38" s="638"/>
      <c r="F38" s="638"/>
      <c r="H38" s="638"/>
      <c r="J38" s="638"/>
      <c r="K38" s="638"/>
      <c r="L38" s="638"/>
      <c r="M38" s="638"/>
      <c r="T38" s="638"/>
      <c r="U38" s="638"/>
      <c r="V38" s="638"/>
    </row>
    <row r="39" spans="1:22" x14ac:dyDescent="0.3">
      <c r="A39" s="665" t="s">
        <v>79</v>
      </c>
      <c r="B39" s="180"/>
      <c r="C39" s="180"/>
      <c r="D39" s="185" t="s">
        <v>80</v>
      </c>
      <c r="E39" s="638"/>
      <c r="F39" s="638"/>
      <c r="H39" s="638"/>
      <c r="J39" s="638"/>
      <c r="K39" s="638"/>
      <c r="L39" s="638"/>
      <c r="M39" s="638"/>
      <c r="T39" s="638"/>
      <c r="U39" s="638"/>
      <c r="V39" s="638"/>
    </row>
  </sheetData>
  <mergeCells count="34">
    <mergeCell ref="A17:A18"/>
    <mergeCell ref="B17:B18"/>
    <mergeCell ref="J17:J18"/>
    <mergeCell ref="A1:V1"/>
    <mergeCell ref="A2:V2"/>
    <mergeCell ref="A3:V3"/>
    <mergeCell ref="A4:V4"/>
    <mergeCell ref="A5:V5"/>
    <mergeCell ref="A6:V6"/>
    <mergeCell ref="A7:V7"/>
    <mergeCell ref="B8:J8"/>
    <mergeCell ref="K8:M9"/>
    <mergeCell ref="T8:V9"/>
    <mergeCell ref="B9:J9"/>
    <mergeCell ref="N8:P9"/>
    <mergeCell ref="Q8:S9"/>
    <mergeCell ref="A11:A13"/>
    <mergeCell ref="B11:B13"/>
    <mergeCell ref="J11:J13"/>
    <mergeCell ref="A14:A16"/>
    <mergeCell ref="B14:B16"/>
    <mergeCell ref="J14:J16"/>
    <mergeCell ref="L34:M34"/>
    <mergeCell ref="L35:M35"/>
    <mergeCell ref="L36:M36"/>
    <mergeCell ref="A19:A21"/>
    <mergeCell ref="B19:B21"/>
    <mergeCell ref="J19:J21"/>
    <mergeCell ref="R35:S35"/>
    <mergeCell ref="R36:S36"/>
    <mergeCell ref="R37:S37"/>
    <mergeCell ref="O34:P34"/>
    <mergeCell ref="O35:P35"/>
    <mergeCell ref="O36:P36"/>
  </mergeCells>
  <pageMargins left="0.7" right="0.7" top="0.75" bottom="0.75" header="0.3" footer="0.3"/>
  <pageSetup paperSize="9" scale="36" orientation="landscape"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8">
    <tabColor theme="1"/>
  </sheetPr>
  <dimension ref="A1:G49"/>
  <sheetViews>
    <sheetView topLeftCell="A16" zoomScaleNormal="100" zoomScaleSheetLayoutView="8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RESUMEN!G123</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RESUMEN!B123</f>
        <v>D00249389</v>
      </c>
      <c r="C7" s="1265"/>
      <c r="D7" s="1177"/>
      <c r="E7" s="1266" t="s">
        <v>627</v>
      </c>
      <c r="F7" s="1267"/>
      <c r="G7" s="280" t="str">
        <f>RESUMEN!E123</f>
        <v>17-411</v>
      </c>
    </row>
    <row r="8" spans="1:7" x14ac:dyDescent="0.25">
      <c r="A8" s="271" t="s">
        <v>628</v>
      </c>
      <c r="B8" s="1264" t="str">
        <f>RESUMEN!C123</f>
        <v>D00249389000</v>
      </c>
      <c r="C8" s="1265"/>
      <c r="D8" s="1177"/>
      <c r="E8" s="1266" t="s">
        <v>629</v>
      </c>
      <c r="F8" s="1267"/>
      <c r="G8" s="280" t="str">
        <f>RESUMEN!U123</f>
        <v>Acta N° 3: Marzo</v>
      </c>
    </row>
    <row r="9" spans="1:7" x14ac:dyDescent="0.25">
      <c r="A9" s="271" t="s">
        <v>630</v>
      </c>
      <c r="B9" s="1283" t="s">
        <v>631</v>
      </c>
      <c r="C9" s="1265"/>
      <c r="D9" s="1177"/>
      <c r="E9" s="1266" t="s">
        <v>632</v>
      </c>
      <c r="F9" s="1267"/>
      <c r="G9" s="1178">
        <f>RESUMEN!H123</f>
        <v>2841890</v>
      </c>
    </row>
    <row r="10" spans="1:7" x14ac:dyDescent="0.25">
      <c r="A10" s="271" t="s">
        <v>633</v>
      </c>
      <c r="B10" s="1283" t="str">
        <f>RESUMEN!D123</f>
        <v>SAUCES</v>
      </c>
      <c r="C10" s="1265"/>
      <c r="D10" s="1177"/>
      <c r="E10" s="1266" t="s">
        <v>634</v>
      </c>
      <c r="F10" s="1267"/>
      <c r="G10" s="1178">
        <f>RESUMEN!R123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",RESUMEN!G123)</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RESUMEN!N123</f>
        <v>0</v>
      </c>
      <c r="F19" s="1248"/>
      <c r="G19" s="1177"/>
    </row>
    <row r="20" spans="1:7" ht="27" customHeight="1" x14ac:dyDescent="0.25">
      <c r="A20" s="1177"/>
      <c r="B20" s="1244" t="s">
        <v>1498</v>
      </c>
      <c r="C20" s="1245"/>
      <c r="D20" s="1246"/>
      <c r="E20" s="1247">
        <f>RESUMEN!P123</f>
        <v>0</v>
      </c>
      <c r="F20" s="1248"/>
      <c r="G20" s="1177"/>
    </row>
    <row r="21" spans="1:7" ht="27" customHeight="1" x14ac:dyDescent="0.25">
      <c r="A21" s="1177"/>
      <c r="B21" s="1244" t="s">
        <v>1499</v>
      </c>
      <c r="C21" s="1245"/>
      <c r="D21" s="1246"/>
      <c r="E21" s="1247">
        <f>RESUMEN!Q123</f>
        <v>0</v>
      </c>
      <c r="F21" s="1248"/>
      <c r="G21" s="1177"/>
    </row>
    <row r="22" spans="1:7" x14ac:dyDescent="0.25">
      <c r="A22" s="1177"/>
      <c r="B22" s="1254" t="s">
        <v>64</v>
      </c>
      <c r="C22" s="1254"/>
      <c r="D22" s="1254"/>
      <c r="E22" s="1255">
        <f>RESUMEN!R123</f>
        <v>0</v>
      </c>
      <c r="F22" s="1255"/>
      <c r="G22" s="1177"/>
    </row>
    <row r="23" spans="1:7" x14ac:dyDescent="0.25">
      <c r="A23" s="1177"/>
      <c r="B23" s="1256" t="s">
        <v>66</v>
      </c>
      <c r="C23" s="1256"/>
      <c r="D23" s="1256"/>
      <c r="E23" s="1257">
        <f>RESUMEN!S123</f>
        <v>0</v>
      </c>
      <c r="F23" s="1257"/>
      <c r="G23" s="1177"/>
    </row>
    <row r="24" spans="1:7" x14ac:dyDescent="0.25">
      <c r="A24" s="1177"/>
      <c r="B24" s="1258" t="s">
        <v>1</v>
      </c>
      <c r="C24" s="1258"/>
      <c r="D24" s="1258"/>
      <c r="E24" s="1259">
        <f>RESUMEN!T123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+'OT17-411 SAUCES MINI MANTIS'!Q31</f>
        <v>ACTA 1</v>
      </c>
      <c r="C28" s="1253">
        <f>+'OT17-411 SAUCES MINI MANTIS'!R31</f>
        <v>717488</v>
      </c>
      <c r="D28" s="1253"/>
      <c r="E28" s="267">
        <f>+'OT17-411 SAUCES MINI MANTIS'!S31</f>
        <v>0.25246860364053497</v>
      </c>
      <c r="F28" s="1177"/>
      <c r="G28" s="1177"/>
    </row>
    <row r="29" spans="1:7" x14ac:dyDescent="0.25">
      <c r="A29" s="1177"/>
      <c r="B29" s="280" t="str">
        <f>+'OT17-411 SAUCES MINI MANTIS'!Q32</f>
        <v>ACTA 2</v>
      </c>
      <c r="C29" s="1253">
        <f>+'OT17-411 SAUCES MINI MANTIS'!R32</f>
        <v>1502669</v>
      </c>
      <c r="D29" s="1253"/>
      <c r="E29" s="267">
        <f>+'OT17-411 SAUCES MINI MANTIS'!S32</f>
        <v>0.5287569188110729</v>
      </c>
      <c r="F29" s="1177"/>
      <c r="G29" s="1177"/>
    </row>
    <row r="30" spans="1:7" x14ac:dyDescent="0.25">
      <c r="A30" s="1177"/>
      <c r="B30" s="280" t="str">
        <f>+'OT17-411 SAUCES MINI MANTIS'!Q33</f>
        <v>ACTA 3</v>
      </c>
      <c r="C30" s="1253">
        <f>+'OT17-411 SAUCES MINI MANTIS'!R33</f>
        <v>0</v>
      </c>
      <c r="D30" s="1253"/>
      <c r="E30" s="267">
        <f>+'OT17-411 SAUCES MINI MANTIS'!S33</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2220157</v>
      </c>
      <c r="D34" s="1251"/>
      <c r="E34" s="264">
        <f>SUM(E28:E33)</f>
        <v>0.78122552245160781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RESUMEN!V123</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9">
    <tabColor rgb="FF72104A"/>
  </sheetPr>
  <dimension ref="A1:V39"/>
  <sheetViews>
    <sheetView topLeftCell="J16" zoomScale="80" zoomScaleNormal="80" workbookViewId="0">
      <selection activeCell="U25" sqref="U25"/>
    </sheetView>
  </sheetViews>
  <sheetFormatPr baseColWidth="10" defaultRowHeight="14.4" x14ac:dyDescent="0.3"/>
  <cols>
    <col min="1" max="1" width="19" customWidth="1"/>
    <col min="2" max="2" width="21.109375" customWidth="1"/>
    <col min="3" max="3" width="26.5546875" customWidth="1"/>
    <col min="4" max="4" width="24.88671875" customWidth="1"/>
    <col min="6" max="6" width="16.33203125" customWidth="1"/>
    <col min="7" max="7" width="16.33203125" style="849" customWidth="1"/>
    <col min="8" max="8" width="16.88671875" bestFit="1" customWidth="1"/>
    <col min="9" max="9" width="17.33203125" style="849" bestFit="1" customWidth="1"/>
    <col min="10" max="10" width="42" customWidth="1"/>
    <col min="11" max="11" width="16.88671875" hidden="1" customWidth="1"/>
    <col min="12" max="12" width="15.5546875" hidden="1" customWidth="1"/>
    <col min="13" max="13" width="0" hidden="1" customWidth="1"/>
    <col min="14" max="14" width="17" style="849" customWidth="1"/>
    <col min="15" max="15" width="15.5546875" style="849" bestFit="1" customWidth="1"/>
    <col min="16" max="16" width="11.44140625" style="849"/>
    <col min="17" max="17" width="15" style="1054" customWidth="1"/>
    <col min="18" max="18" width="13.77734375" style="1054" customWidth="1"/>
    <col min="19" max="19" width="14.88671875" style="1054" customWidth="1"/>
    <col min="20" max="20" width="21.88671875" customWidth="1"/>
    <col min="21" max="21" width="13.6640625" bestFit="1" customWidth="1"/>
  </cols>
  <sheetData>
    <row r="1" spans="1:22" x14ac:dyDescent="0.3">
      <c r="A1" s="1292" t="s">
        <v>43</v>
      </c>
      <c r="B1" s="1292"/>
      <c r="C1" s="1292"/>
      <c r="D1" s="1292"/>
      <c r="E1" s="1292"/>
      <c r="F1" s="1292"/>
      <c r="G1" s="1292"/>
      <c r="H1" s="1292"/>
      <c r="I1" s="1292"/>
      <c r="J1" s="1292"/>
      <c r="K1" s="1292"/>
      <c r="L1" s="1292"/>
      <c r="M1" s="1292"/>
      <c r="N1" s="1292"/>
      <c r="O1" s="1292"/>
      <c r="P1" s="1292"/>
      <c r="Q1" s="1292"/>
      <c r="R1" s="1292"/>
      <c r="S1" s="1292"/>
      <c r="T1" s="1292"/>
      <c r="U1" s="1292"/>
      <c r="V1" s="1292"/>
    </row>
    <row r="2" spans="1:22" x14ac:dyDescent="0.3">
      <c r="A2" s="1292" t="s">
        <v>44</v>
      </c>
      <c r="B2" s="1292"/>
      <c r="C2" s="1292"/>
      <c r="D2" s="1292"/>
      <c r="E2" s="1292"/>
      <c r="F2" s="1292"/>
      <c r="G2" s="1292"/>
      <c r="H2" s="1292"/>
      <c r="I2" s="1292"/>
      <c r="J2" s="1292"/>
      <c r="K2" s="1292"/>
      <c r="L2" s="1292"/>
      <c r="M2" s="1292"/>
      <c r="N2" s="1292"/>
      <c r="O2" s="1292"/>
      <c r="P2" s="1292"/>
      <c r="Q2" s="1292"/>
      <c r="R2" s="1292"/>
      <c r="S2" s="1292"/>
      <c r="T2" s="1292"/>
      <c r="U2" s="1292"/>
      <c r="V2" s="1292"/>
    </row>
    <row r="3" spans="1:22" x14ac:dyDescent="0.3">
      <c r="A3" s="1292" t="s">
        <v>45</v>
      </c>
      <c r="B3" s="1292"/>
      <c r="C3" s="1292"/>
      <c r="D3" s="1292"/>
      <c r="E3" s="1292"/>
      <c r="F3" s="1292"/>
      <c r="G3" s="1292"/>
      <c r="H3" s="1292"/>
      <c r="I3" s="1292"/>
      <c r="J3" s="1292"/>
      <c r="K3" s="1292"/>
      <c r="L3" s="1292"/>
      <c r="M3" s="1292"/>
      <c r="N3" s="1292"/>
      <c r="O3" s="1292"/>
      <c r="P3" s="1292"/>
      <c r="Q3" s="1292"/>
      <c r="R3" s="1292"/>
      <c r="S3" s="1292"/>
      <c r="T3" s="1292"/>
      <c r="U3" s="1292"/>
      <c r="V3" s="1292"/>
    </row>
    <row r="4" spans="1:22" x14ac:dyDescent="0.3">
      <c r="A4" s="1291" t="s">
        <v>1745</v>
      </c>
      <c r="B4" s="1292"/>
      <c r="C4" s="1292"/>
      <c r="D4" s="1292"/>
      <c r="E4" s="1292"/>
      <c r="F4" s="1292"/>
      <c r="G4" s="1292"/>
      <c r="H4" s="1292"/>
      <c r="I4" s="1292"/>
      <c r="J4" s="1292"/>
      <c r="K4" s="1292"/>
      <c r="L4" s="1292"/>
      <c r="M4" s="1292"/>
      <c r="N4" s="1292"/>
      <c r="O4" s="1292"/>
      <c r="P4" s="1292"/>
      <c r="Q4" s="1292"/>
      <c r="R4" s="1292"/>
      <c r="S4" s="1292"/>
      <c r="T4" s="1292"/>
      <c r="U4" s="1292"/>
      <c r="V4" s="1292"/>
    </row>
    <row r="5" spans="1:22" x14ac:dyDescent="0.3">
      <c r="A5" s="1292" t="s">
        <v>2317</v>
      </c>
      <c r="B5" s="1292"/>
      <c r="C5" s="1292"/>
      <c r="D5" s="1292"/>
      <c r="E5" s="1292"/>
      <c r="F5" s="1292"/>
      <c r="G5" s="1292"/>
      <c r="H5" s="1292"/>
      <c r="I5" s="1292"/>
      <c r="J5" s="1292"/>
      <c r="K5" s="1292"/>
      <c r="L5" s="1292"/>
      <c r="M5" s="1292"/>
      <c r="N5" s="1292"/>
      <c r="O5" s="1292"/>
      <c r="P5" s="1292"/>
      <c r="Q5" s="1292"/>
      <c r="R5" s="1292"/>
      <c r="S5" s="1292"/>
      <c r="T5" s="1292"/>
      <c r="U5" s="1292"/>
      <c r="V5" s="1292"/>
    </row>
    <row r="6" spans="1:22" x14ac:dyDescent="0.3">
      <c r="A6" s="1292" t="s">
        <v>2305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2" t="s">
        <v>1832</v>
      </c>
      <c r="B7" s="1292"/>
      <c r="C7" s="1292"/>
      <c r="D7" s="1292"/>
      <c r="E7" s="1292"/>
      <c r="F7" s="1292"/>
      <c r="G7" s="1292"/>
      <c r="H7" s="1292"/>
      <c r="I7" s="1292"/>
      <c r="J7" s="1292"/>
      <c r="K7" s="1292"/>
      <c r="L7" s="1292"/>
      <c r="M7" s="1292"/>
      <c r="N7" s="1292"/>
      <c r="O7" s="1292"/>
      <c r="P7" s="1292"/>
      <c r="Q7" s="1292"/>
      <c r="R7" s="1292"/>
      <c r="S7" s="1292"/>
      <c r="T7" s="1292"/>
      <c r="U7" s="1292"/>
      <c r="V7" s="1292"/>
    </row>
    <row r="8" spans="1:22" x14ac:dyDescent="0.3">
      <c r="A8" s="637"/>
      <c r="B8" s="1301"/>
      <c r="C8" s="1313"/>
      <c r="D8" s="1313"/>
      <c r="E8" s="1313"/>
      <c r="F8" s="1313"/>
      <c r="G8" s="1313"/>
      <c r="H8" s="1313"/>
      <c r="I8" s="1313"/>
      <c r="J8" s="1313"/>
      <c r="K8" s="1293" t="s">
        <v>1744</v>
      </c>
      <c r="L8" s="1294"/>
      <c r="M8" s="1295"/>
      <c r="N8" s="1293" t="s">
        <v>2094</v>
      </c>
      <c r="O8" s="1294"/>
      <c r="P8" s="1295"/>
      <c r="Q8" s="1293" t="s">
        <v>2318</v>
      </c>
      <c r="R8" s="1294"/>
      <c r="S8" s="1295"/>
      <c r="T8" s="1299" t="s">
        <v>49</v>
      </c>
      <c r="U8" s="1299"/>
      <c r="V8" s="1299"/>
    </row>
    <row r="9" spans="1:22" x14ac:dyDescent="0.3">
      <c r="A9" s="171"/>
      <c r="B9" s="1301"/>
      <c r="C9" s="1302"/>
      <c r="D9" s="1302"/>
      <c r="E9" s="1302"/>
      <c r="F9" s="1302"/>
      <c r="G9" s="1302"/>
      <c r="H9" s="1302"/>
      <c r="I9" s="1302"/>
      <c r="J9" s="1302"/>
      <c r="K9" s="1325"/>
      <c r="L9" s="1326"/>
      <c r="M9" s="1327"/>
      <c r="N9" s="1325"/>
      <c r="O9" s="1326"/>
      <c r="P9" s="1327"/>
      <c r="Q9" s="1325"/>
      <c r="R9" s="1326"/>
      <c r="S9" s="1327"/>
      <c r="T9" s="1300"/>
      <c r="U9" s="1300"/>
      <c r="V9" s="1300"/>
    </row>
    <row r="10" spans="1:22"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c r="T10" s="502" t="s">
        <v>54</v>
      </c>
      <c r="U10" s="502" t="s">
        <v>56</v>
      </c>
      <c r="V10" s="502" t="s">
        <v>58</v>
      </c>
    </row>
    <row r="11" spans="1:22" ht="81.75" customHeight="1" x14ac:dyDescent="0.3">
      <c r="A11" s="1290" t="s">
        <v>1828</v>
      </c>
      <c r="B11" s="1289" t="s">
        <v>170</v>
      </c>
      <c r="C11" s="636" t="s">
        <v>83</v>
      </c>
      <c r="D11" s="636" t="s">
        <v>123</v>
      </c>
      <c r="E11" s="636">
        <v>0</v>
      </c>
      <c r="F11" s="32">
        <v>1044658</v>
      </c>
      <c r="G11" s="32">
        <f>+ROUND(F11*1.051,0)</f>
        <v>1097936</v>
      </c>
      <c r="H11" s="32">
        <f>ROUND((E11*F11),0)</f>
        <v>0</v>
      </c>
      <c r="I11" s="32">
        <f>+ROUND(G11*E11,0)</f>
        <v>0</v>
      </c>
      <c r="J11" s="1290" t="s">
        <v>2289</v>
      </c>
      <c r="K11" s="536">
        <v>0</v>
      </c>
      <c r="L11" s="685">
        <f>ROUND(K11*F11,0)</f>
        <v>0</v>
      </c>
      <c r="M11" s="684">
        <v>0</v>
      </c>
      <c r="N11" s="799">
        <v>0</v>
      </c>
      <c r="O11" s="685">
        <f>ROUND(N11*G11,0)</f>
        <v>0</v>
      </c>
      <c r="P11" s="684">
        <v>0</v>
      </c>
      <c r="Q11" s="799">
        <v>0</v>
      </c>
      <c r="R11" s="685">
        <f>ROUND(Q11*G11,0)</f>
        <v>0</v>
      </c>
      <c r="S11" s="684">
        <v>0</v>
      </c>
      <c r="T11" s="536">
        <f>K11+N11+Q11</f>
        <v>0</v>
      </c>
      <c r="U11" s="685">
        <f>L11+O11+R11</f>
        <v>0</v>
      </c>
      <c r="V11" s="684">
        <v>0</v>
      </c>
    </row>
    <row r="12" spans="1:22" ht="60" customHeight="1" x14ac:dyDescent="0.3">
      <c r="A12" s="1289"/>
      <c r="B12" s="1289"/>
      <c r="C12" s="636" t="s">
        <v>61</v>
      </c>
      <c r="D12" s="636" t="s">
        <v>125</v>
      </c>
      <c r="E12" s="636">
        <v>0.7</v>
      </c>
      <c r="F12" s="32">
        <v>1009836</v>
      </c>
      <c r="G12" s="32">
        <f>+ROUND(F12*1.051,0)</f>
        <v>1061338</v>
      </c>
      <c r="H12" s="32">
        <f>ROUND((E12*F12),0)</f>
        <v>706885</v>
      </c>
      <c r="I12" s="32">
        <f>+ROUND(G12*E12,0)</f>
        <v>742937</v>
      </c>
      <c r="J12" s="1289"/>
      <c r="K12" s="537">
        <v>0.7</v>
      </c>
      <c r="L12" s="752">
        <f>ROUND(K12*F12,0)</f>
        <v>706885</v>
      </c>
      <c r="M12" s="753">
        <f>L12/H12</f>
        <v>1</v>
      </c>
      <c r="N12" s="799">
        <v>0</v>
      </c>
      <c r="O12" s="685">
        <f>ROUND(N12*G12,0)</f>
        <v>0</v>
      </c>
      <c r="P12" s="684">
        <f>+O12/I12</f>
        <v>0</v>
      </c>
      <c r="Q12" s="799">
        <v>0</v>
      </c>
      <c r="R12" s="685">
        <f>ROUND(Q12*G12,0)</f>
        <v>0</v>
      </c>
      <c r="S12" s="684">
        <f>+R12/I12</f>
        <v>0</v>
      </c>
      <c r="T12" s="799">
        <f t="shared" ref="T12:T20" si="0">K12+N12+Q12</f>
        <v>0.7</v>
      </c>
      <c r="U12" s="685">
        <f t="shared" ref="U12:U21" si="1">L12+O12+R12</f>
        <v>706885</v>
      </c>
      <c r="V12" s="684">
        <f>U12/H12</f>
        <v>1</v>
      </c>
    </row>
    <row r="13" spans="1:22" x14ac:dyDescent="0.3">
      <c r="A13" s="1289"/>
      <c r="B13" s="1289"/>
      <c r="C13" s="39"/>
      <c r="D13" s="39" t="s">
        <v>126</v>
      </c>
      <c r="E13" s="41"/>
      <c r="F13" s="41"/>
      <c r="G13" s="41"/>
      <c r="H13" s="42">
        <f>SUM(H11:H12)</f>
        <v>706885</v>
      </c>
      <c r="I13" s="42">
        <f>SUM(I11:I12)</f>
        <v>742937</v>
      </c>
      <c r="J13" s="1289"/>
      <c r="K13" s="41"/>
      <c r="L13" s="683">
        <f>SUM(L11:L12)</f>
        <v>706885</v>
      </c>
      <c r="M13" s="519">
        <f>L13/H13</f>
        <v>1</v>
      </c>
      <c r="N13" s="41"/>
      <c r="O13" s="683">
        <f>SUM(O11:O12)</f>
        <v>0</v>
      </c>
      <c r="P13" s="519">
        <f>O13/I13</f>
        <v>0</v>
      </c>
      <c r="Q13" s="41"/>
      <c r="R13" s="683">
        <f>SUM(R11:R12)</f>
        <v>0</v>
      </c>
      <c r="S13" s="684">
        <f t="shared" ref="S13:S21" si="2">+R13/I13</f>
        <v>0</v>
      </c>
      <c r="T13" s="799">
        <f t="shared" si="0"/>
        <v>0</v>
      </c>
      <c r="U13" s="685">
        <f t="shared" si="1"/>
        <v>706885</v>
      </c>
      <c r="V13" s="519">
        <f>U13/H13</f>
        <v>1</v>
      </c>
    </row>
    <row r="14" spans="1:22" ht="45" customHeight="1" x14ac:dyDescent="0.3">
      <c r="A14" s="1290" t="s">
        <v>1828</v>
      </c>
      <c r="B14" s="1289" t="s">
        <v>282</v>
      </c>
      <c r="C14" s="636" t="s">
        <v>81</v>
      </c>
      <c r="D14" s="636" t="s">
        <v>105</v>
      </c>
      <c r="E14" s="636">
        <v>0</v>
      </c>
      <c r="F14" s="32">
        <v>417863</v>
      </c>
      <c r="G14" s="32">
        <f t="shared" ref="G14:G15" si="3">+ROUND(F14*1.051,0)</f>
        <v>439174</v>
      </c>
      <c r="H14" s="32">
        <f>ROUND((E14*F14),0)</f>
        <v>0</v>
      </c>
      <c r="I14" s="32">
        <f t="shared" ref="I14" si="4">+ROUND(G14*E14,0)</f>
        <v>0</v>
      </c>
      <c r="J14" s="1290" t="s">
        <v>1830</v>
      </c>
      <c r="K14" s="536">
        <v>0</v>
      </c>
      <c r="L14" s="685">
        <f>ROUND(K14*F14,0)</f>
        <v>0</v>
      </c>
      <c r="M14" s="684">
        <v>0</v>
      </c>
      <c r="N14" s="799">
        <v>0</v>
      </c>
      <c r="O14" s="685">
        <f>ROUND(N14*G14,0)</f>
        <v>0</v>
      </c>
      <c r="P14" s="684">
        <v>0</v>
      </c>
      <c r="Q14" s="799">
        <v>0</v>
      </c>
      <c r="R14" s="685">
        <f>ROUND(Q14*G14,0)</f>
        <v>0</v>
      </c>
      <c r="S14" s="684">
        <v>0</v>
      </c>
      <c r="T14" s="799">
        <f t="shared" si="0"/>
        <v>0</v>
      </c>
      <c r="U14" s="685">
        <f t="shared" si="1"/>
        <v>0</v>
      </c>
      <c r="V14" s="684">
        <v>0</v>
      </c>
    </row>
    <row r="15" spans="1:22" ht="66" customHeight="1" x14ac:dyDescent="0.3">
      <c r="A15" s="1289"/>
      <c r="B15" s="1289"/>
      <c r="C15" s="636" t="s">
        <v>83</v>
      </c>
      <c r="D15" s="636" t="s">
        <v>107</v>
      </c>
      <c r="E15" s="636">
        <v>8.4000000000000005E-2</v>
      </c>
      <c r="F15" s="32">
        <v>1845563</v>
      </c>
      <c r="G15" s="32">
        <f t="shared" si="3"/>
        <v>1939687</v>
      </c>
      <c r="H15" s="32">
        <f>ROUND((E15*F15),0)</f>
        <v>155027</v>
      </c>
      <c r="I15" s="32">
        <f>+ROUND(G15*E15,0)</f>
        <v>162934</v>
      </c>
      <c r="J15" s="1289"/>
      <c r="K15" s="536">
        <v>0</v>
      </c>
      <c r="L15" s="685">
        <f>ROUND(K15*F15,0)</f>
        <v>0</v>
      </c>
      <c r="M15" s="684">
        <f>L15/H15</f>
        <v>0</v>
      </c>
      <c r="N15" s="537">
        <v>8.4000000000000005E-2</v>
      </c>
      <c r="O15" s="752">
        <f>ROUND(N15*G15,0)</f>
        <v>162934</v>
      </c>
      <c r="P15" s="753">
        <f>+O15/I15</f>
        <v>1</v>
      </c>
      <c r="Q15" s="891">
        <v>0</v>
      </c>
      <c r="R15" s="685">
        <f>ROUND(Q15*G15,0)</f>
        <v>0</v>
      </c>
      <c r="S15" s="684">
        <f t="shared" si="2"/>
        <v>0</v>
      </c>
      <c r="T15" s="799">
        <f t="shared" si="0"/>
        <v>8.4000000000000005E-2</v>
      </c>
      <c r="U15" s="685">
        <f t="shared" si="1"/>
        <v>162934</v>
      </c>
      <c r="V15" s="684">
        <f>U15/H15</f>
        <v>1.0510040186548151</v>
      </c>
    </row>
    <row r="16" spans="1:22"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162934</v>
      </c>
      <c r="P16" s="519">
        <f>O16/I16</f>
        <v>1</v>
      </c>
      <c r="Q16" s="41"/>
      <c r="R16" s="683">
        <f>SUM(R14:R15)</f>
        <v>0</v>
      </c>
      <c r="S16" s="684">
        <f t="shared" si="2"/>
        <v>0</v>
      </c>
      <c r="T16" s="799">
        <f t="shared" si="0"/>
        <v>0</v>
      </c>
      <c r="U16" s="685">
        <f t="shared" si="1"/>
        <v>162934</v>
      </c>
      <c r="V16" s="519">
        <f>U16/H16</f>
        <v>1.0510040186548151</v>
      </c>
    </row>
    <row r="17" spans="1:22" ht="30" customHeight="1" x14ac:dyDescent="0.3">
      <c r="A17" s="1290" t="s">
        <v>1186</v>
      </c>
      <c r="B17" s="1289" t="s">
        <v>194</v>
      </c>
      <c r="C17" s="636" t="s">
        <v>160</v>
      </c>
      <c r="D17" s="636" t="s">
        <v>161</v>
      </c>
      <c r="E17" s="636">
        <v>18</v>
      </c>
      <c r="F17" s="32">
        <v>69644</v>
      </c>
      <c r="G17" s="32">
        <f>+ROUND(F17*1.051,0)</f>
        <v>73196</v>
      </c>
      <c r="H17" s="32">
        <f>ROUND((E17*F17),0)</f>
        <v>1253592</v>
      </c>
      <c r="I17" s="32">
        <f>+ROUND(G17*E17,0)</f>
        <v>1317528</v>
      </c>
      <c r="J17" s="1290" t="s">
        <v>1831</v>
      </c>
      <c r="K17" s="536">
        <v>0</v>
      </c>
      <c r="L17" s="685">
        <f>ROUND(K17*F17,0)</f>
        <v>0</v>
      </c>
      <c r="M17" s="684">
        <f>L17/H17</f>
        <v>0</v>
      </c>
      <c r="N17" s="537">
        <v>18</v>
      </c>
      <c r="O17" s="752">
        <f>ROUND(N17*G17,0)</f>
        <v>1317528</v>
      </c>
      <c r="P17" s="753">
        <f>+O17/I17</f>
        <v>1</v>
      </c>
      <c r="Q17" s="891">
        <v>0</v>
      </c>
      <c r="R17" s="892">
        <f>ROUND(Q17*G17,0)</f>
        <v>0</v>
      </c>
      <c r="S17" s="684">
        <f t="shared" si="2"/>
        <v>0</v>
      </c>
      <c r="T17" s="799">
        <f t="shared" si="0"/>
        <v>18</v>
      </c>
      <c r="U17" s="685">
        <f t="shared" si="1"/>
        <v>1317528</v>
      </c>
      <c r="V17" s="684">
        <f>U17/H17</f>
        <v>1.0510022399632417</v>
      </c>
    </row>
    <row r="18" spans="1:22"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1317528</v>
      </c>
      <c r="P18" s="519">
        <f>O18/I18</f>
        <v>1</v>
      </c>
      <c r="Q18" s="41"/>
      <c r="R18" s="683">
        <f>SUM(R17:R17)</f>
        <v>0</v>
      </c>
      <c r="S18" s="684">
        <f t="shared" si="2"/>
        <v>0</v>
      </c>
      <c r="T18" s="799">
        <f t="shared" si="0"/>
        <v>0</v>
      </c>
      <c r="U18" s="685">
        <f t="shared" si="1"/>
        <v>1317528</v>
      </c>
      <c r="V18" s="519">
        <f>U18/H18</f>
        <v>1.0510022399632417</v>
      </c>
    </row>
    <row r="19" spans="1:22" s="735" customFormat="1" ht="43.2" x14ac:dyDescent="0.3">
      <c r="A19" s="1289" t="s">
        <v>281</v>
      </c>
      <c r="B19" s="1289" t="s">
        <v>251</v>
      </c>
      <c r="C19" s="730" t="s">
        <v>59</v>
      </c>
      <c r="D19" s="730" t="s">
        <v>145</v>
      </c>
      <c r="E19" s="730">
        <v>0</v>
      </c>
      <c r="F19" s="32">
        <v>940192</v>
      </c>
      <c r="G19" s="32">
        <f t="shared" ref="G19:G20" si="5">+ROUND(F19*1.051,0)</f>
        <v>988142</v>
      </c>
      <c r="H19" s="32">
        <f>ROUND((E19*F19),0)</f>
        <v>0</v>
      </c>
      <c r="I19" s="32">
        <f t="shared" ref="I19:I20" si="6">+ROUND(G19*E19,0)</f>
        <v>0</v>
      </c>
      <c r="J19" s="1290" t="s">
        <v>1841</v>
      </c>
      <c r="K19" s="536">
        <v>0</v>
      </c>
      <c r="L19" s="685">
        <f>ROUND(K19*F19,0)</f>
        <v>0</v>
      </c>
      <c r="M19" s="684">
        <v>0</v>
      </c>
      <c r="N19" s="799">
        <v>0</v>
      </c>
      <c r="O19" s="685">
        <f>ROUND(N19*G19,0)</f>
        <v>0</v>
      </c>
      <c r="P19" s="684">
        <v>0</v>
      </c>
      <c r="Q19" s="799">
        <v>0</v>
      </c>
      <c r="R19" s="685">
        <f>ROUND(Q19*G19,0)</f>
        <v>0</v>
      </c>
      <c r="S19" s="684">
        <v>0</v>
      </c>
      <c r="T19" s="799">
        <f t="shared" si="0"/>
        <v>0</v>
      </c>
      <c r="U19" s="685">
        <f t="shared" si="1"/>
        <v>0</v>
      </c>
      <c r="V19" s="684">
        <v>0</v>
      </c>
    </row>
    <row r="20" spans="1:22" s="735" customFormat="1" ht="43.2" x14ac:dyDescent="0.3">
      <c r="A20" s="1289"/>
      <c r="B20" s="1289"/>
      <c r="C20" s="730" t="s">
        <v>61</v>
      </c>
      <c r="D20" s="730" t="s">
        <v>146</v>
      </c>
      <c r="E20" s="730">
        <v>0.14000000000000001</v>
      </c>
      <c r="F20" s="32">
        <v>5188469</v>
      </c>
      <c r="G20" s="32">
        <f t="shared" si="5"/>
        <v>5453081</v>
      </c>
      <c r="H20" s="32">
        <f>ROUND((E20*F20),0)</f>
        <v>726386</v>
      </c>
      <c r="I20" s="32">
        <f t="shared" si="6"/>
        <v>763431</v>
      </c>
      <c r="J20" s="1289"/>
      <c r="K20" s="536">
        <v>0</v>
      </c>
      <c r="L20" s="685">
        <f>ROUND(K20*F20,0)</f>
        <v>0</v>
      </c>
      <c r="M20" s="684">
        <f>L20/H20</f>
        <v>0</v>
      </c>
      <c r="N20" s="799">
        <v>0</v>
      </c>
      <c r="O20" s="685">
        <f>ROUND(N20*G20,0)</f>
        <v>0</v>
      </c>
      <c r="P20" s="684">
        <f>+O20/I20</f>
        <v>0</v>
      </c>
      <c r="Q20" s="799">
        <v>0</v>
      </c>
      <c r="R20" s="685">
        <f>ROUND(Q20*G20,0)</f>
        <v>0</v>
      </c>
      <c r="S20" s="684">
        <f t="shared" si="2"/>
        <v>0</v>
      </c>
      <c r="T20" s="799">
        <f t="shared" si="0"/>
        <v>0</v>
      </c>
      <c r="U20" s="685">
        <f t="shared" si="1"/>
        <v>0</v>
      </c>
      <c r="V20" s="684">
        <f>U20/H20</f>
        <v>0</v>
      </c>
    </row>
    <row r="21" spans="1:22" s="735" customFormat="1" x14ac:dyDescent="0.3">
      <c r="A21" s="1289"/>
      <c r="B21" s="1289"/>
      <c r="C21" s="39"/>
      <c r="D21" s="39" t="s">
        <v>147</v>
      </c>
      <c r="E21" s="41"/>
      <c r="F21" s="41"/>
      <c r="G21" s="41"/>
      <c r="H21" s="42">
        <f>SUM(H19:H20)</f>
        <v>726386</v>
      </c>
      <c r="I21" s="42">
        <f>SUM(I19:I20)</f>
        <v>763431</v>
      </c>
      <c r="J21" s="1289"/>
      <c r="K21" s="41"/>
      <c r="L21" s="683">
        <f>SUM(L19:L20)</f>
        <v>0</v>
      </c>
      <c r="M21" s="519">
        <f>L21/H21</f>
        <v>0</v>
      </c>
      <c r="N21" s="41"/>
      <c r="O21" s="683">
        <f>SUM(O19:O20)</f>
        <v>0</v>
      </c>
      <c r="P21" s="519">
        <f>O21/I21</f>
        <v>0</v>
      </c>
      <c r="Q21" s="41"/>
      <c r="R21" s="683">
        <f>SUM(R19:R20)</f>
        <v>0</v>
      </c>
      <c r="S21" s="684">
        <f t="shared" si="2"/>
        <v>0</v>
      </c>
      <c r="T21" s="40"/>
      <c r="U21" s="685">
        <f t="shared" si="1"/>
        <v>0</v>
      </c>
      <c r="V21" s="519">
        <f>U21/H21</f>
        <v>0</v>
      </c>
    </row>
    <row r="22" spans="1:22" x14ac:dyDescent="0.3">
      <c r="A22" s="638"/>
      <c r="B22" s="638"/>
      <c r="C22" s="638"/>
      <c r="D22" s="638"/>
      <c r="E22" s="638"/>
      <c r="F22" s="686" t="s">
        <v>1740</v>
      </c>
      <c r="G22" s="686"/>
      <c r="H22" s="687">
        <f>H13+H16+H18+H21</f>
        <v>2841890</v>
      </c>
      <c r="I22" s="687">
        <f>I13+I16+I18+I21</f>
        <v>2986830</v>
      </c>
      <c r="J22" s="638"/>
      <c r="K22" s="547" t="s">
        <v>64</v>
      </c>
      <c r="L22" s="688">
        <f>SUM(L11:L21)/2</f>
        <v>706885</v>
      </c>
      <c r="M22" s="638"/>
      <c r="N22" s="547" t="s">
        <v>64</v>
      </c>
      <c r="O22" s="688">
        <f>SUM(O11:O21)/2</f>
        <v>1480462</v>
      </c>
      <c r="Q22" s="547" t="s">
        <v>64</v>
      </c>
      <c r="R22" s="688">
        <f>SUM(R11:R21)/2</f>
        <v>0</v>
      </c>
      <c r="T22" s="547" t="s">
        <v>64</v>
      </c>
      <c r="U22" s="688">
        <f>SUM(U11:U21)/2</f>
        <v>2187347</v>
      </c>
      <c r="V22" s="638"/>
    </row>
    <row r="23" spans="1:22" x14ac:dyDescent="0.3">
      <c r="A23" s="638"/>
      <c r="B23" s="638"/>
      <c r="C23" s="638"/>
      <c r="D23" s="638"/>
      <c r="E23" s="638"/>
      <c r="F23" s="444" t="s">
        <v>65</v>
      </c>
      <c r="G23" s="444"/>
      <c r="H23" s="181">
        <v>0</v>
      </c>
      <c r="I23" s="181">
        <v>0</v>
      </c>
      <c r="J23" s="638"/>
      <c r="K23" s="548" t="s">
        <v>65</v>
      </c>
      <c r="L23" s="682">
        <v>0</v>
      </c>
      <c r="M23" s="638"/>
      <c r="N23" s="548" t="s">
        <v>65</v>
      </c>
      <c r="O23" s="682">
        <v>0</v>
      </c>
      <c r="Q23" s="548" t="s">
        <v>65</v>
      </c>
      <c r="R23" s="682">
        <v>0</v>
      </c>
      <c r="T23" s="548" t="s">
        <v>65</v>
      </c>
      <c r="U23" s="682">
        <v>0</v>
      </c>
      <c r="V23" s="638"/>
    </row>
    <row r="24" spans="1:22" x14ac:dyDescent="0.3">
      <c r="A24" s="638"/>
      <c r="B24" s="638"/>
      <c r="C24" s="638"/>
      <c r="D24" s="638"/>
      <c r="E24" s="638"/>
      <c r="F24" s="443" t="s">
        <v>1740</v>
      </c>
      <c r="G24" s="443"/>
      <c r="H24" s="340">
        <f>+H23+H22</f>
        <v>2841890</v>
      </c>
      <c r="I24" s="340">
        <f>+I23+I22</f>
        <v>2986830</v>
      </c>
      <c r="J24" s="638"/>
      <c r="K24" s="549" t="s">
        <v>64</v>
      </c>
      <c r="L24" s="481">
        <f>L22+L23</f>
        <v>706885</v>
      </c>
      <c r="M24" s="638"/>
      <c r="N24" s="549" t="s">
        <v>64</v>
      </c>
      <c r="O24" s="481">
        <f>O22+O23</f>
        <v>1480462</v>
      </c>
      <c r="Q24" s="549" t="s">
        <v>64</v>
      </c>
      <c r="R24" s="481">
        <f>R22+R23</f>
        <v>0</v>
      </c>
      <c r="T24" s="549" t="s">
        <v>64</v>
      </c>
      <c r="U24" s="481">
        <f>U22+U23</f>
        <v>2187347</v>
      </c>
      <c r="V24" s="638"/>
    </row>
    <row r="25" spans="1:22" ht="26.4" x14ac:dyDescent="0.3">
      <c r="A25" s="638"/>
      <c r="B25" s="638"/>
      <c r="C25" s="638"/>
      <c r="D25" s="638"/>
      <c r="E25" s="638"/>
      <c r="F25" s="659"/>
      <c r="G25" s="659"/>
      <c r="H25" s="659"/>
      <c r="I25" s="659"/>
      <c r="J25" s="638"/>
      <c r="K25" s="501" t="s">
        <v>1439</v>
      </c>
      <c r="L25" s="481">
        <f>ROUND(L24*0.015,0)</f>
        <v>10603</v>
      </c>
      <c r="M25" s="638"/>
      <c r="N25" s="501" t="s">
        <v>1439</v>
      </c>
      <c r="O25" s="481">
        <f>ROUND(O24*0.015,0)</f>
        <v>22207</v>
      </c>
      <c r="Q25" s="501" t="s">
        <v>1439</v>
      </c>
      <c r="R25" s="481">
        <f>ROUND(R24*0.015,0)</f>
        <v>0</v>
      </c>
      <c r="T25" s="501" t="s">
        <v>1439</v>
      </c>
      <c r="U25" s="481">
        <f>ROUND(U24*0.015,0)</f>
        <v>32810</v>
      </c>
      <c r="V25" s="638"/>
    </row>
    <row r="26" spans="1:22" ht="39.6" x14ac:dyDescent="0.3">
      <c r="A26" s="638"/>
      <c r="B26" s="638"/>
      <c r="C26" s="638"/>
      <c r="D26" s="638"/>
      <c r="E26" s="638"/>
      <c r="F26" s="659"/>
      <c r="G26" s="659"/>
      <c r="H26" s="659"/>
      <c r="I26" s="659"/>
      <c r="J26" s="638"/>
      <c r="K26" s="96" t="s">
        <v>1440</v>
      </c>
      <c r="L26" s="425">
        <f>L24+L25</f>
        <v>717488</v>
      </c>
      <c r="M26" s="678">
        <f>L26/H22</f>
        <v>0.25246860364053497</v>
      </c>
      <c r="N26" s="96" t="s">
        <v>1440</v>
      </c>
      <c r="O26" s="783">
        <f>O24+O25</f>
        <v>1502669</v>
      </c>
      <c r="P26" s="832">
        <f>O26/H22</f>
        <v>0.5287569188110729</v>
      </c>
      <c r="Q26" s="96" t="s">
        <v>1440</v>
      </c>
      <c r="R26" s="783">
        <f>R24+R25</f>
        <v>0</v>
      </c>
      <c r="S26" s="832">
        <f>R26/H22</f>
        <v>0</v>
      </c>
      <c r="T26" s="96" t="s">
        <v>1440</v>
      </c>
      <c r="U26" s="783">
        <f>U24+U25</f>
        <v>2220157</v>
      </c>
      <c r="V26" s="832">
        <f>U26/H22</f>
        <v>0.78122552245160792</v>
      </c>
    </row>
    <row r="27" spans="1:22" x14ac:dyDescent="0.3">
      <c r="A27" s="638"/>
      <c r="B27" s="638"/>
      <c r="C27" s="638"/>
      <c r="D27" s="638"/>
      <c r="E27" s="638"/>
      <c r="F27" s="442" t="s">
        <v>66</v>
      </c>
      <c r="G27" s="442"/>
      <c r="H27" s="181">
        <f>+H22*19%</f>
        <v>539959.1</v>
      </c>
      <c r="I27" s="181">
        <f>+I22*19%</f>
        <v>567497.69999999995</v>
      </c>
      <c r="J27" s="638"/>
      <c r="K27" s="551" t="s">
        <v>66</v>
      </c>
      <c r="L27" s="672">
        <f>L26*0.19</f>
        <v>136322.72</v>
      </c>
      <c r="M27" s="638"/>
      <c r="N27" s="551" t="s">
        <v>66</v>
      </c>
      <c r="O27" s="672">
        <f>O26*0.19</f>
        <v>285507.11</v>
      </c>
      <c r="Q27" s="551" t="s">
        <v>66</v>
      </c>
      <c r="R27" s="672">
        <f>R26*0.19</f>
        <v>0</v>
      </c>
      <c r="T27" s="551" t="s">
        <v>66</v>
      </c>
      <c r="U27" s="672">
        <f>U26*0.19</f>
        <v>421829.83</v>
      </c>
      <c r="V27" s="638"/>
    </row>
    <row r="28" spans="1:22" x14ac:dyDescent="0.3">
      <c r="A28" s="638"/>
      <c r="B28" s="638"/>
      <c r="C28" s="638"/>
      <c r="D28" s="638"/>
      <c r="E28" s="638"/>
      <c r="F28" s="441" t="s">
        <v>69</v>
      </c>
      <c r="G28" s="441"/>
      <c r="H28" s="181">
        <f>+H22+H27</f>
        <v>3381849.1</v>
      </c>
      <c r="I28" s="181">
        <f>+I22+I27</f>
        <v>3554327.7</v>
      </c>
      <c r="J28" s="638"/>
      <c r="K28" s="552" t="s">
        <v>69</v>
      </c>
      <c r="L28" s="672">
        <f>L26+L27</f>
        <v>853810.72</v>
      </c>
      <c r="M28" s="638"/>
      <c r="N28" s="552" t="s">
        <v>69</v>
      </c>
      <c r="O28" s="672">
        <f>O26+O27</f>
        <v>1788176.1099999999</v>
      </c>
      <c r="Q28" s="552" t="s">
        <v>69</v>
      </c>
      <c r="R28" s="672">
        <f>R26+R27</f>
        <v>0</v>
      </c>
      <c r="T28" s="552" t="s">
        <v>69</v>
      </c>
      <c r="U28" s="672">
        <f>U26+U27</f>
        <v>2641986.83</v>
      </c>
      <c r="V28" s="638"/>
    </row>
    <row r="29" spans="1:22" x14ac:dyDescent="0.3">
      <c r="A29" s="638"/>
      <c r="B29" s="638"/>
      <c r="C29" s="638"/>
      <c r="D29" s="638"/>
      <c r="E29" s="638"/>
      <c r="F29" s="638"/>
      <c r="H29" s="638"/>
      <c r="J29" s="638"/>
      <c r="K29" s="638"/>
      <c r="L29" s="638"/>
      <c r="M29" s="638"/>
      <c r="T29" s="638"/>
      <c r="U29" s="638"/>
      <c r="V29" s="638"/>
    </row>
    <row r="30" spans="1:22" ht="26.4" x14ac:dyDescent="0.3">
      <c r="A30" s="665" t="s">
        <v>67</v>
      </c>
      <c r="B30" s="184"/>
      <c r="C30" s="184"/>
      <c r="D30" s="185" t="s">
        <v>68</v>
      </c>
      <c r="E30" s="638"/>
      <c r="F30" s="638"/>
      <c r="H30" s="638"/>
      <c r="J30" s="638"/>
      <c r="K30" s="186" t="s">
        <v>70</v>
      </c>
      <c r="L30" s="187" t="s">
        <v>71</v>
      </c>
      <c r="M30" s="186" t="s">
        <v>58</v>
      </c>
      <c r="N30" s="186" t="s">
        <v>70</v>
      </c>
      <c r="O30" s="187" t="s">
        <v>71</v>
      </c>
      <c r="P30" s="186" t="s">
        <v>58</v>
      </c>
      <c r="Q30" s="186" t="s">
        <v>70</v>
      </c>
      <c r="R30" s="187" t="s">
        <v>71</v>
      </c>
      <c r="S30" s="186" t="s">
        <v>58</v>
      </c>
      <c r="T30" s="638"/>
      <c r="U30" s="638"/>
      <c r="V30" s="638"/>
    </row>
    <row r="31" spans="1:22" x14ac:dyDescent="0.3">
      <c r="A31" s="665"/>
      <c r="B31" s="184"/>
      <c r="C31" s="184"/>
      <c r="D31" s="185"/>
      <c r="E31" s="638"/>
      <c r="F31" s="638"/>
      <c r="H31" s="638"/>
      <c r="J31" s="638"/>
      <c r="K31" s="69" t="s">
        <v>72</v>
      </c>
      <c r="L31" s="70">
        <f>L26</f>
        <v>717488</v>
      </c>
      <c r="M31" s="360">
        <f>M26</f>
        <v>0.25246860364053497</v>
      </c>
      <c r="N31" s="69" t="s">
        <v>72</v>
      </c>
      <c r="O31" s="70">
        <f>L26</f>
        <v>717488</v>
      </c>
      <c r="P31" s="360">
        <f>M26</f>
        <v>0.25246860364053497</v>
      </c>
      <c r="Q31" s="69" t="s">
        <v>72</v>
      </c>
      <c r="R31" s="70">
        <f>$L$26</f>
        <v>717488</v>
      </c>
      <c r="S31" s="360">
        <f>$M$26</f>
        <v>0.25246860364053497</v>
      </c>
      <c r="T31" s="638"/>
      <c r="U31" s="638"/>
      <c r="V31" s="638"/>
    </row>
    <row r="32" spans="1:22" s="849" customFormat="1" x14ac:dyDescent="0.3">
      <c r="A32" s="665"/>
      <c r="B32" s="184"/>
      <c r="C32" s="184"/>
      <c r="D32" s="185"/>
      <c r="K32" s="69" t="s">
        <v>73</v>
      </c>
      <c r="L32" s="70"/>
      <c r="M32" s="360"/>
      <c r="N32" s="69" t="s">
        <v>73</v>
      </c>
      <c r="O32" s="70">
        <f>+O26</f>
        <v>1502669</v>
      </c>
      <c r="P32" s="360">
        <f>+P26</f>
        <v>0.5287569188110729</v>
      </c>
      <c r="Q32" s="69" t="s">
        <v>73</v>
      </c>
      <c r="R32" s="70">
        <f>$O$26</f>
        <v>1502669</v>
      </c>
      <c r="S32" s="360">
        <f>$P$26</f>
        <v>0.5287569188110729</v>
      </c>
    </row>
    <row r="33" spans="1:22" x14ac:dyDescent="0.3">
      <c r="A33" s="665"/>
      <c r="B33" s="184"/>
      <c r="C33" s="184"/>
      <c r="D33" s="185"/>
      <c r="E33" s="638"/>
      <c r="F33" s="638"/>
      <c r="H33" s="638"/>
      <c r="J33" s="638"/>
      <c r="K33" s="72" t="s">
        <v>1</v>
      </c>
      <c r="L33" s="105">
        <f>L31</f>
        <v>717488</v>
      </c>
      <c r="M33" s="361">
        <f>M31</f>
        <v>0.25246860364053497</v>
      </c>
      <c r="N33" s="72" t="s">
        <v>1</v>
      </c>
      <c r="O33" s="105">
        <f>SUM(O31:O32)</f>
        <v>2220157</v>
      </c>
      <c r="P33" s="361">
        <f>SUM(P31:P32)</f>
        <v>0.78122552245160781</v>
      </c>
      <c r="Q33" s="69" t="s">
        <v>74</v>
      </c>
      <c r="R33" s="70">
        <f>$R$26</f>
        <v>0</v>
      </c>
      <c r="S33" s="360">
        <f>$S$26</f>
        <v>0</v>
      </c>
      <c r="T33" s="638"/>
      <c r="U33" s="638"/>
      <c r="V33" s="638"/>
    </row>
    <row r="34" spans="1:22" x14ac:dyDescent="0.3">
      <c r="A34" s="665"/>
      <c r="B34" s="184"/>
      <c r="C34" s="184"/>
      <c r="D34" s="185"/>
      <c r="E34" s="638"/>
      <c r="F34" s="638"/>
      <c r="H34" s="638"/>
      <c r="J34" s="638"/>
      <c r="K34" s="72" t="s">
        <v>9</v>
      </c>
      <c r="L34" s="1423"/>
      <c r="M34" s="1424"/>
      <c r="N34" s="72" t="s">
        <v>9</v>
      </c>
      <c r="O34" s="1423"/>
      <c r="P34" s="1424"/>
      <c r="Q34" s="72" t="s">
        <v>1</v>
      </c>
      <c r="R34" s="105">
        <f>SUM(R31:R33)</f>
        <v>2220157</v>
      </c>
      <c r="S34" s="361">
        <f>SUM(S31:S33)</f>
        <v>0.78122552245160781</v>
      </c>
      <c r="T34" s="638"/>
      <c r="U34" s="638"/>
      <c r="V34" s="638"/>
    </row>
    <row r="35" spans="1:22" x14ac:dyDescent="0.3">
      <c r="A35" s="665"/>
      <c r="B35" s="184"/>
      <c r="C35" s="184"/>
      <c r="D35" s="185"/>
      <c r="E35" s="638"/>
      <c r="F35" s="638"/>
      <c r="H35" s="638"/>
      <c r="J35" s="638"/>
      <c r="K35" s="440" t="s">
        <v>78</v>
      </c>
      <c r="L35" s="1423" t="s">
        <v>1986</v>
      </c>
      <c r="M35" s="1424"/>
      <c r="N35" s="440" t="s">
        <v>78</v>
      </c>
      <c r="O35" s="1423" t="s">
        <v>1986</v>
      </c>
      <c r="P35" s="1424"/>
      <c r="Q35" s="72" t="s">
        <v>9</v>
      </c>
      <c r="R35" s="1423"/>
      <c r="S35" s="1424"/>
      <c r="T35" s="638"/>
      <c r="U35" s="638"/>
      <c r="V35" s="638"/>
    </row>
    <row r="36" spans="1:22" x14ac:dyDescent="0.3">
      <c r="A36" s="665"/>
      <c r="B36" s="184"/>
      <c r="C36" s="184"/>
      <c r="D36" s="185"/>
      <c r="E36" s="638"/>
      <c r="F36" s="638"/>
      <c r="H36" s="638"/>
      <c r="J36" s="638"/>
      <c r="K36" s="439" t="s">
        <v>8</v>
      </c>
      <c r="L36" s="1423" t="s">
        <v>1987</v>
      </c>
      <c r="M36" s="1424"/>
      <c r="N36" s="439" t="s">
        <v>8</v>
      </c>
      <c r="O36" s="1423" t="s">
        <v>1987</v>
      </c>
      <c r="P36" s="1424"/>
      <c r="Q36" s="440" t="s">
        <v>78</v>
      </c>
      <c r="R36" s="1423" t="s">
        <v>1986</v>
      </c>
      <c r="S36" s="1424"/>
      <c r="T36" s="638"/>
      <c r="U36" s="638"/>
      <c r="V36" s="638"/>
    </row>
    <row r="37" spans="1:22" x14ac:dyDescent="0.3">
      <c r="A37" s="665"/>
      <c r="B37" s="184"/>
      <c r="C37" s="184"/>
      <c r="D37" s="185" t="s">
        <v>75</v>
      </c>
      <c r="E37" s="638"/>
      <c r="F37" s="638"/>
      <c r="H37" s="638"/>
      <c r="J37" s="638"/>
      <c r="K37" s="638"/>
      <c r="L37" s="638"/>
      <c r="M37" s="638"/>
      <c r="Q37" s="439" t="s">
        <v>8</v>
      </c>
      <c r="R37" s="1423" t="s">
        <v>1987</v>
      </c>
      <c r="S37" s="1424"/>
      <c r="T37" s="638"/>
      <c r="U37" s="638"/>
      <c r="V37" s="638"/>
    </row>
    <row r="38" spans="1:22" x14ac:dyDescent="0.3">
      <c r="A38" s="665" t="s">
        <v>76</v>
      </c>
      <c r="B38" s="180"/>
      <c r="C38" s="180"/>
      <c r="D38" s="185" t="s">
        <v>77</v>
      </c>
      <c r="E38" s="638"/>
      <c r="F38" s="638"/>
      <c r="H38" s="638"/>
      <c r="J38" s="638"/>
      <c r="K38" s="638"/>
      <c r="L38" s="638"/>
      <c r="M38" s="638"/>
      <c r="T38" s="638"/>
      <c r="U38" s="638"/>
      <c r="V38" s="638"/>
    </row>
    <row r="39" spans="1:22" x14ac:dyDescent="0.3">
      <c r="A39" s="665" t="s">
        <v>79</v>
      </c>
      <c r="B39" s="180"/>
      <c r="C39" s="180"/>
      <c r="D39" s="185" t="s">
        <v>80</v>
      </c>
      <c r="E39" s="638"/>
      <c r="F39" s="638"/>
      <c r="H39" s="638"/>
      <c r="J39" s="638"/>
      <c r="K39" s="638"/>
      <c r="L39" s="638"/>
      <c r="M39" s="638"/>
      <c r="T39" s="638"/>
      <c r="U39" s="638"/>
      <c r="V39" s="638"/>
    </row>
  </sheetData>
  <mergeCells count="34">
    <mergeCell ref="A17:A18"/>
    <mergeCell ref="B17:B18"/>
    <mergeCell ref="J17:J18"/>
    <mergeCell ref="A1:V1"/>
    <mergeCell ref="A2:V2"/>
    <mergeCell ref="A3:V3"/>
    <mergeCell ref="A4:V4"/>
    <mergeCell ref="A5:V5"/>
    <mergeCell ref="A6:V6"/>
    <mergeCell ref="A7:V7"/>
    <mergeCell ref="B8:J8"/>
    <mergeCell ref="K8:M9"/>
    <mergeCell ref="T8:V9"/>
    <mergeCell ref="B9:J9"/>
    <mergeCell ref="N8:P9"/>
    <mergeCell ref="Q8:S9"/>
    <mergeCell ref="A11:A13"/>
    <mergeCell ref="B11:B13"/>
    <mergeCell ref="J11:J13"/>
    <mergeCell ref="A14:A16"/>
    <mergeCell ref="B14:B16"/>
    <mergeCell ref="J14:J16"/>
    <mergeCell ref="L34:M34"/>
    <mergeCell ref="L35:M35"/>
    <mergeCell ref="L36:M36"/>
    <mergeCell ref="A19:A21"/>
    <mergeCell ref="B19:B21"/>
    <mergeCell ref="J19:J21"/>
    <mergeCell ref="R35:S35"/>
    <mergeCell ref="R36:S36"/>
    <mergeCell ref="R37:S37"/>
    <mergeCell ref="O34:P34"/>
    <mergeCell ref="O35:P35"/>
    <mergeCell ref="O36:P36"/>
  </mergeCell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0">
    <tabColor theme="1"/>
  </sheetPr>
  <dimension ref="A1:G49"/>
  <sheetViews>
    <sheetView topLeftCell="A13" zoomScaleNormal="100" zoomScaleSheetLayoutView="8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RESUMEN!G124</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RESUMEN!B124</f>
        <v>D00249389</v>
      </c>
      <c r="C7" s="1265"/>
      <c r="D7" s="1177"/>
      <c r="E7" s="1266" t="s">
        <v>627</v>
      </c>
      <c r="F7" s="1267"/>
      <c r="G7" s="280" t="str">
        <f>RESUMEN!E124</f>
        <v>17-412</v>
      </c>
    </row>
    <row r="8" spans="1:7" x14ac:dyDescent="0.25">
      <c r="A8" s="271" t="s">
        <v>628</v>
      </c>
      <c r="B8" s="1264" t="str">
        <f>RESUMEN!C124</f>
        <v>D00249389000</v>
      </c>
      <c r="C8" s="1265"/>
      <c r="D8" s="1177"/>
      <c r="E8" s="1266" t="s">
        <v>629</v>
      </c>
      <c r="F8" s="1267"/>
      <c r="G8" s="280" t="str">
        <f>RESUMEN!U124</f>
        <v>Acta N° 2: Marzo</v>
      </c>
    </row>
    <row r="9" spans="1:7" x14ac:dyDescent="0.25">
      <c r="A9" s="271" t="s">
        <v>630</v>
      </c>
      <c r="B9" s="1283" t="s">
        <v>631</v>
      </c>
      <c r="C9" s="1265"/>
      <c r="D9" s="1177"/>
      <c r="E9" s="1266" t="s">
        <v>632</v>
      </c>
      <c r="F9" s="1267"/>
      <c r="G9" s="1178">
        <f>RESUMEN!H124</f>
        <v>2841890</v>
      </c>
    </row>
    <row r="10" spans="1:7" x14ac:dyDescent="0.25">
      <c r="A10" s="271" t="s">
        <v>633</v>
      </c>
      <c r="B10" s="1283" t="str">
        <f>RESUMEN!D124</f>
        <v>TENJO</v>
      </c>
      <c r="C10" s="1265"/>
      <c r="D10" s="1177"/>
      <c r="E10" s="1266" t="s">
        <v>634</v>
      </c>
      <c r="F10" s="1267"/>
      <c r="G10" s="1178">
        <f>RESUMEN!R124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",RESUMEN!G124)</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RESUMEN!N124</f>
        <v>0</v>
      </c>
      <c r="F19" s="1248"/>
      <c r="G19" s="1177"/>
    </row>
    <row r="20" spans="1:7" ht="27" customHeight="1" x14ac:dyDescent="0.25">
      <c r="A20" s="1177"/>
      <c r="B20" s="1244" t="s">
        <v>1498</v>
      </c>
      <c r="C20" s="1245"/>
      <c r="D20" s="1246"/>
      <c r="E20" s="1247">
        <f>RESUMEN!P124</f>
        <v>0</v>
      </c>
      <c r="F20" s="1248"/>
      <c r="G20" s="1177"/>
    </row>
    <row r="21" spans="1:7" ht="27" customHeight="1" x14ac:dyDescent="0.25">
      <c r="A21" s="1177"/>
      <c r="B21" s="1244" t="s">
        <v>1499</v>
      </c>
      <c r="C21" s="1245"/>
      <c r="D21" s="1246"/>
      <c r="E21" s="1247">
        <f>RESUMEN!Q124</f>
        <v>0</v>
      </c>
      <c r="F21" s="1248"/>
      <c r="G21" s="1177"/>
    </row>
    <row r="22" spans="1:7" x14ac:dyDescent="0.25">
      <c r="A22" s="1177"/>
      <c r="B22" s="1254" t="s">
        <v>64</v>
      </c>
      <c r="C22" s="1254"/>
      <c r="D22" s="1254"/>
      <c r="E22" s="1255">
        <f>RESUMEN!R124</f>
        <v>0</v>
      </c>
      <c r="F22" s="1255"/>
      <c r="G22" s="1177"/>
    </row>
    <row r="23" spans="1:7" x14ac:dyDescent="0.25">
      <c r="A23" s="1177"/>
      <c r="B23" s="1256" t="s">
        <v>66</v>
      </c>
      <c r="C23" s="1256"/>
      <c r="D23" s="1256"/>
      <c r="E23" s="1257">
        <f>RESUMEN!S124</f>
        <v>0</v>
      </c>
      <c r="F23" s="1257"/>
      <c r="G23" s="1177"/>
    </row>
    <row r="24" spans="1:7" x14ac:dyDescent="0.25">
      <c r="A24" s="1177"/>
      <c r="B24" s="1258" t="s">
        <v>1</v>
      </c>
      <c r="C24" s="1258"/>
      <c r="D24" s="1258"/>
      <c r="E24" s="1259">
        <f>RESUMEN!T124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+'OT17-412 TENJO MINI MANTIS'!N31</f>
        <v>ACTA 1</v>
      </c>
      <c r="C28" s="1253">
        <f>+'OT17-412 TENJO MINI MANTIS'!O31</f>
        <v>527857</v>
      </c>
      <c r="D28" s="1253"/>
      <c r="E28" s="267">
        <f>+'OT17-412 TENJO MINI MANTIS'!P31</f>
        <v>0.18574153116411965</v>
      </c>
      <c r="F28" s="1177"/>
      <c r="G28" s="1177"/>
    </row>
    <row r="29" spans="1:7" x14ac:dyDescent="0.25">
      <c r="A29" s="1177"/>
      <c r="B29" s="280" t="str">
        <f>+'OT17-412 TENJO MINI MANTIS'!N32</f>
        <v>ACTA 2</v>
      </c>
      <c r="C29" s="1253">
        <f>+'OT17-412 TENJO MINI MANTIS'!O32</f>
        <v>0</v>
      </c>
      <c r="D29" s="1253"/>
      <c r="E29" s="267">
        <f>+'OT17-412 TENJO MINI MANTIS'!P32</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527857</v>
      </c>
      <c r="D34" s="1251"/>
      <c r="E34" s="264">
        <f>SUM(E28:E33)</f>
        <v>0.18574153116411965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RESUMEN!V124</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1">
    <tabColor rgb="FF72104A"/>
  </sheetPr>
  <dimension ref="A1:S38"/>
  <sheetViews>
    <sheetView topLeftCell="I19" zoomScale="80" zoomScaleNormal="80" zoomScaleSheetLayoutView="55" workbookViewId="0">
      <selection activeCell="K10" sqref="K10"/>
    </sheetView>
  </sheetViews>
  <sheetFormatPr baseColWidth="10" defaultRowHeight="14.4" x14ac:dyDescent="0.3"/>
  <cols>
    <col min="1" max="1" width="19.5546875" customWidth="1"/>
    <col min="2" max="2" width="34.6640625" customWidth="1"/>
    <col min="3" max="3" width="17.109375" customWidth="1"/>
    <col min="4" max="4" width="34.33203125" customWidth="1"/>
    <col min="6" max="6" width="14.44140625" bestFit="1" customWidth="1"/>
    <col min="7" max="7" width="14.44140625" style="849" customWidth="1"/>
    <col min="8" max="8" width="18.109375" bestFit="1" customWidth="1"/>
    <col min="9" max="9" width="18.44140625" style="849" bestFit="1" customWidth="1"/>
    <col min="10" max="10" width="56.6640625" customWidth="1"/>
    <col min="11" max="11" width="22.44140625" customWidth="1"/>
    <col min="12" max="12" width="20.109375" bestFit="1" customWidth="1"/>
    <col min="14" max="14" width="16.44140625" style="1054" customWidth="1"/>
    <col min="15" max="15" width="15.21875" style="1054" customWidth="1"/>
    <col min="16" max="16" width="15.5546875" style="1054" customWidth="1"/>
    <col min="17" max="17" width="20.109375" customWidth="1"/>
    <col min="18" max="18" width="1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1745</v>
      </c>
      <c r="B4" s="1292"/>
      <c r="C4" s="1292"/>
      <c r="D4" s="1292"/>
      <c r="E4" s="1292"/>
      <c r="F4" s="1292"/>
      <c r="G4" s="1292"/>
      <c r="H4" s="1292"/>
      <c r="I4" s="1292"/>
      <c r="J4" s="1292"/>
      <c r="K4" s="1292"/>
      <c r="L4" s="1292"/>
      <c r="M4" s="1292"/>
      <c r="N4" s="1292"/>
      <c r="O4" s="1292"/>
      <c r="P4" s="1292"/>
      <c r="Q4" s="1292"/>
      <c r="R4" s="1292"/>
      <c r="S4" s="1292"/>
    </row>
    <row r="5" spans="1:19" x14ac:dyDescent="0.3">
      <c r="A5" s="1292" t="s">
        <v>2323</v>
      </c>
      <c r="B5" s="1292"/>
      <c r="C5" s="1292"/>
      <c r="D5" s="1292"/>
      <c r="E5" s="1292"/>
      <c r="F5" s="1292"/>
      <c r="G5" s="1292"/>
      <c r="H5" s="1292"/>
      <c r="I5" s="1292"/>
      <c r="J5" s="1292"/>
      <c r="K5" s="1292"/>
      <c r="L5" s="1292"/>
      <c r="M5" s="1292"/>
      <c r="N5" s="1292"/>
      <c r="O5" s="1292"/>
      <c r="P5" s="1292"/>
      <c r="Q5" s="1292"/>
      <c r="R5" s="1292"/>
      <c r="S5" s="1292"/>
    </row>
    <row r="6" spans="1:19" x14ac:dyDescent="0.3">
      <c r="A6" s="1292" t="s">
        <v>2305</v>
      </c>
      <c r="B6" s="1292"/>
      <c r="C6" s="1292"/>
      <c r="D6" s="1292"/>
      <c r="E6" s="1292"/>
      <c r="F6" s="1292"/>
      <c r="G6" s="1292"/>
      <c r="H6" s="1292"/>
      <c r="I6" s="1292"/>
      <c r="J6" s="1292"/>
      <c r="K6" s="1292"/>
      <c r="L6" s="1292"/>
      <c r="M6" s="1292"/>
      <c r="N6" s="1292"/>
      <c r="O6" s="1292"/>
      <c r="P6" s="1292"/>
      <c r="Q6" s="1292"/>
      <c r="R6" s="1292"/>
      <c r="S6" s="1292"/>
    </row>
    <row r="7" spans="1:19" x14ac:dyDescent="0.3">
      <c r="A7" s="1292" t="s">
        <v>1833</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1982</v>
      </c>
      <c r="L8" s="1294"/>
      <c r="M8" s="1295"/>
      <c r="N8" s="1293" t="s">
        <v>2324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90" customHeight="1" x14ac:dyDescent="0.3">
      <c r="A11" s="1290" t="s">
        <v>1828</v>
      </c>
      <c r="B11" s="1289" t="s">
        <v>170</v>
      </c>
      <c r="C11" s="636" t="s">
        <v>83</v>
      </c>
      <c r="D11" s="636" t="s">
        <v>123</v>
      </c>
      <c r="E11" s="636">
        <v>0</v>
      </c>
      <c r="F11" s="32">
        <v>1044658</v>
      </c>
      <c r="G11" s="32">
        <f>+ROUND(F11*1.051,0)</f>
        <v>1097936</v>
      </c>
      <c r="H11" s="32">
        <f>ROUND((E11*F11),0)</f>
        <v>0</v>
      </c>
      <c r="I11" s="32">
        <f>+ROUND(G11*E11,0)</f>
        <v>0</v>
      </c>
      <c r="J11" s="1290" t="s">
        <v>1829</v>
      </c>
      <c r="K11" s="536">
        <v>0</v>
      </c>
      <c r="L11" s="685">
        <f>ROUND(K11*G11,0)</f>
        <v>0</v>
      </c>
      <c r="M11" s="684">
        <v>0</v>
      </c>
      <c r="N11" s="799">
        <v>0</v>
      </c>
      <c r="O11" s="685">
        <f>ROUND(N11*G11,0)</f>
        <v>0</v>
      </c>
      <c r="P11" s="684">
        <v>0</v>
      </c>
      <c r="Q11" s="799">
        <f>K11+N11</f>
        <v>0</v>
      </c>
      <c r="R11" s="685">
        <f>L11+O11</f>
        <v>0</v>
      </c>
      <c r="S11" s="684">
        <v>0</v>
      </c>
    </row>
    <row r="12" spans="1:19" ht="90" customHeight="1" x14ac:dyDescent="0.3">
      <c r="A12" s="1289"/>
      <c r="B12" s="1289"/>
      <c r="C12" s="636" t="s">
        <v>61</v>
      </c>
      <c r="D12" s="636" t="s">
        <v>125</v>
      </c>
      <c r="E12" s="636">
        <v>0.7</v>
      </c>
      <c r="F12" s="32">
        <v>1009836</v>
      </c>
      <c r="G12" s="32">
        <f>+ROUND(F12*1.051,0)</f>
        <v>1061338</v>
      </c>
      <c r="H12" s="32">
        <f>ROUND((E12*F12),0)</f>
        <v>706885</v>
      </c>
      <c r="I12" s="32">
        <f>+ROUND(G12*E12,0)</f>
        <v>742937</v>
      </c>
      <c r="J12" s="1289"/>
      <c r="K12" s="537">
        <f>0.7*70%</f>
        <v>0.48999999999999994</v>
      </c>
      <c r="L12" s="752">
        <f>ROUND(K12*G12,0)</f>
        <v>520056</v>
      </c>
      <c r="M12" s="753">
        <f>+L12/I12</f>
        <v>0.70000013460091504</v>
      </c>
      <c r="N12" s="891">
        <v>0</v>
      </c>
      <c r="O12" s="685">
        <f>ROUND(N12*G12,0)</f>
        <v>0</v>
      </c>
      <c r="P12" s="893">
        <f>+O12/I12</f>
        <v>0</v>
      </c>
      <c r="Q12" s="799">
        <f t="shared" ref="Q12:Q20" si="0">K12+N12</f>
        <v>0.48999999999999994</v>
      </c>
      <c r="R12" s="685">
        <f t="shared" ref="R12:R21" si="1">L12+O12</f>
        <v>520056</v>
      </c>
      <c r="S12" s="684">
        <f>R12/I12</f>
        <v>0.70000013460091504</v>
      </c>
    </row>
    <row r="13" spans="1:19" x14ac:dyDescent="0.3">
      <c r="A13" s="1289"/>
      <c r="B13" s="1289"/>
      <c r="C13" s="39"/>
      <c r="D13" s="39" t="s">
        <v>126</v>
      </c>
      <c r="E13" s="41"/>
      <c r="F13" s="41"/>
      <c r="G13" s="41"/>
      <c r="H13" s="42">
        <f>SUM(H11:H12)</f>
        <v>706885</v>
      </c>
      <c r="I13" s="42">
        <f>SUM(I11:I12)</f>
        <v>742937</v>
      </c>
      <c r="J13" s="1289"/>
      <c r="K13" s="41"/>
      <c r="L13" s="683">
        <f>SUM(L11:L12)</f>
        <v>520056</v>
      </c>
      <c r="M13" s="519">
        <f>L13/H13</f>
        <v>0.73570099804069966</v>
      </c>
      <c r="N13" s="41"/>
      <c r="O13" s="683">
        <f>SUM(O11:O12)</f>
        <v>0</v>
      </c>
      <c r="P13" s="1100">
        <f t="shared" ref="P13:P21" si="2">+O13/I13</f>
        <v>0</v>
      </c>
      <c r="Q13" s="1106"/>
      <c r="R13" s="1107">
        <f t="shared" si="1"/>
        <v>520056</v>
      </c>
      <c r="S13" s="1100">
        <f t="shared" ref="S13:S20" si="3">R13/I13</f>
        <v>0.70000013460091504</v>
      </c>
    </row>
    <row r="14" spans="1:19" ht="60" customHeight="1" x14ac:dyDescent="0.3">
      <c r="A14" s="1290" t="s">
        <v>1828</v>
      </c>
      <c r="B14" s="1289" t="s">
        <v>282</v>
      </c>
      <c r="C14" s="636" t="s">
        <v>81</v>
      </c>
      <c r="D14" s="636" t="s">
        <v>105</v>
      </c>
      <c r="E14" s="636">
        <v>0</v>
      </c>
      <c r="F14" s="32">
        <v>417863</v>
      </c>
      <c r="G14" s="32">
        <f t="shared" ref="G14:G15" si="4">+ROUND(F14*1.051,0)</f>
        <v>439174</v>
      </c>
      <c r="H14" s="32">
        <f>ROUND((E14*F14),0)</f>
        <v>0</v>
      </c>
      <c r="I14" s="32">
        <f t="shared" ref="I14:I15" si="5">+ROUND(G14*E14,0)</f>
        <v>0</v>
      </c>
      <c r="J14" s="1290" t="s">
        <v>1830</v>
      </c>
      <c r="K14" s="799">
        <v>0</v>
      </c>
      <c r="L14" s="685">
        <f t="shared" ref="L14:L15" si="6">ROUND(K14*G14,0)</f>
        <v>0</v>
      </c>
      <c r="M14" s="684">
        <v>0</v>
      </c>
      <c r="N14" s="799">
        <v>0</v>
      </c>
      <c r="O14" s="685">
        <f>ROUND(N14*G14,0)</f>
        <v>0</v>
      </c>
      <c r="P14" s="893">
        <v>0</v>
      </c>
      <c r="Q14" s="799">
        <f t="shared" si="0"/>
        <v>0</v>
      </c>
      <c r="R14" s="685">
        <f t="shared" si="1"/>
        <v>0</v>
      </c>
      <c r="S14" s="684" t="e">
        <f t="shared" si="3"/>
        <v>#DIV/0!</v>
      </c>
    </row>
    <row r="15" spans="1:19" ht="90" customHeight="1" x14ac:dyDescent="0.3">
      <c r="A15" s="1289"/>
      <c r="B15" s="1289"/>
      <c r="C15" s="636" t="s">
        <v>83</v>
      </c>
      <c r="D15" s="636" t="s">
        <v>107</v>
      </c>
      <c r="E15" s="636">
        <v>8.4000000000000005E-2</v>
      </c>
      <c r="F15" s="32">
        <v>1845563</v>
      </c>
      <c r="G15" s="32">
        <f t="shared" si="4"/>
        <v>1939687</v>
      </c>
      <c r="H15" s="32">
        <f>ROUND((E15*F15),0)</f>
        <v>155027</v>
      </c>
      <c r="I15" s="32">
        <f t="shared" si="5"/>
        <v>162934</v>
      </c>
      <c r="J15" s="1289"/>
      <c r="K15" s="799">
        <v>0</v>
      </c>
      <c r="L15" s="685">
        <f t="shared" si="6"/>
        <v>0</v>
      </c>
      <c r="M15" s="684">
        <f t="shared" ref="M15" si="7">+L15/I15</f>
        <v>0</v>
      </c>
      <c r="N15" s="799">
        <v>0</v>
      </c>
      <c r="O15" s="685">
        <f>ROUND(N15*G15,0)</f>
        <v>0</v>
      </c>
      <c r="P15" s="893">
        <f t="shared" si="2"/>
        <v>0</v>
      </c>
      <c r="Q15" s="799">
        <f t="shared" si="0"/>
        <v>0</v>
      </c>
      <c r="R15" s="685">
        <f t="shared" si="1"/>
        <v>0</v>
      </c>
      <c r="S15" s="684">
        <f t="shared" si="3"/>
        <v>0</v>
      </c>
    </row>
    <row r="16" spans="1:19"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0</v>
      </c>
      <c r="P16" s="1100">
        <f t="shared" si="2"/>
        <v>0</v>
      </c>
      <c r="Q16" s="1106"/>
      <c r="R16" s="1107">
        <f t="shared" si="1"/>
        <v>0</v>
      </c>
      <c r="S16" s="1100">
        <f t="shared" si="3"/>
        <v>0</v>
      </c>
    </row>
    <row r="17" spans="1:19" ht="83.25" customHeight="1" x14ac:dyDescent="0.3">
      <c r="A17" s="1290" t="s">
        <v>1186</v>
      </c>
      <c r="B17" s="1289" t="s">
        <v>194</v>
      </c>
      <c r="C17" s="636" t="s">
        <v>160</v>
      </c>
      <c r="D17" s="636" t="s">
        <v>161</v>
      </c>
      <c r="E17" s="636">
        <v>18</v>
      </c>
      <c r="F17" s="32">
        <v>69644</v>
      </c>
      <c r="G17" s="32">
        <f>+ROUND(F17*1.051,0)</f>
        <v>73196</v>
      </c>
      <c r="H17" s="32">
        <f>ROUND((E17*F17),0)</f>
        <v>1253592</v>
      </c>
      <c r="I17" s="32">
        <f>+ROUND(G17*E17,0)</f>
        <v>1317528</v>
      </c>
      <c r="J17" s="1290" t="s">
        <v>1831</v>
      </c>
      <c r="K17" s="799">
        <v>0</v>
      </c>
      <c r="L17" s="685">
        <f>ROUND(K17*G17,0)</f>
        <v>0</v>
      </c>
      <c r="M17" s="684">
        <f>+L17/I17</f>
        <v>0</v>
      </c>
      <c r="N17" s="799">
        <v>0</v>
      </c>
      <c r="O17" s="685">
        <f>ROUND(N17*G17,0)</f>
        <v>0</v>
      </c>
      <c r="P17" s="893">
        <f t="shared" si="2"/>
        <v>0</v>
      </c>
      <c r="Q17" s="799">
        <f t="shared" si="0"/>
        <v>0</v>
      </c>
      <c r="R17" s="685">
        <f t="shared" si="1"/>
        <v>0</v>
      </c>
      <c r="S17" s="684">
        <f t="shared" si="3"/>
        <v>0</v>
      </c>
    </row>
    <row r="18" spans="1:19"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0</v>
      </c>
      <c r="P18" s="1100">
        <f t="shared" si="2"/>
        <v>0</v>
      </c>
      <c r="Q18" s="1106"/>
      <c r="R18" s="1107">
        <f t="shared" si="1"/>
        <v>0</v>
      </c>
      <c r="S18" s="1100">
        <f t="shared" si="3"/>
        <v>0</v>
      </c>
    </row>
    <row r="19" spans="1:19" s="1039" customFormat="1" ht="72" x14ac:dyDescent="0.3">
      <c r="A19" s="1510" t="s">
        <v>281</v>
      </c>
      <c r="B19" s="1289" t="s">
        <v>251</v>
      </c>
      <c r="C19" s="1038" t="s">
        <v>59</v>
      </c>
      <c r="D19" s="1038" t="s">
        <v>145</v>
      </c>
      <c r="E19" s="1038">
        <v>0</v>
      </c>
      <c r="F19" s="32">
        <v>940192</v>
      </c>
      <c r="G19" s="32">
        <f>ROUND((E19*F19),0)</f>
        <v>0</v>
      </c>
      <c r="H19" s="32">
        <f>ROUND((E19*F19),0)</f>
        <v>0</v>
      </c>
      <c r="I19" s="32">
        <f>+ROUND(G19*E19,0)</f>
        <v>0</v>
      </c>
      <c r="J19" s="1290" t="s">
        <v>1841</v>
      </c>
      <c r="K19" s="799">
        <v>0</v>
      </c>
      <c r="L19" s="685">
        <f>ROUND(K19*G19,0)</f>
        <v>0</v>
      </c>
      <c r="M19" s="684" t="e">
        <f>+L19/I19</f>
        <v>#DIV/0!</v>
      </c>
      <c r="N19" s="799">
        <v>0</v>
      </c>
      <c r="O19" s="685">
        <f>ROUND(N19*G19,0)</f>
        <v>0</v>
      </c>
      <c r="P19" s="893" t="e">
        <f t="shared" si="2"/>
        <v>#DIV/0!</v>
      </c>
      <c r="Q19" s="799">
        <f t="shared" si="0"/>
        <v>0</v>
      </c>
      <c r="R19" s="685">
        <f t="shared" si="1"/>
        <v>0</v>
      </c>
      <c r="S19" s="684" t="e">
        <f t="shared" si="3"/>
        <v>#DIV/0!</v>
      </c>
    </row>
    <row r="20" spans="1:19" s="1039" customFormat="1" ht="57.6" x14ac:dyDescent="0.3">
      <c r="A20" s="1510"/>
      <c r="B20" s="1289"/>
      <c r="C20" s="1038" t="s">
        <v>61</v>
      </c>
      <c r="D20" s="1038" t="s">
        <v>146</v>
      </c>
      <c r="E20" s="1038">
        <v>0.14000000000000001</v>
      </c>
      <c r="F20" s="32">
        <v>5188469</v>
      </c>
      <c r="G20" s="32">
        <f>ROUND((E20*F20),0)</f>
        <v>726386</v>
      </c>
      <c r="H20" s="32">
        <f>ROUND((E20*F20),0)</f>
        <v>726386</v>
      </c>
      <c r="I20" s="32">
        <f>+ROUND(G20*E20,0)</f>
        <v>101694</v>
      </c>
      <c r="J20" s="1289"/>
      <c r="K20" s="799">
        <v>0</v>
      </c>
      <c r="L20" s="685">
        <f>ROUND(K20*G20,0)</f>
        <v>0</v>
      </c>
      <c r="M20" s="684">
        <f>+L20/I20</f>
        <v>0</v>
      </c>
      <c r="N20" s="799">
        <v>0</v>
      </c>
      <c r="O20" s="685">
        <f>ROUND(N20*G20,0)</f>
        <v>0</v>
      </c>
      <c r="P20" s="893">
        <f t="shared" si="2"/>
        <v>0</v>
      </c>
      <c r="Q20" s="799">
        <f t="shared" si="0"/>
        <v>0</v>
      </c>
      <c r="R20" s="685">
        <f t="shared" si="1"/>
        <v>0</v>
      </c>
      <c r="S20" s="684">
        <f t="shared" si="3"/>
        <v>0</v>
      </c>
    </row>
    <row r="21" spans="1:19" s="1039" customFormat="1" x14ac:dyDescent="0.3">
      <c r="A21" s="1510"/>
      <c r="B21" s="1289"/>
      <c r="C21" s="39"/>
      <c r="D21" s="39" t="s">
        <v>147</v>
      </c>
      <c r="E21" s="41"/>
      <c r="F21" s="41"/>
      <c r="G21" s="42">
        <f>SUM(G19:G20)</f>
        <v>726386</v>
      </c>
      <c r="H21" s="42">
        <f>H20</f>
        <v>726386</v>
      </c>
      <c r="I21" s="42">
        <f>SUM(I20)</f>
        <v>101694</v>
      </c>
      <c r="J21" s="1289"/>
      <c r="K21" s="41"/>
      <c r="L21" s="683">
        <f>SUM(L20:L20)</f>
        <v>0</v>
      </c>
      <c r="M21" s="519">
        <f>L21/H21</f>
        <v>0</v>
      </c>
      <c r="N21" s="41"/>
      <c r="O21" s="683">
        <f>SUM(O20:O20)</f>
        <v>0</v>
      </c>
      <c r="P21" s="1100">
        <f t="shared" si="2"/>
        <v>0</v>
      </c>
      <c r="Q21" s="1108"/>
      <c r="R21" s="1107">
        <f t="shared" si="1"/>
        <v>0</v>
      </c>
      <c r="S21" s="1100">
        <f>R21/I21</f>
        <v>0</v>
      </c>
    </row>
    <row r="22" spans="1:19" x14ac:dyDescent="0.3">
      <c r="A22" s="638"/>
      <c r="B22" s="638"/>
      <c r="C22" s="638"/>
      <c r="D22" s="638"/>
      <c r="E22" s="638"/>
      <c r="F22" s="686" t="s">
        <v>1740</v>
      </c>
      <c r="G22" s="686"/>
      <c r="H22" s="687">
        <f>SUM(H11:H21)/2</f>
        <v>2841890</v>
      </c>
      <c r="I22" s="687">
        <f>SUM(I11:I21)/2</f>
        <v>2325093</v>
      </c>
      <c r="J22" s="638"/>
      <c r="K22" s="547" t="s">
        <v>64</v>
      </c>
      <c r="L22" s="688">
        <f>SUM(L11:L21)/2</f>
        <v>520056</v>
      </c>
      <c r="M22" s="638"/>
      <c r="N22" s="547" t="s">
        <v>64</v>
      </c>
      <c r="O22" s="688">
        <f>SUM(O11:O21)/2</f>
        <v>0</v>
      </c>
      <c r="Q22" s="547" t="s">
        <v>64</v>
      </c>
      <c r="R22" s="688">
        <f>SUM(R11:R21)/2</f>
        <v>520056</v>
      </c>
      <c r="S22" s="638"/>
    </row>
    <row r="23" spans="1:19" ht="26.4" x14ac:dyDescent="0.3">
      <c r="A23" s="638"/>
      <c r="B23" s="638"/>
      <c r="C23" s="638"/>
      <c r="D23" s="638"/>
      <c r="E23" s="638"/>
      <c r="F23" s="444" t="s">
        <v>65</v>
      </c>
      <c r="G23" s="444"/>
      <c r="H23" s="181">
        <v>0</v>
      </c>
      <c r="I23" s="181">
        <v>0</v>
      </c>
      <c r="J23" s="638"/>
      <c r="K23" s="548" t="s">
        <v>65</v>
      </c>
      <c r="L23" s="682">
        <v>0</v>
      </c>
      <c r="M23" s="638"/>
      <c r="N23" s="548" t="s">
        <v>65</v>
      </c>
      <c r="O23" s="682">
        <v>0</v>
      </c>
      <c r="Q23" s="548" t="s">
        <v>65</v>
      </c>
      <c r="R23" s="682">
        <v>0</v>
      </c>
      <c r="S23" s="638"/>
    </row>
    <row r="24" spans="1:19" x14ac:dyDescent="0.3">
      <c r="A24" s="638"/>
      <c r="B24" s="638"/>
      <c r="C24" s="638"/>
      <c r="D24" s="638"/>
      <c r="E24" s="638"/>
      <c r="F24" s="443" t="s">
        <v>1740</v>
      </c>
      <c r="G24" s="443"/>
      <c r="H24" s="340">
        <f>+H23+H22</f>
        <v>2841890</v>
      </c>
      <c r="I24" s="340">
        <f>+I23+I22</f>
        <v>2325093</v>
      </c>
      <c r="J24" s="638"/>
      <c r="K24" s="549" t="s">
        <v>64</v>
      </c>
      <c r="L24" s="481">
        <f>L22+L23</f>
        <v>520056</v>
      </c>
      <c r="M24" s="638"/>
      <c r="N24" s="549" t="s">
        <v>64</v>
      </c>
      <c r="O24" s="481">
        <f>O22+O23</f>
        <v>0</v>
      </c>
      <c r="Q24" s="549" t="s">
        <v>64</v>
      </c>
      <c r="R24" s="481">
        <f>R22+R23</f>
        <v>520056</v>
      </c>
      <c r="S24" s="638"/>
    </row>
    <row r="25" spans="1:19" ht="26.4" x14ac:dyDescent="0.3">
      <c r="A25" s="638"/>
      <c r="B25" s="638"/>
      <c r="C25" s="638"/>
      <c r="D25" s="638"/>
      <c r="E25" s="638"/>
      <c r="F25" s="659"/>
      <c r="G25" s="659"/>
      <c r="H25" s="659"/>
      <c r="I25" s="659"/>
      <c r="J25" s="638"/>
      <c r="K25" s="501" t="s">
        <v>1439</v>
      </c>
      <c r="L25" s="481">
        <f>ROUND(L24*0.015,0)</f>
        <v>7801</v>
      </c>
      <c r="M25" s="638"/>
      <c r="N25" s="501" t="s">
        <v>1439</v>
      </c>
      <c r="O25" s="481">
        <f>ROUND(O24*0.015,0)</f>
        <v>0</v>
      </c>
      <c r="Q25" s="501" t="s">
        <v>1439</v>
      </c>
      <c r="R25" s="481">
        <f>ROUND(R24*0.015,0)</f>
        <v>7801</v>
      </c>
      <c r="S25" s="638"/>
    </row>
    <row r="26" spans="1:19" ht="26.4" x14ac:dyDescent="0.3">
      <c r="A26" s="638"/>
      <c r="B26" s="638"/>
      <c r="C26" s="638"/>
      <c r="D26" s="638"/>
      <c r="E26" s="638"/>
      <c r="F26" s="659"/>
      <c r="G26" s="659"/>
      <c r="H26" s="659"/>
      <c r="I26" s="659"/>
      <c r="J26" s="638"/>
      <c r="K26" s="96" t="s">
        <v>1440</v>
      </c>
      <c r="L26" s="783">
        <f>L24+L25</f>
        <v>527857</v>
      </c>
      <c r="M26" s="832">
        <f>L26/H22</f>
        <v>0.18574153116411965</v>
      </c>
      <c r="N26" s="96" t="s">
        <v>1440</v>
      </c>
      <c r="O26" s="783">
        <f>O24+O25</f>
        <v>0</v>
      </c>
      <c r="P26" s="832">
        <f>O26/H22</f>
        <v>0</v>
      </c>
      <c r="Q26" s="96" t="s">
        <v>1440</v>
      </c>
      <c r="R26" s="783">
        <f>R24+R25</f>
        <v>527857</v>
      </c>
      <c r="S26" s="832">
        <f>R26/H22</f>
        <v>0.18574153116411965</v>
      </c>
    </row>
    <row r="27" spans="1:19" x14ac:dyDescent="0.3">
      <c r="A27" s="638"/>
      <c r="B27" s="638"/>
      <c r="C27" s="638"/>
      <c r="D27" s="638"/>
      <c r="E27" s="638"/>
      <c r="F27" s="442" t="s">
        <v>66</v>
      </c>
      <c r="G27" s="442"/>
      <c r="H27" s="181">
        <f>+H22*19%</f>
        <v>539959.1</v>
      </c>
      <c r="I27" s="181">
        <f>+I22*19%</f>
        <v>441767.67</v>
      </c>
      <c r="J27" s="638"/>
      <c r="K27" s="551" t="s">
        <v>66</v>
      </c>
      <c r="L27" s="672">
        <f>L26*0.19</f>
        <v>100292.83</v>
      </c>
      <c r="M27" s="638"/>
      <c r="N27" s="551" t="s">
        <v>66</v>
      </c>
      <c r="O27" s="672">
        <f>O26*0.19</f>
        <v>0</v>
      </c>
      <c r="Q27" s="551" t="s">
        <v>66</v>
      </c>
      <c r="R27" s="672">
        <f>R26*0.19</f>
        <v>100292.83</v>
      </c>
      <c r="S27" s="638"/>
    </row>
    <row r="28" spans="1:19" x14ac:dyDescent="0.3">
      <c r="A28" s="638"/>
      <c r="B28" s="638"/>
      <c r="C28" s="638"/>
      <c r="D28" s="638"/>
      <c r="E28" s="638"/>
      <c r="F28" s="441" t="s">
        <v>69</v>
      </c>
      <c r="G28" s="441"/>
      <c r="H28" s="181">
        <f>+H22+H27</f>
        <v>3381849.1</v>
      </c>
      <c r="I28" s="181">
        <f>+I22+I27</f>
        <v>2766860.67</v>
      </c>
      <c r="J28" s="638"/>
      <c r="K28" s="552" t="s">
        <v>69</v>
      </c>
      <c r="L28" s="672">
        <f>L26+L27</f>
        <v>628149.82999999996</v>
      </c>
      <c r="M28" s="638"/>
      <c r="N28" s="552" t="s">
        <v>69</v>
      </c>
      <c r="O28" s="672">
        <f>O26+O27</f>
        <v>0</v>
      </c>
      <c r="Q28" s="552" t="s">
        <v>69</v>
      </c>
      <c r="R28" s="672">
        <f>R26+R27</f>
        <v>628149.82999999996</v>
      </c>
      <c r="S28" s="638"/>
    </row>
    <row r="29" spans="1:19" x14ac:dyDescent="0.3">
      <c r="A29" s="638"/>
      <c r="B29" s="638"/>
      <c r="C29" s="638"/>
      <c r="D29" s="638"/>
      <c r="E29" s="638"/>
      <c r="F29" s="638"/>
      <c r="H29" s="638"/>
      <c r="J29" s="638"/>
      <c r="K29" s="638"/>
      <c r="L29" s="638"/>
      <c r="M29" s="638"/>
      <c r="Q29" s="638"/>
      <c r="R29" s="638"/>
      <c r="S29" s="638"/>
    </row>
    <row r="30" spans="1:19" x14ac:dyDescent="0.3">
      <c r="A30" s="665" t="s">
        <v>67</v>
      </c>
      <c r="B30" s="184"/>
      <c r="C30" s="184"/>
      <c r="D30" s="185" t="s">
        <v>68</v>
      </c>
      <c r="E30" s="638"/>
      <c r="F30" s="638"/>
      <c r="H30" s="638"/>
      <c r="J30" s="638"/>
      <c r="K30" s="186" t="s">
        <v>70</v>
      </c>
      <c r="L30" s="187" t="s">
        <v>71</v>
      </c>
      <c r="M30" s="186" t="s">
        <v>58</v>
      </c>
      <c r="N30" s="186" t="s">
        <v>70</v>
      </c>
      <c r="O30" s="187" t="s">
        <v>71</v>
      </c>
      <c r="P30" s="186" t="s">
        <v>58</v>
      </c>
      <c r="Q30" s="638"/>
      <c r="R30" s="638"/>
      <c r="S30" s="638"/>
    </row>
    <row r="31" spans="1:19" x14ac:dyDescent="0.3">
      <c r="A31" s="665"/>
      <c r="B31" s="184"/>
      <c r="C31" s="184"/>
      <c r="D31" s="185"/>
      <c r="E31" s="638"/>
      <c r="F31" s="638"/>
      <c r="H31" s="638"/>
      <c r="J31" s="638"/>
      <c r="K31" s="69" t="s">
        <v>72</v>
      </c>
      <c r="L31" s="70">
        <f>L26</f>
        <v>527857</v>
      </c>
      <c r="M31" s="360">
        <f>M26</f>
        <v>0.18574153116411965</v>
      </c>
      <c r="N31" s="69" t="s">
        <v>72</v>
      </c>
      <c r="O31" s="70">
        <f>$L$26</f>
        <v>527857</v>
      </c>
      <c r="P31" s="360">
        <f>$M$26</f>
        <v>0.18574153116411965</v>
      </c>
      <c r="Q31" s="638"/>
      <c r="R31" s="638"/>
      <c r="S31" s="638"/>
    </row>
    <row r="32" spans="1:19" x14ac:dyDescent="0.3">
      <c r="A32" s="665"/>
      <c r="B32" s="184"/>
      <c r="C32" s="184"/>
      <c r="D32" s="185"/>
      <c r="E32" s="638"/>
      <c r="F32" s="638"/>
      <c r="H32" s="638"/>
      <c r="J32" s="638"/>
      <c r="K32" s="72" t="s">
        <v>1</v>
      </c>
      <c r="L32" s="105">
        <f>L31</f>
        <v>527857</v>
      </c>
      <c r="M32" s="361">
        <f>M31</f>
        <v>0.18574153116411965</v>
      </c>
      <c r="N32" s="69" t="s">
        <v>73</v>
      </c>
      <c r="O32" s="70">
        <f>$O$26</f>
        <v>0</v>
      </c>
      <c r="P32" s="360">
        <f>$P$26</f>
        <v>0</v>
      </c>
      <c r="Q32" s="638"/>
      <c r="R32" s="638"/>
      <c r="S32" s="638"/>
    </row>
    <row r="33" spans="1:19" x14ac:dyDescent="0.3">
      <c r="A33" s="665"/>
      <c r="B33" s="184"/>
      <c r="C33" s="184"/>
      <c r="D33" s="185"/>
      <c r="E33" s="638"/>
      <c r="F33" s="638"/>
      <c r="H33" s="638"/>
      <c r="J33" s="638"/>
      <c r="K33" s="72" t="s">
        <v>9</v>
      </c>
      <c r="L33" s="1423"/>
      <c r="M33" s="1424"/>
      <c r="N33" s="72" t="s">
        <v>1</v>
      </c>
      <c r="O33" s="105">
        <f>SUM(O31:O32)</f>
        <v>527857</v>
      </c>
      <c r="P33" s="361">
        <f>SUM(P31:P32)</f>
        <v>0.18574153116411965</v>
      </c>
      <c r="Q33" s="638"/>
      <c r="R33" s="638"/>
      <c r="S33" s="638"/>
    </row>
    <row r="34" spans="1:19" x14ac:dyDescent="0.3">
      <c r="A34" s="665"/>
      <c r="B34" s="184"/>
      <c r="C34" s="184"/>
      <c r="D34" s="185"/>
      <c r="E34" s="638"/>
      <c r="F34" s="638"/>
      <c r="H34" s="638"/>
      <c r="J34" s="638"/>
      <c r="K34" s="440" t="s">
        <v>78</v>
      </c>
      <c r="L34" s="1423" t="s">
        <v>1986</v>
      </c>
      <c r="M34" s="1424"/>
      <c r="N34" s="72" t="s">
        <v>9</v>
      </c>
      <c r="O34" s="1423"/>
      <c r="P34" s="1424"/>
      <c r="Q34" s="638"/>
      <c r="R34" s="638"/>
      <c r="S34" s="638"/>
    </row>
    <row r="35" spans="1:19" x14ac:dyDescent="0.3">
      <c r="A35" s="665"/>
      <c r="B35" s="184"/>
      <c r="C35" s="184"/>
      <c r="D35" s="185"/>
      <c r="E35" s="638"/>
      <c r="F35" s="638"/>
      <c r="H35" s="638"/>
      <c r="J35" s="638"/>
      <c r="K35" s="439" t="s">
        <v>8</v>
      </c>
      <c r="L35" s="1423" t="s">
        <v>1987</v>
      </c>
      <c r="M35" s="1424"/>
      <c r="N35" s="440" t="s">
        <v>78</v>
      </c>
      <c r="O35" s="1423" t="s">
        <v>1986</v>
      </c>
      <c r="P35" s="1424"/>
      <c r="Q35" s="638"/>
      <c r="R35" s="638"/>
      <c r="S35" s="638"/>
    </row>
    <row r="36" spans="1:19" x14ac:dyDescent="0.3">
      <c r="A36" s="665"/>
      <c r="B36" s="184"/>
      <c r="C36" s="184"/>
      <c r="D36" s="185" t="s">
        <v>75</v>
      </c>
      <c r="E36" s="638"/>
      <c r="F36" s="638"/>
      <c r="H36" s="638"/>
      <c r="J36" s="638"/>
      <c r="K36" s="638"/>
      <c r="L36" s="638"/>
      <c r="M36" s="638"/>
      <c r="N36" s="439" t="s">
        <v>8</v>
      </c>
      <c r="O36" s="1423" t="s">
        <v>1987</v>
      </c>
      <c r="P36" s="1424"/>
      <c r="Q36" s="638"/>
      <c r="R36" s="638"/>
      <c r="S36" s="638"/>
    </row>
    <row r="37" spans="1:19" x14ac:dyDescent="0.3">
      <c r="A37" s="665" t="s">
        <v>76</v>
      </c>
      <c r="B37" s="180"/>
      <c r="C37" s="180"/>
      <c r="D37" s="185" t="s">
        <v>77</v>
      </c>
      <c r="E37" s="638"/>
      <c r="F37" s="638"/>
      <c r="H37" s="638"/>
      <c r="J37" s="638"/>
      <c r="K37" s="638"/>
      <c r="L37" s="638"/>
      <c r="M37" s="638"/>
      <c r="Q37" s="638"/>
      <c r="R37" s="638"/>
      <c r="S37" s="638"/>
    </row>
    <row r="38" spans="1:19" x14ac:dyDescent="0.3">
      <c r="A38" s="665" t="s">
        <v>79</v>
      </c>
      <c r="B38" s="180"/>
      <c r="C38" s="180"/>
      <c r="D38" s="185" t="s">
        <v>80</v>
      </c>
      <c r="E38" s="638"/>
      <c r="F38" s="638"/>
      <c r="H38" s="638"/>
      <c r="J38" s="638"/>
      <c r="K38" s="638"/>
      <c r="L38" s="638"/>
      <c r="M38" s="638"/>
      <c r="Q38" s="638"/>
      <c r="R38" s="638"/>
      <c r="S38" s="638"/>
    </row>
  </sheetData>
  <mergeCells count="30">
    <mergeCell ref="A6:S6"/>
    <mergeCell ref="A7:S7"/>
    <mergeCell ref="B8:J8"/>
    <mergeCell ref="K8:M9"/>
    <mergeCell ref="Q8:S9"/>
    <mergeCell ref="B9:J9"/>
    <mergeCell ref="N8:P9"/>
    <mergeCell ref="A1:S1"/>
    <mergeCell ref="A2:S2"/>
    <mergeCell ref="A3:S3"/>
    <mergeCell ref="A4:S4"/>
    <mergeCell ref="A5:S5"/>
    <mergeCell ref="A19:A21"/>
    <mergeCell ref="B19:B21"/>
    <mergeCell ref="J19:J21"/>
    <mergeCell ref="A11:A13"/>
    <mergeCell ref="B11:B13"/>
    <mergeCell ref="J11:J13"/>
    <mergeCell ref="A14:A16"/>
    <mergeCell ref="B14:B16"/>
    <mergeCell ref="J14:J16"/>
    <mergeCell ref="A17:A18"/>
    <mergeCell ref="B17:B18"/>
    <mergeCell ref="J17:J18"/>
    <mergeCell ref="O34:P34"/>
    <mergeCell ref="O35:P35"/>
    <mergeCell ref="O36:P36"/>
    <mergeCell ref="L33:M33"/>
    <mergeCell ref="L34:M34"/>
    <mergeCell ref="L35:M35"/>
  </mergeCells>
  <pageMargins left="0.7" right="0.7" top="0.75" bottom="0.75" header="0.3" footer="0.3"/>
  <pageSetup paperSize="9" scale="38" orientation="landscape"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2">
    <tabColor theme="1"/>
  </sheetPr>
  <dimension ref="A1:G49"/>
  <sheetViews>
    <sheetView topLeftCell="A13" zoomScaleNormal="100" zoomScaleSheetLayoutView="80" workbookViewId="0">
      <selection activeCell="A36" sqref="A36:G3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RESUMEN!G125</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RESUMEN!B125</f>
        <v>D00249389</v>
      </c>
      <c r="C7" s="1265"/>
      <c r="D7" s="1177"/>
      <c r="E7" s="1266" t="s">
        <v>627</v>
      </c>
      <c r="F7" s="1267"/>
      <c r="G7" s="280" t="str">
        <f>RESUMEN!E125</f>
        <v>17-413</v>
      </c>
    </row>
    <row r="8" spans="1:7" x14ac:dyDescent="0.25">
      <c r="A8" s="271" t="s">
        <v>628</v>
      </c>
      <c r="B8" s="1264" t="str">
        <f>RESUMEN!C125</f>
        <v>D0024938900</v>
      </c>
      <c r="C8" s="1265"/>
      <c r="D8" s="1177"/>
      <c r="E8" s="1266" t="s">
        <v>629</v>
      </c>
      <c r="F8" s="1267"/>
      <c r="G8" s="280" t="str">
        <f>RESUMEN!U125</f>
        <v>Acta N° 2: Febrero</v>
      </c>
    </row>
    <row r="9" spans="1:7" x14ac:dyDescent="0.25">
      <c r="A9" s="271" t="s">
        <v>630</v>
      </c>
      <c r="B9" s="1283" t="s">
        <v>631</v>
      </c>
      <c r="C9" s="1265"/>
      <c r="D9" s="1177"/>
      <c r="E9" s="1266" t="s">
        <v>632</v>
      </c>
      <c r="F9" s="1267"/>
      <c r="G9" s="1178">
        <f>RESUMEN!H125</f>
        <v>2115504</v>
      </c>
    </row>
    <row r="10" spans="1:7" x14ac:dyDescent="0.25">
      <c r="A10" s="271" t="s">
        <v>633</v>
      </c>
      <c r="B10" s="1283" t="str">
        <f>RESUMEN!D125</f>
        <v>SALITRE</v>
      </c>
      <c r="C10" s="1265"/>
      <c r="D10" s="1177"/>
      <c r="E10" s="1266" t="s">
        <v>634</v>
      </c>
      <c r="F10" s="1267"/>
      <c r="G10" s="1178">
        <f>RESUMEN!R125</f>
        <v>1502669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",RESUMEN!G125)</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RESUMEN!N125</f>
        <v>1480462</v>
      </c>
      <c r="F19" s="1248"/>
      <c r="G19" s="1177"/>
    </row>
    <row r="20" spans="1:7" ht="27" customHeight="1" x14ac:dyDescent="0.25">
      <c r="A20" s="1177"/>
      <c r="B20" s="1244" t="s">
        <v>1498</v>
      </c>
      <c r="C20" s="1245"/>
      <c r="D20" s="1246"/>
      <c r="E20" s="1247">
        <f>RESUMEN!P125</f>
        <v>0</v>
      </c>
      <c r="F20" s="1248"/>
      <c r="G20" s="1177"/>
    </row>
    <row r="21" spans="1:7" ht="27" customHeight="1" x14ac:dyDescent="0.25">
      <c r="A21" s="1177"/>
      <c r="B21" s="1244" t="s">
        <v>1499</v>
      </c>
      <c r="C21" s="1245"/>
      <c r="D21" s="1246"/>
      <c r="E21" s="1247">
        <f>RESUMEN!Q125</f>
        <v>22207</v>
      </c>
      <c r="F21" s="1248"/>
      <c r="G21" s="1177"/>
    </row>
    <row r="22" spans="1:7" x14ac:dyDescent="0.25">
      <c r="A22" s="1177"/>
      <c r="B22" s="1254" t="s">
        <v>64</v>
      </c>
      <c r="C22" s="1254"/>
      <c r="D22" s="1254"/>
      <c r="E22" s="1255">
        <f>RESUMEN!R125</f>
        <v>1502669</v>
      </c>
      <c r="F22" s="1255"/>
      <c r="G22" s="1177"/>
    </row>
    <row r="23" spans="1:7" x14ac:dyDescent="0.25">
      <c r="A23" s="1177"/>
      <c r="B23" s="1256" t="s">
        <v>66</v>
      </c>
      <c r="C23" s="1256"/>
      <c r="D23" s="1256"/>
      <c r="E23" s="1257">
        <f>RESUMEN!S125</f>
        <v>285507.11</v>
      </c>
      <c r="F23" s="1257"/>
      <c r="G23" s="1177"/>
    </row>
    <row r="24" spans="1:7" x14ac:dyDescent="0.25">
      <c r="A24" s="1177"/>
      <c r="B24" s="1258" t="s">
        <v>1</v>
      </c>
      <c r="C24" s="1258"/>
      <c r="D24" s="1258"/>
      <c r="E24" s="1259">
        <f>RESUMEN!T125</f>
        <v>1788176.1099999999</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+'OT17-413 SALITRE MEDIDA '!N28</f>
        <v>ACTA 1</v>
      </c>
      <c r="C28" s="1253">
        <f>+'OT17-413 SALITRE MEDIDA '!O28</f>
        <v>717488</v>
      </c>
      <c r="D28" s="1253"/>
      <c r="E28" s="267">
        <f>+'OT17-413 SALITRE MEDIDA '!P28</f>
        <v>0.33915700466650028</v>
      </c>
      <c r="F28" s="1177"/>
      <c r="G28" s="1177"/>
    </row>
    <row r="29" spans="1:7" x14ac:dyDescent="0.25">
      <c r="A29" s="1177"/>
      <c r="B29" s="280" t="str">
        <f>+'OT17-413 SALITRE MEDIDA '!N29</f>
        <v>ACTA 2</v>
      </c>
      <c r="C29" s="1253">
        <f>+'OT17-413 SALITRE MEDIDA '!O29</f>
        <v>1502669</v>
      </c>
      <c r="D29" s="1253"/>
      <c r="E29" s="267">
        <f>+'OT17-413 SALITRE MEDIDA '!P29</f>
        <v>0.71031253072553868</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2220157</v>
      </c>
      <c r="D34" s="1251"/>
      <c r="E34" s="264">
        <f>SUM(E28:E33)</f>
        <v>1.0494695353920389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RESUMEN!V125</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3">
    <tabColor rgb="FF72104A"/>
  </sheetPr>
  <dimension ref="A1:S36"/>
  <sheetViews>
    <sheetView topLeftCell="C13" zoomScale="70" zoomScaleNormal="70" workbookViewId="0">
      <selection activeCell="O36" sqref="O36"/>
    </sheetView>
  </sheetViews>
  <sheetFormatPr baseColWidth="10" defaultRowHeight="14.4" x14ac:dyDescent="0.3"/>
  <cols>
    <col min="1" max="1" width="25.88671875" customWidth="1"/>
    <col min="2" max="2" width="34.6640625" customWidth="1"/>
    <col min="3" max="3" width="29" customWidth="1"/>
    <col min="4" max="4" width="26" customWidth="1"/>
    <col min="6" max="6" width="14.44140625" bestFit="1" customWidth="1"/>
    <col min="7" max="7" width="14.44140625" style="849" customWidth="1"/>
    <col min="8" max="8" width="16.5546875" bestFit="1" customWidth="1"/>
    <col min="9" max="9" width="16.6640625" style="849" bestFit="1" customWidth="1"/>
    <col min="10" max="10" width="50.5546875" customWidth="1"/>
    <col min="11" max="11" width="16.33203125" hidden="1" customWidth="1"/>
    <col min="12" max="12" width="15" hidden="1" customWidth="1"/>
    <col min="13" max="13" width="0" hidden="1" customWidth="1"/>
    <col min="14" max="14" width="16.33203125" style="849" bestFit="1" customWidth="1"/>
    <col min="15" max="15" width="15" style="849" bestFit="1" customWidth="1"/>
    <col min="16" max="16" width="11.44140625" style="849"/>
    <col min="18" max="18" width="15" bestFit="1"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x14ac:dyDescent="0.3">
      <c r="A4" s="1291" t="s">
        <v>1745</v>
      </c>
      <c r="B4" s="1292"/>
      <c r="C4" s="1292"/>
      <c r="D4" s="1292"/>
      <c r="E4" s="1292"/>
      <c r="F4" s="1292"/>
      <c r="G4" s="1292"/>
      <c r="H4" s="1292"/>
      <c r="I4" s="1292"/>
      <c r="J4" s="1292"/>
      <c r="K4" s="1292"/>
      <c r="L4" s="1292"/>
      <c r="M4" s="1292"/>
      <c r="N4" s="1292"/>
      <c r="O4" s="1292"/>
      <c r="P4" s="1292"/>
      <c r="Q4" s="1292"/>
      <c r="R4" s="1292"/>
      <c r="S4" s="1292"/>
    </row>
    <row r="5" spans="1:19" x14ac:dyDescent="0.3">
      <c r="A5" s="1292" t="s">
        <v>2095</v>
      </c>
      <c r="B5" s="1292"/>
      <c r="C5" s="1292"/>
      <c r="D5" s="1292"/>
      <c r="E5" s="1292"/>
      <c r="F5" s="1292"/>
      <c r="G5" s="1292"/>
      <c r="H5" s="1292"/>
      <c r="I5" s="1292"/>
      <c r="J5" s="1292"/>
      <c r="K5" s="1292"/>
      <c r="L5" s="1292"/>
      <c r="M5" s="1292"/>
      <c r="N5" s="1292"/>
      <c r="O5" s="1292"/>
      <c r="P5" s="1292"/>
      <c r="Q5" s="1292"/>
      <c r="R5" s="1292"/>
      <c r="S5" s="1292"/>
    </row>
    <row r="6" spans="1:19" x14ac:dyDescent="0.3">
      <c r="A6" s="1292" t="s">
        <v>2087</v>
      </c>
      <c r="B6" s="1292"/>
      <c r="C6" s="1292"/>
      <c r="D6" s="1292"/>
      <c r="E6" s="1292"/>
      <c r="F6" s="1292"/>
      <c r="G6" s="1292"/>
      <c r="H6" s="1292"/>
      <c r="I6" s="1292"/>
      <c r="J6" s="1292"/>
      <c r="K6" s="1292"/>
      <c r="L6" s="1292"/>
      <c r="M6" s="1292"/>
      <c r="N6" s="1292"/>
      <c r="O6" s="1292"/>
      <c r="P6" s="1292"/>
      <c r="Q6" s="1292"/>
      <c r="R6" s="1292"/>
      <c r="S6" s="1292"/>
    </row>
    <row r="7" spans="1:19" x14ac:dyDescent="0.3">
      <c r="A7" s="1292" t="s">
        <v>1834</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1744</v>
      </c>
      <c r="L8" s="1294"/>
      <c r="M8" s="1295"/>
      <c r="N8" s="1293" t="s">
        <v>2094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45" customHeight="1" x14ac:dyDescent="0.3">
      <c r="A11" s="1290" t="s">
        <v>1835</v>
      </c>
      <c r="B11" s="1289" t="s">
        <v>170</v>
      </c>
      <c r="C11" s="636" t="s">
        <v>83</v>
      </c>
      <c r="D11" s="636" t="s">
        <v>123</v>
      </c>
      <c r="E11" s="636">
        <v>0</v>
      </c>
      <c r="F11" s="32">
        <v>1044658</v>
      </c>
      <c r="G11" s="32">
        <f>+ROUND(F11*1.051,0)</f>
        <v>1097936</v>
      </c>
      <c r="H11" s="32">
        <f>ROUND((E11*F11),0)</f>
        <v>0</v>
      </c>
      <c r="I11" s="32">
        <f>+ROUND(G11*E11,0)</f>
        <v>0</v>
      </c>
      <c r="J11" s="1289" t="s">
        <v>1829</v>
      </c>
      <c r="K11" s="536">
        <v>0</v>
      </c>
      <c r="L11" s="685">
        <f>ROUND(K11*F11,0)</f>
        <v>0</v>
      </c>
      <c r="M11" s="684">
        <v>0</v>
      </c>
      <c r="N11" s="799">
        <v>0</v>
      </c>
      <c r="O11" s="685">
        <f>ROUND(N11*G11,0)</f>
        <v>0</v>
      </c>
      <c r="P11" s="684">
        <v>0</v>
      </c>
      <c r="Q11" s="536">
        <f>K11+N11</f>
        <v>0</v>
      </c>
      <c r="R11" s="685">
        <f>L11+O11</f>
        <v>0</v>
      </c>
      <c r="S11" s="684">
        <v>0</v>
      </c>
    </row>
    <row r="12" spans="1:19" ht="43.2" x14ac:dyDescent="0.3">
      <c r="A12" s="1289"/>
      <c r="B12" s="1289"/>
      <c r="C12" s="636" t="s">
        <v>61</v>
      </c>
      <c r="D12" s="636" t="s">
        <v>125</v>
      </c>
      <c r="E12" s="636">
        <v>0.7</v>
      </c>
      <c r="F12" s="32">
        <v>1009836</v>
      </c>
      <c r="G12" s="32">
        <f>+ROUND(F12*1.051,0)</f>
        <v>1061338</v>
      </c>
      <c r="H12" s="32">
        <f>ROUND((E12*F12),0)</f>
        <v>706885</v>
      </c>
      <c r="I12" s="32">
        <f>+ROUND(G12*E12,0)</f>
        <v>742937</v>
      </c>
      <c r="J12" s="1289"/>
      <c r="K12" s="537">
        <v>0.7</v>
      </c>
      <c r="L12" s="752">
        <f>ROUND(K12*F12,0)</f>
        <v>706885</v>
      </c>
      <c r="M12" s="753">
        <f>L12/H12</f>
        <v>1</v>
      </c>
      <c r="N12" s="799">
        <v>0</v>
      </c>
      <c r="O12" s="685">
        <f>ROUND(N12*G12,0)</f>
        <v>0</v>
      </c>
      <c r="P12" s="684">
        <f>+O12/I12</f>
        <v>0</v>
      </c>
      <c r="Q12" s="799">
        <f>K12+N12</f>
        <v>0.7</v>
      </c>
      <c r="R12" s="685">
        <f>L12+O12</f>
        <v>706885</v>
      </c>
      <c r="S12" s="684">
        <f>R12/H12</f>
        <v>1</v>
      </c>
    </row>
    <row r="13" spans="1:19" x14ac:dyDescent="0.3">
      <c r="A13" s="1289"/>
      <c r="B13" s="1289"/>
      <c r="C13" s="39"/>
      <c r="D13" s="39" t="s">
        <v>126</v>
      </c>
      <c r="E13" s="41"/>
      <c r="F13" s="41"/>
      <c r="G13" s="41"/>
      <c r="H13" s="42">
        <f>SUM(H11:H12)</f>
        <v>706885</v>
      </c>
      <c r="I13" s="42">
        <f>SUM(I11:I12)</f>
        <v>742937</v>
      </c>
      <c r="J13" s="1289"/>
      <c r="K13" s="41"/>
      <c r="L13" s="683">
        <f>SUM(L11:L12)</f>
        <v>706885</v>
      </c>
      <c r="M13" s="519">
        <f>L13/H13</f>
        <v>1</v>
      </c>
      <c r="N13" s="41"/>
      <c r="O13" s="683">
        <f>SUM(O11:O12)</f>
        <v>0</v>
      </c>
      <c r="P13" s="519">
        <f>O13/I13</f>
        <v>0</v>
      </c>
      <c r="Q13" s="40"/>
      <c r="R13" s="683">
        <f>SUM(R11:R12)</f>
        <v>706885</v>
      </c>
      <c r="S13" s="519">
        <f>R13/H13</f>
        <v>1</v>
      </c>
    </row>
    <row r="14" spans="1:19" ht="90" customHeight="1" x14ac:dyDescent="0.3">
      <c r="A14" s="1290" t="s">
        <v>1835</v>
      </c>
      <c r="B14" s="1289" t="s">
        <v>282</v>
      </c>
      <c r="C14" s="636" t="s">
        <v>81</v>
      </c>
      <c r="D14" s="636" t="s">
        <v>105</v>
      </c>
      <c r="E14" s="636">
        <v>0</v>
      </c>
      <c r="F14" s="32">
        <v>417863</v>
      </c>
      <c r="G14" s="32">
        <f>+ROUND(F14*1.051,0)</f>
        <v>439174</v>
      </c>
      <c r="H14" s="32">
        <f>ROUND((E14*F14),0)</f>
        <v>0</v>
      </c>
      <c r="I14" s="32">
        <f t="shared" ref="I14:I15" si="0">+ROUND(G14*E14,0)</f>
        <v>0</v>
      </c>
      <c r="J14" s="1289" t="s">
        <v>1830</v>
      </c>
      <c r="K14" s="536">
        <v>0</v>
      </c>
      <c r="L14" s="685">
        <f>ROUND(K14*F14,0)</f>
        <v>0</v>
      </c>
      <c r="M14" s="684">
        <v>0</v>
      </c>
      <c r="N14" s="799">
        <v>0</v>
      </c>
      <c r="O14" s="685">
        <f t="shared" ref="O14:O15" si="1">ROUND(N14*G14,0)</f>
        <v>0</v>
      </c>
      <c r="P14" s="684">
        <v>0</v>
      </c>
      <c r="Q14" s="799">
        <f t="shared" ref="Q14:Q15" si="2">K14+N14</f>
        <v>0</v>
      </c>
      <c r="R14" s="685">
        <f t="shared" ref="R14:R15" si="3">L14+O14</f>
        <v>0</v>
      </c>
      <c r="S14" s="684">
        <v>0</v>
      </c>
    </row>
    <row r="15" spans="1:19" ht="90" customHeight="1" x14ac:dyDescent="0.3">
      <c r="A15" s="1289"/>
      <c r="B15" s="1289"/>
      <c r="C15" s="636" t="s">
        <v>83</v>
      </c>
      <c r="D15" s="636" t="s">
        <v>107</v>
      </c>
      <c r="E15" s="636">
        <v>8.4000000000000005E-2</v>
      </c>
      <c r="F15" s="32">
        <v>1845563</v>
      </c>
      <c r="G15" s="32">
        <f>+ROUND(F15*1.051,0)</f>
        <v>1939687</v>
      </c>
      <c r="H15" s="32">
        <f>ROUND((E15*F15),0)</f>
        <v>155027</v>
      </c>
      <c r="I15" s="32">
        <f t="shared" si="0"/>
        <v>162934</v>
      </c>
      <c r="J15" s="1289"/>
      <c r="K15" s="536">
        <v>0</v>
      </c>
      <c r="L15" s="685">
        <f>ROUND(K15*F15,0)</f>
        <v>0</v>
      </c>
      <c r="M15" s="684">
        <f>L15/H15</f>
        <v>0</v>
      </c>
      <c r="N15" s="537">
        <v>8.4000000000000005E-2</v>
      </c>
      <c r="O15" s="752">
        <f t="shared" si="1"/>
        <v>162934</v>
      </c>
      <c r="P15" s="753">
        <f t="shared" ref="P15" si="4">+O15/I15</f>
        <v>1</v>
      </c>
      <c r="Q15" s="799">
        <f t="shared" si="2"/>
        <v>8.4000000000000005E-2</v>
      </c>
      <c r="R15" s="685">
        <f t="shared" si="3"/>
        <v>162934</v>
      </c>
      <c r="S15" s="684">
        <f>R15/H15</f>
        <v>1.0510040186548151</v>
      </c>
    </row>
    <row r="16" spans="1:19"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162934</v>
      </c>
      <c r="P16" s="519">
        <f>O16/I16</f>
        <v>1</v>
      </c>
      <c r="Q16" s="40"/>
      <c r="R16" s="683">
        <f>SUM(R14:R15)</f>
        <v>162934</v>
      </c>
      <c r="S16" s="519">
        <f>R16/H16</f>
        <v>1.0510040186548151</v>
      </c>
    </row>
    <row r="17" spans="1:19" ht="45" customHeight="1" x14ac:dyDescent="0.3">
      <c r="A17" s="1289" t="s">
        <v>175</v>
      </c>
      <c r="B17" s="1289" t="s">
        <v>194</v>
      </c>
      <c r="C17" s="636" t="s">
        <v>160</v>
      </c>
      <c r="D17" s="636" t="s">
        <v>161</v>
      </c>
      <c r="E17" s="636">
        <v>18</v>
      </c>
      <c r="F17" s="32">
        <v>69644</v>
      </c>
      <c r="G17" s="32">
        <f>+ROUND(F17*1.051,0)</f>
        <v>73196</v>
      </c>
      <c r="H17" s="32">
        <f>ROUND((E17*F17),0)</f>
        <v>1253592</v>
      </c>
      <c r="I17" s="32">
        <f>+ROUND(G17*E17,0)</f>
        <v>1317528</v>
      </c>
      <c r="J17" s="1290" t="s">
        <v>1831</v>
      </c>
      <c r="K17" s="536">
        <v>0</v>
      </c>
      <c r="L17" s="685">
        <f>ROUND(K17*F17,0)</f>
        <v>0</v>
      </c>
      <c r="M17" s="684">
        <f>L17/H17</f>
        <v>0</v>
      </c>
      <c r="N17" s="537">
        <v>18</v>
      </c>
      <c r="O17" s="752">
        <f t="shared" ref="O17" si="5">ROUND(N17*G17,0)</f>
        <v>1317528</v>
      </c>
      <c r="P17" s="753">
        <f t="shared" ref="P17" si="6">+O17/I17</f>
        <v>1</v>
      </c>
      <c r="Q17" s="799">
        <f>K17+N17</f>
        <v>18</v>
      </c>
      <c r="R17" s="685">
        <f>L17+O17</f>
        <v>1317528</v>
      </c>
      <c r="S17" s="684">
        <f>R17/H17</f>
        <v>1.0510022399632417</v>
      </c>
    </row>
    <row r="18" spans="1:19"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1317528</v>
      </c>
      <c r="P18" s="519">
        <f>O18/I18</f>
        <v>1</v>
      </c>
      <c r="Q18" s="40"/>
      <c r="R18" s="683">
        <f>SUM(R17:R17)</f>
        <v>1317528</v>
      </c>
      <c r="S18" s="519">
        <f>R18/H18</f>
        <v>1.0510022399632417</v>
      </c>
    </row>
    <row r="19" spans="1:19" x14ac:dyDescent="0.3">
      <c r="A19" s="638"/>
      <c r="B19" s="638"/>
      <c r="C19" s="638"/>
      <c r="D19" s="638"/>
      <c r="E19" s="638"/>
      <c r="F19" s="686" t="s">
        <v>1740</v>
      </c>
      <c r="G19" s="686"/>
      <c r="H19" s="687">
        <f>H13+H16+H18</f>
        <v>2115504</v>
      </c>
      <c r="I19" s="687">
        <f>I13+I16+I18</f>
        <v>2223399</v>
      </c>
      <c r="J19" s="638"/>
      <c r="K19" s="547" t="s">
        <v>64</v>
      </c>
      <c r="L19" s="688">
        <f>SUM(L11:L18)/2</f>
        <v>706885</v>
      </c>
      <c r="M19" s="638"/>
      <c r="N19" s="547" t="s">
        <v>64</v>
      </c>
      <c r="O19" s="688">
        <f>SUM(O11:O18)/2</f>
        <v>1480462</v>
      </c>
      <c r="Q19" s="547" t="s">
        <v>64</v>
      </c>
      <c r="R19" s="688">
        <f>SUM(R11:R18)/2</f>
        <v>2187347</v>
      </c>
      <c r="S19" s="638"/>
    </row>
    <row r="20" spans="1:19" ht="26.4" x14ac:dyDescent="0.3">
      <c r="A20" s="638"/>
      <c r="B20" s="638"/>
      <c r="C20" s="638"/>
      <c r="D20" s="638"/>
      <c r="E20" s="638"/>
      <c r="F20" s="444" t="s">
        <v>65</v>
      </c>
      <c r="G20" s="444"/>
      <c r="H20" s="181">
        <v>0</v>
      </c>
      <c r="I20" s="181">
        <v>0</v>
      </c>
      <c r="J20" s="638"/>
      <c r="K20" s="548" t="s">
        <v>65</v>
      </c>
      <c r="L20" s="682">
        <v>0</v>
      </c>
      <c r="M20" s="638"/>
      <c r="N20" s="548" t="s">
        <v>65</v>
      </c>
      <c r="O20" s="682">
        <v>0</v>
      </c>
      <c r="Q20" s="548" t="s">
        <v>65</v>
      </c>
      <c r="R20" s="682">
        <v>0</v>
      </c>
      <c r="S20" s="638"/>
    </row>
    <row r="21" spans="1:19" x14ac:dyDescent="0.3">
      <c r="A21" s="638"/>
      <c r="B21" s="638"/>
      <c r="C21" s="638"/>
      <c r="D21" s="638"/>
      <c r="E21" s="638"/>
      <c r="F21" s="443" t="s">
        <v>1740</v>
      </c>
      <c r="G21" s="443"/>
      <c r="H21" s="340">
        <f>+H20+H19</f>
        <v>2115504</v>
      </c>
      <c r="I21" s="340">
        <f>+I20+I19</f>
        <v>2223399</v>
      </c>
      <c r="J21" s="638"/>
      <c r="K21" s="549" t="s">
        <v>64</v>
      </c>
      <c r="L21" s="481">
        <f>L19+L20</f>
        <v>706885</v>
      </c>
      <c r="M21" s="638"/>
      <c r="N21" s="549" t="s">
        <v>64</v>
      </c>
      <c r="O21" s="481">
        <f>O19+O20</f>
        <v>1480462</v>
      </c>
      <c r="Q21" s="549" t="s">
        <v>64</v>
      </c>
      <c r="R21" s="481">
        <f>R19+R20</f>
        <v>2187347</v>
      </c>
      <c r="S21" s="638"/>
    </row>
    <row r="22" spans="1:19" ht="26.4" x14ac:dyDescent="0.3">
      <c r="A22" s="638"/>
      <c r="B22" s="638"/>
      <c r="C22" s="638"/>
      <c r="D22" s="638"/>
      <c r="E22" s="638"/>
      <c r="F22" s="659"/>
      <c r="G22" s="659"/>
      <c r="H22" s="659"/>
      <c r="I22" s="659"/>
      <c r="J22" s="638"/>
      <c r="K22" s="501" t="s">
        <v>1439</v>
      </c>
      <c r="L22" s="481">
        <f>ROUND(L21*0.015,0)</f>
        <v>10603</v>
      </c>
      <c r="M22" s="638"/>
      <c r="N22" s="501" t="s">
        <v>1439</v>
      </c>
      <c r="O22" s="481">
        <f>ROUND(O21*0.015,0)</f>
        <v>22207</v>
      </c>
      <c r="Q22" s="501" t="s">
        <v>1439</v>
      </c>
      <c r="R22" s="481">
        <f>+O22+L22</f>
        <v>32810</v>
      </c>
      <c r="S22" s="638"/>
    </row>
    <row r="23" spans="1:19" ht="39.6" x14ac:dyDescent="0.3">
      <c r="A23" s="638"/>
      <c r="B23" s="638"/>
      <c r="C23" s="638"/>
      <c r="D23" s="638"/>
      <c r="E23" s="638"/>
      <c r="F23" s="659"/>
      <c r="G23" s="659"/>
      <c r="H23" s="659"/>
      <c r="I23" s="659"/>
      <c r="J23" s="638"/>
      <c r="K23" s="96" t="s">
        <v>1440</v>
      </c>
      <c r="L23" s="425">
        <f>L21+L22</f>
        <v>717488</v>
      </c>
      <c r="M23" s="678">
        <f>L23/H19</f>
        <v>0.33915700466650028</v>
      </c>
      <c r="N23" s="96" t="s">
        <v>1440</v>
      </c>
      <c r="O23" s="425">
        <f>O21+O22</f>
        <v>1502669</v>
      </c>
      <c r="P23" s="678">
        <f>O23/H19</f>
        <v>0.71031253072553868</v>
      </c>
      <c r="Q23" s="96" t="s">
        <v>1440</v>
      </c>
      <c r="R23" s="425">
        <f>R21+R22</f>
        <v>2220157</v>
      </c>
      <c r="S23" s="678">
        <f>R23/H19</f>
        <v>1.0494695353920389</v>
      </c>
    </row>
    <row r="24" spans="1:19" x14ac:dyDescent="0.3">
      <c r="A24" s="638"/>
      <c r="B24" s="638"/>
      <c r="C24" s="638"/>
      <c r="D24" s="638"/>
      <c r="E24" s="638"/>
      <c r="F24" s="442" t="s">
        <v>66</v>
      </c>
      <c r="G24" s="442"/>
      <c r="H24" s="181">
        <f>+H19*19%</f>
        <v>401945.76</v>
      </c>
      <c r="I24" s="181">
        <f>+I19*19%</f>
        <v>422445.81</v>
      </c>
      <c r="J24" s="638"/>
      <c r="K24" s="551" t="s">
        <v>66</v>
      </c>
      <c r="L24" s="672">
        <f>L23*0.19</f>
        <v>136322.72</v>
      </c>
      <c r="M24" s="638"/>
      <c r="N24" s="551" t="s">
        <v>66</v>
      </c>
      <c r="O24" s="672">
        <f>O23*0.19</f>
        <v>285507.11</v>
      </c>
      <c r="Q24" s="551" t="s">
        <v>66</v>
      </c>
      <c r="R24" s="672">
        <f>R23*0.19</f>
        <v>421829.83</v>
      </c>
      <c r="S24" s="638"/>
    </row>
    <row r="25" spans="1:19" x14ac:dyDescent="0.3">
      <c r="A25" s="638"/>
      <c r="B25" s="638"/>
      <c r="C25" s="638"/>
      <c r="D25" s="638"/>
      <c r="E25" s="638"/>
      <c r="F25" s="441" t="s">
        <v>69</v>
      </c>
      <c r="G25" s="441"/>
      <c r="H25" s="181">
        <f>+H19+H24</f>
        <v>2517449.7599999998</v>
      </c>
      <c r="I25" s="181">
        <f>+I19+I24</f>
        <v>2645844.81</v>
      </c>
      <c r="J25" s="638"/>
      <c r="K25" s="552" t="s">
        <v>69</v>
      </c>
      <c r="L25" s="672">
        <f>L23+L24</f>
        <v>853810.72</v>
      </c>
      <c r="M25" s="638"/>
      <c r="N25" s="552" t="s">
        <v>69</v>
      </c>
      <c r="O25" s="672">
        <f>O23+O24</f>
        <v>1788176.1099999999</v>
      </c>
      <c r="Q25" s="552" t="s">
        <v>69</v>
      </c>
      <c r="R25" s="672">
        <f>R23+R24</f>
        <v>2641986.83</v>
      </c>
      <c r="S25" s="638"/>
    </row>
    <row r="26" spans="1:19" x14ac:dyDescent="0.3">
      <c r="A26" s="638"/>
      <c r="B26" s="638"/>
      <c r="C26" s="638"/>
      <c r="D26" s="638"/>
      <c r="E26" s="638"/>
      <c r="F26" s="638"/>
      <c r="H26" s="638"/>
      <c r="J26" s="638"/>
      <c r="K26" s="638"/>
      <c r="L26" s="638"/>
      <c r="M26" s="638"/>
      <c r="Q26" s="638"/>
      <c r="R26" s="638"/>
      <c r="S26" s="638"/>
    </row>
    <row r="27" spans="1:19" x14ac:dyDescent="0.3">
      <c r="A27" s="665" t="s">
        <v>67</v>
      </c>
      <c r="B27" s="184"/>
      <c r="C27" s="184"/>
      <c r="D27" s="185" t="s">
        <v>68</v>
      </c>
      <c r="E27" s="638"/>
      <c r="F27" s="638"/>
      <c r="H27" s="638"/>
      <c r="J27" s="638"/>
      <c r="K27" s="186" t="s">
        <v>70</v>
      </c>
      <c r="L27" s="187" t="s">
        <v>71</v>
      </c>
      <c r="M27" s="186" t="s">
        <v>58</v>
      </c>
      <c r="N27" s="186" t="s">
        <v>70</v>
      </c>
      <c r="O27" s="187" t="s">
        <v>71</v>
      </c>
      <c r="P27" s="186" t="s">
        <v>58</v>
      </c>
      <c r="Q27" s="638"/>
      <c r="R27" s="638"/>
      <c r="S27" s="638"/>
    </row>
    <row r="28" spans="1:19" x14ac:dyDescent="0.3">
      <c r="A28" s="665"/>
      <c r="B28" s="184"/>
      <c r="C28" s="184"/>
      <c r="D28" s="185"/>
      <c r="E28" s="638"/>
      <c r="F28" s="638"/>
      <c r="H28" s="638"/>
      <c r="J28" s="638"/>
      <c r="K28" s="69" t="s">
        <v>72</v>
      </c>
      <c r="L28" s="70">
        <f>L23</f>
        <v>717488</v>
      </c>
      <c r="M28" s="360">
        <f>M23</f>
        <v>0.33915700466650028</v>
      </c>
      <c r="N28" s="69" t="s">
        <v>72</v>
      </c>
      <c r="O28" s="70">
        <f>L23</f>
        <v>717488</v>
      </c>
      <c r="P28" s="360">
        <f>M23</f>
        <v>0.33915700466650028</v>
      </c>
      <c r="Q28" s="638"/>
      <c r="R28" s="638"/>
      <c r="S28" s="638"/>
    </row>
    <row r="29" spans="1:19" s="849" customFormat="1" x14ac:dyDescent="0.3">
      <c r="A29" s="665"/>
      <c r="B29" s="184"/>
      <c r="C29" s="184"/>
      <c r="D29" s="185"/>
      <c r="K29" s="69"/>
      <c r="L29" s="70"/>
      <c r="M29" s="360"/>
      <c r="N29" s="69" t="s">
        <v>73</v>
      </c>
      <c r="O29" s="70">
        <f>+O23</f>
        <v>1502669</v>
      </c>
      <c r="P29" s="360">
        <f>+P23</f>
        <v>0.71031253072553868</v>
      </c>
    </row>
    <row r="30" spans="1:19" x14ac:dyDescent="0.3">
      <c r="A30" s="665"/>
      <c r="B30" s="184"/>
      <c r="C30" s="184"/>
      <c r="D30" s="185"/>
      <c r="E30" s="638"/>
      <c r="F30" s="638"/>
      <c r="H30" s="638"/>
      <c r="J30" s="638"/>
      <c r="K30" s="72" t="s">
        <v>1</v>
      </c>
      <c r="L30" s="105">
        <f>L28</f>
        <v>717488</v>
      </c>
      <c r="M30" s="361">
        <f>M28</f>
        <v>0.33915700466650028</v>
      </c>
      <c r="N30" s="72" t="s">
        <v>1</v>
      </c>
      <c r="O30" s="105">
        <f>SUM(O28:O29)</f>
        <v>2220157</v>
      </c>
      <c r="P30" s="361">
        <f>SUM(P28:P29)</f>
        <v>1.0494695353920389</v>
      </c>
      <c r="Q30" s="638"/>
      <c r="R30" s="638"/>
      <c r="S30" s="638"/>
    </row>
    <row r="31" spans="1:19" x14ac:dyDescent="0.3">
      <c r="A31" s="665"/>
      <c r="B31" s="184"/>
      <c r="C31" s="184"/>
      <c r="D31" s="185"/>
      <c r="E31" s="638"/>
      <c r="F31" s="638"/>
      <c r="H31" s="638"/>
      <c r="J31" s="638"/>
      <c r="K31" s="72" t="s">
        <v>9</v>
      </c>
      <c r="L31" s="1423"/>
      <c r="M31" s="1424"/>
      <c r="N31" s="72" t="s">
        <v>9</v>
      </c>
      <c r="O31" s="1423"/>
      <c r="P31" s="1424"/>
      <c r="Q31" s="638"/>
      <c r="R31" s="638"/>
      <c r="S31" s="638"/>
    </row>
    <row r="32" spans="1:19" x14ac:dyDescent="0.3">
      <c r="A32" s="665"/>
      <c r="B32" s="184"/>
      <c r="C32" s="184"/>
      <c r="D32" s="185"/>
      <c r="E32" s="638"/>
      <c r="F32" s="638"/>
      <c r="H32" s="638"/>
      <c r="J32" s="638"/>
      <c r="K32" s="440" t="s">
        <v>78</v>
      </c>
      <c r="L32" s="1423" t="s">
        <v>1986</v>
      </c>
      <c r="M32" s="1424"/>
      <c r="N32" s="440" t="s">
        <v>78</v>
      </c>
      <c r="O32" s="1423" t="s">
        <v>1986</v>
      </c>
      <c r="P32" s="1424"/>
      <c r="Q32" s="638"/>
      <c r="R32" s="638"/>
      <c r="S32" s="638"/>
    </row>
    <row r="33" spans="1:19" x14ac:dyDescent="0.3">
      <c r="A33" s="665"/>
      <c r="B33" s="184"/>
      <c r="C33" s="184"/>
      <c r="D33" s="185"/>
      <c r="E33" s="638"/>
      <c r="F33" s="638"/>
      <c r="H33" s="638"/>
      <c r="J33" s="638"/>
      <c r="K33" s="439" t="s">
        <v>8</v>
      </c>
      <c r="L33" s="1423" t="s">
        <v>1988</v>
      </c>
      <c r="M33" s="1424"/>
      <c r="N33" s="439" t="s">
        <v>8</v>
      </c>
      <c r="O33" s="1423" t="s">
        <v>1987</v>
      </c>
      <c r="P33" s="1424"/>
      <c r="Q33" s="638"/>
      <c r="R33" s="638"/>
      <c r="S33" s="638"/>
    </row>
    <row r="34" spans="1:19" x14ac:dyDescent="0.3">
      <c r="A34" s="665"/>
      <c r="B34" s="184"/>
      <c r="C34" s="184"/>
      <c r="D34" s="185" t="s">
        <v>75</v>
      </c>
      <c r="E34" s="638"/>
      <c r="F34" s="638"/>
      <c r="H34" s="638"/>
      <c r="J34" s="638"/>
      <c r="K34" s="638"/>
      <c r="L34" s="638"/>
      <c r="M34" s="638"/>
      <c r="Q34" s="638"/>
      <c r="R34" s="638"/>
      <c r="S34" s="638"/>
    </row>
    <row r="35" spans="1:19" x14ac:dyDescent="0.3">
      <c r="A35" s="665" t="s">
        <v>76</v>
      </c>
      <c r="B35" s="180"/>
      <c r="C35" s="180"/>
      <c r="D35" s="185" t="s">
        <v>77</v>
      </c>
      <c r="E35" s="638"/>
      <c r="F35" s="638"/>
      <c r="H35" s="638"/>
      <c r="J35" s="638"/>
      <c r="K35" s="638"/>
      <c r="L35" s="638"/>
      <c r="M35" s="638"/>
      <c r="Q35" s="638"/>
      <c r="R35" s="638"/>
      <c r="S35" s="638"/>
    </row>
    <row r="36" spans="1:19" x14ac:dyDescent="0.3">
      <c r="A36" s="665" t="s">
        <v>79</v>
      </c>
      <c r="B36" s="180"/>
      <c r="C36" s="180"/>
      <c r="D36" s="185" t="s">
        <v>80</v>
      </c>
      <c r="E36" s="638"/>
      <c r="F36" s="638"/>
      <c r="H36" s="638"/>
      <c r="J36" s="638"/>
      <c r="K36" s="638"/>
      <c r="L36" s="638"/>
      <c r="M36" s="638"/>
      <c r="Q36" s="638"/>
      <c r="R36" s="638"/>
      <c r="S36" s="638"/>
    </row>
  </sheetData>
  <mergeCells count="27">
    <mergeCell ref="A11:A13"/>
    <mergeCell ref="B11:B13"/>
    <mergeCell ref="J11:J13"/>
    <mergeCell ref="A1:S1"/>
    <mergeCell ref="A2:S2"/>
    <mergeCell ref="A3:S3"/>
    <mergeCell ref="A4:S4"/>
    <mergeCell ref="A5:S5"/>
    <mergeCell ref="A6:S6"/>
    <mergeCell ref="A7:S7"/>
    <mergeCell ref="B8:J8"/>
    <mergeCell ref="K8:M9"/>
    <mergeCell ref="Q8:S9"/>
    <mergeCell ref="B9:J9"/>
    <mergeCell ref="N8:P9"/>
    <mergeCell ref="A14:A16"/>
    <mergeCell ref="B14:B16"/>
    <mergeCell ref="J14:J16"/>
    <mergeCell ref="A17:A18"/>
    <mergeCell ref="B17:B18"/>
    <mergeCell ref="J17:J18"/>
    <mergeCell ref="O31:P31"/>
    <mergeCell ref="O32:P32"/>
    <mergeCell ref="O33:P33"/>
    <mergeCell ref="L31:M31"/>
    <mergeCell ref="L32:M32"/>
    <mergeCell ref="L33:M33"/>
  </mergeCell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4">
    <tabColor theme="1"/>
  </sheetPr>
  <dimension ref="A1:G49"/>
  <sheetViews>
    <sheetView topLeftCell="A13" zoomScaleNormal="100" zoomScaleSheetLayoutView="8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RESUMEN!G126</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RESUMEN!B126</f>
        <v>D00249389</v>
      </c>
      <c r="C7" s="1265"/>
      <c r="D7" s="1177"/>
      <c r="E7" s="1266" t="s">
        <v>627</v>
      </c>
      <c r="F7" s="1267"/>
      <c r="G7" s="280" t="str">
        <f>RESUMEN!E126</f>
        <v>17-414</v>
      </c>
    </row>
    <row r="8" spans="1:7" x14ac:dyDescent="0.25">
      <c r="A8" s="271" t="s">
        <v>628</v>
      </c>
      <c r="B8" s="1264" t="str">
        <f>RESUMEN!C126</f>
        <v>D0024938900</v>
      </c>
      <c r="C8" s="1265"/>
      <c r="D8" s="1177"/>
      <c r="E8" s="1266" t="s">
        <v>629</v>
      </c>
      <c r="F8" s="1267"/>
      <c r="G8" s="280" t="str">
        <f>RESUMEN!U126</f>
        <v>Acta N° 2: Febrero</v>
      </c>
    </row>
    <row r="9" spans="1:7" x14ac:dyDescent="0.25">
      <c r="A9" s="271" t="s">
        <v>630</v>
      </c>
      <c r="B9" s="1283" t="s">
        <v>631</v>
      </c>
      <c r="C9" s="1265"/>
      <c r="D9" s="1177"/>
      <c r="E9" s="1266" t="s">
        <v>632</v>
      </c>
      <c r="F9" s="1267"/>
      <c r="G9" s="1178">
        <f>RESUMEN!H126</f>
        <v>2115504</v>
      </c>
    </row>
    <row r="10" spans="1:7" x14ac:dyDescent="0.25">
      <c r="A10" s="271" t="s">
        <v>633</v>
      </c>
      <c r="B10" s="1283" t="str">
        <f>RESUMEN!D126</f>
        <v>SUBA</v>
      </c>
      <c r="C10" s="1265"/>
      <c r="D10" s="1177"/>
      <c r="E10" s="1266" t="s">
        <v>634</v>
      </c>
      <c r="F10" s="1267"/>
      <c r="G10" s="1178">
        <f>RESUMEN!R126</f>
        <v>1502669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",RESUMEN!G126)</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RESUMEN!N126</f>
        <v>1480462</v>
      </c>
      <c r="F19" s="1248"/>
      <c r="G19" s="1177"/>
    </row>
    <row r="20" spans="1:7" ht="27" customHeight="1" x14ac:dyDescent="0.25">
      <c r="A20" s="1177"/>
      <c r="B20" s="1244" t="s">
        <v>1498</v>
      </c>
      <c r="C20" s="1245"/>
      <c r="D20" s="1246"/>
      <c r="E20" s="1247">
        <f>RESUMEN!P126</f>
        <v>0</v>
      </c>
      <c r="F20" s="1248"/>
      <c r="G20" s="1177"/>
    </row>
    <row r="21" spans="1:7" ht="27" customHeight="1" x14ac:dyDescent="0.25">
      <c r="A21" s="1177"/>
      <c r="B21" s="1244" t="s">
        <v>1499</v>
      </c>
      <c r="C21" s="1245"/>
      <c r="D21" s="1246"/>
      <c r="E21" s="1247">
        <f>RESUMEN!Q126</f>
        <v>22207</v>
      </c>
      <c r="F21" s="1248"/>
      <c r="G21" s="1177"/>
    </row>
    <row r="22" spans="1:7" x14ac:dyDescent="0.25">
      <c r="A22" s="1177"/>
      <c r="B22" s="1254" t="s">
        <v>64</v>
      </c>
      <c r="C22" s="1254"/>
      <c r="D22" s="1254"/>
      <c r="E22" s="1255">
        <f>RESUMEN!R126</f>
        <v>1502669</v>
      </c>
      <c r="F22" s="1255"/>
      <c r="G22" s="1177"/>
    </row>
    <row r="23" spans="1:7" x14ac:dyDescent="0.25">
      <c r="A23" s="1177"/>
      <c r="B23" s="1256" t="s">
        <v>66</v>
      </c>
      <c r="C23" s="1256"/>
      <c r="D23" s="1256"/>
      <c r="E23" s="1257">
        <f>RESUMEN!S126</f>
        <v>285507.11</v>
      </c>
      <c r="F23" s="1257"/>
      <c r="G23" s="1177"/>
    </row>
    <row r="24" spans="1:7" x14ac:dyDescent="0.25">
      <c r="A24" s="1177"/>
      <c r="B24" s="1258" t="s">
        <v>1</v>
      </c>
      <c r="C24" s="1258"/>
      <c r="D24" s="1258"/>
      <c r="E24" s="1259">
        <f>RESUMEN!T126</f>
        <v>1788176.1099999999</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+'OT17-414 SUBA MINI  MANTIS'!N28</f>
        <v>ACTA 1</v>
      </c>
      <c r="C28" s="1253">
        <f>+'OT17-414 SUBA MINI  MANTIS'!O28</f>
        <v>717488</v>
      </c>
      <c r="D28" s="1253"/>
      <c r="E28" s="267">
        <f>+'OT17-414 SUBA MINI  MANTIS'!P28</f>
        <v>0.33915700466650028</v>
      </c>
      <c r="F28" s="1177"/>
      <c r="G28" s="1177"/>
    </row>
    <row r="29" spans="1:7" x14ac:dyDescent="0.25">
      <c r="A29" s="1177"/>
      <c r="B29" s="280" t="str">
        <f>+'OT17-414 SUBA MINI  MANTIS'!N29</f>
        <v>ACTA 2</v>
      </c>
      <c r="C29" s="1253">
        <f>+'OT17-414 SUBA MINI  MANTIS'!O29</f>
        <v>1502669</v>
      </c>
      <c r="D29" s="1253"/>
      <c r="E29" s="267">
        <f>+'OT17-414 SUBA MINI  MANTIS'!P29</f>
        <v>0.71031253072553868</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2220157</v>
      </c>
      <c r="D34" s="1251"/>
      <c r="E34" s="264">
        <f>SUM(E28:E33)</f>
        <v>1.0494695353920389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RESUMEN!V126</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5">
    <tabColor rgb="FF72104A"/>
  </sheetPr>
  <dimension ref="A1:S36"/>
  <sheetViews>
    <sheetView topLeftCell="D16" zoomScale="70" zoomScaleNormal="70" workbookViewId="0">
      <selection activeCell="N35" sqref="N35"/>
    </sheetView>
  </sheetViews>
  <sheetFormatPr baseColWidth="10" defaultRowHeight="14.4" x14ac:dyDescent="0.3"/>
  <cols>
    <col min="2" max="2" width="31.44140625" customWidth="1"/>
    <col min="3" max="3" width="29.88671875" customWidth="1"/>
    <col min="4" max="4" width="36.109375" customWidth="1"/>
    <col min="6" max="6" width="14.44140625" bestFit="1" customWidth="1"/>
    <col min="7" max="7" width="14.44140625" style="849" customWidth="1"/>
    <col min="8" max="8" width="16.5546875" bestFit="1" customWidth="1"/>
    <col min="9" max="9" width="16.6640625" style="849" bestFit="1" customWidth="1"/>
    <col min="10" max="10" width="57.6640625" customWidth="1"/>
    <col min="11" max="11" width="15.109375" hidden="1" customWidth="1"/>
    <col min="12" max="12" width="21" hidden="1" customWidth="1"/>
    <col min="13" max="13" width="18.6640625" hidden="1" customWidth="1"/>
    <col min="14" max="14" width="15.109375" style="849" customWidth="1"/>
    <col min="15" max="15" width="21" style="849" customWidth="1"/>
    <col min="16" max="16" width="18.6640625" style="849" customWidth="1"/>
    <col min="17" max="17" width="13.6640625" customWidth="1"/>
    <col min="18" max="18" width="18.5546875" customWidth="1"/>
  </cols>
  <sheetData>
    <row r="1" spans="1:19" x14ac:dyDescent="0.3">
      <c r="A1" s="1292" t="s">
        <v>43</v>
      </c>
      <c r="B1" s="1292"/>
      <c r="C1" s="1292"/>
      <c r="D1" s="1292"/>
      <c r="E1" s="1292"/>
      <c r="F1" s="1292"/>
      <c r="G1" s="1292"/>
      <c r="H1" s="1292"/>
      <c r="I1" s="1292"/>
      <c r="J1" s="1292"/>
      <c r="K1" s="1292"/>
      <c r="L1" s="1292"/>
      <c r="M1" s="1292"/>
      <c r="N1" s="1292"/>
      <c r="O1" s="1292"/>
      <c r="P1" s="1292"/>
      <c r="Q1" s="1292"/>
      <c r="R1" s="1292"/>
      <c r="S1" s="1292"/>
    </row>
    <row r="2" spans="1:19" x14ac:dyDescent="0.3">
      <c r="A2" s="1292" t="s">
        <v>44</v>
      </c>
      <c r="B2" s="1292"/>
      <c r="C2" s="1292"/>
      <c r="D2" s="1292"/>
      <c r="E2" s="1292"/>
      <c r="F2" s="1292"/>
      <c r="G2" s="1292"/>
      <c r="H2" s="1292"/>
      <c r="I2" s="1292"/>
      <c r="J2" s="1292"/>
      <c r="K2" s="1292"/>
      <c r="L2" s="1292"/>
      <c r="M2" s="1292"/>
      <c r="N2" s="1292"/>
      <c r="O2" s="1292"/>
      <c r="P2" s="1292"/>
      <c r="Q2" s="1292"/>
      <c r="R2" s="1292"/>
      <c r="S2" s="1292"/>
    </row>
    <row r="3" spans="1:19" x14ac:dyDescent="0.3">
      <c r="A3" s="1292" t="s">
        <v>45</v>
      </c>
      <c r="B3" s="1292"/>
      <c r="C3" s="1292"/>
      <c r="D3" s="1292"/>
      <c r="E3" s="1292"/>
      <c r="F3" s="1292"/>
      <c r="G3" s="1292"/>
      <c r="H3" s="1292"/>
      <c r="I3" s="1292"/>
      <c r="J3" s="1292"/>
      <c r="K3" s="1292"/>
      <c r="L3" s="1292"/>
      <c r="M3" s="1292"/>
      <c r="N3" s="1292"/>
      <c r="O3" s="1292"/>
      <c r="P3" s="1292"/>
      <c r="Q3" s="1292"/>
      <c r="R3" s="1292"/>
      <c r="S3" s="1292"/>
    </row>
    <row r="4" spans="1:19" ht="15" customHeight="1" x14ac:dyDescent="0.3">
      <c r="A4" s="1291" t="s">
        <v>1745</v>
      </c>
      <c r="B4" s="1291"/>
      <c r="C4" s="1291"/>
      <c r="D4" s="1291"/>
      <c r="E4" s="1291"/>
      <c r="F4" s="1291"/>
      <c r="G4" s="1291"/>
      <c r="H4" s="1291"/>
      <c r="I4" s="1291"/>
      <c r="J4" s="1291"/>
      <c r="K4" s="1291"/>
      <c r="L4" s="1291"/>
      <c r="M4" s="1291"/>
      <c r="N4" s="1291"/>
      <c r="O4" s="1291"/>
      <c r="P4" s="1291"/>
      <c r="Q4" s="1291"/>
      <c r="R4" s="1291"/>
      <c r="S4" s="1291"/>
    </row>
    <row r="5" spans="1:19" x14ac:dyDescent="0.3">
      <c r="A5" s="1292" t="s">
        <v>2095</v>
      </c>
      <c r="B5" s="1292"/>
      <c r="C5" s="1292"/>
      <c r="D5" s="1292"/>
      <c r="E5" s="1292"/>
      <c r="F5" s="1292"/>
      <c r="G5" s="1292"/>
      <c r="H5" s="1292"/>
      <c r="I5" s="1292"/>
      <c r="J5" s="1292"/>
      <c r="K5" s="1292"/>
      <c r="L5" s="1292"/>
      <c r="M5" s="1292"/>
      <c r="N5" s="1292"/>
      <c r="O5" s="1292"/>
      <c r="P5" s="1292"/>
      <c r="Q5" s="1292"/>
      <c r="R5" s="1292"/>
      <c r="S5" s="1292"/>
    </row>
    <row r="6" spans="1:19" x14ac:dyDescent="0.3">
      <c r="A6" s="1292" t="s">
        <v>2161</v>
      </c>
      <c r="B6" s="1292"/>
      <c r="C6" s="1292"/>
      <c r="D6" s="1292"/>
      <c r="E6" s="1292"/>
      <c r="F6" s="1292"/>
      <c r="G6" s="1292"/>
      <c r="H6" s="1292"/>
      <c r="I6" s="1292"/>
      <c r="J6" s="1292"/>
      <c r="K6" s="1292"/>
      <c r="L6" s="1292"/>
      <c r="M6" s="1292"/>
      <c r="N6" s="1292"/>
      <c r="O6" s="1292"/>
      <c r="P6" s="1292"/>
      <c r="Q6" s="1292"/>
      <c r="R6" s="1292"/>
      <c r="S6" s="1292"/>
    </row>
    <row r="7" spans="1:19" x14ac:dyDescent="0.3">
      <c r="A7" s="1292" t="s">
        <v>1836</v>
      </c>
      <c r="B7" s="1292"/>
      <c r="C7" s="1292"/>
      <c r="D7" s="1292"/>
      <c r="E7" s="1292"/>
      <c r="F7" s="1292"/>
      <c r="G7" s="1292"/>
      <c r="H7" s="1292"/>
      <c r="I7" s="1292"/>
      <c r="J7" s="1292"/>
      <c r="K7" s="1292"/>
      <c r="L7" s="1292"/>
      <c r="M7" s="1292"/>
      <c r="N7" s="1292"/>
      <c r="O7" s="1292"/>
      <c r="P7" s="1292"/>
      <c r="Q7" s="1292"/>
      <c r="R7" s="1292"/>
      <c r="S7" s="1292"/>
    </row>
    <row r="8" spans="1:19" x14ac:dyDescent="0.3">
      <c r="A8" s="637"/>
      <c r="B8" s="1301"/>
      <c r="C8" s="1313"/>
      <c r="D8" s="1313"/>
      <c r="E8" s="1313"/>
      <c r="F8" s="1313"/>
      <c r="G8" s="1313"/>
      <c r="H8" s="1313"/>
      <c r="I8" s="1313"/>
      <c r="J8" s="1313"/>
      <c r="K8" s="1293" t="s">
        <v>1980</v>
      </c>
      <c r="L8" s="1294"/>
      <c r="M8" s="1295"/>
      <c r="N8" s="1293" t="s">
        <v>2094</v>
      </c>
      <c r="O8" s="1294"/>
      <c r="P8" s="1295"/>
      <c r="Q8" s="1299" t="s">
        <v>49</v>
      </c>
      <c r="R8" s="1299"/>
      <c r="S8" s="1299"/>
    </row>
    <row r="9" spans="1:19" x14ac:dyDescent="0.3">
      <c r="A9" s="171"/>
      <c r="B9" s="1301"/>
      <c r="C9" s="1302"/>
      <c r="D9" s="1302"/>
      <c r="E9" s="1302"/>
      <c r="F9" s="1302"/>
      <c r="G9" s="1302"/>
      <c r="H9" s="1302"/>
      <c r="I9" s="1302"/>
      <c r="J9" s="1302"/>
      <c r="K9" s="1325"/>
      <c r="L9" s="1326"/>
      <c r="M9" s="1327"/>
      <c r="N9" s="1325"/>
      <c r="O9" s="1326"/>
      <c r="P9" s="1327"/>
      <c r="Q9" s="1300"/>
      <c r="R9" s="1300"/>
      <c r="S9" s="1300"/>
    </row>
    <row r="10" spans="1:19" ht="28.8" x14ac:dyDescent="0.3">
      <c r="A10" s="879" t="s">
        <v>50</v>
      </c>
      <c r="B10" s="879" t="s">
        <v>51</v>
      </c>
      <c r="C10" s="879" t="s">
        <v>52</v>
      </c>
      <c r="D10" s="879" t="s">
        <v>164</v>
      </c>
      <c r="E10" s="159" t="s">
        <v>54</v>
      </c>
      <c r="F10" s="141" t="s">
        <v>55</v>
      </c>
      <c r="G10" s="821" t="s">
        <v>2007</v>
      </c>
      <c r="H10" s="159" t="s">
        <v>56</v>
      </c>
      <c r="I10" s="822" t="s">
        <v>56</v>
      </c>
      <c r="J10" s="159" t="s">
        <v>57</v>
      </c>
      <c r="K10" s="502" t="s">
        <v>54</v>
      </c>
      <c r="L10" s="502" t="s">
        <v>56</v>
      </c>
      <c r="M10" s="502" t="s">
        <v>58</v>
      </c>
      <c r="N10" s="502" t="s">
        <v>54</v>
      </c>
      <c r="O10" s="502" t="s">
        <v>56</v>
      </c>
      <c r="P10" s="502" t="s">
        <v>58</v>
      </c>
      <c r="Q10" s="502" t="s">
        <v>54</v>
      </c>
      <c r="R10" s="502" t="s">
        <v>56</v>
      </c>
      <c r="S10" s="502" t="s">
        <v>58</v>
      </c>
    </row>
    <row r="11" spans="1:19" ht="45" customHeight="1" x14ac:dyDescent="0.3">
      <c r="A11" s="1290" t="s">
        <v>1828</v>
      </c>
      <c r="B11" s="1289" t="s">
        <v>170</v>
      </c>
      <c r="C11" s="636" t="s">
        <v>83</v>
      </c>
      <c r="D11" s="636" t="s">
        <v>123</v>
      </c>
      <c r="E11" s="636">
        <v>0</v>
      </c>
      <c r="F11" s="32">
        <v>1044658</v>
      </c>
      <c r="G11" s="32">
        <f>+ROUND(F11*1.051,0)</f>
        <v>1097936</v>
      </c>
      <c r="H11" s="32">
        <f>ROUND((E11*F11),0)</f>
        <v>0</v>
      </c>
      <c r="I11" s="32">
        <f>+ROUND(G11*E11,0)</f>
        <v>0</v>
      </c>
      <c r="J11" s="1290" t="s">
        <v>1829</v>
      </c>
      <c r="K11" s="536">
        <v>0</v>
      </c>
      <c r="L11" s="685">
        <f>ROUND(K11*F11,0)</f>
        <v>0</v>
      </c>
      <c r="M11" s="684">
        <v>0</v>
      </c>
      <c r="N11" s="799">
        <v>0</v>
      </c>
      <c r="O11" s="685">
        <f>ROUND(N11*G11,0)</f>
        <v>0</v>
      </c>
      <c r="P11" s="880">
        <v>0</v>
      </c>
      <c r="Q11" s="536">
        <f>K11+N11</f>
        <v>0</v>
      </c>
      <c r="R11" s="685">
        <f>L11+O11</f>
        <v>0</v>
      </c>
      <c r="S11" s="684">
        <v>0</v>
      </c>
    </row>
    <row r="12" spans="1:19" ht="90" customHeight="1" x14ac:dyDescent="0.3">
      <c r="A12" s="1289"/>
      <c r="B12" s="1289"/>
      <c r="C12" s="636" t="s">
        <v>61</v>
      </c>
      <c r="D12" s="636" t="s">
        <v>125</v>
      </c>
      <c r="E12" s="636">
        <v>0.7</v>
      </c>
      <c r="F12" s="32">
        <v>1009836</v>
      </c>
      <c r="G12" s="32">
        <f>+ROUND(F12*1.051,0)</f>
        <v>1061338</v>
      </c>
      <c r="H12" s="32">
        <f>ROUND((E12*F12),0)</f>
        <v>706885</v>
      </c>
      <c r="I12" s="32">
        <f>+ROUND(G12*E12,0)</f>
        <v>742937</v>
      </c>
      <c r="J12" s="1289"/>
      <c r="K12" s="537">
        <v>0.7</v>
      </c>
      <c r="L12" s="752">
        <f>ROUND(K12*F12,0)</f>
        <v>706885</v>
      </c>
      <c r="M12" s="753">
        <f>L12/H12</f>
        <v>1</v>
      </c>
      <c r="N12" s="799">
        <v>0</v>
      </c>
      <c r="O12" s="685">
        <f>ROUND(N12*G12,0)</f>
        <v>0</v>
      </c>
      <c r="P12" s="880">
        <f>+O12/I12</f>
        <v>0</v>
      </c>
      <c r="Q12" s="799">
        <f>K12+N12</f>
        <v>0.7</v>
      </c>
      <c r="R12" s="685">
        <f>L12+O12</f>
        <v>706885</v>
      </c>
      <c r="S12" s="684">
        <f>R12/H12</f>
        <v>1</v>
      </c>
    </row>
    <row r="13" spans="1:19" x14ac:dyDescent="0.3">
      <c r="A13" s="1289"/>
      <c r="B13" s="1289"/>
      <c r="C13" s="39"/>
      <c r="D13" s="39" t="s">
        <v>126</v>
      </c>
      <c r="E13" s="41"/>
      <c r="F13" s="41"/>
      <c r="G13" s="41"/>
      <c r="H13" s="42">
        <f>SUM(H11:H12)</f>
        <v>706885</v>
      </c>
      <c r="I13" s="42">
        <f>SUM(I11:I12)</f>
        <v>742937</v>
      </c>
      <c r="J13" s="1289"/>
      <c r="K13" s="41"/>
      <c r="L13" s="683">
        <f>SUM(L11:L12)</f>
        <v>706885</v>
      </c>
      <c r="M13" s="519">
        <f>L13/H13</f>
        <v>1</v>
      </c>
      <c r="N13" s="41"/>
      <c r="O13" s="683">
        <f>SUM(O11:O12)</f>
        <v>0</v>
      </c>
      <c r="P13" s="519">
        <f>O13/I13</f>
        <v>0</v>
      </c>
      <c r="Q13" s="40"/>
      <c r="R13" s="683">
        <f>SUM(R11:R12)</f>
        <v>706885</v>
      </c>
      <c r="S13" s="519">
        <f>R13/H13</f>
        <v>1</v>
      </c>
    </row>
    <row r="14" spans="1:19" ht="30" customHeight="1" x14ac:dyDescent="0.3">
      <c r="A14" s="1290" t="s">
        <v>1828</v>
      </c>
      <c r="B14" s="1289" t="s">
        <v>282</v>
      </c>
      <c r="C14" s="636" t="s">
        <v>81</v>
      </c>
      <c r="D14" s="636" t="s">
        <v>105</v>
      </c>
      <c r="E14" s="636">
        <v>0</v>
      </c>
      <c r="F14" s="32">
        <v>417863</v>
      </c>
      <c r="G14" s="32">
        <f>+ROUND(F14*1.051,0)</f>
        <v>439174</v>
      </c>
      <c r="H14" s="32">
        <f>ROUND((E14*F14),0)</f>
        <v>0</v>
      </c>
      <c r="I14" s="32">
        <f t="shared" ref="I14:I15" si="0">+ROUND(G14*E14,0)</f>
        <v>0</v>
      </c>
      <c r="J14" s="1290" t="s">
        <v>1830</v>
      </c>
      <c r="K14" s="536">
        <v>0</v>
      </c>
      <c r="L14" s="685">
        <f>ROUND(K14*F14,0)</f>
        <v>0</v>
      </c>
      <c r="M14" s="684">
        <v>0</v>
      </c>
      <c r="N14" s="799">
        <v>0</v>
      </c>
      <c r="O14" s="685">
        <f t="shared" ref="O14:O15" si="1">ROUND(N14*G14,0)</f>
        <v>0</v>
      </c>
      <c r="P14" s="880">
        <v>0</v>
      </c>
      <c r="Q14" s="799">
        <f t="shared" ref="Q14:Q15" si="2">K14+N14</f>
        <v>0</v>
      </c>
      <c r="R14" s="685">
        <f t="shared" ref="R14:R15" si="3">L14+O14</f>
        <v>0</v>
      </c>
      <c r="S14" s="684">
        <v>0</v>
      </c>
    </row>
    <row r="15" spans="1:19" ht="90" customHeight="1" x14ac:dyDescent="0.3">
      <c r="A15" s="1289"/>
      <c r="B15" s="1289"/>
      <c r="C15" s="636" t="s">
        <v>83</v>
      </c>
      <c r="D15" s="636" t="s">
        <v>107</v>
      </c>
      <c r="E15" s="636">
        <v>8.4000000000000005E-2</v>
      </c>
      <c r="F15" s="32">
        <v>1845563</v>
      </c>
      <c r="G15" s="32">
        <f>+ROUND(F15*1.051,0)</f>
        <v>1939687</v>
      </c>
      <c r="H15" s="32">
        <f>ROUND((E15*F15),0)</f>
        <v>155027</v>
      </c>
      <c r="I15" s="32">
        <f t="shared" si="0"/>
        <v>162934</v>
      </c>
      <c r="J15" s="1289"/>
      <c r="K15" s="536">
        <v>0</v>
      </c>
      <c r="L15" s="685">
        <f>ROUND(K15*F15,0)</f>
        <v>0</v>
      </c>
      <c r="M15" s="684">
        <f>L15/H15</f>
        <v>0</v>
      </c>
      <c r="N15" s="537">
        <v>8.4000000000000005E-2</v>
      </c>
      <c r="O15" s="752">
        <f t="shared" si="1"/>
        <v>162934</v>
      </c>
      <c r="P15" s="937">
        <f t="shared" ref="P15" si="4">+O15/I15</f>
        <v>1</v>
      </c>
      <c r="Q15" s="799">
        <f t="shared" si="2"/>
        <v>8.4000000000000005E-2</v>
      </c>
      <c r="R15" s="685">
        <f t="shared" si="3"/>
        <v>162934</v>
      </c>
      <c r="S15" s="684">
        <f>R15/H15</f>
        <v>1.0510040186548151</v>
      </c>
    </row>
    <row r="16" spans="1:19" x14ac:dyDescent="0.3">
      <c r="A16" s="1289"/>
      <c r="B16" s="1289"/>
      <c r="C16" s="39"/>
      <c r="D16" s="39" t="s">
        <v>108</v>
      </c>
      <c r="E16" s="41"/>
      <c r="F16" s="41"/>
      <c r="G16" s="41"/>
      <c r="H16" s="42">
        <f>SUM(H14:H15)</f>
        <v>155027</v>
      </c>
      <c r="I16" s="42">
        <f>SUM(I14:I15)</f>
        <v>162934</v>
      </c>
      <c r="J16" s="1289"/>
      <c r="K16" s="41"/>
      <c r="L16" s="683">
        <f>SUM(L14:L15)</f>
        <v>0</v>
      </c>
      <c r="M16" s="519">
        <f>L16/H16</f>
        <v>0</v>
      </c>
      <c r="N16" s="41"/>
      <c r="O16" s="683">
        <f>SUM(O14:O15)</f>
        <v>162934</v>
      </c>
      <c r="P16" s="519">
        <f>O16/I16</f>
        <v>1</v>
      </c>
      <c r="Q16" s="40"/>
      <c r="R16" s="683">
        <f>SUM(R14:R15)</f>
        <v>162934</v>
      </c>
      <c r="S16" s="519">
        <f>R16/H16</f>
        <v>1.0510040186548151</v>
      </c>
    </row>
    <row r="17" spans="1:19" ht="97.5" customHeight="1" x14ac:dyDescent="0.3">
      <c r="A17" s="1290" t="s">
        <v>1186</v>
      </c>
      <c r="B17" s="1289" t="s">
        <v>194</v>
      </c>
      <c r="C17" s="636" t="s">
        <v>160</v>
      </c>
      <c r="D17" s="636" t="s">
        <v>161</v>
      </c>
      <c r="E17" s="636">
        <v>18</v>
      </c>
      <c r="F17" s="32">
        <v>69644</v>
      </c>
      <c r="G17" s="32">
        <f>+ROUND(F17*1.051,0)</f>
        <v>73196</v>
      </c>
      <c r="H17" s="32">
        <f>ROUND((E17*F17),0)</f>
        <v>1253592</v>
      </c>
      <c r="I17" s="32">
        <f>+ROUND(G17*E17,0)</f>
        <v>1317528</v>
      </c>
      <c r="J17" s="1290" t="s">
        <v>1831</v>
      </c>
      <c r="K17" s="536">
        <v>0</v>
      </c>
      <c r="L17" s="685">
        <f>ROUND(K17*F17,0)</f>
        <v>0</v>
      </c>
      <c r="M17" s="684">
        <f>L17/H17</f>
        <v>0</v>
      </c>
      <c r="N17" s="537">
        <v>18</v>
      </c>
      <c r="O17" s="752">
        <f>ROUND(N17*G17,0)</f>
        <v>1317528</v>
      </c>
      <c r="P17" s="937">
        <f>+O17/I17</f>
        <v>1</v>
      </c>
      <c r="Q17" s="799">
        <f>K17+N17</f>
        <v>18</v>
      </c>
      <c r="R17" s="685">
        <f>L17+O17</f>
        <v>1317528</v>
      </c>
      <c r="S17" s="684">
        <f>R17/H17</f>
        <v>1.0510022399632417</v>
      </c>
    </row>
    <row r="18" spans="1:19" x14ac:dyDescent="0.3">
      <c r="A18" s="1289"/>
      <c r="B18" s="1289"/>
      <c r="C18" s="39"/>
      <c r="D18" s="39" t="s">
        <v>162</v>
      </c>
      <c r="E18" s="41"/>
      <c r="F18" s="41"/>
      <c r="G18" s="41"/>
      <c r="H18" s="42">
        <f>H17</f>
        <v>1253592</v>
      </c>
      <c r="I18" s="42">
        <f>SUM(I17)</f>
        <v>1317528</v>
      </c>
      <c r="J18" s="1289"/>
      <c r="K18" s="41"/>
      <c r="L18" s="683">
        <f>SUM(L17:L17)</f>
        <v>0</v>
      </c>
      <c r="M18" s="519">
        <f>L18/H18</f>
        <v>0</v>
      </c>
      <c r="N18" s="41"/>
      <c r="O18" s="683">
        <f>SUM(O17:O17)</f>
        <v>1317528</v>
      </c>
      <c r="P18" s="519">
        <f>O18/I18</f>
        <v>1</v>
      </c>
      <c r="Q18" s="40"/>
      <c r="R18" s="683">
        <f>SUM(R17:R17)</f>
        <v>1317528</v>
      </c>
      <c r="S18" s="519">
        <f>R18/H18</f>
        <v>1.0510022399632417</v>
      </c>
    </row>
    <row r="19" spans="1:19" x14ac:dyDescent="0.3">
      <c r="A19" s="638"/>
      <c r="B19" s="638"/>
      <c r="C19" s="638"/>
      <c r="D19" s="638"/>
      <c r="E19" s="638"/>
      <c r="F19" s="686" t="s">
        <v>1740</v>
      </c>
      <c r="G19" s="686"/>
      <c r="H19" s="687">
        <f>H13+H16+H18</f>
        <v>2115504</v>
      </c>
      <c r="I19" s="687">
        <f>I13+I16+I18</f>
        <v>2223399</v>
      </c>
      <c r="J19" s="638"/>
      <c r="K19" s="547" t="s">
        <v>64</v>
      </c>
      <c r="L19" s="688">
        <f>SUM(L11:L18)/2</f>
        <v>706885</v>
      </c>
      <c r="M19" s="638"/>
      <c r="N19" s="547" t="s">
        <v>64</v>
      </c>
      <c r="O19" s="688">
        <f>SUM(O11:O18)/2</f>
        <v>1480462</v>
      </c>
      <c r="Q19" s="547" t="s">
        <v>64</v>
      </c>
      <c r="R19" s="688">
        <f>SUM(R11:R18)/2</f>
        <v>2187347</v>
      </c>
      <c r="S19" s="638"/>
    </row>
    <row r="20" spans="1:19" ht="26.4" x14ac:dyDescent="0.3">
      <c r="A20" s="638"/>
      <c r="B20" s="638"/>
      <c r="C20" s="638"/>
      <c r="D20" s="638"/>
      <c r="E20" s="638"/>
      <c r="F20" s="444" t="s">
        <v>65</v>
      </c>
      <c r="G20" s="444"/>
      <c r="H20" s="181">
        <v>0</v>
      </c>
      <c r="I20" s="181">
        <v>0</v>
      </c>
      <c r="J20" s="638"/>
      <c r="K20" s="548" t="s">
        <v>65</v>
      </c>
      <c r="L20" s="682">
        <v>0</v>
      </c>
      <c r="M20" s="638"/>
      <c r="N20" s="548" t="s">
        <v>65</v>
      </c>
      <c r="O20" s="682">
        <v>0</v>
      </c>
      <c r="Q20" s="548" t="s">
        <v>65</v>
      </c>
      <c r="R20" s="682">
        <v>0</v>
      </c>
      <c r="S20" s="638"/>
    </row>
    <row r="21" spans="1:19" x14ac:dyDescent="0.3">
      <c r="A21" s="638"/>
      <c r="B21" s="638"/>
      <c r="C21" s="638"/>
      <c r="D21" s="638"/>
      <c r="E21" s="638"/>
      <c r="F21" s="443" t="s">
        <v>1740</v>
      </c>
      <c r="G21" s="443"/>
      <c r="H21" s="340">
        <f>+H20+H19</f>
        <v>2115504</v>
      </c>
      <c r="I21" s="340">
        <f>+I20+I19</f>
        <v>2223399</v>
      </c>
      <c r="J21" s="638"/>
      <c r="K21" s="549" t="s">
        <v>64</v>
      </c>
      <c r="L21" s="481">
        <f>L19+L20</f>
        <v>706885</v>
      </c>
      <c r="M21" s="638"/>
      <c r="N21" s="549" t="s">
        <v>64</v>
      </c>
      <c r="O21" s="481">
        <f>O19+O20</f>
        <v>1480462</v>
      </c>
      <c r="Q21" s="549" t="s">
        <v>64</v>
      </c>
      <c r="R21" s="481">
        <f>R19+R20</f>
        <v>2187347</v>
      </c>
      <c r="S21" s="638"/>
    </row>
    <row r="22" spans="1:19" ht="26.4" x14ac:dyDescent="0.3">
      <c r="A22" s="638"/>
      <c r="B22" s="638"/>
      <c r="C22" s="638"/>
      <c r="D22" s="638"/>
      <c r="E22" s="638"/>
      <c r="F22" s="659"/>
      <c r="G22" s="659"/>
      <c r="H22" s="659"/>
      <c r="I22" s="659"/>
      <c r="J22" s="638"/>
      <c r="K22" s="501" t="s">
        <v>1439</v>
      </c>
      <c r="L22" s="481">
        <f>ROUND(L21*0.015,0)</f>
        <v>10603</v>
      </c>
      <c r="M22" s="638"/>
      <c r="N22" s="501" t="s">
        <v>1439</v>
      </c>
      <c r="O22" s="481">
        <f>ROUND(O21*0.015,0)</f>
        <v>22207</v>
      </c>
      <c r="Q22" s="501" t="s">
        <v>1439</v>
      </c>
      <c r="R22" s="481">
        <f>ROUND(R21*0.015,0)</f>
        <v>32810</v>
      </c>
      <c r="S22" s="638"/>
    </row>
    <row r="23" spans="1:19" ht="39.6" x14ac:dyDescent="0.3">
      <c r="A23" s="638"/>
      <c r="B23" s="638"/>
      <c r="C23" s="638"/>
      <c r="D23" s="638"/>
      <c r="E23" s="638"/>
      <c r="F23" s="659"/>
      <c r="G23" s="659"/>
      <c r="H23" s="659"/>
      <c r="I23" s="659"/>
      <c r="J23" s="638"/>
      <c r="K23" s="96" t="s">
        <v>1440</v>
      </c>
      <c r="L23" s="425">
        <f>L21+L22</f>
        <v>717488</v>
      </c>
      <c r="M23" s="678">
        <f>L23/H21</f>
        <v>0.33915700466650028</v>
      </c>
      <c r="N23" s="96" t="s">
        <v>1440</v>
      </c>
      <c r="O23" s="783">
        <f>O21+O22</f>
        <v>1502669</v>
      </c>
      <c r="P23" s="832">
        <f>O23/H21</f>
        <v>0.71031253072553868</v>
      </c>
      <c r="Q23" s="96" t="s">
        <v>1440</v>
      </c>
      <c r="R23" s="783">
        <f>R21+R22</f>
        <v>2220157</v>
      </c>
      <c r="S23" s="832">
        <f>R23/H21</f>
        <v>1.0494695353920389</v>
      </c>
    </row>
    <row r="24" spans="1:19" x14ac:dyDescent="0.3">
      <c r="A24" s="638"/>
      <c r="B24" s="638"/>
      <c r="C24" s="638"/>
      <c r="D24" s="638"/>
      <c r="E24" s="638"/>
      <c r="F24" s="442" t="s">
        <v>66</v>
      </c>
      <c r="G24" s="442"/>
      <c r="H24" s="181">
        <f>+H19*19%</f>
        <v>401945.76</v>
      </c>
      <c r="I24" s="181">
        <f>+I19*19%</f>
        <v>422445.81</v>
      </c>
      <c r="J24" s="638"/>
      <c r="K24" s="551" t="s">
        <v>66</v>
      </c>
      <c r="L24" s="672">
        <f>L23*0.19</f>
        <v>136322.72</v>
      </c>
      <c r="M24" s="638"/>
      <c r="N24" s="551" t="s">
        <v>66</v>
      </c>
      <c r="O24" s="672">
        <f>O23*0.19</f>
        <v>285507.11</v>
      </c>
      <c r="Q24" s="551" t="s">
        <v>66</v>
      </c>
      <c r="R24" s="672">
        <f>R23*0.19</f>
        <v>421829.83</v>
      </c>
      <c r="S24" s="638"/>
    </row>
    <row r="25" spans="1:19" x14ac:dyDescent="0.3">
      <c r="A25" s="638"/>
      <c r="B25" s="638"/>
      <c r="C25" s="638"/>
      <c r="D25" s="638"/>
      <c r="E25" s="638"/>
      <c r="F25" s="441" t="s">
        <v>69</v>
      </c>
      <c r="G25" s="441"/>
      <c r="H25" s="181">
        <f>+H19+H24</f>
        <v>2517449.7599999998</v>
      </c>
      <c r="I25" s="181">
        <f>+I19+I24</f>
        <v>2645844.81</v>
      </c>
      <c r="J25" s="638"/>
      <c r="K25" s="552" t="s">
        <v>69</v>
      </c>
      <c r="L25" s="672">
        <f>L23+L24</f>
        <v>853810.72</v>
      </c>
      <c r="M25" s="638"/>
      <c r="N25" s="552" t="s">
        <v>69</v>
      </c>
      <c r="O25" s="672">
        <f>O23+O24</f>
        <v>1788176.1099999999</v>
      </c>
      <c r="Q25" s="552" t="s">
        <v>69</v>
      </c>
      <c r="R25" s="672">
        <f>R23+R24</f>
        <v>2641986.83</v>
      </c>
      <c r="S25" s="638"/>
    </row>
    <row r="26" spans="1:19" x14ac:dyDescent="0.3">
      <c r="A26" s="638"/>
      <c r="B26" s="638"/>
      <c r="C26" s="638"/>
      <c r="D26" s="638"/>
      <c r="E26" s="638"/>
      <c r="F26" s="638"/>
      <c r="H26" s="638"/>
      <c r="J26" s="638"/>
      <c r="K26" s="638"/>
      <c r="L26" s="638"/>
      <c r="M26" s="638"/>
      <c r="Q26" s="638"/>
      <c r="R26" s="638"/>
      <c r="S26" s="638"/>
    </row>
    <row r="27" spans="1:19" ht="26.4" x14ac:dyDescent="0.3">
      <c r="A27" s="665" t="s">
        <v>67</v>
      </c>
      <c r="B27" s="184"/>
      <c r="C27" s="184"/>
      <c r="D27" s="185" t="s">
        <v>68</v>
      </c>
      <c r="E27" s="638"/>
      <c r="F27" s="638"/>
      <c r="H27" s="638"/>
      <c r="J27" s="638"/>
      <c r="K27" s="186" t="s">
        <v>70</v>
      </c>
      <c r="L27" s="187" t="s">
        <v>71</v>
      </c>
      <c r="M27" s="186" t="s">
        <v>58</v>
      </c>
      <c r="N27" s="186" t="s">
        <v>70</v>
      </c>
      <c r="O27" s="187" t="s">
        <v>71</v>
      </c>
      <c r="P27" s="186" t="s">
        <v>58</v>
      </c>
      <c r="Q27" s="638"/>
      <c r="R27" s="638"/>
      <c r="S27" s="638"/>
    </row>
    <row r="28" spans="1:19" x14ac:dyDescent="0.3">
      <c r="A28" s="665"/>
      <c r="B28" s="184"/>
      <c r="C28" s="184"/>
      <c r="D28" s="185"/>
      <c r="E28" s="638"/>
      <c r="F28" s="638"/>
      <c r="H28" s="638"/>
      <c r="J28" s="638"/>
      <c r="K28" s="69" t="s">
        <v>72</v>
      </c>
      <c r="L28" s="70">
        <f>L23</f>
        <v>717488</v>
      </c>
      <c r="M28" s="360">
        <f>M23</f>
        <v>0.33915700466650028</v>
      </c>
      <c r="N28" s="69" t="s">
        <v>72</v>
      </c>
      <c r="O28" s="70">
        <f>L23</f>
        <v>717488</v>
      </c>
      <c r="P28" s="360">
        <f>M23</f>
        <v>0.33915700466650028</v>
      </c>
      <c r="Q28" s="638"/>
      <c r="R28" s="638"/>
      <c r="S28" s="638"/>
    </row>
    <row r="29" spans="1:19" s="849" customFormat="1" x14ac:dyDescent="0.3">
      <c r="A29" s="665"/>
      <c r="B29" s="184"/>
      <c r="C29" s="184"/>
      <c r="D29" s="185"/>
      <c r="K29" s="69"/>
      <c r="L29" s="70"/>
      <c r="M29" s="360"/>
      <c r="N29" s="69" t="s">
        <v>73</v>
      </c>
      <c r="O29" s="70">
        <f>+O23</f>
        <v>1502669</v>
      </c>
      <c r="P29" s="360">
        <f>+P23</f>
        <v>0.71031253072553868</v>
      </c>
    </row>
    <row r="30" spans="1:19" x14ac:dyDescent="0.3">
      <c r="A30" s="665"/>
      <c r="B30" s="184"/>
      <c r="C30" s="184"/>
      <c r="D30" s="185"/>
      <c r="E30" s="638"/>
      <c r="F30" s="638"/>
      <c r="H30" s="638"/>
      <c r="J30" s="638"/>
      <c r="K30" s="72" t="s">
        <v>1</v>
      </c>
      <c r="L30" s="105">
        <f>L28</f>
        <v>717488</v>
      </c>
      <c r="M30" s="361">
        <f>M28</f>
        <v>0.33915700466650028</v>
      </c>
      <c r="N30" s="72" t="s">
        <v>1</v>
      </c>
      <c r="O30" s="105">
        <f>O28</f>
        <v>717488</v>
      </c>
      <c r="P30" s="361">
        <f>P28+P29</f>
        <v>1.0494695353920389</v>
      </c>
      <c r="Q30" s="638"/>
      <c r="R30" s="638"/>
      <c r="S30" s="638"/>
    </row>
    <row r="31" spans="1:19" x14ac:dyDescent="0.3">
      <c r="A31" s="665"/>
      <c r="B31" s="184"/>
      <c r="C31" s="184"/>
      <c r="D31" s="185"/>
      <c r="E31" s="638"/>
      <c r="F31" s="638"/>
      <c r="H31" s="638"/>
      <c r="J31" s="638"/>
      <c r="K31" s="72" t="s">
        <v>9</v>
      </c>
      <c r="L31" s="1423"/>
      <c r="M31" s="1424"/>
      <c r="N31" s="72" t="s">
        <v>9</v>
      </c>
      <c r="O31" s="1423"/>
      <c r="P31" s="1424"/>
      <c r="Q31" s="638"/>
      <c r="R31" s="638"/>
      <c r="S31" s="638"/>
    </row>
    <row r="32" spans="1:19" x14ac:dyDescent="0.3">
      <c r="A32" s="665"/>
      <c r="B32" s="184"/>
      <c r="C32" s="184"/>
      <c r="D32" s="185"/>
      <c r="E32" s="638"/>
      <c r="F32" s="638"/>
      <c r="H32" s="638"/>
      <c r="J32" s="638"/>
      <c r="K32" s="440" t="s">
        <v>78</v>
      </c>
      <c r="L32" s="1423" t="s">
        <v>1986</v>
      </c>
      <c r="M32" s="1424"/>
      <c r="N32" s="440" t="s">
        <v>78</v>
      </c>
      <c r="O32" s="1423" t="s">
        <v>1986</v>
      </c>
      <c r="P32" s="1424"/>
      <c r="Q32" s="638"/>
      <c r="R32" s="638"/>
      <c r="S32" s="638"/>
    </row>
    <row r="33" spans="1:19" x14ac:dyDescent="0.3">
      <c r="A33" s="665"/>
      <c r="B33" s="184"/>
      <c r="C33" s="184"/>
      <c r="D33" s="185"/>
      <c r="E33" s="638"/>
      <c r="F33" s="638"/>
      <c r="H33" s="638"/>
      <c r="J33" s="638"/>
      <c r="K33" s="439" t="s">
        <v>8</v>
      </c>
      <c r="L33" s="1423" t="s">
        <v>1988</v>
      </c>
      <c r="M33" s="1424"/>
      <c r="N33" s="439" t="s">
        <v>8</v>
      </c>
      <c r="O33" s="1423" t="s">
        <v>1987</v>
      </c>
      <c r="P33" s="1424"/>
      <c r="Q33" s="638"/>
      <c r="R33" s="638"/>
      <c r="S33" s="638"/>
    </row>
    <row r="34" spans="1:19" x14ac:dyDescent="0.3">
      <c r="A34" s="665"/>
      <c r="B34" s="184"/>
      <c r="C34" s="184"/>
      <c r="D34" s="185" t="s">
        <v>75</v>
      </c>
      <c r="E34" s="638"/>
      <c r="F34" s="638"/>
      <c r="H34" s="638"/>
      <c r="J34" s="638"/>
      <c r="K34" s="638"/>
      <c r="L34" s="638"/>
      <c r="M34" s="638"/>
      <c r="Q34" s="638"/>
      <c r="R34" s="638"/>
      <c r="S34" s="638"/>
    </row>
    <row r="35" spans="1:19" x14ac:dyDescent="0.3">
      <c r="A35" s="665" t="s">
        <v>76</v>
      </c>
      <c r="B35" s="180"/>
      <c r="C35" s="180"/>
      <c r="D35" s="185" t="s">
        <v>77</v>
      </c>
      <c r="E35" s="638"/>
      <c r="F35" s="638"/>
      <c r="H35" s="638"/>
      <c r="J35" s="638"/>
      <c r="K35" s="638"/>
      <c r="L35" s="638"/>
      <c r="M35" s="638"/>
      <c r="Q35" s="638"/>
      <c r="R35" s="638"/>
      <c r="S35" s="638"/>
    </row>
    <row r="36" spans="1:19" ht="26.4" x14ac:dyDescent="0.3">
      <c r="A36" s="665" t="s">
        <v>79</v>
      </c>
      <c r="B36" s="180"/>
      <c r="C36" s="180"/>
      <c r="D36" s="185" t="s">
        <v>80</v>
      </c>
      <c r="E36" s="638"/>
      <c r="F36" s="638"/>
      <c r="H36" s="638"/>
      <c r="J36" s="638"/>
      <c r="K36" s="638"/>
      <c r="L36" s="638"/>
      <c r="M36" s="638"/>
      <c r="Q36" s="638"/>
      <c r="R36" s="638"/>
      <c r="S36" s="638"/>
    </row>
  </sheetData>
  <mergeCells count="27">
    <mergeCell ref="A11:A13"/>
    <mergeCell ref="B11:B13"/>
    <mergeCell ref="J11:J13"/>
    <mergeCell ref="A1:S1"/>
    <mergeCell ref="A2:S2"/>
    <mergeCell ref="A3:S3"/>
    <mergeCell ref="A4:S4"/>
    <mergeCell ref="A5:S5"/>
    <mergeCell ref="A6:S6"/>
    <mergeCell ref="A7:S7"/>
    <mergeCell ref="B8:J8"/>
    <mergeCell ref="K8:M9"/>
    <mergeCell ref="Q8:S9"/>
    <mergeCell ref="B9:J9"/>
    <mergeCell ref="N8:P9"/>
    <mergeCell ref="A14:A16"/>
    <mergeCell ref="B14:B16"/>
    <mergeCell ref="J14:J16"/>
    <mergeCell ref="A17:A18"/>
    <mergeCell ref="B17:B18"/>
    <mergeCell ref="J17:J18"/>
    <mergeCell ref="O31:P31"/>
    <mergeCell ref="O32:P32"/>
    <mergeCell ref="O33:P33"/>
    <mergeCell ref="L31:M31"/>
    <mergeCell ref="L32:M32"/>
    <mergeCell ref="L33:M33"/>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6">
    <tabColor theme="1"/>
  </sheetPr>
  <dimension ref="A1:G49"/>
  <sheetViews>
    <sheetView topLeftCell="A10" zoomScaleNormal="100" zoomScaleSheetLayoutView="8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RESUMEN!G127</f>
        <v xml:space="preserve">Proyecto:CDIE_CBCCSM_R0178 REPOSICIÓN INTERRUPTORES.
</v>
      </c>
      <c r="C5" s="1281"/>
      <c r="D5" s="1281"/>
      <c r="E5" s="1281"/>
      <c r="F5" s="1281"/>
      <c r="G5" s="1282"/>
    </row>
    <row r="6" spans="1:7" x14ac:dyDescent="0.25">
      <c r="A6" s="1177"/>
      <c r="B6" s="1177"/>
      <c r="C6" s="1177"/>
      <c r="D6" s="1177"/>
      <c r="E6" s="1177"/>
      <c r="F6" s="1177"/>
      <c r="G6" s="1177"/>
    </row>
    <row r="7" spans="1:7" x14ac:dyDescent="0.25">
      <c r="A7" s="271" t="s">
        <v>0</v>
      </c>
      <c r="B7" s="1264" t="str">
        <f>RESUMEN!B127</f>
        <v>D00235266</v>
      </c>
      <c r="C7" s="1265"/>
      <c r="D7" s="1177"/>
      <c r="E7" s="1266" t="s">
        <v>627</v>
      </c>
      <c r="F7" s="1267"/>
      <c r="G7" s="280" t="str">
        <f>RESUMEN!E127</f>
        <v>17-415</v>
      </c>
    </row>
    <row r="8" spans="1:7" x14ac:dyDescent="0.25">
      <c r="A8" s="271" t="s">
        <v>628</v>
      </c>
      <c r="B8" s="1264" t="str">
        <f>RESUMEN!C127</f>
        <v>D00235266000</v>
      </c>
      <c r="C8" s="1265"/>
      <c r="D8" s="1177"/>
      <c r="E8" s="1266" t="s">
        <v>629</v>
      </c>
      <c r="F8" s="1267"/>
      <c r="G8" s="280" t="str">
        <f>RESUMEN!U127</f>
        <v>Acta N° 2: Marzo</v>
      </c>
    </row>
    <row r="9" spans="1:7" x14ac:dyDescent="0.25">
      <c r="A9" s="271" t="s">
        <v>630</v>
      </c>
      <c r="B9" s="1283" t="s">
        <v>631</v>
      </c>
      <c r="C9" s="1265"/>
      <c r="D9" s="1177"/>
      <c r="E9" s="1266" t="s">
        <v>632</v>
      </c>
      <c r="F9" s="1267"/>
      <c r="G9" s="1178">
        <f>RESUMEN!H127</f>
        <v>677286</v>
      </c>
    </row>
    <row r="10" spans="1:7" x14ac:dyDescent="0.25">
      <c r="A10" s="271" t="s">
        <v>633</v>
      </c>
      <c r="B10" s="1283" t="str">
        <f>RESUMEN!D127</f>
        <v>CASTELLANA</v>
      </c>
      <c r="C10" s="1265"/>
      <c r="D10" s="1177"/>
      <c r="E10" s="1266" t="s">
        <v>634</v>
      </c>
      <c r="F10" s="1267"/>
      <c r="G10" s="1178">
        <f>RESUMEN!R127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",RESUMEN!G127)</f>
        <v xml:space="preserve">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RESUMEN!N127</f>
        <v>0</v>
      </c>
      <c r="F19" s="1248"/>
      <c r="G19" s="1177"/>
    </row>
    <row r="20" spans="1:7" ht="27" customHeight="1" x14ac:dyDescent="0.25">
      <c r="A20" s="1177"/>
      <c r="B20" s="1244" t="s">
        <v>1498</v>
      </c>
      <c r="C20" s="1245"/>
      <c r="D20" s="1246"/>
      <c r="E20" s="1247">
        <f>RESUMEN!P127</f>
        <v>0</v>
      </c>
      <c r="F20" s="1248"/>
      <c r="G20" s="1177"/>
    </row>
    <row r="21" spans="1:7" ht="27" customHeight="1" x14ac:dyDescent="0.25">
      <c r="A21" s="1177"/>
      <c r="B21" s="1244" t="s">
        <v>1499</v>
      </c>
      <c r="C21" s="1245"/>
      <c r="D21" s="1246"/>
      <c r="E21" s="1247">
        <f>RESUMEN!Q127</f>
        <v>0</v>
      </c>
      <c r="F21" s="1248"/>
      <c r="G21" s="1177"/>
    </row>
    <row r="22" spans="1:7" x14ac:dyDescent="0.25">
      <c r="A22" s="1177"/>
      <c r="B22" s="1254" t="s">
        <v>64</v>
      </c>
      <c r="C22" s="1254"/>
      <c r="D22" s="1254"/>
      <c r="E22" s="1255">
        <f>RESUMEN!R127</f>
        <v>0</v>
      </c>
      <c r="F22" s="1255"/>
      <c r="G22" s="1177"/>
    </row>
    <row r="23" spans="1:7" x14ac:dyDescent="0.25">
      <c r="A23" s="1177"/>
      <c r="B23" s="1256" t="s">
        <v>66</v>
      </c>
      <c r="C23" s="1256"/>
      <c r="D23" s="1256"/>
      <c r="E23" s="1257">
        <f>RESUMEN!S127</f>
        <v>0</v>
      </c>
      <c r="F23" s="1257"/>
      <c r="G23" s="1177"/>
    </row>
    <row r="24" spans="1:7" x14ac:dyDescent="0.25">
      <c r="A24" s="1177"/>
      <c r="B24" s="1258" t="s">
        <v>1</v>
      </c>
      <c r="C24" s="1258"/>
      <c r="D24" s="1258"/>
      <c r="E24" s="1259">
        <f>RESUMEN!T127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+'OT17-415 CASTELLANA AS BUILT'!N30</f>
        <v>ACTA 1</v>
      </c>
      <c r="C28" s="1253">
        <f>+'OT17-415 CASTELLANA AS BUILT'!O30</f>
        <v>578005</v>
      </c>
      <c r="D28" s="1253"/>
      <c r="E28" s="267">
        <f>+'OT17-415 CASTELLANA AS BUILT'!P30</f>
        <v>0.85341347672918089</v>
      </c>
      <c r="F28" s="1177"/>
      <c r="G28" s="1177"/>
    </row>
    <row r="29" spans="1:7" x14ac:dyDescent="0.25">
      <c r="A29" s="1177"/>
      <c r="B29" s="280" t="str">
        <f>+'OT17-415 CASTELLANA AS BUILT'!N31</f>
        <v>ACTA 2</v>
      </c>
      <c r="C29" s="1253">
        <f>+'OT17-415 CASTELLANA AS BUILT'!O31</f>
        <v>0</v>
      </c>
      <c r="D29" s="1253"/>
      <c r="E29" s="267">
        <f>+'OT17-415 CASTELLANA AS BUILT'!P31</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578005</v>
      </c>
      <c r="D34" s="1251"/>
      <c r="E34" s="264">
        <f>SUM(E28:E33)</f>
        <v>0.85341347672918089</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RESUMEN!V127</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7">
    <tabColor rgb="FF72104A"/>
  </sheetPr>
  <dimension ref="A1:S37"/>
  <sheetViews>
    <sheetView topLeftCell="G16" zoomScale="80" zoomScaleNormal="80" workbookViewId="0">
      <selection activeCell="G14" sqref="G14"/>
    </sheetView>
  </sheetViews>
  <sheetFormatPr baseColWidth="10" defaultRowHeight="14.4" x14ac:dyDescent="0.3"/>
  <cols>
    <col min="2" max="2" width="22.33203125" customWidth="1"/>
    <col min="3" max="3" width="31.33203125" customWidth="1"/>
    <col min="4" max="4" width="31.88671875" bestFit="1" customWidth="1"/>
    <col min="6" max="6" width="15.5546875" bestFit="1" customWidth="1"/>
    <col min="7" max="7" width="15.5546875" style="849" customWidth="1"/>
    <col min="8" max="8" width="17.5546875" bestFit="1" customWidth="1"/>
    <col min="9" max="9" width="17.5546875" style="849" customWidth="1"/>
    <col min="10" max="10" width="40.33203125" customWidth="1"/>
    <col min="11" max="11" width="17" bestFit="1" customWidth="1"/>
    <col min="12" max="12" width="19.109375" bestFit="1" customWidth="1"/>
    <col min="14" max="14" width="13.6640625" style="1054" customWidth="1"/>
    <col min="15" max="15" width="13.109375" style="1054" customWidth="1"/>
    <col min="16" max="16" width="11.5546875" style="1054"/>
    <col min="17" max="17" width="16.88671875" bestFit="1" customWidth="1"/>
    <col min="18" max="18" width="15.8867187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508" t="s">
        <v>1789</v>
      </c>
      <c r="B7" s="1509"/>
      <c r="C7" s="1509"/>
      <c r="D7" s="1509"/>
      <c r="E7" s="1509"/>
      <c r="F7" s="1509"/>
      <c r="G7" s="1509"/>
      <c r="H7" s="1509"/>
      <c r="I7" s="1509"/>
      <c r="J7" s="1509"/>
      <c r="K7" s="1509"/>
      <c r="L7" s="1509"/>
      <c r="M7" s="1509"/>
      <c r="N7" s="1509"/>
      <c r="O7" s="1509"/>
      <c r="P7" s="1509"/>
      <c r="Q7" s="1509"/>
      <c r="R7" s="1509"/>
      <c r="S7" s="1509"/>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1837</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61.5" customHeight="1" x14ac:dyDescent="0.3">
      <c r="A14" s="1289" t="s">
        <v>151</v>
      </c>
      <c r="B14" s="1289" t="s">
        <v>216</v>
      </c>
      <c r="C14" s="843" t="s">
        <v>81</v>
      </c>
      <c r="D14" s="843" t="s">
        <v>82</v>
      </c>
      <c r="E14" s="843">
        <v>0</v>
      </c>
      <c r="F14" s="32">
        <v>1880385</v>
      </c>
      <c r="G14" s="32">
        <f>+ROUND(F14*1.051,0)</f>
        <v>1976285</v>
      </c>
      <c r="H14" s="32">
        <f>ROUND((E14*F14),0)</f>
        <v>0</v>
      </c>
      <c r="I14" s="32">
        <f>+ROUND(G14*E14,0)</f>
        <v>0</v>
      </c>
      <c r="J14" s="1290" t="s">
        <v>1801</v>
      </c>
      <c r="K14" s="536">
        <v>0</v>
      </c>
      <c r="L14" s="685">
        <f>ROUND(K14*G14,0)</f>
        <v>0</v>
      </c>
      <c r="M14" s="880">
        <v>0</v>
      </c>
      <c r="N14" s="799">
        <v>0</v>
      </c>
      <c r="O14" s="685">
        <f>ROUND(N14*G14,0)</f>
        <v>0</v>
      </c>
      <c r="P14" s="1111">
        <v>0</v>
      </c>
      <c r="Q14" s="536">
        <f>K14+N14</f>
        <v>0</v>
      </c>
      <c r="R14" s="685">
        <f>L14+O14</f>
        <v>0</v>
      </c>
      <c r="S14" s="684">
        <v>0</v>
      </c>
    </row>
    <row r="15" spans="1:19" ht="58.5" customHeight="1" x14ac:dyDescent="0.3">
      <c r="A15" s="1289"/>
      <c r="B15" s="1289"/>
      <c r="C15" s="843" t="s">
        <v>83</v>
      </c>
      <c r="D15" s="843" t="s">
        <v>84</v>
      </c>
      <c r="E15" s="843">
        <v>0</v>
      </c>
      <c r="F15" s="32">
        <v>1845563</v>
      </c>
      <c r="G15" s="32">
        <f t="shared" ref="G15:G19" si="0">+ROUND(F15*1.051,0)</f>
        <v>1939687</v>
      </c>
      <c r="H15" s="32">
        <f>ROUND((E15*F15),0)</f>
        <v>0</v>
      </c>
      <c r="I15" s="32">
        <f>+ROUND(G15*E15,0)</f>
        <v>0</v>
      </c>
      <c r="J15" s="1289"/>
      <c r="K15" s="799">
        <v>0</v>
      </c>
      <c r="L15" s="685">
        <f t="shared" ref="L15:L16" si="1">ROUND(K15*G15,0)</f>
        <v>0</v>
      </c>
      <c r="M15" s="880">
        <v>0</v>
      </c>
      <c r="N15" s="799">
        <v>0</v>
      </c>
      <c r="O15" s="685">
        <f t="shared" ref="O15:O16" si="2">ROUND(N15*G15,0)</f>
        <v>0</v>
      </c>
      <c r="P15" s="1111">
        <v>0</v>
      </c>
      <c r="Q15" s="799">
        <f t="shared" ref="Q15:Q19" si="3">K15+N15</f>
        <v>0</v>
      </c>
      <c r="R15" s="685">
        <f t="shared" ref="R15:R20" si="4">L15+O15</f>
        <v>0</v>
      </c>
      <c r="S15" s="684">
        <v>0</v>
      </c>
    </row>
    <row r="16" spans="1:19" ht="50.25" customHeight="1" x14ac:dyDescent="0.3">
      <c r="A16" s="1289"/>
      <c r="B16" s="1289"/>
      <c r="C16" s="843" t="s">
        <v>61</v>
      </c>
      <c r="D16" s="843" t="s">
        <v>85</v>
      </c>
      <c r="E16" s="843">
        <v>0.05</v>
      </c>
      <c r="F16" s="32">
        <v>7312607</v>
      </c>
      <c r="G16" s="32">
        <f t="shared" si="0"/>
        <v>7685550</v>
      </c>
      <c r="H16" s="32">
        <f>ROUND((E16*F16),0)</f>
        <v>365630</v>
      </c>
      <c r="I16" s="32">
        <f>+ROUND(G16*E16,0)</f>
        <v>384278</v>
      </c>
      <c r="J16" s="1289"/>
      <c r="K16" s="537">
        <f>0.05*80%</f>
        <v>4.0000000000000008E-2</v>
      </c>
      <c r="L16" s="752">
        <f t="shared" si="1"/>
        <v>307422</v>
      </c>
      <c r="M16" s="753">
        <f>+L16/H16</f>
        <v>0.84080080956157865</v>
      </c>
      <c r="N16" s="891">
        <v>0</v>
      </c>
      <c r="O16" s="685">
        <f t="shared" si="2"/>
        <v>0</v>
      </c>
      <c r="P16" s="893">
        <f>+O16/I16</f>
        <v>0</v>
      </c>
      <c r="Q16" s="799">
        <f t="shared" si="3"/>
        <v>4.0000000000000008E-2</v>
      </c>
      <c r="R16" s="685">
        <f t="shared" si="4"/>
        <v>307422</v>
      </c>
      <c r="S16" s="684">
        <f>R16/I16</f>
        <v>0.79999895908691099</v>
      </c>
    </row>
    <row r="17" spans="1:19" x14ac:dyDescent="0.3">
      <c r="A17" s="1289"/>
      <c r="B17" s="1289"/>
      <c r="C17" s="39"/>
      <c r="D17" s="39" t="s">
        <v>86</v>
      </c>
      <c r="E17" s="41" t="s">
        <v>1838</v>
      </c>
      <c r="F17" s="41"/>
      <c r="G17" s="41"/>
      <c r="H17" s="42">
        <f>SUM(H14:H16)</f>
        <v>365630</v>
      </c>
      <c r="I17" s="42">
        <f>SUM(I14:I16)</f>
        <v>384278</v>
      </c>
      <c r="J17" s="1289"/>
      <c r="K17" s="40"/>
      <c r="L17" s="683">
        <f>SUM(L14:L16)</f>
        <v>307422</v>
      </c>
      <c r="M17" s="519">
        <f>L17/H17</f>
        <v>0.84080080956157865</v>
      </c>
      <c r="N17" s="40"/>
      <c r="O17" s="683">
        <f>SUM(O14:O16)</f>
        <v>0</v>
      </c>
      <c r="P17" s="1100">
        <f t="shared" ref="P17:P20" si="5">+O17/I17</f>
        <v>0</v>
      </c>
      <c r="Q17" s="1106">
        <f t="shared" si="3"/>
        <v>0</v>
      </c>
      <c r="R17" s="1107">
        <f t="shared" si="4"/>
        <v>307422</v>
      </c>
      <c r="S17" s="1100">
        <f t="shared" ref="S17:S20" si="6">R17/I17</f>
        <v>0.79999895908691099</v>
      </c>
    </row>
    <row r="18" spans="1:19" ht="28.8" x14ac:dyDescent="0.3">
      <c r="A18" s="1289" t="s">
        <v>151</v>
      </c>
      <c r="B18" s="1289" t="s">
        <v>195</v>
      </c>
      <c r="C18" s="843" t="s">
        <v>83</v>
      </c>
      <c r="D18" s="843" t="s">
        <v>91</v>
      </c>
      <c r="E18" s="843">
        <v>0</v>
      </c>
      <c r="F18" s="32">
        <v>1671452</v>
      </c>
      <c r="G18" s="32">
        <f t="shared" si="0"/>
        <v>1756696</v>
      </c>
      <c r="H18" s="32">
        <f>ROUND((E18*F18),0)</f>
        <v>0</v>
      </c>
      <c r="I18" s="32">
        <f t="shared" ref="I18:I19" si="7">+ROUND(G18*E18,0)</f>
        <v>0</v>
      </c>
      <c r="J18" s="1290" t="s">
        <v>1802</v>
      </c>
      <c r="K18" s="799">
        <v>0</v>
      </c>
      <c r="L18" s="685">
        <f t="shared" ref="L18:L19" si="8">ROUND(K18*G18,0)</f>
        <v>0</v>
      </c>
      <c r="M18" s="880">
        <v>0</v>
      </c>
      <c r="N18" s="799">
        <v>0</v>
      </c>
      <c r="O18" s="685">
        <f>ROUND(N18*G18,0)</f>
        <v>0</v>
      </c>
      <c r="P18" s="893">
        <v>0</v>
      </c>
      <c r="Q18" s="799">
        <f t="shared" si="3"/>
        <v>0</v>
      </c>
      <c r="R18" s="685">
        <f t="shared" si="4"/>
        <v>0</v>
      </c>
      <c r="S18" s="684">
        <v>0</v>
      </c>
    </row>
    <row r="19" spans="1:19" ht="28.8" x14ac:dyDescent="0.3">
      <c r="A19" s="1289"/>
      <c r="B19" s="1289"/>
      <c r="C19" s="843" t="s">
        <v>61</v>
      </c>
      <c r="D19" s="843" t="s">
        <v>92</v>
      </c>
      <c r="E19" s="843">
        <v>0.05</v>
      </c>
      <c r="F19" s="32">
        <v>6233126</v>
      </c>
      <c r="G19" s="32">
        <f t="shared" si="0"/>
        <v>6551015</v>
      </c>
      <c r="H19" s="32">
        <f>ROUND((E19*F19),0)</f>
        <v>311656</v>
      </c>
      <c r="I19" s="32">
        <f t="shared" si="7"/>
        <v>327551</v>
      </c>
      <c r="J19" s="1289"/>
      <c r="K19" s="537">
        <f>0.05*80%</f>
        <v>4.0000000000000008E-2</v>
      </c>
      <c r="L19" s="752">
        <f t="shared" si="8"/>
        <v>262041</v>
      </c>
      <c r="M19" s="753">
        <f>+L19/H19</f>
        <v>0.84080203814462096</v>
      </c>
      <c r="N19" s="891">
        <v>0</v>
      </c>
      <c r="O19" s="685">
        <f>ROUND(N19*G19,0)</f>
        <v>0</v>
      </c>
      <c r="P19" s="893">
        <f t="shared" si="5"/>
        <v>0</v>
      </c>
      <c r="Q19" s="799">
        <f t="shared" si="3"/>
        <v>4.0000000000000008E-2</v>
      </c>
      <c r="R19" s="685">
        <f t="shared" si="4"/>
        <v>262041</v>
      </c>
      <c r="S19" s="684">
        <f t="shared" si="6"/>
        <v>0.80000061059193839</v>
      </c>
    </row>
    <row r="20" spans="1:19" x14ac:dyDescent="0.3">
      <c r="A20" s="1289"/>
      <c r="B20" s="1289"/>
      <c r="C20" s="39"/>
      <c r="D20" s="39" t="s">
        <v>63</v>
      </c>
      <c r="E20" s="41"/>
      <c r="F20" s="41"/>
      <c r="G20" s="41"/>
      <c r="H20" s="42">
        <f>SUM(H18:H19)</f>
        <v>311656</v>
      </c>
      <c r="I20" s="42">
        <f>SUM(I18:I19)</f>
        <v>327551</v>
      </c>
      <c r="J20" s="1289"/>
      <c r="K20" s="41"/>
      <c r="L20" s="683">
        <f>SUM(L18:L19)</f>
        <v>262041</v>
      </c>
      <c r="M20" s="519">
        <f>L20/H20</f>
        <v>0.84080203814462096</v>
      </c>
      <c r="N20" s="41"/>
      <c r="O20" s="683">
        <f>SUM(O18:O19)</f>
        <v>0</v>
      </c>
      <c r="P20" s="1100">
        <f t="shared" si="5"/>
        <v>0</v>
      </c>
      <c r="Q20" s="1108"/>
      <c r="R20" s="1107">
        <f t="shared" si="4"/>
        <v>262041</v>
      </c>
      <c r="S20" s="1100">
        <f t="shared" si="6"/>
        <v>0.80000061059193839</v>
      </c>
    </row>
    <row r="21" spans="1:19" x14ac:dyDescent="0.3">
      <c r="A21" s="638"/>
      <c r="B21" s="638"/>
      <c r="C21" s="638"/>
      <c r="D21" s="638"/>
      <c r="E21" s="638"/>
      <c r="F21" s="686" t="s">
        <v>1740</v>
      </c>
      <c r="G21" s="686"/>
      <c r="H21" s="687">
        <f>0+H17+H20</f>
        <v>677286</v>
      </c>
      <c r="I21" s="687">
        <f>0+I17+I20</f>
        <v>711829</v>
      </c>
      <c r="J21" s="638"/>
      <c r="K21" s="547" t="s">
        <v>64</v>
      </c>
      <c r="L21" s="688">
        <f>SUM(L14:L20)/2</f>
        <v>569463</v>
      </c>
      <c r="M21" s="638"/>
      <c r="N21" s="547" t="s">
        <v>64</v>
      </c>
      <c r="O21" s="688">
        <f>SUM(O14:O20)/2</f>
        <v>0</v>
      </c>
      <c r="Q21" s="547" t="s">
        <v>64</v>
      </c>
      <c r="R21" s="688">
        <f>SUM(R14:R20)/2</f>
        <v>569463</v>
      </c>
      <c r="S21" s="638"/>
    </row>
    <row r="22" spans="1:19" ht="26.4" x14ac:dyDescent="0.3">
      <c r="A22" s="638"/>
      <c r="B22" s="638"/>
      <c r="C22" s="638"/>
      <c r="D22" s="638"/>
      <c r="E22" s="638"/>
      <c r="F22" s="444" t="s">
        <v>65</v>
      </c>
      <c r="G22" s="444"/>
      <c r="H22" s="181">
        <v>0</v>
      </c>
      <c r="I22" s="181">
        <v>0</v>
      </c>
      <c r="J22" s="638"/>
      <c r="K22" s="548" t="s">
        <v>65</v>
      </c>
      <c r="L22" s="481"/>
      <c r="M22" s="638"/>
      <c r="N22" s="548" t="s">
        <v>65</v>
      </c>
      <c r="O22" s="481"/>
      <c r="Q22" s="548" t="s">
        <v>65</v>
      </c>
      <c r="R22" s="481"/>
      <c r="S22" s="638"/>
    </row>
    <row r="23" spans="1:19" x14ac:dyDescent="0.3">
      <c r="A23" s="638"/>
      <c r="B23" s="638"/>
      <c r="C23" s="638"/>
      <c r="D23" s="638"/>
      <c r="E23" s="638"/>
      <c r="F23" s="443" t="s">
        <v>1740</v>
      </c>
      <c r="G23" s="443"/>
      <c r="H23" s="340">
        <f>+H22+H21</f>
        <v>677286</v>
      </c>
      <c r="I23" s="340">
        <f>+I22+I21</f>
        <v>711829</v>
      </c>
      <c r="J23" s="638"/>
      <c r="K23" s="549" t="s">
        <v>64</v>
      </c>
      <c r="L23" s="481">
        <f>L21+L22</f>
        <v>569463</v>
      </c>
      <c r="M23" s="638"/>
      <c r="N23" s="549" t="s">
        <v>64</v>
      </c>
      <c r="O23" s="481">
        <f>O21+O22</f>
        <v>0</v>
      </c>
      <c r="Q23" s="549" t="s">
        <v>64</v>
      </c>
      <c r="R23" s="481">
        <f>R21+R22</f>
        <v>569463</v>
      </c>
      <c r="S23" s="638"/>
    </row>
    <row r="24" spans="1:19" ht="26.4" x14ac:dyDescent="0.3">
      <c r="A24" s="638"/>
      <c r="B24" s="638"/>
      <c r="C24" s="638"/>
      <c r="D24" s="638"/>
      <c r="E24" s="638"/>
      <c r="F24" s="659"/>
      <c r="G24" s="659"/>
      <c r="H24" s="659"/>
      <c r="I24" s="659"/>
      <c r="J24" s="638"/>
      <c r="K24" s="501" t="s">
        <v>1439</v>
      </c>
      <c r="L24" s="481">
        <f>ROUND(L23*0.015,0)</f>
        <v>8542</v>
      </c>
      <c r="M24" s="638"/>
      <c r="N24" s="501" t="s">
        <v>1439</v>
      </c>
      <c r="O24" s="481">
        <f>ROUND(O23*0.015,0)</f>
        <v>0</v>
      </c>
      <c r="Q24" s="501" t="s">
        <v>1439</v>
      </c>
      <c r="R24" s="481">
        <f>ROUND(R23*0.015,0)</f>
        <v>8542</v>
      </c>
      <c r="S24" s="638"/>
    </row>
    <row r="25" spans="1:19" ht="39.6" x14ac:dyDescent="0.3">
      <c r="A25" s="638"/>
      <c r="B25" s="638"/>
      <c r="C25" s="638"/>
      <c r="D25" s="638"/>
      <c r="E25" s="638"/>
      <c r="F25" s="659"/>
      <c r="G25" s="659"/>
      <c r="H25" s="659"/>
      <c r="I25" s="659"/>
      <c r="J25" s="638"/>
      <c r="K25" s="96" t="s">
        <v>1440</v>
      </c>
      <c r="L25" s="425">
        <f>L23+L24</f>
        <v>578005</v>
      </c>
      <c r="M25" s="678">
        <f>L25/H21</f>
        <v>0.85341347672918089</v>
      </c>
      <c r="N25" s="96" t="s">
        <v>1440</v>
      </c>
      <c r="O25" s="425">
        <f>O23+O24</f>
        <v>0</v>
      </c>
      <c r="P25" s="678">
        <f>O25/H21</f>
        <v>0</v>
      </c>
      <c r="Q25" s="96" t="s">
        <v>1440</v>
      </c>
      <c r="R25" s="425">
        <f>R23+R24</f>
        <v>578005</v>
      </c>
      <c r="S25" s="678">
        <f>R25/H21</f>
        <v>0.85341347672918089</v>
      </c>
    </row>
    <row r="26" spans="1:19" x14ac:dyDescent="0.3">
      <c r="A26" s="638"/>
      <c r="B26" s="638"/>
      <c r="C26" s="638"/>
      <c r="D26" s="638"/>
      <c r="E26" s="638"/>
      <c r="F26" s="442" t="s">
        <v>66</v>
      </c>
      <c r="G26" s="442"/>
      <c r="H26" s="181">
        <f>+H21*19%</f>
        <v>128684.34</v>
      </c>
      <c r="I26" s="181">
        <f>+I21*19%</f>
        <v>135247.51</v>
      </c>
      <c r="J26" s="638"/>
      <c r="K26" s="551" t="s">
        <v>66</v>
      </c>
      <c r="L26" s="672">
        <f>L25*0.19</f>
        <v>109820.95</v>
      </c>
      <c r="M26" s="638"/>
      <c r="N26" s="551" t="s">
        <v>66</v>
      </c>
      <c r="O26" s="672">
        <f>O25*0.19</f>
        <v>0</v>
      </c>
      <c r="Q26" s="551" t="s">
        <v>66</v>
      </c>
      <c r="R26" s="672">
        <f>R25*0.19</f>
        <v>109820.95</v>
      </c>
      <c r="S26" s="638"/>
    </row>
    <row r="27" spans="1:19" x14ac:dyDescent="0.3">
      <c r="A27" s="638"/>
      <c r="B27" s="638"/>
      <c r="C27" s="638"/>
      <c r="D27" s="638"/>
      <c r="E27" s="638"/>
      <c r="F27" s="441" t="s">
        <v>69</v>
      </c>
      <c r="G27" s="441"/>
      <c r="H27" s="181">
        <f>+H21+H26</f>
        <v>805970.34</v>
      </c>
      <c r="I27" s="181">
        <f>+I21+I26</f>
        <v>847076.51</v>
      </c>
      <c r="J27" s="638"/>
      <c r="K27" s="552" t="s">
        <v>69</v>
      </c>
      <c r="L27" s="672">
        <f>L25+L26</f>
        <v>687825.95</v>
      </c>
      <c r="M27" s="638"/>
      <c r="N27" s="552" t="s">
        <v>69</v>
      </c>
      <c r="O27" s="672">
        <f>O25+O26</f>
        <v>0</v>
      </c>
      <c r="Q27" s="552" t="s">
        <v>69</v>
      </c>
      <c r="R27" s="672">
        <f>R25+R26</f>
        <v>687825.95</v>
      </c>
      <c r="S27" s="638"/>
    </row>
    <row r="28" spans="1:19" x14ac:dyDescent="0.3">
      <c r="A28" s="638"/>
      <c r="B28" s="638"/>
      <c r="C28" s="638"/>
      <c r="D28" s="638"/>
      <c r="E28" s="638"/>
      <c r="F28" s="638"/>
      <c r="H28" s="638"/>
      <c r="J28" s="638"/>
      <c r="K28" s="638"/>
      <c r="L28" s="638"/>
      <c r="M28" s="638"/>
      <c r="Q28" s="638"/>
      <c r="R28" s="638"/>
      <c r="S28" s="638"/>
    </row>
    <row r="29" spans="1:19" ht="26.4" x14ac:dyDescent="0.3">
      <c r="A29" s="665" t="s">
        <v>67</v>
      </c>
      <c r="B29" s="184"/>
      <c r="C29" s="184"/>
      <c r="D29" s="185" t="s">
        <v>68</v>
      </c>
      <c r="E29" s="638"/>
      <c r="F29" s="638"/>
      <c r="H29" s="638"/>
      <c r="J29" s="638"/>
      <c r="K29" s="186" t="s">
        <v>70</v>
      </c>
      <c r="L29" s="187" t="s">
        <v>71</v>
      </c>
      <c r="M29" s="186" t="s">
        <v>58</v>
      </c>
      <c r="N29" s="186" t="s">
        <v>70</v>
      </c>
      <c r="O29" s="187" t="s">
        <v>71</v>
      </c>
      <c r="P29" s="186" t="s">
        <v>58</v>
      </c>
      <c r="Q29" s="638"/>
      <c r="R29" s="638"/>
      <c r="S29" s="638"/>
    </row>
    <row r="30" spans="1:19" x14ac:dyDescent="0.3">
      <c r="A30" s="665"/>
      <c r="B30" s="184"/>
      <c r="C30" s="184"/>
      <c r="D30" s="185"/>
      <c r="E30" s="638"/>
      <c r="F30" s="638"/>
      <c r="H30" s="638"/>
      <c r="J30" s="638"/>
      <c r="K30" s="69" t="s">
        <v>72</v>
      </c>
      <c r="L30" s="70">
        <f>L25</f>
        <v>578005</v>
      </c>
      <c r="M30" s="360">
        <f>M25</f>
        <v>0.85341347672918089</v>
      </c>
      <c r="N30" s="69" t="s">
        <v>72</v>
      </c>
      <c r="O30" s="70">
        <f>$L$25</f>
        <v>578005</v>
      </c>
      <c r="P30" s="360">
        <f>$M$25</f>
        <v>0.85341347672918089</v>
      </c>
      <c r="Q30" s="638"/>
      <c r="R30" s="638"/>
      <c r="S30" s="638"/>
    </row>
    <row r="31" spans="1:19" x14ac:dyDescent="0.3">
      <c r="A31" s="665"/>
      <c r="B31" s="184"/>
      <c r="C31" s="184"/>
      <c r="D31" s="185"/>
      <c r="E31" s="638"/>
      <c r="F31" s="638"/>
      <c r="H31" s="638"/>
      <c r="J31" s="638"/>
      <c r="K31" s="72" t="s">
        <v>1</v>
      </c>
      <c r="L31" s="105">
        <f>L30</f>
        <v>578005</v>
      </c>
      <c r="M31" s="361">
        <f>M30</f>
        <v>0.85341347672918089</v>
      </c>
      <c r="N31" s="69" t="s">
        <v>73</v>
      </c>
      <c r="O31" s="70">
        <f>$O$25</f>
        <v>0</v>
      </c>
      <c r="P31" s="360">
        <f>$P$25</f>
        <v>0</v>
      </c>
      <c r="Q31" s="638"/>
      <c r="R31" s="638"/>
      <c r="S31" s="638"/>
    </row>
    <row r="32" spans="1:19" x14ac:dyDescent="0.3">
      <c r="A32" s="665"/>
      <c r="B32" s="184"/>
      <c r="C32" s="184"/>
      <c r="D32" s="185"/>
      <c r="E32" s="638"/>
      <c r="F32" s="638"/>
      <c r="H32" s="638"/>
      <c r="J32" s="638"/>
      <c r="K32" s="72" t="s">
        <v>9</v>
      </c>
      <c r="L32" s="1423"/>
      <c r="M32" s="1424"/>
      <c r="N32" s="72" t="s">
        <v>1</v>
      </c>
      <c r="O32" s="105">
        <f>SUM(O30:O31)</f>
        <v>578005</v>
      </c>
      <c r="P32" s="361">
        <f>SUM(P30:P31)</f>
        <v>0.85341347672918089</v>
      </c>
      <c r="Q32" s="638"/>
      <c r="R32" s="638"/>
      <c r="S32" s="638"/>
    </row>
    <row r="33" spans="1:19" x14ac:dyDescent="0.3">
      <c r="A33" s="665"/>
      <c r="B33" s="184"/>
      <c r="C33" s="184"/>
      <c r="D33" s="185"/>
      <c r="E33" s="638"/>
      <c r="F33" s="638"/>
      <c r="H33" s="638"/>
      <c r="J33" s="638"/>
      <c r="K33" s="440" t="s">
        <v>78</v>
      </c>
      <c r="L33" s="1423" t="s">
        <v>1839</v>
      </c>
      <c r="M33" s="1424"/>
      <c r="N33" s="72" t="s">
        <v>9</v>
      </c>
      <c r="O33" s="1423"/>
      <c r="P33" s="1424"/>
      <c r="Q33" s="638"/>
      <c r="R33" s="638"/>
      <c r="S33" s="638"/>
    </row>
    <row r="34" spans="1:19" x14ac:dyDescent="0.3">
      <c r="A34" s="665"/>
      <c r="B34" s="184"/>
      <c r="C34" s="184"/>
      <c r="D34" s="185"/>
      <c r="E34" s="638"/>
      <c r="F34" s="638"/>
      <c r="H34" s="638"/>
      <c r="J34" s="638"/>
      <c r="K34" s="439" t="s">
        <v>8</v>
      </c>
      <c r="L34" s="1425" t="s">
        <v>1840</v>
      </c>
      <c r="M34" s="1426"/>
      <c r="N34" s="440" t="s">
        <v>78</v>
      </c>
      <c r="O34" s="1423" t="s">
        <v>1839</v>
      </c>
      <c r="P34" s="1424"/>
      <c r="Q34" s="638"/>
      <c r="R34" s="638"/>
      <c r="S34" s="638"/>
    </row>
    <row r="35" spans="1:19" x14ac:dyDescent="0.3">
      <c r="A35" s="665"/>
      <c r="B35" s="184"/>
      <c r="C35" s="184"/>
      <c r="D35" s="185" t="s">
        <v>75</v>
      </c>
      <c r="E35" s="638"/>
      <c r="F35" s="638"/>
      <c r="H35" s="638"/>
      <c r="J35" s="638"/>
      <c r="K35" s="638"/>
      <c r="L35" s="638"/>
      <c r="M35" s="638"/>
      <c r="N35" s="439" t="s">
        <v>8</v>
      </c>
      <c r="O35" s="1425" t="s">
        <v>1840</v>
      </c>
      <c r="P35" s="1426"/>
      <c r="Q35" s="638"/>
      <c r="R35" s="638"/>
      <c r="S35" s="638"/>
    </row>
    <row r="36" spans="1:19" x14ac:dyDescent="0.3">
      <c r="A36" s="665" t="s">
        <v>76</v>
      </c>
      <c r="B36" s="180"/>
      <c r="C36" s="180"/>
      <c r="D36" s="185" t="s">
        <v>77</v>
      </c>
      <c r="E36" s="638"/>
      <c r="F36" s="638"/>
      <c r="H36" s="638"/>
      <c r="J36" s="638"/>
      <c r="K36" s="638"/>
      <c r="L36" s="638"/>
      <c r="M36" s="638"/>
      <c r="Q36" s="638"/>
      <c r="R36" s="638"/>
      <c r="S36" s="638"/>
    </row>
    <row r="37" spans="1:19" ht="26.4" x14ac:dyDescent="0.3">
      <c r="A37" s="665" t="s">
        <v>79</v>
      </c>
      <c r="B37" s="180"/>
      <c r="C37" s="180"/>
      <c r="D37" s="185" t="s">
        <v>80</v>
      </c>
      <c r="E37" s="638"/>
      <c r="F37" s="638"/>
      <c r="H37" s="638"/>
      <c r="J37" s="638"/>
      <c r="K37" s="638"/>
      <c r="L37" s="638"/>
      <c r="M37" s="638"/>
      <c r="Q37" s="638"/>
      <c r="R37" s="638"/>
      <c r="S37" s="638"/>
    </row>
  </sheetData>
  <mergeCells count="28">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7"/>
    <mergeCell ref="B14:B17"/>
    <mergeCell ref="J14:J17"/>
    <mergeCell ref="A18:A20"/>
    <mergeCell ref="B18:B20"/>
    <mergeCell ref="J18:J20"/>
    <mergeCell ref="O33:P33"/>
    <mergeCell ref="O34:P34"/>
    <mergeCell ref="O35:P35"/>
    <mergeCell ref="L32:M32"/>
    <mergeCell ref="L33:M33"/>
    <mergeCell ref="L34:M34"/>
  </mergeCells>
  <pageMargins left="0.7" right="0.7" top="0.75" bottom="0.75" header="0.3" footer="0.3"/>
  <pageSetup paperSize="9" scale="41" orientation="landscape" r:id="rId1"/>
  <drawing r:id="rId2"/>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8">
    <tabColor theme="1"/>
  </sheetPr>
  <dimension ref="A1:G49"/>
  <sheetViews>
    <sheetView topLeftCell="A22" zoomScaleNormal="100" zoomScaleSheetLayoutView="8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RESUMEN!G128</f>
        <v>Proyecto:CDIM_CAOLIG_R0078 -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RESUMEN!B128</f>
        <v>D00243135</v>
      </c>
      <c r="C7" s="1265"/>
      <c r="D7" s="1177"/>
      <c r="E7" s="1266" t="s">
        <v>627</v>
      </c>
      <c r="F7" s="1267"/>
      <c r="G7" s="280" t="str">
        <f>RESUMEN!E128</f>
        <v>17-419</v>
      </c>
    </row>
    <row r="8" spans="1:7" x14ac:dyDescent="0.25">
      <c r="A8" s="271" t="s">
        <v>628</v>
      </c>
      <c r="B8" s="1264" t="str">
        <f>RESUMEN!C128</f>
        <v>D00243135000</v>
      </c>
      <c r="C8" s="1265"/>
      <c r="D8" s="1177"/>
      <c r="E8" s="1266" t="s">
        <v>629</v>
      </c>
      <c r="F8" s="1267"/>
      <c r="G8" s="280" t="str">
        <f>RESUMEN!U128</f>
        <v>Acta N° 1: Febrero</v>
      </c>
    </row>
    <row r="9" spans="1:7" x14ac:dyDescent="0.25">
      <c r="A9" s="271" t="s">
        <v>630</v>
      </c>
      <c r="B9" s="1283" t="s">
        <v>631</v>
      </c>
      <c r="C9" s="1265"/>
      <c r="D9" s="1177"/>
      <c r="E9" s="1266" t="s">
        <v>632</v>
      </c>
      <c r="F9" s="1267"/>
      <c r="G9" s="1178">
        <f>RESUMEN!H128</f>
        <v>762600</v>
      </c>
    </row>
    <row r="10" spans="1:7" x14ac:dyDescent="0.25">
      <c r="A10" s="271" t="s">
        <v>633</v>
      </c>
      <c r="B10" s="1283" t="str">
        <f>RESUMEN!D128</f>
        <v>SALTO I</v>
      </c>
      <c r="C10" s="1265"/>
      <c r="D10" s="1177"/>
      <c r="E10" s="1266" t="s">
        <v>634</v>
      </c>
      <c r="F10" s="1267"/>
      <c r="G10" s="1178">
        <f>RESUMEN!R128</f>
        <v>837920.79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",RESUMEN!G128)</f>
        <v>A los 14 días del mes de Marzo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RESUMEN!N128</f>
        <v>801493</v>
      </c>
      <c r="F19" s="1248"/>
      <c r="G19" s="1177"/>
    </row>
    <row r="20" spans="1:7" ht="27" customHeight="1" x14ac:dyDescent="0.25">
      <c r="A20" s="1177"/>
      <c r="B20" s="1244" t="s">
        <v>1498</v>
      </c>
      <c r="C20" s="1245"/>
      <c r="D20" s="1246"/>
      <c r="E20" s="1247">
        <f>RESUMEN!P128</f>
        <v>24044.79</v>
      </c>
      <c r="F20" s="1248"/>
      <c r="G20" s="1177"/>
    </row>
    <row r="21" spans="1:7" ht="27" customHeight="1" x14ac:dyDescent="0.25">
      <c r="A21" s="1177"/>
      <c r="B21" s="1244" t="s">
        <v>1499</v>
      </c>
      <c r="C21" s="1245"/>
      <c r="D21" s="1246"/>
      <c r="E21" s="1247">
        <f>RESUMEN!Q128</f>
        <v>12383</v>
      </c>
      <c r="F21" s="1248"/>
      <c r="G21" s="1177"/>
    </row>
    <row r="22" spans="1:7" x14ac:dyDescent="0.25">
      <c r="A22" s="1177"/>
      <c r="B22" s="1254" t="s">
        <v>64</v>
      </c>
      <c r="C22" s="1254"/>
      <c r="D22" s="1254"/>
      <c r="E22" s="1255">
        <f>RESUMEN!R128</f>
        <v>837920.79</v>
      </c>
      <c r="F22" s="1255"/>
      <c r="G22" s="1177"/>
    </row>
    <row r="23" spans="1:7" x14ac:dyDescent="0.25">
      <c r="A23" s="1177"/>
      <c r="B23" s="1256" t="s">
        <v>66</v>
      </c>
      <c r="C23" s="1256"/>
      <c r="D23" s="1256"/>
      <c r="E23" s="1257">
        <f>RESUMEN!S128</f>
        <v>159204.95010000002</v>
      </c>
      <c r="F23" s="1257"/>
      <c r="G23" s="1177"/>
    </row>
    <row r="24" spans="1:7" x14ac:dyDescent="0.25">
      <c r="A24" s="1177"/>
      <c r="B24" s="1258" t="s">
        <v>1</v>
      </c>
      <c r="C24" s="1258"/>
      <c r="D24" s="1258"/>
      <c r="E24" s="1259">
        <f>RESUMEN!T128</f>
        <v>997125.74010000005</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+'OT17-419 SALTO I '!K27</f>
        <v>ACTA 1</v>
      </c>
      <c r="C28" s="1253">
        <f>+'OT17-419 SALTO I '!L27</f>
        <v>837920.79</v>
      </c>
      <c r="D28" s="1253"/>
      <c r="E28" s="267">
        <f>+'OT17-419 SALTO I '!M27</f>
        <v>1.0667654472817827</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837920.79</v>
      </c>
      <c r="D34" s="1251"/>
      <c r="E34" s="264">
        <f>SUM(E28:E33)</f>
        <v>1.0667654472817827</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RESUMEN!V128</f>
        <v>Ing. Hernán Giraldo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9">
    <tabColor rgb="FF72104A"/>
  </sheetPr>
  <dimension ref="A1:P34"/>
  <sheetViews>
    <sheetView view="pageBreakPreview" topLeftCell="C4" zoomScale="60" zoomScaleNormal="60" workbookViewId="0">
      <selection activeCell="G19" sqref="G19"/>
    </sheetView>
  </sheetViews>
  <sheetFormatPr baseColWidth="10" defaultRowHeight="14.4" x14ac:dyDescent="0.3"/>
  <cols>
    <col min="1" max="1" width="21.5546875" customWidth="1"/>
    <col min="2" max="2" width="36" customWidth="1"/>
    <col min="3" max="3" width="29.109375" customWidth="1"/>
    <col min="4" max="4" width="37.109375" customWidth="1"/>
    <col min="6" max="6" width="25" customWidth="1"/>
    <col min="7" max="7" width="18.88671875" style="849" customWidth="1"/>
    <col min="8" max="8" width="17.5546875" bestFit="1" customWidth="1"/>
    <col min="9" max="9" width="17.5546875" style="849" customWidth="1"/>
    <col min="10" max="10" width="32.88671875" customWidth="1"/>
    <col min="11" max="11" width="16.6640625" customWidth="1"/>
    <col min="12" max="12" width="19.109375" bestFit="1" customWidth="1"/>
    <col min="14" max="14" width="15.6640625" customWidth="1"/>
    <col min="15" max="15" width="15.88671875" bestFit="1" customWidth="1"/>
  </cols>
  <sheetData>
    <row r="1" spans="1:16" ht="15" thickBot="1" x14ac:dyDescent="0.35">
      <c r="A1" s="169"/>
      <c r="B1" s="188"/>
      <c r="C1" s="1307" t="s">
        <v>40</v>
      </c>
      <c r="D1" s="1308"/>
      <c r="E1" s="1308"/>
      <c r="F1" s="1308"/>
      <c r="G1" s="1308"/>
      <c r="H1" s="1308"/>
      <c r="I1" s="1308"/>
      <c r="J1" s="1308"/>
      <c r="K1" s="1308"/>
      <c r="L1" s="1308"/>
      <c r="M1" s="1308"/>
      <c r="N1" s="1328" t="s">
        <v>1663</v>
      </c>
      <c r="O1" s="1303"/>
      <c r="P1" s="1304"/>
    </row>
    <row r="2" spans="1:16" ht="15" thickBot="1" x14ac:dyDescent="0.35">
      <c r="A2" s="170"/>
      <c r="B2" s="190"/>
      <c r="C2" s="1310"/>
      <c r="D2" s="1311"/>
      <c r="E2" s="1311"/>
      <c r="F2" s="1311"/>
      <c r="G2" s="1311"/>
      <c r="H2" s="1311"/>
      <c r="I2" s="1311"/>
      <c r="J2" s="1311"/>
      <c r="K2" s="1311"/>
      <c r="L2" s="1311"/>
      <c r="M2" s="1311"/>
      <c r="N2" s="1329" t="s">
        <v>41</v>
      </c>
      <c r="O2" s="1305"/>
      <c r="P2" s="1306"/>
    </row>
    <row r="3" spans="1:16" x14ac:dyDescent="0.3">
      <c r="A3" s="1292" t="s">
        <v>42</v>
      </c>
      <c r="B3" s="1292"/>
      <c r="C3" s="1292"/>
      <c r="D3" s="1292"/>
      <c r="E3" s="1292"/>
      <c r="F3" s="1292"/>
      <c r="G3" s="1292"/>
      <c r="H3" s="1292"/>
      <c r="I3" s="1292"/>
      <c r="J3" s="1292"/>
      <c r="K3" s="1292"/>
      <c r="L3" s="1292"/>
      <c r="M3" s="1292"/>
      <c r="N3" s="1292"/>
      <c r="O3" s="1292"/>
      <c r="P3" s="1292"/>
    </row>
    <row r="4" spans="1:16" x14ac:dyDescent="0.3">
      <c r="A4" s="1292" t="s">
        <v>43</v>
      </c>
      <c r="B4" s="1292"/>
      <c r="C4" s="1292"/>
      <c r="D4" s="1292"/>
      <c r="E4" s="1292"/>
      <c r="F4" s="1292"/>
      <c r="G4" s="1292"/>
      <c r="H4" s="1292"/>
      <c r="I4" s="1292"/>
      <c r="J4" s="1292"/>
      <c r="K4" s="1292"/>
      <c r="L4" s="1292"/>
      <c r="M4" s="1292"/>
      <c r="N4" s="1292"/>
      <c r="O4" s="1292"/>
      <c r="P4" s="1292"/>
    </row>
    <row r="5" spans="1:16" x14ac:dyDescent="0.3">
      <c r="A5" s="1292" t="s">
        <v>44</v>
      </c>
      <c r="B5" s="1292"/>
      <c r="C5" s="1292"/>
      <c r="D5" s="1292"/>
      <c r="E5" s="1292"/>
      <c r="F5" s="1292"/>
      <c r="G5" s="1292"/>
      <c r="H5" s="1292"/>
      <c r="I5" s="1292"/>
      <c r="J5" s="1292"/>
      <c r="K5" s="1292"/>
      <c r="L5" s="1292"/>
      <c r="M5" s="1292"/>
      <c r="N5" s="1292"/>
      <c r="O5" s="1292"/>
      <c r="P5" s="1292"/>
    </row>
    <row r="6" spans="1:16" x14ac:dyDescent="0.3">
      <c r="A6" s="1292" t="s">
        <v>45</v>
      </c>
      <c r="B6" s="1292"/>
      <c r="C6" s="1292"/>
      <c r="D6" s="1292"/>
      <c r="E6" s="1292"/>
      <c r="F6" s="1292"/>
      <c r="G6" s="1292"/>
      <c r="H6" s="1292"/>
      <c r="I6" s="1292"/>
      <c r="J6" s="1292"/>
      <c r="K6" s="1292"/>
      <c r="L6" s="1292"/>
      <c r="M6" s="1292"/>
      <c r="N6" s="1292"/>
      <c r="O6" s="1292"/>
      <c r="P6" s="1292"/>
    </row>
    <row r="7" spans="1:16" x14ac:dyDescent="0.3">
      <c r="A7" s="1291" t="s">
        <v>1845</v>
      </c>
      <c r="B7" s="1292"/>
      <c r="C7" s="1292"/>
      <c r="D7" s="1292"/>
      <c r="E7" s="1292"/>
      <c r="F7" s="1292"/>
      <c r="G7" s="1292"/>
      <c r="H7" s="1292"/>
      <c r="I7" s="1292"/>
      <c r="J7" s="1292"/>
      <c r="K7" s="1292"/>
      <c r="L7" s="1292"/>
      <c r="M7" s="1292"/>
      <c r="N7" s="1292"/>
      <c r="O7" s="1292"/>
      <c r="P7" s="1292"/>
    </row>
    <row r="8" spans="1:16" x14ac:dyDescent="0.3">
      <c r="A8" s="1292" t="s">
        <v>2103</v>
      </c>
      <c r="B8" s="1292"/>
      <c r="C8" s="1292"/>
      <c r="D8" s="1292"/>
      <c r="E8" s="1292"/>
      <c r="F8" s="1292"/>
      <c r="G8" s="1292"/>
      <c r="H8" s="1292"/>
      <c r="I8" s="1292"/>
      <c r="J8" s="1292"/>
      <c r="K8" s="1292"/>
      <c r="L8" s="1292"/>
      <c r="M8" s="1292"/>
      <c r="N8" s="1292"/>
      <c r="O8" s="1292"/>
      <c r="P8" s="1292"/>
    </row>
    <row r="9" spans="1:16" x14ac:dyDescent="0.3">
      <c r="A9" s="1292" t="s">
        <v>2161</v>
      </c>
      <c r="B9" s="1292"/>
      <c r="C9" s="1292"/>
      <c r="D9" s="1292"/>
      <c r="E9" s="1292"/>
      <c r="F9" s="1292"/>
      <c r="G9" s="1292"/>
      <c r="H9" s="1292"/>
      <c r="I9" s="1292"/>
      <c r="J9" s="1292"/>
      <c r="K9" s="1292"/>
      <c r="L9" s="1292"/>
      <c r="M9" s="1292"/>
      <c r="N9" s="1292"/>
      <c r="O9" s="1292"/>
      <c r="P9" s="1292"/>
    </row>
    <row r="10" spans="1:16" x14ac:dyDescent="0.3">
      <c r="A10" s="1292" t="s">
        <v>1843</v>
      </c>
      <c r="B10" s="1292"/>
      <c r="C10" s="1292"/>
      <c r="D10" s="1292"/>
      <c r="E10" s="1292"/>
      <c r="F10" s="1292"/>
      <c r="G10" s="1292"/>
      <c r="H10" s="1292"/>
      <c r="I10" s="1292"/>
      <c r="J10" s="1292"/>
      <c r="K10" s="1292"/>
      <c r="L10" s="1292"/>
      <c r="M10" s="1292"/>
      <c r="N10" s="1292"/>
      <c r="O10" s="1292"/>
      <c r="P10" s="1292"/>
    </row>
    <row r="11" spans="1:16" x14ac:dyDescent="0.3">
      <c r="A11" s="637"/>
      <c r="B11" s="1301"/>
      <c r="C11" s="1313"/>
      <c r="D11" s="1313"/>
      <c r="E11" s="1313"/>
      <c r="F11" s="1313"/>
      <c r="G11" s="1313"/>
      <c r="H11" s="1313"/>
      <c r="I11" s="1313"/>
      <c r="J11" s="1313"/>
      <c r="K11" s="1293" t="s">
        <v>1982</v>
      </c>
      <c r="L11" s="1294"/>
      <c r="M11" s="1295"/>
      <c r="N11" s="1299" t="s">
        <v>49</v>
      </c>
      <c r="O11" s="1299"/>
      <c r="P11" s="1299"/>
    </row>
    <row r="12" spans="1:16" x14ac:dyDescent="0.3">
      <c r="A12" s="171"/>
      <c r="B12" s="1301"/>
      <c r="C12" s="1302"/>
      <c r="D12" s="1302"/>
      <c r="E12" s="1302"/>
      <c r="F12" s="1302"/>
      <c r="G12" s="1302"/>
      <c r="H12" s="1302"/>
      <c r="I12" s="1302"/>
      <c r="J12" s="1302"/>
      <c r="K12" s="1325"/>
      <c r="L12" s="1326"/>
      <c r="M12" s="1327"/>
      <c r="N12" s="1300"/>
      <c r="O12" s="1300"/>
      <c r="P12" s="1300"/>
    </row>
    <row r="13" spans="1:16" ht="28.8" x14ac:dyDescent="0.3">
      <c r="A13" s="879" t="s">
        <v>50</v>
      </c>
      <c r="B13" s="879" t="s">
        <v>51</v>
      </c>
      <c r="C13" s="879" t="s">
        <v>52</v>
      </c>
      <c r="D13" s="879" t="s">
        <v>164</v>
      </c>
      <c r="E13" s="159" t="s">
        <v>54</v>
      </c>
      <c r="F13" s="141" t="s">
        <v>55</v>
      </c>
      <c r="G13" s="821" t="s">
        <v>2007</v>
      </c>
      <c r="H13" s="159" t="s">
        <v>56</v>
      </c>
      <c r="I13" s="821" t="s">
        <v>2211</v>
      </c>
      <c r="J13" s="159" t="s">
        <v>57</v>
      </c>
      <c r="K13" s="502" t="s">
        <v>54</v>
      </c>
      <c r="L13" s="502" t="s">
        <v>56</v>
      </c>
      <c r="M13" s="502" t="s">
        <v>58</v>
      </c>
      <c r="N13" s="502" t="s">
        <v>54</v>
      </c>
      <c r="O13" s="502" t="s">
        <v>56</v>
      </c>
      <c r="P13" s="502" t="s">
        <v>58</v>
      </c>
    </row>
    <row r="14" spans="1:16" ht="30" customHeight="1" x14ac:dyDescent="0.3">
      <c r="A14" s="1289" t="s">
        <v>1580</v>
      </c>
      <c r="B14" s="1289" t="s">
        <v>165</v>
      </c>
      <c r="C14" s="636" t="s">
        <v>81</v>
      </c>
      <c r="D14" s="636" t="s">
        <v>166</v>
      </c>
      <c r="E14" s="636">
        <v>0</v>
      </c>
      <c r="F14" s="32">
        <v>1149124</v>
      </c>
      <c r="G14" s="32">
        <f>+ROUND(F14*1.051,0)</f>
        <v>1207729</v>
      </c>
      <c r="H14" s="32">
        <f>ROUND((E14*F14),0)</f>
        <v>0</v>
      </c>
      <c r="I14" s="32">
        <f>+ROUND(G14*E14,0)</f>
        <v>0</v>
      </c>
      <c r="J14" s="1290" t="s">
        <v>1842</v>
      </c>
      <c r="K14" s="536">
        <v>0</v>
      </c>
      <c r="L14" s="685">
        <f>ROUND(K14*G14,0)</f>
        <v>0</v>
      </c>
      <c r="M14" s="880">
        <v>0</v>
      </c>
      <c r="N14" s="536">
        <f>K14</f>
        <v>0</v>
      </c>
      <c r="O14" s="685">
        <f>L14</f>
        <v>0</v>
      </c>
      <c r="P14" s="684">
        <v>0</v>
      </c>
    </row>
    <row r="15" spans="1:16" ht="43.2" x14ac:dyDescent="0.3">
      <c r="A15" s="1289"/>
      <c r="B15" s="1289"/>
      <c r="C15" s="636" t="s">
        <v>83</v>
      </c>
      <c r="D15" s="636" t="s">
        <v>167</v>
      </c>
      <c r="E15" s="636">
        <v>0</v>
      </c>
      <c r="F15" s="32">
        <v>2646468</v>
      </c>
      <c r="G15" s="32">
        <f>+ROUND(F15*1.051,0)</f>
        <v>2781438</v>
      </c>
      <c r="H15" s="32">
        <f>ROUND((E15*F15),0)</f>
        <v>0</v>
      </c>
      <c r="I15" s="32">
        <f t="shared" ref="I15:I16" si="0">+ROUND(G15*E15,0)</f>
        <v>0</v>
      </c>
      <c r="J15" s="1289"/>
      <c r="K15" s="799">
        <v>0</v>
      </c>
      <c r="L15" s="685">
        <f t="shared" ref="L15:L16" si="1">ROUND(K15*G15,0)</f>
        <v>0</v>
      </c>
      <c r="M15" s="880">
        <v>0</v>
      </c>
      <c r="N15" s="536">
        <f>K15</f>
        <v>0</v>
      </c>
      <c r="O15" s="685">
        <f t="shared" ref="O15:O16" si="2">L15</f>
        <v>0</v>
      </c>
      <c r="P15" s="684">
        <v>0</v>
      </c>
    </row>
    <row r="16" spans="1:16" ht="43.2" x14ac:dyDescent="0.3">
      <c r="A16" s="1289"/>
      <c r="B16" s="1289"/>
      <c r="C16" s="636" t="s">
        <v>61</v>
      </c>
      <c r="D16" s="636" t="s">
        <v>168</v>
      </c>
      <c r="E16" s="636">
        <v>0.3</v>
      </c>
      <c r="F16" s="32">
        <v>2542001</v>
      </c>
      <c r="G16" s="32">
        <f>+ROUND(F16*1.051,0)</f>
        <v>2671643</v>
      </c>
      <c r="H16" s="32">
        <f>ROUND((E16*F16),0)</f>
        <v>762600</v>
      </c>
      <c r="I16" s="32">
        <f t="shared" si="0"/>
        <v>801493</v>
      </c>
      <c r="J16" s="1289"/>
      <c r="K16" s="537">
        <v>0.3</v>
      </c>
      <c r="L16" s="752">
        <f t="shared" si="1"/>
        <v>801493</v>
      </c>
      <c r="M16" s="937">
        <f t="shared" ref="M16" si="3">+L16/I16</f>
        <v>1</v>
      </c>
      <c r="N16" s="536">
        <f>K16</f>
        <v>0.3</v>
      </c>
      <c r="O16" s="685">
        <f t="shared" si="2"/>
        <v>801493</v>
      </c>
      <c r="P16" s="684">
        <v>0</v>
      </c>
    </row>
    <row r="17" spans="1:16" x14ac:dyDescent="0.3">
      <c r="A17" s="1289"/>
      <c r="B17" s="1289"/>
      <c r="C17" s="39"/>
      <c r="D17" s="39" t="s">
        <v>169</v>
      </c>
      <c r="E17" s="41"/>
      <c r="F17" s="41"/>
      <c r="G17" s="41"/>
      <c r="H17" s="42">
        <f>SUM(H14:H16)</f>
        <v>762600</v>
      </c>
      <c r="I17" s="42">
        <f>SUM(I14:I16)</f>
        <v>801493</v>
      </c>
      <c r="J17" s="1289"/>
      <c r="K17" s="40"/>
      <c r="L17" s="683">
        <f>SUM(L14:L16)</f>
        <v>801493</v>
      </c>
      <c r="M17" s="519">
        <f>L17/H17</f>
        <v>1.0510005245213743</v>
      </c>
      <c r="N17" s="40"/>
      <c r="O17" s="683">
        <f>SUM(O14:O16)</f>
        <v>801493</v>
      </c>
      <c r="P17" s="519">
        <f>O17/H17</f>
        <v>1.0510005245213743</v>
      </c>
    </row>
    <row r="18" spans="1:16" x14ac:dyDescent="0.3">
      <c r="A18" s="638"/>
      <c r="B18" s="638"/>
      <c r="C18" s="638"/>
      <c r="D18" s="638"/>
      <c r="E18" s="638"/>
      <c r="F18" s="686" t="s">
        <v>1740</v>
      </c>
      <c r="G18" s="686"/>
      <c r="H18" s="687">
        <f>0+H17</f>
        <v>762600</v>
      </c>
      <c r="I18" s="687">
        <f>0+I17</f>
        <v>801493</v>
      </c>
      <c r="J18" s="638"/>
      <c r="K18" s="547" t="s">
        <v>64</v>
      </c>
      <c r="L18" s="677">
        <f>SUM(L14:L17)/2</f>
        <v>801493</v>
      </c>
      <c r="M18" s="638"/>
      <c r="N18" s="549" t="s">
        <v>64</v>
      </c>
      <c r="O18" s="677">
        <f>SUM(O14:O17)/2</f>
        <v>801493</v>
      </c>
      <c r="P18" s="638"/>
    </row>
    <row r="19" spans="1:16" x14ac:dyDescent="0.3">
      <c r="A19" s="638"/>
      <c r="B19" s="638"/>
      <c r="C19" s="638"/>
      <c r="D19" s="638"/>
      <c r="E19" s="638"/>
      <c r="F19" s="692" t="s">
        <v>1844</v>
      </c>
      <c r="G19" s="692"/>
      <c r="H19" s="540">
        <f>H17*0.03</f>
        <v>22878</v>
      </c>
      <c r="I19" s="540">
        <f>I17*0.03</f>
        <v>24044.79</v>
      </c>
      <c r="J19" s="638"/>
      <c r="K19" s="548" t="s">
        <v>65</v>
      </c>
      <c r="L19" s="650">
        <f>L17*0.03</f>
        <v>24044.79</v>
      </c>
      <c r="M19" s="638"/>
      <c r="N19" s="548" t="s">
        <v>65</v>
      </c>
      <c r="O19" s="650">
        <f>O17*0.03</f>
        <v>24044.79</v>
      </c>
      <c r="P19" s="638"/>
    </row>
    <row r="20" spans="1:16" x14ac:dyDescent="0.3">
      <c r="A20" s="638"/>
      <c r="B20" s="638"/>
      <c r="C20" s="638"/>
      <c r="D20" s="638"/>
      <c r="E20" s="638"/>
      <c r="F20" s="680" t="s">
        <v>1</v>
      </c>
      <c r="G20" s="680"/>
      <c r="H20" s="681">
        <f>H19+H18</f>
        <v>785478</v>
      </c>
      <c r="I20" s="681">
        <f>I19+I18</f>
        <v>825537.79</v>
      </c>
      <c r="J20" s="638"/>
      <c r="K20" s="549" t="s">
        <v>64</v>
      </c>
      <c r="L20" s="481">
        <f>L18+L19</f>
        <v>825537.79</v>
      </c>
      <c r="M20" s="638"/>
      <c r="N20" s="549" t="s">
        <v>64</v>
      </c>
      <c r="O20" s="481">
        <f>O18+O19</f>
        <v>825537.79</v>
      </c>
      <c r="P20" s="638"/>
    </row>
    <row r="21" spans="1:16" ht="26.4" x14ac:dyDescent="0.3">
      <c r="A21" s="638"/>
      <c r="B21" s="638"/>
      <c r="C21" s="638"/>
      <c r="D21" s="638"/>
      <c r="E21" s="638"/>
      <c r="F21" s="659"/>
      <c r="G21" s="659"/>
      <c r="H21" s="659"/>
      <c r="I21" s="659"/>
      <c r="J21" s="638"/>
      <c r="K21" s="501" t="s">
        <v>1439</v>
      </c>
      <c r="L21" s="481">
        <f>ROUND(L20*0.015,0)</f>
        <v>12383</v>
      </c>
      <c r="M21" s="638"/>
      <c r="N21" s="501" t="s">
        <v>1439</v>
      </c>
      <c r="O21" s="481">
        <f>ROUND(O20*0.015,0)</f>
        <v>12383</v>
      </c>
      <c r="P21" s="638"/>
    </row>
    <row r="22" spans="1:16" ht="26.4" x14ac:dyDescent="0.3">
      <c r="A22" s="638"/>
      <c r="B22" s="638"/>
      <c r="C22" s="638"/>
      <c r="D22" s="638"/>
      <c r="E22" s="638"/>
      <c r="F22" s="659"/>
      <c r="G22" s="659"/>
      <c r="H22" s="659"/>
      <c r="I22" s="659"/>
      <c r="J22" s="638"/>
      <c r="K22" s="96" t="s">
        <v>1440</v>
      </c>
      <c r="L22" s="425">
        <f>L20+L21</f>
        <v>837920.79</v>
      </c>
      <c r="M22" s="678">
        <f>L22/H20</f>
        <v>1.0667654472817827</v>
      </c>
      <c r="N22" s="96" t="s">
        <v>1440</v>
      </c>
      <c r="O22" s="425">
        <f>O20+O21</f>
        <v>837920.79</v>
      </c>
      <c r="P22" s="678">
        <f>O22/H20</f>
        <v>1.0667654472817827</v>
      </c>
    </row>
    <row r="23" spans="1:16" x14ac:dyDescent="0.3">
      <c r="A23" s="638"/>
      <c r="B23" s="638"/>
      <c r="C23" s="638"/>
      <c r="D23" s="638"/>
      <c r="E23" s="638"/>
      <c r="F23" s="442" t="s">
        <v>66</v>
      </c>
      <c r="G23" s="442"/>
      <c r="H23" s="181">
        <f>+H20*19%</f>
        <v>149240.82</v>
      </c>
      <c r="I23" s="181">
        <f>+I20*19%</f>
        <v>156852.1801</v>
      </c>
      <c r="J23" s="638"/>
      <c r="K23" s="551" t="s">
        <v>66</v>
      </c>
      <c r="L23" s="672">
        <f>L22*0.19</f>
        <v>159204.95010000002</v>
      </c>
      <c r="M23" s="638"/>
      <c r="N23" s="551" t="s">
        <v>66</v>
      </c>
      <c r="O23" s="672">
        <f>O22*0.19</f>
        <v>159204.95010000002</v>
      </c>
      <c r="P23" s="638"/>
    </row>
    <row r="24" spans="1:16" x14ac:dyDescent="0.3">
      <c r="A24" s="638"/>
      <c r="B24" s="638"/>
      <c r="C24" s="638"/>
      <c r="D24" s="638"/>
      <c r="E24" s="638"/>
      <c r="F24" s="441" t="s">
        <v>69</v>
      </c>
      <c r="G24" s="441"/>
      <c r="H24" s="181">
        <f>+H18+H23</f>
        <v>911840.82000000007</v>
      </c>
      <c r="I24" s="181">
        <f>+I18+I23</f>
        <v>958345.1801</v>
      </c>
      <c r="J24" s="638"/>
      <c r="K24" s="552" t="s">
        <v>69</v>
      </c>
      <c r="L24" s="672">
        <f>L22+L23</f>
        <v>997125.74010000005</v>
      </c>
      <c r="M24" s="638"/>
      <c r="N24" s="552" t="s">
        <v>69</v>
      </c>
      <c r="O24" s="672">
        <f>O22+O23</f>
        <v>997125.74010000005</v>
      </c>
      <c r="P24" s="638"/>
    </row>
    <row r="25" spans="1:16" x14ac:dyDescent="0.3">
      <c r="A25" s="638"/>
      <c r="B25" s="638"/>
      <c r="C25" s="638"/>
      <c r="D25" s="638"/>
      <c r="E25" s="638"/>
      <c r="F25" s="638"/>
      <c r="H25" s="638"/>
      <c r="J25" s="638"/>
      <c r="K25" s="638"/>
      <c r="L25" s="638"/>
      <c r="M25" s="638"/>
      <c r="N25" s="638"/>
      <c r="O25" s="638"/>
      <c r="P25" s="638"/>
    </row>
    <row r="26" spans="1:16" x14ac:dyDescent="0.3">
      <c r="A26" s="665" t="s">
        <v>67</v>
      </c>
      <c r="B26" s="184"/>
      <c r="C26" s="184"/>
      <c r="D26" s="185" t="s">
        <v>68</v>
      </c>
      <c r="E26" s="638"/>
      <c r="F26" s="638"/>
      <c r="H26" s="638"/>
      <c r="J26" s="638"/>
      <c r="K26" s="186" t="s">
        <v>70</v>
      </c>
      <c r="L26" s="187" t="s">
        <v>71</v>
      </c>
      <c r="M26" s="186" t="s">
        <v>58</v>
      </c>
      <c r="N26" s="638"/>
      <c r="O26" s="638"/>
      <c r="P26" s="638"/>
    </row>
    <row r="27" spans="1:16" x14ac:dyDescent="0.3">
      <c r="A27" s="665"/>
      <c r="B27" s="184"/>
      <c r="C27" s="184"/>
      <c r="D27" s="185"/>
      <c r="E27" s="638"/>
      <c r="F27" s="638"/>
      <c r="H27" s="638"/>
      <c r="J27" s="638"/>
      <c r="K27" s="69" t="s">
        <v>72</v>
      </c>
      <c r="L27" s="70">
        <f>L22</f>
        <v>837920.79</v>
      </c>
      <c r="M27" s="360">
        <f>M22</f>
        <v>1.0667654472817827</v>
      </c>
      <c r="N27" s="638"/>
      <c r="O27" s="638"/>
      <c r="P27" s="638"/>
    </row>
    <row r="28" spans="1:16" x14ac:dyDescent="0.3">
      <c r="A28" s="665"/>
      <c r="B28" s="184"/>
      <c r="C28" s="184"/>
      <c r="D28" s="185"/>
      <c r="E28" s="638"/>
      <c r="F28" s="638"/>
      <c r="H28" s="638"/>
      <c r="J28" s="638"/>
      <c r="K28" s="72" t="s">
        <v>1</v>
      </c>
      <c r="L28" s="105">
        <f>L27</f>
        <v>837920.79</v>
      </c>
      <c r="M28" s="361">
        <f>M27</f>
        <v>1.0667654472817827</v>
      </c>
      <c r="N28" s="638"/>
      <c r="O28" s="638"/>
      <c r="P28" s="638"/>
    </row>
    <row r="29" spans="1:16" x14ac:dyDescent="0.3">
      <c r="A29" s="665"/>
      <c r="B29" s="184"/>
      <c r="C29" s="184"/>
      <c r="D29" s="185"/>
      <c r="E29" s="638"/>
      <c r="F29" s="638"/>
      <c r="H29" s="638"/>
      <c r="J29" s="638"/>
      <c r="K29" s="72" t="s">
        <v>9</v>
      </c>
      <c r="L29" s="1423"/>
      <c r="M29" s="1424"/>
      <c r="N29" s="638"/>
      <c r="O29" s="638"/>
      <c r="P29" s="638"/>
    </row>
    <row r="30" spans="1:16" x14ac:dyDescent="0.3">
      <c r="A30" s="665"/>
      <c r="B30" s="184"/>
      <c r="C30" s="184"/>
      <c r="D30" s="185"/>
      <c r="E30" s="638"/>
      <c r="F30" s="638"/>
      <c r="H30" s="638"/>
      <c r="J30" s="638"/>
      <c r="K30" s="440" t="s">
        <v>78</v>
      </c>
      <c r="L30" s="1423" t="s">
        <v>314</v>
      </c>
      <c r="M30" s="1424"/>
      <c r="N30" s="638"/>
      <c r="O30" s="638"/>
      <c r="P30" s="638"/>
    </row>
    <row r="31" spans="1:16" x14ac:dyDescent="0.3">
      <c r="A31" s="665"/>
      <c r="B31" s="184"/>
      <c r="C31" s="184"/>
      <c r="D31" s="185"/>
      <c r="E31" s="638"/>
      <c r="F31" s="638"/>
      <c r="H31" s="638"/>
      <c r="J31" s="638"/>
      <c r="K31" s="439" t="s">
        <v>8</v>
      </c>
      <c r="L31" s="1425" t="s">
        <v>315</v>
      </c>
      <c r="M31" s="1426"/>
      <c r="N31" s="638"/>
      <c r="O31" s="638"/>
      <c r="P31" s="638"/>
    </row>
    <row r="32" spans="1:16" x14ac:dyDescent="0.3">
      <c r="A32" s="665"/>
      <c r="B32" s="184"/>
      <c r="C32" s="184"/>
      <c r="D32" s="185" t="s">
        <v>75</v>
      </c>
      <c r="E32" s="638"/>
      <c r="F32" s="638"/>
      <c r="H32" s="638"/>
      <c r="J32" s="638"/>
      <c r="K32" s="638"/>
      <c r="L32" s="638"/>
      <c r="M32" s="638"/>
      <c r="N32" s="638"/>
      <c r="O32" s="638"/>
      <c r="P32" s="638"/>
    </row>
    <row r="33" spans="1:16" x14ac:dyDescent="0.3">
      <c r="A33" s="665" t="s">
        <v>76</v>
      </c>
      <c r="B33" s="180"/>
      <c r="C33" s="180"/>
      <c r="D33" s="185" t="s">
        <v>77</v>
      </c>
      <c r="E33" s="638"/>
      <c r="F33" s="638"/>
      <c r="H33" s="638"/>
      <c r="J33" s="638"/>
      <c r="K33" s="638"/>
      <c r="L33" s="638"/>
      <c r="M33" s="638"/>
      <c r="N33" s="638"/>
      <c r="O33" s="638"/>
      <c r="P33" s="638"/>
    </row>
    <row r="34" spans="1:16" x14ac:dyDescent="0.3">
      <c r="A34" s="665" t="s">
        <v>79</v>
      </c>
      <c r="B34" s="180"/>
      <c r="C34" s="180"/>
      <c r="D34" s="185" t="s">
        <v>80</v>
      </c>
      <c r="E34" s="638"/>
      <c r="F34" s="638"/>
      <c r="H34" s="638"/>
      <c r="J34" s="638"/>
      <c r="K34" s="638"/>
      <c r="L34" s="638"/>
      <c r="M34" s="638"/>
      <c r="N34" s="638"/>
      <c r="O34" s="638"/>
      <c r="P34" s="638"/>
    </row>
  </sheetData>
  <mergeCells count="21">
    <mergeCell ref="B11:J11"/>
    <mergeCell ref="K11:M12"/>
    <mergeCell ref="N11:P12"/>
    <mergeCell ref="B12:J12"/>
    <mergeCell ref="C1:M2"/>
    <mergeCell ref="N1:P1"/>
    <mergeCell ref="N2:P2"/>
    <mergeCell ref="A3:P3"/>
    <mergeCell ref="A4:P4"/>
    <mergeCell ref="A5:P5"/>
    <mergeCell ref="A6:P6"/>
    <mergeCell ref="A7:P7"/>
    <mergeCell ref="A8:P8"/>
    <mergeCell ref="A9:P9"/>
    <mergeCell ref="A10:P10"/>
    <mergeCell ref="L29:M29"/>
    <mergeCell ref="L30:M30"/>
    <mergeCell ref="L31:M31"/>
    <mergeCell ref="A14:A17"/>
    <mergeCell ref="B14:B17"/>
    <mergeCell ref="J14:J17"/>
  </mergeCells>
  <pageMargins left="0.7" right="0.7" top="0.75" bottom="0.75" header="0.3" footer="0.3"/>
  <pageSetup paperSize="9" scale="37" orientation="landscape" r:id="rId1"/>
  <drawing r:id="rId2"/>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0">
    <tabColor theme="1"/>
  </sheetPr>
  <dimension ref="A1:G49"/>
  <sheetViews>
    <sheetView zoomScaleNormal="100" zoomScaleSheetLayoutView="80" workbookViewId="0">
      <selection activeCell="G15" sqref="G1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RESUMEN!G129</f>
        <v>Proyecto:CDIM_CAOLIG_R0078 -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RESUMEN!B129</f>
        <v>D00243135</v>
      </c>
      <c r="C7" s="1265"/>
      <c r="D7" s="1177"/>
      <c r="E7" s="1266" t="s">
        <v>627</v>
      </c>
      <c r="F7" s="1267"/>
      <c r="G7" s="280" t="str">
        <f>RESUMEN!E129</f>
        <v>17-421</v>
      </c>
    </row>
    <row r="8" spans="1:7" x14ac:dyDescent="0.25">
      <c r="A8" s="271" t="s">
        <v>628</v>
      </c>
      <c r="B8" s="1264" t="str">
        <f>RESUMEN!C129</f>
        <v>D00243135000</v>
      </c>
      <c r="C8" s="1265"/>
      <c r="D8" s="1177"/>
      <c r="E8" s="1266" t="s">
        <v>629</v>
      </c>
      <c r="F8" s="1267"/>
      <c r="G8" s="280" t="str">
        <f>RESUMEN!U129</f>
        <v>Acta N° 2: Marzo</v>
      </c>
    </row>
    <row r="9" spans="1:7" x14ac:dyDescent="0.25">
      <c r="A9" s="271" t="s">
        <v>630</v>
      </c>
      <c r="B9" s="1283" t="s">
        <v>631</v>
      </c>
      <c r="C9" s="1265"/>
      <c r="D9" s="1177"/>
      <c r="E9" s="1266" t="s">
        <v>632</v>
      </c>
      <c r="F9" s="1267"/>
      <c r="G9" s="1178">
        <f>RESUMEN!H129</f>
        <v>3196654</v>
      </c>
    </row>
    <row r="10" spans="1:7" x14ac:dyDescent="0.25">
      <c r="A10" s="271" t="s">
        <v>633</v>
      </c>
      <c r="B10" s="1283" t="str">
        <f>RESUMEN!D129</f>
        <v>CIRCO</v>
      </c>
      <c r="C10" s="1265"/>
      <c r="D10" s="1177"/>
      <c r="E10" s="1266" t="s">
        <v>634</v>
      </c>
      <c r="F10" s="1267"/>
      <c r="G10" s="1178">
        <f>RESUMEN!R129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RESUMEN!V129,"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",RESUMEN!G129)</f>
        <v>A los 14 días del mes de Marzo se reunieron en las instalaciones de CODENSA S.A. E.S.P., los ingenieros Ing. Hernán Giraldo /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RESUMEN!N129</f>
        <v>0</v>
      </c>
      <c r="F19" s="1248"/>
      <c r="G19" s="1177"/>
    </row>
    <row r="20" spans="1:7" ht="27" customHeight="1" x14ac:dyDescent="0.25">
      <c r="A20" s="1177"/>
      <c r="B20" s="1244" t="s">
        <v>1498</v>
      </c>
      <c r="C20" s="1245"/>
      <c r="D20" s="1246"/>
      <c r="E20" s="1247">
        <f>RESUMEN!P129</f>
        <v>0</v>
      </c>
      <c r="F20" s="1248"/>
      <c r="G20" s="1177"/>
    </row>
    <row r="21" spans="1:7" ht="27" customHeight="1" x14ac:dyDescent="0.25">
      <c r="A21" s="1177"/>
      <c r="B21" s="1244" t="s">
        <v>1499</v>
      </c>
      <c r="C21" s="1245"/>
      <c r="D21" s="1246"/>
      <c r="E21" s="1247">
        <f>RESUMEN!Q129</f>
        <v>0</v>
      </c>
      <c r="F21" s="1248"/>
      <c r="G21" s="1177"/>
    </row>
    <row r="22" spans="1:7" x14ac:dyDescent="0.25">
      <c r="A22" s="1177"/>
      <c r="B22" s="1254" t="s">
        <v>64</v>
      </c>
      <c r="C22" s="1254"/>
      <c r="D22" s="1254"/>
      <c r="E22" s="1255">
        <f>RESUMEN!R129</f>
        <v>0</v>
      </c>
      <c r="F22" s="1255"/>
      <c r="G22" s="1177"/>
    </row>
    <row r="23" spans="1:7" x14ac:dyDescent="0.25">
      <c r="A23" s="1177"/>
      <c r="B23" s="1256" t="s">
        <v>66</v>
      </c>
      <c r="C23" s="1256"/>
      <c r="D23" s="1256"/>
      <c r="E23" s="1257">
        <f>RESUMEN!S129</f>
        <v>0</v>
      </c>
      <c r="F23" s="1257"/>
      <c r="G23" s="1177"/>
    </row>
    <row r="24" spans="1:7" x14ac:dyDescent="0.25">
      <c r="A24" s="1177"/>
      <c r="B24" s="1258" t="s">
        <v>1</v>
      </c>
      <c r="C24" s="1258"/>
      <c r="D24" s="1258"/>
      <c r="E24" s="1259">
        <f>RESUMEN!T129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+'OT17-421 CIRCO ADICIONALES'!N31</f>
        <v>ACTA 1</v>
      </c>
      <c r="C28" s="1253">
        <f>+'OT17-421 CIRCO ADICIONALES'!O31</f>
        <v>2895223</v>
      </c>
      <c r="D28" s="1253"/>
      <c r="E28" s="267">
        <f>+'OT17-421 CIRCO ADICIONALES'!P31</f>
        <v>0.90570421446925442</v>
      </c>
      <c r="F28" s="1177"/>
      <c r="G28" s="1177"/>
    </row>
    <row r="29" spans="1:7" x14ac:dyDescent="0.25">
      <c r="A29" s="1177"/>
      <c r="B29" s="280" t="str">
        <f>+'OT17-421 CIRCO ADICIONALES'!N32</f>
        <v>ACTA 2</v>
      </c>
      <c r="C29" s="1253">
        <f>+'OT17-421 CIRCO ADICIONALES'!O32</f>
        <v>0</v>
      </c>
      <c r="D29" s="1253"/>
      <c r="E29" s="267">
        <f>+'OT17-421 CIRCO ADICIONALES'!P32</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2895223</v>
      </c>
      <c r="D34" s="1251"/>
      <c r="E34" s="264">
        <f>SUM(E28:E33)</f>
        <v>0.90570421446925442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RESUMEN!V129</f>
        <v>Ing. Hernán Giraldo /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1">
    <tabColor rgb="FF72104A"/>
  </sheetPr>
  <dimension ref="A1:S38"/>
  <sheetViews>
    <sheetView topLeftCell="G19" zoomScale="90" zoomScaleNormal="90" workbookViewId="0">
      <selection activeCell="H13" sqref="H13"/>
    </sheetView>
  </sheetViews>
  <sheetFormatPr baseColWidth="10" defaultRowHeight="14.4" x14ac:dyDescent="0.3"/>
  <cols>
    <col min="1" max="1" width="16.6640625" customWidth="1"/>
    <col min="2" max="2" width="25.33203125" customWidth="1"/>
    <col min="3" max="3" width="28" customWidth="1"/>
    <col min="4" max="4" width="28.44140625" customWidth="1"/>
    <col min="6" max="6" width="14.44140625" bestFit="1" customWidth="1"/>
    <col min="7" max="7" width="14.44140625" style="849" customWidth="1"/>
    <col min="8" max="8" width="15" bestFit="1" customWidth="1"/>
    <col min="9" max="9" width="15" style="849" customWidth="1"/>
    <col min="10" max="10" width="33.44140625" customWidth="1"/>
    <col min="11" max="11" width="19.88671875" customWidth="1"/>
    <col min="12" max="12" width="15.5546875" bestFit="1" customWidth="1"/>
    <col min="14" max="14" width="14.109375" style="1054" customWidth="1"/>
    <col min="15" max="16" width="11.5546875" style="1054"/>
    <col min="17" max="17" width="15.88671875" customWidth="1"/>
    <col min="18" max="18" width="1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1849</v>
      </c>
      <c r="B7" s="1292"/>
      <c r="C7" s="1292"/>
      <c r="D7" s="1292"/>
      <c r="E7" s="1292"/>
      <c r="F7" s="1292"/>
      <c r="G7" s="1292"/>
      <c r="H7" s="1292"/>
      <c r="I7" s="1292"/>
      <c r="J7" s="1292"/>
      <c r="K7" s="1292"/>
      <c r="L7" s="1292"/>
      <c r="M7" s="1292"/>
      <c r="N7" s="1292"/>
      <c r="O7" s="1292"/>
      <c r="P7" s="1292"/>
      <c r="Q7" s="1292"/>
      <c r="R7" s="1292"/>
      <c r="S7" s="1292"/>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1846</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2"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5" customHeight="1" x14ac:dyDescent="0.3">
      <c r="A14" s="1289" t="s">
        <v>1057</v>
      </c>
      <c r="B14" s="1289" t="s">
        <v>217</v>
      </c>
      <c r="C14" s="636" t="s">
        <v>81</v>
      </c>
      <c r="D14" s="636" t="s">
        <v>218</v>
      </c>
      <c r="E14" s="636">
        <v>0.7</v>
      </c>
      <c r="F14" s="32">
        <v>1149124</v>
      </c>
      <c r="G14" s="32">
        <f>+ROUND(F14*1.051,0)</f>
        <v>1207729</v>
      </c>
      <c r="H14" s="32">
        <f>ROUND((E14*F14),0)</f>
        <v>804387</v>
      </c>
      <c r="I14" s="32">
        <f>+ROUND(G14*E14,0)</f>
        <v>845410</v>
      </c>
      <c r="J14" s="1290" t="s">
        <v>1847</v>
      </c>
      <c r="K14" s="537">
        <f>0.7*70%</f>
        <v>0.48999999999999994</v>
      </c>
      <c r="L14" s="752">
        <f>ROUND(K14*G14,0)</f>
        <v>591787</v>
      </c>
      <c r="M14" s="753">
        <f>L14/H14</f>
        <v>0.73569935864204672</v>
      </c>
      <c r="N14" s="891">
        <v>0</v>
      </c>
      <c r="O14" s="892">
        <f>ROUND(N14*G14,0)</f>
        <v>0</v>
      </c>
      <c r="P14" s="893">
        <f>O14/I14</f>
        <v>0</v>
      </c>
      <c r="Q14" s="536">
        <f>K14+N14</f>
        <v>0.48999999999999994</v>
      </c>
      <c r="R14" s="685">
        <f>L14+O14</f>
        <v>591787</v>
      </c>
      <c r="S14" s="684">
        <f>R14/I14</f>
        <v>0.7</v>
      </c>
    </row>
    <row r="15" spans="1:19" ht="43.2" x14ac:dyDescent="0.3">
      <c r="A15" s="1289"/>
      <c r="B15" s="1289"/>
      <c r="C15" s="636" t="s">
        <v>83</v>
      </c>
      <c r="D15" s="636" t="s">
        <v>219</v>
      </c>
      <c r="E15" s="636">
        <v>0.3</v>
      </c>
      <c r="F15" s="32">
        <v>2646468</v>
      </c>
      <c r="G15" s="32">
        <f>+ROUND(F15*1.051,0)</f>
        <v>2781438</v>
      </c>
      <c r="H15" s="32">
        <f>ROUND((E15*F15),0)</f>
        <v>793940</v>
      </c>
      <c r="I15" s="32">
        <f>+ROUND(G15*E15,0)</f>
        <v>834431</v>
      </c>
      <c r="J15" s="1289"/>
      <c r="K15" s="537">
        <v>0.3</v>
      </c>
      <c r="L15" s="752">
        <f t="shared" ref="L15:L16" si="0">ROUND(K15*G15,0)</f>
        <v>834431</v>
      </c>
      <c r="M15" s="753">
        <f>L15/H15</f>
        <v>1.0510000755724613</v>
      </c>
      <c r="N15" s="891">
        <v>0</v>
      </c>
      <c r="O15" s="892">
        <f t="shared" ref="O15:O16" si="1">ROUND(N15*G15,0)</f>
        <v>0</v>
      </c>
      <c r="P15" s="893">
        <f t="shared" ref="P15:P21" si="2">O15/I15</f>
        <v>0</v>
      </c>
      <c r="Q15" s="799">
        <f t="shared" ref="Q15:Q20" si="3">K15+N15</f>
        <v>0.3</v>
      </c>
      <c r="R15" s="685">
        <f t="shared" ref="R15:R21" si="4">L15+O15</f>
        <v>834431</v>
      </c>
      <c r="S15" s="684">
        <f t="shared" ref="S15:S21" si="5">R15/I15</f>
        <v>1</v>
      </c>
    </row>
    <row r="16" spans="1:19" ht="43.2" x14ac:dyDescent="0.3">
      <c r="A16" s="1289"/>
      <c r="B16" s="1289"/>
      <c r="C16" s="636" t="s">
        <v>61</v>
      </c>
      <c r="D16" s="636" t="s">
        <v>220</v>
      </c>
      <c r="E16" s="636">
        <v>0</v>
      </c>
      <c r="F16" s="32">
        <v>3203618</v>
      </c>
      <c r="G16" s="32">
        <f>+ROUND(F16*1.051,0)</f>
        <v>3367003</v>
      </c>
      <c r="H16" s="32">
        <f>ROUND((E16*F16),0)</f>
        <v>0</v>
      </c>
      <c r="I16" s="32">
        <f>+ROUND(G16*E16,0)</f>
        <v>0</v>
      </c>
      <c r="J16" s="1289"/>
      <c r="K16" s="799">
        <v>0</v>
      </c>
      <c r="L16" s="685">
        <f t="shared" si="0"/>
        <v>0</v>
      </c>
      <c r="M16" s="684">
        <v>0</v>
      </c>
      <c r="N16" s="799">
        <v>0</v>
      </c>
      <c r="O16" s="892">
        <f t="shared" si="1"/>
        <v>0</v>
      </c>
      <c r="P16" s="893">
        <v>0</v>
      </c>
      <c r="Q16" s="799">
        <f t="shared" si="3"/>
        <v>0</v>
      </c>
      <c r="R16" s="685">
        <f t="shared" si="4"/>
        <v>0</v>
      </c>
      <c r="S16" s="684">
        <v>0</v>
      </c>
    </row>
    <row r="17" spans="1:19" x14ac:dyDescent="0.3">
      <c r="A17" s="1289"/>
      <c r="B17" s="1289"/>
      <c r="C17" s="39"/>
      <c r="D17" s="39" t="s">
        <v>221</v>
      </c>
      <c r="E17" s="41"/>
      <c r="F17" s="41"/>
      <c r="G17" s="41"/>
      <c r="H17" s="42">
        <f>SUM(H14:H16)</f>
        <v>1598327</v>
      </c>
      <c r="I17" s="42">
        <f>SUM(I14:I16)</f>
        <v>1679841</v>
      </c>
      <c r="J17" s="1289"/>
      <c r="K17" s="40"/>
      <c r="L17" s="683">
        <f>SUM(L14:L16)</f>
        <v>1426218</v>
      </c>
      <c r="M17" s="519">
        <f>L17/H17</f>
        <v>0.89231928134856009</v>
      </c>
      <c r="N17" s="40"/>
      <c r="O17" s="683">
        <f>SUM(O14:O16)</f>
        <v>0</v>
      </c>
      <c r="P17" s="1100">
        <f t="shared" si="2"/>
        <v>0</v>
      </c>
      <c r="Q17" s="1106"/>
      <c r="R17" s="1107">
        <f t="shared" si="4"/>
        <v>1426218</v>
      </c>
      <c r="S17" s="1100">
        <f t="shared" si="5"/>
        <v>0.84901963935872504</v>
      </c>
    </row>
    <row r="18" spans="1:19" s="638" customFormat="1" ht="45" customHeight="1" x14ac:dyDescent="0.3">
      <c r="A18" s="1289" t="s">
        <v>417</v>
      </c>
      <c r="B18" s="1289" t="s">
        <v>217</v>
      </c>
      <c r="C18" s="636" t="s">
        <v>81</v>
      </c>
      <c r="D18" s="636" t="s">
        <v>218</v>
      </c>
      <c r="E18" s="636">
        <v>0.7</v>
      </c>
      <c r="F18" s="32">
        <v>1149124</v>
      </c>
      <c r="G18" s="32">
        <f>+ROUND(F18*1.051,0)</f>
        <v>1207729</v>
      </c>
      <c r="H18" s="32">
        <f>ROUND((E18*F18),0)</f>
        <v>804387</v>
      </c>
      <c r="I18" s="32">
        <f>+ROUND(G18*E18,0)</f>
        <v>845410</v>
      </c>
      <c r="J18" s="1290" t="s">
        <v>1848</v>
      </c>
      <c r="K18" s="537">
        <f>0.7*70%</f>
        <v>0.48999999999999994</v>
      </c>
      <c r="L18" s="752">
        <f t="shared" ref="L18:L20" si="6">ROUND(K18*G18,0)</f>
        <v>591787</v>
      </c>
      <c r="M18" s="753">
        <f>L18/H18</f>
        <v>0.73569935864204672</v>
      </c>
      <c r="N18" s="891">
        <v>0</v>
      </c>
      <c r="O18" s="892">
        <f>ROUND(N18*G18,0)</f>
        <v>0</v>
      </c>
      <c r="P18" s="893">
        <f t="shared" si="2"/>
        <v>0</v>
      </c>
      <c r="Q18" s="799">
        <f t="shared" si="3"/>
        <v>0.48999999999999994</v>
      </c>
      <c r="R18" s="685">
        <f t="shared" si="4"/>
        <v>591787</v>
      </c>
      <c r="S18" s="684">
        <f t="shared" si="5"/>
        <v>0.7</v>
      </c>
    </row>
    <row r="19" spans="1:19" s="638" customFormat="1" ht="43.2" x14ac:dyDescent="0.3">
      <c r="A19" s="1289"/>
      <c r="B19" s="1289"/>
      <c r="C19" s="636" t="s">
        <v>83</v>
      </c>
      <c r="D19" s="636" t="s">
        <v>219</v>
      </c>
      <c r="E19" s="636">
        <v>0.3</v>
      </c>
      <c r="F19" s="32">
        <v>2646468</v>
      </c>
      <c r="G19" s="32">
        <f>+ROUND(F19*1.051,0)</f>
        <v>2781438</v>
      </c>
      <c r="H19" s="32">
        <f>ROUND((E19*F19),0)</f>
        <v>793940</v>
      </c>
      <c r="I19" s="32">
        <f>+ROUND(G19*E19,0)</f>
        <v>834431</v>
      </c>
      <c r="J19" s="1289"/>
      <c r="K19" s="537">
        <v>0.3</v>
      </c>
      <c r="L19" s="752">
        <f t="shared" si="6"/>
        <v>834431</v>
      </c>
      <c r="M19" s="753">
        <f>L19/H19</f>
        <v>1.0510000755724613</v>
      </c>
      <c r="N19" s="891">
        <v>0</v>
      </c>
      <c r="O19" s="892">
        <f t="shared" ref="O19:O20" si="7">ROUND(N19*G19,0)</f>
        <v>0</v>
      </c>
      <c r="P19" s="893">
        <f t="shared" si="2"/>
        <v>0</v>
      </c>
      <c r="Q19" s="799">
        <f t="shared" si="3"/>
        <v>0.3</v>
      </c>
      <c r="R19" s="685">
        <f t="shared" si="4"/>
        <v>834431</v>
      </c>
      <c r="S19" s="684">
        <f t="shared" si="5"/>
        <v>1</v>
      </c>
    </row>
    <row r="20" spans="1:19" s="638" customFormat="1" ht="43.2" x14ac:dyDescent="0.3">
      <c r="A20" s="1289"/>
      <c r="B20" s="1289"/>
      <c r="C20" s="636" t="s">
        <v>61</v>
      </c>
      <c r="D20" s="636" t="s">
        <v>220</v>
      </c>
      <c r="E20" s="636">
        <v>0</v>
      </c>
      <c r="F20" s="32">
        <v>3203618</v>
      </c>
      <c r="G20" s="32">
        <f>+ROUND(F20*1.051,0)</f>
        <v>3367003</v>
      </c>
      <c r="H20" s="32">
        <f>ROUND((E20*F20),0)</f>
        <v>0</v>
      </c>
      <c r="I20" s="32">
        <f>+ROUND(G20*E20,0)</f>
        <v>0</v>
      </c>
      <c r="J20" s="1289"/>
      <c r="K20" s="799">
        <v>0</v>
      </c>
      <c r="L20" s="685">
        <f t="shared" si="6"/>
        <v>0</v>
      </c>
      <c r="M20" s="684">
        <v>0</v>
      </c>
      <c r="N20" s="799">
        <v>0</v>
      </c>
      <c r="O20" s="892">
        <f t="shared" si="7"/>
        <v>0</v>
      </c>
      <c r="P20" s="893">
        <v>0</v>
      </c>
      <c r="Q20" s="799">
        <f t="shared" si="3"/>
        <v>0</v>
      </c>
      <c r="R20" s="685">
        <f t="shared" si="4"/>
        <v>0</v>
      </c>
      <c r="S20" s="684">
        <v>0</v>
      </c>
    </row>
    <row r="21" spans="1:19" s="638" customFormat="1" x14ac:dyDescent="0.3">
      <c r="A21" s="1289"/>
      <c r="B21" s="1289"/>
      <c r="C21" s="39"/>
      <c r="D21" s="39" t="s">
        <v>221</v>
      </c>
      <c r="E21" s="41"/>
      <c r="F21" s="41"/>
      <c r="G21" s="41"/>
      <c r="H21" s="42">
        <f>SUM(H18:H20)</f>
        <v>1598327</v>
      </c>
      <c r="I21" s="42">
        <f>SUM(I18:I20)</f>
        <v>1679841</v>
      </c>
      <c r="J21" s="1289"/>
      <c r="K21" s="40"/>
      <c r="L21" s="683">
        <f>SUM(L18:L20)</f>
        <v>1426218</v>
      </c>
      <c r="M21" s="519">
        <f>L21/H21</f>
        <v>0.89231928134856009</v>
      </c>
      <c r="N21" s="40"/>
      <c r="O21" s="683">
        <f>SUM(O18:O20)</f>
        <v>0</v>
      </c>
      <c r="P21" s="1100">
        <f t="shared" si="2"/>
        <v>0</v>
      </c>
      <c r="Q21" s="1108"/>
      <c r="R21" s="1107">
        <f t="shared" si="4"/>
        <v>1426218</v>
      </c>
      <c r="S21" s="1100">
        <f t="shared" si="5"/>
        <v>0.84901963935872504</v>
      </c>
    </row>
    <row r="22" spans="1:19" x14ac:dyDescent="0.3">
      <c r="A22" s="638"/>
      <c r="B22" s="638"/>
      <c r="C22" s="638"/>
      <c r="D22" s="638"/>
      <c r="E22" s="638"/>
      <c r="F22" s="686" t="s">
        <v>1740</v>
      </c>
      <c r="G22" s="686"/>
      <c r="H22" s="687">
        <f>0+H17+H21</f>
        <v>3196654</v>
      </c>
      <c r="I22" s="687">
        <f>0+I17+I21</f>
        <v>3359682</v>
      </c>
      <c r="J22" s="638"/>
      <c r="K22" s="547" t="s">
        <v>64</v>
      </c>
      <c r="L22" s="677">
        <f>SUM(L14:L21)/2</f>
        <v>2852436</v>
      </c>
      <c r="M22" s="638"/>
      <c r="N22" s="547" t="s">
        <v>64</v>
      </c>
      <c r="O22" s="677">
        <f>SUM(O14:O21)/2</f>
        <v>0</v>
      </c>
      <c r="Q22" s="549" t="s">
        <v>64</v>
      </c>
      <c r="R22" s="677">
        <f>SUM(R14:R21)/2</f>
        <v>2852436</v>
      </c>
      <c r="S22" s="638"/>
    </row>
    <row r="23" spans="1:19" ht="26.4" x14ac:dyDescent="0.3">
      <c r="A23" s="638"/>
      <c r="B23" s="638"/>
      <c r="C23" s="638"/>
      <c r="D23" s="638"/>
      <c r="E23" s="638"/>
      <c r="F23" s="444" t="s">
        <v>65</v>
      </c>
      <c r="G23" s="444"/>
      <c r="H23" s="181">
        <v>0</v>
      </c>
      <c r="I23" s="181">
        <v>0</v>
      </c>
      <c r="J23" s="638"/>
      <c r="K23" s="548" t="s">
        <v>65</v>
      </c>
      <c r="L23" s="677">
        <v>0</v>
      </c>
      <c r="M23" s="638"/>
      <c r="N23" s="548" t="s">
        <v>65</v>
      </c>
      <c r="O23" s="677">
        <v>0</v>
      </c>
      <c r="Q23" s="548" t="s">
        <v>65</v>
      </c>
      <c r="R23" s="677">
        <v>0</v>
      </c>
      <c r="S23" s="638"/>
    </row>
    <row r="24" spans="1:19" x14ac:dyDescent="0.3">
      <c r="A24" s="638"/>
      <c r="B24" s="638"/>
      <c r="C24" s="638"/>
      <c r="D24" s="638"/>
      <c r="E24" s="638"/>
      <c r="F24" s="443" t="s">
        <v>1740</v>
      </c>
      <c r="G24" s="443"/>
      <c r="H24" s="340">
        <f>+H23+H22</f>
        <v>3196654</v>
      </c>
      <c r="I24" s="340">
        <f>+I23+I22</f>
        <v>3359682</v>
      </c>
      <c r="J24" s="638"/>
      <c r="K24" s="549" t="s">
        <v>64</v>
      </c>
      <c r="L24" s="481">
        <f>L22+L23</f>
        <v>2852436</v>
      </c>
      <c r="M24" s="638"/>
      <c r="N24" s="549" t="s">
        <v>64</v>
      </c>
      <c r="O24" s="481">
        <f>O22+O23</f>
        <v>0</v>
      </c>
      <c r="Q24" s="549" t="s">
        <v>64</v>
      </c>
      <c r="R24" s="481">
        <f>R22+R23</f>
        <v>2852436</v>
      </c>
      <c r="S24" s="638"/>
    </row>
    <row r="25" spans="1:19" ht="26.4" x14ac:dyDescent="0.3">
      <c r="A25" s="638"/>
      <c r="B25" s="638"/>
      <c r="C25" s="638"/>
      <c r="D25" s="638"/>
      <c r="E25" s="638"/>
      <c r="F25" s="659"/>
      <c r="G25" s="659"/>
      <c r="H25" s="659"/>
      <c r="I25" s="659"/>
      <c r="J25" s="638"/>
      <c r="K25" s="501" t="s">
        <v>1439</v>
      </c>
      <c r="L25" s="481">
        <f>ROUND(L24*0.015,0)</f>
        <v>42787</v>
      </c>
      <c r="M25" s="638"/>
      <c r="N25" s="501" t="s">
        <v>1439</v>
      </c>
      <c r="O25" s="481">
        <f>ROUND(O24*0.015,0)</f>
        <v>0</v>
      </c>
      <c r="Q25" s="501" t="s">
        <v>1439</v>
      </c>
      <c r="R25" s="481">
        <f>ROUND(R24*0.015,0)</f>
        <v>42787</v>
      </c>
      <c r="S25" s="638"/>
    </row>
    <row r="26" spans="1:19" ht="39.6" x14ac:dyDescent="0.3">
      <c r="A26" s="638"/>
      <c r="B26" s="638"/>
      <c r="C26" s="638"/>
      <c r="D26" s="638"/>
      <c r="E26" s="638"/>
      <c r="F26" s="659"/>
      <c r="G26" s="659"/>
      <c r="H26" s="659"/>
      <c r="I26" s="659"/>
      <c r="J26" s="638"/>
      <c r="K26" s="96" t="s">
        <v>1440</v>
      </c>
      <c r="L26" s="425">
        <f>L24+L25</f>
        <v>2895223</v>
      </c>
      <c r="M26" s="678">
        <f>L26/H22</f>
        <v>0.90570421446925442</v>
      </c>
      <c r="N26" s="96" t="s">
        <v>1440</v>
      </c>
      <c r="O26" s="425">
        <f>O24+O25</f>
        <v>0</v>
      </c>
      <c r="P26" s="678">
        <f>O26/H22</f>
        <v>0</v>
      </c>
      <c r="Q26" s="96" t="s">
        <v>1440</v>
      </c>
      <c r="R26" s="425">
        <f>R24+R25</f>
        <v>2895223</v>
      </c>
      <c r="S26" s="678">
        <f>R26/H22</f>
        <v>0.90570421446925442</v>
      </c>
    </row>
    <row r="27" spans="1:19" x14ac:dyDescent="0.3">
      <c r="A27" s="638"/>
      <c r="B27" s="638"/>
      <c r="C27" s="638"/>
      <c r="D27" s="638"/>
      <c r="E27" s="638"/>
      <c r="F27" s="442" t="s">
        <v>66</v>
      </c>
      <c r="G27" s="442"/>
      <c r="H27" s="181">
        <f>+H22*19%</f>
        <v>607364.26</v>
      </c>
      <c r="I27" s="181">
        <f>+I22*19%</f>
        <v>638339.57999999996</v>
      </c>
      <c r="J27" s="638"/>
      <c r="K27" s="551" t="s">
        <v>66</v>
      </c>
      <c r="L27" s="672">
        <f>L26*0.19</f>
        <v>550092.37</v>
      </c>
      <c r="M27" s="638"/>
      <c r="N27" s="551" t="s">
        <v>66</v>
      </c>
      <c r="O27" s="672">
        <f>O26*0.19</f>
        <v>0</v>
      </c>
      <c r="Q27" s="551" t="s">
        <v>66</v>
      </c>
      <c r="R27" s="672">
        <f>R26*0.19</f>
        <v>550092.37</v>
      </c>
      <c r="S27" s="638"/>
    </row>
    <row r="28" spans="1:19" x14ac:dyDescent="0.3">
      <c r="A28" s="638"/>
      <c r="B28" s="638"/>
      <c r="C28" s="638"/>
      <c r="D28" s="638"/>
      <c r="E28" s="638"/>
      <c r="F28" s="441" t="s">
        <v>69</v>
      </c>
      <c r="G28" s="441"/>
      <c r="H28" s="181">
        <f>+H22+H27</f>
        <v>3804018.26</v>
      </c>
      <c r="I28" s="181">
        <f>+I22+I27</f>
        <v>3998021.58</v>
      </c>
      <c r="J28" s="638"/>
      <c r="K28" s="552" t="s">
        <v>69</v>
      </c>
      <c r="L28" s="672">
        <f>L26+L27</f>
        <v>3445315.37</v>
      </c>
      <c r="M28" s="638"/>
      <c r="N28" s="552" t="s">
        <v>69</v>
      </c>
      <c r="O28" s="672">
        <f>O26+O27</f>
        <v>0</v>
      </c>
      <c r="Q28" s="552" t="s">
        <v>69</v>
      </c>
      <c r="R28" s="672">
        <f>R26+R27</f>
        <v>3445315.37</v>
      </c>
      <c r="S28" s="638"/>
    </row>
    <row r="29" spans="1:19" x14ac:dyDescent="0.3">
      <c r="A29" s="638"/>
      <c r="B29" s="638"/>
      <c r="C29" s="638"/>
      <c r="D29" s="638"/>
      <c r="E29" s="638"/>
      <c r="F29" s="638"/>
      <c r="H29" s="638"/>
      <c r="J29" s="638"/>
      <c r="K29" s="638"/>
      <c r="L29" s="638"/>
      <c r="M29" s="638"/>
      <c r="Q29" s="638"/>
      <c r="R29" s="638"/>
      <c r="S29" s="638"/>
    </row>
    <row r="30" spans="1:19" ht="26.4" x14ac:dyDescent="0.3">
      <c r="A30" s="665" t="s">
        <v>67</v>
      </c>
      <c r="B30" s="184"/>
      <c r="C30" s="184"/>
      <c r="D30" s="185" t="s">
        <v>68</v>
      </c>
      <c r="E30" s="638"/>
      <c r="F30" s="638"/>
      <c r="H30" s="638"/>
      <c r="J30" s="638"/>
      <c r="K30" s="186" t="s">
        <v>70</v>
      </c>
      <c r="L30" s="187" t="s">
        <v>71</v>
      </c>
      <c r="M30" s="186" t="s">
        <v>58</v>
      </c>
      <c r="N30" s="186" t="s">
        <v>70</v>
      </c>
      <c r="O30" s="187" t="s">
        <v>71</v>
      </c>
      <c r="P30" s="186" t="s">
        <v>58</v>
      </c>
      <c r="Q30" s="638"/>
      <c r="R30" s="638"/>
      <c r="S30" s="638"/>
    </row>
    <row r="31" spans="1:19" x14ac:dyDescent="0.3">
      <c r="A31" s="665"/>
      <c r="B31" s="184"/>
      <c r="C31" s="184"/>
      <c r="D31" s="185"/>
      <c r="E31" s="638"/>
      <c r="F31" s="638"/>
      <c r="H31" s="638"/>
      <c r="J31" s="638"/>
      <c r="K31" s="69" t="s">
        <v>72</v>
      </c>
      <c r="L31" s="70">
        <f>L26</f>
        <v>2895223</v>
      </c>
      <c r="M31" s="360">
        <f>M26</f>
        <v>0.90570421446925442</v>
      </c>
      <c r="N31" s="69" t="s">
        <v>72</v>
      </c>
      <c r="O31" s="70">
        <f>$L$26</f>
        <v>2895223</v>
      </c>
      <c r="P31" s="360">
        <f>$M$26</f>
        <v>0.90570421446925442</v>
      </c>
      <c r="Q31" s="638"/>
      <c r="R31" s="638"/>
      <c r="S31" s="638"/>
    </row>
    <row r="32" spans="1:19" x14ac:dyDescent="0.3">
      <c r="A32" s="665"/>
      <c r="B32" s="184"/>
      <c r="C32" s="184"/>
      <c r="D32" s="185"/>
      <c r="E32" s="638"/>
      <c r="F32" s="638"/>
      <c r="H32" s="638"/>
      <c r="J32" s="638"/>
      <c r="K32" s="72" t="s">
        <v>1</v>
      </c>
      <c r="L32" s="105">
        <f>L31</f>
        <v>2895223</v>
      </c>
      <c r="M32" s="361">
        <f>M31</f>
        <v>0.90570421446925442</v>
      </c>
      <c r="N32" s="69" t="s">
        <v>73</v>
      </c>
      <c r="O32" s="70">
        <f>$O$26</f>
        <v>0</v>
      </c>
      <c r="P32" s="360">
        <f>$P$26</f>
        <v>0</v>
      </c>
      <c r="Q32" s="638"/>
      <c r="R32" s="638"/>
      <c r="S32" s="638"/>
    </row>
    <row r="33" spans="1:19" x14ac:dyDescent="0.3">
      <c r="A33" s="665"/>
      <c r="B33" s="184"/>
      <c r="C33" s="184"/>
      <c r="D33" s="185"/>
      <c r="E33" s="638"/>
      <c r="F33" s="638"/>
      <c r="H33" s="638"/>
      <c r="J33" s="638"/>
      <c r="K33" s="72" t="s">
        <v>9</v>
      </c>
      <c r="L33" s="1423"/>
      <c r="M33" s="1424"/>
      <c r="N33" s="72" t="s">
        <v>1</v>
      </c>
      <c r="O33" s="105">
        <f>SUM(O31:O32)</f>
        <v>2895223</v>
      </c>
      <c r="P33" s="361">
        <f>SUM(P31:P32)</f>
        <v>0.90570421446925442</v>
      </c>
      <c r="Q33" s="638"/>
      <c r="R33" s="638"/>
      <c r="S33" s="638"/>
    </row>
    <row r="34" spans="1:19" x14ac:dyDescent="0.3">
      <c r="A34" s="665"/>
      <c r="B34" s="184"/>
      <c r="C34" s="184"/>
      <c r="D34" s="185"/>
      <c r="E34" s="638"/>
      <c r="F34" s="638"/>
      <c r="H34" s="638"/>
      <c r="J34" s="638"/>
      <c r="K34" s="440" t="s">
        <v>78</v>
      </c>
      <c r="L34" s="1423" t="s">
        <v>314</v>
      </c>
      <c r="M34" s="1424"/>
      <c r="N34" s="72" t="s">
        <v>9</v>
      </c>
      <c r="O34" s="1423"/>
      <c r="P34" s="1424"/>
      <c r="Q34" s="638"/>
      <c r="R34" s="638"/>
      <c r="S34" s="638"/>
    </row>
    <row r="35" spans="1:19" x14ac:dyDescent="0.3">
      <c r="A35" s="665"/>
      <c r="B35" s="184"/>
      <c r="C35" s="184"/>
      <c r="D35" s="185"/>
      <c r="E35" s="638"/>
      <c r="F35" s="638"/>
      <c r="H35" s="638"/>
      <c r="J35" s="638"/>
      <c r="K35" s="439" t="s">
        <v>8</v>
      </c>
      <c r="L35" s="1425" t="s">
        <v>315</v>
      </c>
      <c r="M35" s="1426"/>
      <c r="N35" s="440" t="s">
        <v>78</v>
      </c>
      <c r="O35" s="1423" t="s">
        <v>314</v>
      </c>
      <c r="P35" s="1424"/>
      <c r="Q35" s="638"/>
      <c r="R35" s="638"/>
      <c r="S35" s="638"/>
    </row>
    <row r="36" spans="1:19" x14ac:dyDescent="0.3">
      <c r="A36" s="665"/>
      <c r="B36" s="184"/>
      <c r="C36" s="184"/>
      <c r="D36" s="185" t="s">
        <v>75</v>
      </c>
      <c r="E36" s="638"/>
      <c r="F36" s="638"/>
      <c r="H36" s="638"/>
      <c r="J36" s="638"/>
      <c r="K36" s="638"/>
      <c r="L36" s="638"/>
      <c r="M36" s="638"/>
      <c r="N36" s="439" t="s">
        <v>8</v>
      </c>
      <c r="O36" s="1425" t="s">
        <v>315</v>
      </c>
      <c r="P36" s="1426"/>
      <c r="Q36" s="638"/>
      <c r="R36" s="638"/>
      <c r="S36" s="638"/>
    </row>
    <row r="37" spans="1:19" x14ac:dyDescent="0.3">
      <c r="A37" s="665" t="s">
        <v>76</v>
      </c>
      <c r="B37" s="180"/>
      <c r="C37" s="180"/>
      <c r="D37" s="185" t="s">
        <v>77</v>
      </c>
      <c r="E37" s="638"/>
      <c r="F37" s="638"/>
      <c r="H37" s="638"/>
      <c r="J37" s="638"/>
      <c r="K37" s="638"/>
      <c r="L37" s="638"/>
      <c r="M37" s="638"/>
      <c r="Q37" s="638"/>
      <c r="R37" s="638"/>
      <c r="S37" s="638"/>
    </row>
    <row r="38" spans="1:19" ht="26.4" x14ac:dyDescent="0.3">
      <c r="A38" s="665" t="s">
        <v>79</v>
      </c>
      <c r="B38" s="180"/>
      <c r="C38" s="180"/>
      <c r="D38" s="185" t="s">
        <v>80</v>
      </c>
      <c r="E38" s="638"/>
      <c r="F38" s="638"/>
      <c r="H38" s="638"/>
      <c r="J38" s="638"/>
      <c r="K38" s="638"/>
      <c r="L38" s="638"/>
      <c r="M38" s="638"/>
      <c r="Q38" s="638"/>
      <c r="R38" s="638"/>
      <c r="S38" s="638"/>
    </row>
  </sheetData>
  <mergeCells count="28">
    <mergeCell ref="A5:S5"/>
    <mergeCell ref="C1:M2"/>
    <mergeCell ref="Q1:S1"/>
    <mergeCell ref="Q2:S2"/>
    <mergeCell ref="A3:S3"/>
    <mergeCell ref="A4:S4"/>
    <mergeCell ref="A18:A21"/>
    <mergeCell ref="B18:B21"/>
    <mergeCell ref="J18:J21"/>
    <mergeCell ref="A6:S6"/>
    <mergeCell ref="A7:S7"/>
    <mergeCell ref="A8:S8"/>
    <mergeCell ref="A9:S9"/>
    <mergeCell ref="A10:S10"/>
    <mergeCell ref="B11:J11"/>
    <mergeCell ref="K11:M12"/>
    <mergeCell ref="Q11:S12"/>
    <mergeCell ref="B12:J12"/>
    <mergeCell ref="A14:A17"/>
    <mergeCell ref="B14:B17"/>
    <mergeCell ref="J14:J17"/>
    <mergeCell ref="N11:P12"/>
    <mergeCell ref="O34:P34"/>
    <mergeCell ref="O35:P35"/>
    <mergeCell ref="O36:P36"/>
    <mergeCell ref="L33:M33"/>
    <mergeCell ref="L34:M34"/>
    <mergeCell ref="L35:M35"/>
  </mergeCells>
  <pageMargins left="0.7" right="0.7" top="0.75" bottom="0.75" header="0.3" footer="0.3"/>
  <pageSetup paperSize="9" scale="43" orientation="landscape" r:id="rId1"/>
  <drawing r:id="rId2"/>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2">
    <tabColor theme="1"/>
  </sheetPr>
  <dimension ref="A1:G49"/>
  <sheetViews>
    <sheetView topLeftCell="A16"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RESUMEN!G130</f>
        <v>Proyecto:CDIE_CBCCSM_R0178 REPOSICIÓN INTERRUPTORES.</v>
      </c>
      <c r="C5" s="1281"/>
      <c r="D5" s="1281"/>
      <c r="E5" s="1281"/>
      <c r="F5" s="1281"/>
      <c r="G5" s="1282"/>
    </row>
    <row r="6" spans="1:7" x14ac:dyDescent="0.25">
      <c r="A6" s="1177"/>
      <c r="B6" s="1177"/>
      <c r="C6" s="1177"/>
      <c r="D6" s="1177"/>
      <c r="E6" s="1177"/>
      <c r="F6" s="1177"/>
      <c r="G6" s="1177"/>
    </row>
    <row r="7" spans="1:7" x14ac:dyDescent="0.25">
      <c r="A7" s="271" t="s">
        <v>0</v>
      </c>
      <c r="B7" s="1264" t="str">
        <f>RESUMEN!B130</f>
        <v>D00249266</v>
      </c>
      <c r="C7" s="1265"/>
      <c r="D7" s="1177"/>
      <c r="E7" s="1266" t="s">
        <v>627</v>
      </c>
      <c r="F7" s="1267"/>
      <c r="G7" s="280" t="str">
        <f>RESUMEN!E130</f>
        <v>17-422</v>
      </c>
    </row>
    <row r="8" spans="1:7" x14ac:dyDescent="0.25">
      <c r="A8" s="271" t="s">
        <v>628</v>
      </c>
      <c r="B8" s="1264" t="str">
        <f>RESUMEN!C130</f>
        <v>D00249266000</v>
      </c>
      <c r="C8" s="1265"/>
      <c r="D8" s="1177"/>
      <c r="E8" s="1266" t="s">
        <v>629</v>
      </c>
      <c r="F8" s="1267"/>
      <c r="G8" s="280" t="str">
        <f>RESUMEN!U130</f>
        <v>Acta N° 2: Marzo</v>
      </c>
    </row>
    <row r="9" spans="1:7" x14ac:dyDescent="0.25">
      <c r="A9" s="271" t="s">
        <v>630</v>
      </c>
      <c r="B9" s="1283" t="s">
        <v>631</v>
      </c>
      <c r="C9" s="1265"/>
      <c r="D9" s="1177"/>
      <c r="E9" s="1266" t="s">
        <v>632</v>
      </c>
      <c r="F9" s="1267"/>
      <c r="G9" s="1178">
        <f>RESUMEN!H130</f>
        <v>18253662</v>
      </c>
    </row>
    <row r="10" spans="1:7" x14ac:dyDescent="0.25">
      <c r="A10" s="271" t="s">
        <v>633</v>
      </c>
      <c r="B10" s="1283" t="str">
        <f>RESUMEN!D130</f>
        <v>SESQUILÉ</v>
      </c>
      <c r="C10" s="1265"/>
      <c r="D10" s="1177"/>
      <c r="E10" s="1266" t="s">
        <v>634</v>
      </c>
      <c r="F10" s="1267"/>
      <c r="G10" s="1178">
        <f>RESUMEN!R130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",RESUMEN!G130)</f>
        <v>A los 14 días del mes de Marzo se reunieron en las instalaciones de CODENSA S.A. E.S.P., los ingenieros Ing. Manuel Urbina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Proyecto:CDIE_CBCCSM_R0178 REPOSICIÓN INTERRUPTORES.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RESUMEN!N130</f>
        <v>0</v>
      </c>
      <c r="F19" s="1248"/>
      <c r="G19" s="1177"/>
    </row>
    <row r="20" spans="1:7" ht="27" customHeight="1" x14ac:dyDescent="0.25">
      <c r="A20" s="1177"/>
      <c r="B20" s="1244" t="s">
        <v>1498</v>
      </c>
      <c r="C20" s="1245"/>
      <c r="D20" s="1246"/>
      <c r="E20" s="1247">
        <f>RESUMEN!P130</f>
        <v>0</v>
      </c>
      <c r="F20" s="1248"/>
      <c r="G20" s="1177"/>
    </row>
    <row r="21" spans="1:7" ht="27" customHeight="1" x14ac:dyDescent="0.25">
      <c r="A21" s="1177"/>
      <c r="B21" s="1244" t="s">
        <v>1499</v>
      </c>
      <c r="C21" s="1245"/>
      <c r="D21" s="1246"/>
      <c r="E21" s="1247">
        <f>RESUMEN!Q130</f>
        <v>0</v>
      </c>
      <c r="F21" s="1248"/>
      <c r="G21" s="1177"/>
    </row>
    <row r="22" spans="1:7" x14ac:dyDescent="0.25">
      <c r="A22" s="1177"/>
      <c r="B22" s="1254" t="s">
        <v>64</v>
      </c>
      <c r="C22" s="1254"/>
      <c r="D22" s="1254"/>
      <c r="E22" s="1255">
        <f>RESUMEN!R130</f>
        <v>0</v>
      </c>
      <c r="F22" s="1255"/>
      <c r="G22" s="1177"/>
    </row>
    <row r="23" spans="1:7" x14ac:dyDescent="0.25">
      <c r="A23" s="1177"/>
      <c r="B23" s="1256" t="s">
        <v>66</v>
      </c>
      <c r="C23" s="1256"/>
      <c r="D23" s="1256"/>
      <c r="E23" s="1257">
        <f>RESUMEN!S130</f>
        <v>0</v>
      </c>
      <c r="F23" s="1257"/>
      <c r="G23" s="1177"/>
    </row>
    <row r="24" spans="1:7" x14ac:dyDescent="0.25">
      <c r="A24" s="1177"/>
      <c r="B24" s="1258" t="s">
        <v>1</v>
      </c>
      <c r="C24" s="1258"/>
      <c r="D24" s="1258"/>
      <c r="E24" s="1259">
        <f>RESUMEN!T130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+'OT17-422 SESQUILE REP. INT'!N35</f>
        <v>ACTA 1</v>
      </c>
      <c r="C28" s="1253">
        <f>+'OT17-422 SESQUILE REP. INT'!O35</f>
        <v>9574853.7899999991</v>
      </c>
      <c r="D28" s="1253"/>
      <c r="E28" s="267">
        <f>+'OT17-422 SESQUILE REP. INT'!P35</f>
        <v>0.52127491476161414</v>
      </c>
      <c r="F28" s="1177"/>
      <c r="G28" s="1177"/>
    </row>
    <row r="29" spans="1:7" x14ac:dyDescent="0.25">
      <c r="A29" s="1177"/>
      <c r="B29" s="280" t="str">
        <f>+'OT17-422 SESQUILE REP. INT'!N36</f>
        <v>ACTA 2</v>
      </c>
      <c r="C29" s="1253">
        <f>+'OT17-422 SESQUILE REP. INT'!O36</f>
        <v>0</v>
      </c>
      <c r="D29" s="1253"/>
      <c r="E29" s="267">
        <f>+'OT17-422 SESQUILE REP. INT'!P36</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9574853.7899999991</v>
      </c>
      <c r="D34" s="1251"/>
      <c r="E34" s="264">
        <f>SUM(E28:E33)</f>
        <v>0.52127491476161414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RESUMEN!V130</f>
        <v>Ing. Manuel Urbina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3">
    <tabColor rgb="FF72104A"/>
  </sheetPr>
  <dimension ref="A1:S42"/>
  <sheetViews>
    <sheetView topLeftCell="G19" zoomScale="80" zoomScaleNormal="80" workbookViewId="0">
      <selection activeCell="E14" sqref="E14"/>
    </sheetView>
  </sheetViews>
  <sheetFormatPr baseColWidth="10" defaultRowHeight="14.4" x14ac:dyDescent="0.3"/>
  <cols>
    <col min="2" max="2" width="31.6640625" customWidth="1"/>
    <col min="3" max="3" width="25.33203125" customWidth="1"/>
    <col min="4" max="4" width="23.5546875" customWidth="1"/>
    <col min="6" max="6" width="14.44140625" bestFit="1" customWidth="1"/>
    <col min="7" max="7" width="14.44140625" style="849" customWidth="1"/>
    <col min="8" max="8" width="17.5546875" bestFit="1" customWidth="1"/>
    <col min="9" max="9" width="18" style="849" bestFit="1" customWidth="1"/>
    <col min="10" max="10" width="60.88671875" customWidth="1"/>
    <col min="11" max="11" width="19.88671875" customWidth="1"/>
    <col min="12" max="12" width="19.109375" bestFit="1" customWidth="1"/>
    <col min="14" max="14" width="15.33203125" style="1054" customWidth="1"/>
    <col min="15" max="16" width="11.5546875" style="1054"/>
    <col min="17" max="17" width="21.33203125" customWidth="1"/>
    <col min="18" max="18" width="15.8867187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1854</v>
      </c>
      <c r="B7" s="1292"/>
      <c r="C7" s="1292"/>
      <c r="D7" s="1292"/>
      <c r="E7" s="1292"/>
      <c r="F7" s="1292"/>
      <c r="G7" s="1292"/>
      <c r="H7" s="1292"/>
      <c r="I7" s="1292"/>
      <c r="J7" s="1292"/>
      <c r="K7" s="1292"/>
      <c r="L7" s="1292"/>
      <c r="M7" s="1292"/>
      <c r="N7" s="1292"/>
      <c r="O7" s="1292"/>
      <c r="P7" s="1292"/>
      <c r="Q7" s="1292"/>
      <c r="R7" s="1292"/>
      <c r="S7" s="1292"/>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1850</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2313</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46.5" customHeight="1"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5" customHeight="1" x14ac:dyDescent="0.3">
      <c r="A14" s="1289" t="s">
        <v>1581</v>
      </c>
      <c r="B14" s="1289" t="s">
        <v>216</v>
      </c>
      <c r="C14" s="843" t="s">
        <v>81</v>
      </c>
      <c r="D14" s="843" t="s">
        <v>82</v>
      </c>
      <c r="E14" s="843">
        <v>1.1499999999999999</v>
      </c>
      <c r="F14" s="32">
        <v>1880385</v>
      </c>
      <c r="G14" s="32">
        <f>+ROUND(F14*1.051,0)</f>
        <v>1976285</v>
      </c>
      <c r="H14" s="32">
        <f>ROUND((E14*F14),0)</f>
        <v>2162443</v>
      </c>
      <c r="I14" s="32">
        <f>+ROUND(G14*E14,0)</f>
        <v>2272728</v>
      </c>
      <c r="J14" s="1290" t="s">
        <v>1851</v>
      </c>
      <c r="K14" s="536">
        <v>0</v>
      </c>
      <c r="L14" s="685">
        <f>ROUND(K14*G14,0)</f>
        <v>0</v>
      </c>
      <c r="M14" s="684">
        <f>L14/H14</f>
        <v>0</v>
      </c>
      <c r="N14" s="799">
        <v>0</v>
      </c>
      <c r="O14" s="685">
        <f>ROUND(N14*G14,0)</f>
        <v>0</v>
      </c>
      <c r="P14" s="684">
        <f>O14/I14</f>
        <v>0</v>
      </c>
      <c r="Q14" s="536">
        <f>K14+N14</f>
        <v>0</v>
      </c>
      <c r="R14" s="685">
        <f>L14+O14</f>
        <v>0</v>
      </c>
      <c r="S14" s="684">
        <f>R14/I14</f>
        <v>0</v>
      </c>
    </row>
    <row r="15" spans="1:19" ht="43.2" x14ac:dyDescent="0.3">
      <c r="A15" s="1289"/>
      <c r="B15" s="1289"/>
      <c r="C15" s="843" t="s">
        <v>83</v>
      </c>
      <c r="D15" s="843" t="s">
        <v>84</v>
      </c>
      <c r="E15" s="843">
        <v>1</v>
      </c>
      <c r="F15" s="32">
        <v>1845563</v>
      </c>
      <c r="G15" s="32">
        <f t="shared" ref="G15:G16" si="0">+ROUND(F15*1.051,0)</f>
        <v>1939687</v>
      </c>
      <c r="H15" s="32">
        <f>ROUND((E15*F15),0)</f>
        <v>1845563</v>
      </c>
      <c r="I15" s="32">
        <f t="shared" ref="I15:I16" si="1">+ROUND(G15*E15,0)</f>
        <v>1939687</v>
      </c>
      <c r="J15" s="1289"/>
      <c r="K15" s="799">
        <v>0</v>
      </c>
      <c r="L15" s="685">
        <f t="shared" ref="L15:L16" si="2">ROUND(K15*G15,0)</f>
        <v>0</v>
      </c>
      <c r="M15" s="684">
        <f>L15/H15</f>
        <v>0</v>
      </c>
      <c r="N15" s="799">
        <v>0</v>
      </c>
      <c r="O15" s="685">
        <f t="shared" ref="O15:O16" si="3">ROUND(N15*G15,0)</f>
        <v>0</v>
      </c>
      <c r="P15" s="684">
        <f t="shared" ref="P15:P25" si="4">O15/I15</f>
        <v>0</v>
      </c>
      <c r="Q15" s="799">
        <f t="shared" ref="Q15:Q24" si="5">K15+N15</f>
        <v>0</v>
      </c>
      <c r="R15" s="685">
        <f t="shared" ref="R15:R25" si="6">L15+O15</f>
        <v>0</v>
      </c>
      <c r="S15" s="684">
        <f t="shared" ref="S15:S25" si="7">R15/I15</f>
        <v>0</v>
      </c>
    </row>
    <row r="16" spans="1:19" ht="43.2" x14ac:dyDescent="0.3">
      <c r="A16" s="1289"/>
      <c r="B16" s="1289"/>
      <c r="C16" s="843" t="s">
        <v>61</v>
      </c>
      <c r="D16" s="843" t="s">
        <v>85</v>
      </c>
      <c r="E16" s="843">
        <v>0.7</v>
      </c>
      <c r="F16" s="32">
        <v>7312607</v>
      </c>
      <c r="G16" s="32">
        <f t="shared" si="0"/>
        <v>7685550</v>
      </c>
      <c r="H16" s="32">
        <f>ROUND((E16*F16),0)</f>
        <v>5118825</v>
      </c>
      <c r="I16" s="32">
        <f t="shared" si="1"/>
        <v>5379885</v>
      </c>
      <c r="J16" s="1289"/>
      <c r="K16" s="537">
        <f>0.7*80%</f>
        <v>0.55999999999999994</v>
      </c>
      <c r="L16" s="752">
        <f t="shared" si="2"/>
        <v>4303908</v>
      </c>
      <c r="M16" s="753">
        <f>L16/H16</f>
        <v>0.84079998827856006</v>
      </c>
      <c r="N16" s="891">
        <v>0</v>
      </c>
      <c r="O16" s="685">
        <f t="shared" si="3"/>
        <v>0</v>
      </c>
      <c r="P16" s="684">
        <f t="shared" si="4"/>
        <v>0</v>
      </c>
      <c r="Q16" s="799">
        <f t="shared" si="5"/>
        <v>0.55999999999999994</v>
      </c>
      <c r="R16" s="685">
        <f t="shared" si="6"/>
        <v>4303908</v>
      </c>
      <c r="S16" s="684">
        <f t="shared" si="7"/>
        <v>0.8</v>
      </c>
    </row>
    <row r="17" spans="1:19" x14ac:dyDescent="0.3">
      <c r="A17" s="1289"/>
      <c r="B17" s="1289"/>
      <c r="C17" s="39"/>
      <c r="D17" s="39" t="s">
        <v>86</v>
      </c>
      <c r="E17" s="41"/>
      <c r="F17" s="41"/>
      <c r="G17" s="41"/>
      <c r="H17" s="42">
        <f>SUM(H14:H16)</f>
        <v>9126831</v>
      </c>
      <c r="I17" s="42">
        <f>SUM(I14:I16)</f>
        <v>9592300</v>
      </c>
      <c r="J17" s="1289"/>
      <c r="K17" s="40"/>
      <c r="L17" s="683">
        <f>SUM(L14:L16)</f>
        <v>4303908</v>
      </c>
      <c r="M17" s="519">
        <f>L17/H17</f>
        <v>0.4715665273083286</v>
      </c>
      <c r="N17" s="40"/>
      <c r="O17" s="683">
        <f>SUM(O14:O16)</f>
        <v>0</v>
      </c>
      <c r="P17" s="1100">
        <f t="shared" si="4"/>
        <v>0</v>
      </c>
      <c r="Q17" s="1106"/>
      <c r="R17" s="1107">
        <f t="shared" si="6"/>
        <v>4303908</v>
      </c>
      <c r="S17" s="1100">
        <f t="shared" si="7"/>
        <v>0.44868363166289627</v>
      </c>
    </row>
    <row r="18" spans="1:19" ht="45" customHeight="1" x14ac:dyDescent="0.3">
      <c r="A18" s="1289" t="s">
        <v>1658</v>
      </c>
      <c r="B18" s="1289" t="s">
        <v>216</v>
      </c>
      <c r="C18" s="843" t="s">
        <v>81</v>
      </c>
      <c r="D18" s="843" t="s">
        <v>82</v>
      </c>
      <c r="E18" s="843">
        <v>1.1499999999999999</v>
      </c>
      <c r="F18" s="32">
        <v>1880385</v>
      </c>
      <c r="G18" s="32">
        <f t="shared" ref="G18:G20" si="8">+ROUND(F18*1.051,0)</f>
        <v>1976285</v>
      </c>
      <c r="H18" s="32">
        <f>ROUND((E18*F18),0)</f>
        <v>2162443</v>
      </c>
      <c r="I18" s="32">
        <f t="shared" ref="I18:I20" si="9">+ROUND(G18*E18,0)</f>
        <v>2272728</v>
      </c>
      <c r="J18" s="1290" t="s">
        <v>1852</v>
      </c>
      <c r="K18" s="799">
        <v>0</v>
      </c>
      <c r="L18" s="685">
        <f t="shared" ref="L18:L20" si="10">ROUND(K18*G18,0)</f>
        <v>0</v>
      </c>
      <c r="M18" s="684">
        <f t="shared" ref="M18:M19" si="11">L18/H18</f>
        <v>0</v>
      </c>
      <c r="N18" s="799">
        <v>0</v>
      </c>
      <c r="O18" s="685">
        <f>ROUND(N18*G18,0)</f>
        <v>0</v>
      </c>
      <c r="P18" s="684">
        <f t="shared" si="4"/>
        <v>0</v>
      </c>
      <c r="Q18" s="799">
        <f t="shared" si="5"/>
        <v>0</v>
      </c>
      <c r="R18" s="685">
        <f t="shared" si="6"/>
        <v>0</v>
      </c>
      <c r="S18" s="684">
        <f t="shared" si="7"/>
        <v>0</v>
      </c>
    </row>
    <row r="19" spans="1:19" ht="43.2" x14ac:dyDescent="0.3">
      <c r="A19" s="1289"/>
      <c r="B19" s="1289"/>
      <c r="C19" s="843" t="s">
        <v>83</v>
      </c>
      <c r="D19" s="843" t="s">
        <v>84</v>
      </c>
      <c r="E19" s="843">
        <v>1</v>
      </c>
      <c r="F19" s="32">
        <v>1845563</v>
      </c>
      <c r="G19" s="32">
        <f t="shared" si="8"/>
        <v>1939687</v>
      </c>
      <c r="H19" s="32">
        <f>ROUND((E19*F19),0)</f>
        <v>1845563</v>
      </c>
      <c r="I19" s="32">
        <f t="shared" si="9"/>
        <v>1939687</v>
      </c>
      <c r="J19" s="1289"/>
      <c r="K19" s="799">
        <v>0</v>
      </c>
      <c r="L19" s="685">
        <f t="shared" si="10"/>
        <v>0</v>
      </c>
      <c r="M19" s="684">
        <f t="shared" si="11"/>
        <v>0</v>
      </c>
      <c r="N19" s="799">
        <v>0</v>
      </c>
      <c r="O19" s="685">
        <f t="shared" ref="O19:O20" si="12">ROUND(N19*G19,0)</f>
        <v>0</v>
      </c>
      <c r="P19" s="684">
        <f t="shared" si="4"/>
        <v>0</v>
      </c>
      <c r="Q19" s="799">
        <f t="shared" si="5"/>
        <v>0</v>
      </c>
      <c r="R19" s="685">
        <f t="shared" si="6"/>
        <v>0</v>
      </c>
      <c r="S19" s="684">
        <f t="shared" si="7"/>
        <v>0</v>
      </c>
    </row>
    <row r="20" spans="1:19" ht="43.2" x14ac:dyDescent="0.3">
      <c r="A20" s="1289"/>
      <c r="B20" s="1289"/>
      <c r="C20" s="843" t="s">
        <v>61</v>
      </c>
      <c r="D20" s="843" t="s">
        <v>85</v>
      </c>
      <c r="E20" s="843">
        <v>0.7</v>
      </c>
      <c r="F20" s="32">
        <v>7312607</v>
      </c>
      <c r="G20" s="32">
        <f t="shared" si="8"/>
        <v>7685550</v>
      </c>
      <c r="H20" s="32">
        <f>ROUND((E20*F20),0)</f>
        <v>5118825</v>
      </c>
      <c r="I20" s="32">
        <f t="shared" si="9"/>
        <v>5379885</v>
      </c>
      <c r="J20" s="1289"/>
      <c r="K20" s="537">
        <f>0.7*80%</f>
        <v>0.55999999999999994</v>
      </c>
      <c r="L20" s="752">
        <f t="shared" si="10"/>
        <v>4303908</v>
      </c>
      <c r="M20" s="753">
        <f>L20/H20</f>
        <v>0.84079998827856006</v>
      </c>
      <c r="N20" s="891">
        <v>0</v>
      </c>
      <c r="O20" s="685">
        <f t="shared" si="12"/>
        <v>0</v>
      </c>
      <c r="P20" s="684">
        <f t="shared" si="4"/>
        <v>0</v>
      </c>
      <c r="Q20" s="799">
        <f t="shared" si="5"/>
        <v>0.55999999999999994</v>
      </c>
      <c r="R20" s="685">
        <f t="shared" si="6"/>
        <v>4303908</v>
      </c>
      <c r="S20" s="684">
        <f t="shared" si="7"/>
        <v>0.8</v>
      </c>
    </row>
    <row r="21" spans="1:19" x14ac:dyDescent="0.3">
      <c r="A21" s="1289"/>
      <c r="B21" s="1289"/>
      <c r="C21" s="39"/>
      <c r="D21" s="39" t="s">
        <v>86</v>
      </c>
      <c r="E21" s="41"/>
      <c r="F21" s="41"/>
      <c r="G21" s="41"/>
      <c r="H21" s="42">
        <f>SUM(H18:H20)</f>
        <v>9126831</v>
      </c>
      <c r="I21" s="42">
        <f>SUM(I18:I20)</f>
        <v>9592300</v>
      </c>
      <c r="J21" s="1289"/>
      <c r="K21" s="40"/>
      <c r="L21" s="683">
        <f>SUM(L18:L20)</f>
        <v>4303908</v>
      </c>
      <c r="M21" s="519">
        <f>L21/H21</f>
        <v>0.4715665273083286</v>
      </c>
      <c r="N21" s="40"/>
      <c r="O21" s="683">
        <f>SUM(O18:O20)</f>
        <v>0</v>
      </c>
      <c r="P21" s="1100">
        <f t="shared" si="4"/>
        <v>0</v>
      </c>
      <c r="Q21" s="1106"/>
      <c r="R21" s="1107">
        <f t="shared" si="6"/>
        <v>4303908</v>
      </c>
      <c r="S21" s="1100">
        <f t="shared" si="7"/>
        <v>0.44868363166289627</v>
      </c>
    </row>
    <row r="22" spans="1:19" ht="45" customHeight="1" x14ac:dyDescent="0.3">
      <c r="A22" s="1289" t="s">
        <v>201</v>
      </c>
      <c r="B22" s="1289" t="s">
        <v>165</v>
      </c>
      <c r="C22" s="843" t="s">
        <v>81</v>
      </c>
      <c r="D22" s="843" t="s">
        <v>166</v>
      </c>
      <c r="E22" s="843">
        <v>0</v>
      </c>
      <c r="F22" s="32">
        <v>1149124</v>
      </c>
      <c r="G22" s="32">
        <f t="shared" ref="G22:G24" si="13">+ROUND(F22*1.051,0)</f>
        <v>1207729</v>
      </c>
      <c r="H22" s="32">
        <f>ROUND((E22*F22),0)</f>
        <v>0</v>
      </c>
      <c r="I22" s="32">
        <f t="shared" ref="I22:I24" si="14">+ROUND(G22*E22,0)</f>
        <v>0</v>
      </c>
      <c r="J22" s="1290" t="s">
        <v>1853</v>
      </c>
      <c r="K22" s="799">
        <v>0</v>
      </c>
      <c r="L22" s="685">
        <f t="shared" ref="L22:L24" si="15">ROUND(K22*G22,0)</f>
        <v>0</v>
      </c>
      <c r="M22" s="684">
        <v>0</v>
      </c>
      <c r="N22" s="799">
        <v>0</v>
      </c>
      <c r="O22" s="685">
        <f>ROUND(N22*G22,0)</f>
        <v>0</v>
      </c>
      <c r="P22" s="684">
        <v>0</v>
      </c>
      <c r="Q22" s="799">
        <f t="shared" si="5"/>
        <v>0</v>
      </c>
      <c r="R22" s="685">
        <f t="shared" si="6"/>
        <v>0</v>
      </c>
      <c r="S22" s="684">
        <v>0</v>
      </c>
    </row>
    <row r="23" spans="1:19" ht="43.2" x14ac:dyDescent="0.3">
      <c r="A23" s="1289"/>
      <c r="B23" s="1289"/>
      <c r="C23" s="843" t="s">
        <v>83</v>
      </c>
      <c r="D23" s="843" t="s">
        <v>167</v>
      </c>
      <c r="E23" s="843">
        <v>0</v>
      </c>
      <c r="F23" s="32">
        <v>2646468</v>
      </c>
      <c r="G23" s="32">
        <f t="shared" si="13"/>
        <v>2781438</v>
      </c>
      <c r="H23" s="32">
        <f>ROUND((E23*F23),0)</f>
        <v>0</v>
      </c>
      <c r="I23" s="32">
        <f t="shared" si="14"/>
        <v>0</v>
      </c>
      <c r="J23" s="1289"/>
      <c r="K23" s="799">
        <v>0</v>
      </c>
      <c r="L23" s="685">
        <f t="shared" si="15"/>
        <v>0</v>
      </c>
      <c r="M23" s="684">
        <v>0</v>
      </c>
      <c r="N23" s="799">
        <v>0</v>
      </c>
      <c r="O23" s="685">
        <f t="shared" ref="O23:O24" si="16">ROUND(N23*G23,0)</f>
        <v>0</v>
      </c>
      <c r="P23" s="684">
        <v>0</v>
      </c>
      <c r="Q23" s="799">
        <f t="shared" si="5"/>
        <v>0</v>
      </c>
      <c r="R23" s="685">
        <f t="shared" si="6"/>
        <v>0</v>
      </c>
      <c r="S23" s="684">
        <v>0</v>
      </c>
    </row>
    <row r="24" spans="1:19" ht="43.2" x14ac:dyDescent="0.3">
      <c r="A24" s="1289"/>
      <c r="B24" s="1289"/>
      <c r="C24" s="843" t="s">
        <v>61</v>
      </c>
      <c r="D24" s="843" t="s">
        <v>168</v>
      </c>
      <c r="E24" s="843">
        <v>0.3</v>
      </c>
      <c r="F24" s="32">
        <v>2542001</v>
      </c>
      <c r="G24" s="32">
        <f t="shared" si="13"/>
        <v>2671643</v>
      </c>
      <c r="H24" s="32">
        <f>ROUND((E24*F24),0)</f>
        <v>762600</v>
      </c>
      <c r="I24" s="32">
        <f t="shared" si="14"/>
        <v>801493</v>
      </c>
      <c r="J24" s="1289"/>
      <c r="K24" s="537">
        <v>0.3</v>
      </c>
      <c r="L24" s="752">
        <f t="shared" si="15"/>
        <v>801493</v>
      </c>
      <c r="M24" s="753">
        <f>L24/H24</f>
        <v>1.0510005245213743</v>
      </c>
      <c r="N24" s="891">
        <v>0</v>
      </c>
      <c r="O24" s="685">
        <f t="shared" si="16"/>
        <v>0</v>
      </c>
      <c r="P24" s="684">
        <f t="shared" si="4"/>
        <v>0</v>
      </c>
      <c r="Q24" s="799">
        <f t="shared" si="5"/>
        <v>0.3</v>
      </c>
      <c r="R24" s="685">
        <f t="shared" si="6"/>
        <v>801493</v>
      </c>
      <c r="S24" s="684">
        <f t="shared" si="7"/>
        <v>1</v>
      </c>
    </row>
    <row r="25" spans="1:19" x14ac:dyDescent="0.3">
      <c r="A25" s="1289"/>
      <c r="B25" s="1289"/>
      <c r="C25" s="39"/>
      <c r="D25" s="39" t="s">
        <v>169</v>
      </c>
      <c r="E25" s="41"/>
      <c r="F25" s="41"/>
      <c r="G25" s="41"/>
      <c r="H25" s="42">
        <f>SUM(H22:H24)</f>
        <v>762600</v>
      </c>
      <c r="I25" s="42">
        <f>SUM(I22:I24)</f>
        <v>801493</v>
      </c>
      <c r="J25" s="1289"/>
      <c r="K25" s="40"/>
      <c r="L25" s="683">
        <f>SUM(L22:L24)</f>
        <v>801493</v>
      </c>
      <c r="M25" s="519">
        <f>L25/H25</f>
        <v>1.0510005245213743</v>
      </c>
      <c r="N25" s="40"/>
      <c r="O25" s="683">
        <f>SUM(O22:O24)</f>
        <v>0</v>
      </c>
      <c r="P25" s="1100">
        <f t="shared" si="4"/>
        <v>0</v>
      </c>
      <c r="Q25" s="1108"/>
      <c r="R25" s="1107">
        <f t="shared" si="6"/>
        <v>801493</v>
      </c>
      <c r="S25" s="1100">
        <f t="shared" si="7"/>
        <v>1</v>
      </c>
    </row>
    <row r="26" spans="1:19" x14ac:dyDescent="0.3">
      <c r="A26" s="638"/>
      <c r="B26" s="638"/>
      <c r="C26" s="638"/>
      <c r="D26" s="638"/>
      <c r="E26" s="638"/>
      <c r="F26" s="686" t="s">
        <v>1740</v>
      </c>
      <c r="G26" s="686"/>
      <c r="H26" s="687">
        <f>0+H17+H21</f>
        <v>18253662</v>
      </c>
      <c r="I26" s="687">
        <f>0+I17+I21</f>
        <v>19184600</v>
      </c>
      <c r="J26" s="638"/>
      <c r="K26" s="547" t="s">
        <v>64</v>
      </c>
      <c r="L26" s="677">
        <f>SUM(L14:L25)/2</f>
        <v>9409309</v>
      </c>
      <c r="M26" s="638"/>
      <c r="N26" s="547" t="s">
        <v>64</v>
      </c>
      <c r="O26" s="677">
        <f>SUM(O14:O25)/2</f>
        <v>0</v>
      </c>
      <c r="Q26" s="549" t="s">
        <v>64</v>
      </c>
      <c r="R26" s="677">
        <f>SUM(R14:R25)/2</f>
        <v>9409309</v>
      </c>
      <c r="S26" s="638"/>
    </row>
    <row r="27" spans="1:19" x14ac:dyDescent="0.3">
      <c r="A27" s="638"/>
      <c r="B27" s="638"/>
      <c r="C27" s="638"/>
      <c r="D27" s="638"/>
      <c r="E27" s="638"/>
      <c r="F27" s="693" t="s">
        <v>1844</v>
      </c>
      <c r="G27" s="882"/>
      <c r="H27" s="884">
        <f>((H14*0.45)+((H15)*0.3 )+ (H18*0.45)+ ((H19)*0.3)+(H24))*0.03</f>
        <v>114484.095</v>
      </c>
      <c r="I27" s="884">
        <f>((I14*0.45)+((I15)*0.3 )+ (I18*0.45)+ ((I19)*0.3)+(I24))*0.03</f>
        <v>120322.81199999999</v>
      </c>
      <c r="J27" s="638"/>
      <c r="K27" s="548" t="s">
        <v>65</v>
      </c>
      <c r="L27" s="481">
        <f>((L14*0.45)+((L15)*0.3 )+ (L18*0.45)+ ((L19)*0.3)+(L24))*0.03</f>
        <v>24044.79</v>
      </c>
      <c r="M27" s="638"/>
      <c r="N27" s="548" t="s">
        <v>65</v>
      </c>
      <c r="O27" s="481">
        <f>((O14*0.45)+((O15)*0.3 )+ (O18*0.45)+ ((O19)*0.3)+(O24))*0.03</f>
        <v>0</v>
      </c>
      <c r="Q27" s="548" t="s">
        <v>65</v>
      </c>
      <c r="R27" s="963">
        <f>((R14*0.45)+((R15)*0.3 )+ (R18*0.45)+ ((R19)*0.3)+(R24))*0.03</f>
        <v>24044.79</v>
      </c>
      <c r="S27" s="638"/>
    </row>
    <row r="28" spans="1:19" x14ac:dyDescent="0.3">
      <c r="A28" s="638"/>
      <c r="B28" s="638"/>
      <c r="C28" s="638"/>
      <c r="D28" s="638"/>
      <c r="E28" s="638"/>
      <c r="F28" s="680" t="s">
        <v>1</v>
      </c>
      <c r="G28" s="881"/>
      <c r="H28" s="884">
        <f>+H27+H26</f>
        <v>18368146.094999999</v>
      </c>
      <c r="I28" s="884">
        <f>+I27+I26</f>
        <v>19304922.811999999</v>
      </c>
      <c r="J28" s="638"/>
      <c r="K28" s="549" t="s">
        <v>64</v>
      </c>
      <c r="L28" s="481">
        <f>L26+L27</f>
        <v>9433353.7899999991</v>
      </c>
      <c r="M28" s="638"/>
      <c r="N28" s="549" t="s">
        <v>64</v>
      </c>
      <c r="O28" s="481">
        <f>O26+O27</f>
        <v>0</v>
      </c>
      <c r="Q28" s="549" t="s">
        <v>64</v>
      </c>
      <c r="R28" s="481">
        <f>R26+R27</f>
        <v>9433353.7899999991</v>
      </c>
      <c r="S28" s="638"/>
    </row>
    <row r="29" spans="1:19" ht="26.4" x14ac:dyDescent="0.3">
      <c r="A29" s="638"/>
      <c r="B29" s="638"/>
      <c r="C29" s="638"/>
      <c r="D29" s="638"/>
      <c r="E29" s="638"/>
      <c r="F29" s="659"/>
      <c r="G29" s="883"/>
      <c r="H29" s="659"/>
      <c r="I29" s="659"/>
      <c r="J29" s="638"/>
      <c r="K29" s="501" t="s">
        <v>1439</v>
      </c>
      <c r="L29" s="481">
        <f>ROUND(L28*0.015,0)</f>
        <v>141500</v>
      </c>
      <c r="M29" s="638"/>
      <c r="N29" s="501" t="s">
        <v>1439</v>
      </c>
      <c r="O29" s="481">
        <f>ROUND(O28*0.015,0)</f>
        <v>0</v>
      </c>
      <c r="Q29" s="501" t="s">
        <v>1439</v>
      </c>
      <c r="R29" s="481">
        <f>ROUND(R28*0.015,0)</f>
        <v>141500</v>
      </c>
      <c r="S29" s="638"/>
    </row>
    <row r="30" spans="1:19" ht="39.6" x14ac:dyDescent="0.3">
      <c r="A30" s="638"/>
      <c r="B30" s="638"/>
      <c r="C30" s="638"/>
      <c r="D30" s="638"/>
      <c r="E30" s="638"/>
      <c r="F30" s="659"/>
      <c r="G30" s="659"/>
      <c r="H30" s="659"/>
      <c r="I30" s="659"/>
      <c r="J30" s="638"/>
      <c r="K30" s="96" t="s">
        <v>1440</v>
      </c>
      <c r="L30" s="783">
        <f>L28+L29</f>
        <v>9574853.7899999991</v>
      </c>
      <c r="M30" s="856">
        <f>L30/H28</f>
        <v>0.52127491476161414</v>
      </c>
      <c r="N30" s="96" t="s">
        <v>1440</v>
      </c>
      <c r="O30" s="783">
        <f>O28+O29</f>
        <v>0</v>
      </c>
      <c r="P30" s="856">
        <f>O30/H28</f>
        <v>0</v>
      </c>
      <c r="Q30" s="96" t="s">
        <v>1440</v>
      </c>
      <c r="R30" s="425">
        <f>R28+R29</f>
        <v>9574853.7899999991</v>
      </c>
      <c r="S30" s="962">
        <f>R30/H28</f>
        <v>0.52127491476161414</v>
      </c>
    </row>
    <row r="31" spans="1:19" x14ac:dyDescent="0.3">
      <c r="A31" s="638"/>
      <c r="B31" s="638"/>
      <c r="C31" s="638"/>
      <c r="D31" s="638"/>
      <c r="E31" s="638"/>
      <c r="F31" s="442" t="s">
        <v>66</v>
      </c>
      <c r="G31" s="442"/>
      <c r="H31" s="181">
        <f>+H28*19%</f>
        <v>3489947.7580499998</v>
      </c>
      <c r="I31" s="181">
        <f>+I28*19%</f>
        <v>3667935.3342800001</v>
      </c>
      <c r="J31" s="638"/>
      <c r="K31" s="551" t="s">
        <v>66</v>
      </c>
      <c r="L31" s="672">
        <f>L30*0.19</f>
        <v>1819222.2200999998</v>
      </c>
      <c r="M31" s="638"/>
      <c r="N31" s="551" t="s">
        <v>66</v>
      </c>
      <c r="O31" s="672">
        <f>O30*0.19</f>
        <v>0</v>
      </c>
      <c r="Q31" s="551" t="s">
        <v>66</v>
      </c>
      <c r="R31" s="672">
        <f>R30*0.19</f>
        <v>1819222.2200999998</v>
      </c>
      <c r="S31" s="638"/>
    </row>
    <row r="32" spans="1:19" x14ac:dyDescent="0.3">
      <c r="A32" s="638"/>
      <c r="B32" s="638"/>
      <c r="C32" s="638"/>
      <c r="D32" s="638"/>
      <c r="E32" s="638"/>
      <c r="F32" s="441" t="s">
        <v>69</v>
      </c>
      <c r="G32" s="441"/>
      <c r="H32" s="181">
        <f>+H26+H31</f>
        <v>21743609.758049998</v>
      </c>
      <c r="I32" s="181">
        <f>+I26+I31</f>
        <v>22852535.334279999</v>
      </c>
      <c r="J32" s="638"/>
      <c r="K32" s="552" t="s">
        <v>69</v>
      </c>
      <c r="L32" s="672">
        <f>L30+L31</f>
        <v>11394076.0101</v>
      </c>
      <c r="M32" s="638"/>
      <c r="N32" s="552" t="s">
        <v>69</v>
      </c>
      <c r="O32" s="672">
        <f>O30+O31</f>
        <v>0</v>
      </c>
      <c r="Q32" s="552" t="s">
        <v>69</v>
      </c>
      <c r="R32" s="672">
        <f>R30+R31</f>
        <v>11394076.0101</v>
      </c>
      <c r="S32" s="638"/>
    </row>
    <row r="33" spans="1:19" x14ac:dyDescent="0.3">
      <c r="A33" s="638"/>
      <c r="B33" s="638"/>
      <c r="C33" s="638"/>
      <c r="D33" s="638"/>
      <c r="E33" s="638"/>
      <c r="F33" s="638"/>
      <c r="H33" s="638"/>
      <c r="J33" s="638"/>
      <c r="K33" s="638"/>
      <c r="L33" s="638"/>
      <c r="M33" s="638"/>
      <c r="Q33" s="638"/>
      <c r="R33" s="638"/>
      <c r="S33" s="638"/>
    </row>
    <row r="34" spans="1:19" ht="26.4" x14ac:dyDescent="0.3">
      <c r="A34" s="665" t="s">
        <v>67</v>
      </c>
      <c r="B34" s="184"/>
      <c r="C34" s="184"/>
      <c r="D34" s="185" t="s">
        <v>68</v>
      </c>
      <c r="E34" s="638"/>
      <c r="F34" s="638"/>
      <c r="H34" s="638"/>
      <c r="J34" s="638"/>
      <c r="K34" s="186" t="s">
        <v>70</v>
      </c>
      <c r="L34" s="187" t="s">
        <v>71</v>
      </c>
      <c r="M34" s="186" t="s">
        <v>58</v>
      </c>
      <c r="N34" s="186" t="s">
        <v>70</v>
      </c>
      <c r="O34" s="187" t="s">
        <v>71</v>
      </c>
      <c r="P34" s="186" t="s">
        <v>58</v>
      </c>
      <c r="Q34" s="638"/>
      <c r="R34" s="638"/>
      <c r="S34" s="638"/>
    </row>
    <row r="35" spans="1:19" x14ac:dyDescent="0.3">
      <c r="A35" s="665"/>
      <c r="B35" s="184"/>
      <c r="C35" s="184"/>
      <c r="D35" s="185"/>
      <c r="E35" s="638"/>
      <c r="F35" s="638"/>
      <c r="H35" s="638"/>
      <c r="J35" s="638"/>
      <c r="K35" s="69" t="s">
        <v>72</v>
      </c>
      <c r="L35" s="70">
        <f>L30</f>
        <v>9574853.7899999991</v>
      </c>
      <c r="M35" s="360">
        <f>M30</f>
        <v>0.52127491476161414</v>
      </c>
      <c r="N35" s="69" t="s">
        <v>72</v>
      </c>
      <c r="O35" s="70">
        <f>$L$30</f>
        <v>9574853.7899999991</v>
      </c>
      <c r="P35" s="360">
        <f>$M$30</f>
        <v>0.52127491476161414</v>
      </c>
      <c r="Q35" s="638"/>
      <c r="R35" s="638"/>
      <c r="S35" s="638"/>
    </row>
    <row r="36" spans="1:19" x14ac:dyDescent="0.3">
      <c r="A36" s="665"/>
      <c r="B36" s="184"/>
      <c r="C36" s="184"/>
      <c r="D36" s="185"/>
      <c r="E36" s="638"/>
      <c r="F36" s="638"/>
      <c r="H36" s="638"/>
      <c r="J36" s="638"/>
      <c r="K36" s="72" t="s">
        <v>1</v>
      </c>
      <c r="L36" s="105">
        <f>L35</f>
        <v>9574853.7899999991</v>
      </c>
      <c r="M36" s="361">
        <f>M35</f>
        <v>0.52127491476161414</v>
      </c>
      <c r="N36" s="69" t="s">
        <v>73</v>
      </c>
      <c r="O36" s="70">
        <f>$O$30</f>
        <v>0</v>
      </c>
      <c r="P36" s="360">
        <f>$P$30</f>
        <v>0</v>
      </c>
      <c r="Q36" s="638"/>
      <c r="R36" s="638"/>
      <c r="S36" s="638"/>
    </row>
    <row r="37" spans="1:19" x14ac:dyDescent="0.3">
      <c r="A37" s="665"/>
      <c r="B37" s="184"/>
      <c r="C37" s="184"/>
      <c r="D37" s="185"/>
      <c r="E37" s="638"/>
      <c r="F37" s="638"/>
      <c r="H37" s="638"/>
      <c r="J37" s="638"/>
      <c r="K37" s="72" t="s">
        <v>9</v>
      </c>
      <c r="L37" s="1423"/>
      <c r="M37" s="1424"/>
      <c r="N37" s="72" t="s">
        <v>1</v>
      </c>
      <c r="O37" s="105">
        <f>SUM(O35:O36)</f>
        <v>9574853.7899999991</v>
      </c>
      <c r="P37" s="361">
        <f>SUM(P35:P36)</f>
        <v>0.52127491476161414</v>
      </c>
      <c r="Q37" s="638"/>
      <c r="R37" s="638"/>
      <c r="S37" s="638"/>
    </row>
    <row r="38" spans="1:19" x14ac:dyDescent="0.3">
      <c r="A38" s="665"/>
      <c r="B38" s="184"/>
      <c r="C38" s="184"/>
      <c r="D38" s="185"/>
      <c r="E38" s="638"/>
      <c r="F38" s="638"/>
      <c r="H38" s="638"/>
      <c r="J38" s="638"/>
      <c r="K38" s="440" t="s">
        <v>78</v>
      </c>
      <c r="L38" s="1423" t="s">
        <v>2206</v>
      </c>
      <c r="M38" s="1424"/>
      <c r="N38" s="72" t="s">
        <v>9</v>
      </c>
      <c r="O38" s="1423"/>
      <c r="P38" s="1424"/>
      <c r="Q38" s="638"/>
      <c r="R38" s="638"/>
      <c r="S38" s="638"/>
    </row>
    <row r="39" spans="1:19" x14ac:dyDescent="0.3">
      <c r="A39" s="665"/>
      <c r="B39" s="184"/>
      <c r="C39" s="184"/>
      <c r="D39" s="185"/>
      <c r="E39" s="638"/>
      <c r="F39" s="638"/>
      <c r="H39" s="638"/>
      <c r="J39" s="638"/>
      <c r="K39" s="439" t="s">
        <v>8</v>
      </c>
      <c r="L39" s="1423" t="s">
        <v>2207</v>
      </c>
      <c r="M39" s="1424"/>
      <c r="N39" s="440" t="s">
        <v>78</v>
      </c>
      <c r="O39" s="1423" t="s">
        <v>2206</v>
      </c>
      <c r="P39" s="1424"/>
      <c r="Q39" s="638"/>
      <c r="R39" s="638"/>
      <c r="S39" s="638"/>
    </row>
    <row r="40" spans="1:19" x14ac:dyDescent="0.3">
      <c r="A40" s="665"/>
      <c r="B40" s="184"/>
      <c r="C40" s="184"/>
      <c r="D40" s="185" t="s">
        <v>75</v>
      </c>
      <c r="E40" s="638"/>
      <c r="F40" s="638"/>
      <c r="H40" s="638"/>
      <c r="J40" s="638"/>
      <c r="K40" s="638"/>
      <c r="L40" s="638"/>
      <c r="M40" s="638"/>
      <c r="N40" s="439" t="s">
        <v>8</v>
      </c>
      <c r="O40" s="1423" t="s">
        <v>2207</v>
      </c>
      <c r="P40" s="1424"/>
      <c r="Q40" s="638"/>
      <c r="R40" s="638"/>
      <c r="S40" s="638"/>
    </row>
    <row r="41" spans="1:19" x14ac:dyDescent="0.3">
      <c r="A41" s="665" t="s">
        <v>76</v>
      </c>
      <c r="B41" s="180"/>
      <c r="C41" s="180"/>
      <c r="D41" s="185" t="s">
        <v>77</v>
      </c>
      <c r="E41" s="638"/>
      <c r="F41" s="638"/>
      <c r="H41" s="638"/>
      <c r="J41" s="638"/>
      <c r="K41" s="638"/>
      <c r="L41" s="638"/>
      <c r="M41" s="638"/>
      <c r="Q41" s="638"/>
      <c r="R41" s="638"/>
      <c r="S41" s="638"/>
    </row>
    <row r="42" spans="1:19" ht="26.4" x14ac:dyDescent="0.3">
      <c r="A42" s="665" t="s">
        <v>79</v>
      </c>
      <c r="B42" s="180"/>
      <c r="C42" s="180"/>
      <c r="D42" s="185" t="s">
        <v>80</v>
      </c>
      <c r="E42" s="638"/>
      <c r="F42" s="638"/>
      <c r="H42" s="638"/>
      <c r="J42" s="638"/>
      <c r="K42" s="638"/>
      <c r="L42" s="638"/>
      <c r="M42" s="638"/>
      <c r="Q42" s="638"/>
      <c r="R42" s="638"/>
      <c r="S42" s="638"/>
    </row>
  </sheetData>
  <mergeCells count="31">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22:A25"/>
    <mergeCell ref="B22:B25"/>
    <mergeCell ref="J22:J25"/>
    <mergeCell ref="A14:A17"/>
    <mergeCell ref="B14:B17"/>
    <mergeCell ref="J14:J17"/>
    <mergeCell ref="A18:A21"/>
    <mergeCell ref="B18:B21"/>
    <mergeCell ref="J18:J21"/>
    <mergeCell ref="O38:P38"/>
    <mergeCell ref="O39:P39"/>
    <mergeCell ref="O40:P40"/>
    <mergeCell ref="L37:M37"/>
    <mergeCell ref="L38:M38"/>
    <mergeCell ref="L39:M39"/>
  </mergeCells>
  <pageMargins left="0.7" right="0.7" top="0.75" bottom="0.75" header="0.3" footer="0.3"/>
  <pageSetup paperSize="9" scale="39" orientation="landscape" r:id="rId1"/>
  <drawing r:id="rId2"/>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4">
    <tabColor theme="1"/>
  </sheetPr>
  <dimension ref="A1:G49"/>
  <sheetViews>
    <sheetView topLeftCell="A13" zoomScaleNormal="100" zoomScaleSheetLayoutView="90"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RESUMEN!G131</f>
        <v>Proyecto:CDIM_CAOLIG_R0078 -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RESUMEN!B131</f>
        <v>D00249390</v>
      </c>
      <c r="C7" s="1265"/>
      <c r="D7" s="1177"/>
      <c r="E7" s="1266" t="s">
        <v>627</v>
      </c>
      <c r="F7" s="1267"/>
      <c r="G7" s="280" t="str">
        <f>RESUMEN!E131</f>
        <v>17-423</v>
      </c>
    </row>
    <row r="8" spans="1:7" x14ac:dyDescent="0.25">
      <c r="A8" s="271" t="s">
        <v>628</v>
      </c>
      <c r="B8" s="1264" t="str">
        <f>RESUMEN!C131</f>
        <v>D00249390000</v>
      </c>
      <c r="C8" s="1265"/>
      <c r="D8" s="1177"/>
      <c r="E8" s="1266" t="s">
        <v>629</v>
      </c>
      <c r="F8" s="1267"/>
      <c r="G8" s="280" t="str">
        <f>RESUMEN!U131</f>
        <v xml:space="preserve">Acta N° 2: Febrero </v>
      </c>
    </row>
    <row r="9" spans="1:7" x14ac:dyDescent="0.25">
      <c r="A9" s="271" t="s">
        <v>630</v>
      </c>
      <c r="B9" s="1283" t="s">
        <v>631</v>
      </c>
      <c r="C9" s="1265"/>
      <c r="D9" s="1177"/>
      <c r="E9" s="1266" t="s">
        <v>632</v>
      </c>
      <c r="F9" s="1267"/>
      <c r="G9" s="1178">
        <f>RESUMEN!H131</f>
        <v>6048571</v>
      </c>
    </row>
    <row r="10" spans="1:7" x14ac:dyDescent="0.25">
      <c r="A10" s="271" t="s">
        <v>633</v>
      </c>
      <c r="B10" s="1283" t="str">
        <f>RESUMEN!D131</f>
        <v>BALSILLAS</v>
      </c>
      <c r="C10" s="1265"/>
      <c r="D10" s="1177"/>
      <c r="E10" s="1266" t="s">
        <v>634</v>
      </c>
      <c r="F10" s="1267"/>
      <c r="G10" s="1178">
        <f>RESUMEN!R131</f>
        <v>3202057</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",RESUMEN!G131)</f>
        <v>A los 14 días del mes de Marzo se reunieron en las instalaciones de CODENSA S.A. E.S.P., los ingenieros Ing. Hernán Giraldo / César Fernández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RESUMEN!N131</f>
        <v>3154736</v>
      </c>
      <c r="F19" s="1248"/>
      <c r="G19" s="1177"/>
    </row>
    <row r="20" spans="1:7" ht="27" customHeight="1" x14ac:dyDescent="0.25">
      <c r="A20" s="1177"/>
      <c r="B20" s="1244" t="s">
        <v>1498</v>
      </c>
      <c r="C20" s="1245"/>
      <c r="D20" s="1246"/>
      <c r="E20" s="1247">
        <f>RESUMEN!P131</f>
        <v>0</v>
      </c>
      <c r="F20" s="1248"/>
      <c r="G20" s="1177"/>
    </row>
    <row r="21" spans="1:7" ht="27" customHeight="1" x14ac:dyDescent="0.25">
      <c r="A21" s="1177"/>
      <c r="B21" s="1244" t="s">
        <v>1499</v>
      </c>
      <c r="C21" s="1245"/>
      <c r="D21" s="1246"/>
      <c r="E21" s="1247">
        <f>RESUMEN!Q131</f>
        <v>47321</v>
      </c>
      <c r="F21" s="1248"/>
      <c r="G21" s="1177"/>
    </row>
    <row r="22" spans="1:7" x14ac:dyDescent="0.25">
      <c r="A22" s="1177"/>
      <c r="B22" s="1254" t="s">
        <v>64</v>
      </c>
      <c r="C22" s="1254"/>
      <c r="D22" s="1254"/>
      <c r="E22" s="1255">
        <f>RESUMEN!R131</f>
        <v>3202057</v>
      </c>
      <c r="F22" s="1255"/>
      <c r="G22" s="1177"/>
    </row>
    <row r="23" spans="1:7" x14ac:dyDescent="0.25">
      <c r="A23" s="1177"/>
      <c r="B23" s="1256" t="s">
        <v>66</v>
      </c>
      <c r="C23" s="1256"/>
      <c r="D23" s="1256"/>
      <c r="E23" s="1257">
        <f>RESUMEN!S131</f>
        <v>608390.82999999996</v>
      </c>
      <c r="F23" s="1257"/>
      <c r="G23" s="1177"/>
    </row>
    <row r="24" spans="1:7" x14ac:dyDescent="0.25">
      <c r="A24" s="1177"/>
      <c r="B24" s="1258" t="s">
        <v>1</v>
      </c>
      <c r="C24" s="1258"/>
      <c r="D24" s="1258"/>
      <c r="E24" s="1259">
        <f>RESUMEN!T131</f>
        <v>3810447.83</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+'OT17-423 BALSILLAS ADICIONAL '!N29</f>
        <v>ACTA 1</v>
      </c>
      <c r="C28" s="1253">
        <f>+'OT17-423 BALSILLAS ADICIONAL '!O29</f>
        <v>3092623</v>
      </c>
      <c r="D28" s="1253"/>
      <c r="E28" s="267">
        <f>+'OT17-423 BALSILLAS ADICIONAL '!P29</f>
        <v>0.51129812314346645</v>
      </c>
      <c r="F28" s="1177"/>
      <c r="G28" s="1177"/>
    </row>
    <row r="29" spans="1:7" x14ac:dyDescent="0.25">
      <c r="A29" s="1177"/>
      <c r="B29" s="280" t="str">
        <f>+'OT17-423 BALSILLAS ADICIONAL '!N30</f>
        <v>ACTA 2</v>
      </c>
      <c r="C29" s="1253">
        <f>+'OT17-423 BALSILLAS ADICIONAL '!O30</f>
        <v>3202057</v>
      </c>
      <c r="D29" s="1253"/>
      <c r="E29" s="267">
        <f>+'OT17-423 BALSILLAS ADICIONAL '!P30</f>
        <v>0.52939066103382104</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6294680</v>
      </c>
      <c r="D34" s="1251"/>
      <c r="E34" s="264">
        <f>SUM(E28:E33)</f>
        <v>1.0406887841772874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RESUMEN!V131</f>
        <v>Ing. Hernán Giraldo / César Fernández</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4" orientation="portrait" r:id="rId1"/>
  <drawing r:id="rId2"/>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5">
    <tabColor rgb="FF72104A"/>
  </sheetPr>
  <dimension ref="A1:S37"/>
  <sheetViews>
    <sheetView view="pageBreakPreview" topLeftCell="B10" zoomScale="55" zoomScaleNormal="70" zoomScaleSheetLayoutView="55" workbookViewId="0">
      <selection activeCell="A40" sqref="A40:C40"/>
    </sheetView>
  </sheetViews>
  <sheetFormatPr baseColWidth="10" defaultRowHeight="14.4" x14ac:dyDescent="0.3"/>
  <cols>
    <col min="2" max="2" width="24.109375" bestFit="1" customWidth="1"/>
    <col min="3" max="3" width="19.6640625" customWidth="1"/>
    <col min="4" max="4" width="34.44140625" customWidth="1"/>
    <col min="6" max="6" width="14.44140625" bestFit="1" customWidth="1"/>
    <col min="7" max="7" width="14.44140625" style="849" customWidth="1"/>
    <col min="8" max="8" width="16.88671875" bestFit="1" customWidth="1"/>
    <col min="9" max="9" width="16.88671875" style="849" customWidth="1"/>
    <col min="10" max="10" width="44.109375" customWidth="1"/>
    <col min="11" max="11" width="16.44140625" hidden="1" customWidth="1"/>
    <col min="12" max="12" width="19.109375" hidden="1" customWidth="1"/>
    <col min="13" max="13" width="20.33203125" hidden="1" customWidth="1"/>
    <col min="14" max="14" width="16.44140625" style="849" customWidth="1"/>
    <col min="15" max="15" width="19.109375" style="849" bestFit="1" customWidth="1"/>
    <col min="16" max="16" width="20.33203125" style="849" customWidth="1"/>
    <col min="17" max="17" width="15" customWidth="1"/>
    <col min="18" max="18" width="18" bestFit="1" customWidth="1"/>
  </cols>
  <sheetData>
    <row r="1" spans="1:19" ht="15" thickBot="1" x14ac:dyDescent="0.35">
      <c r="A1" s="169"/>
      <c r="B1" s="188"/>
      <c r="C1" s="1307" t="s">
        <v>40</v>
      </c>
      <c r="D1" s="1308"/>
      <c r="E1" s="1308"/>
      <c r="F1" s="1308"/>
      <c r="G1" s="1308"/>
      <c r="H1" s="1308"/>
      <c r="I1" s="1308"/>
      <c r="J1" s="1308"/>
      <c r="K1" s="1308"/>
      <c r="L1" s="1308"/>
      <c r="M1" s="1308"/>
      <c r="N1" s="846"/>
      <c r="O1" s="846"/>
      <c r="P1" s="846"/>
      <c r="Q1" s="1328" t="s">
        <v>1663</v>
      </c>
      <c r="R1" s="1303"/>
      <c r="S1" s="1304"/>
    </row>
    <row r="2" spans="1:19" ht="15" thickBot="1" x14ac:dyDescent="0.35">
      <c r="A2" s="170"/>
      <c r="B2" s="190"/>
      <c r="C2" s="1310"/>
      <c r="D2" s="1311"/>
      <c r="E2" s="1311"/>
      <c r="F2" s="1311"/>
      <c r="G2" s="1311"/>
      <c r="H2" s="1311"/>
      <c r="I2" s="1311"/>
      <c r="J2" s="1311"/>
      <c r="K2" s="1311"/>
      <c r="L2" s="1311"/>
      <c r="M2" s="1311"/>
      <c r="N2" s="847"/>
      <c r="O2" s="847"/>
      <c r="P2" s="847"/>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1849</v>
      </c>
      <c r="B7" s="1292"/>
      <c r="C7" s="1292"/>
      <c r="D7" s="1292"/>
      <c r="E7" s="1292"/>
      <c r="F7" s="1292"/>
      <c r="G7" s="1292"/>
      <c r="H7" s="1292"/>
      <c r="I7" s="1292"/>
      <c r="J7" s="1292"/>
      <c r="K7" s="1292"/>
      <c r="L7" s="1292"/>
      <c r="M7" s="1292"/>
      <c r="N7" s="1292"/>
      <c r="O7" s="1292"/>
      <c r="P7" s="1292"/>
      <c r="Q7" s="1292"/>
      <c r="R7" s="1292"/>
      <c r="S7" s="1292"/>
    </row>
    <row r="8" spans="1:19" x14ac:dyDescent="0.3">
      <c r="A8" s="1292" t="s">
        <v>2099</v>
      </c>
      <c r="B8" s="1292"/>
      <c r="C8" s="1292"/>
      <c r="D8" s="1292"/>
      <c r="E8" s="1292"/>
      <c r="F8" s="1292"/>
      <c r="G8" s="1292"/>
      <c r="H8" s="1292"/>
      <c r="I8" s="1292"/>
      <c r="J8" s="1292"/>
      <c r="K8" s="1292"/>
      <c r="L8" s="1292"/>
      <c r="M8" s="1292"/>
      <c r="N8" s="1292"/>
      <c r="O8" s="1292"/>
      <c r="P8" s="1292"/>
      <c r="Q8" s="1292"/>
      <c r="R8" s="1292"/>
      <c r="S8" s="1292"/>
    </row>
    <row r="9" spans="1:19" x14ac:dyDescent="0.3">
      <c r="A9" s="1292" t="s">
        <v>2087</v>
      </c>
      <c r="B9" s="1292"/>
      <c r="C9" s="1292"/>
      <c r="D9" s="1292"/>
      <c r="E9" s="1292"/>
      <c r="F9" s="1292"/>
      <c r="G9" s="1292"/>
      <c r="H9" s="1292"/>
      <c r="I9" s="1292"/>
      <c r="J9" s="1292"/>
      <c r="K9" s="1292"/>
      <c r="L9" s="1292"/>
      <c r="M9" s="1292"/>
      <c r="N9" s="1292"/>
      <c r="O9" s="1292"/>
      <c r="P9" s="1292"/>
      <c r="Q9" s="1292"/>
      <c r="R9" s="1292"/>
      <c r="S9" s="1292"/>
    </row>
    <row r="10" spans="1:19" x14ac:dyDescent="0.3">
      <c r="A10" s="1292" t="s">
        <v>1855</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1980</v>
      </c>
      <c r="L11" s="1294"/>
      <c r="M11" s="1295"/>
      <c r="N11" s="1293" t="s">
        <v>2157</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43.2" x14ac:dyDescent="0.3">
      <c r="A14" s="1289" t="s">
        <v>330</v>
      </c>
      <c r="B14" s="1289" t="s">
        <v>217</v>
      </c>
      <c r="C14" s="730" t="s">
        <v>81</v>
      </c>
      <c r="D14" s="730" t="s">
        <v>218</v>
      </c>
      <c r="E14" s="730">
        <v>1</v>
      </c>
      <c r="F14" s="32">
        <v>1149124</v>
      </c>
      <c r="G14" s="32">
        <f>+ROUND(F14*1.051,0)</f>
        <v>1207729</v>
      </c>
      <c r="H14" s="32">
        <f>ROUND((E14*F14),0)</f>
        <v>1149124</v>
      </c>
      <c r="I14" s="32">
        <f>+ROUND(G14*E14,0)</f>
        <v>1207729</v>
      </c>
      <c r="J14" s="1290" t="s">
        <v>1856</v>
      </c>
      <c r="K14" s="536">
        <v>0</v>
      </c>
      <c r="L14" s="685">
        <f>ROUND(K14*F14,0)</f>
        <v>0</v>
      </c>
      <c r="M14" s="684">
        <f t="shared" ref="M14:M19" si="0">L14/H14</f>
        <v>0</v>
      </c>
      <c r="N14" s="537">
        <v>1</v>
      </c>
      <c r="O14" s="752">
        <f>ROUND(N14*G14,0)</f>
        <v>1207729</v>
      </c>
      <c r="P14" s="753">
        <f>O14/H14</f>
        <v>1.0509997180460942</v>
      </c>
      <c r="Q14" s="536">
        <f>K14+N14</f>
        <v>1</v>
      </c>
      <c r="R14" s="685">
        <f>L14+O14</f>
        <v>1207729</v>
      </c>
      <c r="S14" s="684">
        <f t="shared" ref="S14:S19" si="1">R14/H14</f>
        <v>1.0509997180460942</v>
      </c>
    </row>
    <row r="15" spans="1:19" ht="72" customHeight="1" x14ac:dyDescent="0.3">
      <c r="A15" s="1289"/>
      <c r="B15" s="1289"/>
      <c r="C15" s="730" t="s">
        <v>83</v>
      </c>
      <c r="D15" s="730" t="s">
        <v>219</v>
      </c>
      <c r="E15" s="730">
        <v>0.7</v>
      </c>
      <c r="F15" s="32">
        <v>2646468</v>
      </c>
      <c r="G15" s="32">
        <f>+ROUND(F15*1.051,0)</f>
        <v>2781438</v>
      </c>
      <c r="H15" s="32">
        <f>ROUND((E15*F15),0)</f>
        <v>1852528</v>
      </c>
      <c r="I15" s="32">
        <f>+ROUND(G15*E15,0)</f>
        <v>1947007</v>
      </c>
      <c r="J15" s="1289"/>
      <c r="K15" s="536">
        <v>0</v>
      </c>
      <c r="L15" s="685">
        <f>ROUND(K15*F15,0)</f>
        <v>0</v>
      </c>
      <c r="M15" s="684">
        <f t="shared" si="0"/>
        <v>0</v>
      </c>
      <c r="N15" s="537">
        <v>0.7</v>
      </c>
      <c r="O15" s="752">
        <f t="shared" ref="O15:O16" si="2">ROUND(N15*G15,0)</f>
        <v>1947007</v>
      </c>
      <c r="P15" s="753">
        <f>O15/H15</f>
        <v>1.0510000388658094</v>
      </c>
      <c r="Q15" s="799">
        <f t="shared" ref="Q15:Q16" si="3">K15+N15</f>
        <v>0.7</v>
      </c>
      <c r="R15" s="685">
        <f t="shared" ref="R15:R16" si="4">L15+O15</f>
        <v>1947007</v>
      </c>
      <c r="S15" s="684">
        <f t="shared" si="1"/>
        <v>1.0510000388658094</v>
      </c>
    </row>
    <row r="16" spans="1:19" ht="38.25" customHeight="1" x14ac:dyDescent="0.3">
      <c r="A16" s="1289"/>
      <c r="B16" s="1289"/>
      <c r="C16" s="730" t="s">
        <v>61</v>
      </c>
      <c r="D16" s="730" t="s">
        <v>220</v>
      </c>
      <c r="E16" s="730">
        <v>0.7</v>
      </c>
      <c r="F16" s="32">
        <v>3203618</v>
      </c>
      <c r="G16" s="32">
        <f>+ROUND(F16*1.051,0)</f>
        <v>3367003</v>
      </c>
      <c r="H16" s="32">
        <f>ROUND((E16*F16),0)</f>
        <v>2242533</v>
      </c>
      <c r="I16" s="32">
        <f>+ROUND(G16*E16,0)</f>
        <v>2356902</v>
      </c>
      <c r="J16" s="1289"/>
      <c r="K16" s="537">
        <v>0.7</v>
      </c>
      <c r="L16" s="752">
        <f>ROUND(K16*F16,0)</f>
        <v>2242533</v>
      </c>
      <c r="M16" s="753">
        <f t="shared" si="0"/>
        <v>1</v>
      </c>
      <c r="N16" s="799">
        <v>0</v>
      </c>
      <c r="O16" s="685">
        <f t="shared" si="2"/>
        <v>0</v>
      </c>
      <c r="P16" s="684">
        <f t="shared" ref="P16" si="5">O16/I16</f>
        <v>0</v>
      </c>
      <c r="Q16" s="799">
        <f t="shared" si="3"/>
        <v>0.7</v>
      </c>
      <c r="R16" s="685">
        <f t="shared" si="4"/>
        <v>2242533</v>
      </c>
      <c r="S16" s="684">
        <f t="shared" si="1"/>
        <v>1</v>
      </c>
    </row>
    <row r="17" spans="1:19" x14ac:dyDescent="0.3">
      <c r="A17" s="1289"/>
      <c r="B17" s="1289"/>
      <c r="C17" s="39"/>
      <c r="D17" s="39" t="s">
        <v>221</v>
      </c>
      <c r="E17" s="41"/>
      <c r="F17" s="41"/>
      <c r="G17" s="41"/>
      <c r="H17" s="42">
        <f>SUM(H14:H16)</f>
        <v>5244185</v>
      </c>
      <c r="I17" s="42">
        <f>SUM(I14:I16)</f>
        <v>5511638</v>
      </c>
      <c r="J17" s="1289"/>
      <c r="K17" s="40"/>
      <c r="L17" s="683">
        <f>SUM(L14:L16)</f>
        <v>2242533</v>
      </c>
      <c r="M17" s="519">
        <f t="shared" si="0"/>
        <v>0.4276227860001125</v>
      </c>
      <c r="N17" s="40"/>
      <c r="O17" s="683">
        <f>SUM(O14:O16)</f>
        <v>3154736</v>
      </c>
      <c r="P17" s="519">
        <f t="shared" ref="P17:P19" si="6">O17/L17</f>
        <v>1.4067735012149207</v>
      </c>
      <c r="Q17" s="40"/>
      <c r="R17" s="683">
        <f>SUM(R14:R16)</f>
        <v>5397269</v>
      </c>
      <c r="S17" s="519">
        <f t="shared" si="1"/>
        <v>1.0291911898607695</v>
      </c>
    </row>
    <row r="18" spans="1:19" ht="84" customHeight="1" x14ac:dyDescent="0.3">
      <c r="A18" s="1289" t="s">
        <v>131</v>
      </c>
      <c r="B18" s="1289" t="s">
        <v>234</v>
      </c>
      <c r="C18" s="730" t="s">
        <v>59</v>
      </c>
      <c r="D18" s="730" t="s">
        <v>235</v>
      </c>
      <c r="E18" s="730">
        <v>0.35</v>
      </c>
      <c r="F18" s="32">
        <v>2298247</v>
      </c>
      <c r="G18" s="32">
        <f>+ROUND(F18*1.051,0)</f>
        <v>2415458</v>
      </c>
      <c r="H18" s="32">
        <f>ROUND((E18*F18),0)</f>
        <v>804386</v>
      </c>
      <c r="I18" s="32">
        <f>+ROUND(G18*E18,0)</f>
        <v>845410</v>
      </c>
      <c r="J18" s="1290" t="s">
        <v>1857</v>
      </c>
      <c r="K18" s="537">
        <v>0.35</v>
      </c>
      <c r="L18" s="752">
        <f>ROUND(K18*F18,0)</f>
        <v>804386</v>
      </c>
      <c r="M18" s="753">
        <f t="shared" si="0"/>
        <v>1</v>
      </c>
      <c r="N18" s="799">
        <v>0</v>
      </c>
      <c r="O18" s="685">
        <f>ROUND(N18*G18,0)</f>
        <v>0</v>
      </c>
      <c r="P18" s="684">
        <f>O18/I18</f>
        <v>0</v>
      </c>
      <c r="Q18" s="799">
        <f>K18+N18</f>
        <v>0.35</v>
      </c>
      <c r="R18" s="685">
        <f>L18+O18</f>
        <v>804386</v>
      </c>
      <c r="S18" s="684">
        <f t="shared" si="1"/>
        <v>1</v>
      </c>
    </row>
    <row r="19" spans="1:19" x14ac:dyDescent="0.3">
      <c r="A19" s="1289"/>
      <c r="B19" s="1289"/>
      <c r="C19" s="39"/>
      <c r="D19" s="39" t="s">
        <v>236</v>
      </c>
      <c r="E19" s="41"/>
      <c r="F19" s="41"/>
      <c r="G19" s="41"/>
      <c r="H19" s="42">
        <f>H18</f>
        <v>804386</v>
      </c>
      <c r="I19" s="42">
        <f>SUM(I18)</f>
        <v>845410</v>
      </c>
      <c r="J19" s="1289"/>
      <c r="K19" s="40"/>
      <c r="L19" s="683">
        <f>SUM(L18:L18)</f>
        <v>804386</v>
      </c>
      <c r="M19" s="519">
        <f t="shared" si="0"/>
        <v>1</v>
      </c>
      <c r="N19" s="40"/>
      <c r="O19" s="683">
        <f>SUM(O18:O18)</f>
        <v>0</v>
      </c>
      <c r="P19" s="519">
        <f t="shared" si="6"/>
        <v>0</v>
      </c>
      <c r="Q19" s="40"/>
      <c r="R19" s="683">
        <f>SUM(R18:R18)</f>
        <v>804386</v>
      </c>
      <c r="S19" s="519">
        <f t="shared" si="1"/>
        <v>1</v>
      </c>
    </row>
    <row r="20" spans="1:19" x14ac:dyDescent="0.3">
      <c r="A20" s="638"/>
      <c r="B20" s="638"/>
      <c r="C20" s="638"/>
      <c r="D20" s="638"/>
      <c r="E20" s="638"/>
      <c r="F20" s="686" t="s">
        <v>1740</v>
      </c>
      <c r="G20" s="686"/>
      <c r="H20" s="687">
        <f>0+H17+H19</f>
        <v>6048571</v>
      </c>
      <c r="I20" s="687">
        <f>0+I17+I19</f>
        <v>6357048</v>
      </c>
      <c r="J20" s="638"/>
      <c r="K20" s="547" t="s">
        <v>64</v>
      </c>
      <c r="L20" s="696">
        <f>SUM(L14:L19)/2</f>
        <v>3046919</v>
      </c>
      <c r="M20" s="638"/>
      <c r="N20" s="547" t="s">
        <v>64</v>
      </c>
      <c r="O20" s="696">
        <f>SUM(O14:O19)/2</f>
        <v>3154736</v>
      </c>
      <c r="Q20" s="547" t="s">
        <v>64</v>
      </c>
      <c r="R20" s="696">
        <f>SUM(R14:R19)/2</f>
        <v>6201655</v>
      </c>
      <c r="S20" s="638"/>
    </row>
    <row r="21" spans="1:19" ht="26.4" x14ac:dyDescent="0.3">
      <c r="A21" s="638"/>
      <c r="B21" s="638"/>
      <c r="C21" s="638"/>
      <c r="D21" s="638"/>
      <c r="E21" s="638"/>
      <c r="F21" s="444" t="s">
        <v>65</v>
      </c>
      <c r="G21" s="444"/>
      <c r="H21" s="181">
        <v>0</v>
      </c>
      <c r="I21" s="181">
        <v>0</v>
      </c>
      <c r="J21" s="638"/>
      <c r="K21" s="548" t="s">
        <v>65</v>
      </c>
      <c r="L21" s="784">
        <v>0</v>
      </c>
      <c r="M21" s="638"/>
      <c r="N21" s="548" t="s">
        <v>65</v>
      </c>
      <c r="O21" s="784">
        <v>0</v>
      </c>
      <c r="Q21" s="548" t="s">
        <v>65</v>
      </c>
      <c r="R21" s="784">
        <v>0</v>
      </c>
      <c r="S21" s="638"/>
    </row>
    <row r="22" spans="1:19" x14ac:dyDescent="0.3">
      <c r="A22" s="638"/>
      <c r="B22" s="638"/>
      <c r="C22" s="638"/>
      <c r="D22" s="638"/>
      <c r="E22" s="638"/>
      <c r="F22" s="443" t="s">
        <v>1740</v>
      </c>
      <c r="G22" s="443"/>
      <c r="H22" s="340">
        <f>+H21+H20</f>
        <v>6048571</v>
      </c>
      <c r="I22" s="340">
        <f>+I21+I20</f>
        <v>6357048</v>
      </c>
      <c r="J22" s="638"/>
      <c r="K22" s="549" t="s">
        <v>64</v>
      </c>
      <c r="L22" s="481">
        <f>L20+L21</f>
        <v>3046919</v>
      </c>
      <c r="M22" s="638"/>
      <c r="N22" s="549" t="s">
        <v>64</v>
      </c>
      <c r="O22" s="481">
        <f>O20+O21</f>
        <v>3154736</v>
      </c>
      <c r="Q22" s="549" t="s">
        <v>64</v>
      </c>
      <c r="R22" s="481">
        <f>R20+R21</f>
        <v>6201655</v>
      </c>
      <c r="S22" s="638"/>
    </row>
    <row r="23" spans="1:19" ht="26.4" x14ac:dyDescent="0.3">
      <c r="A23" s="638"/>
      <c r="B23" s="638"/>
      <c r="C23" s="638"/>
      <c r="D23" s="638"/>
      <c r="E23" s="638"/>
      <c r="F23" s="659"/>
      <c r="G23" s="659"/>
      <c r="H23" s="659"/>
      <c r="I23" s="659"/>
      <c r="J23" s="638"/>
      <c r="K23" s="501" t="s">
        <v>1439</v>
      </c>
      <c r="L23" s="481">
        <f>ROUND(L22*0.015,0)</f>
        <v>45704</v>
      </c>
      <c r="M23" s="638"/>
      <c r="N23" s="501" t="s">
        <v>1439</v>
      </c>
      <c r="O23" s="481">
        <f>ROUND(O22*0.015,0)</f>
        <v>47321</v>
      </c>
      <c r="Q23" s="501" t="s">
        <v>1439</v>
      </c>
      <c r="R23" s="481">
        <f>+O23+L23</f>
        <v>93025</v>
      </c>
      <c r="S23" s="638"/>
    </row>
    <row r="24" spans="1:19" ht="39.6" x14ac:dyDescent="0.3">
      <c r="A24" s="638"/>
      <c r="B24" s="638"/>
      <c r="C24" s="638"/>
      <c r="D24" s="638"/>
      <c r="E24" s="638"/>
      <c r="F24" s="659"/>
      <c r="G24" s="659"/>
      <c r="H24" s="659"/>
      <c r="I24" s="659"/>
      <c r="J24" s="638"/>
      <c r="K24" s="96" t="s">
        <v>1440</v>
      </c>
      <c r="L24" s="783">
        <f>L22+L23</f>
        <v>3092623</v>
      </c>
      <c r="M24" s="785">
        <f>L24/H20</f>
        <v>0.51129812314346645</v>
      </c>
      <c r="N24" s="96" t="s">
        <v>1440</v>
      </c>
      <c r="O24" s="783">
        <f>O22+O23</f>
        <v>3202057</v>
      </c>
      <c r="P24" s="785">
        <f>O24/H20</f>
        <v>0.52939066103382104</v>
      </c>
      <c r="Q24" s="96" t="s">
        <v>1440</v>
      </c>
      <c r="R24" s="783">
        <f>R22+R23</f>
        <v>6294680</v>
      </c>
      <c r="S24" s="785">
        <f>R24/H20</f>
        <v>1.0406887841772874</v>
      </c>
    </row>
    <row r="25" spans="1:19" x14ac:dyDescent="0.3">
      <c r="A25" s="638"/>
      <c r="B25" s="638"/>
      <c r="C25" s="638"/>
      <c r="D25" s="638"/>
      <c r="E25" s="638"/>
      <c r="F25" s="442" t="s">
        <v>66</v>
      </c>
      <c r="G25" s="442"/>
      <c r="H25" s="181">
        <f>+H20*19%</f>
        <v>1149228.49</v>
      </c>
      <c r="I25" s="181">
        <f>+I20*19%</f>
        <v>1207839.1200000001</v>
      </c>
      <c r="J25" s="638"/>
      <c r="K25" s="551" t="s">
        <v>66</v>
      </c>
      <c r="L25" s="703">
        <f>L24*0.19</f>
        <v>587598.37</v>
      </c>
      <c r="M25" s="638"/>
      <c r="N25" s="551" t="s">
        <v>66</v>
      </c>
      <c r="O25" s="703">
        <f>O24*0.19</f>
        <v>608390.82999999996</v>
      </c>
      <c r="Q25" s="551" t="s">
        <v>66</v>
      </c>
      <c r="R25" s="703">
        <f>R24*0.19</f>
        <v>1195989.2</v>
      </c>
      <c r="S25" s="638"/>
    </row>
    <row r="26" spans="1:19" x14ac:dyDescent="0.3">
      <c r="A26" s="638"/>
      <c r="B26" s="638"/>
      <c r="C26" s="638"/>
      <c r="D26" s="638"/>
      <c r="E26" s="638"/>
      <c r="F26" s="441" t="s">
        <v>69</v>
      </c>
      <c r="G26" s="441"/>
      <c r="H26" s="181">
        <f>+H20+H25</f>
        <v>7197799.4900000002</v>
      </c>
      <c r="I26" s="181">
        <f>+I20+I25</f>
        <v>7564887.1200000001</v>
      </c>
      <c r="J26" s="638"/>
      <c r="K26" s="552" t="s">
        <v>69</v>
      </c>
      <c r="L26" s="703">
        <f>L24+L25</f>
        <v>3680221.37</v>
      </c>
      <c r="M26" s="638"/>
      <c r="N26" s="552" t="s">
        <v>69</v>
      </c>
      <c r="O26" s="703">
        <f>O24+O25</f>
        <v>3810447.83</v>
      </c>
      <c r="Q26" s="552" t="s">
        <v>69</v>
      </c>
      <c r="R26" s="703">
        <f>R24+R25</f>
        <v>7490669.2000000002</v>
      </c>
      <c r="S26" s="638"/>
    </row>
    <row r="27" spans="1:19" x14ac:dyDescent="0.3">
      <c r="A27" s="638"/>
      <c r="B27" s="638"/>
      <c r="C27" s="638"/>
      <c r="D27" s="638"/>
      <c r="E27" s="638"/>
      <c r="F27" s="638"/>
      <c r="H27" s="638"/>
      <c r="J27" s="638"/>
      <c r="K27" s="638"/>
      <c r="L27" s="638"/>
      <c r="M27" s="638"/>
      <c r="Q27" s="638"/>
      <c r="R27" s="638"/>
      <c r="S27" s="638"/>
    </row>
    <row r="28" spans="1:19" ht="26.4" x14ac:dyDescent="0.3">
      <c r="A28" s="665" t="s">
        <v>67</v>
      </c>
      <c r="B28" s="184"/>
      <c r="C28" s="184"/>
      <c r="D28" s="185" t="s">
        <v>68</v>
      </c>
      <c r="E28" s="638"/>
      <c r="F28" s="638"/>
      <c r="H28" s="638"/>
      <c r="J28" s="638"/>
      <c r="K28" s="186" t="s">
        <v>70</v>
      </c>
      <c r="L28" s="187" t="s">
        <v>71</v>
      </c>
      <c r="M28" s="186" t="s">
        <v>58</v>
      </c>
      <c r="N28" s="186" t="s">
        <v>70</v>
      </c>
      <c r="O28" s="187" t="s">
        <v>71</v>
      </c>
      <c r="P28" s="186" t="s">
        <v>58</v>
      </c>
      <c r="Q28" s="638"/>
      <c r="R28" s="638"/>
      <c r="S28" s="638"/>
    </row>
    <row r="29" spans="1:19" x14ac:dyDescent="0.3">
      <c r="A29" s="665"/>
      <c r="B29" s="184"/>
      <c r="C29" s="184"/>
      <c r="D29" s="185"/>
      <c r="E29" s="638"/>
      <c r="F29" s="638"/>
      <c r="H29" s="638"/>
      <c r="J29" s="638"/>
      <c r="K29" s="69" t="s">
        <v>72</v>
      </c>
      <c r="L29" s="70">
        <f>L24</f>
        <v>3092623</v>
      </c>
      <c r="M29" s="71">
        <f>M24</f>
        <v>0.51129812314346645</v>
      </c>
      <c r="N29" s="69" t="s">
        <v>72</v>
      </c>
      <c r="O29" s="70">
        <f>L24</f>
        <v>3092623</v>
      </c>
      <c r="P29" s="71">
        <f>M24</f>
        <v>0.51129812314346645</v>
      </c>
      <c r="Q29" s="638"/>
      <c r="R29" s="638"/>
      <c r="S29" s="638"/>
    </row>
    <row r="30" spans="1:19" s="849" customFormat="1" x14ac:dyDescent="0.3">
      <c r="A30" s="665"/>
      <c r="B30" s="184"/>
      <c r="C30" s="184"/>
      <c r="D30" s="185"/>
      <c r="K30" s="69"/>
      <c r="L30" s="70"/>
      <c r="M30" s="71"/>
      <c r="N30" s="69" t="s">
        <v>73</v>
      </c>
      <c r="O30" s="70">
        <f>+O24</f>
        <v>3202057</v>
      </c>
      <c r="P30" s="71">
        <f>+P24</f>
        <v>0.52939066103382104</v>
      </c>
    </row>
    <row r="31" spans="1:19" x14ac:dyDescent="0.3">
      <c r="A31" s="665"/>
      <c r="B31" s="184"/>
      <c r="C31" s="184"/>
      <c r="D31" s="185"/>
      <c r="E31" s="638"/>
      <c r="F31" s="638"/>
      <c r="H31" s="638"/>
      <c r="J31" s="638"/>
      <c r="K31" s="72" t="s">
        <v>1</v>
      </c>
      <c r="L31" s="105">
        <f>L29</f>
        <v>3092623</v>
      </c>
      <c r="M31" s="73">
        <f>M29</f>
        <v>0.51129812314346645</v>
      </c>
      <c r="N31" s="72" t="s">
        <v>1</v>
      </c>
      <c r="O31" s="105">
        <f>SUM(O29:O30)</f>
        <v>6294680</v>
      </c>
      <c r="P31" s="73">
        <f>SUM(P29:P30)</f>
        <v>1.0406887841772874</v>
      </c>
      <c r="Q31" s="638"/>
      <c r="R31" s="638"/>
      <c r="S31" s="638"/>
    </row>
    <row r="32" spans="1:19" x14ac:dyDescent="0.3">
      <c r="A32" s="665"/>
      <c r="B32" s="184"/>
      <c r="C32" s="184"/>
      <c r="D32" s="185"/>
      <c r="E32" s="638"/>
      <c r="F32" s="638"/>
      <c r="H32" s="638"/>
      <c r="J32" s="638"/>
      <c r="K32" s="72" t="s">
        <v>9</v>
      </c>
      <c r="L32" s="1423"/>
      <c r="M32" s="1424"/>
      <c r="N32" s="72" t="s">
        <v>9</v>
      </c>
      <c r="O32" s="1423"/>
      <c r="P32" s="1424"/>
      <c r="Q32" s="638"/>
      <c r="R32" s="638"/>
      <c r="S32" s="638"/>
    </row>
    <row r="33" spans="1:19" x14ac:dyDescent="0.3">
      <c r="A33" s="665"/>
      <c r="B33" s="184"/>
      <c r="C33" s="184"/>
      <c r="D33" s="185"/>
      <c r="E33" s="638"/>
      <c r="F33" s="638"/>
      <c r="H33" s="638"/>
      <c r="J33" s="638"/>
      <c r="K33" s="440" t="s">
        <v>78</v>
      </c>
      <c r="L33" s="1423" t="s">
        <v>1989</v>
      </c>
      <c r="M33" s="1424"/>
      <c r="N33" s="440" t="s">
        <v>78</v>
      </c>
      <c r="O33" s="1423" t="s">
        <v>1989</v>
      </c>
      <c r="P33" s="1424"/>
      <c r="Q33" s="638"/>
      <c r="R33" s="638"/>
      <c r="S33" s="638"/>
    </row>
    <row r="34" spans="1:19" x14ac:dyDescent="0.3">
      <c r="A34" s="665"/>
      <c r="B34" s="184"/>
      <c r="C34" s="184"/>
      <c r="D34" s="185"/>
      <c r="E34" s="638"/>
      <c r="F34" s="638"/>
      <c r="H34" s="638"/>
      <c r="J34" s="638"/>
      <c r="K34" s="439" t="s">
        <v>8</v>
      </c>
      <c r="L34" s="1423" t="s">
        <v>1990</v>
      </c>
      <c r="M34" s="1424"/>
      <c r="N34" s="439" t="s">
        <v>8</v>
      </c>
      <c r="O34" s="1423" t="s">
        <v>1990</v>
      </c>
      <c r="P34" s="1424"/>
      <c r="Q34" s="638"/>
      <c r="R34" s="638"/>
      <c r="S34" s="638"/>
    </row>
    <row r="35" spans="1:19" x14ac:dyDescent="0.3">
      <c r="A35" s="665"/>
      <c r="B35" s="184"/>
      <c r="C35" s="184"/>
      <c r="D35" s="185" t="s">
        <v>75</v>
      </c>
      <c r="E35" s="638"/>
      <c r="F35" s="638"/>
      <c r="H35" s="638"/>
      <c r="J35" s="638"/>
      <c r="K35" s="638"/>
      <c r="L35" s="638"/>
      <c r="M35" s="638"/>
      <c r="Q35" s="638"/>
      <c r="R35" s="638"/>
      <c r="S35" s="638"/>
    </row>
    <row r="36" spans="1:19" x14ac:dyDescent="0.3">
      <c r="A36" s="665" t="s">
        <v>76</v>
      </c>
      <c r="B36" s="180"/>
      <c r="C36" s="180"/>
      <c r="D36" s="185" t="s">
        <v>77</v>
      </c>
      <c r="E36" s="638"/>
      <c r="F36" s="638"/>
      <c r="H36" s="638"/>
      <c r="J36" s="638"/>
      <c r="K36" s="638"/>
      <c r="L36" s="638"/>
      <c r="M36" s="638"/>
      <c r="Q36" s="638"/>
      <c r="R36" s="638"/>
      <c r="S36" s="638"/>
    </row>
    <row r="37" spans="1:19" ht="26.4" x14ac:dyDescent="0.3">
      <c r="A37" s="665" t="s">
        <v>79</v>
      </c>
      <c r="B37" s="180"/>
      <c r="C37" s="180"/>
      <c r="D37" s="185" t="s">
        <v>80</v>
      </c>
      <c r="E37" s="638"/>
      <c r="F37" s="638"/>
      <c r="H37" s="638"/>
      <c r="J37" s="638"/>
      <c r="K37" s="638"/>
      <c r="L37" s="638"/>
      <c r="M37" s="638"/>
      <c r="Q37" s="638"/>
      <c r="R37" s="638"/>
      <c r="S37" s="638"/>
    </row>
  </sheetData>
  <mergeCells count="28">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7"/>
    <mergeCell ref="B14:B17"/>
    <mergeCell ref="J14:J17"/>
    <mergeCell ref="A18:A19"/>
    <mergeCell ref="B18:B19"/>
    <mergeCell ref="J18:J19"/>
    <mergeCell ref="O32:P32"/>
    <mergeCell ref="O33:P33"/>
    <mergeCell ref="O34:P34"/>
    <mergeCell ref="L32:M32"/>
    <mergeCell ref="L33:M33"/>
    <mergeCell ref="L34:M34"/>
  </mergeCells>
  <pageMargins left="0.7" right="0.7" top="0.75" bottom="0.75" header="0.3" footer="0.3"/>
  <pageSetup paperSize="9" scale="41" orientation="landscape" r:id="rId1"/>
  <drawing r:id="rId2"/>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6">
    <tabColor theme="1"/>
  </sheetPr>
  <dimension ref="A1:G49"/>
  <sheetViews>
    <sheetView topLeftCell="A10" zoomScaleNormal="100" zoomScaleSheetLayoutView="90" workbookViewId="0">
      <selection activeCell="F29" sqref="F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RESUMEN!G132</f>
        <v>Proyecto:complemento Formulario MIN CULTURA.</v>
      </c>
      <c r="C5" s="1281"/>
      <c r="D5" s="1281"/>
      <c r="E5" s="1281"/>
      <c r="F5" s="1281"/>
      <c r="G5" s="1282"/>
    </row>
    <row r="6" spans="1:7" x14ac:dyDescent="0.25">
      <c r="A6" s="1177"/>
      <c r="B6" s="1177"/>
      <c r="C6" s="1177"/>
      <c r="D6" s="1177"/>
      <c r="E6" s="1177"/>
      <c r="F6" s="1177"/>
      <c r="G6" s="1177"/>
    </row>
    <row r="7" spans="1:7" x14ac:dyDescent="0.25">
      <c r="A7" s="271" t="s">
        <v>0</v>
      </c>
      <c r="B7" s="1264" t="str">
        <f>RESUMEN!B132</f>
        <v>D00235083</v>
      </c>
      <c r="C7" s="1265"/>
      <c r="D7" s="1177"/>
      <c r="E7" s="1266" t="s">
        <v>627</v>
      </c>
      <c r="F7" s="1267"/>
      <c r="G7" s="280" t="str">
        <f>RESUMEN!E132</f>
        <v>17-425</v>
      </c>
    </row>
    <row r="8" spans="1:7" x14ac:dyDescent="0.25">
      <c r="A8" s="271" t="s">
        <v>628</v>
      </c>
      <c r="B8" s="1264" t="str">
        <f>RESUMEN!C132</f>
        <v>D00235083000</v>
      </c>
      <c r="C8" s="1265"/>
      <c r="D8" s="1177"/>
      <c r="E8" s="1266" t="s">
        <v>629</v>
      </c>
      <c r="F8" s="1267"/>
      <c r="G8" s="280" t="str">
        <f>RESUMEN!U132</f>
        <v>Acta N° 2: Marzo</v>
      </c>
    </row>
    <row r="9" spans="1:7" x14ac:dyDescent="0.25">
      <c r="A9" s="271" t="s">
        <v>630</v>
      </c>
      <c r="B9" s="1283" t="s">
        <v>631</v>
      </c>
      <c r="C9" s="1265"/>
      <c r="D9" s="1177"/>
      <c r="E9" s="1266" t="s">
        <v>632</v>
      </c>
      <c r="F9" s="1267"/>
      <c r="G9" s="1178">
        <f>RESUMEN!H132</f>
        <v>10425700</v>
      </c>
    </row>
    <row r="10" spans="1:7" x14ac:dyDescent="0.25">
      <c r="A10" s="271" t="s">
        <v>633</v>
      </c>
      <c r="B10" s="1283" t="str">
        <f>RESUMEN!D132</f>
        <v>SAN JOSÉ</v>
      </c>
      <c r="C10" s="1265"/>
      <c r="D10" s="1177"/>
      <c r="E10" s="1266" t="s">
        <v>634</v>
      </c>
      <c r="F10" s="1267"/>
      <c r="G10" s="1178">
        <f>RESUMEN!R132</f>
        <v>8897430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",RESUMEN!G132)</f>
        <v>A los 14 días del mes de Marzo se reunieron en las instalaciones de CODENSA S.A. E.S.P., los ingenieros Ing. Jhon Casanova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Proyecto:complemento Formulario MIN CULTURA.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RESUMEN!N132</f>
        <v>0</v>
      </c>
      <c r="F19" s="1248"/>
      <c r="G19" s="1177"/>
    </row>
    <row r="20" spans="1:7" ht="27" customHeight="1" x14ac:dyDescent="0.25">
      <c r="A20" s="1177"/>
      <c r="B20" s="1244" t="s">
        <v>1498</v>
      </c>
      <c r="C20" s="1245"/>
      <c r="D20" s="1246"/>
      <c r="E20" s="1247">
        <f>RESUMEN!P132</f>
        <v>0</v>
      </c>
      <c r="F20" s="1248"/>
      <c r="G20" s="1177"/>
    </row>
    <row r="21" spans="1:7" ht="27" customHeight="1" x14ac:dyDescent="0.25">
      <c r="A21" s="1177"/>
      <c r="B21" s="1244" t="s">
        <v>1499</v>
      </c>
      <c r="C21" s="1245"/>
      <c r="D21" s="1246"/>
      <c r="E21" s="1247">
        <f>RESUMEN!Q132</f>
        <v>0</v>
      </c>
      <c r="F21" s="1248"/>
      <c r="G21" s="1177"/>
    </row>
    <row r="22" spans="1:7" x14ac:dyDescent="0.25">
      <c r="A22" s="1177"/>
      <c r="B22" s="1254" t="s">
        <v>64</v>
      </c>
      <c r="C22" s="1254"/>
      <c r="D22" s="1254"/>
      <c r="E22" s="1255">
        <f>RESUMEN!R132</f>
        <v>8897430</v>
      </c>
      <c r="F22" s="1255"/>
      <c r="G22" s="1177"/>
    </row>
    <row r="23" spans="1:7" x14ac:dyDescent="0.25">
      <c r="A23" s="1177"/>
      <c r="B23" s="1256" t="s">
        <v>66</v>
      </c>
      <c r="C23" s="1256"/>
      <c r="D23" s="1256"/>
      <c r="E23" s="1257">
        <f>RESUMEN!S132</f>
        <v>0</v>
      </c>
      <c r="F23" s="1257"/>
      <c r="G23" s="1177"/>
    </row>
    <row r="24" spans="1:7" x14ac:dyDescent="0.25">
      <c r="A24" s="1177"/>
      <c r="B24" s="1258" t="s">
        <v>1</v>
      </c>
      <c r="C24" s="1258"/>
      <c r="D24" s="1258"/>
      <c r="E24" s="1259">
        <f>RESUMEN!T132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+'OT17-425 SAN JOSÉ MIN '!N27</f>
        <v>ACTA 1</v>
      </c>
      <c r="C28" s="1253">
        <f>+'OT17-425 SAN JOSÉ MIN '!O27</f>
        <v>8897430</v>
      </c>
      <c r="D28" s="1253"/>
      <c r="E28" s="267">
        <f>+'OT17-425 SAN JOSÉ MIN '!P27</f>
        <v>0.85341320007289678</v>
      </c>
      <c r="F28" s="1177"/>
      <c r="G28" s="1177"/>
    </row>
    <row r="29" spans="1:7" x14ac:dyDescent="0.25">
      <c r="A29" s="1177"/>
      <c r="B29" s="280" t="str">
        <f>+'OT17-425 SAN JOSÉ MIN '!N28</f>
        <v>ACTA 2</v>
      </c>
      <c r="C29" s="1253">
        <f>+'OT17-425 SAN JOSÉ MIN '!O28</f>
        <v>0</v>
      </c>
      <c r="D29" s="1253"/>
      <c r="E29" s="267">
        <f>+'OT17-425 SAN JOSÉ MIN '!P28</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8897430</v>
      </c>
      <c r="D34" s="1251"/>
      <c r="E34" s="264">
        <f>SUM(E28:E33)</f>
        <v>0.85341320007289678</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RESUMEN!V132</f>
        <v>Ing. Jhon Casanova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7">
    <tabColor rgb="FF72104A"/>
  </sheetPr>
  <dimension ref="A1:S34"/>
  <sheetViews>
    <sheetView topLeftCell="I4" zoomScale="70" zoomScaleNormal="70" workbookViewId="0">
      <selection activeCell="J14" sqref="J14:J15"/>
    </sheetView>
  </sheetViews>
  <sheetFormatPr baseColWidth="10" defaultRowHeight="14.4" x14ac:dyDescent="0.3"/>
  <cols>
    <col min="1" max="1" width="18.6640625" customWidth="1"/>
    <col min="2" max="2" width="25.44140625" customWidth="1"/>
    <col min="3" max="3" width="23.33203125" customWidth="1"/>
    <col min="4" max="4" width="28.109375" customWidth="1"/>
    <col min="6" max="6" width="14.44140625" bestFit="1" customWidth="1"/>
    <col min="7" max="7" width="14.44140625" style="849" customWidth="1"/>
    <col min="8" max="8" width="16.44140625" bestFit="1" customWidth="1"/>
    <col min="9" max="9" width="16.44140625" style="849" customWidth="1"/>
    <col min="10" max="10" width="55.44140625" customWidth="1"/>
    <col min="11" max="11" width="16.33203125" bestFit="1" customWidth="1"/>
    <col min="12" max="12" width="16.109375" customWidth="1"/>
    <col min="14" max="14" width="11.5546875" style="1054"/>
    <col min="15" max="15" width="14.44140625" style="1054" customWidth="1"/>
    <col min="16" max="16" width="11.5546875" style="1054"/>
    <col min="17" max="17" width="16.33203125" bestFit="1" customWidth="1"/>
    <col min="18" max="18" width="15.5546875"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1864</v>
      </c>
      <c r="B7" s="1292"/>
      <c r="C7" s="1292"/>
      <c r="D7" s="1292"/>
      <c r="E7" s="1292"/>
      <c r="F7" s="1292"/>
      <c r="G7" s="1292"/>
      <c r="H7" s="1292"/>
      <c r="I7" s="1292"/>
      <c r="J7" s="1292"/>
      <c r="K7" s="1292"/>
      <c r="L7" s="1292"/>
      <c r="M7" s="1292"/>
      <c r="N7" s="1292"/>
      <c r="O7" s="1292"/>
      <c r="P7" s="1292"/>
      <c r="Q7" s="1292"/>
      <c r="R7" s="1292"/>
      <c r="S7" s="1292"/>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1860</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98.25" customHeight="1" x14ac:dyDescent="0.3">
      <c r="A14" s="1289" t="s">
        <v>1861</v>
      </c>
      <c r="B14" s="1289" t="s">
        <v>194</v>
      </c>
      <c r="C14" s="843" t="s">
        <v>160</v>
      </c>
      <c r="D14" s="843" t="s">
        <v>161</v>
      </c>
      <c r="E14" s="843">
        <v>96</v>
      </c>
      <c r="F14" s="32">
        <v>69644</v>
      </c>
      <c r="G14" s="32">
        <f>+ROUND(F14*1.051,0)</f>
        <v>73196</v>
      </c>
      <c r="H14" s="32">
        <f>ROUND((E14*F14),0)</f>
        <v>6685824</v>
      </c>
      <c r="I14" s="32">
        <f>+ROUND(G14*E14,0)</f>
        <v>7026816</v>
      </c>
      <c r="J14" s="1290" t="s">
        <v>1862</v>
      </c>
      <c r="K14" s="537">
        <f>96*80%</f>
        <v>76.800000000000011</v>
      </c>
      <c r="L14" s="752">
        <f>ROUND(K14*G14,0)</f>
        <v>5621453</v>
      </c>
      <c r="M14" s="753">
        <f>L14/H14</f>
        <v>0.84080182188463237</v>
      </c>
      <c r="N14" s="891">
        <v>0</v>
      </c>
      <c r="O14" s="892">
        <f>ROUND(N14*G14,0)</f>
        <v>0</v>
      </c>
      <c r="P14" s="893">
        <f>O14/I14</f>
        <v>0</v>
      </c>
      <c r="Q14" s="536">
        <f>K14+N14</f>
        <v>76.800000000000011</v>
      </c>
      <c r="R14" s="685">
        <f>L14+O14</f>
        <v>5621453</v>
      </c>
      <c r="S14" s="684">
        <f>R14/I14</f>
        <v>0.80000002846239326</v>
      </c>
    </row>
    <row r="15" spans="1:19" x14ac:dyDescent="0.3">
      <c r="A15" s="1289"/>
      <c r="B15" s="1289"/>
      <c r="C15" s="39"/>
      <c r="D15" s="39" t="s">
        <v>162</v>
      </c>
      <c r="E15" s="41"/>
      <c r="F15" s="41"/>
      <c r="G15" s="41"/>
      <c r="H15" s="42">
        <f>H14</f>
        <v>6685824</v>
      </c>
      <c r="I15" s="42">
        <f>SUM(I14)</f>
        <v>7026816</v>
      </c>
      <c r="J15" s="1290"/>
      <c r="K15" s="40"/>
      <c r="L15" s="683">
        <f>SUM(L14:L14)</f>
        <v>5621453</v>
      </c>
      <c r="M15" s="519">
        <f>L15/H15</f>
        <v>0.84080182188463237</v>
      </c>
      <c r="N15" s="40"/>
      <c r="O15" s="683">
        <f>SUM(O14:O14)</f>
        <v>0</v>
      </c>
      <c r="P15" s="1100">
        <f t="shared" ref="P15:P17" si="0">O15/I15</f>
        <v>0</v>
      </c>
      <c r="Q15" s="1108"/>
      <c r="R15" s="1107">
        <f t="shared" ref="R15:R17" si="1">L15+O15</f>
        <v>5621453</v>
      </c>
      <c r="S15" s="1100">
        <f t="shared" ref="S15:S17" si="2">R15/I15</f>
        <v>0.80000002846239326</v>
      </c>
    </row>
    <row r="16" spans="1:19" ht="60" customHeight="1" x14ac:dyDescent="0.3">
      <c r="A16" s="1289" t="s">
        <v>1861</v>
      </c>
      <c r="B16" s="1289" t="s">
        <v>284</v>
      </c>
      <c r="C16" s="843" t="s">
        <v>148</v>
      </c>
      <c r="D16" s="843" t="s">
        <v>181</v>
      </c>
      <c r="E16" s="843">
        <v>0.6</v>
      </c>
      <c r="F16" s="32">
        <v>6233127</v>
      </c>
      <c r="G16" s="32">
        <f>+ROUND(F16*1.051,0)</f>
        <v>6551016</v>
      </c>
      <c r="H16" s="32">
        <f>ROUND((E16*F16),0)</f>
        <v>3739876</v>
      </c>
      <c r="I16" s="32">
        <f>+ROUND(G16*E16,0)</f>
        <v>3930610</v>
      </c>
      <c r="J16" s="1290" t="s">
        <v>1863</v>
      </c>
      <c r="K16" s="537">
        <f>0.6*80%</f>
        <v>0.48</v>
      </c>
      <c r="L16" s="752">
        <f>ROUND(K16*G16,0)</f>
        <v>3144488</v>
      </c>
      <c r="M16" s="753">
        <f>L16/H16</f>
        <v>0.84080006930711071</v>
      </c>
      <c r="N16" s="891">
        <v>0</v>
      </c>
      <c r="O16" s="892">
        <f>ROUND(N16*G16,0)</f>
        <v>0</v>
      </c>
      <c r="P16" s="893">
        <f t="shared" si="0"/>
        <v>0</v>
      </c>
      <c r="Q16" s="536">
        <f>K16+N16</f>
        <v>0.48</v>
      </c>
      <c r="R16" s="685">
        <f t="shared" si="1"/>
        <v>3144488</v>
      </c>
      <c r="S16" s="684">
        <f t="shared" si="2"/>
        <v>0.8</v>
      </c>
    </row>
    <row r="17" spans="1:19" x14ac:dyDescent="0.3">
      <c r="A17" s="1289"/>
      <c r="B17" s="1289"/>
      <c r="C17" s="39"/>
      <c r="D17" s="39" t="s">
        <v>183</v>
      </c>
      <c r="E17" s="41"/>
      <c r="F17" s="41"/>
      <c r="G17" s="41"/>
      <c r="H17" s="42">
        <f>H16</f>
        <v>3739876</v>
      </c>
      <c r="I17" s="42">
        <f>SUM(I16)</f>
        <v>3930610</v>
      </c>
      <c r="J17" s="1289"/>
      <c r="K17" s="40"/>
      <c r="L17" s="683">
        <f>SUM(L16:L16)</f>
        <v>3144488</v>
      </c>
      <c r="M17" s="519">
        <f>L17/H17</f>
        <v>0.84080006930711071</v>
      </c>
      <c r="N17" s="40"/>
      <c r="O17" s="683">
        <f>SUM(O16:O16)</f>
        <v>0</v>
      </c>
      <c r="P17" s="1100">
        <f t="shared" si="0"/>
        <v>0</v>
      </c>
      <c r="Q17" s="1108"/>
      <c r="R17" s="1107">
        <f t="shared" si="1"/>
        <v>3144488</v>
      </c>
      <c r="S17" s="1100">
        <f t="shared" si="2"/>
        <v>0.8</v>
      </c>
    </row>
    <row r="18" spans="1:19" x14ac:dyDescent="0.3">
      <c r="A18" s="638"/>
      <c r="B18" s="638"/>
      <c r="C18" s="638"/>
      <c r="D18" s="638"/>
      <c r="E18" s="638"/>
      <c r="F18" s="686" t="s">
        <v>1740</v>
      </c>
      <c r="G18" s="686"/>
      <c r="H18" s="687">
        <f>0+H15+H17</f>
        <v>10425700</v>
      </c>
      <c r="I18" s="687">
        <f>0+I15+I17</f>
        <v>10957426</v>
      </c>
      <c r="J18" s="638"/>
      <c r="K18" s="549" t="s">
        <v>64</v>
      </c>
      <c r="L18" s="677">
        <f>SUM(L14:L17)/2</f>
        <v>8765941</v>
      </c>
      <c r="M18" s="638"/>
      <c r="N18" s="549" t="s">
        <v>64</v>
      </c>
      <c r="O18" s="677">
        <f>SUM(O14:O17)/2</f>
        <v>0</v>
      </c>
      <c r="Q18" s="549" t="s">
        <v>64</v>
      </c>
      <c r="R18" s="677">
        <f>SUM(R14:R17)/2</f>
        <v>8765941</v>
      </c>
      <c r="S18" s="638"/>
    </row>
    <row r="19" spans="1:19" ht="26.4" x14ac:dyDescent="0.3">
      <c r="A19" s="638"/>
      <c r="B19" s="638"/>
      <c r="C19" s="638"/>
      <c r="D19" s="638"/>
      <c r="E19" s="638"/>
      <c r="F19" s="444" t="s">
        <v>65</v>
      </c>
      <c r="G19" s="444"/>
      <c r="H19" s="181">
        <v>0</v>
      </c>
      <c r="I19" s="181">
        <v>0</v>
      </c>
      <c r="J19" s="638"/>
      <c r="K19" s="548" t="s">
        <v>65</v>
      </c>
      <c r="L19" s="677">
        <v>0</v>
      </c>
      <c r="M19" s="638"/>
      <c r="N19" s="548" t="s">
        <v>65</v>
      </c>
      <c r="O19" s="677">
        <v>0</v>
      </c>
      <c r="Q19" s="548" t="s">
        <v>65</v>
      </c>
      <c r="R19" s="677">
        <v>0</v>
      </c>
      <c r="S19" s="638"/>
    </row>
    <row r="20" spans="1:19" x14ac:dyDescent="0.3">
      <c r="A20" s="638"/>
      <c r="B20" s="638"/>
      <c r="C20" s="638"/>
      <c r="D20" s="638"/>
      <c r="E20" s="638"/>
      <c r="F20" s="443" t="s">
        <v>1740</v>
      </c>
      <c r="G20" s="443"/>
      <c r="H20" s="340">
        <f>+H19+H18</f>
        <v>10425700</v>
      </c>
      <c r="I20" s="340">
        <f>+I19+I18</f>
        <v>10957426</v>
      </c>
      <c r="J20" s="638"/>
      <c r="K20" s="549" t="s">
        <v>64</v>
      </c>
      <c r="L20" s="481">
        <f>L18+L19</f>
        <v>8765941</v>
      </c>
      <c r="M20" s="638"/>
      <c r="N20" s="549" t="s">
        <v>64</v>
      </c>
      <c r="O20" s="481">
        <f>O18+O19</f>
        <v>0</v>
      </c>
      <c r="Q20" s="549" t="s">
        <v>64</v>
      </c>
      <c r="R20" s="481">
        <f>R18+R19</f>
        <v>8765941</v>
      </c>
      <c r="S20" s="638"/>
    </row>
    <row r="21" spans="1:19" ht="26.4" x14ac:dyDescent="0.3">
      <c r="A21" s="638"/>
      <c r="B21" s="638"/>
      <c r="C21" s="638"/>
      <c r="D21" s="638"/>
      <c r="E21" s="638"/>
      <c r="F21" s="659"/>
      <c r="G21" s="659"/>
      <c r="H21" s="659"/>
      <c r="I21" s="659"/>
      <c r="J21" s="638"/>
      <c r="K21" s="501" t="s">
        <v>1439</v>
      </c>
      <c r="L21" s="481">
        <f>ROUND(L20*0.015,0)</f>
        <v>131489</v>
      </c>
      <c r="M21" s="638"/>
      <c r="N21" s="501" t="s">
        <v>1439</v>
      </c>
      <c r="O21" s="481">
        <f>ROUND(O20*0.015,0)</f>
        <v>0</v>
      </c>
      <c r="Q21" s="501" t="s">
        <v>1439</v>
      </c>
      <c r="R21" s="481">
        <f>ROUND(R20*0.015,0)</f>
        <v>131489</v>
      </c>
      <c r="S21" s="638"/>
    </row>
    <row r="22" spans="1:19" ht="39.6" x14ac:dyDescent="0.3">
      <c r="A22" s="638"/>
      <c r="B22" s="638"/>
      <c r="C22" s="638"/>
      <c r="D22" s="638"/>
      <c r="E22" s="638"/>
      <c r="F22" s="659"/>
      <c r="G22" s="659"/>
      <c r="H22" s="659"/>
      <c r="I22" s="659"/>
      <c r="J22" s="638"/>
      <c r="K22" s="96" t="s">
        <v>1440</v>
      </c>
      <c r="L22" s="425">
        <f>L20+L21</f>
        <v>8897430</v>
      </c>
      <c r="M22" s="678">
        <f>L22/H18</f>
        <v>0.85341320007289678</v>
      </c>
      <c r="N22" s="96" t="s">
        <v>1440</v>
      </c>
      <c r="O22" s="425">
        <f>O20+O21</f>
        <v>0</v>
      </c>
      <c r="P22" s="678">
        <f>O22/H18</f>
        <v>0</v>
      </c>
      <c r="Q22" s="96" t="s">
        <v>1440</v>
      </c>
      <c r="R22" s="425">
        <f>R20+R21</f>
        <v>8897430</v>
      </c>
      <c r="S22" s="678">
        <f>R22/H18</f>
        <v>0.85341320007289678</v>
      </c>
    </row>
    <row r="23" spans="1:19" x14ac:dyDescent="0.3">
      <c r="A23" s="638"/>
      <c r="B23" s="638"/>
      <c r="C23" s="638"/>
      <c r="D23" s="638"/>
      <c r="E23" s="638"/>
      <c r="F23" s="442" t="s">
        <v>66</v>
      </c>
      <c r="G23" s="442"/>
      <c r="H23" s="181">
        <f>+H18*19%</f>
        <v>1980883</v>
      </c>
      <c r="I23" s="181">
        <f>+I18*19%</f>
        <v>2081910.94</v>
      </c>
      <c r="J23" s="638"/>
      <c r="K23" s="551" t="s">
        <v>66</v>
      </c>
      <c r="L23" s="672">
        <f>L22*0.19</f>
        <v>1690511.7</v>
      </c>
      <c r="M23" s="638"/>
      <c r="N23" s="551" t="s">
        <v>66</v>
      </c>
      <c r="O23" s="672">
        <f>O22*0.19</f>
        <v>0</v>
      </c>
      <c r="Q23" s="551" t="s">
        <v>66</v>
      </c>
      <c r="R23" s="672">
        <f>R22*0.19</f>
        <v>1690511.7</v>
      </c>
      <c r="S23" s="638"/>
    </row>
    <row r="24" spans="1:19" x14ac:dyDescent="0.3">
      <c r="A24" s="638"/>
      <c r="B24" s="638"/>
      <c r="C24" s="638"/>
      <c r="D24" s="638"/>
      <c r="E24" s="638"/>
      <c r="F24" s="441" t="s">
        <v>69</v>
      </c>
      <c r="G24" s="441"/>
      <c r="H24" s="181">
        <f>+H18+H23</f>
        <v>12406583</v>
      </c>
      <c r="I24" s="181">
        <f>+I18+I23</f>
        <v>13039336.939999999</v>
      </c>
      <c r="J24" s="638"/>
      <c r="K24" s="552" t="s">
        <v>69</v>
      </c>
      <c r="L24" s="672">
        <f>L22+L23</f>
        <v>10587941.699999999</v>
      </c>
      <c r="M24" s="638"/>
      <c r="N24" s="552" t="s">
        <v>69</v>
      </c>
      <c r="O24" s="672">
        <f>O22+O23</f>
        <v>0</v>
      </c>
      <c r="Q24" s="552" t="s">
        <v>69</v>
      </c>
      <c r="R24" s="672">
        <f>R22+R23</f>
        <v>10587941.699999999</v>
      </c>
      <c r="S24" s="638"/>
    </row>
    <row r="25" spans="1:19" x14ac:dyDescent="0.3">
      <c r="A25" s="638"/>
      <c r="B25" s="638"/>
      <c r="C25" s="638"/>
      <c r="D25" s="638"/>
      <c r="E25" s="638"/>
      <c r="F25" s="638"/>
      <c r="H25" s="638"/>
      <c r="J25" s="638"/>
      <c r="K25" s="638"/>
      <c r="L25" s="638"/>
      <c r="M25" s="638"/>
      <c r="Q25" s="638"/>
      <c r="R25" s="638"/>
      <c r="S25" s="638"/>
    </row>
    <row r="26" spans="1:19" x14ac:dyDescent="0.3">
      <c r="A26" s="665" t="s">
        <v>67</v>
      </c>
      <c r="B26" s="184"/>
      <c r="C26" s="184"/>
      <c r="D26" s="185" t="s">
        <v>68</v>
      </c>
      <c r="E26" s="638"/>
      <c r="F26" s="638"/>
      <c r="H26" s="638"/>
      <c r="J26" s="638"/>
      <c r="K26" s="186" t="s">
        <v>70</v>
      </c>
      <c r="L26" s="187" t="s">
        <v>71</v>
      </c>
      <c r="M26" s="186" t="s">
        <v>58</v>
      </c>
      <c r="N26" s="186" t="s">
        <v>70</v>
      </c>
      <c r="O26" s="187" t="s">
        <v>71</v>
      </c>
      <c r="P26" s="186" t="s">
        <v>58</v>
      </c>
      <c r="Q26" s="638"/>
      <c r="R26" s="638"/>
      <c r="S26" s="638"/>
    </row>
    <row r="27" spans="1:19" x14ac:dyDescent="0.3">
      <c r="A27" s="665"/>
      <c r="B27" s="184"/>
      <c r="C27" s="184"/>
      <c r="D27" s="185"/>
      <c r="E27" s="638"/>
      <c r="F27" s="638"/>
      <c r="H27" s="638"/>
      <c r="J27" s="638"/>
      <c r="K27" s="69" t="s">
        <v>72</v>
      </c>
      <c r="L27" s="70">
        <f>L22</f>
        <v>8897430</v>
      </c>
      <c r="M27" s="360">
        <f>M22</f>
        <v>0.85341320007289678</v>
      </c>
      <c r="N27" s="69" t="s">
        <v>72</v>
      </c>
      <c r="O27" s="70">
        <f>$L$22</f>
        <v>8897430</v>
      </c>
      <c r="P27" s="360">
        <f>$M$22</f>
        <v>0.85341320007289678</v>
      </c>
      <c r="Q27" s="638"/>
      <c r="R27" s="638"/>
      <c r="S27" s="638"/>
    </row>
    <row r="28" spans="1:19" x14ac:dyDescent="0.3">
      <c r="A28" s="665"/>
      <c r="B28" s="184"/>
      <c r="C28" s="184"/>
      <c r="D28" s="185"/>
      <c r="E28" s="638"/>
      <c r="F28" s="638"/>
      <c r="H28" s="638"/>
      <c r="J28" s="638"/>
      <c r="K28" s="72" t="s">
        <v>1</v>
      </c>
      <c r="L28" s="105">
        <f>L27</f>
        <v>8897430</v>
      </c>
      <c r="M28" s="361">
        <f>M27</f>
        <v>0.85341320007289678</v>
      </c>
      <c r="N28" s="69" t="s">
        <v>73</v>
      </c>
      <c r="O28" s="70">
        <f>$O$22</f>
        <v>0</v>
      </c>
      <c r="P28" s="360">
        <f>$P$22</f>
        <v>0</v>
      </c>
      <c r="Q28" s="638"/>
      <c r="R28" s="638"/>
      <c r="S28" s="638"/>
    </row>
    <row r="29" spans="1:19" x14ac:dyDescent="0.3">
      <c r="A29" s="665"/>
      <c r="B29" s="184"/>
      <c r="C29" s="184"/>
      <c r="D29" s="185"/>
      <c r="E29" s="638"/>
      <c r="F29" s="638"/>
      <c r="H29" s="638"/>
      <c r="J29" s="638"/>
      <c r="K29" s="72" t="s">
        <v>9</v>
      </c>
      <c r="L29" s="1423"/>
      <c r="M29" s="1424"/>
      <c r="N29" s="72" t="s">
        <v>1</v>
      </c>
      <c r="O29" s="105">
        <f>SUM(O27:O28)</f>
        <v>8897430</v>
      </c>
      <c r="P29" s="361">
        <f>SUM(P27:P28)</f>
        <v>0.85341320007289678</v>
      </c>
      <c r="Q29" s="638"/>
      <c r="R29" s="638"/>
      <c r="S29" s="638"/>
    </row>
    <row r="30" spans="1:19" x14ac:dyDescent="0.3">
      <c r="A30" s="665"/>
      <c r="B30" s="184"/>
      <c r="C30" s="184"/>
      <c r="D30" s="185"/>
      <c r="E30" s="638"/>
      <c r="F30" s="638"/>
      <c r="H30" s="638"/>
      <c r="J30" s="638"/>
      <c r="K30" s="440" t="s">
        <v>78</v>
      </c>
      <c r="L30" s="1423" t="s">
        <v>350</v>
      </c>
      <c r="M30" s="1424"/>
      <c r="N30" s="72" t="s">
        <v>9</v>
      </c>
      <c r="O30" s="1423"/>
      <c r="P30" s="1424"/>
      <c r="Q30" s="638"/>
      <c r="R30" s="638"/>
      <c r="S30" s="638"/>
    </row>
    <row r="31" spans="1:19" x14ac:dyDescent="0.3">
      <c r="A31" s="665"/>
      <c r="B31" s="184"/>
      <c r="C31" s="184"/>
      <c r="D31" s="185"/>
      <c r="E31" s="638"/>
      <c r="F31" s="638"/>
      <c r="H31" s="638"/>
      <c r="J31" s="638"/>
      <c r="K31" s="439" t="s">
        <v>8</v>
      </c>
      <c r="L31" s="1425" t="s">
        <v>351</v>
      </c>
      <c r="M31" s="1426"/>
      <c r="N31" s="440" t="s">
        <v>78</v>
      </c>
      <c r="O31" s="1423" t="s">
        <v>350</v>
      </c>
      <c r="P31" s="1424"/>
      <c r="Q31" s="638"/>
      <c r="R31" s="638"/>
      <c r="S31" s="638"/>
    </row>
    <row r="32" spans="1:19" x14ac:dyDescent="0.3">
      <c r="A32" s="665"/>
      <c r="B32" s="184"/>
      <c r="C32" s="184"/>
      <c r="D32" s="185" t="s">
        <v>75</v>
      </c>
      <c r="E32" s="638"/>
      <c r="F32" s="638"/>
      <c r="H32" s="638"/>
      <c r="J32" s="638"/>
      <c r="K32" s="638"/>
      <c r="L32" s="638"/>
      <c r="M32" s="638"/>
      <c r="N32" s="439" t="s">
        <v>8</v>
      </c>
      <c r="O32" s="1425" t="s">
        <v>351</v>
      </c>
      <c r="P32" s="1426"/>
      <c r="Q32" s="638"/>
      <c r="R32" s="638"/>
      <c r="S32" s="638"/>
    </row>
    <row r="33" spans="1:19" x14ac:dyDescent="0.3">
      <c r="A33" s="665" t="s">
        <v>76</v>
      </c>
      <c r="B33" s="180"/>
      <c r="C33" s="180"/>
      <c r="D33" s="185" t="s">
        <v>77</v>
      </c>
      <c r="E33" s="638"/>
      <c r="F33" s="638"/>
      <c r="H33" s="638"/>
      <c r="J33" s="638"/>
      <c r="K33" s="638"/>
      <c r="L33" s="638"/>
      <c r="M33" s="638"/>
      <c r="Q33" s="638"/>
      <c r="R33" s="638"/>
      <c r="S33" s="638"/>
    </row>
    <row r="34" spans="1:19" x14ac:dyDescent="0.3">
      <c r="A34" s="665" t="s">
        <v>79</v>
      </c>
      <c r="B34" s="180"/>
      <c r="C34" s="180"/>
      <c r="D34" s="185" t="s">
        <v>80</v>
      </c>
      <c r="E34" s="638"/>
      <c r="F34" s="638"/>
      <c r="H34" s="638"/>
      <c r="J34" s="638"/>
      <c r="K34" s="638"/>
      <c r="L34" s="638"/>
      <c r="M34" s="638"/>
      <c r="Q34" s="638"/>
      <c r="R34" s="638"/>
      <c r="S34" s="638"/>
    </row>
  </sheetData>
  <mergeCells count="28">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5"/>
    <mergeCell ref="B14:B15"/>
    <mergeCell ref="J14:J15"/>
    <mergeCell ref="A16:A17"/>
    <mergeCell ref="B16:B17"/>
    <mergeCell ref="J16:J17"/>
    <mergeCell ref="O30:P30"/>
    <mergeCell ref="O31:P31"/>
    <mergeCell ref="O32:P32"/>
    <mergeCell ref="L29:M29"/>
    <mergeCell ref="L30:M30"/>
    <mergeCell ref="L31:M31"/>
  </mergeCells>
  <pageMargins left="0.7" right="0.7" top="0.75" bottom="0.75" header="0.3" footer="0.3"/>
  <pageSetup paperSize="9" scale="42" orientation="landscape" r:id="rId1"/>
  <drawing r:id="rId2"/>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8">
    <tabColor theme="1"/>
  </sheetPr>
  <dimension ref="A1:G49"/>
  <sheetViews>
    <sheetView topLeftCell="A13" zoomScaleNormal="100" zoomScaleSheetLayoutView="90" workbookViewId="0">
      <selection activeCell="G32" sqref="G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RESUMEN!G133</f>
        <v>Proyecto:Reubicación de la torre T2289 de la LT Facatativá Villeta 115kV.</v>
      </c>
      <c r="C5" s="1281"/>
      <c r="D5" s="1281"/>
      <c r="E5" s="1281"/>
      <c r="F5" s="1281"/>
      <c r="G5" s="1282"/>
    </row>
    <row r="6" spans="1:7" x14ac:dyDescent="0.25">
      <c r="A6" s="1177"/>
      <c r="B6" s="1177"/>
      <c r="C6" s="1177"/>
      <c r="D6" s="1177"/>
      <c r="E6" s="1177"/>
      <c r="F6" s="1177"/>
      <c r="G6" s="1177"/>
    </row>
    <row r="7" spans="1:7" x14ac:dyDescent="0.25">
      <c r="A7" s="271" t="s">
        <v>0</v>
      </c>
      <c r="B7" s="1264">
        <f>RESUMEN!B133</f>
        <v>0</v>
      </c>
      <c r="C7" s="1265"/>
      <c r="D7" s="1177"/>
      <c r="E7" s="1266" t="s">
        <v>627</v>
      </c>
      <c r="F7" s="1267"/>
      <c r="G7" s="280" t="str">
        <f>RESUMEN!E133</f>
        <v>17-427</v>
      </c>
    </row>
    <row r="8" spans="1:7" x14ac:dyDescent="0.25">
      <c r="A8" s="271" t="s">
        <v>628</v>
      </c>
      <c r="B8" s="1264">
        <f>RESUMEN!C133</f>
        <v>0</v>
      </c>
      <c r="C8" s="1265"/>
      <c r="D8" s="1177"/>
      <c r="E8" s="1266" t="s">
        <v>629</v>
      </c>
      <c r="F8" s="1267"/>
      <c r="G8" s="280" t="str">
        <f>RESUMEN!U133</f>
        <v>Acta N° 2: Marzo</v>
      </c>
    </row>
    <row r="9" spans="1:7" x14ac:dyDescent="0.25">
      <c r="A9" s="271" t="s">
        <v>630</v>
      </c>
      <c r="B9" s="1283" t="s">
        <v>631</v>
      </c>
      <c r="C9" s="1265"/>
      <c r="D9" s="1177"/>
      <c r="E9" s="1266" t="s">
        <v>632</v>
      </c>
      <c r="F9" s="1267"/>
      <c r="G9" s="1178">
        <f>RESUMEN!H133</f>
        <v>23667104</v>
      </c>
    </row>
    <row r="10" spans="1:7" x14ac:dyDescent="0.25">
      <c r="A10" s="271" t="s">
        <v>633</v>
      </c>
      <c r="B10" s="1283" t="str">
        <f>RESUMEN!D133</f>
        <v>LLTT FACA-VILLETA EST 2289</v>
      </c>
      <c r="C10" s="1265"/>
      <c r="D10" s="1177"/>
      <c r="E10" s="1266" t="s">
        <v>634</v>
      </c>
      <c r="F10" s="1267"/>
      <c r="G10" s="1178">
        <f>RESUMEN!R133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",RESUMEN!G133)</f>
        <v>A los 14 días del mes de Marzo se reunieron en las instalaciones de CODENSA S.A. E.S.P., los ingenieros Ing. Andrés Patarroyo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Proyecto:Reubicación de la torre T2289 de la LT Facatativá Villeta 115kV.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RESUMEN!N133</f>
        <v>0</v>
      </c>
      <c r="F19" s="1248"/>
      <c r="G19" s="1177"/>
    </row>
    <row r="20" spans="1:7" ht="27" customHeight="1" x14ac:dyDescent="0.25">
      <c r="A20" s="1177"/>
      <c r="B20" s="1244" t="s">
        <v>1498</v>
      </c>
      <c r="C20" s="1245"/>
      <c r="D20" s="1246"/>
      <c r="E20" s="1247">
        <f>RESUMEN!P133</f>
        <v>0</v>
      </c>
      <c r="F20" s="1248"/>
      <c r="G20" s="1177"/>
    </row>
    <row r="21" spans="1:7" ht="27" customHeight="1" x14ac:dyDescent="0.25">
      <c r="A21" s="1177"/>
      <c r="B21" s="1244" t="s">
        <v>1499</v>
      </c>
      <c r="C21" s="1245"/>
      <c r="D21" s="1246"/>
      <c r="E21" s="1247">
        <f>RESUMEN!Q133</f>
        <v>0</v>
      </c>
      <c r="F21" s="1248"/>
      <c r="G21" s="1177"/>
    </row>
    <row r="22" spans="1:7" x14ac:dyDescent="0.25">
      <c r="A22" s="1177"/>
      <c r="B22" s="1254" t="s">
        <v>64</v>
      </c>
      <c r="C22" s="1254"/>
      <c r="D22" s="1254"/>
      <c r="E22" s="1255">
        <f>RESUMEN!R133</f>
        <v>0</v>
      </c>
      <c r="F22" s="1255"/>
      <c r="G22" s="1177"/>
    </row>
    <row r="23" spans="1:7" x14ac:dyDescent="0.25">
      <c r="A23" s="1177"/>
      <c r="B23" s="1256" t="s">
        <v>66</v>
      </c>
      <c r="C23" s="1256"/>
      <c r="D23" s="1256"/>
      <c r="E23" s="1257">
        <f>RESUMEN!S133</f>
        <v>0</v>
      </c>
      <c r="F23" s="1257"/>
      <c r="G23" s="1177"/>
    </row>
    <row r="24" spans="1:7" x14ac:dyDescent="0.25">
      <c r="A24" s="1177"/>
      <c r="B24" s="1258" t="s">
        <v>1</v>
      </c>
      <c r="C24" s="1258"/>
      <c r="D24" s="1258"/>
      <c r="E24" s="1259">
        <f>RESUMEN!T133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+'OT17-427 LT BALSILLAS FACA '!N35</f>
        <v>ACTA 1</v>
      </c>
      <c r="C28" s="1253">
        <f>+'OT17-427 LT BALSILLAS FACA '!O35</f>
        <v>6502031.6699999999</v>
      </c>
      <c r="D28" s="1253"/>
      <c r="E28" s="267">
        <f>+'OT17-427 LT BALSILLAS FACA '!P35</f>
        <v>0.27369381780203822</v>
      </c>
      <c r="F28" s="1177"/>
      <c r="G28" s="1177"/>
    </row>
    <row r="29" spans="1:7" x14ac:dyDescent="0.25">
      <c r="A29" s="1177"/>
      <c r="B29" s="280" t="str">
        <f>+'OT17-427 LT BALSILLAS FACA '!N36</f>
        <v>ACTA 2</v>
      </c>
      <c r="C29" s="1253">
        <f>+'OT17-427 LT BALSILLAS FACA '!O36</f>
        <v>0</v>
      </c>
      <c r="D29" s="1253"/>
      <c r="E29" s="267">
        <f>+'OT17-427 LT BALSILLAS FACA '!P36</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6502031.6699999999</v>
      </c>
      <c r="D34" s="1251"/>
      <c r="E34" s="264">
        <f>SUM(E28:E33)</f>
        <v>0.27369381780203822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RESUMEN!V133</f>
        <v>Ing. Andrés Patarroyo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9">
    <tabColor rgb="FF72104A"/>
  </sheetPr>
  <dimension ref="A1:S42"/>
  <sheetViews>
    <sheetView topLeftCell="G19" zoomScale="80" zoomScaleNormal="80" workbookViewId="0">
      <selection activeCell="H14" sqref="H14"/>
    </sheetView>
  </sheetViews>
  <sheetFormatPr baseColWidth="10" defaultRowHeight="14.4" x14ac:dyDescent="0.3"/>
  <cols>
    <col min="1" max="1" width="20.5546875" customWidth="1"/>
    <col min="2" max="2" width="26.44140625" customWidth="1"/>
    <col min="3" max="3" width="21.44140625" customWidth="1"/>
    <col min="4" max="4" width="36.6640625" customWidth="1"/>
    <col min="6" max="6" width="14.44140625" bestFit="1" customWidth="1"/>
    <col min="7" max="7" width="14.44140625" style="849" customWidth="1"/>
    <col min="8" max="8" width="18" bestFit="1" customWidth="1"/>
    <col min="9" max="9" width="18.6640625" style="849" bestFit="1" customWidth="1"/>
    <col min="10" max="10" width="38.44140625" customWidth="1"/>
    <col min="11" max="11" width="19.33203125" customWidth="1"/>
    <col min="12" max="12" width="17.44140625" customWidth="1"/>
    <col min="14" max="16" width="11.5546875" style="1054"/>
    <col min="17" max="17" width="19.5546875" customWidth="1"/>
    <col min="18" max="18" width="15.8867187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1874</v>
      </c>
      <c r="B7" s="1292"/>
      <c r="C7" s="1292"/>
      <c r="D7" s="1292"/>
      <c r="E7" s="1292"/>
      <c r="F7" s="1292"/>
      <c r="G7" s="1292"/>
      <c r="H7" s="1292"/>
      <c r="I7" s="1292"/>
      <c r="J7" s="1292"/>
      <c r="K7" s="1292"/>
      <c r="L7" s="1292"/>
      <c r="M7" s="1292"/>
      <c r="N7" s="1292"/>
      <c r="O7" s="1292"/>
      <c r="P7" s="1292"/>
      <c r="Q7" s="1292"/>
      <c r="R7" s="1292"/>
      <c r="S7" s="1292"/>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1873</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37"/>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c r="Q13" s="502" t="s">
        <v>54</v>
      </c>
      <c r="R13" s="502" t="s">
        <v>56</v>
      </c>
      <c r="S13" s="502" t="s">
        <v>58</v>
      </c>
    </row>
    <row r="14" spans="1:19" ht="89.25" customHeight="1" x14ac:dyDescent="0.3">
      <c r="A14" s="1289" t="s">
        <v>1866</v>
      </c>
      <c r="B14" s="1289" t="s">
        <v>258</v>
      </c>
      <c r="C14" s="636" t="s">
        <v>259</v>
      </c>
      <c r="D14" s="636" t="s">
        <v>260</v>
      </c>
      <c r="E14" s="639">
        <v>0.6</v>
      </c>
      <c r="F14" s="32">
        <v>2019673</v>
      </c>
      <c r="G14" s="32">
        <f>+ROUND(F14*1.051,0)</f>
        <v>2122676</v>
      </c>
      <c r="H14" s="32">
        <f>ROUND((E14*F14),0)</f>
        <v>1211804</v>
      </c>
      <c r="I14" s="32">
        <f>+ROUND(G14*E14,0)</f>
        <v>1273606</v>
      </c>
      <c r="J14" s="1290" t="s">
        <v>1867</v>
      </c>
      <c r="K14" s="537">
        <v>0.6</v>
      </c>
      <c r="L14" s="752">
        <f>ROUND(K14*G14,0)</f>
        <v>1273606</v>
      </c>
      <c r="M14" s="753">
        <f>L14/H14</f>
        <v>1.0509999966991361</v>
      </c>
      <c r="N14" s="891">
        <v>0</v>
      </c>
      <c r="O14" s="892">
        <f>ROUND(N14*G14,0)</f>
        <v>0</v>
      </c>
      <c r="P14" s="893">
        <f>O14/I14</f>
        <v>0</v>
      </c>
      <c r="Q14" s="536">
        <f>K14+N14</f>
        <v>0.6</v>
      </c>
      <c r="R14" s="685">
        <f>L14+O14</f>
        <v>1273606</v>
      </c>
      <c r="S14" s="684">
        <f>R14/I14</f>
        <v>1</v>
      </c>
    </row>
    <row r="15" spans="1:19" x14ac:dyDescent="0.3">
      <c r="A15" s="1289"/>
      <c r="B15" s="1289"/>
      <c r="C15" s="39"/>
      <c r="D15" s="39" t="s">
        <v>261</v>
      </c>
      <c r="E15" s="41"/>
      <c r="F15" s="41"/>
      <c r="G15" s="41"/>
      <c r="H15" s="42">
        <f>H14</f>
        <v>1211804</v>
      </c>
      <c r="I15" s="42">
        <f>SUM(I14)</f>
        <v>1273606</v>
      </c>
      <c r="J15" s="1289"/>
      <c r="K15" s="40"/>
      <c r="L15" s="683">
        <f>SUM(L14:L14)</f>
        <v>1273606</v>
      </c>
      <c r="M15" s="519">
        <f>L15/H15</f>
        <v>1.0509999966991361</v>
      </c>
      <c r="N15" s="40"/>
      <c r="O15" s="683">
        <f>SUM(O14:O14)</f>
        <v>0</v>
      </c>
      <c r="P15" s="1100">
        <f t="shared" ref="P15:P25" si="0">O15/I15</f>
        <v>0</v>
      </c>
      <c r="Q15" s="1106"/>
      <c r="R15" s="1107">
        <f t="shared" ref="R15:R25" si="1">L15+O15</f>
        <v>1273606</v>
      </c>
      <c r="S15" s="1100">
        <f t="shared" ref="S15:S25" si="2">R15/I15</f>
        <v>1</v>
      </c>
    </row>
    <row r="16" spans="1:19" ht="81.75" customHeight="1" x14ac:dyDescent="0.3">
      <c r="A16" s="1289" t="s">
        <v>1866</v>
      </c>
      <c r="B16" s="1289" t="s">
        <v>262</v>
      </c>
      <c r="C16" s="636" t="s">
        <v>263</v>
      </c>
      <c r="D16" s="636" t="s">
        <v>264</v>
      </c>
      <c r="E16" s="639">
        <v>0.6</v>
      </c>
      <c r="F16" s="32">
        <v>1532165</v>
      </c>
      <c r="G16" s="32">
        <f>+ROUND(F16*1.051,0)</f>
        <v>1610305</v>
      </c>
      <c r="H16" s="32">
        <f>ROUND((E16*F16),0)</f>
        <v>919299</v>
      </c>
      <c r="I16" s="32">
        <f>+ROUND(G16*E16,0)</f>
        <v>966183</v>
      </c>
      <c r="J16" s="1290" t="s">
        <v>1868</v>
      </c>
      <c r="K16" s="537">
        <v>0.6</v>
      </c>
      <c r="L16" s="752">
        <f>ROUND(K16*G16,0)</f>
        <v>966183</v>
      </c>
      <c r="M16" s="753">
        <f>L16/H16</f>
        <v>1.0509997291414437</v>
      </c>
      <c r="N16" s="891">
        <v>0</v>
      </c>
      <c r="O16" s="892">
        <f>ROUND(N16*G16,0)</f>
        <v>0</v>
      </c>
      <c r="P16" s="893">
        <f t="shared" si="0"/>
        <v>0</v>
      </c>
      <c r="Q16" s="799">
        <f t="shared" ref="Q16:Q24" si="3">K16+N16</f>
        <v>0.6</v>
      </c>
      <c r="R16" s="685">
        <f t="shared" si="1"/>
        <v>966183</v>
      </c>
      <c r="S16" s="684">
        <f t="shared" si="2"/>
        <v>1</v>
      </c>
    </row>
    <row r="17" spans="1:19" x14ac:dyDescent="0.3">
      <c r="A17" s="1289"/>
      <c r="B17" s="1289"/>
      <c r="C17" s="39"/>
      <c r="D17" s="39" t="s">
        <v>265</v>
      </c>
      <c r="E17" s="41"/>
      <c r="F17" s="41"/>
      <c r="G17" s="41"/>
      <c r="H17" s="42">
        <f>H16</f>
        <v>919299</v>
      </c>
      <c r="I17" s="42">
        <f>SUM(I16)</f>
        <v>966183</v>
      </c>
      <c r="J17" s="1289"/>
      <c r="K17" s="40"/>
      <c r="L17" s="683">
        <f>SUM(L16:L16)</f>
        <v>966183</v>
      </c>
      <c r="M17" s="519">
        <f>L17/H17</f>
        <v>1.0509997291414437</v>
      </c>
      <c r="N17" s="40"/>
      <c r="O17" s="683">
        <f>SUM(O16:O16)</f>
        <v>0</v>
      </c>
      <c r="P17" s="1100">
        <f t="shared" si="0"/>
        <v>0</v>
      </c>
      <c r="Q17" s="1106"/>
      <c r="R17" s="1107">
        <f t="shared" si="1"/>
        <v>966183</v>
      </c>
      <c r="S17" s="1100">
        <f t="shared" si="2"/>
        <v>1</v>
      </c>
    </row>
    <row r="18" spans="1:19" ht="57.75" customHeight="1" x14ac:dyDescent="0.3">
      <c r="A18" s="1289" t="s">
        <v>1866</v>
      </c>
      <c r="B18" s="1290" t="s">
        <v>255</v>
      </c>
      <c r="C18" s="636" t="s">
        <v>256</v>
      </c>
      <c r="D18" s="636" t="s">
        <v>257</v>
      </c>
      <c r="E18" s="636">
        <v>1</v>
      </c>
      <c r="F18" s="32">
        <v>1741097</v>
      </c>
      <c r="G18" s="32">
        <f>+ROUND(F18*1.051,0)</f>
        <v>1829893</v>
      </c>
      <c r="H18" s="32">
        <f>ROUND((E18*F18),0)</f>
        <v>1741097</v>
      </c>
      <c r="I18" s="32">
        <f>+ROUND(G18*E18,0)</f>
        <v>1829893</v>
      </c>
      <c r="J18" s="1513" t="s">
        <v>1869</v>
      </c>
      <c r="K18" s="799">
        <v>0</v>
      </c>
      <c r="L18" s="685">
        <f>ROUND(K18*G18,0)</f>
        <v>0</v>
      </c>
      <c r="M18" s="684">
        <f>L18/H18</f>
        <v>0</v>
      </c>
      <c r="N18" s="799">
        <v>0</v>
      </c>
      <c r="O18" s="685">
        <f>ROUND(N18*G18,0)</f>
        <v>0</v>
      </c>
      <c r="P18" s="893">
        <f t="shared" si="0"/>
        <v>0</v>
      </c>
      <c r="Q18" s="799">
        <f t="shared" si="3"/>
        <v>0</v>
      </c>
      <c r="R18" s="685">
        <f t="shared" si="1"/>
        <v>0</v>
      </c>
      <c r="S18" s="684">
        <f t="shared" si="2"/>
        <v>0</v>
      </c>
    </row>
    <row r="19" spans="1:19" x14ac:dyDescent="0.3">
      <c r="A19" s="1289"/>
      <c r="B19" s="1289"/>
      <c r="C19" s="39"/>
      <c r="D19" s="39" t="s">
        <v>116</v>
      </c>
      <c r="E19" s="41"/>
      <c r="F19" s="41"/>
      <c r="G19" s="41"/>
      <c r="H19" s="42">
        <f>H18</f>
        <v>1741097</v>
      </c>
      <c r="I19" s="42">
        <f>SUM(I18)</f>
        <v>1829893</v>
      </c>
      <c r="J19" s="1513"/>
      <c r="K19" s="40"/>
      <c r="L19" s="683">
        <f>SUM(L18:L18)</f>
        <v>0</v>
      </c>
      <c r="M19" s="519">
        <f t="shared" ref="M19" si="4">L19/H19</f>
        <v>0</v>
      </c>
      <c r="N19" s="40"/>
      <c r="O19" s="683">
        <f>SUM(O18:O18)</f>
        <v>0</v>
      </c>
      <c r="P19" s="1100">
        <f t="shared" si="0"/>
        <v>0</v>
      </c>
      <c r="Q19" s="1106"/>
      <c r="R19" s="1107">
        <f t="shared" si="1"/>
        <v>0</v>
      </c>
      <c r="S19" s="1100">
        <f t="shared" si="2"/>
        <v>0</v>
      </c>
    </row>
    <row r="20" spans="1:19" ht="28.8" x14ac:dyDescent="0.3">
      <c r="A20" s="1289" t="s">
        <v>1866</v>
      </c>
      <c r="B20" s="1289" t="s">
        <v>269</v>
      </c>
      <c r="C20" s="636" t="s">
        <v>270</v>
      </c>
      <c r="D20" s="636" t="s">
        <v>271</v>
      </c>
      <c r="E20" s="639">
        <v>1</v>
      </c>
      <c r="F20" s="32">
        <v>5571510</v>
      </c>
      <c r="G20" s="32">
        <f>+ROUND(F20*1.051,0)</f>
        <v>5855657</v>
      </c>
      <c r="H20" s="32">
        <f>ROUND((E20*F20),0)</f>
        <v>5571510</v>
      </c>
      <c r="I20" s="32">
        <f>+ROUND(G20*E20,0)</f>
        <v>5855657</v>
      </c>
      <c r="J20" s="1290" t="s">
        <v>1870</v>
      </c>
      <c r="K20" s="537">
        <f>1*70%</f>
        <v>0.7</v>
      </c>
      <c r="L20" s="752">
        <f>ROUND(K20*G20,0)</f>
        <v>4098960</v>
      </c>
      <c r="M20" s="753">
        <f>L20/H20</f>
        <v>0.73570001669206375</v>
      </c>
      <c r="N20" s="891">
        <v>0</v>
      </c>
      <c r="O20" s="892">
        <f>ROUND(N20*G20,0)</f>
        <v>0</v>
      </c>
      <c r="P20" s="893">
        <f t="shared" si="0"/>
        <v>0</v>
      </c>
      <c r="Q20" s="799">
        <f t="shared" si="3"/>
        <v>0.7</v>
      </c>
      <c r="R20" s="685">
        <f t="shared" si="1"/>
        <v>4098960</v>
      </c>
      <c r="S20" s="684">
        <f t="shared" si="2"/>
        <v>0.70000001707750303</v>
      </c>
    </row>
    <row r="21" spans="1:19" x14ac:dyDescent="0.3">
      <c r="A21" s="1289"/>
      <c r="B21" s="1289"/>
      <c r="C21" s="39"/>
      <c r="D21" s="39" t="s">
        <v>215</v>
      </c>
      <c r="E21" s="41"/>
      <c r="F21" s="41"/>
      <c r="G21" s="41"/>
      <c r="H21" s="42">
        <f>H20</f>
        <v>5571510</v>
      </c>
      <c r="I21" s="42">
        <f>SUM(I20)</f>
        <v>5855657</v>
      </c>
      <c r="J21" s="1289"/>
      <c r="K21" s="41"/>
      <c r="L21" s="683">
        <f>SUM(L20:L20)</f>
        <v>4098960</v>
      </c>
      <c r="M21" s="519">
        <f t="shared" ref="M21:M25" si="5">L21/H21</f>
        <v>0.73570001669206375</v>
      </c>
      <c r="N21" s="41"/>
      <c r="O21" s="683">
        <f>SUM(O20:O20)</f>
        <v>0</v>
      </c>
      <c r="P21" s="1100">
        <f t="shared" si="0"/>
        <v>0</v>
      </c>
      <c r="Q21" s="1106"/>
      <c r="R21" s="1107">
        <f t="shared" si="1"/>
        <v>4098960</v>
      </c>
      <c r="S21" s="1100">
        <f t="shared" si="2"/>
        <v>0.70000001707750303</v>
      </c>
    </row>
    <row r="22" spans="1:19" ht="60" customHeight="1" x14ac:dyDescent="0.3">
      <c r="A22" s="1289" t="s">
        <v>1866</v>
      </c>
      <c r="B22" s="1289" t="s">
        <v>275</v>
      </c>
      <c r="C22" s="636" t="s">
        <v>276</v>
      </c>
      <c r="D22" s="636" t="s">
        <v>277</v>
      </c>
      <c r="E22" s="639">
        <f>24.46/2</f>
        <v>12.23</v>
      </c>
      <c r="F22" s="32">
        <v>69644</v>
      </c>
      <c r="G22" s="32">
        <f>+ROUND(F22*1.051,0)</f>
        <v>73196</v>
      </c>
      <c r="H22" s="32">
        <f>ROUND((E22*F22),0)</f>
        <v>851746</v>
      </c>
      <c r="I22" s="32">
        <f>+ROUND(G22*E22,0)</f>
        <v>895187</v>
      </c>
      <c r="J22" s="1290" t="s">
        <v>1871</v>
      </c>
      <c r="K22" s="799">
        <v>0</v>
      </c>
      <c r="L22" s="685">
        <f>ROUND(K22*G22,0)</f>
        <v>0</v>
      </c>
      <c r="M22" s="684">
        <f t="shared" si="5"/>
        <v>0</v>
      </c>
      <c r="N22" s="799">
        <v>0</v>
      </c>
      <c r="O22" s="685">
        <f>ROUND(N22*G22,0)</f>
        <v>0</v>
      </c>
      <c r="P22" s="893">
        <f t="shared" si="0"/>
        <v>0</v>
      </c>
      <c r="Q22" s="799">
        <f t="shared" si="3"/>
        <v>0</v>
      </c>
      <c r="R22" s="685">
        <f t="shared" si="1"/>
        <v>0</v>
      </c>
      <c r="S22" s="684">
        <f t="shared" si="2"/>
        <v>0</v>
      </c>
    </row>
    <row r="23" spans="1:19" x14ac:dyDescent="0.3">
      <c r="A23" s="1289"/>
      <c r="B23" s="1289"/>
      <c r="C23" s="39"/>
      <c r="D23" s="39" t="s">
        <v>278</v>
      </c>
      <c r="E23" s="41"/>
      <c r="F23" s="41"/>
      <c r="G23" s="41"/>
      <c r="H23" s="42">
        <f>H22</f>
        <v>851746</v>
      </c>
      <c r="I23" s="42">
        <f>SUM(I22)</f>
        <v>895187</v>
      </c>
      <c r="J23" s="1289"/>
      <c r="K23" s="41"/>
      <c r="L23" s="683">
        <f>SUM(L22:L22)</f>
        <v>0</v>
      </c>
      <c r="M23" s="519">
        <f t="shared" si="5"/>
        <v>0</v>
      </c>
      <c r="N23" s="41"/>
      <c r="O23" s="683">
        <f>SUM(O22:O22)</f>
        <v>0</v>
      </c>
      <c r="P23" s="1100">
        <f t="shared" si="0"/>
        <v>0</v>
      </c>
      <c r="Q23" s="1106"/>
      <c r="R23" s="1107">
        <f t="shared" si="1"/>
        <v>0</v>
      </c>
      <c r="S23" s="1100">
        <f t="shared" si="2"/>
        <v>0</v>
      </c>
    </row>
    <row r="24" spans="1:19" ht="30" customHeight="1" x14ac:dyDescent="0.3">
      <c r="A24" s="1289" t="s">
        <v>1866</v>
      </c>
      <c r="B24" s="1289" t="s">
        <v>275</v>
      </c>
      <c r="C24" s="636" t="s">
        <v>276</v>
      </c>
      <c r="D24" s="636" t="s">
        <v>277</v>
      </c>
      <c r="E24" s="639">
        <f>48*4</f>
        <v>192</v>
      </c>
      <c r="F24" s="32">
        <v>69644</v>
      </c>
      <c r="G24" s="32">
        <f>+ROUND(F24*1.051,0)</f>
        <v>73196</v>
      </c>
      <c r="H24" s="32">
        <f>ROUND((E24*F24),0)</f>
        <v>13371648</v>
      </c>
      <c r="I24" s="32">
        <f>+ROUND(G24*E24,0)</f>
        <v>14053632</v>
      </c>
      <c r="J24" s="1511" t="s">
        <v>1872</v>
      </c>
      <c r="K24" s="799">
        <v>0</v>
      </c>
      <c r="L24" s="685">
        <f>ROUND(K24*G24,0)</f>
        <v>0</v>
      </c>
      <c r="M24" s="684">
        <f t="shared" si="5"/>
        <v>0</v>
      </c>
      <c r="N24" s="799">
        <v>0</v>
      </c>
      <c r="O24" s="685">
        <f>ROUND(N24*G24,0)</f>
        <v>0</v>
      </c>
      <c r="P24" s="893">
        <f t="shared" si="0"/>
        <v>0</v>
      </c>
      <c r="Q24" s="799">
        <f t="shared" si="3"/>
        <v>0</v>
      </c>
      <c r="R24" s="685">
        <f t="shared" si="1"/>
        <v>0</v>
      </c>
      <c r="S24" s="684">
        <f t="shared" si="2"/>
        <v>0</v>
      </c>
    </row>
    <row r="25" spans="1:19" x14ac:dyDescent="0.3">
      <c r="A25" s="1289"/>
      <c r="B25" s="1289"/>
      <c r="C25" s="39"/>
      <c r="D25" s="39" t="s">
        <v>278</v>
      </c>
      <c r="E25" s="41"/>
      <c r="F25" s="41"/>
      <c r="G25" s="41"/>
      <c r="H25" s="42">
        <f>H24</f>
        <v>13371648</v>
      </c>
      <c r="I25" s="42">
        <f>SUM(I24)</f>
        <v>14053632</v>
      </c>
      <c r="J25" s="1512"/>
      <c r="K25" s="40"/>
      <c r="L25" s="683">
        <f>SUM(L24:L24)</f>
        <v>0</v>
      </c>
      <c r="M25" s="519">
        <f t="shared" si="5"/>
        <v>0</v>
      </c>
      <c r="N25" s="40"/>
      <c r="O25" s="683">
        <f>SUM(O24:O24)</f>
        <v>0</v>
      </c>
      <c r="P25" s="1100">
        <f t="shared" si="0"/>
        <v>0</v>
      </c>
      <c r="Q25" s="1108"/>
      <c r="R25" s="1107">
        <f t="shared" si="1"/>
        <v>0</v>
      </c>
      <c r="S25" s="1100">
        <f t="shared" si="2"/>
        <v>0</v>
      </c>
    </row>
    <row r="26" spans="1:19" x14ac:dyDescent="0.3">
      <c r="A26" s="638"/>
      <c r="B26" s="638"/>
      <c r="C26" s="638"/>
      <c r="D26" s="638"/>
      <c r="E26" s="638"/>
      <c r="F26" s="686" t="s">
        <v>1740</v>
      </c>
      <c r="G26" s="686"/>
      <c r="H26" s="687">
        <f>H15+H17+H19+H21+H23+H25</f>
        <v>23667104</v>
      </c>
      <c r="I26" s="687">
        <f>I15+I17+I19+I21+I23+I25</f>
        <v>24874158</v>
      </c>
      <c r="J26" s="638"/>
      <c r="K26" s="885" t="s">
        <v>64</v>
      </c>
      <c r="L26" s="677">
        <f>SUM(L14:L25)/2</f>
        <v>6338749</v>
      </c>
      <c r="M26" s="638"/>
      <c r="N26" s="885" t="s">
        <v>64</v>
      </c>
      <c r="O26" s="677">
        <f>SUM(O14:O25)/2</f>
        <v>0</v>
      </c>
      <c r="Q26" s="549" t="s">
        <v>64</v>
      </c>
      <c r="R26" s="677">
        <f>SUM(R14:R25)/2</f>
        <v>6338749</v>
      </c>
      <c r="S26" s="638"/>
    </row>
    <row r="27" spans="1:19" ht="26.4" x14ac:dyDescent="0.3">
      <c r="A27" s="638"/>
      <c r="B27" s="638"/>
      <c r="C27" s="638"/>
      <c r="D27" s="638"/>
      <c r="E27" s="638"/>
      <c r="F27" s="693" t="s">
        <v>1844</v>
      </c>
      <c r="G27" s="693"/>
      <c r="H27" s="339">
        <f>+(H15+H17+H23)*0.03</f>
        <v>89485.47</v>
      </c>
      <c r="I27" s="339">
        <f>+(I15+I17+I23)*0.03</f>
        <v>94049.279999999999</v>
      </c>
      <c r="J27" s="638"/>
      <c r="K27" s="886" t="s">
        <v>65</v>
      </c>
      <c r="L27" s="339">
        <f>+(L15+L17+L23)*0.03</f>
        <v>67193.67</v>
      </c>
      <c r="M27" s="638"/>
      <c r="N27" s="886" t="s">
        <v>65</v>
      </c>
      <c r="O27" s="339">
        <f>+(O15+O17+O23)*0.03</f>
        <v>0</v>
      </c>
      <c r="Q27" s="548" t="s">
        <v>65</v>
      </c>
      <c r="R27" s="339">
        <f>+(R15+R17+R23)*0.03</f>
        <v>67193.67</v>
      </c>
      <c r="S27" s="638"/>
    </row>
    <row r="28" spans="1:19" x14ac:dyDescent="0.3">
      <c r="A28" s="638"/>
      <c r="B28" s="638"/>
      <c r="C28" s="638"/>
      <c r="D28" s="638"/>
      <c r="E28" s="638"/>
      <c r="F28" s="686" t="s">
        <v>1</v>
      </c>
      <c r="G28" s="881"/>
      <c r="H28" s="540">
        <f>+H27+H26</f>
        <v>23756589.469999999</v>
      </c>
      <c r="I28" s="540">
        <f>+I27+I26</f>
        <v>24968207.280000001</v>
      </c>
      <c r="J28" s="638"/>
      <c r="K28" s="885" t="s">
        <v>64</v>
      </c>
      <c r="L28" s="481">
        <f>L26+L27</f>
        <v>6405942.6699999999</v>
      </c>
      <c r="M28" s="638"/>
      <c r="N28" s="885" t="s">
        <v>64</v>
      </c>
      <c r="O28" s="481">
        <f>O26+O27</f>
        <v>0</v>
      </c>
      <c r="Q28" s="549" t="s">
        <v>64</v>
      </c>
      <c r="R28" s="481">
        <f>R26+R27</f>
        <v>6405942.6699999999</v>
      </c>
      <c r="S28" s="638"/>
    </row>
    <row r="29" spans="1:19" ht="26.4" x14ac:dyDescent="0.3">
      <c r="A29" s="638"/>
      <c r="B29" s="638"/>
      <c r="C29" s="638"/>
      <c r="D29" s="638"/>
      <c r="E29" s="638"/>
      <c r="F29" s="659"/>
      <c r="G29" s="659"/>
      <c r="H29" s="659"/>
      <c r="I29" s="659"/>
      <c r="J29" s="638"/>
      <c r="K29" s="887" t="s">
        <v>1439</v>
      </c>
      <c r="L29" s="481">
        <f>ROUND(L28*0.015,0)</f>
        <v>96089</v>
      </c>
      <c r="M29" s="638"/>
      <c r="N29" s="887" t="s">
        <v>1439</v>
      </c>
      <c r="O29" s="481">
        <f>ROUND(O28*0.015,0)</f>
        <v>0</v>
      </c>
      <c r="Q29" s="501" t="s">
        <v>1439</v>
      </c>
      <c r="R29" s="481">
        <f>+L29+O29</f>
        <v>96089</v>
      </c>
      <c r="S29" s="638"/>
    </row>
    <row r="30" spans="1:19" ht="39.6" x14ac:dyDescent="0.3">
      <c r="A30" s="638"/>
      <c r="B30" s="638"/>
      <c r="C30" s="638"/>
      <c r="D30" s="638"/>
      <c r="E30" s="638"/>
      <c r="F30" s="659"/>
      <c r="G30" s="659"/>
      <c r="H30" s="659"/>
      <c r="I30" s="659"/>
      <c r="J30" s="638"/>
      <c r="K30" s="888" t="s">
        <v>1440</v>
      </c>
      <c r="L30" s="425">
        <f>L28+L29</f>
        <v>6502031.6699999999</v>
      </c>
      <c r="M30" s="678">
        <f>L30/H28</f>
        <v>0.27369381780203822</v>
      </c>
      <c r="N30" s="888" t="s">
        <v>1440</v>
      </c>
      <c r="O30" s="425">
        <f>O28+O29</f>
        <v>0</v>
      </c>
      <c r="P30" s="678">
        <f>O30/H28</f>
        <v>0</v>
      </c>
      <c r="Q30" s="96" t="s">
        <v>1440</v>
      </c>
      <c r="R30" s="425">
        <f>R28+R29</f>
        <v>6502031.6699999999</v>
      </c>
      <c r="S30" s="678">
        <f>R30/H28</f>
        <v>0.27369381780203822</v>
      </c>
    </row>
    <row r="31" spans="1:19" x14ac:dyDescent="0.3">
      <c r="A31" s="638"/>
      <c r="B31" s="638"/>
      <c r="C31" s="638"/>
      <c r="D31" s="638"/>
      <c r="E31" s="638"/>
      <c r="F31" s="442" t="s">
        <v>66</v>
      </c>
      <c r="G31" s="442"/>
      <c r="H31" s="181">
        <f>+H26*19%</f>
        <v>4496749.76</v>
      </c>
      <c r="I31" s="181">
        <f>+I26*19%</f>
        <v>4726090.0200000005</v>
      </c>
      <c r="J31" s="638"/>
      <c r="K31" s="889" t="s">
        <v>66</v>
      </c>
      <c r="L31" s="672">
        <f>L30*0.19</f>
        <v>1235386.0172999999</v>
      </c>
      <c r="M31" s="638"/>
      <c r="N31" s="889" t="s">
        <v>66</v>
      </c>
      <c r="O31" s="672">
        <f>O30*0.19</f>
        <v>0</v>
      </c>
      <c r="Q31" s="551" t="s">
        <v>66</v>
      </c>
      <c r="R31" s="672">
        <f>R30*0.19</f>
        <v>1235386.0172999999</v>
      </c>
      <c r="S31" s="638"/>
    </row>
    <row r="32" spans="1:19" x14ac:dyDescent="0.3">
      <c r="A32" s="638"/>
      <c r="B32" s="638"/>
      <c r="C32" s="638"/>
      <c r="D32" s="638"/>
      <c r="E32" s="638"/>
      <c r="F32" s="441" t="s">
        <v>69</v>
      </c>
      <c r="G32" s="441"/>
      <c r="H32" s="181">
        <f>+H26+H31</f>
        <v>28163853.759999998</v>
      </c>
      <c r="I32" s="181">
        <f>+I26+I31</f>
        <v>29600248.02</v>
      </c>
      <c r="J32" s="638"/>
      <c r="K32" s="890" t="s">
        <v>69</v>
      </c>
      <c r="L32" s="672">
        <f>L30+L31</f>
        <v>7737417.6873000003</v>
      </c>
      <c r="M32" s="638"/>
      <c r="N32" s="890" t="s">
        <v>69</v>
      </c>
      <c r="O32" s="672">
        <f>O30+O31</f>
        <v>0</v>
      </c>
      <c r="Q32" s="552" t="s">
        <v>69</v>
      </c>
      <c r="R32" s="672">
        <f>R30+R31</f>
        <v>7737417.6873000003</v>
      </c>
      <c r="S32" s="638"/>
    </row>
    <row r="33" spans="1:19" x14ac:dyDescent="0.3">
      <c r="A33" s="638"/>
      <c r="B33" s="638"/>
      <c r="C33" s="638"/>
      <c r="D33" s="638"/>
      <c r="E33" s="638"/>
      <c r="F33" s="638"/>
      <c r="H33" s="638"/>
      <c r="J33" s="638"/>
      <c r="K33" s="638"/>
      <c r="L33" s="659"/>
      <c r="M33" s="638"/>
      <c r="O33" s="659"/>
      <c r="Q33" s="638"/>
      <c r="R33" s="638"/>
      <c r="S33" s="638"/>
    </row>
    <row r="34" spans="1:19" ht="26.25" customHeight="1" x14ac:dyDescent="0.3">
      <c r="A34" s="665" t="s">
        <v>67</v>
      </c>
      <c r="B34" s="184"/>
      <c r="C34" s="184"/>
      <c r="D34" s="185" t="s">
        <v>68</v>
      </c>
      <c r="E34" s="638"/>
      <c r="F34" s="638"/>
      <c r="H34" s="638"/>
      <c r="J34" s="638"/>
      <c r="K34" s="186" t="s">
        <v>70</v>
      </c>
      <c r="L34" s="187" t="s">
        <v>71</v>
      </c>
      <c r="M34" s="186" t="s">
        <v>58</v>
      </c>
      <c r="N34" s="186" t="s">
        <v>70</v>
      </c>
      <c r="O34" s="187" t="s">
        <v>71</v>
      </c>
      <c r="P34" s="186" t="s">
        <v>58</v>
      </c>
      <c r="Q34" s="638"/>
      <c r="R34" s="638"/>
      <c r="S34" s="638"/>
    </row>
    <row r="35" spans="1:19" x14ac:dyDescent="0.3">
      <c r="A35" s="665"/>
      <c r="B35" s="184"/>
      <c r="C35" s="184"/>
      <c r="D35" s="185"/>
      <c r="E35" s="638"/>
      <c r="F35" s="638"/>
      <c r="H35" s="638"/>
      <c r="J35" s="638"/>
      <c r="K35" s="69" t="s">
        <v>72</v>
      </c>
      <c r="L35" s="70">
        <f>L30</f>
        <v>6502031.6699999999</v>
      </c>
      <c r="M35" s="360">
        <f>M30</f>
        <v>0.27369381780203822</v>
      </c>
      <c r="N35" s="69" t="s">
        <v>72</v>
      </c>
      <c r="O35" s="70">
        <f>$L$30</f>
        <v>6502031.6699999999</v>
      </c>
      <c r="P35" s="360">
        <f>$M$30</f>
        <v>0.27369381780203822</v>
      </c>
      <c r="Q35" s="638"/>
      <c r="R35" s="638"/>
      <c r="S35" s="638"/>
    </row>
    <row r="36" spans="1:19" x14ac:dyDescent="0.3">
      <c r="A36" s="665"/>
      <c r="B36" s="184"/>
      <c r="C36" s="184"/>
      <c r="D36" s="185"/>
      <c r="E36" s="638"/>
      <c r="F36" s="638"/>
      <c r="H36" s="638"/>
      <c r="J36" s="638"/>
      <c r="K36" s="72" t="s">
        <v>1</v>
      </c>
      <c r="L36" s="105">
        <f>L35</f>
        <v>6502031.6699999999</v>
      </c>
      <c r="M36" s="361">
        <f>M35</f>
        <v>0.27369381780203822</v>
      </c>
      <c r="N36" s="69" t="s">
        <v>73</v>
      </c>
      <c r="O36" s="70">
        <f>$O$30</f>
        <v>0</v>
      </c>
      <c r="P36" s="360">
        <f>$P$30</f>
        <v>0</v>
      </c>
      <c r="Q36" s="638"/>
      <c r="R36" s="638"/>
      <c r="S36" s="638"/>
    </row>
    <row r="37" spans="1:19" x14ac:dyDescent="0.3">
      <c r="A37" s="665"/>
      <c r="B37" s="184"/>
      <c r="C37" s="184"/>
      <c r="D37" s="185"/>
      <c r="E37" s="638"/>
      <c r="F37" s="638"/>
      <c r="H37" s="638"/>
      <c r="J37" s="638"/>
      <c r="K37" s="72" t="s">
        <v>9</v>
      </c>
      <c r="L37" s="1423"/>
      <c r="M37" s="1424"/>
      <c r="N37" s="72" t="s">
        <v>1</v>
      </c>
      <c r="O37" s="105">
        <f>SUM(O35:O36)</f>
        <v>6502031.6699999999</v>
      </c>
      <c r="P37" s="361">
        <f>SUM(P35:P36)</f>
        <v>0.27369381780203822</v>
      </c>
      <c r="Q37" s="638"/>
      <c r="R37" s="638"/>
      <c r="S37" s="638"/>
    </row>
    <row r="38" spans="1:19" x14ac:dyDescent="0.3">
      <c r="A38" s="665"/>
      <c r="B38" s="184"/>
      <c r="C38" s="184"/>
      <c r="D38" s="185"/>
      <c r="E38" s="638"/>
      <c r="F38" s="638"/>
      <c r="H38" s="638"/>
      <c r="J38" s="638"/>
      <c r="K38" s="440" t="s">
        <v>78</v>
      </c>
      <c r="L38" s="1423"/>
      <c r="M38" s="1424"/>
      <c r="N38" s="72" t="s">
        <v>9</v>
      </c>
      <c r="O38" s="1423"/>
      <c r="P38" s="1424"/>
      <c r="Q38" s="638"/>
      <c r="R38" s="638"/>
      <c r="S38" s="638"/>
    </row>
    <row r="39" spans="1:19" x14ac:dyDescent="0.3">
      <c r="A39" s="665"/>
      <c r="B39" s="184"/>
      <c r="C39" s="184"/>
      <c r="D39" s="185"/>
      <c r="E39" s="638"/>
      <c r="F39" s="638"/>
      <c r="H39" s="638"/>
      <c r="J39" s="638"/>
      <c r="K39" s="439" t="s">
        <v>8</v>
      </c>
      <c r="L39" s="1425"/>
      <c r="M39" s="1426"/>
      <c r="N39" s="440" t="s">
        <v>78</v>
      </c>
      <c r="O39" s="1423"/>
      <c r="P39" s="1424"/>
      <c r="Q39" s="638"/>
      <c r="R39" s="638"/>
      <c r="S39" s="638"/>
    </row>
    <row r="40" spans="1:19" x14ac:dyDescent="0.3">
      <c r="A40" s="665"/>
      <c r="B40" s="184"/>
      <c r="C40" s="184"/>
      <c r="D40" s="185" t="s">
        <v>75</v>
      </c>
      <c r="E40" s="638"/>
      <c r="F40" s="638"/>
      <c r="H40" s="638"/>
      <c r="J40" s="638"/>
      <c r="K40" s="638"/>
      <c r="L40" s="638"/>
      <c r="M40" s="638"/>
      <c r="N40" s="439" t="s">
        <v>8</v>
      </c>
      <c r="O40" s="1425"/>
      <c r="P40" s="1426"/>
      <c r="Q40" s="638"/>
      <c r="R40" s="638"/>
      <c r="S40" s="638"/>
    </row>
    <row r="41" spans="1:19" x14ac:dyDescent="0.3">
      <c r="A41" s="665" t="s">
        <v>76</v>
      </c>
      <c r="B41" s="180"/>
      <c r="C41" s="180"/>
      <c r="D41" s="185" t="s">
        <v>77</v>
      </c>
      <c r="E41" s="638"/>
      <c r="F41" s="638"/>
      <c r="H41" s="638"/>
      <c r="J41" s="638"/>
      <c r="K41" s="638"/>
      <c r="L41" s="638"/>
      <c r="M41" s="638"/>
      <c r="Q41" s="638"/>
      <c r="R41" s="638"/>
      <c r="S41" s="638"/>
    </row>
    <row r="42" spans="1:19" x14ac:dyDescent="0.3">
      <c r="A42" s="665" t="s">
        <v>79</v>
      </c>
      <c r="B42" s="180"/>
      <c r="C42" s="180"/>
      <c r="D42" s="185" t="s">
        <v>80</v>
      </c>
      <c r="E42" s="638"/>
      <c r="F42" s="638"/>
      <c r="H42" s="638"/>
      <c r="J42" s="638"/>
      <c r="K42" s="638"/>
      <c r="L42" s="638"/>
      <c r="M42" s="638"/>
      <c r="Q42" s="638"/>
      <c r="R42" s="638"/>
      <c r="S42" s="638"/>
    </row>
  </sheetData>
  <mergeCells count="40">
    <mergeCell ref="B11:J11"/>
    <mergeCell ref="K11:M12"/>
    <mergeCell ref="Q11:S12"/>
    <mergeCell ref="B12:J12"/>
    <mergeCell ref="C1:M2"/>
    <mergeCell ref="Q1:S1"/>
    <mergeCell ref="Q2:S2"/>
    <mergeCell ref="A3:S3"/>
    <mergeCell ref="A4:S4"/>
    <mergeCell ref="A5:S5"/>
    <mergeCell ref="A6:S6"/>
    <mergeCell ref="A7:S7"/>
    <mergeCell ref="A8:S8"/>
    <mergeCell ref="A9:S9"/>
    <mergeCell ref="A10:S10"/>
    <mergeCell ref="N11:P12"/>
    <mergeCell ref="A14:A15"/>
    <mergeCell ref="B14:B15"/>
    <mergeCell ref="J14:J15"/>
    <mergeCell ref="A16:A17"/>
    <mergeCell ref="B16:B17"/>
    <mergeCell ref="J16:J17"/>
    <mergeCell ref="A18:A19"/>
    <mergeCell ref="B18:B19"/>
    <mergeCell ref="J18:J19"/>
    <mergeCell ref="A20:A21"/>
    <mergeCell ref="B20:B21"/>
    <mergeCell ref="J20:J21"/>
    <mergeCell ref="A22:A23"/>
    <mergeCell ref="B22:B23"/>
    <mergeCell ref="J22:J23"/>
    <mergeCell ref="A24:A25"/>
    <mergeCell ref="B24:B25"/>
    <mergeCell ref="J24:J25"/>
    <mergeCell ref="O38:P38"/>
    <mergeCell ref="O39:P39"/>
    <mergeCell ref="O40:P40"/>
    <mergeCell ref="L37:M37"/>
    <mergeCell ref="L38:M38"/>
    <mergeCell ref="L39:M39"/>
  </mergeCells>
  <pageMargins left="0.7" right="0.7" top="0.75" bottom="0.75" header="0.3" footer="0.3"/>
  <pageSetup paperSize="9" scale="40" orientation="landscape" r:id="rId1"/>
  <drawing r:id="rId2"/>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6"/>
  <dimension ref="A1:G49"/>
  <sheetViews>
    <sheetView topLeftCell="A7"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RESUMEN!G134</f>
        <v xml:space="preserve">Proyecto:CDIM_CAOLIG_R0078 - RES. CREG 038-14 CÓDIGO DE MEDIDA.
</v>
      </c>
      <c r="C5" s="1281"/>
      <c r="D5" s="1281"/>
      <c r="E5" s="1281"/>
      <c r="F5" s="1281"/>
      <c r="G5" s="1282"/>
    </row>
    <row r="6" spans="1:7" x14ac:dyDescent="0.25">
      <c r="A6" s="1177"/>
      <c r="B6" s="1177"/>
      <c r="C6" s="1177"/>
      <c r="D6" s="1177"/>
      <c r="E6" s="1177"/>
      <c r="F6" s="1177"/>
      <c r="G6" s="1177"/>
    </row>
    <row r="7" spans="1:7" x14ac:dyDescent="0.25">
      <c r="A7" s="271" t="s">
        <v>0</v>
      </c>
      <c r="B7" s="1264" t="str">
        <f>RESUMEN!B134</f>
        <v>D00235026</v>
      </c>
      <c r="C7" s="1265"/>
      <c r="D7" s="1177"/>
      <c r="E7" s="1266" t="s">
        <v>627</v>
      </c>
      <c r="F7" s="1267"/>
      <c r="G7" s="280" t="str">
        <f>RESUMEN!E134</f>
        <v xml:space="preserve">17-428 </v>
      </c>
    </row>
    <row r="8" spans="1:7" x14ac:dyDescent="0.25">
      <c r="A8" s="271" t="s">
        <v>628</v>
      </c>
      <c r="B8" s="1264" t="str">
        <f>RESUMEN!C134</f>
        <v>D00235026000</v>
      </c>
      <c r="C8" s="1265"/>
      <c r="D8" s="1177"/>
      <c r="E8" s="1266" t="s">
        <v>629</v>
      </c>
      <c r="F8" s="1267"/>
      <c r="G8" s="280" t="str">
        <f>RESUMEN!U134</f>
        <v>Acta N° 1: Marzo</v>
      </c>
    </row>
    <row r="9" spans="1:7" x14ac:dyDescent="0.25">
      <c r="A9" s="271" t="s">
        <v>630</v>
      </c>
      <c r="B9" s="1283" t="s">
        <v>631</v>
      </c>
      <c r="C9" s="1265"/>
      <c r="D9" s="1177"/>
      <c r="E9" s="1266" t="s">
        <v>632</v>
      </c>
      <c r="F9" s="1267"/>
      <c r="G9" s="1178">
        <f>RESUMEN!H134</f>
        <v>1189170</v>
      </c>
    </row>
    <row r="10" spans="1:7" x14ac:dyDescent="0.25">
      <c r="A10" s="271" t="s">
        <v>633</v>
      </c>
      <c r="B10" s="1283" t="str">
        <f>RESUMEN!D134</f>
        <v>BALSILLAS AS BUILT</v>
      </c>
      <c r="C10" s="1265"/>
      <c r="D10" s="1177"/>
      <c r="E10" s="1266" t="s">
        <v>634</v>
      </c>
      <c r="F10" s="1267"/>
      <c r="G10" s="1178">
        <f>RESUMEN!R134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",RESUMEN!G134)</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Proyecto:CDIM_CAOLIG_R0078 - RES. CREG 038-14 CÓDIGO DE MEDIDA.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RESUMEN!N134</f>
        <v>0</v>
      </c>
      <c r="F19" s="1248"/>
      <c r="G19" s="1177"/>
    </row>
    <row r="20" spans="1:7" ht="27" customHeight="1" x14ac:dyDescent="0.25">
      <c r="A20" s="1177"/>
      <c r="B20" s="1244" t="s">
        <v>1498</v>
      </c>
      <c r="C20" s="1245"/>
      <c r="D20" s="1246"/>
      <c r="E20" s="1247">
        <f>RESUMEN!P134</f>
        <v>0</v>
      </c>
      <c r="F20" s="1248"/>
      <c r="G20" s="1177"/>
    </row>
    <row r="21" spans="1:7" ht="27" customHeight="1" x14ac:dyDescent="0.25">
      <c r="A21" s="1177"/>
      <c r="B21" s="1244" t="s">
        <v>1499</v>
      </c>
      <c r="C21" s="1245"/>
      <c r="D21" s="1246"/>
      <c r="E21" s="1247">
        <f>RESUMEN!Q134</f>
        <v>0</v>
      </c>
      <c r="F21" s="1248"/>
      <c r="G21" s="1177"/>
    </row>
    <row r="22" spans="1:7" x14ac:dyDescent="0.25">
      <c r="A22" s="1177"/>
      <c r="B22" s="1254" t="s">
        <v>64</v>
      </c>
      <c r="C22" s="1254"/>
      <c r="D22" s="1254"/>
      <c r="E22" s="1255">
        <f>RESUMEN!R134</f>
        <v>0</v>
      </c>
      <c r="F22" s="1255"/>
      <c r="G22" s="1177"/>
    </row>
    <row r="23" spans="1:7" x14ac:dyDescent="0.25">
      <c r="A23" s="1177"/>
      <c r="B23" s="1256" t="s">
        <v>66</v>
      </c>
      <c r="C23" s="1256"/>
      <c r="D23" s="1256"/>
      <c r="E23" s="1257">
        <f>RESUMEN!S134</f>
        <v>0</v>
      </c>
      <c r="F23" s="1257"/>
      <c r="G23" s="1177"/>
    </row>
    <row r="24" spans="1:7" x14ac:dyDescent="0.25">
      <c r="A24" s="1177"/>
      <c r="B24" s="1258" t="s">
        <v>1</v>
      </c>
      <c r="C24" s="1258"/>
      <c r="D24" s="1258"/>
      <c r="E24" s="1259">
        <f>RESUMEN!T134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+'OT17-428 BALSILLAS AS BUILT'!K62</f>
        <v>ACTA 1</v>
      </c>
      <c r="C28" s="1253">
        <f>+'OT17-428 BALSILLAS AS BUILT'!L62</f>
        <v>0</v>
      </c>
      <c r="D28" s="1253"/>
      <c r="E28" s="267">
        <f>+'OT17-428 BALSILLAS AS BUILT'!M62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RESUMEN!V134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0">
    <tabColor rgb="FF00B0F0"/>
  </sheetPr>
  <dimension ref="A1:P69"/>
  <sheetViews>
    <sheetView topLeftCell="A34" zoomScale="60" zoomScaleNormal="60" workbookViewId="0">
      <selection activeCell="K11" sqref="K11:M12"/>
    </sheetView>
  </sheetViews>
  <sheetFormatPr baseColWidth="10" defaultRowHeight="14.4" x14ac:dyDescent="0.3"/>
  <cols>
    <col min="1" max="1" width="16.44140625" customWidth="1"/>
    <col min="2" max="2" width="24.44140625" customWidth="1"/>
    <col min="3" max="3" width="36.5546875" customWidth="1"/>
    <col min="4" max="4" width="38.88671875" customWidth="1"/>
    <col min="6" max="6" width="14.88671875" customWidth="1"/>
    <col min="7" max="7" width="14.88671875" style="849" customWidth="1"/>
    <col min="8" max="8" width="15.109375" bestFit="1" customWidth="1"/>
    <col min="9" max="9" width="16.5546875" style="849" bestFit="1" customWidth="1"/>
    <col min="10" max="10" width="56.109375" customWidth="1"/>
    <col min="11" max="11" width="16.109375" customWidth="1"/>
    <col min="12" max="12" width="15.5546875" bestFit="1" customWidth="1"/>
    <col min="14" max="14" width="16.88671875" customWidth="1"/>
    <col min="15" max="15" width="17" bestFit="1" customWidth="1"/>
  </cols>
  <sheetData>
    <row r="1" spans="1:16" ht="15" thickBot="1" x14ac:dyDescent="0.35">
      <c r="A1" s="169"/>
      <c r="B1" s="188"/>
      <c r="C1" s="1307" t="s">
        <v>40</v>
      </c>
      <c r="D1" s="1308"/>
      <c r="E1" s="1308"/>
      <c r="F1" s="1308"/>
      <c r="G1" s="1308"/>
      <c r="H1" s="1308"/>
      <c r="I1" s="1308"/>
      <c r="J1" s="1308"/>
      <c r="K1" s="1308"/>
      <c r="L1" s="1308"/>
      <c r="M1" s="1308"/>
      <c r="N1" s="1328" t="s">
        <v>1663</v>
      </c>
      <c r="O1" s="1303"/>
      <c r="P1" s="1304"/>
    </row>
    <row r="2" spans="1:16" ht="15" thickBot="1" x14ac:dyDescent="0.35">
      <c r="A2" s="170"/>
      <c r="B2" s="190"/>
      <c r="C2" s="1310"/>
      <c r="D2" s="1311"/>
      <c r="E2" s="1311"/>
      <c r="F2" s="1311"/>
      <c r="G2" s="1311"/>
      <c r="H2" s="1311"/>
      <c r="I2" s="1311"/>
      <c r="J2" s="1311"/>
      <c r="K2" s="1311"/>
      <c r="L2" s="1311"/>
      <c r="M2" s="1311"/>
      <c r="N2" s="1329" t="s">
        <v>41</v>
      </c>
      <c r="O2" s="1305"/>
      <c r="P2" s="1306"/>
    </row>
    <row r="3" spans="1:16" x14ac:dyDescent="0.3">
      <c r="A3" s="1292" t="s">
        <v>42</v>
      </c>
      <c r="B3" s="1292"/>
      <c r="C3" s="1292"/>
      <c r="D3" s="1292"/>
      <c r="E3" s="1292"/>
      <c r="F3" s="1292"/>
      <c r="G3" s="1292"/>
      <c r="H3" s="1292"/>
      <c r="I3" s="1292"/>
      <c r="J3" s="1292"/>
      <c r="K3" s="1292"/>
      <c r="L3" s="1292"/>
      <c r="M3" s="1292"/>
      <c r="N3" s="1292"/>
      <c r="O3" s="1292"/>
      <c r="P3" s="1292"/>
    </row>
    <row r="4" spans="1:16" x14ac:dyDescent="0.3">
      <c r="A4" s="1292" t="s">
        <v>43</v>
      </c>
      <c r="B4" s="1292"/>
      <c r="C4" s="1292"/>
      <c r="D4" s="1292"/>
      <c r="E4" s="1292"/>
      <c r="F4" s="1292"/>
      <c r="G4" s="1292"/>
      <c r="H4" s="1292"/>
      <c r="I4" s="1292"/>
      <c r="J4" s="1292"/>
      <c r="K4" s="1292"/>
      <c r="L4" s="1292"/>
      <c r="M4" s="1292"/>
      <c r="N4" s="1292"/>
      <c r="O4" s="1292"/>
      <c r="P4" s="1292"/>
    </row>
    <row r="5" spans="1:16" x14ac:dyDescent="0.3">
      <c r="A5" s="1292" t="s">
        <v>44</v>
      </c>
      <c r="B5" s="1292"/>
      <c r="C5" s="1292"/>
      <c r="D5" s="1292"/>
      <c r="E5" s="1292"/>
      <c r="F5" s="1292"/>
      <c r="G5" s="1292"/>
      <c r="H5" s="1292"/>
      <c r="I5" s="1292"/>
      <c r="J5" s="1292"/>
      <c r="K5" s="1292"/>
      <c r="L5" s="1292"/>
      <c r="M5" s="1292"/>
      <c r="N5" s="1292"/>
      <c r="O5" s="1292"/>
      <c r="P5" s="1292"/>
    </row>
    <row r="6" spans="1:16" x14ac:dyDescent="0.3">
      <c r="A6" s="1292" t="s">
        <v>45</v>
      </c>
      <c r="B6" s="1292"/>
      <c r="C6" s="1292"/>
      <c r="D6" s="1292"/>
      <c r="E6" s="1292"/>
      <c r="F6" s="1292"/>
      <c r="G6" s="1292"/>
      <c r="H6" s="1292"/>
      <c r="I6" s="1292"/>
      <c r="J6" s="1292"/>
      <c r="K6" s="1292"/>
      <c r="L6" s="1292"/>
      <c r="M6" s="1292"/>
      <c r="N6" s="1292"/>
      <c r="O6" s="1292"/>
      <c r="P6" s="1292"/>
    </row>
    <row r="7" spans="1:16" x14ac:dyDescent="0.3">
      <c r="A7" s="1508" t="s">
        <v>1880</v>
      </c>
      <c r="B7" s="1509"/>
      <c r="C7" s="1509"/>
      <c r="D7" s="1509"/>
      <c r="E7" s="1509"/>
      <c r="F7" s="1509"/>
      <c r="G7" s="1509"/>
      <c r="H7" s="1509"/>
      <c r="I7" s="1509"/>
      <c r="J7" s="1509"/>
      <c r="K7" s="1509"/>
      <c r="L7" s="1509"/>
      <c r="M7" s="1509"/>
      <c r="N7" s="1509"/>
      <c r="O7" s="1509"/>
      <c r="P7" s="1509"/>
    </row>
    <row r="8" spans="1:16" x14ac:dyDescent="0.3">
      <c r="A8" s="1292" t="s">
        <v>2312</v>
      </c>
      <c r="B8" s="1292"/>
      <c r="C8" s="1292"/>
      <c r="D8" s="1292"/>
      <c r="E8" s="1292"/>
      <c r="F8" s="1292"/>
      <c r="G8" s="1292"/>
      <c r="H8" s="1292"/>
      <c r="I8" s="1292"/>
      <c r="J8" s="1292"/>
      <c r="K8" s="1292"/>
      <c r="L8" s="1292"/>
      <c r="M8" s="1292"/>
      <c r="N8" s="1292"/>
      <c r="O8" s="1292"/>
      <c r="P8" s="1292"/>
    </row>
    <row r="9" spans="1:16" x14ac:dyDescent="0.3">
      <c r="A9" s="1292" t="s">
        <v>2305</v>
      </c>
      <c r="B9" s="1292"/>
      <c r="C9" s="1292"/>
      <c r="D9" s="1292"/>
      <c r="E9" s="1292"/>
      <c r="F9" s="1292"/>
      <c r="G9" s="1292"/>
      <c r="H9" s="1292"/>
      <c r="I9" s="1292"/>
      <c r="J9" s="1292"/>
      <c r="K9" s="1292"/>
      <c r="L9" s="1292"/>
      <c r="M9" s="1292"/>
      <c r="N9" s="1292"/>
      <c r="O9" s="1292"/>
      <c r="P9" s="1292"/>
    </row>
    <row r="10" spans="1:16" x14ac:dyDescent="0.3">
      <c r="A10" s="1292" t="s">
        <v>1875</v>
      </c>
      <c r="B10" s="1292"/>
      <c r="C10" s="1292"/>
      <c r="D10" s="1292"/>
      <c r="E10" s="1292"/>
      <c r="F10" s="1292"/>
      <c r="G10" s="1292"/>
      <c r="H10" s="1292"/>
      <c r="I10" s="1292"/>
      <c r="J10" s="1292"/>
      <c r="K10" s="1292"/>
      <c r="L10" s="1292"/>
      <c r="M10" s="1292"/>
      <c r="N10" s="1292"/>
      <c r="O10" s="1292"/>
      <c r="P10" s="1292"/>
    </row>
    <row r="11" spans="1:16" x14ac:dyDescent="0.3">
      <c r="A11" s="637"/>
      <c r="B11" s="1301"/>
      <c r="C11" s="1313"/>
      <c r="D11" s="1313"/>
      <c r="E11" s="1313"/>
      <c r="F11" s="1313"/>
      <c r="G11" s="1313"/>
      <c r="H11" s="1313"/>
      <c r="I11" s="1313"/>
      <c r="J11" s="1313"/>
      <c r="K11" s="1293" t="s">
        <v>2313</v>
      </c>
      <c r="L11" s="1294"/>
      <c r="M11" s="1295"/>
      <c r="N11" s="1299" t="s">
        <v>49</v>
      </c>
      <c r="O11" s="1299"/>
      <c r="P11" s="1299"/>
    </row>
    <row r="12" spans="1:16" x14ac:dyDescent="0.3">
      <c r="A12" s="171"/>
      <c r="B12" s="1301"/>
      <c r="C12" s="1302"/>
      <c r="D12" s="1302"/>
      <c r="E12" s="1302"/>
      <c r="F12" s="1302"/>
      <c r="G12" s="1302"/>
      <c r="H12" s="1302"/>
      <c r="I12" s="1302"/>
      <c r="J12" s="1302"/>
      <c r="K12" s="1325"/>
      <c r="L12" s="1326"/>
      <c r="M12" s="1327"/>
      <c r="N12" s="1300"/>
      <c r="O12" s="1300"/>
      <c r="P12" s="1300"/>
    </row>
    <row r="13" spans="1:16" ht="28.8" x14ac:dyDescent="0.3">
      <c r="A13" s="879" t="s">
        <v>50</v>
      </c>
      <c r="B13" s="879" t="s">
        <v>51</v>
      </c>
      <c r="C13" s="879" t="s">
        <v>52</v>
      </c>
      <c r="D13" s="879" t="s">
        <v>164</v>
      </c>
      <c r="E13" s="159" t="s">
        <v>54</v>
      </c>
      <c r="F13" s="141" t="s">
        <v>55</v>
      </c>
      <c r="G13" s="821" t="s">
        <v>2007</v>
      </c>
      <c r="H13" s="159" t="s">
        <v>56</v>
      </c>
      <c r="I13" s="822" t="s">
        <v>56</v>
      </c>
      <c r="J13" s="159" t="s">
        <v>57</v>
      </c>
      <c r="K13" s="502" t="s">
        <v>54</v>
      </c>
      <c r="L13" s="502" t="s">
        <v>56</v>
      </c>
      <c r="M13" s="502" t="s">
        <v>58</v>
      </c>
      <c r="N13" s="502" t="s">
        <v>54</v>
      </c>
      <c r="O13" s="502" t="s">
        <v>56</v>
      </c>
      <c r="P13" s="502" t="s">
        <v>58</v>
      </c>
    </row>
    <row r="14" spans="1:16" ht="39" customHeight="1" x14ac:dyDescent="0.3">
      <c r="A14" s="1289" t="s">
        <v>1876</v>
      </c>
      <c r="B14" s="1289" t="s">
        <v>165</v>
      </c>
      <c r="C14" s="843" t="s">
        <v>81</v>
      </c>
      <c r="D14" s="843" t="s">
        <v>166</v>
      </c>
      <c r="E14" s="843">
        <v>0</v>
      </c>
      <c r="F14" s="32">
        <v>1149124</v>
      </c>
      <c r="G14" s="32">
        <f>+ROUND(F14*1.051,0)</f>
        <v>1207729</v>
      </c>
      <c r="H14" s="32">
        <f>ROUND((E14*F14),0)</f>
        <v>0</v>
      </c>
      <c r="I14" s="32">
        <f>+ROUND(G14*E14,0)</f>
        <v>0</v>
      </c>
      <c r="J14" s="1290" t="s">
        <v>1583</v>
      </c>
      <c r="K14" s="536">
        <v>0</v>
      </c>
      <c r="L14" s="685">
        <f>ROUND(K14*G14,0)</f>
        <v>0</v>
      </c>
      <c r="M14" s="684">
        <v>0</v>
      </c>
      <c r="N14" s="536">
        <f>K14</f>
        <v>0</v>
      </c>
      <c r="O14" s="685">
        <f>L14</f>
        <v>0</v>
      </c>
      <c r="P14" s="684">
        <v>0</v>
      </c>
    </row>
    <row r="15" spans="1:16" ht="45" customHeight="1" x14ac:dyDescent="0.3">
      <c r="A15" s="1289"/>
      <c r="B15" s="1289"/>
      <c r="C15" s="843" t="s">
        <v>83</v>
      </c>
      <c r="D15" s="843" t="s">
        <v>167</v>
      </c>
      <c r="E15" s="843">
        <v>0</v>
      </c>
      <c r="F15" s="32">
        <v>2646468</v>
      </c>
      <c r="G15" s="32">
        <f>+ROUND(F15*1.051,0)</f>
        <v>2781438</v>
      </c>
      <c r="H15" s="32">
        <f>ROUND((E15*F15),0)</f>
        <v>0</v>
      </c>
      <c r="I15" s="32">
        <f>+ROUND(G15*E15,0)</f>
        <v>0</v>
      </c>
      <c r="J15" s="1289"/>
      <c r="K15" s="799">
        <v>0</v>
      </c>
      <c r="L15" s="685">
        <f t="shared" ref="L15:L16" si="0">ROUND(K15*G15,0)</f>
        <v>0</v>
      </c>
      <c r="M15" s="684">
        <v>0</v>
      </c>
      <c r="N15" s="536">
        <f>K15</f>
        <v>0</v>
      </c>
      <c r="O15" s="685">
        <f t="shared" ref="O15:O16" si="1">L15</f>
        <v>0</v>
      </c>
      <c r="P15" s="684">
        <v>0</v>
      </c>
    </row>
    <row r="16" spans="1:16" ht="39" customHeight="1" x14ac:dyDescent="0.3">
      <c r="A16" s="1289"/>
      <c r="B16" s="1289"/>
      <c r="C16" s="843" t="s">
        <v>61</v>
      </c>
      <c r="D16" s="843" t="s">
        <v>168</v>
      </c>
      <c r="E16" s="843">
        <v>0.05</v>
      </c>
      <c r="F16" s="32">
        <v>2542001</v>
      </c>
      <c r="G16" s="32">
        <f>+ROUND(F16*1.051,0)</f>
        <v>2671643</v>
      </c>
      <c r="H16" s="32">
        <f>ROUND((E16*F16),0)</f>
        <v>127100</v>
      </c>
      <c r="I16" s="32">
        <f>+ROUND(G16*E16,0)</f>
        <v>133582</v>
      </c>
      <c r="J16" s="1289"/>
      <c r="K16" s="799">
        <v>0</v>
      </c>
      <c r="L16" s="685">
        <f t="shared" si="0"/>
        <v>0</v>
      </c>
      <c r="M16" s="684">
        <f t="shared" ref="M16:M52" si="2">+L16/I16</f>
        <v>0</v>
      </c>
      <c r="N16" s="536">
        <f>K16</f>
        <v>0</v>
      </c>
      <c r="O16" s="685">
        <f t="shared" si="1"/>
        <v>0</v>
      </c>
      <c r="P16" s="684">
        <f>O16/I16</f>
        <v>0</v>
      </c>
    </row>
    <row r="17" spans="1:16" x14ac:dyDescent="0.3">
      <c r="A17" s="1289"/>
      <c r="B17" s="1289"/>
      <c r="C17" s="39"/>
      <c r="D17" s="39" t="s">
        <v>169</v>
      </c>
      <c r="E17" s="41"/>
      <c r="F17" s="41"/>
      <c r="G17" s="41"/>
      <c r="H17" s="42">
        <f>SUM(H14:H16)</f>
        <v>127100</v>
      </c>
      <c r="I17" s="42">
        <f>SUM(I14:I16)</f>
        <v>133582</v>
      </c>
      <c r="J17" s="1289"/>
      <c r="K17" s="40"/>
      <c r="L17" s="683">
        <f>SUM(L14:L16)</f>
        <v>0</v>
      </c>
      <c r="M17" s="1100">
        <f t="shared" si="2"/>
        <v>0</v>
      </c>
      <c r="N17" s="1108"/>
      <c r="O17" s="1112">
        <f>SUM(O14:O16)</f>
        <v>0</v>
      </c>
      <c r="P17" s="1100">
        <f t="shared" ref="P17:P52" si="3">O17/I17</f>
        <v>0</v>
      </c>
    </row>
    <row r="18" spans="1:16" s="638" customFormat="1" ht="39" customHeight="1" x14ac:dyDescent="0.3">
      <c r="A18" s="1289" t="s">
        <v>1877</v>
      </c>
      <c r="B18" s="1289" t="s">
        <v>217</v>
      </c>
      <c r="C18" s="843" t="s">
        <v>81</v>
      </c>
      <c r="D18" s="843" t="s">
        <v>218</v>
      </c>
      <c r="E18" s="843">
        <v>0</v>
      </c>
      <c r="F18" s="32">
        <v>1149124</v>
      </c>
      <c r="G18" s="32">
        <f>+ROUND(F18*1.051,0)</f>
        <v>1207729</v>
      </c>
      <c r="H18" s="32">
        <f>ROUND((E18*F18),0)</f>
        <v>0</v>
      </c>
      <c r="I18" s="32">
        <f>+ROUND(G18*E18,0)</f>
        <v>0</v>
      </c>
      <c r="J18" s="1290" t="s">
        <v>1584</v>
      </c>
      <c r="K18" s="799">
        <v>0</v>
      </c>
      <c r="L18" s="685">
        <f t="shared" ref="L18:L20" si="4">ROUND(K18*G18,0)</f>
        <v>0</v>
      </c>
      <c r="M18" s="684">
        <v>0</v>
      </c>
      <c r="N18" s="536">
        <f>K18</f>
        <v>0</v>
      </c>
      <c r="O18" s="685">
        <f>L18</f>
        <v>0</v>
      </c>
      <c r="P18" s="684">
        <v>0</v>
      </c>
    </row>
    <row r="19" spans="1:16" s="638" customFormat="1" ht="45" customHeight="1" x14ac:dyDescent="0.3">
      <c r="A19" s="1289"/>
      <c r="B19" s="1289"/>
      <c r="C19" s="843" t="s">
        <v>83</v>
      </c>
      <c r="D19" s="843" t="s">
        <v>219</v>
      </c>
      <c r="E19" s="843">
        <v>0</v>
      </c>
      <c r="F19" s="32">
        <v>2646468</v>
      </c>
      <c r="G19" s="32">
        <f>+ROUND(F19*1.051,0)</f>
        <v>2781438</v>
      </c>
      <c r="H19" s="32">
        <f>ROUND((E19*F19),0)</f>
        <v>0</v>
      </c>
      <c r="I19" s="32">
        <f>+ROUND(G19*E19,0)</f>
        <v>0</v>
      </c>
      <c r="J19" s="1289"/>
      <c r="K19" s="799">
        <v>0</v>
      </c>
      <c r="L19" s="685">
        <f t="shared" si="4"/>
        <v>0</v>
      </c>
      <c r="M19" s="684">
        <v>0</v>
      </c>
      <c r="N19" s="536">
        <f>K19</f>
        <v>0</v>
      </c>
      <c r="O19" s="685">
        <f t="shared" ref="O19:O20" si="5">L19</f>
        <v>0</v>
      </c>
      <c r="P19" s="684">
        <v>0</v>
      </c>
    </row>
    <row r="20" spans="1:16" s="638" customFormat="1" ht="39" customHeight="1" x14ac:dyDescent="0.3">
      <c r="A20" s="1289"/>
      <c r="B20" s="1289"/>
      <c r="C20" s="843" t="s">
        <v>61</v>
      </c>
      <c r="D20" s="843" t="s">
        <v>220</v>
      </c>
      <c r="E20" s="843">
        <v>0.05</v>
      </c>
      <c r="F20" s="32">
        <v>3203618</v>
      </c>
      <c r="G20" s="32">
        <f>+ROUND(F20*1.051,0)</f>
        <v>3367003</v>
      </c>
      <c r="H20" s="32">
        <f>ROUND((E20*F20),0)</f>
        <v>160181</v>
      </c>
      <c r="I20" s="32">
        <f>+ROUND(G20*E20,0)</f>
        <v>168350</v>
      </c>
      <c r="J20" s="1289"/>
      <c r="K20" s="799">
        <v>0</v>
      </c>
      <c r="L20" s="685">
        <f t="shared" si="4"/>
        <v>0</v>
      </c>
      <c r="M20" s="684">
        <f t="shared" si="2"/>
        <v>0</v>
      </c>
      <c r="N20" s="536">
        <f>K20</f>
        <v>0</v>
      </c>
      <c r="O20" s="685">
        <f t="shared" si="5"/>
        <v>0</v>
      </c>
      <c r="P20" s="684">
        <f t="shared" si="3"/>
        <v>0</v>
      </c>
    </row>
    <row r="21" spans="1:16" s="638" customFormat="1" x14ac:dyDescent="0.3">
      <c r="A21" s="1289"/>
      <c r="B21" s="1289"/>
      <c r="C21" s="39"/>
      <c r="D21" s="39" t="s">
        <v>221</v>
      </c>
      <c r="E21" s="41"/>
      <c r="F21" s="41"/>
      <c r="G21" s="41"/>
      <c r="H21" s="42">
        <f>SUM(H18:H20)</f>
        <v>160181</v>
      </c>
      <c r="I21" s="42">
        <f>SUM(I18:I20)</f>
        <v>168350</v>
      </c>
      <c r="J21" s="1289"/>
      <c r="K21" s="40"/>
      <c r="L21" s="683">
        <f>SUM(L18:L20)</f>
        <v>0</v>
      </c>
      <c r="M21" s="1100">
        <f t="shared" si="2"/>
        <v>0</v>
      </c>
      <c r="N21" s="1108"/>
      <c r="O21" s="1112">
        <f>SUM(O18:O20)</f>
        <v>0</v>
      </c>
      <c r="P21" s="1100">
        <f t="shared" si="3"/>
        <v>0</v>
      </c>
    </row>
    <row r="22" spans="1:16" ht="30" customHeight="1" x14ac:dyDescent="0.3">
      <c r="A22" s="1289" t="s">
        <v>1877</v>
      </c>
      <c r="B22" s="1289" t="s">
        <v>170</v>
      </c>
      <c r="C22" s="843" t="s">
        <v>83</v>
      </c>
      <c r="D22" s="843" t="s">
        <v>123</v>
      </c>
      <c r="E22" s="843">
        <v>0.05</v>
      </c>
      <c r="F22" s="32">
        <v>1044658</v>
      </c>
      <c r="G22" s="32">
        <f>+ROUND(F22*1.051,0)</f>
        <v>1097936</v>
      </c>
      <c r="H22" s="32">
        <f>ROUND((E22*F22),0)</f>
        <v>52233</v>
      </c>
      <c r="I22" s="32">
        <f>+ROUND(G22*E22,0)</f>
        <v>54897</v>
      </c>
      <c r="J22" s="1290" t="s">
        <v>1878</v>
      </c>
      <c r="K22" s="799">
        <v>0</v>
      </c>
      <c r="L22" s="685">
        <f t="shared" ref="L22:L23" si="6">ROUND(K22*G22,0)</f>
        <v>0</v>
      </c>
      <c r="M22" s="684">
        <f t="shared" si="2"/>
        <v>0</v>
      </c>
      <c r="N22" s="536">
        <f>K22</f>
        <v>0</v>
      </c>
      <c r="O22" s="685">
        <f>L22</f>
        <v>0</v>
      </c>
      <c r="P22" s="684">
        <f t="shared" si="3"/>
        <v>0</v>
      </c>
    </row>
    <row r="23" spans="1:16" ht="28.8" x14ac:dyDescent="0.3">
      <c r="A23" s="1289"/>
      <c r="B23" s="1289"/>
      <c r="C23" s="843" t="s">
        <v>61</v>
      </c>
      <c r="D23" s="843" t="s">
        <v>125</v>
      </c>
      <c r="E23" s="843">
        <v>0</v>
      </c>
      <c r="F23" s="32">
        <v>1009836</v>
      </c>
      <c r="G23" s="32">
        <f>+ROUND(F23*1.051,0)</f>
        <v>1061338</v>
      </c>
      <c r="H23" s="32">
        <f>ROUND((E23*F23),0)</f>
        <v>0</v>
      </c>
      <c r="I23" s="32">
        <f>+ROUND(G23*E23,0)</f>
        <v>0</v>
      </c>
      <c r="J23" s="1289"/>
      <c r="K23" s="799">
        <v>0</v>
      </c>
      <c r="L23" s="685">
        <f t="shared" si="6"/>
        <v>0</v>
      </c>
      <c r="M23" s="684">
        <v>0</v>
      </c>
      <c r="N23" s="536">
        <f>K23</f>
        <v>0</v>
      </c>
      <c r="O23" s="685">
        <f>L23</f>
        <v>0</v>
      </c>
      <c r="P23" s="684">
        <v>0</v>
      </c>
    </row>
    <row r="24" spans="1:16" x14ac:dyDescent="0.3">
      <c r="A24" s="1289"/>
      <c r="B24" s="1289"/>
      <c r="C24" s="39"/>
      <c r="D24" s="39" t="s">
        <v>126</v>
      </c>
      <c r="E24" s="41"/>
      <c r="F24" s="41"/>
      <c r="G24" s="41"/>
      <c r="H24" s="42">
        <f>SUM(H22:H23)</f>
        <v>52233</v>
      </c>
      <c r="I24" s="42">
        <f>SUM(I22:I23)</f>
        <v>54897</v>
      </c>
      <c r="J24" s="1289"/>
      <c r="K24" s="41"/>
      <c r="L24" s="683">
        <f>SUM(L22:L23)</f>
        <v>0</v>
      </c>
      <c r="M24" s="1100">
        <f t="shared" si="2"/>
        <v>0</v>
      </c>
      <c r="N24" s="1108"/>
      <c r="O24" s="1112">
        <f>SUM(O22:O23)</f>
        <v>0</v>
      </c>
      <c r="P24" s="1100">
        <f t="shared" si="3"/>
        <v>0</v>
      </c>
    </row>
    <row r="25" spans="1:16" s="638" customFormat="1" ht="30" customHeight="1" x14ac:dyDescent="0.3">
      <c r="A25" s="1289" t="s">
        <v>330</v>
      </c>
      <c r="B25" s="1289" t="s">
        <v>217</v>
      </c>
      <c r="C25" s="843" t="s">
        <v>81</v>
      </c>
      <c r="D25" s="843" t="s">
        <v>218</v>
      </c>
      <c r="E25" s="843">
        <v>0</v>
      </c>
      <c r="F25" s="32">
        <v>1149124</v>
      </c>
      <c r="G25" s="32">
        <f>+ROUND(F25*1.051,0)</f>
        <v>1207729</v>
      </c>
      <c r="H25" s="32">
        <f>ROUND((E25*F25),0)</f>
        <v>0</v>
      </c>
      <c r="I25" s="32">
        <f>+ROUND(G25*E25,0)</f>
        <v>0</v>
      </c>
      <c r="J25" s="1289" t="s">
        <v>1584</v>
      </c>
      <c r="K25" s="799">
        <v>0</v>
      </c>
      <c r="L25" s="685">
        <f t="shared" ref="L25:L27" si="7">ROUND(K25*G25,0)</f>
        <v>0</v>
      </c>
      <c r="M25" s="684">
        <v>0</v>
      </c>
      <c r="N25" s="536">
        <f>K25</f>
        <v>0</v>
      </c>
      <c r="O25" s="685">
        <f>L25</f>
        <v>0</v>
      </c>
      <c r="P25" s="684">
        <v>0</v>
      </c>
    </row>
    <row r="26" spans="1:16" s="638" customFormat="1" ht="28.8" x14ac:dyDescent="0.3">
      <c r="A26" s="1289"/>
      <c r="B26" s="1289"/>
      <c r="C26" s="843" t="s">
        <v>83</v>
      </c>
      <c r="D26" s="843" t="s">
        <v>219</v>
      </c>
      <c r="E26" s="843">
        <v>0</v>
      </c>
      <c r="F26" s="32">
        <v>2646468</v>
      </c>
      <c r="G26" s="32">
        <f>+ROUND(F26*1.051,0)</f>
        <v>2781438</v>
      </c>
      <c r="H26" s="32">
        <f>ROUND((E26*F26),0)</f>
        <v>0</v>
      </c>
      <c r="I26" s="32">
        <f>+ROUND(G26*E26,0)</f>
        <v>0</v>
      </c>
      <c r="J26" s="1289"/>
      <c r="K26" s="799">
        <v>0</v>
      </c>
      <c r="L26" s="685">
        <f t="shared" si="7"/>
        <v>0</v>
      </c>
      <c r="M26" s="684">
        <v>0</v>
      </c>
      <c r="N26" s="536">
        <f>K26</f>
        <v>0</v>
      </c>
      <c r="O26" s="685">
        <f t="shared" ref="O26:O27" si="8">L26</f>
        <v>0</v>
      </c>
      <c r="P26" s="684">
        <v>0</v>
      </c>
    </row>
    <row r="27" spans="1:16" s="638" customFormat="1" ht="28.8" x14ac:dyDescent="0.3">
      <c r="A27" s="1289"/>
      <c r="B27" s="1289"/>
      <c r="C27" s="843" t="s">
        <v>61</v>
      </c>
      <c r="D27" s="843" t="s">
        <v>220</v>
      </c>
      <c r="E27" s="843">
        <v>0.05</v>
      </c>
      <c r="F27" s="32">
        <v>3203618</v>
      </c>
      <c r="G27" s="32">
        <f>+ROUND(F27*1.051,0)</f>
        <v>3367003</v>
      </c>
      <c r="H27" s="32">
        <f>ROUND((E27*F27),0)</f>
        <v>160181</v>
      </c>
      <c r="I27" s="32">
        <f>+ROUND(G27*E27,0)</f>
        <v>168350</v>
      </c>
      <c r="J27" s="1289"/>
      <c r="K27" s="799">
        <v>0</v>
      </c>
      <c r="L27" s="685">
        <f t="shared" si="7"/>
        <v>0</v>
      </c>
      <c r="M27" s="684">
        <f t="shared" si="2"/>
        <v>0</v>
      </c>
      <c r="N27" s="536">
        <f>K27</f>
        <v>0</v>
      </c>
      <c r="O27" s="685">
        <f t="shared" si="8"/>
        <v>0</v>
      </c>
      <c r="P27" s="684">
        <f t="shared" si="3"/>
        <v>0</v>
      </c>
    </row>
    <row r="28" spans="1:16" s="638" customFormat="1" x14ac:dyDescent="0.3">
      <c r="A28" s="1289"/>
      <c r="B28" s="1289"/>
      <c r="C28" s="39"/>
      <c r="D28" s="39" t="s">
        <v>221</v>
      </c>
      <c r="E28" s="41"/>
      <c r="F28" s="41"/>
      <c r="G28" s="41"/>
      <c r="H28" s="42">
        <f>SUM(H25:H27)</f>
        <v>160181</v>
      </c>
      <c r="I28" s="42">
        <f>SUM(I25:I27)</f>
        <v>168350</v>
      </c>
      <c r="J28" s="1289"/>
      <c r="K28" s="40"/>
      <c r="L28" s="683">
        <f>SUM(L25:L27)</f>
        <v>0</v>
      </c>
      <c r="M28" s="1100">
        <f t="shared" si="2"/>
        <v>0</v>
      </c>
      <c r="N28" s="1108"/>
      <c r="O28" s="1112">
        <f>SUM(O25:O27)</f>
        <v>0</v>
      </c>
      <c r="P28" s="1100">
        <f t="shared" si="3"/>
        <v>0</v>
      </c>
    </row>
    <row r="29" spans="1:16" s="638" customFormat="1" ht="30" customHeight="1" x14ac:dyDescent="0.3">
      <c r="A29" s="1289" t="s">
        <v>330</v>
      </c>
      <c r="B29" s="1289" t="s">
        <v>170</v>
      </c>
      <c r="C29" s="843" t="s">
        <v>83</v>
      </c>
      <c r="D29" s="843" t="s">
        <v>123</v>
      </c>
      <c r="E29" s="843">
        <v>0.05</v>
      </c>
      <c r="F29" s="32">
        <v>1044658</v>
      </c>
      <c r="G29" s="32">
        <f>+ROUND(F29*1.051,0)</f>
        <v>1097936</v>
      </c>
      <c r="H29" s="32">
        <f>ROUND((E29*F29),0)</f>
        <v>52233</v>
      </c>
      <c r="I29" s="32">
        <f>+ROUND(G29*E29,0)</f>
        <v>54897</v>
      </c>
      <c r="J29" s="1289" t="s">
        <v>1878</v>
      </c>
      <c r="K29" s="799">
        <v>0</v>
      </c>
      <c r="L29" s="685">
        <f t="shared" ref="L29:L30" si="9">ROUND(K29*G29,0)</f>
        <v>0</v>
      </c>
      <c r="M29" s="684">
        <f t="shared" si="2"/>
        <v>0</v>
      </c>
      <c r="N29" s="536">
        <f>K29</f>
        <v>0</v>
      </c>
      <c r="O29" s="685">
        <f>L29</f>
        <v>0</v>
      </c>
      <c r="P29" s="684">
        <f t="shared" si="3"/>
        <v>0</v>
      </c>
    </row>
    <row r="30" spans="1:16" s="638" customFormat="1" ht="28.8" x14ac:dyDescent="0.3">
      <c r="A30" s="1289"/>
      <c r="B30" s="1289"/>
      <c r="C30" s="843" t="s">
        <v>61</v>
      </c>
      <c r="D30" s="843" t="s">
        <v>125</v>
      </c>
      <c r="E30" s="843">
        <v>0</v>
      </c>
      <c r="F30" s="32">
        <v>1009836</v>
      </c>
      <c r="G30" s="32">
        <f>+ROUND(F30*1.051,0)</f>
        <v>1061338</v>
      </c>
      <c r="H30" s="32">
        <f>ROUND((E30*F30),0)</f>
        <v>0</v>
      </c>
      <c r="I30" s="32">
        <f>+ROUND(G30*E30,0)</f>
        <v>0</v>
      </c>
      <c r="J30" s="1289"/>
      <c r="K30" s="799">
        <v>0</v>
      </c>
      <c r="L30" s="685">
        <f t="shared" si="9"/>
        <v>0</v>
      </c>
      <c r="M30" s="684">
        <v>0</v>
      </c>
      <c r="N30" s="536">
        <f>K30</f>
        <v>0</v>
      </c>
      <c r="O30" s="685">
        <f>L30</f>
        <v>0</v>
      </c>
      <c r="P30" s="684">
        <v>0</v>
      </c>
    </row>
    <row r="31" spans="1:16" s="638" customFormat="1" x14ac:dyDescent="0.3">
      <c r="A31" s="1289"/>
      <c r="B31" s="1289"/>
      <c r="C31" s="39"/>
      <c r="D31" s="39" t="s">
        <v>126</v>
      </c>
      <c r="E31" s="41"/>
      <c r="F31" s="41"/>
      <c r="G31" s="41"/>
      <c r="H31" s="42">
        <f>SUM(H29:H30)</f>
        <v>52233</v>
      </c>
      <c r="I31" s="42">
        <f>SUM(I29:I30)</f>
        <v>54897</v>
      </c>
      <c r="J31" s="1289"/>
      <c r="K31" s="41"/>
      <c r="L31" s="683">
        <f>SUM(L29:L30)</f>
        <v>0</v>
      </c>
      <c r="M31" s="1100">
        <f t="shared" si="2"/>
        <v>0</v>
      </c>
      <c r="N31" s="1108"/>
      <c r="O31" s="1112">
        <f>SUM(O29:O30)</f>
        <v>0</v>
      </c>
      <c r="P31" s="1100">
        <f t="shared" si="3"/>
        <v>0</v>
      </c>
    </row>
    <row r="32" spans="1:16" ht="30" customHeight="1" x14ac:dyDescent="0.3">
      <c r="A32" s="1289" t="s">
        <v>331</v>
      </c>
      <c r="B32" s="1289" t="s">
        <v>217</v>
      </c>
      <c r="C32" s="843" t="s">
        <v>81</v>
      </c>
      <c r="D32" s="843" t="s">
        <v>218</v>
      </c>
      <c r="E32" s="843">
        <v>0</v>
      </c>
      <c r="F32" s="32">
        <v>1149124</v>
      </c>
      <c r="G32" s="32">
        <f>+ROUND(F32*1.051,0)</f>
        <v>1207729</v>
      </c>
      <c r="H32" s="32">
        <f>ROUND((E32*F32),0)</f>
        <v>0</v>
      </c>
      <c r="I32" s="32">
        <f>+ROUND(G32*E32,0)</f>
        <v>0</v>
      </c>
      <c r="J32" s="1289" t="s">
        <v>1584</v>
      </c>
      <c r="K32" s="799">
        <v>0</v>
      </c>
      <c r="L32" s="685">
        <f t="shared" ref="L32:L34" si="10">ROUND(K32*G32,0)</f>
        <v>0</v>
      </c>
      <c r="M32" s="684">
        <v>0</v>
      </c>
      <c r="N32" s="536">
        <f>K32</f>
        <v>0</v>
      </c>
      <c r="O32" s="685">
        <f>L32</f>
        <v>0</v>
      </c>
      <c r="P32" s="684">
        <v>0</v>
      </c>
    </row>
    <row r="33" spans="1:16" ht="28.8" x14ac:dyDescent="0.3">
      <c r="A33" s="1289"/>
      <c r="B33" s="1289"/>
      <c r="C33" s="843" t="s">
        <v>83</v>
      </c>
      <c r="D33" s="843" t="s">
        <v>219</v>
      </c>
      <c r="E33" s="843">
        <v>0</v>
      </c>
      <c r="F33" s="32">
        <v>2646468</v>
      </c>
      <c r="G33" s="32">
        <f>+ROUND(F33*1.051,0)</f>
        <v>2781438</v>
      </c>
      <c r="H33" s="32">
        <f>ROUND((E33*F33),0)</f>
        <v>0</v>
      </c>
      <c r="I33" s="32">
        <f>+ROUND(G33*E33,0)</f>
        <v>0</v>
      </c>
      <c r="J33" s="1289"/>
      <c r="K33" s="799">
        <v>0</v>
      </c>
      <c r="L33" s="685">
        <f t="shared" si="10"/>
        <v>0</v>
      </c>
      <c r="M33" s="684">
        <v>0</v>
      </c>
      <c r="N33" s="536">
        <f>K33</f>
        <v>0</v>
      </c>
      <c r="O33" s="685">
        <f t="shared" ref="O33:O34" si="11">L33</f>
        <v>0</v>
      </c>
      <c r="P33" s="684">
        <v>0</v>
      </c>
    </row>
    <row r="34" spans="1:16" ht="28.8" x14ac:dyDescent="0.3">
      <c r="A34" s="1289"/>
      <c r="B34" s="1289"/>
      <c r="C34" s="843" t="s">
        <v>61</v>
      </c>
      <c r="D34" s="843" t="s">
        <v>220</v>
      </c>
      <c r="E34" s="843">
        <v>0.05</v>
      </c>
      <c r="F34" s="32">
        <v>3203618</v>
      </c>
      <c r="G34" s="32">
        <f>+ROUND(F34*1.051,0)</f>
        <v>3367003</v>
      </c>
      <c r="H34" s="32">
        <f>ROUND((E34*F34),0)</f>
        <v>160181</v>
      </c>
      <c r="I34" s="32">
        <f>+ROUND(G34*E34,0)</f>
        <v>168350</v>
      </c>
      <c r="J34" s="1289"/>
      <c r="K34" s="799">
        <v>0</v>
      </c>
      <c r="L34" s="685">
        <f t="shared" si="10"/>
        <v>0</v>
      </c>
      <c r="M34" s="684">
        <f t="shared" si="2"/>
        <v>0</v>
      </c>
      <c r="N34" s="536">
        <f>K34</f>
        <v>0</v>
      </c>
      <c r="O34" s="685">
        <f t="shared" si="11"/>
        <v>0</v>
      </c>
      <c r="P34" s="684">
        <f t="shared" si="3"/>
        <v>0</v>
      </c>
    </row>
    <row r="35" spans="1:16" x14ac:dyDescent="0.3">
      <c r="A35" s="1289"/>
      <c r="B35" s="1289"/>
      <c r="C35" s="39"/>
      <c r="D35" s="39" t="s">
        <v>221</v>
      </c>
      <c r="E35" s="41"/>
      <c r="F35" s="41"/>
      <c r="G35" s="41"/>
      <c r="H35" s="42">
        <f>SUM(H32:H34)</f>
        <v>160181</v>
      </c>
      <c r="I35" s="42">
        <f>SUM(I32:I34)</f>
        <v>168350</v>
      </c>
      <c r="J35" s="1289"/>
      <c r="K35" s="40"/>
      <c r="L35" s="683">
        <f>SUM(L32:L34)</f>
        <v>0</v>
      </c>
      <c r="M35" s="1100">
        <f t="shared" si="2"/>
        <v>0</v>
      </c>
      <c r="N35" s="1108"/>
      <c r="O35" s="1112">
        <f>SUM(O32:O34)</f>
        <v>0</v>
      </c>
      <c r="P35" s="1100">
        <f t="shared" si="3"/>
        <v>0</v>
      </c>
    </row>
    <row r="36" spans="1:16" ht="30" customHeight="1" x14ac:dyDescent="0.3">
      <c r="A36" s="1289" t="s">
        <v>331</v>
      </c>
      <c r="B36" s="1289" t="s">
        <v>170</v>
      </c>
      <c r="C36" s="843" t="s">
        <v>83</v>
      </c>
      <c r="D36" s="843" t="s">
        <v>123</v>
      </c>
      <c r="E36" s="843">
        <v>0.05</v>
      </c>
      <c r="F36" s="32">
        <v>1044658</v>
      </c>
      <c r="G36" s="32">
        <f>+ROUND(F36*1.051,0)</f>
        <v>1097936</v>
      </c>
      <c r="H36" s="32">
        <f>ROUND((E36*F36),0)</f>
        <v>52233</v>
      </c>
      <c r="I36" s="32">
        <f>+ROUND(G36*E36,0)</f>
        <v>54897</v>
      </c>
      <c r="J36" s="1289" t="s">
        <v>1878</v>
      </c>
      <c r="K36" s="799">
        <v>0</v>
      </c>
      <c r="L36" s="685">
        <f t="shared" ref="L36:L37" si="12">ROUND(K36*G36,0)</f>
        <v>0</v>
      </c>
      <c r="M36" s="684">
        <f t="shared" si="2"/>
        <v>0</v>
      </c>
      <c r="N36" s="536">
        <f>K36</f>
        <v>0</v>
      </c>
      <c r="O36" s="685">
        <f>L36</f>
        <v>0</v>
      </c>
      <c r="P36" s="684">
        <f t="shared" si="3"/>
        <v>0</v>
      </c>
    </row>
    <row r="37" spans="1:16" ht="28.8" x14ac:dyDescent="0.3">
      <c r="A37" s="1289"/>
      <c r="B37" s="1289"/>
      <c r="C37" s="843" t="s">
        <v>61</v>
      </c>
      <c r="D37" s="843" t="s">
        <v>125</v>
      </c>
      <c r="E37" s="843">
        <v>0</v>
      </c>
      <c r="F37" s="32">
        <v>1009836</v>
      </c>
      <c r="G37" s="32">
        <f>+ROUND(F37*1.051,0)</f>
        <v>1061338</v>
      </c>
      <c r="H37" s="32">
        <f>ROUND((E37*F37),0)</f>
        <v>0</v>
      </c>
      <c r="I37" s="32">
        <f>+ROUND(G37*E37,0)</f>
        <v>0</v>
      </c>
      <c r="J37" s="1289"/>
      <c r="K37" s="799">
        <v>0</v>
      </c>
      <c r="L37" s="685">
        <f t="shared" si="12"/>
        <v>0</v>
      </c>
      <c r="M37" s="684">
        <v>0</v>
      </c>
      <c r="N37" s="536">
        <f>K37</f>
        <v>0</v>
      </c>
      <c r="O37" s="685">
        <f>L37</f>
        <v>0</v>
      </c>
      <c r="P37" s="684">
        <v>0</v>
      </c>
    </row>
    <row r="38" spans="1:16" x14ac:dyDescent="0.3">
      <c r="A38" s="1289"/>
      <c r="B38" s="1289"/>
      <c r="C38" s="39"/>
      <c r="D38" s="39" t="s">
        <v>126</v>
      </c>
      <c r="E38" s="41"/>
      <c r="F38" s="41"/>
      <c r="G38" s="41"/>
      <c r="H38" s="42">
        <f>SUM(H36:H37)</f>
        <v>52233</v>
      </c>
      <c r="I38" s="42">
        <f>SUM(I36:I37)</f>
        <v>54897</v>
      </c>
      <c r="J38" s="1289"/>
      <c r="K38" s="41"/>
      <c r="L38" s="683">
        <f>SUM(L36:L37)</f>
        <v>0</v>
      </c>
      <c r="M38" s="1100">
        <f t="shared" si="2"/>
        <v>0</v>
      </c>
      <c r="N38" s="1108"/>
      <c r="O38" s="1112">
        <f>SUM(O36:O37)</f>
        <v>0</v>
      </c>
      <c r="P38" s="1100">
        <f t="shared" si="3"/>
        <v>0</v>
      </c>
    </row>
    <row r="39" spans="1:16" s="638" customFormat="1" ht="30" customHeight="1" x14ac:dyDescent="0.3">
      <c r="A39" s="1289" t="s">
        <v>331</v>
      </c>
      <c r="B39" s="1289" t="s">
        <v>217</v>
      </c>
      <c r="C39" s="843" t="s">
        <v>81</v>
      </c>
      <c r="D39" s="843" t="s">
        <v>218</v>
      </c>
      <c r="E39" s="843">
        <v>0</v>
      </c>
      <c r="F39" s="32">
        <v>1149124</v>
      </c>
      <c r="G39" s="32">
        <f t="shared" ref="G39:G41" si="13">+ROUND(F39*1.051,0)</f>
        <v>1207729</v>
      </c>
      <c r="H39" s="32">
        <f>ROUND((E39*F39),0)</f>
        <v>0</v>
      </c>
      <c r="I39" s="32">
        <f>+ROUND(G39*E39,0)</f>
        <v>0</v>
      </c>
      <c r="J39" s="1289" t="s">
        <v>1584</v>
      </c>
      <c r="K39" s="799">
        <v>0</v>
      </c>
      <c r="L39" s="685">
        <f t="shared" ref="L39:L41" si="14">ROUND(K39*G39,0)</f>
        <v>0</v>
      </c>
      <c r="M39" s="684">
        <v>0</v>
      </c>
      <c r="N39" s="536">
        <f>K39</f>
        <v>0</v>
      </c>
      <c r="O39" s="685">
        <f>L39</f>
        <v>0</v>
      </c>
      <c r="P39" s="684">
        <v>0</v>
      </c>
    </row>
    <row r="40" spans="1:16" s="638" customFormat="1" ht="28.8" x14ac:dyDescent="0.3">
      <c r="A40" s="1289"/>
      <c r="B40" s="1289"/>
      <c r="C40" s="843" t="s">
        <v>83</v>
      </c>
      <c r="D40" s="843" t="s">
        <v>219</v>
      </c>
      <c r="E40" s="843">
        <v>0</v>
      </c>
      <c r="F40" s="32">
        <v>2646468</v>
      </c>
      <c r="G40" s="32">
        <f t="shared" si="13"/>
        <v>2781438</v>
      </c>
      <c r="H40" s="32">
        <f>ROUND((E40*F40),0)</f>
        <v>0</v>
      </c>
      <c r="I40" s="32">
        <f>+ROUND(G40*E40,0)</f>
        <v>0</v>
      </c>
      <c r="J40" s="1289"/>
      <c r="K40" s="799">
        <v>0</v>
      </c>
      <c r="L40" s="685">
        <f t="shared" si="14"/>
        <v>0</v>
      </c>
      <c r="M40" s="684">
        <v>0</v>
      </c>
      <c r="N40" s="536">
        <f>K40</f>
        <v>0</v>
      </c>
      <c r="O40" s="685">
        <f t="shared" ref="O40:O41" si="15">L40</f>
        <v>0</v>
      </c>
      <c r="P40" s="684">
        <v>0</v>
      </c>
    </row>
    <row r="41" spans="1:16" s="638" customFormat="1" ht="28.8" x14ac:dyDescent="0.3">
      <c r="A41" s="1289"/>
      <c r="B41" s="1289"/>
      <c r="C41" s="843" t="s">
        <v>61</v>
      </c>
      <c r="D41" s="843" t="s">
        <v>220</v>
      </c>
      <c r="E41" s="843">
        <v>0.05</v>
      </c>
      <c r="F41" s="32">
        <v>3203618</v>
      </c>
      <c r="G41" s="32">
        <f t="shared" si="13"/>
        <v>3367003</v>
      </c>
      <c r="H41" s="32">
        <f>ROUND((E41*F41),0)</f>
        <v>160181</v>
      </c>
      <c r="I41" s="32">
        <f>+ROUND(G41*E41,0)</f>
        <v>168350</v>
      </c>
      <c r="J41" s="1289"/>
      <c r="K41" s="799">
        <v>0</v>
      </c>
      <c r="L41" s="685">
        <f t="shared" si="14"/>
        <v>0</v>
      </c>
      <c r="M41" s="684">
        <f t="shared" si="2"/>
        <v>0</v>
      </c>
      <c r="N41" s="536">
        <f>K41</f>
        <v>0</v>
      </c>
      <c r="O41" s="685">
        <f t="shared" si="15"/>
        <v>0</v>
      </c>
      <c r="P41" s="684">
        <f t="shared" si="3"/>
        <v>0</v>
      </c>
    </row>
    <row r="42" spans="1:16" s="638" customFormat="1" x14ac:dyDescent="0.3">
      <c r="A42" s="1289"/>
      <c r="B42" s="1289"/>
      <c r="C42" s="39"/>
      <c r="D42" s="39" t="s">
        <v>221</v>
      </c>
      <c r="E42" s="41"/>
      <c r="F42" s="41"/>
      <c r="G42" s="41"/>
      <c r="H42" s="42">
        <f>SUM(H39:H41)</f>
        <v>160181</v>
      </c>
      <c r="I42" s="42">
        <f>SUM(I39:I41)</f>
        <v>168350</v>
      </c>
      <c r="J42" s="1289"/>
      <c r="K42" s="40"/>
      <c r="L42" s="683">
        <f>SUM(L39:L41)</f>
        <v>0</v>
      </c>
      <c r="M42" s="1100">
        <f t="shared" si="2"/>
        <v>0</v>
      </c>
      <c r="N42" s="1108"/>
      <c r="O42" s="1112">
        <f>SUM(O39:O41)</f>
        <v>0</v>
      </c>
      <c r="P42" s="1100">
        <f t="shared" si="3"/>
        <v>0</v>
      </c>
    </row>
    <row r="43" spans="1:16" s="638" customFormat="1" ht="30" customHeight="1" x14ac:dyDescent="0.3">
      <c r="A43" s="1289" t="s">
        <v>331</v>
      </c>
      <c r="B43" s="1289" t="s">
        <v>170</v>
      </c>
      <c r="C43" s="843" t="s">
        <v>83</v>
      </c>
      <c r="D43" s="843" t="s">
        <v>123</v>
      </c>
      <c r="E43" s="843">
        <v>0.05</v>
      </c>
      <c r="F43" s="32">
        <v>1044658</v>
      </c>
      <c r="G43" s="32">
        <f>+ROUND(F43*1.051,0)</f>
        <v>1097936</v>
      </c>
      <c r="H43" s="32">
        <f>ROUND((E43*F43),0)</f>
        <v>52233</v>
      </c>
      <c r="I43" s="32">
        <f>+ROUND(G43*E43,0)</f>
        <v>54897</v>
      </c>
      <c r="J43" s="1289" t="s">
        <v>1878</v>
      </c>
      <c r="K43" s="799">
        <v>0</v>
      </c>
      <c r="L43" s="685">
        <f t="shared" ref="L43:L44" si="16">ROUND(K43*G43,0)</f>
        <v>0</v>
      </c>
      <c r="M43" s="684">
        <f t="shared" si="2"/>
        <v>0</v>
      </c>
      <c r="N43" s="536">
        <f>K43</f>
        <v>0</v>
      </c>
      <c r="O43" s="685">
        <f>L43</f>
        <v>0</v>
      </c>
      <c r="P43" s="684">
        <f t="shared" si="3"/>
        <v>0</v>
      </c>
    </row>
    <row r="44" spans="1:16" s="638" customFormat="1" ht="28.8" x14ac:dyDescent="0.3">
      <c r="A44" s="1289"/>
      <c r="B44" s="1289"/>
      <c r="C44" s="843" t="s">
        <v>61</v>
      </c>
      <c r="D44" s="843" t="s">
        <v>125</v>
      </c>
      <c r="E44" s="843">
        <v>0</v>
      </c>
      <c r="F44" s="32">
        <v>1009836</v>
      </c>
      <c r="G44" s="32">
        <f>+ROUND(F44*1.051,0)</f>
        <v>1061338</v>
      </c>
      <c r="H44" s="32">
        <f>ROUND((E44*F44),0)</f>
        <v>0</v>
      </c>
      <c r="I44" s="32">
        <f>+ROUND(G44*E44,0)</f>
        <v>0</v>
      </c>
      <c r="J44" s="1289"/>
      <c r="K44" s="799">
        <v>0</v>
      </c>
      <c r="L44" s="685">
        <f t="shared" si="16"/>
        <v>0</v>
      </c>
      <c r="M44" s="684">
        <v>0</v>
      </c>
      <c r="N44" s="536">
        <f>K44</f>
        <v>0</v>
      </c>
      <c r="O44" s="685">
        <f>L44</f>
        <v>0</v>
      </c>
      <c r="P44" s="684">
        <v>0</v>
      </c>
    </row>
    <row r="45" spans="1:16" s="638" customFormat="1" x14ac:dyDescent="0.3">
      <c r="A45" s="1289"/>
      <c r="B45" s="1289"/>
      <c r="C45" s="39"/>
      <c r="D45" s="39" t="s">
        <v>126</v>
      </c>
      <c r="E45" s="41"/>
      <c r="F45" s="41"/>
      <c r="G45" s="41"/>
      <c r="H45" s="42">
        <f>SUM(H43:H44)</f>
        <v>52233</v>
      </c>
      <c r="I45" s="42">
        <f>SUM(I43:I44)</f>
        <v>54897</v>
      </c>
      <c r="J45" s="1289"/>
      <c r="K45" s="41"/>
      <c r="L45" s="683">
        <f>SUM(L43:L44)</f>
        <v>0</v>
      </c>
      <c r="M45" s="1100">
        <f t="shared" si="2"/>
        <v>0</v>
      </c>
      <c r="N45" s="1108"/>
      <c r="O45" s="1112">
        <f>SUM(O43:O44)</f>
        <v>0</v>
      </c>
      <c r="P45" s="1100">
        <f t="shared" si="3"/>
        <v>0</v>
      </c>
    </row>
    <row r="46" spans="1:16" s="638" customFormat="1" ht="30" customHeight="1" x14ac:dyDescent="0.3">
      <c r="A46" s="1289" t="s">
        <v>331</v>
      </c>
      <c r="B46" s="1289" t="s">
        <v>217</v>
      </c>
      <c r="C46" s="843" t="s">
        <v>81</v>
      </c>
      <c r="D46" s="843" t="s">
        <v>218</v>
      </c>
      <c r="E46" s="843">
        <v>0</v>
      </c>
      <c r="F46" s="32">
        <v>1149124</v>
      </c>
      <c r="G46" s="32">
        <f t="shared" ref="G46:G48" si="17">+ROUND(F46*1.051,0)</f>
        <v>1207729</v>
      </c>
      <c r="H46" s="32">
        <f>ROUND((E46*F46),0)</f>
        <v>0</v>
      </c>
      <c r="I46" s="32">
        <f>+ROUND(G46*E46,0)</f>
        <v>0</v>
      </c>
      <c r="J46" s="1289" t="s">
        <v>1584</v>
      </c>
      <c r="K46" s="799">
        <v>0</v>
      </c>
      <c r="L46" s="685">
        <f t="shared" ref="L46:L48" si="18">ROUND(K46*G46,0)</f>
        <v>0</v>
      </c>
      <c r="M46" s="684">
        <v>0</v>
      </c>
      <c r="N46" s="536">
        <f>K46</f>
        <v>0</v>
      </c>
      <c r="O46" s="685">
        <f>L46</f>
        <v>0</v>
      </c>
      <c r="P46" s="684">
        <v>0</v>
      </c>
    </row>
    <row r="47" spans="1:16" s="638" customFormat="1" ht="28.8" x14ac:dyDescent="0.3">
      <c r="A47" s="1289"/>
      <c r="B47" s="1289"/>
      <c r="C47" s="843" t="s">
        <v>83</v>
      </c>
      <c r="D47" s="843" t="s">
        <v>219</v>
      </c>
      <c r="E47" s="843">
        <v>0</v>
      </c>
      <c r="F47" s="32">
        <v>2646468</v>
      </c>
      <c r="G47" s="32">
        <f t="shared" si="17"/>
        <v>2781438</v>
      </c>
      <c r="H47" s="32">
        <f>ROUND((E47*F47),0)</f>
        <v>0</v>
      </c>
      <c r="I47" s="32">
        <f>+ROUND(G47*E47,0)</f>
        <v>0</v>
      </c>
      <c r="J47" s="1289"/>
      <c r="K47" s="799">
        <v>0</v>
      </c>
      <c r="L47" s="685">
        <f t="shared" si="18"/>
        <v>0</v>
      </c>
      <c r="M47" s="684">
        <v>0</v>
      </c>
      <c r="N47" s="536">
        <f>K47</f>
        <v>0</v>
      </c>
      <c r="O47" s="685">
        <f t="shared" ref="O47:O48" si="19">L47</f>
        <v>0</v>
      </c>
      <c r="P47" s="684">
        <v>0</v>
      </c>
    </row>
    <row r="48" spans="1:16" s="638" customFormat="1" ht="28.8" x14ac:dyDescent="0.3">
      <c r="A48" s="1289"/>
      <c r="B48" s="1289"/>
      <c r="C48" s="843" t="s">
        <v>61</v>
      </c>
      <c r="D48" s="843" t="s">
        <v>220</v>
      </c>
      <c r="E48" s="843">
        <v>0.05</v>
      </c>
      <c r="F48" s="32">
        <v>3203618</v>
      </c>
      <c r="G48" s="32">
        <f t="shared" si="17"/>
        <v>3367003</v>
      </c>
      <c r="H48" s="32">
        <f>ROUND((E48*F48),0)</f>
        <v>160181</v>
      </c>
      <c r="I48" s="32">
        <f>+ROUND(G48*E48,0)</f>
        <v>168350</v>
      </c>
      <c r="J48" s="1289"/>
      <c r="K48" s="799">
        <v>0</v>
      </c>
      <c r="L48" s="685">
        <f t="shared" si="18"/>
        <v>0</v>
      </c>
      <c r="M48" s="684">
        <f t="shared" si="2"/>
        <v>0</v>
      </c>
      <c r="N48" s="536">
        <f>K48</f>
        <v>0</v>
      </c>
      <c r="O48" s="685">
        <f t="shared" si="19"/>
        <v>0</v>
      </c>
      <c r="P48" s="684">
        <f t="shared" si="3"/>
        <v>0</v>
      </c>
    </row>
    <row r="49" spans="1:16" s="638" customFormat="1" x14ac:dyDescent="0.3">
      <c r="A49" s="1289"/>
      <c r="B49" s="1289"/>
      <c r="C49" s="39"/>
      <c r="D49" s="39" t="s">
        <v>221</v>
      </c>
      <c r="E49" s="41"/>
      <c r="F49" s="41"/>
      <c r="G49" s="41"/>
      <c r="H49" s="42">
        <f>SUM(H46:H48)</f>
        <v>160181</v>
      </c>
      <c r="I49" s="42">
        <f>SUM(I46:I48)</f>
        <v>168350</v>
      </c>
      <c r="J49" s="1289"/>
      <c r="K49" s="40"/>
      <c r="L49" s="683">
        <f>SUM(L46:L48)</f>
        <v>0</v>
      </c>
      <c r="M49" s="1100">
        <f t="shared" si="2"/>
        <v>0</v>
      </c>
      <c r="N49" s="1108"/>
      <c r="O49" s="1112">
        <f>SUM(O46:O48)</f>
        <v>0</v>
      </c>
      <c r="P49" s="1100">
        <f t="shared" si="3"/>
        <v>0</v>
      </c>
    </row>
    <row r="50" spans="1:16" s="638" customFormat="1" ht="30" customHeight="1" x14ac:dyDescent="0.3">
      <c r="A50" s="1289" t="s">
        <v>331</v>
      </c>
      <c r="B50" s="1289" t="s">
        <v>170</v>
      </c>
      <c r="C50" s="843" t="s">
        <v>83</v>
      </c>
      <c r="D50" s="843" t="s">
        <v>123</v>
      </c>
      <c r="E50" s="843">
        <v>0.05</v>
      </c>
      <c r="F50" s="32">
        <v>1044658</v>
      </c>
      <c r="G50" s="32">
        <f t="shared" ref="G50:G51" si="20">+ROUND(F50*1.051,0)</f>
        <v>1097936</v>
      </c>
      <c r="H50" s="32">
        <f>ROUND((E50*F50),0)</f>
        <v>52233</v>
      </c>
      <c r="I50" s="32">
        <f>+ROUND(G50*E50,0)</f>
        <v>54897</v>
      </c>
      <c r="J50" s="1289" t="s">
        <v>1878</v>
      </c>
      <c r="K50" s="799">
        <v>0</v>
      </c>
      <c r="L50" s="685">
        <f t="shared" ref="L50:L51" si="21">ROUND(K50*G50,0)</f>
        <v>0</v>
      </c>
      <c r="M50" s="684">
        <f t="shared" si="2"/>
        <v>0</v>
      </c>
      <c r="N50" s="536">
        <f>K50</f>
        <v>0</v>
      </c>
      <c r="O50" s="685">
        <f>L50</f>
        <v>0</v>
      </c>
      <c r="P50" s="684">
        <f t="shared" si="3"/>
        <v>0</v>
      </c>
    </row>
    <row r="51" spans="1:16" s="638" customFormat="1" ht="28.8" x14ac:dyDescent="0.3">
      <c r="A51" s="1289"/>
      <c r="B51" s="1289"/>
      <c r="C51" s="843" t="s">
        <v>61</v>
      </c>
      <c r="D51" s="843" t="s">
        <v>125</v>
      </c>
      <c r="E51" s="843">
        <v>0</v>
      </c>
      <c r="F51" s="32">
        <v>1009836</v>
      </c>
      <c r="G51" s="32">
        <f t="shared" si="20"/>
        <v>1061338</v>
      </c>
      <c r="H51" s="32">
        <f>ROUND((E51*F51),0)</f>
        <v>0</v>
      </c>
      <c r="I51" s="32">
        <f>+ROUND(G51*E51,0)</f>
        <v>0</v>
      </c>
      <c r="J51" s="1289"/>
      <c r="K51" s="799">
        <v>0</v>
      </c>
      <c r="L51" s="685">
        <f t="shared" si="21"/>
        <v>0</v>
      </c>
      <c r="M51" s="684">
        <v>0</v>
      </c>
      <c r="N51" s="536">
        <f>K51</f>
        <v>0</v>
      </c>
      <c r="O51" s="685">
        <f>L51</f>
        <v>0</v>
      </c>
      <c r="P51" s="684">
        <v>0</v>
      </c>
    </row>
    <row r="52" spans="1:16" s="638" customFormat="1" x14ac:dyDescent="0.3">
      <c r="A52" s="1289"/>
      <c r="B52" s="1289"/>
      <c r="C52" s="39"/>
      <c r="D52" s="39" t="s">
        <v>126</v>
      </c>
      <c r="E52" s="41"/>
      <c r="F52" s="41"/>
      <c r="G52" s="41"/>
      <c r="H52" s="42">
        <f>SUM(H50:H51)</f>
        <v>52233</v>
      </c>
      <c r="I52" s="42">
        <f>SUM(I50:I51)</f>
        <v>54897</v>
      </c>
      <c r="J52" s="1289"/>
      <c r="K52" s="41"/>
      <c r="L52" s="683">
        <f>SUM(L50:L51)</f>
        <v>0</v>
      </c>
      <c r="M52" s="1100">
        <f t="shared" si="2"/>
        <v>0</v>
      </c>
      <c r="N52" s="1108"/>
      <c r="O52" s="1112">
        <f>SUM(O50:O51)</f>
        <v>0</v>
      </c>
      <c r="P52" s="1100">
        <f t="shared" si="3"/>
        <v>0</v>
      </c>
    </row>
    <row r="53" spans="1:16" x14ac:dyDescent="0.3">
      <c r="A53" s="638"/>
      <c r="B53" s="638"/>
      <c r="C53" s="638"/>
      <c r="D53" s="638"/>
      <c r="E53" s="638"/>
      <c r="F53" s="686" t="s">
        <v>1740</v>
      </c>
      <c r="G53" s="686"/>
      <c r="H53" s="687">
        <f>H17+H21+H24+H28+H31+H35+H38+H42+H45+H49+H52</f>
        <v>1189170</v>
      </c>
      <c r="I53" s="687">
        <f>I17+I21+I24+I28+I31+I35+I38+I42+I45+I49+I52</f>
        <v>1249817</v>
      </c>
      <c r="J53" s="638"/>
      <c r="K53" s="547" t="s">
        <v>64</v>
      </c>
      <c r="L53" s="688">
        <f>SUM(L14:L52)/2</f>
        <v>0</v>
      </c>
      <c r="M53" s="638"/>
      <c r="N53" s="547" t="s">
        <v>64</v>
      </c>
      <c r="O53" s="688">
        <f>SUM(O14:O52)/2</f>
        <v>0</v>
      </c>
      <c r="P53" s="638"/>
    </row>
    <row r="54" spans="1:16" x14ac:dyDescent="0.3">
      <c r="A54" s="638"/>
      <c r="B54" s="638"/>
      <c r="C54" s="638"/>
      <c r="D54" s="638"/>
      <c r="E54" s="638"/>
      <c r="F54" s="444" t="s">
        <v>65</v>
      </c>
      <c r="G54" s="444"/>
      <c r="H54" s="181">
        <v>0</v>
      </c>
      <c r="I54" s="181">
        <v>0</v>
      </c>
      <c r="J54" s="638"/>
      <c r="K54" s="548" t="s">
        <v>65</v>
      </c>
      <c r="L54" s="481"/>
      <c r="M54" s="638"/>
      <c r="N54" s="548" t="s">
        <v>65</v>
      </c>
      <c r="O54" s="481"/>
      <c r="P54" s="638"/>
    </row>
    <row r="55" spans="1:16" x14ac:dyDescent="0.3">
      <c r="A55" s="638"/>
      <c r="B55" s="638"/>
      <c r="C55" s="638"/>
      <c r="D55" s="638"/>
      <c r="E55" s="638"/>
      <c r="F55" s="443" t="s">
        <v>1740</v>
      </c>
      <c r="G55" s="443"/>
      <c r="H55" s="340">
        <f>+H54+H53</f>
        <v>1189170</v>
      </c>
      <c r="I55" s="340">
        <f>+I54+I53</f>
        <v>1249817</v>
      </c>
      <c r="J55" s="638"/>
      <c r="K55" s="549" t="s">
        <v>64</v>
      </c>
      <c r="L55" s="481">
        <f>L53+L54</f>
        <v>0</v>
      </c>
      <c r="M55" s="638"/>
      <c r="N55" s="549" t="s">
        <v>64</v>
      </c>
      <c r="O55" s="481">
        <f>O53+O54</f>
        <v>0</v>
      </c>
      <c r="P55" s="638"/>
    </row>
    <row r="56" spans="1:16" ht="26.4" x14ac:dyDescent="0.3">
      <c r="A56" s="638"/>
      <c r="B56" s="638"/>
      <c r="C56" s="638"/>
      <c r="D56" s="638"/>
      <c r="E56" s="638"/>
      <c r="F56" s="659"/>
      <c r="G56" s="659"/>
      <c r="H56" s="659"/>
      <c r="I56" s="659"/>
      <c r="J56" s="638"/>
      <c r="K56" s="501" t="s">
        <v>1439</v>
      </c>
      <c r="L56" s="481">
        <f>ROUND(L55*0.015,0)</f>
        <v>0</v>
      </c>
      <c r="M56" s="638"/>
      <c r="N56" s="501" t="s">
        <v>1439</v>
      </c>
      <c r="O56" s="481">
        <f>+L56</f>
        <v>0</v>
      </c>
      <c r="P56" s="638"/>
    </row>
    <row r="57" spans="1:16" ht="26.4" x14ac:dyDescent="0.3">
      <c r="A57" s="638"/>
      <c r="B57" s="638"/>
      <c r="C57" s="638"/>
      <c r="D57" s="638"/>
      <c r="E57" s="638"/>
      <c r="F57" s="659"/>
      <c r="G57" s="659"/>
      <c r="H57" s="659"/>
      <c r="I57" s="659"/>
      <c r="J57" s="638"/>
      <c r="K57" s="96" t="s">
        <v>1440</v>
      </c>
      <c r="L57" s="425">
        <f>L55+L56</f>
        <v>0</v>
      </c>
      <c r="M57" s="678">
        <f>L57/H53</f>
        <v>0</v>
      </c>
      <c r="N57" s="96" t="s">
        <v>1440</v>
      </c>
      <c r="O57" s="425">
        <f>O55+O56</f>
        <v>0</v>
      </c>
      <c r="P57" s="678">
        <f>O57/H53</f>
        <v>0</v>
      </c>
    </row>
    <row r="58" spans="1:16" x14ac:dyDescent="0.3">
      <c r="A58" s="638"/>
      <c r="B58" s="638"/>
      <c r="C58" s="638"/>
      <c r="D58" s="638"/>
      <c r="E58" s="638"/>
      <c r="F58" s="442" t="s">
        <v>66</v>
      </c>
      <c r="G58" s="442"/>
      <c r="H58" s="181">
        <f>+H53*19%</f>
        <v>225942.3</v>
      </c>
      <c r="I58" s="181">
        <f>+I53*19%</f>
        <v>237465.23</v>
      </c>
      <c r="J58" s="638"/>
      <c r="K58" s="551" t="s">
        <v>66</v>
      </c>
      <c r="L58" s="672">
        <f>L57*0.19</f>
        <v>0</v>
      </c>
      <c r="M58" s="638"/>
      <c r="N58" s="551" t="s">
        <v>66</v>
      </c>
      <c r="O58" s="672">
        <f>O57*0.19</f>
        <v>0</v>
      </c>
      <c r="P58" s="638"/>
    </row>
    <row r="59" spans="1:16" x14ac:dyDescent="0.3">
      <c r="A59" s="638"/>
      <c r="B59" s="638"/>
      <c r="C59" s="638"/>
      <c r="D59" s="638"/>
      <c r="E59" s="638"/>
      <c r="F59" s="441" t="s">
        <v>69</v>
      </c>
      <c r="G59" s="441"/>
      <c r="H59" s="181">
        <f>+H53+H58</f>
        <v>1415112.3</v>
      </c>
      <c r="I59" s="181">
        <f>+I53+I58</f>
        <v>1487282.23</v>
      </c>
      <c r="J59" s="638"/>
      <c r="K59" s="552" t="s">
        <v>69</v>
      </c>
      <c r="L59" s="672">
        <f>L57+L58</f>
        <v>0</v>
      </c>
      <c r="M59" s="638"/>
      <c r="N59" s="552" t="s">
        <v>69</v>
      </c>
      <c r="O59" s="672">
        <f>O57+O58</f>
        <v>0</v>
      </c>
      <c r="P59" s="638"/>
    </row>
    <row r="60" spans="1:16" x14ac:dyDescent="0.3">
      <c r="A60" s="638"/>
      <c r="B60" s="638"/>
      <c r="C60" s="638"/>
      <c r="D60" s="638"/>
      <c r="E60" s="638"/>
      <c r="F60" s="638"/>
      <c r="H60" s="638"/>
      <c r="J60" s="638"/>
      <c r="K60" s="638"/>
      <c r="L60" s="638"/>
      <c r="M60" s="638"/>
      <c r="N60" s="638"/>
      <c r="O60" s="638"/>
      <c r="P60" s="638"/>
    </row>
    <row r="61" spans="1:16" x14ac:dyDescent="0.3">
      <c r="A61" s="665" t="s">
        <v>67</v>
      </c>
      <c r="B61" s="184"/>
      <c r="C61" s="184"/>
      <c r="D61" s="185" t="s">
        <v>68</v>
      </c>
      <c r="E61" s="638"/>
      <c r="F61" s="638"/>
      <c r="H61" s="638"/>
      <c r="J61" s="638"/>
      <c r="K61" s="186" t="s">
        <v>70</v>
      </c>
      <c r="L61" s="187" t="s">
        <v>71</v>
      </c>
      <c r="M61" s="186" t="s">
        <v>58</v>
      </c>
      <c r="N61" s="638"/>
      <c r="O61" s="638"/>
      <c r="P61" s="638"/>
    </row>
    <row r="62" spans="1:16" x14ac:dyDescent="0.3">
      <c r="A62" s="665"/>
      <c r="B62" s="184"/>
      <c r="C62" s="184"/>
      <c r="D62" s="185"/>
      <c r="E62" s="638"/>
      <c r="F62" s="638"/>
      <c r="H62" s="638"/>
      <c r="J62" s="638"/>
      <c r="K62" s="69" t="s">
        <v>72</v>
      </c>
      <c r="L62" s="70">
        <f>L57</f>
        <v>0</v>
      </c>
      <c r="M62" s="360">
        <f>M57</f>
        <v>0</v>
      </c>
      <c r="N62" s="638"/>
      <c r="O62" s="638"/>
      <c r="P62" s="638"/>
    </row>
    <row r="63" spans="1:16" x14ac:dyDescent="0.3">
      <c r="A63" s="665"/>
      <c r="B63" s="184"/>
      <c r="C63" s="184"/>
      <c r="D63" s="185"/>
      <c r="E63" s="638"/>
      <c r="F63" s="638"/>
      <c r="H63" s="638"/>
      <c r="J63" s="638"/>
      <c r="K63" s="72" t="s">
        <v>1</v>
      </c>
      <c r="L63" s="105">
        <f>L62</f>
        <v>0</v>
      </c>
      <c r="M63" s="361">
        <f>M62</f>
        <v>0</v>
      </c>
      <c r="N63" s="638"/>
      <c r="O63" s="638"/>
      <c r="P63" s="638"/>
    </row>
    <row r="64" spans="1:16" x14ac:dyDescent="0.3">
      <c r="A64" s="665"/>
      <c r="B64" s="184"/>
      <c r="C64" s="184"/>
      <c r="D64" s="185"/>
      <c r="E64" s="638"/>
      <c r="F64" s="638"/>
      <c r="H64" s="638"/>
      <c r="J64" s="638"/>
      <c r="K64" s="72" t="s">
        <v>9</v>
      </c>
      <c r="L64" s="1423"/>
      <c r="M64" s="1424"/>
      <c r="N64" s="638"/>
      <c r="O64" s="638"/>
      <c r="P64" s="638"/>
    </row>
    <row r="65" spans="1:16" x14ac:dyDescent="0.3">
      <c r="A65" s="665"/>
      <c r="B65" s="184"/>
      <c r="C65" s="184"/>
      <c r="D65" s="185"/>
      <c r="E65" s="638"/>
      <c r="F65" s="638"/>
      <c r="H65" s="638"/>
      <c r="J65" s="638"/>
      <c r="K65" s="440" t="s">
        <v>78</v>
      </c>
      <c r="L65" s="1423" t="s">
        <v>310</v>
      </c>
      <c r="M65" s="1424"/>
      <c r="N65" s="638"/>
      <c r="O65" s="638"/>
      <c r="P65" s="638"/>
    </row>
    <row r="66" spans="1:16" x14ac:dyDescent="0.3">
      <c r="A66" s="665"/>
      <c r="B66" s="184"/>
      <c r="C66" s="184"/>
      <c r="D66" s="185"/>
      <c r="E66" s="638"/>
      <c r="F66" s="638"/>
      <c r="H66" s="638"/>
      <c r="J66" s="638"/>
      <c r="K66" s="439" t="s">
        <v>8</v>
      </c>
      <c r="L66" s="1425" t="s">
        <v>311</v>
      </c>
      <c r="M66" s="1426"/>
      <c r="N66" s="638"/>
      <c r="O66" s="638"/>
      <c r="P66" s="638"/>
    </row>
    <row r="67" spans="1:16" x14ac:dyDescent="0.3">
      <c r="A67" s="665"/>
      <c r="B67" s="184"/>
      <c r="C67" s="184"/>
      <c r="D67" s="185" t="s">
        <v>75</v>
      </c>
      <c r="E67" s="638"/>
      <c r="F67" s="638"/>
      <c r="H67" s="638"/>
      <c r="J67" s="638"/>
      <c r="K67" s="638"/>
      <c r="L67" s="638"/>
      <c r="M67" s="638"/>
      <c r="N67" s="638"/>
      <c r="O67" s="638"/>
      <c r="P67" s="638"/>
    </row>
    <row r="68" spans="1:16" x14ac:dyDescent="0.3">
      <c r="A68" s="665" t="s">
        <v>76</v>
      </c>
      <c r="B68" s="180"/>
      <c r="C68" s="180"/>
      <c r="D68" s="185" t="s">
        <v>77</v>
      </c>
      <c r="E68" s="638"/>
      <c r="F68" s="638"/>
      <c r="H68" s="638"/>
      <c r="J68" s="638"/>
      <c r="K68" s="638"/>
      <c r="L68" s="638"/>
      <c r="M68" s="638"/>
      <c r="N68" s="638"/>
      <c r="O68" s="638"/>
      <c r="P68" s="638"/>
    </row>
    <row r="69" spans="1:16" ht="26.4" x14ac:dyDescent="0.3">
      <c r="A69" s="665" t="s">
        <v>79</v>
      </c>
      <c r="B69" s="180"/>
      <c r="C69" s="180"/>
      <c r="D69" s="185" t="s">
        <v>80</v>
      </c>
      <c r="E69" s="638"/>
      <c r="F69" s="638"/>
      <c r="H69" s="638"/>
      <c r="J69" s="638"/>
      <c r="K69" s="638"/>
      <c r="L69" s="638"/>
      <c r="M69" s="638"/>
      <c r="N69" s="638"/>
      <c r="O69" s="638"/>
      <c r="P69" s="638"/>
    </row>
  </sheetData>
  <mergeCells count="51">
    <mergeCell ref="A10:P10"/>
    <mergeCell ref="B11:J11"/>
    <mergeCell ref="A7:P7"/>
    <mergeCell ref="K11:M12"/>
    <mergeCell ref="N11:P12"/>
    <mergeCell ref="B12:J12"/>
    <mergeCell ref="C1:M2"/>
    <mergeCell ref="N1:P1"/>
    <mergeCell ref="N2:P2"/>
    <mergeCell ref="A8:P8"/>
    <mergeCell ref="A9:P9"/>
    <mergeCell ref="A3:P3"/>
    <mergeCell ref="A4:P4"/>
    <mergeCell ref="A5:P5"/>
    <mergeCell ref="A6:P6"/>
    <mergeCell ref="A14:A17"/>
    <mergeCell ref="B14:B17"/>
    <mergeCell ref="J14:J17"/>
    <mergeCell ref="L64:M64"/>
    <mergeCell ref="L65:M65"/>
    <mergeCell ref="A18:A21"/>
    <mergeCell ref="B18:B21"/>
    <mergeCell ref="J18:J21"/>
    <mergeCell ref="A39:A42"/>
    <mergeCell ref="B39:B42"/>
    <mergeCell ref="J39:J42"/>
    <mergeCell ref="A43:A45"/>
    <mergeCell ref="B43:B45"/>
    <mergeCell ref="J43:J45"/>
    <mergeCell ref="A46:A49"/>
    <mergeCell ref="B46:B49"/>
    <mergeCell ref="A36:A38"/>
    <mergeCell ref="B36:B38"/>
    <mergeCell ref="J36:J38"/>
    <mergeCell ref="J25:J28"/>
    <mergeCell ref="A29:A31"/>
    <mergeCell ref="B29:B31"/>
    <mergeCell ref="J29:J31"/>
    <mergeCell ref="A32:A35"/>
    <mergeCell ref="B32:B35"/>
    <mergeCell ref="J32:J35"/>
    <mergeCell ref="A22:A24"/>
    <mergeCell ref="B22:B24"/>
    <mergeCell ref="J22:J24"/>
    <mergeCell ref="A25:A28"/>
    <mergeCell ref="B25:B28"/>
    <mergeCell ref="J46:J49"/>
    <mergeCell ref="A50:A52"/>
    <mergeCell ref="B50:B52"/>
    <mergeCell ref="J50:J52"/>
    <mergeCell ref="L66:M66"/>
  </mergeCells>
  <pageMargins left="0.7" right="0.7" top="0.75" bottom="0.75" header="0.3" footer="0.3"/>
  <drawing r:id="rId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1">
    <tabColor rgb="FF92D050"/>
  </sheetPr>
  <dimension ref="A1:N61"/>
  <sheetViews>
    <sheetView topLeftCell="A37" zoomScale="70" zoomScaleNormal="70" workbookViewId="0">
      <selection activeCell="I20" sqref="I20"/>
    </sheetView>
  </sheetViews>
  <sheetFormatPr baseColWidth="10" defaultRowHeight="14.4" x14ac:dyDescent="0.3"/>
  <cols>
    <col min="1" max="1" width="29" customWidth="1"/>
    <col min="2" max="2" width="19.88671875" customWidth="1"/>
    <col min="3" max="3" width="24.44140625" customWidth="1"/>
    <col min="4" max="4" width="31" customWidth="1"/>
    <col min="7" max="7" width="12.88671875" bestFit="1" customWidth="1"/>
    <col min="8" max="8" width="34.33203125" customWidth="1"/>
    <col min="10" max="10" width="15.5546875" bestFit="1" customWidth="1"/>
    <col min="13" max="13" width="12.88671875" bestFit="1"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1879</v>
      </c>
      <c r="B10" s="1292"/>
      <c r="C10" s="1292"/>
      <c r="D10" s="1292"/>
      <c r="E10" s="1292"/>
      <c r="F10" s="1292"/>
      <c r="G10" s="1292"/>
      <c r="H10" s="1292"/>
      <c r="I10" s="1292"/>
      <c r="J10" s="1292"/>
      <c r="K10" s="1292"/>
      <c r="L10" s="1292"/>
      <c r="M10" s="1292"/>
      <c r="N10" s="1292"/>
    </row>
    <row r="11" spans="1:14" x14ac:dyDescent="0.3">
      <c r="A11" s="637"/>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45" customHeight="1" x14ac:dyDescent="0.3">
      <c r="A14" s="1510" t="s">
        <v>227</v>
      </c>
      <c r="B14" s="1510" t="s">
        <v>217</v>
      </c>
      <c r="C14" s="645" t="s">
        <v>81</v>
      </c>
      <c r="D14" s="645" t="s">
        <v>218</v>
      </c>
      <c r="E14" s="645">
        <v>0</v>
      </c>
      <c r="F14" s="646">
        <v>1149124</v>
      </c>
      <c r="G14" s="646">
        <f>ROUND((E14*F14),0)</f>
        <v>0</v>
      </c>
      <c r="H14" s="1514" t="s">
        <v>1582</v>
      </c>
      <c r="I14" s="536">
        <v>0</v>
      </c>
      <c r="J14" s="685">
        <f>ROUND(I14*F14,0)</f>
        <v>0</v>
      </c>
      <c r="K14" s="684">
        <v>0</v>
      </c>
      <c r="L14" s="536">
        <f>I14</f>
        <v>0</v>
      </c>
      <c r="M14" s="685">
        <f>J14</f>
        <v>0</v>
      </c>
      <c r="N14" s="684">
        <v>0</v>
      </c>
    </row>
    <row r="15" spans="1:14" ht="43.2" x14ac:dyDescent="0.3">
      <c r="A15" s="1510"/>
      <c r="B15" s="1510"/>
      <c r="C15" s="645" t="s">
        <v>83</v>
      </c>
      <c r="D15" s="645" t="s">
        <v>219</v>
      </c>
      <c r="E15" s="645">
        <v>0</v>
      </c>
      <c r="F15" s="646">
        <v>2646468</v>
      </c>
      <c r="G15" s="646">
        <f>ROUND((E15*F15),0)</f>
        <v>0</v>
      </c>
      <c r="H15" s="1510"/>
      <c r="I15" s="536">
        <v>0</v>
      </c>
      <c r="J15" s="685">
        <f>ROUND(I15*F15,0)</f>
        <v>0</v>
      </c>
      <c r="K15" s="684">
        <v>0</v>
      </c>
      <c r="L15" s="536">
        <f>I15</f>
        <v>0</v>
      </c>
      <c r="M15" s="685">
        <f t="shared" ref="M15:M16" si="0">J15</f>
        <v>0</v>
      </c>
      <c r="N15" s="684">
        <v>0</v>
      </c>
    </row>
    <row r="16" spans="1:14" ht="43.2" x14ac:dyDescent="0.3">
      <c r="A16" s="1510"/>
      <c r="B16" s="1510"/>
      <c r="C16" s="645" t="s">
        <v>61</v>
      </c>
      <c r="D16" s="645" t="s">
        <v>220</v>
      </c>
      <c r="E16" s="645">
        <v>0.05</v>
      </c>
      <c r="F16" s="646">
        <v>3203618</v>
      </c>
      <c r="G16" s="646">
        <f>ROUND((E16*F16),0)</f>
        <v>160181</v>
      </c>
      <c r="H16" s="1510"/>
      <c r="I16" s="536">
        <v>0.05</v>
      </c>
      <c r="J16" s="685">
        <f>ROUND(I16*F16,0)</f>
        <v>160181</v>
      </c>
      <c r="K16" s="684">
        <f t="shared" ref="K16:K24" si="1">J16/G16</f>
        <v>1</v>
      </c>
      <c r="L16" s="536">
        <f>I16</f>
        <v>0.05</v>
      </c>
      <c r="M16" s="685">
        <f t="shared" si="0"/>
        <v>160181</v>
      </c>
      <c r="N16" s="684">
        <f t="shared" ref="N16:N24" si="2">M16/G16</f>
        <v>1</v>
      </c>
    </row>
    <row r="17" spans="1:14" x14ac:dyDescent="0.3">
      <c r="A17" s="1510"/>
      <c r="B17" s="1510"/>
      <c r="C17" s="647"/>
      <c r="D17" s="647" t="s">
        <v>221</v>
      </c>
      <c r="E17" s="648"/>
      <c r="F17" s="648"/>
      <c r="G17" s="649">
        <f>SUM(G14:G16)</f>
        <v>160181</v>
      </c>
      <c r="H17" s="1510"/>
      <c r="I17" s="40"/>
      <c r="J17" s="683">
        <f>SUM(J14:J16)</f>
        <v>160181</v>
      </c>
      <c r="K17" s="519">
        <f t="shared" si="1"/>
        <v>1</v>
      </c>
      <c r="L17" s="40"/>
      <c r="M17" s="683">
        <f>SUM(M14:M16)</f>
        <v>160181</v>
      </c>
      <c r="N17" s="519">
        <f t="shared" si="2"/>
        <v>1</v>
      </c>
    </row>
    <row r="18" spans="1:14" ht="45" customHeight="1" x14ac:dyDescent="0.3">
      <c r="A18" s="1510" t="s">
        <v>227</v>
      </c>
      <c r="B18" s="1510" t="s">
        <v>165</v>
      </c>
      <c r="C18" s="645" t="s">
        <v>81</v>
      </c>
      <c r="D18" s="645" t="s">
        <v>166</v>
      </c>
      <c r="E18" s="645">
        <v>0.05</v>
      </c>
      <c r="F18" s="646">
        <v>1149124</v>
      </c>
      <c r="G18" s="646">
        <f>ROUND((E18*F18),0)</f>
        <v>57456</v>
      </c>
      <c r="H18" s="1514" t="s">
        <v>1881</v>
      </c>
      <c r="I18" s="536">
        <v>0.05</v>
      </c>
      <c r="J18" s="685">
        <f>ROUND(I18*F18,0)</f>
        <v>57456</v>
      </c>
      <c r="K18" s="684">
        <f t="shared" si="1"/>
        <v>1</v>
      </c>
      <c r="L18" s="536">
        <f>I18</f>
        <v>0.05</v>
      </c>
      <c r="M18" s="685">
        <f>J18</f>
        <v>57456</v>
      </c>
      <c r="N18" s="684">
        <f t="shared" si="2"/>
        <v>1</v>
      </c>
    </row>
    <row r="19" spans="1:14" ht="43.2" x14ac:dyDescent="0.3">
      <c r="A19" s="1510"/>
      <c r="B19" s="1510"/>
      <c r="C19" s="645" t="s">
        <v>83</v>
      </c>
      <c r="D19" s="645" t="s">
        <v>167</v>
      </c>
      <c r="E19" s="645">
        <v>0.05</v>
      </c>
      <c r="F19" s="646">
        <v>2646468</v>
      </c>
      <c r="G19" s="646">
        <f>ROUND((E19*F19),0)</f>
        <v>132323</v>
      </c>
      <c r="H19" s="1510"/>
      <c r="I19" s="536">
        <v>0.05</v>
      </c>
      <c r="J19" s="685">
        <f>ROUND(I19*F19,0)</f>
        <v>132323</v>
      </c>
      <c r="K19" s="684">
        <f t="shared" si="1"/>
        <v>1</v>
      </c>
      <c r="L19" s="536">
        <f>I19</f>
        <v>0.05</v>
      </c>
      <c r="M19" s="685">
        <f t="shared" ref="M19:M20" si="3">J19</f>
        <v>132323</v>
      </c>
      <c r="N19" s="684">
        <f t="shared" si="2"/>
        <v>1</v>
      </c>
    </row>
    <row r="20" spans="1:14" ht="43.2" x14ac:dyDescent="0.3">
      <c r="A20" s="1510"/>
      <c r="B20" s="1510"/>
      <c r="C20" s="645" t="s">
        <v>61</v>
      </c>
      <c r="D20" s="645" t="s">
        <v>168</v>
      </c>
      <c r="E20" s="645">
        <v>0.05</v>
      </c>
      <c r="F20" s="646">
        <v>2542001</v>
      </c>
      <c r="G20" s="646">
        <f>ROUND((E20*F20),0)</f>
        <v>127100</v>
      </c>
      <c r="H20" s="1510"/>
      <c r="I20" s="536">
        <v>0.05</v>
      </c>
      <c r="J20" s="685">
        <f>ROUND(I20*F20,0)</f>
        <v>127100</v>
      </c>
      <c r="K20" s="684">
        <f t="shared" si="1"/>
        <v>1</v>
      </c>
      <c r="L20" s="536">
        <f>I20</f>
        <v>0.05</v>
      </c>
      <c r="M20" s="685">
        <f t="shared" si="3"/>
        <v>127100</v>
      </c>
      <c r="N20" s="684">
        <f t="shared" si="2"/>
        <v>1</v>
      </c>
    </row>
    <row r="21" spans="1:14" x14ac:dyDescent="0.3">
      <c r="A21" s="1510"/>
      <c r="B21" s="1510"/>
      <c r="C21" s="647"/>
      <c r="D21" s="647" t="s">
        <v>169</v>
      </c>
      <c r="E21" s="648"/>
      <c r="F21" s="648"/>
      <c r="G21" s="649">
        <f>SUM(G18:G20)</f>
        <v>316879</v>
      </c>
      <c r="H21" s="1510"/>
      <c r="I21" s="40"/>
      <c r="J21" s="683">
        <f>SUM(J18:J20)</f>
        <v>316879</v>
      </c>
      <c r="K21" s="519">
        <f t="shared" si="1"/>
        <v>1</v>
      </c>
      <c r="L21" s="40"/>
      <c r="M21" s="683">
        <f>SUM(M18:M20)</f>
        <v>316879</v>
      </c>
      <c r="N21" s="519">
        <f t="shared" si="2"/>
        <v>1</v>
      </c>
    </row>
    <row r="22" spans="1:14" ht="45" customHeight="1" x14ac:dyDescent="0.3">
      <c r="A22" s="1510" t="s">
        <v>227</v>
      </c>
      <c r="B22" s="1510" t="s">
        <v>170</v>
      </c>
      <c r="C22" s="645" t="s">
        <v>83</v>
      </c>
      <c r="D22" s="645" t="s">
        <v>123</v>
      </c>
      <c r="E22" s="645">
        <v>0.05</v>
      </c>
      <c r="F22" s="646">
        <v>1044658</v>
      </c>
      <c r="G22" s="646">
        <f>ROUND((E22*F22),0)</f>
        <v>52233</v>
      </c>
      <c r="H22" s="1510" t="s">
        <v>1882</v>
      </c>
      <c r="I22" s="536">
        <v>0.05</v>
      </c>
      <c r="J22" s="685">
        <f>ROUND(I22*F22,0)</f>
        <v>52233</v>
      </c>
      <c r="K22" s="684">
        <f t="shared" si="1"/>
        <v>1</v>
      </c>
      <c r="L22" s="536">
        <f>I22</f>
        <v>0.05</v>
      </c>
      <c r="M22" s="685">
        <f>J22</f>
        <v>52233</v>
      </c>
      <c r="N22" s="684">
        <f t="shared" si="2"/>
        <v>1</v>
      </c>
    </row>
    <row r="23" spans="1:14" ht="90" customHeight="1" x14ac:dyDescent="0.3">
      <c r="A23" s="1510"/>
      <c r="B23" s="1510"/>
      <c r="C23" s="645" t="s">
        <v>61</v>
      </c>
      <c r="D23" s="645" t="s">
        <v>125</v>
      </c>
      <c r="E23" s="645">
        <v>0.05</v>
      </c>
      <c r="F23" s="646">
        <v>1009836</v>
      </c>
      <c r="G23" s="646">
        <f>ROUND((E23*F23),0)</f>
        <v>50492</v>
      </c>
      <c r="H23" s="1510"/>
      <c r="I23" s="536">
        <v>0.05</v>
      </c>
      <c r="J23" s="685">
        <f>ROUND(I23*F23,0)</f>
        <v>50492</v>
      </c>
      <c r="K23" s="684">
        <f t="shared" si="1"/>
        <v>1</v>
      </c>
      <c r="L23" s="536">
        <f>I23</f>
        <v>0.05</v>
      </c>
      <c r="M23" s="685">
        <f>J23</f>
        <v>50492</v>
      </c>
      <c r="N23" s="684">
        <f t="shared" si="2"/>
        <v>1</v>
      </c>
    </row>
    <row r="24" spans="1:14" x14ac:dyDescent="0.3">
      <c r="A24" s="1510"/>
      <c r="B24" s="1510"/>
      <c r="C24" s="647"/>
      <c r="D24" s="647" t="s">
        <v>126</v>
      </c>
      <c r="E24" s="648"/>
      <c r="F24" s="648"/>
      <c r="G24" s="649">
        <f>SUM(G22:G23)</f>
        <v>102725</v>
      </c>
      <c r="H24" s="1510"/>
      <c r="I24" s="41"/>
      <c r="J24" s="683">
        <f>SUM(J22:J23)</f>
        <v>102725</v>
      </c>
      <c r="K24" s="519">
        <f t="shared" si="1"/>
        <v>1</v>
      </c>
      <c r="L24" s="40"/>
      <c r="M24" s="683">
        <f>SUM(M22:M23)</f>
        <v>102725</v>
      </c>
      <c r="N24" s="519">
        <f t="shared" si="2"/>
        <v>1</v>
      </c>
    </row>
    <row r="25" spans="1:14" ht="45" customHeight="1" x14ac:dyDescent="0.3">
      <c r="A25" s="1510" t="s">
        <v>1734</v>
      </c>
      <c r="B25" s="1510" t="s">
        <v>217</v>
      </c>
      <c r="C25" s="645" t="s">
        <v>81</v>
      </c>
      <c r="D25" s="645" t="s">
        <v>218</v>
      </c>
      <c r="E25" s="645">
        <v>0</v>
      </c>
      <c r="F25" s="646">
        <v>1149124</v>
      </c>
      <c r="G25" s="646">
        <f>ROUND((E25*F25),0)</f>
        <v>0</v>
      </c>
      <c r="H25" s="1510" t="s">
        <v>1582</v>
      </c>
      <c r="I25" s="536">
        <v>0</v>
      </c>
      <c r="J25" s="685">
        <f>ROUND(I25*F25,0)</f>
        <v>0</v>
      </c>
      <c r="K25" s="684">
        <v>0</v>
      </c>
      <c r="L25" s="536">
        <f>I25</f>
        <v>0</v>
      </c>
      <c r="M25" s="685">
        <f>J25</f>
        <v>0</v>
      </c>
      <c r="N25" s="684">
        <v>0</v>
      </c>
    </row>
    <row r="26" spans="1:14" ht="90" customHeight="1" x14ac:dyDescent="0.3">
      <c r="A26" s="1510"/>
      <c r="B26" s="1510"/>
      <c r="C26" s="645" t="s">
        <v>83</v>
      </c>
      <c r="D26" s="645" t="s">
        <v>219</v>
      </c>
      <c r="E26" s="645">
        <v>0</v>
      </c>
      <c r="F26" s="646">
        <v>2646468</v>
      </c>
      <c r="G26" s="646">
        <f>ROUND((E26*F26),0)</f>
        <v>0</v>
      </c>
      <c r="H26" s="1510"/>
      <c r="I26" s="536">
        <v>0</v>
      </c>
      <c r="J26" s="685">
        <f>ROUND(I26*F26,0)</f>
        <v>0</v>
      </c>
      <c r="K26" s="684">
        <v>0</v>
      </c>
      <c r="L26" s="536">
        <f>I26</f>
        <v>0</v>
      </c>
      <c r="M26" s="685">
        <f t="shared" ref="M26:M27" si="4">J26</f>
        <v>0</v>
      </c>
      <c r="N26" s="684">
        <v>0</v>
      </c>
    </row>
    <row r="27" spans="1:14" ht="90" customHeight="1" x14ac:dyDescent="0.3">
      <c r="A27" s="1510"/>
      <c r="B27" s="1510"/>
      <c r="C27" s="645" t="s">
        <v>61</v>
      </c>
      <c r="D27" s="645" t="s">
        <v>220</v>
      </c>
      <c r="E27" s="645">
        <v>0.05</v>
      </c>
      <c r="F27" s="646">
        <v>3203618</v>
      </c>
      <c r="G27" s="646">
        <f>ROUND((E27*F27),0)</f>
        <v>160181</v>
      </c>
      <c r="H27" s="1510"/>
      <c r="I27" s="536">
        <v>0.05</v>
      </c>
      <c r="J27" s="685">
        <f>ROUND(I27*F27,0)</f>
        <v>160181</v>
      </c>
      <c r="K27" s="684">
        <f t="shared" ref="K27:K39" si="5">J27/G27</f>
        <v>1</v>
      </c>
      <c r="L27" s="536">
        <f>I27</f>
        <v>0.05</v>
      </c>
      <c r="M27" s="685">
        <f t="shared" si="4"/>
        <v>160181</v>
      </c>
      <c r="N27" s="684">
        <f t="shared" ref="N27:N39" si="6">M27/G27</f>
        <v>1</v>
      </c>
    </row>
    <row r="28" spans="1:14" x14ac:dyDescent="0.3">
      <c r="A28" s="1510"/>
      <c r="B28" s="1510"/>
      <c r="C28" s="647"/>
      <c r="D28" s="647" t="s">
        <v>221</v>
      </c>
      <c r="E28" s="648"/>
      <c r="F28" s="648"/>
      <c r="G28" s="649">
        <f>SUM(G25:G27)</f>
        <v>160181</v>
      </c>
      <c r="H28" s="1510"/>
      <c r="I28" s="40"/>
      <c r="J28" s="683">
        <f>SUM(J25:J27)</f>
        <v>160181</v>
      </c>
      <c r="K28" s="519">
        <f t="shared" si="5"/>
        <v>1</v>
      </c>
      <c r="L28" s="40"/>
      <c r="M28" s="683">
        <f>SUM(M25:M27)</f>
        <v>160181</v>
      </c>
      <c r="N28" s="519">
        <f t="shared" si="6"/>
        <v>1</v>
      </c>
    </row>
    <row r="29" spans="1:14" ht="45" customHeight="1" x14ac:dyDescent="0.3">
      <c r="A29" s="1510" t="s">
        <v>1734</v>
      </c>
      <c r="B29" s="1510" t="s">
        <v>165</v>
      </c>
      <c r="C29" s="645" t="s">
        <v>81</v>
      </c>
      <c r="D29" s="645" t="s">
        <v>166</v>
      </c>
      <c r="E29" s="645">
        <v>0.05</v>
      </c>
      <c r="F29" s="646">
        <v>1149124</v>
      </c>
      <c r="G29" s="646">
        <f>ROUND((E29*F29),0)</f>
        <v>57456</v>
      </c>
      <c r="H29" s="1514" t="s">
        <v>1883</v>
      </c>
      <c r="I29" s="536">
        <v>0.05</v>
      </c>
      <c r="J29" s="685">
        <f>ROUND(I29*F29,0)</f>
        <v>57456</v>
      </c>
      <c r="K29" s="684">
        <f t="shared" si="5"/>
        <v>1</v>
      </c>
      <c r="L29" s="536">
        <f>I29</f>
        <v>0.05</v>
      </c>
      <c r="M29" s="685">
        <f>J29</f>
        <v>57456</v>
      </c>
      <c r="N29" s="684">
        <f t="shared" si="6"/>
        <v>1</v>
      </c>
    </row>
    <row r="30" spans="1:14" ht="43.2" x14ac:dyDescent="0.3">
      <c r="A30" s="1510"/>
      <c r="B30" s="1510"/>
      <c r="C30" s="645" t="s">
        <v>83</v>
      </c>
      <c r="D30" s="645" t="s">
        <v>167</v>
      </c>
      <c r="E30" s="645">
        <v>0.05</v>
      </c>
      <c r="F30" s="646">
        <v>2646468</v>
      </c>
      <c r="G30" s="646">
        <f>ROUND((E30*F30),0)</f>
        <v>132323</v>
      </c>
      <c r="H30" s="1510"/>
      <c r="I30" s="536">
        <v>0.05</v>
      </c>
      <c r="J30" s="685">
        <f>ROUND(I30*F30,0)</f>
        <v>132323</v>
      </c>
      <c r="K30" s="684">
        <f t="shared" si="5"/>
        <v>1</v>
      </c>
      <c r="L30" s="536">
        <f>I30</f>
        <v>0.05</v>
      </c>
      <c r="M30" s="685">
        <f t="shared" ref="M30:M31" si="7">J30</f>
        <v>132323</v>
      </c>
      <c r="N30" s="684">
        <f t="shared" si="6"/>
        <v>1</v>
      </c>
    </row>
    <row r="31" spans="1:14" ht="43.2" x14ac:dyDescent="0.3">
      <c r="A31" s="1510"/>
      <c r="B31" s="1510"/>
      <c r="C31" s="645" t="s">
        <v>61</v>
      </c>
      <c r="D31" s="645" t="s">
        <v>168</v>
      </c>
      <c r="E31" s="645">
        <v>0.05</v>
      </c>
      <c r="F31" s="646">
        <v>2542001</v>
      </c>
      <c r="G31" s="646">
        <f>ROUND((E31*F31),0)</f>
        <v>127100</v>
      </c>
      <c r="H31" s="1510"/>
      <c r="I31" s="536">
        <v>0.05</v>
      </c>
      <c r="J31" s="685">
        <f>ROUND(I31*F31,0)</f>
        <v>127100</v>
      </c>
      <c r="K31" s="684">
        <f t="shared" si="5"/>
        <v>1</v>
      </c>
      <c r="L31" s="536">
        <f>I31</f>
        <v>0.05</v>
      </c>
      <c r="M31" s="685">
        <f t="shared" si="7"/>
        <v>127100</v>
      </c>
      <c r="N31" s="684">
        <f t="shared" si="6"/>
        <v>1</v>
      </c>
    </row>
    <row r="32" spans="1:14" x14ac:dyDescent="0.3">
      <c r="A32" s="1510"/>
      <c r="B32" s="1510"/>
      <c r="C32" s="647"/>
      <c r="D32" s="647" t="s">
        <v>169</v>
      </c>
      <c r="E32" s="648"/>
      <c r="F32" s="648"/>
      <c r="G32" s="649">
        <f>SUM(G29:G31)</f>
        <v>316879</v>
      </c>
      <c r="H32" s="1510"/>
      <c r="I32" s="40"/>
      <c r="J32" s="683">
        <f>SUM(J29:J31)</f>
        <v>316879</v>
      </c>
      <c r="K32" s="519">
        <f t="shared" si="5"/>
        <v>1</v>
      </c>
      <c r="L32" s="40"/>
      <c r="M32" s="683">
        <f>SUM(M29:M31)</f>
        <v>316879</v>
      </c>
      <c r="N32" s="519">
        <f t="shared" si="6"/>
        <v>1</v>
      </c>
    </row>
    <row r="33" spans="1:14" ht="45" customHeight="1" x14ac:dyDescent="0.3">
      <c r="A33" s="1510" t="s">
        <v>1734</v>
      </c>
      <c r="B33" s="1510" t="s">
        <v>170</v>
      </c>
      <c r="C33" s="645" t="s">
        <v>83</v>
      </c>
      <c r="D33" s="645" t="s">
        <v>123</v>
      </c>
      <c r="E33" s="645">
        <v>0.05</v>
      </c>
      <c r="F33" s="646">
        <v>1044658</v>
      </c>
      <c r="G33" s="646">
        <f>ROUND((E33*F33),0)</f>
        <v>52233</v>
      </c>
      <c r="H33" s="1510" t="s">
        <v>1882</v>
      </c>
      <c r="I33" s="536">
        <v>0.05</v>
      </c>
      <c r="J33" s="685">
        <f>ROUND(I33*F33,0)</f>
        <v>52233</v>
      </c>
      <c r="K33" s="684">
        <f t="shared" si="5"/>
        <v>1</v>
      </c>
      <c r="L33" s="536">
        <f>I33</f>
        <v>0.05</v>
      </c>
      <c r="M33" s="685">
        <f>J33</f>
        <v>52233</v>
      </c>
      <c r="N33" s="684">
        <f t="shared" si="6"/>
        <v>1</v>
      </c>
    </row>
    <row r="34" spans="1:14" ht="43.2" x14ac:dyDescent="0.3">
      <c r="A34" s="1510"/>
      <c r="B34" s="1510"/>
      <c r="C34" s="645" t="s">
        <v>61</v>
      </c>
      <c r="D34" s="645" t="s">
        <v>125</v>
      </c>
      <c r="E34" s="645">
        <v>0.05</v>
      </c>
      <c r="F34" s="646">
        <v>1009836</v>
      </c>
      <c r="G34" s="646">
        <f>ROUND((E34*F34),0)</f>
        <v>50492</v>
      </c>
      <c r="H34" s="1510"/>
      <c r="I34" s="536">
        <v>0.05</v>
      </c>
      <c r="J34" s="685">
        <f>ROUND(I34*F34,0)</f>
        <v>50492</v>
      </c>
      <c r="K34" s="684">
        <f t="shared" si="5"/>
        <v>1</v>
      </c>
      <c r="L34" s="536">
        <f>I34</f>
        <v>0.05</v>
      </c>
      <c r="M34" s="685">
        <f>J34</f>
        <v>50492</v>
      </c>
      <c r="N34" s="684">
        <f t="shared" si="6"/>
        <v>1</v>
      </c>
    </row>
    <row r="35" spans="1:14" x14ac:dyDescent="0.3">
      <c r="A35" s="1510"/>
      <c r="B35" s="1510"/>
      <c r="C35" s="647"/>
      <c r="D35" s="647" t="s">
        <v>126</v>
      </c>
      <c r="E35" s="648"/>
      <c r="F35" s="648"/>
      <c r="G35" s="649">
        <f>SUM(G33:G34)</f>
        <v>102725</v>
      </c>
      <c r="H35" s="1510"/>
      <c r="I35" s="41"/>
      <c r="J35" s="683">
        <f>SUM(J33:J34)</f>
        <v>102725</v>
      </c>
      <c r="K35" s="519">
        <f t="shared" si="5"/>
        <v>1</v>
      </c>
      <c r="L35" s="40"/>
      <c r="M35" s="683">
        <f>SUM(M33:M34)</f>
        <v>102725</v>
      </c>
      <c r="N35" s="519">
        <f t="shared" si="6"/>
        <v>1</v>
      </c>
    </row>
    <row r="36" spans="1:14" s="638" customFormat="1" ht="45" customHeight="1" x14ac:dyDescent="0.3">
      <c r="A36" s="1510" t="s">
        <v>1734</v>
      </c>
      <c r="B36" s="1510" t="s">
        <v>234</v>
      </c>
      <c r="C36" s="645" t="s">
        <v>59</v>
      </c>
      <c r="D36" s="645" t="s">
        <v>235</v>
      </c>
      <c r="E36" s="645">
        <v>0.05</v>
      </c>
      <c r="F36" s="646">
        <v>2298247</v>
      </c>
      <c r="G36" s="646">
        <f>ROUND((E36*F36),0)</f>
        <v>114912</v>
      </c>
      <c r="H36" s="1510" t="s">
        <v>1884</v>
      </c>
      <c r="I36" s="536">
        <v>0.05</v>
      </c>
      <c r="J36" s="685">
        <f>ROUND(I36*F36,0)</f>
        <v>114912</v>
      </c>
      <c r="K36" s="684">
        <f t="shared" si="5"/>
        <v>1</v>
      </c>
      <c r="L36" s="536">
        <f>I36</f>
        <v>0.05</v>
      </c>
      <c r="M36" s="685">
        <f>J36</f>
        <v>114912</v>
      </c>
      <c r="N36" s="684">
        <f t="shared" si="6"/>
        <v>1</v>
      </c>
    </row>
    <row r="37" spans="1:14" s="638" customFormat="1" x14ac:dyDescent="0.3">
      <c r="A37" s="1510"/>
      <c r="B37" s="1510"/>
      <c r="C37" s="647"/>
      <c r="D37" s="647" t="s">
        <v>236</v>
      </c>
      <c r="E37" s="648"/>
      <c r="F37" s="648"/>
      <c r="G37" s="649">
        <f>G36</f>
        <v>114912</v>
      </c>
      <c r="H37" s="1510"/>
      <c r="I37" s="41"/>
      <c r="J37" s="683">
        <f>SUM(J36:J36)</f>
        <v>114912</v>
      </c>
      <c r="K37" s="519">
        <f t="shared" si="5"/>
        <v>1</v>
      </c>
      <c r="L37" s="40"/>
      <c r="M37" s="683">
        <f>SUM(M36:M36)</f>
        <v>114912</v>
      </c>
      <c r="N37" s="519">
        <f t="shared" si="6"/>
        <v>1</v>
      </c>
    </row>
    <row r="38" spans="1:14" ht="45" customHeight="1" x14ac:dyDescent="0.3">
      <c r="A38" s="1510" t="s">
        <v>1885</v>
      </c>
      <c r="B38" s="1510" t="s">
        <v>165</v>
      </c>
      <c r="C38" s="645" t="s">
        <v>81</v>
      </c>
      <c r="D38" s="645" t="s">
        <v>166</v>
      </c>
      <c r="E38" s="645">
        <v>0.05</v>
      </c>
      <c r="F38" s="646">
        <v>1149124</v>
      </c>
      <c r="G38" s="646">
        <f>ROUND((E38*F38),0)</f>
        <v>57456</v>
      </c>
      <c r="H38" s="1514" t="s">
        <v>1886</v>
      </c>
      <c r="I38" s="536">
        <v>0.05</v>
      </c>
      <c r="J38" s="685">
        <f>ROUND(I38*F38,0)</f>
        <v>57456</v>
      </c>
      <c r="K38" s="684">
        <f t="shared" si="5"/>
        <v>1</v>
      </c>
      <c r="L38" s="536">
        <f>I38</f>
        <v>0.05</v>
      </c>
      <c r="M38" s="685">
        <f>J38</f>
        <v>57456</v>
      </c>
      <c r="N38" s="684">
        <f t="shared" si="6"/>
        <v>1</v>
      </c>
    </row>
    <row r="39" spans="1:14" ht="43.2" x14ac:dyDescent="0.3">
      <c r="A39" s="1510"/>
      <c r="B39" s="1510"/>
      <c r="C39" s="645" t="s">
        <v>83</v>
      </c>
      <c r="D39" s="645" t="s">
        <v>167</v>
      </c>
      <c r="E39" s="645">
        <v>0.05</v>
      </c>
      <c r="F39" s="646">
        <v>2646468</v>
      </c>
      <c r="G39" s="646">
        <f>ROUND((E39*F39),0)</f>
        <v>132323</v>
      </c>
      <c r="H39" s="1510"/>
      <c r="I39" s="536">
        <v>0.05</v>
      </c>
      <c r="J39" s="685">
        <f>ROUND(I39*F39,0)</f>
        <v>132323</v>
      </c>
      <c r="K39" s="684">
        <f t="shared" si="5"/>
        <v>1</v>
      </c>
      <c r="L39" s="536">
        <f>I39</f>
        <v>0.05</v>
      </c>
      <c r="M39" s="685">
        <f t="shared" ref="M39:M40" si="8">J39</f>
        <v>132323</v>
      </c>
      <c r="N39" s="684">
        <f t="shared" si="6"/>
        <v>1</v>
      </c>
    </row>
    <row r="40" spans="1:14" ht="43.2" x14ac:dyDescent="0.3">
      <c r="A40" s="1510"/>
      <c r="B40" s="1510"/>
      <c r="C40" s="645" t="s">
        <v>61</v>
      </c>
      <c r="D40" s="645" t="s">
        <v>168</v>
      </c>
      <c r="E40" s="645">
        <v>0</v>
      </c>
      <c r="F40" s="646">
        <v>2542001</v>
      </c>
      <c r="G40" s="646">
        <f>ROUND((E40*F40),0)</f>
        <v>0</v>
      </c>
      <c r="H40" s="1510"/>
      <c r="I40" s="536">
        <v>0</v>
      </c>
      <c r="J40" s="685">
        <f>ROUND(I40*F40,0)</f>
        <v>0</v>
      </c>
      <c r="K40" s="684">
        <v>0</v>
      </c>
      <c r="L40" s="536">
        <f>I40</f>
        <v>0</v>
      </c>
      <c r="M40" s="685">
        <f t="shared" si="8"/>
        <v>0</v>
      </c>
      <c r="N40" s="684">
        <v>0</v>
      </c>
    </row>
    <row r="41" spans="1:14" x14ac:dyDescent="0.3">
      <c r="A41" s="1510"/>
      <c r="B41" s="1510"/>
      <c r="C41" s="647"/>
      <c r="D41" s="647" t="s">
        <v>169</v>
      </c>
      <c r="E41" s="648"/>
      <c r="F41" s="648"/>
      <c r="G41" s="649">
        <f>SUM(G38:G40)</f>
        <v>189779</v>
      </c>
      <c r="H41" s="1510"/>
      <c r="I41" s="40"/>
      <c r="J41" s="683">
        <f>SUM(J38:J40)</f>
        <v>189779</v>
      </c>
      <c r="K41" s="519">
        <f>J41/G41</f>
        <v>1</v>
      </c>
      <c r="L41" s="40"/>
      <c r="M41" s="683">
        <f>SUM(M38:M40)</f>
        <v>189779</v>
      </c>
      <c r="N41" s="519">
        <f>M41/G41</f>
        <v>1</v>
      </c>
    </row>
    <row r="42" spans="1:14" ht="45" customHeight="1" x14ac:dyDescent="0.3">
      <c r="A42" s="1510" t="s">
        <v>1887</v>
      </c>
      <c r="B42" s="1510" t="s">
        <v>170</v>
      </c>
      <c r="C42" s="645" t="s">
        <v>83</v>
      </c>
      <c r="D42" s="645" t="s">
        <v>123</v>
      </c>
      <c r="E42" s="645">
        <v>0.05</v>
      </c>
      <c r="F42" s="646">
        <v>1044658</v>
      </c>
      <c r="G42" s="646">
        <f>ROUND((E42*F42),0)</f>
        <v>52233</v>
      </c>
      <c r="H42" s="1289" t="s">
        <v>1878</v>
      </c>
      <c r="I42" s="536">
        <v>0.05</v>
      </c>
      <c r="J42" s="685">
        <f>ROUND(I42*F42,0)</f>
        <v>52233</v>
      </c>
      <c r="K42" s="684">
        <f>J42/G42</f>
        <v>1</v>
      </c>
      <c r="L42" s="536">
        <f>I42</f>
        <v>0.05</v>
      </c>
      <c r="M42" s="685">
        <f>J42</f>
        <v>52233</v>
      </c>
      <c r="N42" s="684">
        <f>M42/G42</f>
        <v>1</v>
      </c>
    </row>
    <row r="43" spans="1:14" ht="43.2" x14ac:dyDescent="0.3">
      <c r="A43" s="1510"/>
      <c r="B43" s="1510"/>
      <c r="C43" s="645" t="s">
        <v>61</v>
      </c>
      <c r="D43" s="645" t="s">
        <v>125</v>
      </c>
      <c r="E43" s="645">
        <v>0.05</v>
      </c>
      <c r="F43" s="646">
        <v>1009836</v>
      </c>
      <c r="G43" s="646">
        <f>ROUND((E43*F43),0)</f>
        <v>50492</v>
      </c>
      <c r="H43" s="1289"/>
      <c r="I43" s="536">
        <v>0.05</v>
      </c>
      <c r="J43" s="685">
        <f>ROUND(I43*F43,0)</f>
        <v>50492</v>
      </c>
      <c r="K43" s="684">
        <f>J43/G43</f>
        <v>1</v>
      </c>
      <c r="L43" s="536">
        <f>I43</f>
        <v>0.05</v>
      </c>
      <c r="M43" s="685">
        <f>J43</f>
        <v>50492</v>
      </c>
      <c r="N43" s="684">
        <f>M43/G43</f>
        <v>1</v>
      </c>
    </row>
    <row r="44" spans="1:14" x14ac:dyDescent="0.3">
      <c r="A44" s="1510"/>
      <c r="B44" s="1510"/>
      <c r="C44" s="647"/>
      <c r="D44" s="647" t="s">
        <v>126</v>
      </c>
      <c r="E44" s="648"/>
      <c r="F44" s="648"/>
      <c r="G44" s="649">
        <f>SUM(G42:G43)</f>
        <v>102725</v>
      </c>
      <c r="H44" s="1289"/>
      <c r="I44" s="41"/>
      <c r="J44" s="683">
        <f>SUM(J42:J43)</f>
        <v>102725</v>
      </c>
      <c r="K44" s="519">
        <f>J44/G44</f>
        <v>1</v>
      </c>
      <c r="L44" s="40"/>
      <c r="M44" s="683">
        <f>SUM(M42:M43)</f>
        <v>102725</v>
      </c>
      <c r="N44" s="519">
        <f>M44/G44</f>
        <v>1</v>
      </c>
    </row>
    <row r="45" spans="1:14" x14ac:dyDescent="0.3">
      <c r="A45" s="638"/>
      <c r="B45" s="638"/>
      <c r="C45" s="638"/>
      <c r="D45" s="638"/>
      <c r="E45" s="638"/>
      <c r="F45" s="686" t="s">
        <v>1740</v>
      </c>
      <c r="G45" s="687">
        <f>G17+G21+G24+G28+G35+G41+G44+G37+G32</f>
        <v>1566986</v>
      </c>
      <c r="H45" s="638"/>
      <c r="I45" s="547" t="s">
        <v>64</v>
      </c>
      <c r="J45" s="688">
        <f>SUM(J14:J44)/2</f>
        <v>1566986</v>
      </c>
      <c r="K45" s="638"/>
      <c r="L45" s="547" t="s">
        <v>64</v>
      </c>
      <c r="M45" s="688">
        <f>SUM(M14:M44)/2</f>
        <v>1566986</v>
      </c>
      <c r="N45" s="638"/>
    </row>
    <row r="46" spans="1:14" ht="26.4" x14ac:dyDescent="0.3">
      <c r="A46" s="638"/>
      <c r="B46" s="638"/>
      <c r="C46" s="638"/>
      <c r="D46" s="638"/>
      <c r="E46" s="638"/>
      <c r="F46" s="444" t="s">
        <v>65</v>
      </c>
      <c r="G46" s="181">
        <v>0</v>
      </c>
      <c r="H46" s="638"/>
      <c r="I46" s="548" t="s">
        <v>65</v>
      </c>
      <c r="J46" s="481"/>
      <c r="K46" s="638"/>
      <c r="L46" s="548" t="s">
        <v>65</v>
      </c>
      <c r="M46" s="481"/>
      <c r="N46" s="638"/>
    </row>
    <row r="47" spans="1:14" x14ac:dyDescent="0.3">
      <c r="A47" s="638"/>
      <c r="B47" s="638"/>
      <c r="C47" s="638"/>
      <c r="D47" s="638"/>
      <c r="E47" s="638"/>
      <c r="F47" s="443" t="s">
        <v>1740</v>
      </c>
      <c r="G47" s="340">
        <f>+G46+G45</f>
        <v>1566986</v>
      </c>
      <c r="H47" s="638"/>
      <c r="I47" s="549" t="s">
        <v>64</v>
      </c>
      <c r="J47" s="481">
        <f>J45+J46</f>
        <v>1566986</v>
      </c>
      <c r="K47" s="638"/>
      <c r="L47" s="549" t="s">
        <v>64</v>
      </c>
      <c r="M47" s="481">
        <f>M45+M46</f>
        <v>1566986</v>
      </c>
      <c r="N47" s="638"/>
    </row>
    <row r="48" spans="1:14" ht="26.4" x14ac:dyDescent="0.3">
      <c r="A48" s="638"/>
      <c r="B48" s="638"/>
      <c r="C48" s="638"/>
      <c r="D48" s="638"/>
      <c r="E48" s="638"/>
      <c r="F48" s="659"/>
      <c r="G48" s="659"/>
      <c r="H48" s="638"/>
      <c r="I48" s="501" t="s">
        <v>1439</v>
      </c>
      <c r="J48" s="481">
        <f>ROUND(J47*0.015,0)</f>
        <v>23505</v>
      </c>
      <c r="K48" s="638"/>
      <c r="L48" s="501" t="s">
        <v>1439</v>
      </c>
      <c r="M48" s="481">
        <f>ROUND(M47*0.015,0)</f>
        <v>23505</v>
      </c>
      <c r="N48" s="638"/>
    </row>
    <row r="49" spans="1:14" ht="39.6" x14ac:dyDescent="0.3">
      <c r="A49" s="638"/>
      <c r="B49" s="638"/>
      <c r="C49" s="638"/>
      <c r="D49" s="638"/>
      <c r="E49" s="638"/>
      <c r="F49" s="659"/>
      <c r="G49" s="659"/>
      <c r="H49" s="638"/>
      <c r="I49" s="96" t="s">
        <v>1440</v>
      </c>
      <c r="J49" s="425">
        <f>J47+J48</f>
        <v>1590491</v>
      </c>
      <c r="K49" s="678">
        <f>J49/G45</f>
        <v>1.0150001340152368</v>
      </c>
      <c r="L49" s="96" t="s">
        <v>1440</v>
      </c>
      <c r="M49" s="425">
        <f>M47+M48</f>
        <v>1590491</v>
      </c>
      <c r="N49" s="678">
        <f>M49/G45</f>
        <v>1.0150001340152368</v>
      </c>
    </row>
    <row r="50" spans="1:14" x14ac:dyDescent="0.3">
      <c r="A50" s="638"/>
      <c r="B50" s="638"/>
      <c r="C50" s="638"/>
      <c r="D50" s="638"/>
      <c r="E50" s="638"/>
      <c r="F50" s="442" t="s">
        <v>66</v>
      </c>
      <c r="G50" s="181">
        <f>+G45*19%</f>
        <v>297727.34000000003</v>
      </c>
      <c r="H50" s="638"/>
      <c r="I50" s="551" t="s">
        <v>66</v>
      </c>
      <c r="J50" s="672">
        <f>J49*0.19</f>
        <v>302193.28999999998</v>
      </c>
      <c r="K50" s="638"/>
      <c r="L50" s="551" t="s">
        <v>66</v>
      </c>
      <c r="M50" s="672">
        <f>M49*0.19</f>
        <v>302193.28999999998</v>
      </c>
      <c r="N50" s="638"/>
    </row>
    <row r="51" spans="1:14" x14ac:dyDescent="0.3">
      <c r="A51" s="638"/>
      <c r="B51" s="638"/>
      <c r="C51" s="638"/>
      <c r="D51" s="638"/>
      <c r="E51" s="638"/>
      <c r="F51" s="441" t="s">
        <v>69</v>
      </c>
      <c r="G51" s="181">
        <f>+G45+G50</f>
        <v>1864713.34</v>
      </c>
      <c r="H51" s="638"/>
      <c r="I51" s="552" t="s">
        <v>69</v>
      </c>
      <c r="J51" s="672">
        <f>J49+J50</f>
        <v>1892684.29</v>
      </c>
      <c r="K51" s="638"/>
      <c r="L51" s="552" t="s">
        <v>69</v>
      </c>
      <c r="M51" s="672">
        <f>M49+M50</f>
        <v>1892684.29</v>
      </c>
      <c r="N51" s="638"/>
    </row>
    <row r="52" spans="1:14" x14ac:dyDescent="0.3">
      <c r="A52" s="638"/>
      <c r="B52" s="638"/>
      <c r="C52" s="638"/>
      <c r="D52" s="638"/>
      <c r="E52" s="638"/>
      <c r="F52" s="638"/>
      <c r="G52" s="638"/>
      <c r="H52" s="638"/>
      <c r="I52" s="638"/>
      <c r="J52" s="638"/>
      <c r="K52" s="638"/>
      <c r="L52" s="638"/>
      <c r="M52" s="638"/>
      <c r="N52" s="638"/>
    </row>
    <row r="53" spans="1:14" x14ac:dyDescent="0.3">
      <c r="A53" s="665" t="s">
        <v>67</v>
      </c>
      <c r="B53" s="184"/>
      <c r="C53" s="184"/>
      <c r="D53" s="185" t="s">
        <v>68</v>
      </c>
      <c r="E53" s="638"/>
      <c r="F53" s="638"/>
      <c r="G53" s="638"/>
      <c r="H53" s="638"/>
      <c r="I53" s="186" t="s">
        <v>70</v>
      </c>
      <c r="J53" s="187" t="s">
        <v>71</v>
      </c>
      <c r="K53" s="186" t="s">
        <v>58</v>
      </c>
      <c r="L53" s="638"/>
      <c r="M53" s="638"/>
      <c r="N53" s="638"/>
    </row>
    <row r="54" spans="1:14" x14ac:dyDescent="0.3">
      <c r="A54" s="665"/>
      <c r="B54" s="184"/>
      <c r="C54" s="184"/>
      <c r="D54" s="185"/>
      <c r="E54" s="638"/>
      <c r="F54" s="638"/>
      <c r="G54" s="638"/>
      <c r="H54" s="638"/>
      <c r="I54" s="69" t="s">
        <v>72</v>
      </c>
      <c r="J54" s="70">
        <f>J49</f>
        <v>1590491</v>
      </c>
      <c r="K54" s="360">
        <f>K49</f>
        <v>1.0150001340152368</v>
      </c>
      <c r="L54" s="638"/>
      <c r="M54" s="638"/>
      <c r="N54" s="638"/>
    </row>
    <row r="55" spans="1:14" x14ac:dyDescent="0.3">
      <c r="A55" s="665"/>
      <c r="B55" s="184"/>
      <c r="C55" s="184"/>
      <c r="D55" s="185"/>
      <c r="E55" s="638"/>
      <c r="F55" s="638"/>
      <c r="G55" s="638"/>
      <c r="H55" s="638"/>
      <c r="I55" s="72" t="s">
        <v>1</v>
      </c>
      <c r="J55" s="105">
        <f>J54</f>
        <v>1590491</v>
      </c>
      <c r="K55" s="361">
        <f>K54</f>
        <v>1.0150001340152368</v>
      </c>
      <c r="L55" s="638"/>
      <c r="M55" s="638"/>
      <c r="N55" s="638"/>
    </row>
    <row r="56" spans="1:14" x14ac:dyDescent="0.3">
      <c r="A56" s="665"/>
      <c r="B56" s="184"/>
      <c r="C56" s="184"/>
      <c r="D56" s="185"/>
      <c r="E56" s="638"/>
      <c r="F56" s="638"/>
      <c r="G56" s="638"/>
      <c r="H56" s="638"/>
      <c r="I56" s="72" t="s">
        <v>9</v>
      </c>
      <c r="J56" s="1423"/>
      <c r="K56" s="1424"/>
      <c r="L56" s="638"/>
      <c r="M56" s="638"/>
      <c r="N56" s="638"/>
    </row>
    <row r="57" spans="1:14" x14ac:dyDescent="0.3">
      <c r="A57" s="665"/>
      <c r="B57" s="184"/>
      <c r="C57" s="184"/>
      <c r="D57" s="185"/>
      <c r="E57" s="638"/>
      <c r="F57" s="638"/>
      <c r="G57" s="638"/>
      <c r="H57" s="638"/>
      <c r="I57" s="440" t="s">
        <v>78</v>
      </c>
      <c r="J57" s="1423" t="s">
        <v>1888</v>
      </c>
      <c r="K57" s="1424"/>
      <c r="L57" s="638"/>
      <c r="M57" s="638"/>
      <c r="N57" s="638"/>
    </row>
    <row r="58" spans="1:14" x14ac:dyDescent="0.3">
      <c r="A58" s="665"/>
      <c r="B58" s="184"/>
      <c r="C58" s="184"/>
      <c r="D58" s="185"/>
      <c r="E58" s="638"/>
      <c r="F58" s="638"/>
      <c r="G58" s="638"/>
      <c r="H58" s="638"/>
      <c r="I58" s="439" t="s">
        <v>8</v>
      </c>
      <c r="J58" s="1425" t="s">
        <v>1889</v>
      </c>
      <c r="K58" s="1426"/>
      <c r="L58" s="638"/>
      <c r="M58" s="638"/>
      <c r="N58" s="638"/>
    </row>
    <row r="59" spans="1:14" x14ac:dyDescent="0.3">
      <c r="A59" s="665"/>
      <c r="B59" s="184"/>
      <c r="C59" s="184"/>
      <c r="D59" s="185" t="s">
        <v>75</v>
      </c>
      <c r="E59" s="638"/>
      <c r="F59" s="638"/>
      <c r="G59" s="638"/>
      <c r="H59" s="638"/>
      <c r="I59" s="638"/>
      <c r="J59" s="638"/>
      <c r="K59" s="638"/>
      <c r="L59" s="638"/>
      <c r="M59" s="638"/>
      <c r="N59" s="638"/>
    </row>
    <row r="60" spans="1:14" x14ac:dyDescent="0.3">
      <c r="A60" s="665" t="s">
        <v>76</v>
      </c>
      <c r="B60" s="180"/>
      <c r="C60" s="180"/>
      <c r="D60" s="185" t="s">
        <v>77</v>
      </c>
      <c r="E60" s="638"/>
      <c r="F60" s="638"/>
      <c r="G60" s="638"/>
      <c r="H60" s="638"/>
      <c r="I60" s="638"/>
      <c r="J60" s="638"/>
      <c r="K60" s="638"/>
      <c r="L60" s="638"/>
      <c r="M60" s="638"/>
      <c r="N60" s="638"/>
    </row>
    <row r="61" spans="1:14" x14ac:dyDescent="0.3">
      <c r="A61" s="665" t="s">
        <v>79</v>
      </c>
      <c r="B61" s="180"/>
      <c r="C61" s="180"/>
      <c r="D61" s="185" t="s">
        <v>80</v>
      </c>
      <c r="E61" s="638"/>
      <c r="F61" s="638"/>
      <c r="G61" s="638"/>
      <c r="H61" s="638"/>
      <c r="I61" s="638"/>
      <c r="J61" s="638"/>
      <c r="K61" s="638"/>
      <c r="L61" s="638"/>
      <c r="M61" s="638"/>
      <c r="N61" s="638"/>
    </row>
  </sheetData>
  <mergeCells count="45">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 ref="B33:B35"/>
    <mergeCell ref="H33:H35"/>
    <mergeCell ref="A14:A17"/>
    <mergeCell ref="B14:B17"/>
    <mergeCell ref="H14:H17"/>
    <mergeCell ref="A18:A21"/>
    <mergeCell ref="B18:B21"/>
    <mergeCell ref="H18:H21"/>
    <mergeCell ref="A38:A41"/>
    <mergeCell ref="B38:B41"/>
    <mergeCell ref="H38:H41"/>
    <mergeCell ref="A22:A24"/>
    <mergeCell ref="B22:B24"/>
    <mergeCell ref="H22:H24"/>
    <mergeCell ref="A25:A28"/>
    <mergeCell ref="B25:B28"/>
    <mergeCell ref="H25:H28"/>
    <mergeCell ref="A29:A32"/>
    <mergeCell ref="B29:B32"/>
    <mergeCell ref="H29:H32"/>
    <mergeCell ref="A36:A37"/>
    <mergeCell ref="B36:B37"/>
    <mergeCell ref="H36:H37"/>
    <mergeCell ref="A33:A35"/>
    <mergeCell ref="J56:K56"/>
    <mergeCell ref="J57:K57"/>
    <mergeCell ref="J58:K58"/>
    <mergeCell ref="A42:A44"/>
    <mergeCell ref="B42:B44"/>
    <mergeCell ref="H42:H44"/>
  </mergeCells>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2">
    <tabColor rgb="FF92D050"/>
  </sheetPr>
  <dimension ref="A1:N41"/>
  <sheetViews>
    <sheetView topLeftCell="C7" zoomScale="70" zoomScaleNormal="70" workbookViewId="0">
      <selection activeCell="F26" sqref="F26:G27"/>
    </sheetView>
  </sheetViews>
  <sheetFormatPr baseColWidth="10" defaultRowHeight="14.4" x14ac:dyDescent="0.3"/>
  <cols>
    <col min="2" max="2" width="30.109375" customWidth="1"/>
    <col min="3" max="3" width="40.33203125" customWidth="1"/>
    <col min="4" max="4" width="40.5546875" customWidth="1"/>
    <col min="6" max="6" width="14.44140625" bestFit="1" customWidth="1"/>
    <col min="7" max="7" width="16.5546875" customWidth="1"/>
    <col min="8" max="8" width="41.6640625" customWidth="1"/>
    <col min="9" max="9" width="17.5546875" customWidth="1"/>
    <col min="10" max="10" width="13.88671875" customWidth="1"/>
    <col min="12" max="12" width="16.44140625" customWidth="1"/>
    <col min="13" max="13" width="13.88671875"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1894</v>
      </c>
      <c r="B10" s="1292"/>
      <c r="C10" s="1292"/>
      <c r="D10" s="1292"/>
      <c r="E10" s="1292"/>
      <c r="F10" s="1292"/>
      <c r="G10" s="1292"/>
      <c r="H10" s="1292"/>
      <c r="I10" s="1292"/>
      <c r="J10" s="1292"/>
      <c r="K10" s="1292"/>
      <c r="L10" s="1292"/>
      <c r="M10" s="1292"/>
      <c r="N10" s="1292"/>
    </row>
    <row r="11" spans="1:14" x14ac:dyDescent="0.3">
      <c r="A11" s="637"/>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45" customHeight="1" x14ac:dyDescent="0.3">
      <c r="A14" s="1510" t="s">
        <v>201</v>
      </c>
      <c r="B14" s="1510" t="s">
        <v>165</v>
      </c>
      <c r="C14" s="645" t="s">
        <v>81</v>
      </c>
      <c r="D14" s="645" t="s">
        <v>166</v>
      </c>
      <c r="E14" s="645">
        <v>0.05</v>
      </c>
      <c r="F14" s="646">
        <v>1149124</v>
      </c>
      <c r="G14" s="646">
        <f>ROUND((E14*F14),0)</f>
        <v>57456</v>
      </c>
      <c r="H14" s="1510" t="s">
        <v>1890</v>
      </c>
      <c r="I14" s="536">
        <v>0.05</v>
      </c>
      <c r="J14" s="685">
        <f>ROUND(I14*F14,0)</f>
        <v>57456</v>
      </c>
      <c r="K14" s="684">
        <f>J14/G14</f>
        <v>1</v>
      </c>
      <c r="L14" s="536">
        <f>I14</f>
        <v>0.05</v>
      </c>
      <c r="M14" s="685">
        <f>J14</f>
        <v>57456</v>
      </c>
      <c r="N14" s="684">
        <f>M14/G14</f>
        <v>1</v>
      </c>
    </row>
    <row r="15" spans="1:14" ht="28.8" x14ac:dyDescent="0.3">
      <c r="A15" s="1510"/>
      <c r="B15" s="1510"/>
      <c r="C15" s="645" t="s">
        <v>83</v>
      </c>
      <c r="D15" s="645" t="s">
        <v>167</v>
      </c>
      <c r="E15" s="645">
        <v>0</v>
      </c>
      <c r="F15" s="646">
        <v>2646468</v>
      </c>
      <c r="G15" s="646">
        <f>ROUND((E15*F15),0)</f>
        <v>0</v>
      </c>
      <c r="H15" s="1510"/>
      <c r="I15" s="536">
        <v>0</v>
      </c>
      <c r="J15" s="685">
        <f>ROUND(I15*F15,0)</f>
        <v>0</v>
      </c>
      <c r="K15" s="684">
        <v>0</v>
      </c>
      <c r="L15" s="536">
        <f>I15</f>
        <v>0</v>
      </c>
      <c r="M15" s="685">
        <f t="shared" ref="M15:M16" si="0">J15</f>
        <v>0</v>
      </c>
      <c r="N15" s="684">
        <v>0</v>
      </c>
    </row>
    <row r="16" spans="1:14" ht="28.8" x14ac:dyDescent="0.3">
      <c r="A16" s="1510"/>
      <c r="B16" s="1510"/>
      <c r="C16" s="645" t="s">
        <v>61</v>
      </c>
      <c r="D16" s="645" t="s">
        <v>168</v>
      </c>
      <c r="E16" s="645">
        <v>0</v>
      </c>
      <c r="F16" s="646">
        <v>2542001</v>
      </c>
      <c r="G16" s="646">
        <f>ROUND((E16*F16),0)</f>
        <v>0</v>
      </c>
      <c r="H16" s="1510"/>
      <c r="I16" s="536">
        <v>0</v>
      </c>
      <c r="J16" s="685">
        <f>ROUND(I16*F16,0)</f>
        <v>0</v>
      </c>
      <c r="K16" s="684">
        <v>0</v>
      </c>
      <c r="L16" s="536">
        <f>I16</f>
        <v>0</v>
      </c>
      <c r="M16" s="685">
        <f t="shared" si="0"/>
        <v>0</v>
      </c>
      <c r="N16" s="684">
        <v>0</v>
      </c>
    </row>
    <row r="17" spans="1:14" x14ac:dyDescent="0.3">
      <c r="A17" s="1510"/>
      <c r="B17" s="1510"/>
      <c r="C17" s="647"/>
      <c r="D17" s="647" t="s">
        <v>169</v>
      </c>
      <c r="E17" s="648"/>
      <c r="F17" s="648"/>
      <c r="G17" s="649">
        <f>SUM(G14:G16)</f>
        <v>57456</v>
      </c>
      <c r="H17" s="1510"/>
      <c r="I17" s="40"/>
      <c r="J17" s="683">
        <f>SUM(J14:J16)</f>
        <v>57456</v>
      </c>
      <c r="K17" s="519">
        <f>J17/G17</f>
        <v>1</v>
      </c>
      <c r="L17" s="40"/>
      <c r="M17" s="683">
        <f>SUM(M14:M16)</f>
        <v>57456</v>
      </c>
      <c r="N17" s="519">
        <f>M17/G17</f>
        <v>1</v>
      </c>
    </row>
    <row r="18" spans="1:14" ht="30" customHeight="1" x14ac:dyDescent="0.3">
      <c r="A18" s="1510" t="s">
        <v>201</v>
      </c>
      <c r="B18" s="1510" t="s">
        <v>282</v>
      </c>
      <c r="C18" s="645" t="s">
        <v>81</v>
      </c>
      <c r="D18" s="645" t="s">
        <v>105</v>
      </c>
      <c r="E18" s="645">
        <v>0.05</v>
      </c>
      <c r="F18" s="646">
        <v>417863</v>
      </c>
      <c r="G18" s="646">
        <f>ROUND((E18*F18),0)</f>
        <v>20893</v>
      </c>
      <c r="H18" s="1510" t="s">
        <v>1891</v>
      </c>
      <c r="I18" s="536">
        <v>0.05</v>
      </c>
      <c r="J18" s="685">
        <f>ROUND(I18*F18,0)</f>
        <v>20893</v>
      </c>
      <c r="K18" s="684">
        <f>J18/G18</f>
        <v>1</v>
      </c>
      <c r="L18" s="536">
        <f>I18</f>
        <v>0.05</v>
      </c>
      <c r="M18" s="685">
        <f>J18</f>
        <v>20893</v>
      </c>
      <c r="N18" s="684">
        <f>M18/G18</f>
        <v>1</v>
      </c>
    </row>
    <row r="19" spans="1:14" ht="28.8" x14ac:dyDescent="0.3">
      <c r="A19" s="1510"/>
      <c r="B19" s="1510"/>
      <c r="C19" s="645" t="s">
        <v>83</v>
      </c>
      <c r="D19" s="645" t="s">
        <v>107</v>
      </c>
      <c r="E19" s="645">
        <v>0</v>
      </c>
      <c r="F19" s="646">
        <v>1845563</v>
      </c>
      <c r="G19" s="646">
        <f>ROUND((E19*F19),0)</f>
        <v>0</v>
      </c>
      <c r="H19" s="1510"/>
      <c r="I19" s="536">
        <v>0</v>
      </c>
      <c r="J19" s="685">
        <f>ROUND(I19*F19,0)</f>
        <v>0</v>
      </c>
      <c r="K19" s="684">
        <v>0</v>
      </c>
      <c r="L19" s="536">
        <f>I19</f>
        <v>0</v>
      </c>
      <c r="M19" s="685">
        <f>J19</f>
        <v>0</v>
      </c>
      <c r="N19" s="684">
        <v>0</v>
      </c>
    </row>
    <row r="20" spans="1:14" x14ac:dyDescent="0.3">
      <c r="A20" s="1510"/>
      <c r="B20" s="1510"/>
      <c r="C20" s="647"/>
      <c r="D20" s="647" t="s">
        <v>108</v>
      </c>
      <c r="E20" s="648"/>
      <c r="F20" s="648"/>
      <c r="G20" s="649">
        <f>SUM(G18:G19)</f>
        <v>20893</v>
      </c>
      <c r="H20" s="1510"/>
      <c r="I20" s="41"/>
      <c r="J20" s="683">
        <f>SUM(J18:J19)</f>
        <v>20893</v>
      </c>
      <c r="K20" s="519">
        <f>J20/G20</f>
        <v>1</v>
      </c>
      <c r="L20" s="40"/>
      <c r="M20" s="683">
        <f>SUM(M18:M19)</f>
        <v>20893</v>
      </c>
      <c r="N20" s="519">
        <f>M20/G20</f>
        <v>1</v>
      </c>
    </row>
    <row r="21" spans="1:14" ht="30" customHeight="1" x14ac:dyDescent="0.3">
      <c r="A21" s="1510" t="s">
        <v>1892</v>
      </c>
      <c r="B21" s="1510" t="s">
        <v>217</v>
      </c>
      <c r="C21" s="645" t="s">
        <v>81</v>
      </c>
      <c r="D21" s="645" t="s">
        <v>218</v>
      </c>
      <c r="E21" s="645">
        <v>0.05</v>
      </c>
      <c r="F21" s="646">
        <v>1149124</v>
      </c>
      <c r="G21" s="646">
        <f>ROUND((E21*F21),0)</f>
        <v>57456</v>
      </c>
      <c r="H21" s="1510" t="s">
        <v>1893</v>
      </c>
      <c r="I21" s="536">
        <v>0.05</v>
      </c>
      <c r="J21" s="685">
        <f>ROUND(I21*F21,0)</f>
        <v>57456</v>
      </c>
      <c r="K21" s="684">
        <f>J21/G21</f>
        <v>1</v>
      </c>
      <c r="L21" s="536">
        <f>I21</f>
        <v>0.05</v>
      </c>
      <c r="M21" s="685">
        <f>J21</f>
        <v>57456</v>
      </c>
      <c r="N21" s="684">
        <f>M21/G21</f>
        <v>1</v>
      </c>
    </row>
    <row r="22" spans="1:14" ht="28.8" x14ac:dyDescent="0.3">
      <c r="A22" s="1510"/>
      <c r="B22" s="1510"/>
      <c r="C22" s="645" t="s">
        <v>83</v>
      </c>
      <c r="D22" s="645" t="s">
        <v>219</v>
      </c>
      <c r="E22" s="645">
        <v>0</v>
      </c>
      <c r="F22" s="646">
        <v>2646468</v>
      </c>
      <c r="G22" s="646">
        <f>ROUND((E22*F22),0)</f>
        <v>0</v>
      </c>
      <c r="H22" s="1510"/>
      <c r="I22" s="536">
        <v>0</v>
      </c>
      <c r="J22" s="685">
        <f>ROUND(I22*F22,0)</f>
        <v>0</v>
      </c>
      <c r="K22" s="684">
        <v>0</v>
      </c>
      <c r="L22" s="536">
        <f>I22</f>
        <v>0</v>
      </c>
      <c r="M22" s="685">
        <f t="shared" ref="M22:M23" si="1">J22</f>
        <v>0</v>
      </c>
      <c r="N22" s="684">
        <v>0</v>
      </c>
    </row>
    <row r="23" spans="1:14" ht="28.8" x14ac:dyDescent="0.3">
      <c r="A23" s="1510"/>
      <c r="B23" s="1510"/>
      <c r="C23" s="645" t="s">
        <v>61</v>
      </c>
      <c r="D23" s="645" t="s">
        <v>220</v>
      </c>
      <c r="E23" s="645">
        <v>0</v>
      </c>
      <c r="F23" s="646">
        <v>3203618</v>
      </c>
      <c r="G23" s="646">
        <f>ROUND((E23*F23),0)</f>
        <v>0</v>
      </c>
      <c r="H23" s="1510"/>
      <c r="I23" s="536">
        <v>0</v>
      </c>
      <c r="J23" s="685">
        <f>ROUND(I23*F23,0)</f>
        <v>0</v>
      </c>
      <c r="K23" s="684">
        <v>0</v>
      </c>
      <c r="L23" s="536">
        <f>I23</f>
        <v>0</v>
      </c>
      <c r="M23" s="685">
        <f t="shared" si="1"/>
        <v>0</v>
      </c>
      <c r="N23" s="684">
        <v>0</v>
      </c>
    </row>
    <row r="24" spans="1:14" x14ac:dyDescent="0.3">
      <c r="A24" s="1510"/>
      <c r="B24" s="1510"/>
      <c r="C24" s="647"/>
      <c r="D24" s="647" t="s">
        <v>221</v>
      </c>
      <c r="E24" s="648"/>
      <c r="F24" s="648"/>
      <c r="G24" s="649">
        <f>SUM(G21:G23)</f>
        <v>57456</v>
      </c>
      <c r="H24" s="1510"/>
      <c r="I24" s="40"/>
      <c r="J24" s="683">
        <f>SUM(J21:J23)</f>
        <v>57456</v>
      </c>
      <c r="K24" s="519">
        <f>J24/G24</f>
        <v>1</v>
      </c>
      <c r="L24" s="40"/>
      <c r="M24" s="683">
        <f>SUM(M21:M23)</f>
        <v>57456</v>
      </c>
      <c r="N24" s="519">
        <f>M24/G24</f>
        <v>1</v>
      </c>
    </row>
    <row r="25" spans="1:14" x14ac:dyDescent="0.3">
      <c r="A25" s="638"/>
      <c r="B25" s="638"/>
      <c r="C25" s="638"/>
      <c r="D25" s="638"/>
      <c r="E25" s="638"/>
      <c r="F25" s="686" t="s">
        <v>1740</v>
      </c>
      <c r="G25" s="687">
        <f>G17+G20+G24</f>
        <v>135805</v>
      </c>
      <c r="H25" s="638"/>
      <c r="I25" s="547" t="s">
        <v>64</v>
      </c>
      <c r="J25" s="688">
        <f>SUM(J14:J24)/2</f>
        <v>135805</v>
      </c>
      <c r="K25" s="638"/>
      <c r="L25" s="547" t="s">
        <v>64</v>
      </c>
      <c r="M25" s="688">
        <f>SUM(M14:M24)/2</f>
        <v>135805</v>
      </c>
      <c r="N25" s="638"/>
    </row>
    <row r="26" spans="1:14" ht="26.4" x14ac:dyDescent="0.3">
      <c r="A26" s="638"/>
      <c r="B26" s="638"/>
      <c r="C26" s="638"/>
      <c r="D26" s="638"/>
      <c r="E26" s="638"/>
      <c r="F26" s="444" t="s">
        <v>65</v>
      </c>
      <c r="G26" s="181">
        <v>0</v>
      </c>
      <c r="H26" s="638"/>
      <c r="I26" s="548" t="s">
        <v>65</v>
      </c>
      <c r="J26" s="481"/>
      <c r="K26" s="638"/>
      <c r="L26" s="548" t="s">
        <v>65</v>
      </c>
      <c r="M26" s="481"/>
      <c r="N26" s="638"/>
    </row>
    <row r="27" spans="1:14" x14ac:dyDescent="0.3">
      <c r="A27" s="638"/>
      <c r="B27" s="638"/>
      <c r="C27" s="638"/>
      <c r="D27" s="638"/>
      <c r="E27" s="638"/>
      <c r="F27" s="443" t="s">
        <v>1740</v>
      </c>
      <c r="G27" s="340">
        <f>+G26+G25</f>
        <v>135805</v>
      </c>
      <c r="H27" s="638"/>
      <c r="I27" s="549" t="s">
        <v>64</v>
      </c>
      <c r="J27" s="481">
        <f>J25+J26</f>
        <v>135805</v>
      </c>
      <c r="K27" s="638"/>
      <c r="L27" s="549" t="s">
        <v>64</v>
      </c>
      <c r="M27" s="481">
        <f>M25+M26</f>
        <v>135805</v>
      </c>
      <c r="N27" s="638"/>
    </row>
    <row r="28" spans="1:14" ht="26.4" x14ac:dyDescent="0.3">
      <c r="A28" s="638"/>
      <c r="B28" s="638"/>
      <c r="C28" s="638"/>
      <c r="D28" s="638"/>
      <c r="E28" s="638"/>
      <c r="F28" s="659"/>
      <c r="G28" s="659"/>
      <c r="H28" s="638"/>
      <c r="I28" s="501" t="s">
        <v>1439</v>
      </c>
      <c r="J28" s="481">
        <f>ROUND(J27*0.015,0)</f>
        <v>2037</v>
      </c>
      <c r="K28" s="638"/>
      <c r="L28" s="501" t="s">
        <v>1439</v>
      </c>
      <c r="M28" s="481">
        <f>ROUND(M27*0.015,0)</f>
        <v>2037</v>
      </c>
      <c r="N28" s="638"/>
    </row>
    <row r="29" spans="1:14" ht="26.4" x14ac:dyDescent="0.3">
      <c r="A29" s="638"/>
      <c r="B29" s="638"/>
      <c r="C29" s="638"/>
      <c r="D29" s="638"/>
      <c r="E29" s="638"/>
      <c r="F29" s="659"/>
      <c r="G29" s="659"/>
      <c r="H29" s="638"/>
      <c r="I29" s="96" t="s">
        <v>1440</v>
      </c>
      <c r="J29" s="425">
        <f>J27+J28</f>
        <v>137842</v>
      </c>
      <c r="K29" s="678">
        <f>J29/G25</f>
        <v>1.0149994477375648</v>
      </c>
      <c r="L29" s="96" t="s">
        <v>1440</v>
      </c>
      <c r="M29" s="425">
        <f>M27+M28</f>
        <v>137842</v>
      </c>
      <c r="N29" s="678">
        <f>M29/G25</f>
        <v>1.0149994477375648</v>
      </c>
    </row>
    <row r="30" spans="1:14" x14ac:dyDescent="0.3">
      <c r="A30" s="638"/>
      <c r="B30" s="638"/>
      <c r="C30" s="638"/>
      <c r="D30" s="638"/>
      <c r="E30" s="638"/>
      <c r="F30" s="442" t="s">
        <v>66</v>
      </c>
      <c r="G30" s="181">
        <f>+G25*19%</f>
        <v>25802.95</v>
      </c>
      <c r="H30" s="638"/>
      <c r="I30" s="551" t="s">
        <v>66</v>
      </c>
      <c r="J30" s="672">
        <f>J29*0.19</f>
        <v>26189.98</v>
      </c>
      <c r="K30" s="638"/>
      <c r="L30" s="551" t="s">
        <v>66</v>
      </c>
      <c r="M30" s="672">
        <f>M29*0.19</f>
        <v>26189.98</v>
      </c>
      <c r="N30" s="638"/>
    </row>
    <row r="31" spans="1:14" x14ac:dyDescent="0.3">
      <c r="A31" s="638"/>
      <c r="B31" s="638"/>
      <c r="C31" s="638"/>
      <c r="D31" s="638"/>
      <c r="E31" s="638"/>
      <c r="F31" s="441" t="s">
        <v>69</v>
      </c>
      <c r="G31" s="181">
        <f>+G25+G30</f>
        <v>161607.95000000001</v>
      </c>
      <c r="H31" s="638"/>
      <c r="I31" s="552" t="s">
        <v>69</v>
      </c>
      <c r="J31" s="672">
        <f>J29+J30</f>
        <v>164031.98000000001</v>
      </c>
      <c r="K31" s="638"/>
      <c r="L31" s="552" t="s">
        <v>69</v>
      </c>
      <c r="M31" s="672">
        <f>M29+M30</f>
        <v>164031.98000000001</v>
      </c>
      <c r="N31" s="638"/>
    </row>
    <row r="32" spans="1:14" x14ac:dyDescent="0.3">
      <c r="A32" s="638"/>
      <c r="B32" s="638"/>
      <c r="C32" s="638"/>
      <c r="D32" s="638"/>
      <c r="E32" s="638"/>
      <c r="F32" s="638"/>
      <c r="G32" s="638"/>
      <c r="H32" s="638"/>
      <c r="I32" s="638"/>
      <c r="J32" s="638"/>
      <c r="K32" s="638"/>
      <c r="L32" s="638"/>
      <c r="M32" s="638"/>
      <c r="N32" s="638"/>
    </row>
    <row r="33" spans="1:14" ht="26.4" x14ac:dyDescent="0.3">
      <c r="A33" s="665" t="s">
        <v>67</v>
      </c>
      <c r="B33" s="184"/>
      <c r="C33" s="184"/>
      <c r="D33" s="185" t="s">
        <v>68</v>
      </c>
      <c r="E33" s="638"/>
      <c r="F33" s="638"/>
      <c r="G33" s="638"/>
      <c r="H33" s="638"/>
      <c r="I33" s="186" t="s">
        <v>70</v>
      </c>
      <c r="J33" s="187" t="s">
        <v>71</v>
      </c>
      <c r="K33" s="186" t="s">
        <v>58</v>
      </c>
      <c r="L33" s="638"/>
      <c r="M33" s="638"/>
      <c r="N33" s="638"/>
    </row>
    <row r="34" spans="1:14" x14ac:dyDescent="0.3">
      <c r="A34" s="665"/>
      <c r="B34" s="184"/>
      <c r="C34" s="184"/>
      <c r="D34" s="185"/>
      <c r="E34" s="638"/>
      <c r="F34" s="638"/>
      <c r="G34" s="638"/>
      <c r="H34" s="638"/>
      <c r="I34" s="69" t="s">
        <v>72</v>
      </c>
      <c r="J34" s="70">
        <f>J29</f>
        <v>137842</v>
      </c>
      <c r="K34" s="360">
        <f>K29</f>
        <v>1.0149994477375648</v>
      </c>
      <c r="L34" s="638"/>
      <c r="M34" s="638"/>
      <c r="N34" s="638"/>
    </row>
    <row r="35" spans="1:14" x14ac:dyDescent="0.3">
      <c r="A35" s="665"/>
      <c r="B35" s="184"/>
      <c r="C35" s="184"/>
      <c r="D35" s="185"/>
      <c r="E35" s="638"/>
      <c r="F35" s="638"/>
      <c r="G35" s="638"/>
      <c r="H35" s="638"/>
      <c r="I35" s="72" t="s">
        <v>1</v>
      </c>
      <c r="J35" s="105">
        <f>J34</f>
        <v>137842</v>
      </c>
      <c r="K35" s="361">
        <f>K34</f>
        <v>1.0149994477375648</v>
      </c>
      <c r="L35" s="638"/>
      <c r="M35" s="638"/>
      <c r="N35" s="638"/>
    </row>
    <row r="36" spans="1:14" x14ac:dyDescent="0.3">
      <c r="A36" s="665"/>
      <c r="B36" s="184"/>
      <c r="C36" s="184"/>
      <c r="D36" s="185"/>
      <c r="E36" s="638"/>
      <c r="F36" s="638"/>
      <c r="G36" s="638"/>
      <c r="H36" s="638"/>
      <c r="I36" s="72" t="s">
        <v>9</v>
      </c>
      <c r="J36" s="1423"/>
      <c r="K36" s="1424"/>
      <c r="L36" s="638"/>
      <c r="M36" s="638"/>
      <c r="N36" s="638"/>
    </row>
    <row r="37" spans="1:14" x14ac:dyDescent="0.3">
      <c r="A37" s="665"/>
      <c r="B37" s="184"/>
      <c r="C37" s="184"/>
      <c r="D37" s="185"/>
      <c r="E37" s="638"/>
      <c r="F37" s="638"/>
      <c r="G37" s="638"/>
      <c r="H37" s="638"/>
      <c r="I37" s="440" t="s">
        <v>78</v>
      </c>
      <c r="J37" s="1423" t="s">
        <v>1888</v>
      </c>
      <c r="K37" s="1424"/>
      <c r="L37" s="638"/>
      <c r="M37" s="638"/>
      <c r="N37" s="638"/>
    </row>
    <row r="38" spans="1:14" x14ac:dyDescent="0.3">
      <c r="A38" s="665"/>
      <c r="B38" s="184"/>
      <c r="C38" s="184"/>
      <c r="D38" s="185"/>
      <c r="E38" s="638"/>
      <c r="F38" s="638"/>
      <c r="G38" s="638"/>
      <c r="H38" s="638"/>
      <c r="I38" s="439" t="s">
        <v>8</v>
      </c>
      <c r="J38" s="1425" t="s">
        <v>1889</v>
      </c>
      <c r="K38" s="1426"/>
      <c r="L38" s="638"/>
      <c r="M38" s="638"/>
      <c r="N38" s="638"/>
    </row>
    <row r="39" spans="1:14" x14ac:dyDescent="0.3">
      <c r="A39" s="665"/>
      <c r="B39" s="184"/>
      <c r="C39" s="184"/>
      <c r="D39" s="185" t="s">
        <v>75</v>
      </c>
      <c r="E39" s="638"/>
      <c r="F39" s="638"/>
      <c r="G39" s="638"/>
      <c r="H39" s="638"/>
      <c r="I39" s="638"/>
      <c r="J39" s="638"/>
      <c r="K39" s="638"/>
      <c r="L39" s="638"/>
      <c r="M39" s="638"/>
      <c r="N39" s="638"/>
    </row>
    <row r="40" spans="1:14" x14ac:dyDescent="0.3">
      <c r="A40" s="665" t="s">
        <v>76</v>
      </c>
      <c r="B40" s="180"/>
      <c r="C40" s="180"/>
      <c r="D40" s="185" t="s">
        <v>77</v>
      </c>
      <c r="E40" s="638"/>
      <c r="F40" s="638"/>
      <c r="G40" s="638"/>
      <c r="H40" s="638"/>
      <c r="I40" s="638"/>
      <c r="J40" s="638"/>
      <c r="K40" s="638"/>
      <c r="L40" s="638"/>
      <c r="M40" s="638"/>
      <c r="N40" s="638"/>
    </row>
    <row r="41" spans="1:14" ht="26.4" x14ac:dyDescent="0.3">
      <c r="A41" s="665" t="s">
        <v>79</v>
      </c>
      <c r="B41" s="180"/>
      <c r="C41" s="180"/>
      <c r="D41" s="185" t="s">
        <v>80</v>
      </c>
      <c r="E41" s="638"/>
      <c r="F41" s="638"/>
      <c r="G41" s="638"/>
      <c r="H41" s="638"/>
      <c r="I41" s="638"/>
      <c r="J41" s="638"/>
      <c r="K41" s="638"/>
      <c r="L41" s="638"/>
      <c r="M41" s="638"/>
      <c r="N41" s="638"/>
    </row>
  </sheetData>
  <mergeCells count="27">
    <mergeCell ref="A5:N5"/>
    <mergeCell ref="C1:K2"/>
    <mergeCell ref="L1:N1"/>
    <mergeCell ref="L2:N2"/>
    <mergeCell ref="A3:N3"/>
    <mergeCell ref="A4:N4"/>
    <mergeCell ref="A14:A17"/>
    <mergeCell ref="B14:B17"/>
    <mergeCell ref="H14:H17"/>
    <mergeCell ref="A6:N6"/>
    <mergeCell ref="A7:N7"/>
    <mergeCell ref="A8:N8"/>
    <mergeCell ref="A9:N9"/>
    <mergeCell ref="A10:N10"/>
    <mergeCell ref="B11:H11"/>
    <mergeCell ref="I11:K12"/>
    <mergeCell ref="L11:N12"/>
    <mergeCell ref="B12:H12"/>
    <mergeCell ref="J36:K36"/>
    <mergeCell ref="J37:K37"/>
    <mergeCell ref="J38:K38"/>
    <mergeCell ref="A18:A20"/>
    <mergeCell ref="B18:B20"/>
    <mergeCell ref="H18:H20"/>
    <mergeCell ref="A21:A24"/>
    <mergeCell ref="B21:B24"/>
    <mergeCell ref="H21:H24"/>
  </mergeCells>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3">
    <tabColor rgb="FF92D050"/>
  </sheetPr>
  <dimension ref="A1:N34"/>
  <sheetViews>
    <sheetView topLeftCell="A4" zoomScale="70" zoomScaleNormal="70" workbookViewId="0">
      <selection activeCell="F18" sqref="F18:G19"/>
    </sheetView>
  </sheetViews>
  <sheetFormatPr baseColWidth="10" defaultRowHeight="14.4" x14ac:dyDescent="0.3"/>
  <cols>
    <col min="2" max="2" width="29.109375" customWidth="1"/>
    <col min="3" max="3" width="34" customWidth="1"/>
    <col min="4" max="4" width="39.109375" customWidth="1"/>
    <col min="7" max="7" width="12.44140625" customWidth="1"/>
    <col min="8" max="8" width="43" customWidth="1"/>
    <col min="9" max="9" width="17.109375" customWidth="1"/>
    <col min="12" max="12" width="17.33203125"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1897</v>
      </c>
      <c r="B10" s="1292"/>
      <c r="C10" s="1292"/>
      <c r="D10" s="1292"/>
      <c r="E10" s="1292"/>
      <c r="F10" s="1292"/>
      <c r="G10" s="1292"/>
      <c r="H10" s="1292"/>
      <c r="I10" s="1292"/>
      <c r="J10" s="1292"/>
      <c r="K10" s="1292"/>
      <c r="L10" s="1292"/>
      <c r="M10" s="1292"/>
      <c r="N10" s="1292"/>
    </row>
    <row r="11" spans="1:14" x14ac:dyDescent="0.3">
      <c r="A11" s="637"/>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30" customHeight="1" x14ac:dyDescent="0.3">
      <c r="A14" s="1514" t="s">
        <v>1895</v>
      </c>
      <c r="B14" s="1510" t="s">
        <v>282</v>
      </c>
      <c r="C14" s="645" t="s">
        <v>81</v>
      </c>
      <c r="D14" s="645" t="s">
        <v>105</v>
      </c>
      <c r="E14" s="645">
        <v>0.05</v>
      </c>
      <c r="F14" s="646">
        <v>417863</v>
      </c>
      <c r="G14" s="646">
        <f>ROUND((E14*F14),0)</f>
        <v>20893</v>
      </c>
      <c r="H14" s="1514" t="s">
        <v>1896</v>
      </c>
      <c r="I14" s="536">
        <v>0.05</v>
      </c>
      <c r="J14" s="685">
        <f>ROUND(I14*F14,0)</f>
        <v>20893</v>
      </c>
      <c r="K14" s="684">
        <f>J14/G14</f>
        <v>1</v>
      </c>
      <c r="L14" s="536">
        <f>I14</f>
        <v>0.05</v>
      </c>
      <c r="M14" s="685">
        <f>J14</f>
        <v>20893</v>
      </c>
      <c r="N14" s="684">
        <f>M14/G14</f>
        <v>1</v>
      </c>
    </row>
    <row r="15" spans="1:14" ht="51.75" customHeight="1" x14ac:dyDescent="0.3">
      <c r="A15" s="1510"/>
      <c r="B15" s="1510"/>
      <c r="C15" s="645" t="s">
        <v>83</v>
      </c>
      <c r="D15" s="645" t="s">
        <v>107</v>
      </c>
      <c r="E15" s="645">
        <v>0</v>
      </c>
      <c r="F15" s="646">
        <v>1845563</v>
      </c>
      <c r="G15" s="646">
        <f>ROUND((E15*F15),0)</f>
        <v>0</v>
      </c>
      <c r="H15" s="1510"/>
      <c r="I15" s="536">
        <v>0</v>
      </c>
      <c r="J15" s="685">
        <f>ROUND(I15*F15,0)</f>
        <v>0</v>
      </c>
      <c r="K15" s="684">
        <v>0</v>
      </c>
      <c r="L15" s="536">
        <f>I15</f>
        <v>0</v>
      </c>
      <c r="M15" s="685">
        <f>J15</f>
        <v>0</v>
      </c>
      <c r="N15" s="684">
        <v>0</v>
      </c>
    </row>
    <row r="16" spans="1:14" x14ac:dyDescent="0.3">
      <c r="A16" s="1510"/>
      <c r="B16" s="1510"/>
      <c r="C16" s="647"/>
      <c r="D16" s="647" t="s">
        <v>108</v>
      </c>
      <c r="E16" s="648"/>
      <c r="F16" s="648"/>
      <c r="G16" s="649">
        <f>SUM(G14:G15)</f>
        <v>20893</v>
      </c>
      <c r="H16" s="1510"/>
      <c r="I16" s="41"/>
      <c r="J16" s="683">
        <f>SUM(J14:J15)</f>
        <v>20893</v>
      </c>
      <c r="K16" s="519">
        <f>J16/G16</f>
        <v>1</v>
      </c>
      <c r="L16" s="40"/>
      <c r="M16" s="683">
        <f>SUM(M14:M15)</f>
        <v>20893</v>
      </c>
      <c r="N16" s="519">
        <f>M16/G16</f>
        <v>1</v>
      </c>
    </row>
    <row r="17" spans="1:14" x14ac:dyDescent="0.3">
      <c r="A17" s="638"/>
      <c r="B17" s="638"/>
      <c r="C17" s="638"/>
      <c r="D17" s="638"/>
      <c r="E17" s="638"/>
      <c r="F17" s="686" t="s">
        <v>1740</v>
      </c>
      <c r="G17" s="687">
        <f>+G16</f>
        <v>20893</v>
      </c>
      <c r="H17" s="638"/>
      <c r="I17" s="547" t="s">
        <v>64</v>
      </c>
      <c r="J17" s="688">
        <f>SUM(J14:J16)/2</f>
        <v>20893</v>
      </c>
      <c r="K17" s="638"/>
      <c r="L17" s="547" t="s">
        <v>64</v>
      </c>
      <c r="M17" s="688">
        <f>SUM(M14:M16)/2</f>
        <v>20893</v>
      </c>
      <c r="N17" s="638"/>
    </row>
    <row r="18" spans="1:14" ht="26.4" x14ac:dyDescent="0.3">
      <c r="A18" s="638"/>
      <c r="B18" s="638"/>
      <c r="C18" s="638"/>
      <c r="D18" s="638"/>
      <c r="E18" s="638"/>
      <c r="F18" s="444" t="s">
        <v>65</v>
      </c>
      <c r="G18" s="181">
        <v>0</v>
      </c>
      <c r="H18" s="638"/>
      <c r="I18" s="548" t="s">
        <v>65</v>
      </c>
      <c r="J18" s="481"/>
      <c r="K18" s="638"/>
      <c r="L18" s="548" t="s">
        <v>65</v>
      </c>
      <c r="M18" s="481"/>
      <c r="N18" s="638"/>
    </row>
    <row r="19" spans="1:14" x14ac:dyDescent="0.3">
      <c r="A19" s="638"/>
      <c r="B19" s="638"/>
      <c r="C19" s="638"/>
      <c r="D19" s="638"/>
      <c r="E19" s="638"/>
      <c r="F19" s="443" t="s">
        <v>1740</v>
      </c>
      <c r="G19" s="340">
        <f>+G18+G17</f>
        <v>20893</v>
      </c>
      <c r="H19" s="638"/>
      <c r="I19" s="549" t="s">
        <v>64</v>
      </c>
      <c r="J19" s="481">
        <f>J17+J18</f>
        <v>20893</v>
      </c>
      <c r="K19" s="638"/>
      <c r="L19" s="549" t="s">
        <v>64</v>
      </c>
      <c r="M19" s="481">
        <f>M17+M18</f>
        <v>20893</v>
      </c>
      <c r="N19" s="638"/>
    </row>
    <row r="20" spans="1:14" ht="26.4" x14ac:dyDescent="0.3">
      <c r="A20" s="638"/>
      <c r="B20" s="638"/>
      <c r="C20" s="638"/>
      <c r="D20" s="638"/>
      <c r="E20" s="638"/>
      <c r="F20" s="659"/>
      <c r="G20" s="659"/>
      <c r="H20" s="638"/>
      <c r="I20" s="501" t="s">
        <v>1439</v>
      </c>
      <c r="J20" s="481">
        <f>ROUND(J19*0.015,0)</f>
        <v>313</v>
      </c>
      <c r="K20" s="638"/>
      <c r="L20" s="501" t="s">
        <v>1439</v>
      </c>
      <c r="M20" s="481">
        <f>ROUND(M19*0.015,0)</f>
        <v>313</v>
      </c>
      <c r="N20" s="638"/>
    </row>
    <row r="21" spans="1:14" ht="26.4" x14ac:dyDescent="0.3">
      <c r="A21" s="638"/>
      <c r="B21" s="638"/>
      <c r="C21" s="638"/>
      <c r="D21" s="638"/>
      <c r="E21" s="638"/>
      <c r="F21" s="659"/>
      <c r="G21" s="659"/>
      <c r="H21" s="638"/>
      <c r="I21" s="96" t="s">
        <v>1440</v>
      </c>
      <c r="J21" s="425">
        <f>J19+J20</f>
        <v>21206</v>
      </c>
      <c r="K21" s="678">
        <f>J21/G17</f>
        <v>1.0149810941463648</v>
      </c>
      <c r="L21" s="96" t="s">
        <v>1440</v>
      </c>
      <c r="M21" s="425">
        <f>M19+M20</f>
        <v>21206</v>
      </c>
      <c r="N21" s="678">
        <f>M21/G17</f>
        <v>1.0149810941463648</v>
      </c>
    </row>
    <row r="22" spans="1:14" x14ac:dyDescent="0.3">
      <c r="A22" s="638"/>
      <c r="B22" s="638"/>
      <c r="C22" s="638"/>
      <c r="D22" s="638"/>
      <c r="E22" s="638"/>
      <c r="F22" s="442" t="s">
        <v>66</v>
      </c>
      <c r="G22" s="181">
        <f>+G17*19%</f>
        <v>3969.67</v>
      </c>
      <c r="H22" s="638"/>
      <c r="I22" s="551" t="s">
        <v>66</v>
      </c>
      <c r="J22" s="672">
        <f>J21*0.19</f>
        <v>4029.14</v>
      </c>
      <c r="K22" s="638"/>
      <c r="L22" s="551" t="s">
        <v>66</v>
      </c>
      <c r="M22" s="672">
        <f>M21*0.19</f>
        <v>4029.14</v>
      </c>
      <c r="N22" s="638"/>
    </row>
    <row r="23" spans="1:14" x14ac:dyDescent="0.3">
      <c r="A23" s="638"/>
      <c r="B23" s="638"/>
      <c r="C23" s="638"/>
      <c r="D23" s="638"/>
      <c r="E23" s="638"/>
      <c r="F23" s="441" t="s">
        <v>69</v>
      </c>
      <c r="G23" s="181">
        <f>+G17+G22</f>
        <v>24862.67</v>
      </c>
      <c r="H23" s="638"/>
      <c r="I23" s="552" t="s">
        <v>69</v>
      </c>
      <c r="J23" s="672">
        <f>J21+J22</f>
        <v>25235.14</v>
      </c>
      <c r="K23" s="638"/>
      <c r="L23" s="552" t="s">
        <v>69</v>
      </c>
      <c r="M23" s="672">
        <f>M21+M22</f>
        <v>25235.14</v>
      </c>
      <c r="N23" s="638"/>
    </row>
    <row r="24" spans="1:14" x14ac:dyDescent="0.3">
      <c r="A24" s="638"/>
      <c r="B24" s="638"/>
      <c r="C24" s="638"/>
      <c r="D24" s="638"/>
      <c r="E24" s="638"/>
      <c r="F24" s="638"/>
      <c r="G24" s="638"/>
      <c r="H24" s="638"/>
      <c r="I24" s="638"/>
      <c r="J24" s="638"/>
      <c r="K24" s="638"/>
      <c r="L24" s="638"/>
      <c r="M24" s="638"/>
      <c r="N24" s="638"/>
    </row>
    <row r="25" spans="1:14" ht="26.4" x14ac:dyDescent="0.3">
      <c r="A25" s="665" t="s">
        <v>67</v>
      </c>
      <c r="B25" s="184"/>
      <c r="C25" s="184"/>
      <c r="D25" s="185" t="s">
        <v>68</v>
      </c>
      <c r="E25" s="638"/>
      <c r="F25" s="638"/>
      <c r="G25" s="638"/>
      <c r="H25" s="638"/>
      <c r="I25" s="186" t="s">
        <v>70</v>
      </c>
      <c r="J25" s="187" t="s">
        <v>71</v>
      </c>
      <c r="K25" s="186" t="s">
        <v>58</v>
      </c>
      <c r="L25" s="638"/>
      <c r="M25" s="638"/>
      <c r="N25" s="638"/>
    </row>
    <row r="26" spans="1:14" x14ac:dyDescent="0.3">
      <c r="A26" s="665"/>
      <c r="B26" s="184"/>
      <c r="C26" s="184"/>
      <c r="D26" s="185"/>
      <c r="E26" s="638"/>
      <c r="F26" s="638"/>
      <c r="G26" s="638"/>
      <c r="H26" s="638"/>
      <c r="I26" s="69" t="s">
        <v>72</v>
      </c>
      <c r="J26" s="70">
        <f>J21</f>
        <v>21206</v>
      </c>
      <c r="K26" s="360">
        <f>K21</f>
        <v>1.0149810941463648</v>
      </c>
      <c r="L26" s="638"/>
      <c r="M26" s="638"/>
      <c r="N26" s="638"/>
    </row>
    <row r="27" spans="1:14" x14ac:dyDescent="0.3">
      <c r="A27" s="665"/>
      <c r="B27" s="184"/>
      <c r="C27" s="184"/>
      <c r="D27" s="185"/>
      <c r="E27" s="638"/>
      <c r="F27" s="638"/>
      <c r="G27" s="638"/>
      <c r="H27" s="638"/>
      <c r="I27" s="72" t="s">
        <v>1</v>
      </c>
      <c r="J27" s="105">
        <f>J26</f>
        <v>21206</v>
      </c>
      <c r="K27" s="361">
        <f>K26</f>
        <v>1.0149810941463648</v>
      </c>
      <c r="L27" s="638"/>
      <c r="M27" s="638"/>
      <c r="N27" s="638"/>
    </row>
    <row r="28" spans="1:14" x14ac:dyDescent="0.3">
      <c r="A28" s="665"/>
      <c r="B28" s="184"/>
      <c r="C28" s="184"/>
      <c r="D28" s="185"/>
      <c r="E28" s="638"/>
      <c r="F28" s="638"/>
      <c r="G28" s="638"/>
      <c r="H28" s="638"/>
      <c r="I28" s="72" t="s">
        <v>9</v>
      </c>
      <c r="J28" s="1423"/>
      <c r="K28" s="1424"/>
      <c r="L28" s="638"/>
      <c r="M28" s="638"/>
      <c r="N28" s="638"/>
    </row>
    <row r="29" spans="1:14" x14ac:dyDescent="0.3">
      <c r="A29" s="665"/>
      <c r="B29" s="184"/>
      <c r="C29" s="184"/>
      <c r="D29" s="185"/>
      <c r="E29" s="638"/>
      <c r="F29" s="638"/>
      <c r="G29" s="638"/>
      <c r="H29" s="638"/>
      <c r="I29" s="440" t="s">
        <v>78</v>
      </c>
      <c r="J29" s="1423" t="s">
        <v>742</v>
      </c>
      <c r="K29" s="1424"/>
      <c r="L29" s="638"/>
      <c r="M29" s="638"/>
      <c r="N29" s="638"/>
    </row>
    <row r="30" spans="1:14" x14ac:dyDescent="0.3">
      <c r="A30" s="665"/>
      <c r="B30" s="184"/>
      <c r="C30" s="184"/>
      <c r="D30" s="185"/>
      <c r="E30" s="638"/>
      <c r="F30" s="638"/>
      <c r="G30" s="638"/>
      <c r="H30" s="638"/>
      <c r="I30" s="439" t="s">
        <v>8</v>
      </c>
      <c r="J30" s="1425" t="s">
        <v>743</v>
      </c>
      <c r="K30" s="1426"/>
      <c r="L30" s="638"/>
      <c r="M30" s="638"/>
      <c r="N30" s="638"/>
    </row>
    <row r="31" spans="1:14" x14ac:dyDescent="0.3">
      <c r="A31" s="665"/>
      <c r="B31" s="184"/>
      <c r="C31" s="184"/>
      <c r="D31" s="185" t="s">
        <v>75</v>
      </c>
      <c r="E31" s="638"/>
      <c r="F31" s="638"/>
      <c r="G31" s="638"/>
      <c r="H31" s="638"/>
      <c r="I31" s="638"/>
      <c r="J31" s="638"/>
      <c r="K31" s="638"/>
      <c r="L31" s="638"/>
      <c r="M31" s="638"/>
      <c r="N31" s="638"/>
    </row>
    <row r="32" spans="1:14" x14ac:dyDescent="0.3">
      <c r="A32" s="665" t="s">
        <v>76</v>
      </c>
      <c r="B32" s="180"/>
      <c r="C32" s="180"/>
      <c r="D32" s="185" t="s">
        <v>77</v>
      </c>
      <c r="E32" s="638"/>
      <c r="F32" s="638"/>
      <c r="G32" s="638"/>
      <c r="H32" s="638"/>
      <c r="I32" s="638"/>
      <c r="J32" s="638"/>
      <c r="K32" s="638"/>
      <c r="L32" s="638"/>
      <c r="M32" s="638"/>
      <c r="N32" s="638"/>
    </row>
    <row r="33" spans="1:14" ht="26.4" x14ac:dyDescent="0.3">
      <c r="A33" s="665" t="s">
        <v>79</v>
      </c>
      <c r="B33" s="180"/>
      <c r="C33" s="180"/>
      <c r="D33" s="185" t="s">
        <v>80</v>
      </c>
      <c r="E33" s="638"/>
      <c r="F33" s="638"/>
      <c r="G33" s="638"/>
      <c r="H33" s="638"/>
      <c r="I33" s="638"/>
      <c r="J33" s="638"/>
      <c r="K33" s="638"/>
      <c r="L33" s="638"/>
      <c r="M33" s="638"/>
      <c r="N33" s="638"/>
    </row>
    <row r="34" spans="1:14" x14ac:dyDescent="0.3">
      <c r="A34" s="638"/>
      <c r="B34" s="638"/>
      <c r="C34" s="638"/>
      <c r="D34" s="638"/>
      <c r="E34" s="638"/>
      <c r="F34" s="638"/>
      <c r="G34" s="638"/>
      <c r="H34" s="638"/>
      <c r="I34" s="638"/>
      <c r="J34" s="638"/>
      <c r="K34" s="638"/>
      <c r="L34" s="638"/>
      <c r="M34" s="638"/>
      <c r="N34" s="638"/>
    </row>
  </sheetData>
  <mergeCells count="21">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 ref="J28:K28"/>
    <mergeCell ref="J29:K29"/>
    <mergeCell ref="J30:K30"/>
    <mergeCell ref="A14:A16"/>
    <mergeCell ref="B14:B16"/>
    <mergeCell ref="H14:H16"/>
  </mergeCells>
  <pageMargins left="0.7" right="0.7" top="0.75" bottom="0.75" header="0.3" footer="0.3"/>
  <drawing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4">
    <tabColor rgb="FF92D050"/>
  </sheetPr>
  <dimension ref="A1:N45"/>
  <sheetViews>
    <sheetView topLeftCell="A7" zoomScale="60" zoomScaleNormal="60" workbookViewId="0">
      <selection activeCell="F29" sqref="F29:G30"/>
    </sheetView>
  </sheetViews>
  <sheetFormatPr baseColWidth="10" defaultRowHeight="14.4" x14ac:dyDescent="0.3"/>
  <cols>
    <col min="1" max="1" width="18.109375" customWidth="1"/>
    <col min="2" max="2" width="27.88671875" customWidth="1"/>
    <col min="3" max="3" width="31" customWidth="1"/>
    <col min="4" max="4" width="25.6640625" customWidth="1"/>
    <col min="6" max="6" width="14.44140625" bestFit="1" customWidth="1"/>
    <col min="7" max="7" width="15.5546875" customWidth="1"/>
    <col min="8" max="8" width="42.44140625" customWidth="1"/>
    <col min="9" max="9" width="21.88671875" customWidth="1"/>
    <col min="10" max="11" width="15.109375" customWidth="1"/>
    <col min="12" max="12" width="20.5546875" customWidth="1"/>
    <col min="13" max="13" width="16"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1898</v>
      </c>
      <c r="B10" s="1292"/>
      <c r="C10" s="1292"/>
      <c r="D10" s="1292"/>
      <c r="E10" s="1292"/>
      <c r="F10" s="1292"/>
      <c r="G10" s="1292"/>
      <c r="H10" s="1292"/>
      <c r="I10" s="1292"/>
      <c r="J10" s="1292"/>
      <c r="K10" s="1292"/>
      <c r="L10" s="1292"/>
      <c r="M10" s="1292"/>
      <c r="N10" s="1292"/>
    </row>
    <row r="11" spans="1:14" x14ac:dyDescent="0.3">
      <c r="A11" s="640"/>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30" customHeight="1" x14ac:dyDescent="0.3">
      <c r="A14" s="1289" t="s">
        <v>201</v>
      </c>
      <c r="B14" s="1289" t="s">
        <v>165</v>
      </c>
      <c r="C14" s="641" t="s">
        <v>81</v>
      </c>
      <c r="D14" s="641" t="s">
        <v>166</v>
      </c>
      <c r="E14" s="641">
        <v>0</v>
      </c>
      <c r="F14" s="32">
        <v>1149124</v>
      </c>
      <c r="G14" s="32">
        <f>ROUND((E14*F14),0)</f>
        <v>0</v>
      </c>
      <c r="H14" s="1289" t="s">
        <v>1899</v>
      </c>
      <c r="I14" s="536">
        <v>0</v>
      </c>
      <c r="J14" s="685">
        <f>ROUND(I14*F14,0)</f>
        <v>0</v>
      </c>
      <c r="K14" s="684">
        <v>0</v>
      </c>
      <c r="L14" s="536">
        <f>I14</f>
        <v>0</v>
      </c>
      <c r="M14" s="685">
        <f>J14</f>
        <v>0</v>
      </c>
      <c r="N14" s="684">
        <v>0</v>
      </c>
    </row>
    <row r="15" spans="1:14" ht="28.8" x14ac:dyDescent="0.3">
      <c r="A15" s="1289"/>
      <c r="B15" s="1289"/>
      <c r="C15" s="641" t="s">
        <v>83</v>
      </c>
      <c r="D15" s="641" t="s">
        <v>167</v>
      </c>
      <c r="E15" s="641">
        <v>0</v>
      </c>
      <c r="F15" s="32">
        <v>2646468</v>
      </c>
      <c r="G15" s="32">
        <f>ROUND((E15*F15),0)</f>
        <v>0</v>
      </c>
      <c r="H15" s="1289"/>
      <c r="I15" s="536">
        <v>0</v>
      </c>
      <c r="J15" s="685">
        <f>ROUND(I15*F15,0)</f>
        <v>0</v>
      </c>
      <c r="K15" s="684">
        <v>0</v>
      </c>
      <c r="L15" s="536">
        <f>I15</f>
        <v>0</v>
      </c>
      <c r="M15" s="685">
        <f t="shared" ref="M15:M16" si="0">J15</f>
        <v>0</v>
      </c>
      <c r="N15" s="684">
        <v>0</v>
      </c>
    </row>
    <row r="16" spans="1:14" ht="28.8" x14ac:dyDescent="0.3">
      <c r="A16" s="1289"/>
      <c r="B16" s="1289"/>
      <c r="C16" s="641" t="s">
        <v>61</v>
      </c>
      <c r="D16" s="641" t="s">
        <v>168</v>
      </c>
      <c r="E16" s="641">
        <v>0.05</v>
      </c>
      <c r="F16" s="32">
        <v>2542001</v>
      </c>
      <c r="G16" s="32">
        <f>ROUND((E16*F16),0)</f>
        <v>127100</v>
      </c>
      <c r="H16" s="1289"/>
      <c r="I16" s="536">
        <v>0.05</v>
      </c>
      <c r="J16" s="685">
        <f>ROUND(I16*F16,0)</f>
        <v>127100</v>
      </c>
      <c r="K16" s="684">
        <f>J16/G16</f>
        <v>1</v>
      </c>
      <c r="L16" s="536">
        <f>I16</f>
        <v>0.05</v>
      </c>
      <c r="M16" s="685">
        <f t="shared" si="0"/>
        <v>127100</v>
      </c>
      <c r="N16" s="684">
        <f>M16/G16</f>
        <v>1</v>
      </c>
    </row>
    <row r="17" spans="1:14" x14ac:dyDescent="0.3">
      <c r="A17" s="1289"/>
      <c r="B17" s="1289"/>
      <c r="C17" s="39"/>
      <c r="D17" s="39" t="s">
        <v>169</v>
      </c>
      <c r="E17" s="41"/>
      <c r="F17" s="41"/>
      <c r="G17" s="42">
        <f>SUM(G14:G16)</f>
        <v>127100</v>
      </c>
      <c r="H17" s="1289"/>
      <c r="I17" s="40"/>
      <c r="J17" s="683">
        <f>SUM(J14:J16)</f>
        <v>127100</v>
      </c>
      <c r="K17" s="519">
        <f>J17/G17</f>
        <v>1</v>
      </c>
      <c r="L17" s="40"/>
      <c r="M17" s="683">
        <f>SUM(M14:M16)</f>
        <v>127100</v>
      </c>
      <c r="N17" s="519">
        <f>M17/G17</f>
        <v>1</v>
      </c>
    </row>
    <row r="18" spans="1:14" s="643" customFormat="1" ht="45" customHeight="1" x14ac:dyDescent="0.3">
      <c r="A18" s="1289" t="s">
        <v>1900</v>
      </c>
      <c r="B18" s="1289" t="s">
        <v>217</v>
      </c>
      <c r="C18" s="641" t="s">
        <v>81</v>
      </c>
      <c r="D18" s="641" t="s">
        <v>218</v>
      </c>
      <c r="E18" s="641">
        <v>0</v>
      </c>
      <c r="F18" s="32">
        <v>1149124</v>
      </c>
      <c r="G18" s="32">
        <f>ROUND((E18*F18),0)</f>
        <v>0</v>
      </c>
      <c r="H18" s="1289" t="s">
        <v>1584</v>
      </c>
      <c r="I18" s="536">
        <v>0</v>
      </c>
      <c r="J18" s="685">
        <f>ROUND(I18*F18,0)</f>
        <v>0</v>
      </c>
      <c r="K18" s="684">
        <v>0</v>
      </c>
      <c r="L18" s="536">
        <f>I18</f>
        <v>0</v>
      </c>
      <c r="M18" s="685">
        <f>J18</f>
        <v>0</v>
      </c>
      <c r="N18" s="684">
        <v>0</v>
      </c>
    </row>
    <row r="19" spans="1:14" s="643" customFormat="1" ht="28.8" x14ac:dyDescent="0.3">
      <c r="A19" s="1289"/>
      <c r="B19" s="1289"/>
      <c r="C19" s="641" t="s">
        <v>83</v>
      </c>
      <c r="D19" s="641" t="s">
        <v>219</v>
      </c>
      <c r="E19" s="641">
        <v>0</v>
      </c>
      <c r="F19" s="32">
        <v>2646468</v>
      </c>
      <c r="G19" s="32">
        <f>ROUND((E19*F19),0)</f>
        <v>0</v>
      </c>
      <c r="H19" s="1289"/>
      <c r="I19" s="536">
        <v>0</v>
      </c>
      <c r="J19" s="685">
        <f>ROUND(I19*F19,0)</f>
        <v>0</v>
      </c>
      <c r="K19" s="684">
        <v>0</v>
      </c>
      <c r="L19" s="536">
        <f>I19</f>
        <v>0</v>
      </c>
      <c r="M19" s="685">
        <f t="shared" ref="M19:M20" si="1">J19</f>
        <v>0</v>
      </c>
      <c r="N19" s="684">
        <v>0</v>
      </c>
    </row>
    <row r="20" spans="1:14" s="643" customFormat="1" ht="28.8" x14ac:dyDescent="0.3">
      <c r="A20" s="1289"/>
      <c r="B20" s="1289"/>
      <c r="C20" s="641" t="s">
        <v>61</v>
      </c>
      <c r="D20" s="641" t="s">
        <v>220</v>
      </c>
      <c r="E20" s="641">
        <v>0.05</v>
      </c>
      <c r="F20" s="32">
        <v>3203618</v>
      </c>
      <c r="G20" s="32">
        <f>ROUND((E20*F20),0)</f>
        <v>160181</v>
      </c>
      <c r="H20" s="1289"/>
      <c r="I20" s="536">
        <v>0.05</v>
      </c>
      <c r="J20" s="685">
        <f>ROUND(I20*F20,0)</f>
        <v>160181</v>
      </c>
      <c r="K20" s="684">
        <f>J20/G20</f>
        <v>1</v>
      </c>
      <c r="L20" s="536">
        <f>I20</f>
        <v>0.05</v>
      </c>
      <c r="M20" s="685">
        <f t="shared" si="1"/>
        <v>160181</v>
      </c>
      <c r="N20" s="684">
        <f>M20/G20</f>
        <v>1</v>
      </c>
    </row>
    <row r="21" spans="1:14" s="643" customFormat="1" x14ac:dyDescent="0.3">
      <c r="A21" s="1289"/>
      <c r="B21" s="1289"/>
      <c r="C21" s="39"/>
      <c r="D21" s="39" t="s">
        <v>221</v>
      </c>
      <c r="E21" s="41"/>
      <c r="F21" s="41"/>
      <c r="G21" s="42">
        <f>SUM(G18:G20)</f>
        <v>160181</v>
      </c>
      <c r="H21" s="1289"/>
      <c r="I21" s="40"/>
      <c r="J21" s="683">
        <f>SUM(J18:J20)</f>
        <v>160181</v>
      </c>
      <c r="K21" s="519">
        <f>J21/G21</f>
        <v>1</v>
      </c>
      <c r="L21" s="40"/>
      <c r="M21" s="683">
        <f>SUM(M18:M20)</f>
        <v>160181</v>
      </c>
      <c r="N21" s="519">
        <f>M21/G21</f>
        <v>1</v>
      </c>
    </row>
    <row r="22" spans="1:14" ht="30" customHeight="1" x14ac:dyDescent="0.3">
      <c r="A22" s="1289" t="s">
        <v>1900</v>
      </c>
      <c r="B22" s="1289" t="s">
        <v>170</v>
      </c>
      <c r="C22" s="641" t="s">
        <v>83</v>
      </c>
      <c r="D22" s="641" t="s">
        <v>123</v>
      </c>
      <c r="E22" s="641">
        <v>0</v>
      </c>
      <c r="F22" s="32">
        <v>1044658</v>
      </c>
      <c r="G22" s="32">
        <f>ROUND((E22*F22),0)</f>
        <v>0</v>
      </c>
      <c r="H22" s="1289" t="s">
        <v>1901</v>
      </c>
      <c r="I22" s="536">
        <v>0</v>
      </c>
      <c r="J22" s="685">
        <f>ROUND(I22*F22,0)</f>
        <v>0</v>
      </c>
      <c r="K22" s="684">
        <v>0</v>
      </c>
      <c r="L22" s="536">
        <f>I22</f>
        <v>0</v>
      </c>
      <c r="M22" s="685">
        <f>J22</f>
        <v>0</v>
      </c>
      <c r="N22" s="684">
        <v>0</v>
      </c>
    </row>
    <row r="23" spans="1:14" ht="28.8" x14ac:dyDescent="0.3">
      <c r="A23" s="1289"/>
      <c r="B23" s="1289"/>
      <c r="C23" s="641" t="s">
        <v>61</v>
      </c>
      <c r="D23" s="641" t="s">
        <v>125</v>
      </c>
      <c r="E23" s="641">
        <v>0.05</v>
      </c>
      <c r="F23" s="32">
        <v>1009836</v>
      </c>
      <c r="G23" s="32">
        <f>ROUND((E23*F23),0)</f>
        <v>50492</v>
      </c>
      <c r="H23" s="1289"/>
      <c r="I23" s="536">
        <v>0.05</v>
      </c>
      <c r="J23" s="685">
        <f>ROUND(I23*F23,0)</f>
        <v>50492</v>
      </c>
      <c r="K23" s="684">
        <f>J23/G23</f>
        <v>1</v>
      </c>
      <c r="L23" s="536">
        <f>I23</f>
        <v>0.05</v>
      </c>
      <c r="M23" s="685">
        <f>J23</f>
        <v>50492</v>
      </c>
      <c r="N23" s="684">
        <f>M23/G23</f>
        <v>1</v>
      </c>
    </row>
    <row r="24" spans="1:14" x14ac:dyDescent="0.3">
      <c r="A24" s="1289"/>
      <c r="B24" s="1289"/>
      <c r="C24" s="39"/>
      <c r="D24" s="39" t="s">
        <v>126</v>
      </c>
      <c r="E24" s="41"/>
      <c r="F24" s="41"/>
      <c r="G24" s="42">
        <f>SUM(G22:G23)</f>
        <v>50492</v>
      </c>
      <c r="H24" s="1289"/>
      <c r="I24" s="41"/>
      <c r="J24" s="683">
        <f>SUM(J22:J23)</f>
        <v>50492</v>
      </c>
      <c r="K24" s="519">
        <f>J24/G24</f>
        <v>1</v>
      </c>
      <c r="L24" s="40"/>
      <c r="M24" s="683">
        <f>SUM(M22:M23)</f>
        <v>50492</v>
      </c>
      <c r="N24" s="519">
        <f>M24/G24</f>
        <v>1</v>
      </c>
    </row>
    <row r="25" spans="1:14" s="643" customFormat="1" ht="30" customHeight="1" x14ac:dyDescent="0.3">
      <c r="A25" s="1289" t="s">
        <v>1902</v>
      </c>
      <c r="B25" s="1289" t="s">
        <v>282</v>
      </c>
      <c r="C25" s="641" t="s">
        <v>81</v>
      </c>
      <c r="D25" s="641" t="s">
        <v>105</v>
      </c>
      <c r="E25" s="641">
        <v>0.05</v>
      </c>
      <c r="F25" s="32">
        <v>417863</v>
      </c>
      <c r="G25" s="32">
        <f>ROUND((E25*F25),0)</f>
        <v>20893</v>
      </c>
      <c r="H25" s="1290" t="s">
        <v>1891</v>
      </c>
      <c r="I25" s="536">
        <v>0.05</v>
      </c>
      <c r="J25" s="685">
        <f>ROUND(I25*F25,0)</f>
        <v>20893</v>
      </c>
      <c r="K25" s="684">
        <f>J25/G25</f>
        <v>1</v>
      </c>
      <c r="L25" s="536">
        <f>I25</f>
        <v>0.05</v>
      </c>
      <c r="M25" s="685">
        <f>J25</f>
        <v>20893</v>
      </c>
      <c r="N25" s="684">
        <f>M25/G25</f>
        <v>1</v>
      </c>
    </row>
    <row r="26" spans="1:14" s="643" customFormat="1" ht="28.8" x14ac:dyDescent="0.3">
      <c r="A26" s="1289"/>
      <c r="B26" s="1289"/>
      <c r="C26" s="641" t="s">
        <v>83</v>
      </c>
      <c r="D26" s="641" t="s">
        <v>107</v>
      </c>
      <c r="E26" s="641">
        <v>0</v>
      </c>
      <c r="F26" s="32">
        <v>1845563</v>
      </c>
      <c r="G26" s="32">
        <f>ROUND((E26*F26),0)</f>
        <v>0</v>
      </c>
      <c r="H26" s="1289"/>
      <c r="I26" s="536">
        <v>0</v>
      </c>
      <c r="J26" s="685">
        <f>ROUND(I26*F26,0)</f>
        <v>0</v>
      </c>
      <c r="K26" s="684">
        <v>0</v>
      </c>
      <c r="L26" s="536">
        <f>I26</f>
        <v>0</v>
      </c>
      <c r="M26" s="685">
        <f>J26</f>
        <v>0</v>
      </c>
      <c r="N26" s="684">
        <v>0</v>
      </c>
    </row>
    <row r="27" spans="1:14" s="643" customFormat="1" x14ac:dyDescent="0.3">
      <c r="A27" s="1289"/>
      <c r="B27" s="1289"/>
      <c r="C27" s="39"/>
      <c r="D27" s="39" t="s">
        <v>108</v>
      </c>
      <c r="E27" s="41"/>
      <c r="F27" s="41"/>
      <c r="G27" s="42">
        <f>SUM(G25:G26)</f>
        <v>20893</v>
      </c>
      <c r="H27" s="1289"/>
      <c r="I27" s="41"/>
      <c r="J27" s="683">
        <f>SUM(J25:J26)</f>
        <v>20893</v>
      </c>
      <c r="K27" s="519">
        <f>J27/G27</f>
        <v>1</v>
      </c>
      <c r="L27" s="40"/>
      <c r="M27" s="683">
        <f>SUM(M25:M26)</f>
        <v>20893</v>
      </c>
      <c r="N27" s="519">
        <f>M27/G27</f>
        <v>1</v>
      </c>
    </row>
    <row r="28" spans="1:14" x14ac:dyDescent="0.3">
      <c r="A28" s="643"/>
      <c r="B28" s="643"/>
      <c r="C28" s="643"/>
      <c r="D28" s="643"/>
      <c r="E28" s="643"/>
      <c r="F28" s="686" t="s">
        <v>1740</v>
      </c>
      <c r="G28" s="687">
        <f>G17+G24+G21+G27</f>
        <v>358666</v>
      </c>
      <c r="H28" s="643"/>
      <c r="I28" s="695" t="s">
        <v>64</v>
      </c>
      <c r="J28" s="696">
        <f>SUM(J14:J27)/2</f>
        <v>358666</v>
      </c>
      <c r="K28" s="642"/>
      <c r="L28" s="695" t="s">
        <v>64</v>
      </c>
      <c r="M28" s="696">
        <f>SUM(M14:M27)/2</f>
        <v>358666</v>
      </c>
      <c r="N28" s="642"/>
    </row>
    <row r="29" spans="1:14" ht="26.4" x14ac:dyDescent="0.3">
      <c r="A29" s="643"/>
      <c r="B29" s="643"/>
      <c r="C29" s="643"/>
      <c r="D29" s="643"/>
      <c r="E29" s="643"/>
      <c r="F29" s="444" t="s">
        <v>65</v>
      </c>
      <c r="G29" s="181">
        <v>0</v>
      </c>
      <c r="H29" s="643"/>
      <c r="I29" s="666" t="s">
        <v>65</v>
      </c>
      <c r="J29" s="697"/>
      <c r="K29" s="642"/>
      <c r="L29" s="666" t="s">
        <v>65</v>
      </c>
      <c r="M29" s="697"/>
      <c r="N29" s="642"/>
    </row>
    <row r="30" spans="1:14" x14ac:dyDescent="0.3">
      <c r="A30" s="643"/>
      <c r="B30" s="643"/>
      <c r="C30" s="643"/>
      <c r="D30" s="643"/>
      <c r="E30" s="643"/>
      <c r="F30" s="443" t="s">
        <v>1740</v>
      </c>
      <c r="G30" s="340">
        <f>+G29+G28</f>
        <v>358666</v>
      </c>
      <c r="H30" s="643"/>
      <c r="I30" s="698" t="s">
        <v>64</v>
      </c>
      <c r="J30" s="697">
        <f>J28+J29</f>
        <v>358666</v>
      </c>
      <c r="K30" s="642"/>
      <c r="L30" s="698" t="s">
        <v>64</v>
      </c>
      <c r="M30" s="697">
        <f>M28+M29</f>
        <v>358666</v>
      </c>
      <c r="N30" s="642"/>
    </row>
    <row r="31" spans="1:14" ht="27.6" x14ac:dyDescent="0.3">
      <c r="A31" s="643"/>
      <c r="B31" s="643"/>
      <c r="C31" s="643"/>
      <c r="D31" s="643"/>
      <c r="E31" s="643"/>
      <c r="F31" s="659"/>
      <c r="G31" s="659"/>
      <c r="H31" s="643"/>
      <c r="I31" s="699" t="s">
        <v>1439</v>
      </c>
      <c r="J31" s="697">
        <f>ROUND(J30*0.015,0)</f>
        <v>5380</v>
      </c>
      <c r="K31" s="642"/>
      <c r="L31" s="699" t="s">
        <v>1439</v>
      </c>
      <c r="M31" s="697">
        <f>ROUND(M30*0.015,0)</f>
        <v>5380</v>
      </c>
      <c r="N31" s="642"/>
    </row>
    <row r="32" spans="1:14" ht="27.6" x14ac:dyDescent="0.3">
      <c r="A32" s="643"/>
      <c r="B32" s="643"/>
      <c r="C32" s="643"/>
      <c r="D32" s="643"/>
      <c r="E32" s="643"/>
      <c r="F32" s="659"/>
      <c r="G32" s="659"/>
      <c r="H32" s="643"/>
      <c r="I32" s="700" t="s">
        <v>1440</v>
      </c>
      <c r="J32" s="425">
        <f>J30+J31</f>
        <v>364046</v>
      </c>
      <c r="K32" s="701">
        <f>J32/G28</f>
        <v>1.0150000278810927</v>
      </c>
      <c r="L32" s="700" t="s">
        <v>1440</v>
      </c>
      <c r="M32" s="425">
        <f>M30+M31</f>
        <v>364046</v>
      </c>
      <c r="N32" s="701">
        <f>M32/G28</f>
        <v>1.0150000278810927</v>
      </c>
    </row>
    <row r="33" spans="1:14" x14ac:dyDescent="0.3">
      <c r="A33" s="643"/>
      <c r="B33" s="643"/>
      <c r="C33" s="643"/>
      <c r="D33" s="643"/>
      <c r="E33" s="643"/>
      <c r="F33" s="442" t="s">
        <v>66</v>
      </c>
      <c r="G33" s="181">
        <f>+G28*19%</f>
        <v>68146.539999999994</v>
      </c>
      <c r="H33" s="643"/>
      <c r="I33" s="702" t="s">
        <v>66</v>
      </c>
      <c r="J33" s="703">
        <f>J32*0.19</f>
        <v>69168.740000000005</v>
      </c>
      <c r="K33" s="642"/>
      <c r="L33" s="702" t="s">
        <v>66</v>
      </c>
      <c r="M33" s="703">
        <f>M32*0.19</f>
        <v>69168.740000000005</v>
      </c>
      <c r="N33" s="642"/>
    </row>
    <row r="34" spans="1:14" x14ac:dyDescent="0.3">
      <c r="A34" s="643"/>
      <c r="B34" s="643"/>
      <c r="C34" s="643"/>
      <c r="D34" s="643"/>
      <c r="E34" s="643"/>
      <c r="F34" s="441" t="s">
        <v>69</v>
      </c>
      <c r="G34" s="181">
        <f>+G28+G33</f>
        <v>426812.54</v>
      </c>
      <c r="H34" s="643"/>
      <c r="I34" s="704" t="s">
        <v>69</v>
      </c>
      <c r="J34" s="703">
        <f>J32+J33</f>
        <v>433214.74</v>
      </c>
      <c r="K34" s="642"/>
      <c r="L34" s="704" t="s">
        <v>69</v>
      </c>
      <c r="M34" s="703">
        <f>M32+M33</f>
        <v>433214.74</v>
      </c>
      <c r="N34" s="642"/>
    </row>
    <row r="35" spans="1:14" x14ac:dyDescent="0.3">
      <c r="A35" s="643"/>
      <c r="B35" s="643"/>
      <c r="C35" s="643"/>
      <c r="D35" s="643"/>
      <c r="E35" s="643"/>
      <c r="F35" s="643"/>
      <c r="G35" s="643"/>
      <c r="H35" s="643"/>
      <c r="I35" s="642"/>
      <c r="J35" s="642"/>
      <c r="K35" s="642"/>
      <c r="L35" s="642"/>
      <c r="M35" s="642"/>
      <c r="N35" s="642"/>
    </row>
    <row r="36" spans="1:14" ht="27.6" x14ac:dyDescent="0.3">
      <c r="A36" s="665" t="s">
        <v>67</v>
      </c>
      <c r="B36" s="184"/>
      <c r="C36" s="184"/>
      <c r="D36" s="185" t="s">
        <v>68</v>
      </c>
      <c r="E36" s="643"/>
      <c r="F36" s="643"/>
      <c r="G36" s="643"/>
      <c r="H36" s="643"/>
      <c r="I36" s="705" t="s">
        <v>70</v>
      </c>
      <c r="J36" s="706" t="s">
        <v>71</v>
      </c>
      <c r="K36" s="705" t="s">
        <v>58</v>
      </c>
      <c r="L36" s="642"/>
      <c r="M36" s="642"/>
      <c r="N36" s="642"/>
    </row>
    <row r="37" spans="1:14" x14ac:dyDescent="0.3">
      <c r="A37" s="665"/>
      <c r="B37" s="184"/>
      <c r="C37" s="184"/>
      <c r="D37" s="185"/>
      <c r="E37" s="643"/>
      <c r="F37" s="643"/>
      <c r="G37" s="643"/>
      <c r="H37" s="643"/>
      <c r="I37" s="707" t="s">
        <v>72</v>
      </c>
      <c r="J37" s="708">
        <f>J32</f>
        <v>364046</v>
      </c>
      <c r="K37" s="709">
        <f>K32</f>
        <v>1.0150000278810927</v>
      </c>
      <c r="L37" s="642"/>
      <c r="M37" s="642"/>
      <c r="N37" s="642"/>
    </row>
    <row r="38" spans="1:14" x14ac:dyDescent="0.3">
      <c r="A38" s="665"/>
      <c r="B38" s="184"/>
      <c r="C38" s="184"/>
      <c r="D38" s="185"/>
      <c r="E38" s="643"/>
      <c r="F38" s="643"/>
      <c r="G38" s="643"/>
      <c r="H38" s="643"/>
      <c r="I38" s="710" t="s">
        <v>1</v>
      </c>
      <c r="J38" s="711">
        <f>J37</f>
        <v>364046</v>
      </c>
      <c r="K38" s="712">
        <f>K37</f>
        <v>1.0150000278810927</v>
      </c>
      <c r="L38" s="642"/>
      <c r="M38" s="642"/>
      <c r="N38" s="642"/>
    </row>
    <row r="39" spans="1:14" x14ac:dyDescent="0.3">
      <c r="A39" s="665"/>
      <c r="B39" s="184"/>
      <c r="C39" s="184"/>
      <c r="D39" s="185"/>
      <c r="E39" s="643"/>
      <c r="F39" s="643"/>
      <c r="G39" s="643"/>
      <c r="H39" s="643"/>
      <c r="I39" s="710" t="s">
        <v>9</v>
      </c>
      <c r="J39" s="1517"/>
      <c r="K39" s="1518"/>
      <c r="L39" s="642"/>
      <c r="M39" s="642"/>
      <c r="N39" s="642"/>
    </row>
    <row r="40" spans="1:14" x14ac:dyDescent="0.3">
      <c r="A40" s="665"/>
      <c r="B40" s="184"/>
      <c r="C40" s="184"/>
      <c r="D40" s="185"/>
      <c r="E40" s="643"/>
      <c r="F40" s="643"/>
      <c r="G40" s="643"/>
      <c r="H40" s="643"/>
      <c r="I40" s="713" t="s">
        <v>78</v>
      </c>
      <c r="J40" s="1517" t="s">
        <v>310</v>
      </c>
      <c r="K40" s="1518"/>
      <c r="L40" s="642"/>
      <c r="M40" s="642"/>
      <c r="N40" s="642"/>
    </row>
    <row r="41" spans="1:14" x14ac:dyDescent="0.3">
      <c r="A41" s="665"/>
      <c r="B41" s="184"/>
      <c r="C41" s="184"/>
      <c r="D41" s="185"/>
      <c r="E41" s="643"/>
      <c r="F41" s="643"/>
      <c r="G41" s="643"/>
      <c r="H41" s="643"/>
      <c r="I41" s="714" t="s">
        <v>8</v>
      </c>
      <c r="J41" s="1515" t="s">
        <v>311</v>
      </c>
      <c r="K41" s="1516"/>
      <c r="L41" s="642"/>
      <c r="M41" s="642"/>
      <c r="N41" s="642"/>
    </row>
    <row r="42" spans="1:14" x14ac:dyDescent="0.3">
      <c r="A42" s="665"/>
      <c r="B42" s="184"/>
      <c r="C42" s="184"/>
      <c r="D42" s="185" t="s">
        <v>75</v>
      </c>
      <c r="E42" s="643"/>
      <c r="F42" s="643"/>
      <c r="G42" s="643"/>
      <c r="H42" s="643"/>
      <c r="I42" s="643"/>
      <c r="J42" s="643"/>
      <c r="K42" s="643"/>
      <c r="L42" s="643"/>
      <c r="M42" s="643"/>
      <c r="N42" s="643"/>
    </row>
    <row r="43" spans="1:14" x14ac:dyDescent="0.3">
      <c r="A43" s="665" t="s">
        <v>76</v>
      </c>
      <c r="B43" s="180"/>
      <c r="C43" s="180"/>
      <c r="D43" s="185" t="s">
        <v>77</v>
      </c>
      <c r="E43" s="643"/>
      <c r="F43" s="643"/>
      <c r="G43" s="643"/>
      <c r="H43" s="643"/>
      <c r="I43" s="643"/>
      <c r="J43" s="643"/>
      <c r="K43" s="643"/>
      <c r="L43" s="643"/>
      <c r="M43" s="643"/>
      <c r="N43" s="643"/>
    </row>
    <row r="44" spans="1:14" x14ac:dyDescent="0.3">
      <c r="A44" s="665" t="s">
        <v>79</v>
      </c>
      <c r="B44" s="180"/>
      <c r="C44" s="180"/>
      <c r="D44" s="185" t="s">
        <v>80</v>
      </c>
      <c r="E44" s="643"/>
      <c r="F44" s="643"/>
      <c r="G44" s="643"/>
      <c r="H44" s="643"/>
      <c r="I44" s="643"/>
      <c r="J44" s="643"/>
      <c r="K44" s="643"/>
      <c r="L44" s="643"/>
      <c r="M44" s="643"/>
      <c r="N44" s="643"/>
    </row>
    <row r="45" spans="1:14" x14ac:dyDescent="0.3">
      <c r="A45" s="643"/>
      <c r="B45" s="643"/>
      <c r="C45" s="643"/>
      <c r="D45" s="643"/>
      <c r="E45" s="643"/>
      <c r="F45" s="643"/>
      <c r="G45" s="643"/>
      <c r="H45" s="643"/>
      <c r="I45" s="643"/>
      <c r="J45" s="643"/>
      <c r="K45" s="643"/>
      <c r="L45" s="643"/>
      <c r="M45" s="643"/>
      <c r="N45" s="643"/>
    </row>
  </sheetData>
  <mergeCells count="30">
    <mergeCell ref="J41:K41"/>
    <mergeCell ref="A25:A27"/>
    <mergeCell ref="B25:B27"/>
    <mergeCell ref="H25:H27"/>
    <mergeCell ref="A14:A17"/>
    <mergeCell ref="B14:B17"/>
    <mergeCell ref="H14:H17"/>
    <mergeCell ref="A22:A24"/>
    <mergeCell ref="B22:B24"/>
    <mergeCell ref="H22:H24"/>
    <mergeCell ref="A18:A21"/>
    <mergeCell ref="B18:B21"/>
    <mergeCell ref="H18:H21"/>
    <mergeCell ref="J39:K39"/>
    <mergeCell ref="J40:K40"/>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s>
  <pageMargins left="0.7" right="0.7" top="0.75" bottom="0.75" header="0.3" footer="0.3"/>
  <pageSetup orientation="portrait" r:id="rId1"/>
  <drawing r:id="rId2"/>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5">
    <tabColor rgb="FF92D050"/>
  </sheetPr>
  <dimension ref="A1:N46"/>
  <sheetViews>
    <sheetView topLeftCell="A22" zoomScale="60" zoomScaleNormal="60" workbookViewId="0">
      <selection activeCell="F30" sqref="F30:G31"/>
    </sheetView>
  </sheetViews>
  <sheetFormatPr baseColWidth="10" defaultRowHeight="14.4" x14ac:dyDescent="0.3"/>
  <cols>
    <col min="1" max="1" width="17.33203125" customWidth="1"/>
    <col min="2" max="2" width="39" customWidth="1"/>
    <col min="3" max="3" width="31.5546875" customWidth="1"/>
    <col min="4" max="4" width="35.44140625" customWidth="1"/>
    <col min="6" max="6" width="17.88671875" customWidth="1"/>
    <col min="7" max="7" width="16.44140625" customWidth="1"/>
    <col min="8" max="8" width="47.109375" customWidth="1"/>
    <col min="9" max="9" width="16" customWidth="1"/>
    <col min="10" max="10" width="16.109375" customWidth="1"/>
    <col min="12" max="12" width="17.109375" customWidth="1"/>
    <col min="13" max="13" width="16.109375"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1897</v>
      </c>
      <c r="B10" s="1292"/>
      <c r="C10" s="1292"/>
      <c r="D10" s="1292"/>
      <c r="E10" s="1292"/>
      <c r="F10" s="1292"/>
      <c r="G10" s="1292"/>
      <c r="H10" s="1292"/>
      <c r="I10" s="1292"/>
      <c r="J10" s="1292"/>
      <c r="K10" s="1292"/>
      <c r="L10" s="1292"/>
      <c r="M10" s="1292"/>
      <c r="N10" s="1292"/>
    </row>
    <row r="11" spans="1:14" x14ac:dyDescent="0.3">
      <c r="A11" s="640"/>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58.5" customHeight="1" x14ac:dyDescent="0.3">
      <c r="A14" s="1289" t="s">
        <v>1903</v>
      </c>
      <c r="B14" s="1289" t="s">
        <v>170</v>
      </c>
      <c r="C14" s="641" t="s">
        <v>83</v>
      </c>
      <c r="D14" s="641" t="s">
        <v>123</v>
      </c>
      <c r="E14" s="641">
        <v>0</v>
      </c>
      <c r="F14" s="32">
        <v>1044658</v>
      </c>
      <c r="G14" s="32">
        <f>ROUND((E14*F14),0)</f>
        <v>0</v>
      </c>
      <c r="H14" s="1289" t="s">
        <v>1904</v>
      </c>
      <c r="I14" s="536">
        <v>0</v>
      </c>
      <c r="J14" s="685">
        <f>ROUND(I14*F14,0)</f>
        <v>0</v>
      </c>
      <c r="K14" s="684">
        <v>0</v>
      </c>
      <c r="L14" s="536">
        <f>I14</f>
        <v>0</v>
      </c>
      <c r="M14" s="685">
        <f>J14</f>
        <v>0</v>
      </c>
      <c r="N14" s="684">
        <v>0</v>
      </c>
    </row>
    <row r="15" spans="1:14" ht="69.75" customHeight="1" x14ac:dyDescent="0.3">
      <c r="A15" s="1289"/>
      <c r="B15" s="1289"/>
      <c r="C15" s="641" t="s">
        <v>61</v>
      </c>
      <c r="D15" s="641" t="s">
        <v>125</v>
      </c>
      <c r="E15" s="641">
        <v>0.05</v>
      </c>
      <c r="F15" s="32">
        <v>1009836</v>
      </c>
      <c r="G15" s="32">
        <f>ROUND((E15*F15),0)</f>
        <v>50492</v>
      </c>
      <c r="H15" s="1289"/>
      <c r="I15" s="536">
        <v>0.05</v>
      </c>
      <c r="J15" s="685">
        <f>ROUND(I15*F15,0)</f>
        <v>50492</v>
      </c>
      <c r="K15" s="684">
        <f>J15/G15</f>
        <v>1</v>
      </c>
      <c r="L15" s="536">
        <f>I15</f>
        <v>0.05</v>
      </c>
      <c r="M15" s="685">
        <f>J15</f>
        <v>50492</v>
      </c>
      <c r="N15" s="684">
        <f>M15/G15</f>
        <v>1</v>
      </c>
    </row>
    <row r="16" spans="1:14" x14ac:dyDescent="0.3">
      <c r="A16" s="1289"/>
      <c r="B16" s="1289"/>
      <c r="C16" s="39"/>
      <c r="D16" s="39" t="s">
        <v>126</v>
      </c>
      <c r="E16" s="41"/>
      <c r="F16" s="41"/>
      <c r="G16" s="42">
        <f>SUM(G14:G15)</f>
        <v>50492</v>
      </c>
      <c r="H16" s="1289"/>
      <c r="I16" s="41"/>
      <c r="J16" s="683">
        <f>SUM(J14:J15)</f>
        <v>50492</v>
      </c>
      <c r="K16" s="519">
        <f>J16/G16</f>
        <v>1</v>
      </c>
      <c r="L16" s="40"/>
      <c r="M16" s="683">
        <f>SUM(M14:M15)</f>
        <v>50492</v>
      </c>
      <c r="N16" s="519">
        <f>M16/G16</f>
        <v>1</v>
      </c>
    </row>
    <row r="17" spans="1:14" s="643" customFormat="1" ht="58.5" customHeight="1" x14ac:dyDescent="0.3">
      <c r="A17" s="1289" t="s">
        <v>807</v>
      </c>
      <c r="B17" s="1289" t="s">
        <v>170</v>
      </c>
      <c r="C17" s="641" t="s">
        <v>83</v>
      </c>
      <c r="D17" s="641" t="s">
        <v>123</v>
      </c>
      <c r="E17" s="641">
        <v>0</v>
      </c>
      <c r="F17" s="32">
        <v>1044658</v>
      </c>
      <c r="G17" s="32">
        <f>ROUND((E17*F17),0)</f>
        <v>0</v>
      </c>
      <c r="H17" s="1289" t="s">
        <v>1904</v>
      </c>
      <c r="I17" s="536">
        <v>0</v>
      </c>
      <c r="J17" s="685">
        <f>ROUND(I17*F17,0)</f>
        <v>0</v>
      </c>
      <c r="K17" s="684">
        <v>0</v>
      </c>
      <c r="L17" s="536">
        <f>I17</f>
        <v>0</v>
      </c>
      <c r="M17" s="685">
        <f>J17</f>
        <v>0</v>
      </c>
      <c r="N17" s="684">
        <v>0</v>
      </c>
    </row>
    <row r="18" spans="1:14" s="643" customFormat="1" ht="69.75" customHeight="1" x14ac:dyDescent="0.3">
      <c r="A18" s="1289"/>
      <c r="B18" s="1289"/>
      <c r="C18" s="641" t="s">
        <v>61</v>
      </c>
      <c r="D18" s="641" t="s">
        <v>125</v>
      </c>
      <c r="E18" s="641">
        <v>0.05</v>
      </c>
      <c r="F18" s="32">
        <v>1009836</v>
      </c>
      <c r="G18" s="32">
        <f>ROUND((E18*F18),0)</f>
        <v>50492</v>
      </c>
      <c r="H18" s="1289"/>
      <c r="I18" s="536">
        <v>0.05</v>
      </c>
      <c r="J18" s="685">
        <f>ROUND(I18*F18,0)</f>
        <v>50492</v>
      </c>
      <c r="K18" s="684">
        <f>J18/G18</f>
        <v>1</v>
      </c>
      <c r="L18" s="536">
        <f>I18</f>
        <v>0.05</v>
      </c>
      <c r="M18" s="685">
        <f>J18</f>
        <v>50492</v>
      </c>
      <c r="N18" s="684">
        <f>M18/G18</f>
        <v>1</v>
      </c>
    </row>
    <row r="19" spans="1:14" s="643" customFormat="1" x14ac:dyDescent="0.3">
      <c r="A19" s="1289"/>
      <c r="B19" s="1289"/>
      <c r="C19" s="39"/>
      <c r="D19" s="39" t="s">
        <v>126</v>
      </c>
      <c r="E19" s="41"/>
      <c r="F19" s="41"/>
      <c r="G19" s="42">
        <f>SUM(G17:G18)</f>
        <v>50492</v>
      </c>
      <c r="H19" s="1289"/>
      <c r="I19" s="41"/>
      <c r="J19" s="683">
        <f>SUM(J17:J18)</f>
        <v>50492</v>
      </c>
      <c r="K19" s="519">
        <f>J19/G19</f>
        <v>1</v>
      </c>
      <c r="L19" s="40"/>
      <c r="M19" s="683">
        <f>SUM(M17:M18)</f>
        <v>50492</v>
      </c>
      <c r="N19" s="519">
        <f>M19/G19</f>
        <v>1</v>
      </c>
    </row>
    <row r="20" spans="1:14" s="643" customFormat="1" ht="58.5" customHeight="1" x14ac:dyDescent="0.3">
      <c r="A20" s="1289" t="s">
        <v>201</v>
      </c>
      <c r="B20" s="1289" t="s">
        <v>170</v>
      </c>
      <c r="C20" s="641" t="s">
        <v>83</v>
      </c>
      <c r="D20" s="641" t="s">
        <v>123</v>
      </c>
      <c r="E20" s="641">
        <v>0</v>
      </c>
      <c r="F20" s="32">
        <v>1044658</v>
      </c>
      <c r="G20" s="32">
        <f>ROUND((E20*F20),0)</f>
        <v>0</v>
      </c>
      <c r="H20" s="1289" t="s">
        <v>1905</v>
      </c>
      <c r="I20" s="536">
        <v>0</v>
      </c>
      <c r="J20" s="685">
        <f>ROUND(I20*F20,0)</f>
        <v>0</v>
      </c>
      <c r="K20" s="684">
        <v>0</v>
      </c>
      <c r="L20" s="536">
        <f>I20</f>
        <v>0</v>
      </c>
      <c r="M20" s="685">
        <f>J20</f>
        <v>0</v>
      </c>
      <c r="N20" s="684">
        <v>0</v>
      </c>
    </row>
    <row r="21" spans="1:14" s="643" customFormat="1" ht="69.75" customHeight="1" x14ac:dyDescent="0.3">
      <c r="A21" s="1289"/>
      <c r="B21" s="1289"/>
      <c r="C21" s="641" t="s">
        <v>61</v>
      </c>
      <c r="D21" s="641" t="s">
        <v>125</v>
      </c>
      <c r="E21" s="641">
        <v>0.05</v>
      </c>
      <c r="F21" s="32">
        <v>1009836</v>
      </c>
      <c r="G21" s="32">
        <f>ROUND((E21*F21),0)</f>
        <v>50492</v>
      </c>
      <c r="H21" s="1289"/>
      <c r="I21" s="536">
        <v>0.05</v>
      </c>
      <c r="J21" s="685">
        <f>ROUND(I21*F21,0)</f>
        <v>50492</v>
      </c>
      <c r="K21" s="684">
        <f>J21/G21</f>
        <v>1</v>
      </c>
      <c r="L21" s="536">
        <f>I21</f>
        <v>0.05</v>
      </c>
      <c r="M21" s="685">
        <f>J21</f>
        <v>50492</v>
      </c>
      <c r="N21" s="684">
        <f>M21/G21</f>
        <v>1</v>
      </c>
    </row>
    <row r="22" spans="1:14" s="643" customFormat="1" x14ac:dyDescent="0.3">
      <c r="A22" s="1289"/>
      <c r="B22" s="1289"/>
      <c r="C22" s="39"/>
      <c r="D22" s="39" t="s">
        <v>126</v>
      </c>
      <c r="E22" s="41"/>
      <c r="F22" s="41"/>
      <c r="G22" s="42">
        <f>SUM(G20:G21)</f>
        <v>50492</v>
      </c>
      <c r="H22" s="1289"/>
      <c r="I22" s="41"/>
      <c r="J22" s="683">
        <f>SUM(J20:J21)</f>
        <v>50492</v>
      </c>
      <c r="K22" s="519">
        <f>J22/G22</f>
        <v>1</v>
      </c>
      <c r="L22" s="40"/>
      <c r="M22" s="683">
        <f>SUM(M20:M21)</f>
        <v>50492</v>
      </c>
      <c r="N22" s="519">
        <f>M22/G22</f>
        <v>1</v>
      </c>
    </row>
    <row r="23" spans="1:14" s="643" customFormat="1" ht="58.5" customHeight="1" x14ac:dyDescent="0.3">
      <c r="A23" s="1289" t="s">
        <v>200</v>
      </c>
      <c r="B23" s="1289" t="s">
        <v>170</v>
      </c>
      <c r="C23" s="641" t="s">
        <v>83</v>
      </c>
      <c r="D23" s="641" t="s">
        <v>123</v>
      </c>
      <c r="E23" s="641">
        <v>0</v>
      </c>
      <c r="F23" s="32">
        <v>1044658</v>
      </c>
      <c r="G23" s="32">
        <f>ROUND((E23*F23),0)</f>
        <v>0</v>
      </c>
      <c r="H23" s="1289" t="s">
        <v>1905</v>
      </c>
      <c r="I23" s="536">
        <v>0</v>
      </c>
      <c r="J23" s="685">
        <f>ROUND(I23*F23,0)</f>
        <v>0</v>
      </c>
      <c r="K23" s="684">
        <v>0</v>
      </c>
      <c r="L23" s="536">
        <f>I23</f>
        <v>0</v>
      </c>
      <c r="M23" s="685">
        <f>J23</f>
        <v>0</v>
      </c>
      <c r="N23" s="684">
        <v>0</v>
      </c>
    </row>
    <row r="24" spans="1:14" s="643" customFormat="1" ht="69.75" customHeight="1" x14ac:dyDescent="0.3">
      <c r="A24" s="1289"/>
      <c r="B24" s="1289"/>
      <c r="C24" s="641" t="s">
        <v>61</v>
      </c>
      <c r="D24" s="641" t="s">
        <v>125</v>
      </c>
      <c r="E24" s="641">
        <v>0.05</v>
      </c>
      <c r="F24" s="32">
        <v>1009836</v>
      </c>
      <c r="G24" s="32">
        <f>ROUND((E24*F24),0)</f>
        <v>50492</v>
      </c>
      <c r="H24" s="1289"/>
      <c r="I24" s="536">
        <v>0.05</v>
      </c>
      <c r="J24" s="685">
        <f>ROUND(I24*F24,0)</f>
        <v>50492</v>
      </c>
      <c r="K24" s="684">
        <f>J24/G24</f>
        <v>1</v>
      </c>
      <c r="L24" s="536">
        <f>I24</f>
        <v>0.05</v>
      </c>
      <c r="M24" s="685">
        <f>J24</f>
        <v>50492</v>
      </c>
      <c r="N24" s="684">
        <f>M24/G24</f>
        <v>1</v>
      </c>
    </row>
    <row r="25" spans="1:14" s="643" customFormat="1" x14ac:dyDescent="0.3">
      <c r="A25" s="1289"/>
      <c r="B25" s="1289"/>
      <c r="C25" s="39"/>
      <c r="D25" s="39" t="s">
        <v>126</v>
      </c>
      <c r="E25" s="41"/>
      <c r="F25" s="41"/>
      <c r="G25" s="42">
        <f>SUM(G23:G24)</f>
        <v>50492</v>
      </c>
      <c r="H25" s="1289"/>
      <c r="I25" s="41"/>
      <c r="J25" s="683">
        <f>SUM(J23:J24)</f>
        <v>50492</v>
      </c>
      <c r="K25" s="519">
        <f>J25/G25</f>
        <v>1</v>
      </c>
      <c r="L25" s="40"/>
      <c r="M25" s="683">
        <f>SUM(M23:M24)</f>
        <v>50492</v>
      </c>
      <c r="N25" s="519">
        <f>M25/G25</f>
        <v>1</v>
      </c>
    </row>
    <row r="26" spans="1:14" s="643" customFormat="1" ht="58.5" customHeight="1" x14ac:dyDescent="0.3">
      <c r="A26" s="1289" t="s">
        <v>1575</v>
      </c>
      <c r="B26" s="1289" t="s">
        <v>170</v>
      </c>
      <c r="C26" s="641" t="s">
        <v>83</v>
      </c>
      <c r="D26" s="641" t="s">
        <v>123</v>
      </c>
      <c r="E26" s="641">
        <v>0</v>
      </c>
      <c r="F26" s="32">
        <v>1044658</v>
      </c>
      <c r="G26" s="32">
        <f>ROUND((E26*F26),0)</f>
        <v>0</v>
      </c>
      <c r="H26" s="1289" t="s">
        <v>1905</v>
      </c>
      <c r="I26" s="536">
        <v>0</v>
      </c>
      <c r="J26" s="685">
        <f>ROUND(I26*F26,0)</f>
        <v>0</v>
      </c>
      <c r="K26" s="684">
        <v>0</v>
      </c>
      <c r="L26" s="536">
        <f>I26</f>
        <v>0</v>
      </c>
      <c r="M26" s="685">
        <f>J26</f>
        <v>0</v>
      </c>
      <c r="N26" s="684">
        <v>0</v>
      </c>
    </row>
    <row r="27" spans="1:14" s="643" customFormat="1" ht="69.75" customHeight="1" x14ac:dyDescent="0.3">
      <c r="A27" s="1289"/>
      <c r="B27" s="1289"/>
      <c r="C27" s="641" t="s">
        <v>61</v>
      </c>
      <c r="D27" s="641" t="s">
        <v>125</v>
      </c>
      <c r="E27" s="641">
        <v>0.05</v>
      </c>
      <c r="F27" s="32">
        <v>1009836</v>
      </c>
      <c r="G27" s="32">
        <f>ROUND((E27*F27),0)</f>
        <v>50492</v>
      </c>
      <c r="H27" s="1289"/>
      <c r="I27" s="536">
        <v>0.05</v>
      </c>
      <c r="J27" s="685">
        <f>ROUND(I27*F27,0)</f>
        <v>50492</v>
      </c>
      <c r="K27" s="684">
        <f>J27/G27</f>
        <v>1</v>
      </c>
      <c r="L27" s="536">
        <f>I27</f>
        <v>0.05</v>
      </c>
      <c r="M27" s="685">
        <f>J27</f>
        <v>50492</v>
      </c>
      <c r="N27" s="684">
        <f>M27/G27</f>
        <v>1</v>
      </c>
    </row>
    <row r="28" spans="1:14" s="643" customFormat="1" x14ac:dyDescent="0.3">
      <c r="A28" s="1289"/>
      <c r="B28" s="1289"/>
      <c r="C28" s="39"/>
      <c r="D28" s="39" t="s">
        <v>126</v>
      </c>
      <c r="E28" s="41"/>
      <c r="F28" s="41"/>
      <c r="G28" s="42">
        <f>SUM(G26:G27)</f>
        <v>50492</v>
      </c>
      <c r="H28" s="1289"/>
      <c r="I28" s="41"/>
      <c r="J28" s="683">
        <f>SUM(J26:J27)</f>
        <v>50492</v>
      </c>
      <c r="K28" s="519">
        <f>J28/G28</f>
        <v>1</v>
      </c>
      <c r="L28" s="40"/>
      <c r="M28" s="683">
        <f>SUM(M26:M27)</f>
        <v>50492</v>
      </c>
      <c r="N28" s="519">
        <f>M28/G28</f>
        <v>1</v>
      </c>
    </row>
    <row r="29" spans="1:14" x14ac:dyDescent="0.3">
      <c r="A29" s="643"/>
      <c r="B29" s="643"/>
      <c r="C29" s="643"/>
      <c r="D29" s="643"/>
      <c r="E29" s="643"/>
      <c r="F29" s="686" t="s">
        <v>1740</v>
      </c>
      <c r="G29" s="687">
        <f>+G16+G19+G22+G25+G28</f>
        <v>252460</v>
      </c>
      <c r="H29" s="643"/>
      <c r="I29" s="547" t="s">
        <v>64</v>
      </c>
      <c r="J29" s="688">
        <f>SUM(J14:J28)/2</f>
        <v>252460</v>
      </c>
      <c r="K29" s="643"/>
      <c r="L29" s="547" t="s">
        <v>64</v>
      </c>
      <c r="M29" s="688">
        <f>SUM(M14:M28)/2</f>
        <v>252460</v>
      </c>
      <c r="N29" s="643"/>
    </row>
    <row r="30" spans="1:14" x14ac:dyDescent="0.3">
      <c r="A30" s="643"/>
      <c r="B30" s="643"/>
      <c r="C30" s="643"/>
      <c r="D30" s="643"/>
      <c r="E30" s="643"/>
      <c r="F30" s="444" t="s">
        <v>65</v>
      </c>
      <c r="G30" s="181">
        <v>0</v>
      </c>
      <c r="H30" s="643"/>
      <c r="I30" s="548" t="s">
        <v>65</v>
      </c>
      <c r="J30" s="481"/>
      <c r="K30" s="643"/>
      <c r="L30" s="548" t="s">
        <v>65</v>
      </c>
      <c r="M30" s="481"/>
      <c r="N30" s="643"/>
    </row>
    <row r="31" spans="1:14" x14ac:dyDescent="0.3">
      <c r="A31" s="643"/>
      <c r="B31" s="643"/>
      <c r="C31" s="643"/>
      <c r="D31" s="643"/>
      <c r="E31" s="643"/>
      <c r="F31" s="443" t="s">
        <v>1740</v>
      </c>
      <c r="G31" s="340">
        <f>+G30+G29</f>
        <v>252460</v>
      </c>
      <c r="H31" s="643"/>
      <c r="I31" s="549" t="s">
        <v>64</v>
      </c>
      <c r="J31" s="481">
        <f>J29+J30</f>
        <v>252460</v>
      </c>
      <c r="K31" s="643"/>
      <c r="L31" s="549" t="s">
        <v>64</v>
      </c>
      <c r="M31" s="481">
        <f>M29+M30</f>
        <v>252460</v>
      </c>
      <c r="N31" s="643"/>
    </row>
    <row r="32" spans="1:14" ht="26.4" x14ac:dyDescent="0.3">
      <c r="A32" s="643"/>
      <c r="B32" s="643"/>
      <c r="C32" s="643"/>
      <c r="D32" s="643"/>
      <c r="E32" s="643"/>
      <c r="F32" s="659"/>
      <c r="G32" s="659"/>
      <c r="H32" s="643"/>
      <c r="I32" s="501" t="s">
        <v>1439</v>
      </c>
      <c r="J32" s="481">
        <f>ROUND(J31*0.015,0)</f>
        <v>3787</v>
      </c>
      <c r="K32" s="643"/>
      <c r="L32" s="501" t="s">
        <v>1439</v>
      </c>
      <c r="M32" s="481">
        <f>ROUND(M31*0.015,0)</f>
        <v>3787</v>
      </c>
      <c r="N32" s="643"/>
    </row>
    <row r="33" spans="1:14" ht="26.4" x14ac:dyDescent="0.3">
      <c r="A33" s="643"/>
      <c r="B33" s="643"/>
      <c r="C33" s="643"/>
      <c r="D33" s="643"/>
      <c r="E33" s="643"/>
      <c r="F33" s="659"/>
      <c r="G33" s="659"/>
      <c r="H33" s="643"/>
      <c r="I33" s="96" t="s">
        <v>1440</v>
      </c>
      <c r="J33" s="425">
        <f>J31+J32</f>
        <v>256247</v>
      </c>
      <c r="K33" s="678">
        <f>J33/G29</f>
        <v>1.0150003961023528</v>
      </c>
      <c r="L33" s="96" t="s">
        <v>1440</v>
      </c>
      <c r="M33" s="425">
        <f>M31+M32</f>
        <v>256247</v>
      </c>
      <c r="N33" s="678">
        <f>M33/G29</f>
        <v>1.0150003961023528</v>
      </c>
    </row>
    <row r="34" spans="1:14" x14ac:dyDescent="0.3">
      <c r="A34" s="643"/>
      <c r="B34" s="643"/>
      <c r="C34" s="643"/>
      <c r="D34" s="643"/>
      <c r="E34" s="643"/>
      <c r="F34" s="442" t="s">
        <v>66</v>
      </c>
      <c r="G34" s="181">
        <f>+G29*19%</f>
        <v>47967.4</v>
      </c>
      <c r="H34" s="643"/>
      <c r="I34" s="551" t="s">
        <v>66</v>
      </c>
      <c r="J34" s="672">
        <f>J33*0.19</f>
        <v>48686.93</v>
      </c>
      <c r="K34" s="643"/>
      <c r="L34" s="551" t="s">
        <v>66</v>
      </c>
      <c r="M34" s="672">
        <f>M33*0.19</f>
        <v>48686.93</v>
      </c>
      <c r="N34" s="643"/>
    </row>
    <row r="35" spans="1:14" x14ac:dyDescent="0.3">
      <c r="A35" s="643"/>
      <c r="B35" s="643"/>
      <c r="C35" s="643"/>
      <c r="D35" s="643"/>
      <c r="E35" s="643"/>
      <c r="F35" s="441" t="s">
        <v>69</v>
      </c>
      <c r="G35" s="181">
        <f>+G29+G34</f>
        <v>300427.40000000002</v>
      </c>
      <c r="H35" s="643"/>
      <c r="I35" s="552" t="s">
        <v>69</v>
      </c>
      <c r="J35" s="672">
        <f>J33+J34</f>
        <v>304933.93</v>
      </c>
      <c r="K35" s="643"/>
      <c r="L35" s="552" t="s">
        <v>69</v>
      </c>
      <c r="M35" s="672">
        <f>M33+M34</f>
        <v>304933.93</v>
      </c>
      <c r="N35" s="643"/>
    </row>
    <row r="36" spans="1:14" x14ac:dyDescent="0.3">
      <c r="A36" s="643"/>
      <c r="B36" s="643"/>
      <c r="C36" s="643"/>
      <c r="D36" s="643"/>
      <c r="E36" s="643"/>
      <c r="F36" s="643"/>
      <c r="G36" s="643"/>
      <c r="H36" s="643"/>
      <c r="I36" s="643"/>
      <c r="J36" s="643"/>
      <c r="K36" s="643"/>
      <c r="L36" s="643"/>
      <c r="M36" s="643"/>
      <c r="N36" s="643"/>
    </row>
    <row r="37" spans="1:14" x14ac:dyDescent="0.3">
      <c r="A37" s="665" t="s">
        <v>67</v>
      </c>
      <c r="B37" s="184"/>
      <c r="C37" s="184"/>
      <c r="D37" s="185" t="s">
        <v>68</v>
      </c>
      <c r="E37" s="643"/>
      <c r="F37" s="643"/>
      <c r="G37" s="643"/>
      <c r="H37" s="643"/>
      <c r="I37" s="186" t="s">
        <v>70</v>
      </c>
      <c r="J37" s="187" t="s">
        <v>71</v>
      </c>
      <c r="K37" s="186" t="s">
        <v>58</v>
      </c>
      <c r="L37" s="643"/>
      <c r="M37" s="643"/>
      <c r="N37" s="643"/>
    </row>
    <row r="38" spans="1:14" x14ac:dyDescent="0.3">
      <c r="A38" s="665"/>
      <c r="B38" s="184"/>
      <c r="C38" s="184"/>
      <c r="D38" s="185"/>
      <c r="E38" s="643"/>
      <c r="F38" s="643"/>
      <c r="G38" s="643"/>
      <c r="H38" s="643"/>
      <c r="I38" s="69" t="s">
        <v>72</v>
      </c>
      <c r="J38" s="70">
        <f>J33</f>
        <v>256247</v>
      </c>
      <c r="K38" s="360">
        <f>K33</f>
        <v>1.0150003961023528</v>
      </c>
      <c r="L38" s="643"/>
      <c r="M38" s="643"/>
      <c r="N38" s="643"/>
    </row>
    <row r="39" spans="1:14" x14ac:dyDescent="0.3">
      <c r="A39" s="665"/>
      <c r="B39" s="184"/>
      <c r="C39" s="184"/>
      <c r="D39" s="185"/>
      <c r="E39" s="643"/>
      <c r="F39" s="643"/>
      <c r="G39" s="643"/>
      <c r="H39" s="643"/>
      <c r="I39" s="72" t="s">
        <v>1</v>
      </c>
      <c r="J39" s="105">
        <f>J38</f>
        <v>256247</v>
      </c>
      <c r="K39" s="361">
        <f>K38</f>
        <v>1.0150003961023528</v>
      </c>
      <c r="L39" s="643"/>
      <c r="M39" s="643"/>
      <c r="N39" s="643"/>
    </row>
    <row r="40" spans="1:14" x14ac:dyDescent="0.3">
      <c r="A40" s="665"/>
      <c r="B40" s="184"/>
      <c r="C40" s="184"/>
      <c r="D40" s="185"/>
      <c r="E40" s="643"/>
      <c r="F40" s="643"/>
      <c r="G40" s="643"/>
      <c r="H40" s="643"/>
      <c r="I40" s="72" t="s">
        <v>9</v>
      </c>
      <c r="J40" s="1423"/>
      <c r="K40" s="1424"/>
      <c r="L40" s="643"/>
      <c r="M40" s="643"/>
      <c r="N40" s="643"/>
    </row>
    <row r="41" spans="1:14" x14ac:dyDescent="0.3">
      <c r="A41" s="665"/>
      <c r="B41" s="184"/>
      <c r="C41" s="184"/>
      <c r="D41" s="185"/>
      <c r="E41" s="643"/>
      <c r="F41" s="643"/>
      <c r="G41" s="643"/>
      <c r="H41" s="643"/>
      <c r="I41" s="440" t="s">
        <v>78</v>
      </c>
      <c r="J41" s="1423" t="s">
        <v>310</v>
      </c>
      <c r="K41" s="1424"/>
      <c r="L41" s="643"/>
      <c r="M41" s="643"/>
      <c r="N41" s="643"/>
    </row>
    <row r="42" spans="1:14" x14ac:dyDescent="0.3">
      <c r="A42" s="665"/>
      <c r="B42" s="184"/>
      <c r="C42" s="184"/>
      <c r="D42" s="185"/>
      <c r="E42" s="643"/>
      <c r="F42" s="643"/>
      <c r="G42" s="643"/>
      <c r="H42" s="643"/>
      <c r="I42" s="439" t="s">
        <v>8</v>
      </c>
      <c r="J42" s="1425" t="s">
        <v>311</v>
      </c>
      <c r="K42" s="1426"/>
      <c r="L42" s="643"/>
      <c r="M42" s="643"/>
      <c r="N42" s="643"/>
    </row>
    <row r="43" spans="1:14" x14ac:dyDescent="0.3">
      <c r="A43" s="665"/>
      <c r="B43" s="184"/>
      <c r="C43" s="184"/>
      <c r="D43" s="185" t="s">
        <v>75</v>
      </c>
      <c r="E43" s="643"/>
      <c r="F43" s="643"/>
      <c r="G43" s="643"/>
      <c r="H43" s="643"/>
      <c r="I43" s="643"/>
      <c r="J43" s="643"/>
      <c r="K43" s="643"/>
      <c r="L43" s="643"/>
      <c r="M43" s="643"/>
      <c r="N43" s="643"/>
    </row>
    <row r="44" spans="1:14" x14ac:dyDescent="0.3">
      <c r="A44" s="665" t="s">
        <v>76</v>
      </c>
      <c r="B44" s="180"/>
      <c r="C44" s="180"/>
      <c r="D44" s="185" t="s">
        <v>77</v>
      </c>
      <c r="E44" s="643"/>
      <c r="F44" s="643"/>
      <c r="G44" s="643"/>
      <c r="H44" s="643"/>
      <c r="I44" s="643"/>
      <c r="J44" s="643"/>
      <c r="K44" s="643"/>
      <c r="L44" s="643"/>
      <c r="M44" s="643"/>
      <c r="N44" s="643"/>
    </row>
    <row r="45" spans="1:14" ht="26.4" x14ac:dyDescent="0.3">
      <c r="A45" s="665" t="s">
        <v>79</v>
      </c>
      <c r="B45" s="180"/>
      <c r="C45" s="180"/>
      <c r="D45" s="185" t="s">
        <v>80</v>
      </c>
      <c r="E45" s="643"/>
      <c r="F45" s="643"/>
      <c r="G45" s="643"/>
      <c r="H45" s="643"/>
      <c r="I45" s="643"/>
      <c r="J45" s="643"/>
      <c r="K45" s="643"/>
      <c r="L45" s="643"/>
      <c r="M45" s="643"/>
      <c r="N45" s="643"/>
    </row>
    <row r="46" spans="1:14" x14ac:dyDescent="0.3">
      <c r="A46" s="643"/>
      <c r="B46" s="643"/>
      <c r="C46" s="643"/>
      <c r="D46" s="643"/>
      <c r="E46" s="643"/>
      <c r="F46" s="643"/>
      <c r="G46" s="643"/>
      <c r="H46" s="643"/>
      <c r="I46" s="643"/>
      <c r="J46" s="643"/>
      <c r="K46" s="643"/>
      <c r="L46" s="643"/>
      <c r="M46" s="643"/>
      <c r="N46" s="643"/>
    </row>
  </sheetData>
  <mergeCells count="33">
    <mergeCell ref="A14:A16"/>
    <mergeCell ref="B14:B16"/>
    <mergeCell ref="H14:H16"/>
    <mergeCell ref="B20:B22"/>
    <mergeCell ref="H20:H22"/>
    <mergeCell ref="J40:K40"/>
    <mergeCell ref="J41:K41"/>
    <mergeCell ref="J42:K42"/>
    <mergeCell ref="A17:A19"/>
    <mergeCell ref="B17:B19"/>
    <mergeCell ref="H17:H19"/>
    <mergeCell ref="A20:A22"/>
    <mergeCell ref="A26:A28"/>
    <mergeCell ref="B26:B28"/>
    <mergeCell ref="H26:H28"/>
    <mergeCell ref="A23:A25"/>
    <mergeCell ref="B23:B25"/>
    <mergeCell ref="H23:H25"/>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s>
  <pageMargins left="0.7" right="0.7" top="0.75" bottom="0.75" header="0.3" footer="0.3"/>
  <drawing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6">
    <tabColor rgb="FF92D050"/>
  </sheetPr>
  <dimension ref="A1:N49"/>
  <sheetViews>
    <sheetView topLeftCell="A13" zoomScale="60" zoomScaleNormal="60" workbookViewId="0">
      <selection activeCell="F33" sqref="F33:G34"/>
    </sheetView>
  </sheetViews>
  <sheetFormatPr baseColWidth="10" defaultRowHeight="14.4" x14ac:dyDescent="0.3"/>
  <cols>
    <col min="1" max="1" width="22" customWidth="1"/>
    <col min="2" max="2" width="33.33203125" customWidth="1"/>
    <col min="3" max="3" width="43.88671875" customWidth="1"/>
    <col min="4" max="4" width="29.88671875" customWidth="1"/>
    <col min="6" max="6" width="15.5546875" bestFit="1" customWidth="1"/>
    <col min="7" max="7" width="22" customWidth="1"/>
    <col min="8" max="8" width="51.109375" customWidth="1"/>
    <col min="9" max="9" width="21.33203125" customWidth="1"/>
    <col min="10" max="10" width="15.88671875" bestFit="1" customWidth="1"/>
    <col min="12" max="12" width="19" customWidth="1"/>
    <col min="13" max="13" width="12.6640625" bestFit="1"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1911</v>
      </c>
      <c r="B10" s="1292"/>
      <c r="C10" s="1292"/>
      <c r="D10" s="1292"/>
      <c r="E10" s="1292"/>
      <c r="F10" s="1292"/>
      <c r="G10" s="1292"/>
      <c r="H10" s="1292"/>
      <c r="I10" s="1292"/>
      <c r="J10" s="1292"/>
      <c r="K10" s="1292"/>
      <c r="L10" s="1292"/>
      <c r="M10" s="1292"/>
      <c r="N10" s="1292"/>
    </row>
    <row r="11" spans="1:14" x14ac:dyDescent="0.3">
      <c r="A11" s="640"/>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30" customHeight="1" x14ac:dyDescent="0.3">
      <c r="A14" s="1510" t="s">
        <v>1906</v>
      </c>
      <c r="B14" s="1510" t="s">
        <v>165</v>
      </c>
      <c r="C14" s="645" t="s">
        <v>81</v>
      </c>
      <c r="D14" s="645" t="s">
        <v>166</v>
      </c>
      <c r="E14" s="645">
        <v>0</v>
      </c>
      <c r="F14" s="646">
        <v>1149124</v>
      </c>
      <c r="G14" s="646">
        <f>ROUND((E14*F14),0)</f>
        <v>0</v>
      </c>
      <c r="H14" s="1510" t="s">
        <v>1899</v>
      </c>
      <c r="I14" s="536">
        <v>0</v>
      </c>
      <c r="J14" s="685">
        <f>ROUND(I14*F14,0)</f>
        <v>0</v>
      </c>
      <c r="K14" s="684">
        <v>0</v>
      </c>
      <c r="L14" s="536">
        <f>I14</f>
        <v>0</v>
      </c>
      <c r="M14" s="685">
        <f>J14</f>
        <v>0</v>
      </c>
      <c r="N14" s="684">
        <v>0</v>
      </c>
    </row>
    <row r="15" spans="1:14" ht="28.8" x14ac:dyDescent="0.3">
      <c r="A15" s="1510"/>
      <c r="B15" s="1510"/>
      <c r="C15" s="645" t="s">
        <v>83</v>
      </c>
      <c r="D15" s="645" t="s">
        <v>167</v>
      </c>
      <c r="E15" s="645">
        <v>0</v>
      </c>
      <c r="F15" s="646">
        <v>2646468</v>
      </c>
      <c r="G15" s="646">
        <f>ROUND((E15*F15),0)</f>
        <v>0</v>
      </c>
      <c r="H15" s="1510"/>
      <c r="I15" s="536">
        <v>0</v>
      </c>
      <c r="J15" s="685">
        <f>ROUND(I15*F15,0)</f>
        <v>0</v>
      </c>
      <c r="K15" s="684">
        <v>0</v>
      </c>
      <c r="L15" s="536">
        <f>I15</f>
        <v>0</v>
      </c>
      <c r="M15" s="685">
        <f t="shared" ref="M15:M16" si="0">J15</f>
        <v>0</v>
      </c>
      <c r="N15" s="684">
        <v>0</v>
      </c>
    </row>
    <row r="16" spans="1:14" ht="28.8" x14ac:dyDescent="0.3">
      <c r="A16" s="1510"/>
      <c r="B16" s="1510"/>
      <c r="C16" s="645" t="s">
        <v>61</v>
      </c>
      <c r="D16" s="645" t="s">
        <v>168</v>
      </c>
      <c r="E16" s="645">
        <v>0.05</v>
      </c>
      <c r="F16" s="646">
        <v>2542001</v>
      </c>
      <c r="G16" s="646">
        <f>ROUND((E16*F16),0)</f>
        <v>127100</v>
      </c>
      <c r="H16" s="1510"/>
      <c r="I16" s="536">
        <v>0.05</v>
      </c>
      <c r="J16" s="685">
        <f>ROUND(I16*F16,0)</f>
        <v>127100</v>
      </c>
      <c r="K16" s="684">
        <f>J16/G16</f>
        <v>1</v>
      </c>
      <c r="L16" s="536">
        <f>I16</f>
        <v>0.05</v>
      </c>
      <c r="M16" s="685">
        <f t="shared" si="0"/>
        <v>127100</v>
      </c>
      <c r="N16" s="684">
        <f>M16/G16</f>
        <v>1</v>
      </c>
    </row>
    <row r="17" spans="1:14" x14ac:dyDescent="0.3">
      <c r="A17" s="1510"/>
      <c r="B17" s="1510"/>
      <c r="C17" s="647"/>
      <c r="D17" s="647" t="s">
        <v>169</v>
      </c>
      <c r="E17" s="648"/>
      <c r="F17" s="648"/>
      <c r="G17" s="649">
        <f>SUM(G14:G16)</f>
        <v>127100</v>
      </c>
      <c r="H17" s="1510"/>
      <c r="I17" s="40"/>
      <c r="J17" s="683">
        <f>SUM(J14:J16)</f>
        <v>127100</v>
      </c>
      <c r="K17" s="519">
        <f>J17/G17</f>
        <v>1</v>
      </c>
      <c r="L17" s="40"/>
      <c r="M17" s="683">
        <f>SUM(M14:M16)</f>
        <v>127100</v>
      </c>
      <c r="N17" s="519">
        <f>M17/G17</f>
        <v>1</v>
      </c>
    </row>
    <row r="18" spans="1:14" ht="30" customHeight="1" x14ac:dyDescent="0.3">
      <c r="A18" s="1510" t="s">
        <v>1907</v>
      </c>
      <c r="B18" s="1510" t="s">
        <v>217</v>
      </c>
      <c r="C18" s="645" t="s">
        <v>81</v>
      </c>
      <c r="D18" s="645" t="s">
        <v>218</v>
      </c>
      <c r="E18" s="645">
        <v>0</v>
      </c>
      <c r="F18" s="646">
        <v>1149124</v>
      </c>
      <c r="G18" s="646">
        <f>ROUND((E18*F18),0)</f>
        <v>0</v>
      </c>
      <c r="H18" s="1514" t="s">
        <v>1908</v>
      </c>
      <c r="I18" s="536">
        <v>0</v>
      </c>
      <c r="J18" s="685">
        <f>ROUND(I18*F18,0)</f>
        <v>0</v>
      </c>
      <c r="K18" s="684">
        <v>0</v>
      </c>
      <c r="L18" s="536">
        <f>I18</f>
        <v>0</v>
      </c>
      <c r="M18" s="685">
        <f>J18</f>
        <v>0</v>
      </c>
      <c r="N18" s="684">
        <v>0</v>
      </c>
    </row>
    <row r="19" spans="1:14" ht="28.8" x14ac:dyDescent="0.3">
      <c r="A19" s="1510"/>
      <c r="B19" s="1510"/>
      <c r="C19" s="645" t="s">
        <v>83</v>
      </c>
      <c r="D19" s="645" t="s">
        <v>219</v>
      </c>
      <c r="E19" s="645">
        <v>0</v>
      </c>
      <c r="F19" s="646">
        <v>2646468</v>
      </c>
      <c r="G19" s="646">
        <f>ROUND((E19*F19),0)</f>
        <v>0</v>
      </c>
      <c r="H19" s="1510"/>
      <c r="I19" s="536">
        <v>0</v>
      </c>
      <c r="J19" s="685">
        <f>ROUND(I19*F19,0)</f>
        <v>0</v>
      </c>
      <c r="K19" s="684">
        <v>0</v>
      </c>
      <c r="L19" s="536">
        <f>I19</f>
        <v>0</v>
      </c>
      <c r="M19" s="685">
        <f t="shared" ref="M19:M20" si="1">J19</f>
        <v>0</v>
      </c>
      <c r="N19" s="684">
        <v>0</v>
      </c>
    </row>
    <row r="20" spans="1:14" ht="28.8" x14ac:dyDescent="0.3">
      <c r="A20" s="1510"/>
      <c r="B20" s="1510"/>
      <c r="C20" s="645" t="s">
        <v>61</v>
      </c>
      <c r="D20" s="645" t="s">
        <v>220</v>
      </c>
      <c r="E20" s="645">
        <v>0.05</v>
      </c>
      <c r="F20" s="646">
        <v>3203618</v>
      </c>
      <c r="G20" s="646">
        <f>ROUND((E20*F20),0)</f>
        <v>160181</v>
      </c>
      <c r="H20" s="1510"/>
      <c r="I20" s="536">
        <v>0.05</v>
      </c>
      <c r="J20" s="685">
        <f>ROUND(I20*F20,0)</f>
        <v>160181</v>
      </c>
      <c r="K20" s="684">
        <f>J20/G20</f>
        <v>1</v>
      </c>
      <c r="L20" s="536">
        <f>I20</f>
        <v>0.05</v>
      </c>
      <c r="M20" s="685">
        <f t="shared" si="1"/>
        <v>160181</v>
      </c>
      <c r="N20" s="684">
        <f>M20/G20</f>
        <v>1</v>
      </c>
    </row>
    <row r="21" spans="1:14" x14ac:dyDescent="0.3">
      <c r="A21" s="1510"/>
      <c r="B21" s="1510"/>
      <c r="C21" s="647"/>
      <c r="D21" s="647" t="s">
        <v>221</v>
      </c>
      <c r="E21" s="648"/>
      <c r="F21" s="648"/>
      <c r="G21" s="649">
        <f>SUM(G18:G20)</f>
        <v>160181</v>
      </c>
      <c r="H21" s="1510"/>
      <c r="I21" s="40"/>
      <c r="J21" s="683">
        <f>SUM(J18:J20)</f>
        <v>160181</v>
      </c>
      <c r="K21" s="519">
        <f>J21/G21</f>
        <v>1</v>
      </c>
      <c r="L21" s="40"/>
      <c r="M21" s="683">
        <f>SUM(M18:M20)</f>
        <v>160181</v>
      </c>
      <c r="N21" s="519">
        <f>M21/G21</f>
        <v>1</v>
      </c>
    </row>
    <row r="22" spans="1:14" ht="30" customHeight="1" x14ac:dyDescent="0.3">
      <c r="A22" s="1510" t="s">
        <v>1907</v>
      </c>
      <c r="B22" s="1510" t="s">
        <v>170</v>
      </c>
      <c r="C22" s="645" t="s">
        <v>83</v>
      </c>
      <c r="D22" s="645" t="s">
        <v>123</v>
      </c>
      <c r="E22" s="645">
        <v>0</v>
      </c>
      <c r="F22" s="646">
        <v>1044658</v>
      </c>
      <c r="G22" s="646">
        <f>ROUND((E22*F22),0)</f>
        <v>0</v>
      </c>
      <c r="H22" s="1510" t="s">
        <v>1909</v>
      </c>
      <c r="I22" s="536">
        <v>0</v>
      </c>
      <c r="J22" s="685">
        <f>ROUND(I22*F22,0)</f>
        <v>0</v>
      </c>
      <c r="K22" s="684">
        <v>0</v>
      </c>
      <c r="L22" s="536">
        <f>I22</f>
        <v>0</v>
      </c>
      <c r="M22" s="685">
        <f>J22</f>
        <v>0</v>
      </c>
      <c r="N22" s="684">
        <v>0</v>
      </c>
    </row>
    <row r="23" spans="1:14" ht="28.8" x14ac:dyDescent="0.3">
      <c r="A23" s="1510"/>
      <c r="B23" s="1510"/>
      <c r="C23" s="645" t="s">
        <v>61</v>
      </c>
      <c r="D23" s="645" t="s">
        <v>125</v>
      </c>
      <c r="E23" s="645">
        <v>0.05</v>
      </c>
      <c r="F23" s="646">
        <v>1009836</v>
      </c>
      <c r="G23" s="646">
        <f>ROUND((E23*F23),0)</f>
        <v>50492</v>
      </c>
      <c r="H23" s="1510"/>
      <c r="I23" s="536">
        <v>0.05</v>
      </c>
      <c r="J23" s="685">
        <f>ROUND(I23*F23,0)</f>
        <v>50492</v>
      </c>
      <c r="K23" s="684">
        <f>J23/G23</f>
        <v>1</v>
      </c>
      <c r="L23" s="536">
        <f>I23</f>
        <v>0.05</v>
      </c>
      <c r="M23" s="685">
        <f>J23</f>
        <v>50492</v>
      </c>
      <c r="N23" s="684">
        <f>M23/G23</f>
        <v>1</v>
      </c>
    </row>
    <row r="24" spans="1:14" x14ac:dyDescent="0.3">
      <c r="A24" s="1510"/>
      <c r="B24" s="1510"/>
      <c r="C24" s="647"/>
      <c r="D24" s="647" t="s">
        <v>126</v>
      </c>
      <c r="E24" s="648"/>
      <c r="F24" s="648"/>
      <c r="G24" s="649">
        <f>SUM(G22:G23)</f>
        <v>50492</v>
      </c>
      <c r="H24" s="1510"/>
      <c r="I24" s="41"/>
      <c r="J24" s="683">
        <f>SUM(J22:J23)</f>
        <v>50492</v>
      </c>
      <c r="K24" s="519">
        <f>J24/G24</f>
        <v>1</v>
      </c>
      <c r="L24" s="40"/>
      <c r="M24" s="683">
        <f>SUM(M22:M23)</f>
        <v>50492</v>
      </c>
      <c r="N24" s="519">
        <f>M24/G24</f>
        <v>1</v>
      </c>
    </row>
    <row r="25" spans="1:14" s="643" customFormat="1" ht="30" customHeight="1" x14ac:dyDescent="0.3">
      <c r="A25" s="1510" t="s">
        <v>1576</v>
      </c>
      <c r="B25" s="1510" t="s">
        <v>217</v>
      </c>
      <c r="C25" s="645" t="s">
        <v>81</v>
      </c>
      <c r="D25" s="645" t="s">
        <v>218</v>
      </c>
      <c r="E25" s="645">
        <v>0</v>
      </c>
      <c r="F25" s="646">
        <v>1149124</v>
      </c>
      <c r="G25" s="646">
        <f>ROUND((E25*F25),0)</f>
        <v>0</v>
      </c>
      <c r="H25" s="1514" t="s">
        <v>1910</v>
      </c>
      <c r="I25" s="536">
        <v>0</v>
      </c>
      <c r="J25" s="685">
        <f>ROUND(I25*F25,0)</f>
        <v>0</v>
      </c>
      <c r="K25" s="684">
        <v>0</v>
      </c>
      <c r="L25" s="536">
        <f>I25</f>
        <v>0</v>
      </c>
      <c r="M25" s="685">
        <f>J25</f>
        <v>0</v>
      </c>
      <c r="N25" s="684">
        <v>0</v>
      </c>
    </row>
    <row r="26" spans="1:14" s="643" customFormat="1" ht="28.8" x14ac:dyDescent="0.3">
      <c r="A26" s="1510"/>
      <c r="B26" s="1510"/>
      <c r="C26" s="645" t="s">
        <v>83</v>
      </c>
      <c r="D26" s="645" t="s">
        <v>219</v>
      </c>
      <c r="E26" s="645">
        <v>0</v>
      </c>
      <c r="F26" s="646">
        <v>2646468</v>
      </c>
      <c r="G26" s="646">
        <f>ROUND((E26*F26),0)</f>
        <v>0</v>
      </c>
      <c r="H26" s="1510"/>
      <c r="I26" s="536">
        <v>0</v>
      </c>
      <c r="J26" s="685">
        <f>ROUND(I26*F26,0)</f>
        <v>0</v>
      </c>
      <c r="K26" s="684">
        <v>0</v>
      </c>
      <c r="L26" s="536">
        <f>I26</f>
        <v>0</v>
      </c>
      <c r="M26" s="685">
        <f t="shared" ref="M26:M27" si="2">J26</f>
        <v>0</v>
      </c>
      <c r="N26" s="684">
        <v>0</v>
      </c>
    </row>
    <row r="27" spans="1:14" s="643" customFormat="1" ht="28.8" x14ac:dyDescent="0.3">
      <c r="A27" s="1510"/>
      <c r="B27" s="1510"/>
      <c r="C27" s="645" t="s">
        <v>61</v>
      </c>
      <c r="D27" s="645" t="s">
        <v>220</v>
      </c>
      <c r="E27" s="645">
        <v>0.05</v>
      </c>
      <c r="F27" s="646">
        <v>3203618</v>
      </c>
      <c r="G27" s="646">
        <f>ROUND((E27*F27),0)</f>
        <v>160181</v>
      </c>
      <c r="H27" s="1510"/>
      <c r="I27" s="536">
        <v>0.05</v>
      </c>
      <c r="J27" s="685">
        <f>ROUND(I27*F27,0)</f>
        <v>160181</v>
      </c>
      <c r="K27" s="684">
        <f>J27/G27</f>
        <v>1</v>
      </c>
      <c r="L27" s="536">
        <f>I27</f>
        <v>0.05</v>
      </c>
      <c r="M27" s="685">
        <f t="shared" si="2"/>
        <v>160181</v>
      </c>
      <c r="N27" s="684">
        <f>M27/G27</f>
        <v>1</v>
      </c>
    </row>
    <row r="28" spans="1:14" s="643" customFormat="1" x14ac:dyDescent="0.3">
      <c r="A28" s="1510"/>
      <c r="B28" s="1510"/>
      <c r="C28" s="647"/>
      <c r="D28" s="647" t="s">
        <v>221</v>
      </c>
      <c r="E28" s="648"/>
      <c r="F28" s="648"/>
      <c r="G28" s="649">
        <f>SUM(G25:G27)</f>
        <v>160181</v>
      </c>
      <c r="H28" s="1510"/>
      <c r="I28" s="40"/>
      <c r="J28" s="683">
        <f>SUM(J25:J27)</f>
        <v>160181</v>
      </c>
      <c r="K28" s="519">
        <f>J28/G28</f>
        <v>1</v>
      </c>
      <c r="L28" s="40"/>
      <c r="M28" s="683">
        <f>SUM(M25:M27)</f>
        <v>160181</v>
      </c>
      <c r="N28" s="519">
        <f>M28/G28</f>
        <v>1</v>
      </c>
    </row>
    <row r="29" spans="1:14" ht="56.25" customHeight="1" x14ac:dyDescent="0.3">
      <c r="A29" s="1510" t="s">
        <v>1576</v>
      </c>
      <c r="B29" s="1510" t="s">
        <v>170</v>
      </c>
      <c r="C29" s="645" t="s">
        <v>83</v>
      </c>
      <c r="D29" s="645" t="s">
        <v>123</v>
      </c>
      <c r="E29" s="645">
        <v>0</v>
      </c>
      <c r="F29" s="646">
        <v>1044658</v>
      </c>
      <c r="G29" s="646">
        <f>ROUND((E29*F29),0)</f>
        <v>0</v>
      </c>
      <c r="H29" s="1510" t="s">
        <v>1909</v>
      </c>
      <c r="I29" s="536">
        <v>0</v>
      </c>
      <c r="J29" s="685">
        <f>ROUND(I29*F29,0)</f>
        <v>0</v>
      </c>
      <c r="K29" s="684">
        <v>0</v>
      </c>
      <c r="L29" s="536">
        <f>I29</f>
        <v>0</v>
      </c>
      <c r="M29" s="685">
        <f>J29</f>
        <v>0</v>
      </c>
      <c r="N29" s="684">
        <v>0</v>
      </c>
    </row>
    <row r="30" spans="1:14" ht="28.8" x14ac:dyDescent="0.3">
      <c r="A30" s="1510"/>
      <c r="B30" s="1510"/>
      <c r="C30" s="645" t="s">
        <v>61</v>
      </c>
      <c r="D30" s="645" t="s">
        <v>125</v>
      </c>
      <c r="E30" s="645">
        <v>0.05</v>
      </c>
      <c r="F30" s="646">
        <v>1009836</v>
      </c>
      <c r="G30" s="646">
        <f>ROUND((E30*F30),0)</f>
        <v>50492</v>
      </c>
      <c r="H30" s="1510"/>
      <c r="I30" s="536">
        <v>0.05</v>
      </c>
      <c r="J30" s="685">
        <f>ROUND(I30*F30,0)</f>
        <v>50492</v>
      </c>
      <c r="K30" s="684">
        <f>J30/G30</f>
        <v>1</v>
      </c>
      <c r="L30" s="536">
        <f>I30</f>
        <v>0.05</v>
      </c>
      <c r="M30" s="685">
        <f>J30</f>
        <v>50492</v>
      </c>
      <c r="N30" s="684">
        <f>M30/G30</f>
        <v>1</v>
      </c>
    </row>
    <row r="31" spans="1:14" x14ac:dyDescent="0.3">
      <c r="A31" s="1510"/>
      <c r="B31" s="1510"/>
      <c r="C31" s="647"/>
      <c r="D31" s="647" t="s">
        <v>126</v>
      </c>
      <c r="E31" s="648"/>
      <c r="F31" s="648"/>
      <c r="G31" s="649">
        <f>SUM(G29:G30)</f>
        <v>50492</v>
      </c>
      <c r="H31" s="1510"/>
      <c r="I31" s="41"/>
      <c r="J31" s="683">
        <f>SUM(J29:J30)</f>
        <v>50492</v>
      </c>
      <c r="K31" s="519">
        <f>J31/G31</f>
        <v>1</v>
      </c>
      <c r="L31" s="40"/>
      <c r="M31" s="683">
        <f>SUM(M29:M30)</f>
        <v>50492</v>
      </c>
      <c r="N31" s="519">
        <f>M31/G31</f>
        <v>1</v>
      </c>
    </row>
    <row r="32" spans="1:14" ht="19.5" customHeight="1" x14ac:dyDescent="0.3">
      <c r="A32" s="643"/>
      <c r="B32" s="643"/>
      <c r="C32" s="643"/>
      <c r="D32" s="643"/>
      <c r="E32" s="643"/>
      <c r="F32" s="686" t="s">
        <v>1740</v>
      </c>
      <c r="G32" s="687">
        <f>G17+G24+G21+G31+G28</f>
        <v>548446</v>
      </c>
      <c r="H32" s="643"/>
      <c r="I32" s="695" t="s">
        <v>64</v>
      </c>
      <c r="J32" s="715">
        <f>SUM(J14:J31)/2</f>
        <v>548446</v>
      </c>
      <c r="K32" s="716"/>
      <c r="L32" s="695" t="s">
        <v>64</v>
      </c>
      <c r="M32" s="715">
        <f>SUM(M14:M31)/2</f>
        <v>548446</v>
      </c>
      <c r="N32" s="642"/>
    </row>
    <row r="33" spans="1:14" x14ac:dyDescent="0.3">
      <c r="A33" s="643"/>
      <c r="B33" s="643"/>
      <c r="C33" s="643"/>
      <c r="D33" s="643"/>
      <c r="E33" s="643"/>
      <c r="F33" s="444" t="s">
        <v>65</v>
      </c>
      <c r="G33" s="181">
        <v>0</v>
      </c>
      <c r="H33" s="643"/>
      <c r="I33" s="666" t="s">
        <v>65</v>
      </c>
      <c r="J33" s="697"/>
      <c r="K33" s="642"/>
      <c r="L33" s="666" t="s">
        <v>65</v>
      </c>
      <c r="M33" s="697"/>
      <c r="N33" s="642"/>
    </row>
    <row r="34" spans="1:14" x14ac:dyDescent="0.3">
      <c r="A34" s="643"/>
      <c r="B34" s="643"/>
      <c r="C34" s="643"/>
      <c r="D34" s="643"/>
      <c r="E34" s="643"/>
      <c r="F34" s="443" t="s">
        <v>1740</v>
      </c>
      <c r="G34" s="340">
        <f>+G33+G32</f>
        <v>548446</v>
      </c>
      <c r="H34" s="643"/>
      <c r="I34" s="698" t="s">
        <v>64</v>
      </c>
      <c r="J34" s="697">
        <f>J32+J33</f>
        <v>548446</v>
      </c>
      <c r="K34" s="642"/>
      <c r="L34" s="698" t="s">
        <v>64</v>
      </c>
      <c r="M34" s="697">
        <f>M32+M33</f>
        <v>548446</v>
      </c>
      <c r="N34" s="642"/>
    </row>
    <row r="35" spans="1:14" ht="27.6" x14ac:dyDescent="0.3">
      <c r="A35" s="643"/>
      <c r="B35" s="643"/>
      <c r="C35" s="643"/>
      <c r="D35" s="643"/>
      <c r="E35" s="643"/>
      <c r="F35" s="659"/>
      <c r="G35" s="659"/>
      <c r="H35" s="643"/>
      <c r="I35" s="699" t="s">
        <v>1439</v>
      </c>
      <c r="J35" s="697">
        <f>ROUND(J34*0.015,0)</f>
        <v>8227</v>
      </c>
      <c r="K35" s="642"/>
      <c r="L35" s="699" t="s">
        <v>1439</v>
      </c>
      <c r="M35" s="697">
        <f>ROUND(M34*0.015,0)</f>
        <v>8227</v>
      </c>
      <c r="N35" s="642"/>
    </row>
    <row r="36" spans="1:14" ht="27.6" x14ac:dyDescent="0.3">
      <c r="A36" s="643"/>
      <c r="B36" s="643"/>
      <c r="C36" s="643"/>
      <c r="D36" s="643"/>
      <c r="E36" s="643"/>
      <c r="F36" s="659"/>
      <c r="G36" s="659"/>
      <c r="H36" s="643"/>
      <c r="I36" s="700" t="s">
        <v>1440</v>
      </c>
      <c r="J36" s="425">
        <f>J34+J35</f>
        <v>556673</v>
      </c>
      <c r="K36" s="701">
        <f>J36/G32</f>
        <v>1.0150005652334049</v>
      </c>
      <c r="L36" s="700" t="s">
        <v>1440</v>
      </c>
      <c r="M36" s="425">
        <f>M34+M35</f>
        <v>556673</v>
      </c>
      <c r="N36" s="701">
        <f>M36/G32</f>
        <v>1.0150005652334049</v>
      </c>
    </row>
    <row r="37" spans="1:14" x14ac:dyDescent="0.3">
      <c r="A37" s="643"/>
      <c r="B37" s="643"/>
      <c r="C37" s="643"/>
      <c r="D37" s="643"/>
      <c r="E37" s="643"/>
      <c r="F37" s="442" t="s">
        <v>66</v>
      </c>
      <c r="G37" s="181">
        <f>+G32*19%</f>
        <v>104204.74</v>
      </c>
      <c r="H37" s="643"/>
      <c r="I37" s="702" t="s">
        <v>66</v>
      </c>
      <c r="J37" s="703">
        <f>J36*0.19</f>
        <v>105767.87</v>
      </c>
      <c r="K37" s="642"/>
      <c r="L37" s="702" t="s">
        <v>66</v>
      </c>
      <c r="M37" s="703">
        <f>M36*0.19</f>
        <v>105767.87</v>
      </c>
      <c r="N37" s="642"/>
    </row>
    <row r="38" spans="1:14" x14ac:dyDescent="0.3">
      <c r="A38" s="643"/>
      <c r="B38" s="643"/>
      <c r="C38" s="643"/>
      <c r="D38" s="643"/>
      <c r="E38" s="643"/>
      <c r="F38" s="441" t="s">
        <v>69</v>
      </c>
      <c r="G38" s="181">
        <f>+G32+G37</f>
        <v>652650.74</v>
      </c>
      <c r="H38" s="643"/>
      <c r="I38" s="704" t="s">
        <v>69</v>
      </c>
      <c r="J38" s="703">
        <f>J36+J37</f>
        <v>662440.87</v>
      </c>
      <c r="K38" s="642"/>
      <c r="L38" s="704" t="s">
        <v>69</v>
      </c>
      <c r="M38" s="703">
        <f>M36+M37</f>
        <v>662440.87</v>
      </c>
      <c r="N38" s="642"/>
    </row>
    <row r="39" spans="1:14" x14ac:dyDescent="0.3">
      <c r="A39" s="643"/>
      <c r="B39" s="643"/>
      <c r="C39" s="643"/>
      <c r="D39" s="643"/>
      <c r="E39" s="643"/>
      <c r="F39" s="643"/>
      <c r="G39" s="643"/>
      <c r="H39" s="643"/>
      <c r="I39" s="642"/>
      <c r="J39" s="642"/>
      <c r="K39" s="642"/>
      <c r="L39" s="642"/>
      <c r="M39" s="642"/>
      <c r="N39" s="642"/>
    </row>
    <row r="40" spans="1:14" ht="27.6" x14ac:dyDescent="0.3">
      <c r="A40" s="665" t="s">
        <v>67</v>
      </c>
      <c r="B40" s="184"/>
      <c r="C40" s="184"/>
      <c r="D40" s="185" t="s">
        <v>68</v>
      </c>
      <c r="E40" s="643"/>
      <c r="F40" s="643"/>
      <c r="G40" s="643"/>
      <c r="H40" s="643"/>
      <c r="I40" s="705" t="s">
        <v>70</v>
      </c>
      <c r="J40" s="706" t="s">
        <v>71</v>
      </c>
      <c r="K40" s="705" t="s">
        <v>58</v>
      </c>
      <c r="L40" s="642"/>
      <c r="M40" s="642"/>
      <c r="N40" s="642"/>
    </row>
    <row r="41" spans="1:14" x14ac:dyDescent="0.3">
      <c r="A41" s="665"/>
      <c r="B41" s="184"/>
      <c r="C41" s="184"/>
      <c r="D41" s="185"/>
      <c r="E41" s="643"/>
      <c r="F41" s="643"/>
      <c r="G41" s="643"/>
      <c r="H41" s="643"/>
      <c r="I41" s="707" t="s">
        <v>72</v>
      </c>
      <c r="J41" s="708">
        <f>J36</f>
        <v>556673</v>
      </c>
      <c r="K41" s="709">
        <f>K36</f>
        <v>1.0150005652334049</v>
      </c>
      <c r="L41" s="642"/>
      <c r="M41" s="642"/>
      <c r="N41" s="642"/>
    </row>
    <row r="42" spans="1:14" x14ac:dyDescent="0.3">
      <c r="A42" s="665"/>
      <c r="B42" s="184"/>
      <c r="C42" s="184"/>
      <c r="D42" s="185"/>
      <c r="E42" s="643"/>
      <c r="F42" s="643"/>
      <c r="G42" s="643"/>
      <c r="H42" s="643"/>
      <c r="I42" s="710" t="s">
        <v>1</v>
      </c>
      <c r="J42" s="711">
        <f>J41</f>
        <v>556673</v>
      </c>
      <c r="K42" s="712">
        <f>K41</f>
        <v>1.0150005652334049</v>
      </c>
      <c r="L42" s="642"/>
      <c r="M42" s="642"/>
      <c r="N42" s="642"/>
    </row>
    <row r="43" spans="1:14" x14ac:dyDescent="0.3">
      <c r="A43" s="665"/>
      <c r="B43" s="184"/>
      <c r="C43" s="184"/>
      <c r="D43" s="185"/>
      <c r="E43" s="643"/>
      <c r="F43" s="643"/>
      <c r="G43" s="643"/>
      <c r="H43" s="643"/>
      <c r="I43" s="710" t="s">
        <v>9</v>
      </c>
      <c r="J43" s="1517"/>
      <c r="K43" s="1518"/>
      <c r="L43" s="642"/>
      <c r="M43" s="642"/>
      <c r="N43" s="642"/>
    </row>
    <row r="44" spans="1:14" x14ac:dyDescent="0.3">
      <c r="A44" s="665"/>
      <c r="B44" s="184"/>
      <c r="C44" s="184"/>
      <c r="D44" s="185"/>
      <c r="E44" s="643"/>
      <c r="F44" s="643"/>
      <c r="G44" s="643"/>
      <c r="H44" s="643"/>
      <c r="I44" s="713" t="s">
        <v>78</v>
      </c>
      <c r="J44" s="1517" t="s">
        <v>310</v>
      </c>
      <c r="K44" s="1518"/>
      <c r="L44" s="642"/>
      <c r="M44" s="642"/>
      <c r="N44" s="642"/>
    </row>
    <row r="45" spans="1:14" x14ac:dyDescent="0.3">
      <c r="A45" s="665"/>
      <c r="B45" s="184"/>
      <c r="C45" s="184"/>
      <c r="D45" s="185"/>
      <c r="E45" s="643"/>
      <c r="F45" s="643"/>
      <c r="G45" s="643"/>
      <c r="H45" s="643"/>
      <c r="I45" s="714" t="s">
        <v>8</v>
      </c>
      <c r="J45" s="1515" t="s">
        <v>311</v>
      </c>
      <c r="K45" s="1516"/>
      <c r="L45" s="642"/>
      <c r="M45" s="642"/>
      <c r="N45" s="642"/>
    </row>
    <row r="46" spans="1:14" x14ac:dyDescent="0.3">
      <c r="A46" s="665"/>
      <c r="B46" s="184"/>
      <c r="C46" s="184"/>
      <c r="D46" s="185" t="s">
        <v>75</v>
      </c>
      <c r="E46" s="643"/>
      <c r="F46" s="643"/>
      <c r="G46" s="643"/>
      <c r="H46" s="643"/>
      <c r="I46" s="643"/>
      <c r="J46" s="643"/>
      <c r="K46" s="643"/>
      <c r="L46" s="643"/>
      <c r="M46" s="643"/>
      <c r="N46" s="643"/>
    </row>
    <row r="47" spans="1:14" x14ac:dyDescent="0.3">
      <c r="A47" s="665" t="s">
        <v>76</v>
      </c>
      <c r="B47" s="180"/>
      <c r="C47" s="180"/>
      <c r="D47" s="185" t="s">
        <v>77</v>
      </c>
      <c r="E47" s="643"/>
      <c r="F47" s="643"/>
      <c r="G47" s="643"/>
      <c r="H47" s="643"/>
      <c r="I47" s="643"/>
      <c r="J47" s="643"/>
      <c r="K47" s="643"/>
      <c r="L47" s="643"/>
      <c r="M47" s="643"/>
      <c r="N47" s="643"/>
    </row>
    <row r="48" spans="1:14" x14ac:dyDescent="0.3">
      <c r="A48" s="665" t="s">
        <v>79</v>
      </c>
      <c r="B48" s="180"/>
      <c r="C48" s="180"/>
      <c r="D48" s="185" t="s">
        <v>80</v>
      </c>
      <c r="E48" s="643"/>
      <c r="F48" s="643"/>
      <c r="G48" s="643"/>
      <c r="H48" s="643"/>
      <c r="I48" s="643"/>
      <c r="J48" s="643"/>
      <c r="K48" s="643"/>
      <c r="L48" s="643"/>
      <c r="M48" s="643"/>
      <c r="N48" s="643"/>
    </row>
    <row r="49" spans="1:14" x14ac:dyDescent="0.3">
      <c r="A49" s="643"/>
      <c r="B49" s="643"/>
      <c r="C49" s="643"/>
      <c r="D49" s="643"/>
      <c r="E49" s="643"/>
      <c r="F49" s="643"/>
      <c r="G49" s="643"/>
      <c r="H49" s="643"/>
      <c r="I49" s="643"/>
      <c r="J49" s="643"/>
      <c r="K49" s="643"/>
      <c r="L49" s="643"/>
      <c r="M49" s="643"/>
      <c r="N49" s="643"/>
    </row>
  </sheetData>
  <mergeCells count="33">
    <mergeCell ref="J43:K43"/>
    <mergeCell ref="J44:K44"/>
    <mergeCell ref="J45:K45"/>
    <mergeCell ref="A25:A28"/>
    <mergeCell ref="B25:B28"/>
    <mergeCell ref="H25:H28"/>
    <mergeCell ref="A22:A24"/>
    <mergeCell ref="B22:B24"/>
    <mergeCell ref="H22:H24"/>
    <mergeCell ref="A29:A31"/>
    <mergeCell ref="B29:B31"/>
    <mergeCell ref="H29:H31"/>
    <mergeCell ref="A14:A17"/>
    <mergeCell ref="B14:B17"/>
    <mergeCell ref="H14:H17"/>
    <mergeCell ref="A18:A21"/>
    <mergeCell ref="B18:B21"/>
    <mergeCell ref="H18:H21"/>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s>
  <pageMargins left="0.7" right="0.7" top="0.75" bottom="0.75" header="0.3" footer="0.3"/>
  <drawing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7">
    <tabColor rgb="FF92D050"/>
  </sheetPr>
  <dimension ref="A1:N55"/>
  <sheetViews>
    <sheetView topLeftCell="A31" zoomScale="60" zoomScaleNormal="60" workbookViewId="0">
      <selection activeCell="F40" sqref="F40:G41"/>
    </sheetView>
  </sheetViews>
  <sheetFormatPr baseColWidth="10" defaultRowHeight="14.4" x14ac:dyDescent="0.3"/>
  <cols>
    <col min="1" max="1" width="18" customWidth="1"/>
    <col min="2" max="2" width="29.6640625" customWidth="1"/>
    <col min="3" max="3" width="39" customWidth="1"/>
    <col min="4" max="4" width="33" customWidth="1"/>
    <col min="6" max="6" width="17.5546875" customWidth="1"/>
    <col min="7" max="7" width="19.6640625" customWidth="1"/>
    <col min="8" max="8" width="51" customWidth="1"/>
    <col min="9" max="9" width="22.6640625" customWidth="1"/>
    <col min="10" max="10" width="15.88671875" bestFit="1" customWidth="1"/>
    <col min="12" max="12" width="23.109375" customWidth="1"/>
    <col min="13" max="13" width="12.6640625" bestFit="1"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1915</v>
      </c>
      <c r="B10" s="1292"/>
      <c r="C10" s="1292"/>
      <c r="D10" s="1292"/>
      <c r="E10" s="1292"/>
      <c r="F10" s="1292"/>
      <c r="G10" s="1292"/>
      <c r="H10" s="1292"/>
      <c r="I10" s="1292"/>
      <c r="J10" s="1292"/>
      <c r="K10" s="1292"/>
      <c r="L10" s="1292"/>
      <c r="M10" s="1292"/>
      <c r="N10" s="1292"/>
    </row>
    <row r="11" spans="1:14" x14ac:dyDescent="0.3">
      <c r="A11" s="640"/>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51" customHeight="1" x14ac:dyDescent="0.3">
      <c r="A14" s="1289" t="s">
        <v>201</v>
      </c>
      <c r="B14" s="1289" t="s">
        <v>165</v>
      </c>
      <c r="C14" s="641" t="s">
        <v>81</v>
      </c>
      <c r="D14" s="641" t="s">
        <v>166</v>
      </c>
      <c r="E14" s="641">
        <v>0</v>
      </c>
      <c r="F14" s="32">
        <v>1149124</v>
      </c>
      <c r="G14" s="32">
        <f>ROUND((E14*F14),0)</f>
        <v>0</v>
      </c>
      <c r="H14" s="1289" t="s">
        <v>1912</v>
      </c>
      <c r="I14" s="536">
        <v>0</v>
      </c>
      <c r="J14" s="685">
        <f>ROUND(I14*F14,0)</f>
        <v>0</v>
      </c>
      <c r="K14" s="684">
        <v>0</v>
      </c>
      <c r="L14" s="536">
        <f>I14</f>
        <v>0</v>
      </c>
      <c r="M14" s="685">
        <f>J14</f>
        <v>0</v>
      </c>
      <c r="N14" s="684">
        <v>0</v>
      </c>
    </row>
    <row r="15" spans="1:14" ht="51" customHeight="1" x14ac:dyDescent="0.3">
      <c r="A15" s="1289"/>
      <c r="B15" s="1289"/>
      <c r="C15" s="641" t="s">
        <v>83</v>
      </c>
      <c r="D15" s="641" t="s">
        <v>167</v>
      </c>
      <c r="E15" s="641">
        <v>0</v>
      </c>
      <c r="F15" s="32">
        <v>2646468</v>
      </c>
      <c r="G15" s="32">
        <f>ROUND((E15*F15),0)</f>
        <v>0</v>
      </c>
      <c r="H15" s="1289"/>
      <c r="I15" s="536">
        <v>0</v>
      </c>
      <c r="J15" s="685">
        <f>ROUND(I15*F15,0)</f>
        <v>0</v>
      </c>
      <c r="K15" s="684">
        <v>0</v>
      </c>
      <c r="L15" s="536">
        <f>I15</f>
        <v>0</v>
      </c>
      <c r="M15" s="685">
        <f t="shared" ref="M15:M16" si="0">J15</f>
        <v>0</v>
      </c>
      <c r="N15" s="684">
        <v>0</v>
      </c>
    </row>
    <row r="16" spans="1:14" ht="48.75" customHeight="1" x14ac:dyDescent="0.3">
      <c r="A16" s="1289"/>
      <c r="B16" s="1289"/>
      <c r="C16" s="641" t="s">
        <v>61</v>
      </c>
      <c r="D16" s="641" t="s">
        <v>168</v>
      </c>
      <c r="E16" s="641">
        <v>0.05</v>
      </c>
      <c r="F16" s="32">
        <v>2542001</v>
      </c>
      <c r="G16" s="32">
        <f>ROUND((E16*F16),0)</f>
        <v>127100</v>
      </c>
      <c r="H16" s="1289"/>
      <c r="I16" s="536">
        <v>0.05</v>
      </c>
      <c r="J16" s="685">
        <f>ROUND(I16*F16,0)</f>
        <v>127100</v>
      </c>
      <c r="K16" s="684">
        <f>J16/G16</f>
        <v>1</v>
      </c>
      <c r="L16" s="536">
        <f>I16</f>
        <v>0.05</v>
      </c>
      <c r="M16" s="685">
        <f t="shared" si="0"/>
        <v>127100</v>
      </c>
      <c r="N16" s="684">
        <f>M16/G16</f>
        <v>1</v>
      </c>
    </row>
    <row r="17" spans="1:14" x14ac:dyDescent="0.3">
      <c r="A17" s="1289"/>
      <c r="B17" s="1289"/>
      <c r="C17" s="39"/>
      <c r="D17" s="39" t="s">
        <v>169</v>
      </c>
      <c r="E17" s="41"/>
      <c r="F17" s="41"/>
      <c r="G17" s="42">
        <f>SUM(G14:G16)</f>
        <v>127100</v>
      </c>
      <c r="H17" s="1289"/>
      <c r="I17" s="40"/>
      <c r="J17" s="683">
        <f>SUM(J14:J16)</f>
        <v>127100</v>
      </c>
      <c r="K17" s="519">
        <f>J17/G17</f>
        <v>1</v>
      </c>
      <c r="L17" s="40"/>
      <c r="M17" s="683">
        <f>SUM(M14:M16)</f>
        <v>127100</v>
      </c>
      <c r="N17" s="519">
        <f>M17/G17</f>
        <v>1</v>
      </c>
    </row>
    <row r="18" spans="1:14" ht="41.25" customHeight="1" x14ac:dyDescent="0.3">
      <c r="A18" s="1289" t="s">
        <v>151</v>
      </c>
      <c r="B18" s="1289" t="s">
        <v>217</v>
      </c>
      <c r="C18" s="641" t="s">
        <v>81</v>
      </c>
      <c r="D18" s="641" t="s">
        <v>218</v>
      </c>
      <c r="E18" s="641">
        <v>0</v>
      </c>
      <c r="F18" s="32">
        <v>1149124</v>
      </c>
      <c r="G18" s="32">
        <f>ROUND((E18*F18),0)</f>
        <v>0</v>
      </c>
      <c r="H18" s="1289" t="s">
        <v>1913</v>
      </c>
      <c r="I18" s="536">
        <v>0</v>
      </c>
      <c r="J18" s="685">
        <f>ROUND(I18*F18,0)</f>
        <v>0</v>
      </c>
      <c r="K18" s="684">
        <v>0</v>
      </c>
      <c r="L18" s="536">
        <f>I18</f>
        <v>0</v>
      </c>
      <c r="M18" s="685">
        <f>J18</f>
        <v>0</v>
      </c>
      <c r="N18" s="684">
        <v>0</v>
      </c>
    </row>
    <row r="19" spans="1:14" ht="57" customHeight="1" x14ac:dyDescent="0.3">
      <c r="A19" s="1289"/>
      <c r="B19" s="1289"/>
      <c r="C19" s="641" t="s">
        <v>83</v>
      </c>
      <c r="D19" s="641" t="s">
        <v>219</v>
      </c>
      <c r="E19" s="641">
        <v>0.05</v>
      </c>
      <c r="F19" s="32">
        <v>2646468</v>
      </c>
      <c r="G19" s="32">
        <f>ROUND((E19*F19),0)</f>
        <v>132323</v>
      </c>
      <c r="H19" s="1289"/>
      <c r="I19" s="536">
        <v>0.05</v>
      </c>
      <c r="J19" s="685">
        <f>ROUND(I19*F19,0)</f>
        <v>132323</v>
      </c>
      <c r="K19" s="684">
        <f>J19/G19</f>
        <v>1</v>
      </c>
      <c r="L19" s="536">
        <f>I19</f>
        <v>0.05</v>
      </c>
      <c r="M19" s="685">
        <f t="shared" ref="M19:M20" si="1">J19</f>
        <v>132323</v>
      </c>
      <c r="N19" s="684">
        <f>M19/G19</f>
        <v>1</v>
      </c>
    </row>
    <row r="20" spans="1:14" ht="45" customHeight="1" x14ac:dyDescent="0.3">
      <c r="A20" s="1289"/>
      <c r="B20" s="1289"/>
      <c r="C20" s="641" t="s">
        <v>61</v>
      </c>
      <c r="D20" s="641" t="s">
        <v>220</v>
      </c>
      <c r="E20" s="641">
        <v>0.05</v>
      </c>
      <c r="F20" s="32">
        <v>3203618</v>
      </c>
      <c r="G20" s="32">
        <f>ROUND((E20*F20),0)</f>
        <v>160181</v>
      </c>
      <c r="H20" s="1289"/>
      <c r="I20" s="536">
        <v>0.05</v>
      </c>
      <c r="J20" s="685">
        <f>ROUND(I20*F20,0)</f>
        <v>160181</v>
      </c>
      <c r="K20" s="684">
        <f>J20/G20</f>
        <v>1</v>
      </c>
      <c r="L20" s="536">
        <f>I20</f>
        <v>0.05</v>
      </c>
      <c r="M20" s="685">
        <f t="shared" si="1"/>
        <v>160181</v>
      </c>
      <c r="N20" s="684">
        <f>M20/G20</f>
        <v>1</v>
      </c>
    </row>
    <row r="21" spans="1:14" x14ac:dyDescent="0.3">
      <c r="A21" s="1289"/>
      <c r="B21" s="1289"/>
      <c r="C21" s="39"/>
      <c r="D21" s="39" t="s">
        <v>221</v>
      </c>
      <c r="E21" s="41"/>
      <c r="F21" s="41"/>
      <c r="G21" s="42">
        <f>SUM(G18:G20)</f>
        <v>292504</v>
      </c>
      <c r="H21" s="1289"/>
      <c r="I21" s="40"/>
      <c r="J21" s="683">
        <f>SUM(J18:J20)</f>
        <v>292504</v>
      </c>
      <c r="K21" s="519">
        <f>J21/G21</f>
        <v>1</v>
      </c>
      <c r="L21" s="40"/>
      <c r="M21" s="683">
        <f>SUM(M18:M20)</f>
        <v>292504</v>
      </c>
      <c r="N21" s="519">
        <f>M21/G21</f>
        <v>1</v>
      </c>
    </row>
    <row r="22" spans="1:14" ht="54" customHeight="1" x14ac:dyDescent="0.3">
      <c r="A22" s="1289" t="s">
        <v>151</v>
      </c>
      <c r="B22" s="1289" t="s">
        <v>170</v>
      </c>
      <c r="C22" s="641" t="s">
        <v>83</v>
      </c>
      <c r="D22" s="641" t="s">
        <v>123</v>
      </c>
      <c r="E22" s="641">
        <v>0</v>
      </c>
      <c r="F22" s="32">
        <v>1044658</v>
      </c>
      <c r="G22" s="32">
        <f>ROUND((E22*F22),0)</f>
        <v>0</v>
      </c>
      <c r="H22" s="1289" t="s">
        <v>1914</v>
      </c>
      <c r="I22" s="536">
        <v>0</v>
      </c>
      <c r="J22" s="685">
        <f>ROUND(I22*F22,0)</f>
        <v>0</v>
      </c>
      <c r="K22" s="684">
        <v>0</v>
      </c>
      <c r="L22" s="536">
        <f>I22</f>
        <v>0</v>
      </c>
      <c r="M22" s="685">
        <f>J22</f>
        <v>0</v>
      </c>
      <c r="N22" s="684">
        <v>0</v>
      </c>
    </row>
    <row r="23" spans="1:14" ht="49.5" customHeight="1" x14ac:dyDescent="0.3">
      <c r="A23" s="1289"/>
      <c r="B23" s="1289"/>
      <c r="C23" s="641" t="s">
        <v>61</v>
      </c>
      <c r="D23" s="641" t="s">
        <v>125</v>
      </c>
      <c r="E23" s="641">
        <v>0.05</v>
      </c>
      <c r="F23" s="32">
        <v>1009836</v>
      </c>
      <c r="G23" s="32">
        <f>ROUND((E23*F23),0)</f>
        <v>50492</v>
      </c>
      <c r="H23" s="1289"/>
      <c r="I23" s="536">
        <v>0.05</v>
      </c>
      <c r="J23" s="685">
        <f>ROUND(I23*F23,0)</f>
        <v>50492</v>
      </c>
      <c r="K23" s="684">
        <f>J23/G23</f>
        <v>1</v>
      </c>
      <c r="L23" s="536">
        <f>I23</f>
        <v>0.05</v>
      </c>
      <c r="M23" s="685">
        <f>J23</f>
        <v>50492</v>
      </c>
      <c r="N23" s="684">
        <f>M23/G23</f>
        <v>1</v>
      </c>
    </row>
    <row r="24" spans="1:14" x14ac:dyDescent="0.3">
      <c r="A24" s="1289"/>
      <c r="B24" s="1289"/>
      <c r="C24" s="39"/>
      <c r="D24" s="39" t="s">
        <v>126</v>
      </c>
      <c r="E24" s="41"/>
      <c r="F24" s="41"/>
      <c r="G24" s="42">
        <f>SUM(G22:G23)</f>
        <v>50492</v>
      </c>
      <c r="H24" s="1289"/>
      <c r="I24" s="41"/>
      <c r="J24" s="683">
        <f>SUM(J22:J23)</f>
        <v>50492</v>
      </c>
      <c r="K24" s="519">
        <f>J24/G24</f>
        <v>1</v>
      </c>
      <c r="L24" s="40"/>
      <c r="M24" s="683">
        <f>SUM(M22:M23)</f>
        <v>50492</v>
      </c>
      <c r="N24" s="519">
        <f>M24/G24</f>
        <v>1</v>
      </c>
    </row>
    <row r="25" spans="1:14" ht="54.75" customHeight="1" x14ac:dyDescent="0.3">
      <c r="A25" s="1289" t="s">
        <v>109</v>
      </c>
      <c r="B25" s="1289" t="s">
        <v>217</v>
      </c>
      <c r="C25" s="641" t="s">
        <v>81</v>
      </c>
      <c r="D25" s="641" t="s">
        <v>218</v>
      </c>
      <c r="E25" s="641">
        <v>0</v>
      </c>
      <c r="F25" s="32">
        <v>1149124</v>
      </c>
      <c r="G25" s="32">
        <f>ROUND((E25*F25),0)</f>
        <v>0</v>
      </c>
      <c r="H25" s="1289" t="s">
        <v>1913</v>
      </c>
      <c r="I25" s="536">
        <v>0</v>
      </c>
      <c r="J25" s="685">
        <f>ROUND(I25*F25,0)</f>
        <v>0</v>
      </c>
      <c r="K25" s="684">
        <v>0</v>
      </c>
      <c r="L25" s="536">
        <f>I25</f>
        <v>0</v>
      </c>
      <c r="M25" s="685">
        <f>J25</f>
        <v>0</v>
      </c>
      <c r="N25" s="684">
        <v>0</v>
      </c>
    </row>
    <row r="26" spans="1:14" ht="47.25" customHeight="1" x14ac:dyDescent="0.3">
      <c r="A26" s="1289"/>
      <c r="B26" s="1289"/>
      <c r="C26" s="641" t="s">
        <v>83</v>
      </c>
      <c r="D26" s="641" t="s">
        <v>219</v>
      </c>
      <c r="E26" s="641">
        <v>0</v>
      </c>
      <c r="F26" s="32">
        <v>2646468</v>
      </c>
      <c r="G26" s="32">
        <f>ROUND((E26*F26),0)</f>
        <v>0</v>
      </c>
      <c r="H26" s="1289"/>
      <c r="I26" s="536">
        <v>0</v>
      </c>
      <c r="J26" s="685">
        <f>ROUND(I26*F26,0)</f>
        <v>0</v>
      </c>
      <c r="K26" s="684">
        <v>0</v>
      </c>
      <c r="L26" s="536">
        <f>I26</f>
        <v>0</v>
      </c>
      <c r="M26" s="685">
        <f t="shared" ref="M26:M27" si="2">J26</f>
        <v>0</v>
      </c>
      <c r="N26" s="684">
        <v>0</v>
      </c>
    </row>
    <row r="27" spans="1:14" ht="56.25" customHeight="1" x14ac:dyDescent="0.3">
      <c r="A27" s="1289"/>
      <c r="B27" s="1289"/>
      <c r="C27" s="641" t="s">
        <v>61</v>
      </c>
      <c r="D27" s="641" t="s">
        <v>220</v>
      </c>
      <c r="E27" s="641">
        <v>0.05</v>
      </c>
      <c r="F27" s="32">
        <v>3203618</v>
      </c>
      <c r="G27" s="32">
        <f>ROUND((E27*F27),0)</f>
        <v>160181</v>
      </c>
      <c r="H27" s="1289"/>
      <c r="I27" s="536">
        <v>0.05</v>
      </c>
      <c r="J27" s="685">
        <f>ROUND(I27*F27,0)</f>
        <v>160181</v>
      </c>
      <c r="K27" s="684">
        <f>J27/G27</f>
        <v>1</v>
      </c>
      <c r="L27" s="536">
        <f>I27</f>
        <v>0.05</v>
      </c>
      <c r="M27" s="685">
        <f t="shared" si="2"/>
        <v>160181</v>
      </c>
      <c r="N27" s="684">
        <f>M27/G27</f>
        <v>1</v>
      </c>
    </row>
    <row r="28" spans="1:14" x14ac:dyDescent="0.3">
      <c r="A28" s="1289"/>
      <c r="B28" s="1289"/>
      <c r="C28" s="39"/>
      <c r="D28" s="39" t="s">
        <v>221</v>
      </c>
      <c r="E28" s="41"/>
      <c r="F28" s="41"/>
      <c r="G28" s="42">
        <f>SUM(G25:G27)</f>
        <v>160181</v>
      </c>
      <c r="H28" s="1289"/>
      <c r="I28" s="40"/>
      <c r="J28" s="683">
        <f>SUM(J25:J27)</f>
        <v>160181</v>
      </c>
      <c r="K28" s="519">
        <f>J28/G28</f>
        <v>1</v>
      </c>
      <c r="L28" s="40"/>
      <c r="M28" s="683">
        <f>SUM(M25:M27)</f>
        <v>160181</v>
      </c>
      <c r="N28" s="519">
        <f>M28/G28</f>
        <v>1</v>
      </c>
    </row>
    <row r="29" spans="1:14" ht="52.5" customHeight="1" x14ac:dyDescent="0.3">
      <c r="A29" s="1289" t="s">
        <v>109</v>
      </c>
      <c r="B29" s="1289" t="s">
        <v>170</v>
      </c>
      <c r="C29" s="641" t="s">
        <v>83</v>
      </c>
      <c r="D29" s="641" t="s">
        <v>123</v>
      </c>
      <c r="E29" s="641">
        <v>0</v>
      </c>
      <c r="F29" s="32">
        <v>1044658</v>
      </c>
      <c r="G29" s="32">
        <f>ROUND((E29*F29),0)</f>
        <v>0</v>
      </c>
      <c r="H29" s="1289" t="s">
        <v>1914</v>
      </c>
      <c r="I29" s="536">
        <v>0</v>
      </c>
      <c r="J29" s="685">
        <f>ROUND(I29*F29,0)</f>
        <v>0</v>
      </c>
      <c r="K29" s="684">
        <v>0</v>
      </c>
      <c r="L29" s="536">
        <f>I29</f>
        <v>0</v>
      </c>
      <c r="M29" s="685">
        <f>J29</f>
        <v>0</v>
      </c>
      <c r="N29" s="684">
        <v>0</v>
      </c>
    </row>
    <row r="30" spans="1:14" ht="61.5" customHeight="1" x14ac:dyDescent="0.3">
      <c r="A30" s="1289"/>
      <c r="B30" s="1289"/>
      <c r="C30" s="641" t="s">
        <v>61</v>
      </c>
      <c r="D30" s="641" t="s">
        <v>125</v>
      </c>
      <c r="E30" s="641">
        <v>0.05</v>
      </c>
      <c r="F30" s="32">
        <v>1009836</v>
      </c>
      <c r="G30" s="32">
        <f>ROUND((E30*F30),0)</f>
        <v>50492</v>
      </c>
      <c r="H30" s="1289"/>
      <c r="I30" s="536">
        <v>0.05</v>
      </c>
      <c r="J30" s="685">
        <f>ROUND(I30*F30,0)</f>
        <v>50492</v>
      </c>
      <c r="K30" s="684">
        <f>J30/G30</f>
        <v>1</v>
      </c>
      <c r="L30" s="536">
        <f>I30</f>
        <v>0.05</v>
      </c>
      <c r="M30" s="685">
        <f>J30</f>
        <v>50492</v>
      </c>
      <c r="N30" s="684">
        <f>M30/G30</f>
        <v>1</v>
      </c>
    </row>
    <row r="31" spans="1:14" x14ac:dyDescent="0.3">
      <c r="A31" s="1289"/>
      <c r="B31" s="1289"/>
      <c r="C31" s="39"/>
      <c r="D31" s="39" t="s">
        <v>126</v>
      </c>
      <c r="E31" s="41"/>
      <c r="F31" s="41"/>
      <c r="G31" s="42">
        <f>SUM(G29:G30)</f>
        <v>50492</v>
      </c>
      <c r="H31" s="1289"/>
      <c r="I31" s="41"/>
      <c r="J31" s="683">
        <f>SUM(J29:J30)</f>
        <v>50492</v>
      </c>
      <c r="K31" s="519">
        <f>J31/G31</f>
        <v>1</v>
      </c>
      <c r="L31" s="40"/>
      <c r="M31" s="683">
        <f>SUM(M29:M30)</f>
        <v>50492</v>
      </c>
      <c r="N31" s="519">
        <f>M31/G31</f>
        <v>1</v>
      </c>
    </row>
    <row r="32" spans="1:14" s="643" customFormat="1" ht="66" customHeight="1" x14ac:dyDescent="0.3">
      <c r="A32" s="1289" t="s">
        <v>237</v>
      </c>
      <c r="B32" s="1289" t="s">
        <v>217</v>
      </c>
      <c r="C32" s="641" t="s">
        <v>81</v>
      </c>
      <c r="D32" s="641" t="s">
        <v>218</v>
      </c>
      <c r="E32" s="641">
        <v>0</v>
      </c>
      <c r="F32" s="32">
        <v>1149124</v>
      </c>
      <c r="G32" s="32">
        <f>ROUND((E32*F32),0)</f>
        <v>0</v>
      </c>
      <c r="H32" s="1289" t="s">
        <v>1913</v>
      </c>
      <c r="I32" s="536">
        <v>0</v>
      </c>
      <c r="J32" s="685">
        <f>ROUND(I32*F32,0)</f>
        <v>0</v>
      </c>
      <c r="K32" s="684">
        <v>0</v>
      </c>
      <c r="L32" s="536">
        <f>I32</f>
        <v>0</v>
      </c>
      <c r="M32" s="685">
        <f>J32</f>
        <v>0</v>
      </c>
      <c r="N32" s="684">
        <v>0</v>
      </c>
    </row>
    <row r="33" spans="1:14" s="643" customFormat="1" ht="47.25" customHeight="1" x14ac:dyDescent="0.3">
      <c r="A33" s="1289"/>
      <c r="B33" s="1289"/>
      <c r="C33" s="641" t="s">
        <v>83</v>
      </c>
      <c r="D33" s="641" t="s">
        <v>219</v>
      </c>
      <c r="E33" s="641">
        <v>0</v>
      </c>
      <c r="F33" s="32">
        <v>2646468</v>
      </c>
      <c r="G33" s="32">
        <f>ROUND((E33*F33),0)</f>
        <v>0</v>
      </c>
      <c r="H33" s="1289"/>
      <c r="I33" s="536">
        <v>0</v>
      </c>
      <c r="J33" s="685">
        <f>ROUND(I33*F33,0)</f>
        <v>0</v>
      </c>
      <c r="K33" s="684">
        <v>0</v>
      </c>
      <c r="L33" s="536">
        <f>I33</f>
        <v>0</v>
      </c>
      <c r="M33" s="685">
        <f t="shared" ref="M33:M34" si="3">J33</f>
        <v>0</v>
      </c>
      <c r="N33" s="684">
        <v>0</v>
      </c>
    </row>
    <row r="34" spans="1:14" s="643" customFormat="1" ht="69" customHeight="1" x14ac:dyDescent="0.3">
      <c r="A34" s="1289"/>
      <c r="B34" s="1289"/>
      <c r="C34" s="641" t="s">
        <v>61</v>
      </c>
      <c r="D34" s="641" t="s">
        <v>220</v>
      </c>
      <c r="E34" s="641">
        <v>0.05</v>
      </c>
      <c r="F34" s="32">
        <v>3203618</v>
      </c>
      <c r="G34" s="32">
        <f>ROUND((E34*F34),0)</f>
        <v>160181</v>
      </c>
      <c r="H34" s="1289"/>
      <c r="I34" s="536">
        <v>0.05</v>
      </c>
      <c r="J34" s="685">
        <f>ROUND(I34*F34,0)</f>
        <v>160181</v>
      </c>
      <c r="K34" s="684">
        <f>J34/G34</f>
        <v>1</v>
      </c>
      <c r="L34" s="536">
        <f>I34</f>
        <v>0.05</v>
      </c>
      <c r="M34" s="685">
        <f t="shared" si="3"/>
        <v>160181</v>
      </c>
      <c r="N34" s="684">
        <f>M34/G34</f>
        <v>1</v>
      </c>
    </row>
    <row r="35" spans="1:14" s="643" customFormat="1" x14ac:dyDescent="0.3">
      <c r="A35" s="1289"/>
      <c r="B35" s="1289"/>
      <c r="C35" s="39"/>
      <c r="D35" s="39" t="s">
        <v>221</v>
      </c>
      <c r="E35" s="41"/>
      <c r="F35" s="41"/>
      <c r="G35" s="42">
        <f>SUM(G32:G34)</f>
        <v>160181</v>
      </c>
      <c r="H35" s="1289"/>
      <c r="I35" s="40"/>
      <c r="J35" s="683">
        <f>SUM(J32:J34)</f>
        <v>160181</v>
      </c>
      <c r="K35" s="519">
        <f>J35/G35</f>
        <v>1</v>
      </c>
      <c r="L35" s="40"/>
      <c r="M35" s="683">
        <f>SUM(M32:M34)</f>
        <v>160181</v>
      </c>
      <c r="N35" s="519">
        <f>M35/G35</f>
        <v>1</v>
      </c>
    </row>
    <row r="36" spans="1:14" s="643" customFormat="1" ht="52.5" customHeight="1" x14ac:dyDescent="0.3">
      <c r="A36" s="1289" t="s">
        <v>237</v>
      </c>
      <c r="B36" s="1289" t="s">
        <v>170</v>
      </c>
      <c r="C36" s="641" t="s">
        <v>83</v>
      </c>
      <c r="D36" s="641" t="s">
        <v>123</v>
      </c>
      <c r="E36" s="641">
        <v>0</v>
      </c>
      <c r="F36" s="32">
        <v>1044658</v>
      </c>
      <c r="G36" s="32">
        <f>ROUND((E36*F36),0)</f>
        <v>0</v>
      </c>
      <c r="H36" s="1289" t="s">
        <v>1914</v>
      </c>
      <c r="I36" s="536">
        <v>0</v>
      </c>
      <c r="J36" s="685">
        <f>ROUND(I36*F36,0)</f>
        <v>0</v>
      </c>
      <c r="K36" s="684">
        <v>0</v>
      </c>
      <c r="L36" s="536">
        <f>I36</f>
        <v>0</v>
      </c>
      <c r="M36" s="685">
        <f>J36</f>
        <v>0</v>
      </c>
      <c r="N36" s="684">
        <v>0</v>
      </c>
    </row>
    <row r="37" spans="1:14" s="643" customFormat="1" ht="61.5" customHeight="1" x14ac:dyDescent="0.3">
      <c r="A37" s="1289"/>
      <c r="B37" s="1289"/>
      <c r="C37" s="641" t="s">
        <v>61</v>
      </c>
      <c r="D37" s="641" t="s">
        <v>125</v>
      </c>
      <c r="E37" s="641">
        <v>0.05</v>
      </c>
      <c r="F37" s="32">
        <v>1009836</v>
      </c>
      <c r="G37" s="32">
        <f>ROUND((E37*F37),0)</f>
        <v>50492</v>
      </c>
      <c r="H37" s="1289"/>
      <c r="I37" s="536">
        <v>0.05</v>
      </c>
      <c r="J37" s="685">
        <f>ROUND(I37*F37,0)</f>
        <v>50492</v>
      </c>
      <c r="K37" s="684">
        <f>J37/G37</f>
        <v>1</v>
      </c>
      <c r="L37" s="536">
        <f>I37</f>
        <v>0.05</v>
      </c>
      <c r="M37" s="685">
        <f>J37</f>
        <v>50492</v>
      </c>
      <c r="N37" s="684">
        <f>M37/G37</f>
        <v>1</v>
      </c>
    </row>
    <row r="38" spans="1:14" s="643" customFormat="1" x14ac:dyDescent="0.3">
      <c r="A38" s="1289"/>
      <c r="B38" s="1289"/>
      <c r="C38" s="39"/>
      <c r="D38" s="39" t="s">
        <v>126</v>
      </c>
      <c r="E38" s="41"/>
      <c r="F38" s="41"/>
      <c r="G38" s="42">
        <f>SUM(G36:G37)</f>
        <v>50492</v>
      </c>
      <c r="H38" s="1289"/>
      <c r="I38" s="41"/>
      <c r="J38" s="683">
        <f>SUM(J36:J37)</f>
        <v>50492</v>
      </c>
      <c r="K38" s="519">
        <f>J38/G38</f>
        <v>1</v>
      </c>
      <c r="L38" s="40"/>
      <c r="M38" s="683">
        <f>SUM(M36:M37)</f>
        <v>50492</v>
      </c>
      <c r="N38" s="519">
        <f>M38/G38</f>
        <v>1</v>
      </c>
    </row>
    <row r="39" spans="1:14" x14ac:dyDescent="0.3">
      <c r="A39" s="643"/>
      <c r="B39" s="643"/>
      <c r="C39" s="643"/>
      <c r="D39" s="643"/>
      <c r="E39" s="643"/>
      <c r="F39" s="686" t="s">
        <v>1740</v>
      </c>
      <c r="G39" s="687">
        <f>G17+G24+G21+G31+G28+G35+G38</f>
        <v>891442</v>
      </c>
      <c r="H39" s="643"/>
      <c r="I39" s="695" t="s">
        <v>64</v>
      </c>
      <c r="J39" s="715">
        <f>SUM(J14:J38)/2</f>
        <v>891442</v>
      </c>
      <c r="K39" s="716"/>
      <c r="L39" s="695" t="s">
        <v>64</v>
      </c>
      <c r="M39" s="715">
        <f>SUM(M14:M38)/2</f>
        <v>891442</v>
      </c>
      <c r="N39" s="642"/>
    </row>
    <row r="40" spans="1:14" x14ac:dyDescent="0.3">
      <c r="A40" s="643"/>
      <c r="B40" s="643"/>
      <c r="C40" s="643"/>
      <c r="D40" s="643"/>
      <c r="E40" s="643"/>
      <c r="F40" s="444" t="s">
        <v>65</v>
      </c>
      <c r="G40" s="181">
        <v>0</v>
      </c>
      <c r="H40" s="643"/>
      <c r="I40" s="666" t="s">
        <v>65</v>
      </c>
      <c r="J40" s="697"/>
      <c r="K40" s="642"/>
      <c r="L40" s="666" t="s">
        <v>65</v>
      </c>
      <c r="M40" s="697"/>
      <c r="N40" s="642"/>
    </row>
    <row r="41" spans="1:14" x14ac:dyDescent="0.3">
      <c r="A41" s="643"/>
      <c r="B41" s="643"/>
      <c r="C41" s="643"/>
      <c r="D41" s="643"/>
      <c r="E41" s="643"/>
      <c r="F41" s="443" t="s">
        <v>1740</v>
      </c>
      <c r="G41" s="340">
        <f>+G40+G39</f>
        <v>891442</v>
      </c>
      <c r="H41" s="643"/>
      <c r="I41" s="698" t="s">
        <v>64</v>
      </c>
      <c r="J41" s="697">
        <f>J39+J40</f>
        <v>891442</v>
      </c>
      <c r="K41" s="642"/>
      <c r="L41" s="698" t="s">
        <v>64</v>
      </c>
      <c r="M41" s="697">
        <f>M39+M40</f>
        <v>891442</v>
      </c>
      <c r="N41" s="642"/>
    </row>
    <row r="42" spans="1:14" ht="27.6" x14ac:dyDescent="0.3">
      <c r="A42" s="643"/>
      <c r="B42" s="643"/>
      <c r="C42" s="643"/>
      <c r="D42" s="643"/>
      <c r="E42" s="643"/>
      <c r="F42" s="659"/>
      <c r="G42" s="659"/>
      <c r="H42" s="643"/>
      <c r="I42" s="699" t="s">
        <v>1439</v>
      </c>
      <c r="J42" s="697">
        <f>ROUND(J41*0.015,0)</f>
        <v>13372</v>
      </c>
      <c r="K42" s="642"/>
      <c r="L42" s="699" t="s">
        <v>1439</v>
      </c>
      <c r="M42" s="697">
        <f>ROUND(M41*0.015,0)</f>
        <v>13372</v>
      </c>
      <c r="N42" s="642"/>
    </row>
    <row r="43" spans="1:14" ht="27.6" x14ac:dyDescent="0.3">
      <c r="A43" s="643"/>
      <c r="B43" s="643"/>
      <c r="C43" s="643"/>
      <c r="D43" s="643"/>
      <c r="E43" s="643"/>
      <c r="F43" s="659"/>
      <c r="G43" s="659"/>
      <c r="H43" s="643"/>
      <c r="I43" s="700" t="s">
        <v>1440</v>
      </c>
      <c r="J43" s="425">
        <f>J41+J42</f>
        <v>904814</v>
      </c>
      <c r="K43" s="701">
        <f>J43/G39</f>
        <v>1.01500041505785</v>
      </c>
      <c r="L43" s="700" t="s">
        <v>1440</v>
      </c>
      <c r="M43" s="425">
        <f>M41+M42</f>
        <v>904814</v>
      </c>
      <c r="N43" s="701">
        <f>M43/G39</f>
        <v>1.01500041505785</v>
      </c>
    </row>
    <row r="44" spans="1:14" x14ac:dyDescent="0.3">
      <c r="A44" s="643"/>
      <c r="B44" s="643"/>
      <c r="C44" s="643"/>
      <c r="D44" s="643"/>
      <c r="E44" s="643"/>
      <c r="F44" s="442" t="s">
        <v>66</v>
      </c>
      <c r="G44" s="181">
        <f>+G39*19%</f>
        <v>169373.98</v>
      </c>
      <c r="H44" s="643"/>
      <c r="I44" s="702" t="s">
        <v>66</v>
      </c>
      <c r="J44" s="703">
        <f>J43*0.19</f>
        <v>171914.66</v>
      </c>
      <c r="K44" s="642"/>
      <c r="L44" s="702" t="s">
        <v>66</v>
      </c>
      <c r="M44" s="703">
        <f>M43*0.19</f>
        <v>171914.66</v>
      </c>
      <c r="N44" s="642"/>
    </row>
    <row r="45" spans="1:14" x14ac:dyDescent="0.3">
      <c r="A45" s="643"/>
      <c r="B45" s="643"/>
      <c r="C45" s="643"/>
      <c r="D45" s="643"/>
      <c r="E45" s="643"/>
      <c r="F45" s="441" t="s">
        <v>69</v>
      </c>
      <c r="G45" s="181">
        <f>+G39+G44</f>
        <v>1060815.98</v>
      </c>
      <c r="H45" s="643"/>
      <c r="I45" s="704" t="s">
        <v>69</v>
      </c>
      <c r="J45" s="703">
        <f>J43+J44</f>
        <v>1076728.6599999999</v>
      </c>
      <c r="K45" s="642"/>
      <c r="L45" s="704" t="s">
        <v>69</v>
      </c>
      <c r="M45" s="703">
        <f>M43+M44</f>
        <v>1076728.6599999999</v>
      </c>
      <c r="N45" s="642"/>
    </row>
    <row r="46" spans="1:14" x14ac:dyDescent="0.3">
      <c r="A46" s="643"/>
      <c r="B46" s="643"/>
      <c r="C46" s="643"/>
      <c r="D46" s="643"/>
      <c r="E46" s="643"/>
      <c r="F46" s="643"/>
      <c r="G46" s="643"/>
      <c r="H46" s="643"/>
      <c r="I46" s="642"/>
      <c r="J46" s="642"/>
      <c r="K46" s="642"/>
      <c r="L46" s="642"/>
      <c r="M46" s="642"/>
      <c r="N46" s="642"/>
    </row>
    <row r="47" spans="1:14" ht="27.6" x14ac:dyDescent="0.3">
      <c r="A47" s="665" t="s">
        <v>67</v>
      </c>
      <c r="B47" s="184"/>
      <c r="C47" s="184"/>
      <c r="D47" s="185" t="s">
        <v>68</v>
      </c>
      <c r="E47" s="643"/>
      <c r="F47" s="643"/>
      <c r="G47" s="643"/>
      <c r="H47" s="643"/>
      <c r="I47" s="705" t="s">
        <v>70</v>
      </c>
      <c r="J47" s="706" t="s">
        <v>71</v>
      </c>
      <c r="K47" s="705" t="s">
        <v>58</v>
      </c>
      <c r="L47" s="642"/>
      <c r="M47" s="642"/>
      <c r="N47" s="642"/>
    </row>
    <row r="48" spans="1:14" x14ac:dyDescent="0.3">
      <c r="A48" s="665"/>
      <c r="B48" s="184"/>
      <c r="C48" s="184"/>
      <c r="D48" s="185"/>
      <c r="E48" s="643"/>
      <c r="F48" s="643"/>
      <c r="G48" s="643"/>
      <c r="H48" s="643"/>
      <c r="I48" s="707" t="s">
        <v>72</v>
      </c>
      <c r="J48" s="708">
        <f>J43</f>
        <v>904814</v>
      </c>
      <c r="K48" s="709">
        <f>K43</f>
        <v>1.01500041505785</v>
      </c>
      <c r="L48" s="642"/>
      <c r="M48" s="642"/>
      <c r="N48" s="642"/>
    </row>
    <row r="49" spans="1:14" x14ac:dyDescent="0.3">
      <c r="A49" s="665"/>
      <c r="B49" s="184"/>
      <c r="C49" s="184"/>
      <c r="D49" s="185"/>
      <c r="E49" s="643"/>
      <c r="F49" s="643"/>
      <c r="G49" s="643"/>
      <c r="H49" s="643"/>
      <c r="I49" s="710" t="s">
        <v>1</v>
      </c>
      <c r="J49" s="711">
        <f>J48</f>
        <v>904814</v>
      </c>
      <c r="K49" s="712">
        <f>K48</f>
        <v>1.01500041505785</v>
      </c>
      <c r="L49" s="642"/>
      <c r="M49" s="642"/>
      <c r="N49" s="642"/>
    </row>
    <row r="50" spans="1:14" x14ac:dyDescent="0.3">
      <c r="A50" s="665"/>
      <c r="B50" s="184"/>
      <c r="C50" s="184"/>
      <c r="D50" s="185"/>
      <c r="E50" s="643"/>
      <c r="F50" s="643"/>
      <c r="G50" s="643"/>
      <c r="H50" s="643"/>
      <c r="I50" s="710" t="s">
        <v>9</v>
      </c>
      <c r="J50" s="1517"/>
      <c r="K50" s="1518"/>
      <c r="L50" s="642"/>
      <c r="M50" s="642"/>
      <c r="N50" s="642"/>
    </row>
    <row r="51" spans="1:14" x14ac:dyDescent="0.3">
      <c r="A51" s="665"/>
      <c r="B51" s="184"/>
      <c r="C51" s="184"/>
      <c r="D51" s="185"/>
      <c r="E51" s="643"/>
      <c r="F51" s="643"/>
      <c r="G51" s="643"/>
      <c r="H51" s="643"/>
      <c r="I51" s="713" t="s">
        <v>78</v>
      </c>
      <c r="J51" s="1517" t="s">
        <v>334</v>
      </c>
      <c r="K51" s="1518"/>
      <c r="L51" s="642"/>
      <c r="M51" s="642"/>
      <c r="N51" s="642"/>
    </row>
    <row r="52" spans="1:14" x14ac:dyDescent="0.3">
      <c r="A52" s="665"/>
      <c r="B52" s="184"/>
      <c r="C52" s="184"/>
      <c r="D52" s="185"/>
      <c r="E52" s="643"/>
      <c r="F52" s="643"/>
      <c r="G52" s="643"/>
      <c r="H52" s="643"/>
      <c r="I52" s="714" t="s">
        <v>8</v>
      </c>
      <c r="J52" s="1515" t="s">
        <v>335</v>
      </c>
      <c r="K52" s="1516"/>
      <c r="L52" s="642"/>
      <c r="M52" s="642"/>
      <c r="N52" s="642"/>
    </row>
    <row r="53" spans="1:14" x14ac:dyDescent="0.3">
      <c r="A53" s="665"/>
      <c r="B53" s="184"/>
      <c r="C53" s="184"/>
      <c r="D53" s="185" t="s">
        <v>75</v>
      </c>
      <c r="E53" s="643"/>
      <c r="F53" s="643"/>
      <c r="G53" s="643"/>
      <c r="H53" s="643"/>
      <c r="I53" s="643"/>
      <c r="J53" s="643"/>
      <c r="K53" s="643"/>
      <c r="L53" s="643"/>
      <c r="M53" s="643"/>
      <c r="N53" s="643"/>
    </row>
    <row r="54" spans="1:14" x14ac:dyDescent="0.3">
      <c r="A54" s="665" t="s">
        <v>76</v>
      </c>
      <c r="B54" s="180"/>
      <c r="C54" s="180"/>
      <c r="D54" s="185" t="s">
        <v>77</v>
      </c>
      <c r="E54" s="643"/>
      <c r="F54" s="643"/>
      <c r="G54" s="643"/>
      <c r="H54" s="643"/>
      <c r="I54" s="643"/>
      <c r="J54" s="643"/>
      <c r="K54" s="643"/>
      <c r="L54" s="643"/>
      <c r="M54" s="643"/>
      <c r="N54" s="643"/>
    </row>
    <row r="55" spans="1:14" x14ac:dyDescent="0.3">
      <c r="A55" s="665" t="s">
        <v>79</v>
      </c>
      <c r="B55" s="180"/>
      <c r="C55" s="180"/>
      <c r="D55" s="185" t="s">
        <v>80</v>
      </c>
      <c r="E55" s="643"/>
      <c r="F55" s="643"/>
      <c r="G55" s="643"/>
      <c r="H55" s="643"/>
      <c r="I55" s="643"/>
      <c r="J55" s="643"/>
      <c r="K55" s="643"/>
      <c r="L55" s="643"/>
      <c r="M55" s="643"/>
      <c r="N55" s="643"/>
    </row>
  </sheetData>
  <mergeCells count="39">
    <mergeCell ref="A29:A31"/>
    <mergeCell ref="B29:B31"/>
    <mergeCell ref="H29:H31"/>
    <mergeCell ref="J50:K50"/>
    <mergeCell ref="J51:K51"/>
    <mergeCell ref="J52:K52"/>
    <mergeCell ref="A32:A35"/>
    <mergeCell ref="B32:B35"/>
    <mergeCell ref="H32:H35"/>
    <mergeCell ref="A36:A38"/>
    <mergeCell ref="B36:B38"/>
    <mergeCell ref="H36:H38"/>
    <mergeCell ref="A22:A24"/>
    <mergeCell ref="B22:B24"/>
    <mergeCell ref="H22:H24"/>
    <mergeCell ref="A25:A28"/>
    <mergeCell ref="B25:B28"/>
    <mergeCell ref="H25:H28"/>
    <mergeCell ref="A14:A17"/>
    <mergeCell ref="B14:B17"/>
    <mergeCell ref="H14:H17"/>
    <mergeCell ref="A18:A21"/>
    <mergeCell ref="B18:B21"/>
    <mergeCell ref="H18:H21"/>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s>
  <pageMargins left="0.7" right="0.7" top="0.75" bottom="0.75" header="0.3" footer="0.3"/>
  <drawing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8">
    <tabColor rgb="FF92D050"/>
  </sheetPr>
  <dimension ref="A1:N55"/>
  <sheetViews>
    <sheetView topLeftCell="A34" zoomScale="60" zoomScaleNormal="60" workbookViewId="0">
      <selection activeCell="F40" sqref="F40:G41"/>
    </sheetView>
  </sheetViews>
  <sheetFormatPr baseColWidth="10" defaultRowHeight="14.4" x14ac:dyDescent="0.3"/>
  <cols>
    <col min="1" max="1" width="26.109375" customWidth="1"/>
    <col min="2" max="2" width="26.33203125" customWidth="1"/>
    <col min="3" max="3" width="29.44140625" customWidth="1"/>
    <col min="4" max="4" width="32.109375" customWidth="1"/>
    <col min="6" max="6" width="15.5546875" bestFit="1" customWidth="1"/>
    <col min="7" max="7" width="16.33203125" bestFit="1" customWidth="1"/>
    <col min="8" max="8" width="37.109375" customWidth="1"/>
    <col min="9" max="9" width="18.33203125" customWidth="1"/>
    <col min="10" max="10" width="15.88671875" bestFit="1" customWidth="1"/>
    <col min="12" max="12" width="19.6640625" customWidth="1"/>
    <col min="13" max="13" width="13.6640625" bestFit="1" customWidth="1"/>
  </cols>
  <sheetData>
    <row r="1" spans="1:14" ht="15" thickBot="1" x14ac:dyDescent="0.35">
      <c r="A1" s="169"/>
      <c r="B1" s="188"/>
      <c r="C1" s="1307" t="s">
        <v>40</v>
      </c>
      <c r="D1" s="1308"/>
      <c r="E1" s="1308"/>
      <c r="F1" s="1308"/>
      <c r="G1" s="1308"/>
      <c r="H1" s="1308"/>
      <c r="I1" s="1308"/>
      <c r="J1" s="1308"/>
      <c r="K1" s="1308"/>
      <c r="L1" s="1328" t="s">
        <v>1663</v>
      </c>
      <c r="M1" s="1303"/>
      <c r="N1" s="1304"/>
    </row>
    <row r="2" spans="1:14" ht="15" thickBot="1" x14ac:dyDescent="0.35">
      <c r="A2" s="170"/>
      <c r="B2" s="190"/>
      <c r="C2" s="1310"/>
      <c r="D2" s="1311"/>
      <c r="E2" s="1311"/>
      <c r="F2" s="1311"/>
      <c r="G2" s="1311"/>
      <c r="H2" s="1311"/>
      <c r="I2" s="1311"/>
      <c r="J2" s="1311"/>
      <c r="K2" s="1311"/>
      <c r="L2" s="1329" t="s">
        <v>41</v>
      </c>
      <c r="M2" s="1305"/>
      <c r="N2" s="1306"/>
    </row>
    <row r="3" spans="1:14" x14ac:dyDescent="0.3">
      <c r="A3" s="1292" t="s">
        <v>42</v>
      </c>
      <c r="B3" s="1292"/>
      <c r="C3" s="1292"/>
      <c r="D3" s="1292"/>
      <c r="E3" s="1292"/>
      <c r="F3" s="1292"/>
      <c r="G3" s="1292"/>
      <c r="H3" s="1292"/>
      <c r="I3" s="1292"/>
      <c r="J3" s="1292"/>
      <c r="K3" s="1292"/>
      <c r="L3" s="1292"/>
      <c r="M3" s="1292"/>
      <c r="N3" s="1292"/>
    </row>
    <row r="4" spans="1:14" x14ac:dyDescent="0.3">
      <c r="A4" s="1292" t="s">
        <v>43</v>
      </c>
      <c r="B4" s="1292"/>
      <c r="C4" s="1292"/>
      <c r="D4" s="1292"/>
      <c r="E4" s="1292"/>
      <c r="F4" s="1292"/>
      <c r="G4" s="1292"/>
      <c r="H4" s="1292"/>
      <c r="I4" s="1292"/>
      <c r="J4" s="1292"/>
      <c r="K4" s="1292"/>
      <c r="L4" s="1292"/>
      <c r="M4" s="1292"/>
      <c r="N4" s="1292"/>
    </row>
    <row r="5" spans="1:14" x14ac:dyDescent="0.3">
      <c r="A5" s="1292" t="s">
        <v>44</v>
      </c>
      <c r="B5" s="1292"/>
      <c r="C5" s="1292"/>
      <c r="D5" s="1292"/>
      <c r="E5" s="1292"/>
      <c r="F5" s="1292"/>
      <c r="G5" s="1292"/>
      <c r="H5" s="1292"/>
      <c r="I5" s="1292"/>
      <c r="J5" s="1292"/>
      <c r="K5" s="1292"/>
      <c r="L5" s="1292"/>
      <c r="M5" s="1292"/>
      <c r="N5" s="1292"/>
    </row>
    <row r="6" spans="1:14" x14ac:dyDescent="0.3">
      <c r="A6" s="1292" t="s">
        <v>45</v>
      </c>
      <c r="B6" s="1292"/>
      <c r="C6" s="1292"/>
      <c r="D6" s="1292"/>
      <c r="E6" s="1292"/>
      <c r="F6" s="1292"/>
      <c r="G6" s="1292"/>
      <c r="H6" s="1292"/>
      <c r="I6" s="1292"/>
      <c r="J6" s="1292"/>
      <c r="K6" s="1292"/>
      <c r="L6" s="1292"/>
      <c r="M6" s="1292"/>
      <c r="N6" s="1292"/>
    </row>
    <row r="7" spans="1:14" x14ac:dyDescent="0.3">
      <c r="A7" s="1508" t="s">
        <v>1880</v>
      </c>
      <c r="B7" s="1509"/>
      <c r="C7" s="1509"/>
      <c r="D7" s="1509"/>
      <c r="E7" s="1509"/>
      <c r="F7" s="1509"/>
      <c r="G7" s="1509"/>
      <c r="H7" s="1509"/>
      <c r="I7" s="1509"/>
      <c r="J7" s="1509"/>
      <c r="K7" s="1509"/>
      <c r="L7" s="1509"/>
      <c r="M7" s="1509"/>
      <c r="N7" s="1509"/>
    </row>
    <row r="8" spans="1:14" x14ac:dyDescent="0.3">
      <c r="A8" s="1292" t="s">
        <v>1743</v>
      </c>
      <c r="B8" s="1292"/>
      <c r="C8" s="1292"/>
      <c r="D8" s="1292"/>
      <c r="E8" s="1292"/>
      <c r="F8" s="1292"/>
      <c r="G8" s="1292"/>
      <c r="H8" s="1292"/>
      <c r="I8" s="1292"/>
      <c r="J8" s="1292"/>
      <c r="K8" s="1292"/>
      <c r="L8" s="1292"/>
      <c r="M8" s="1292"/>
      <c r="N8" s="1292"/>
    </row>
    <row r="9" spans="1:14" x14ac:dyDescent="0.3">
      <c r="A9" s="1292" t="s">
        <v>1742</v>
      </c>
      <c r="B9" s="1292"/>
      <c r="C9" s="1292"/>
      <c r="D9" s="1292"/>
      <c r="E9" s="1292"/>
      <c r="F9" s="1292"/>
      <c r="G9" s="1292"/>
      <c r="H9" s="1292"/>
      <c r="I9" s="1292"/>
      <c r="J9" s="1292"/>
      <c r="K9" s="1292"/>
      <c r="L9" s="1292"/>
      <c r="M9" s="1292"/>
      <c r="N9" s="1292"/>
    </row>
    <row r="10" spans="1:14" x14ac:dyDescent="0.3">
      <c r="A10" s="1292" t="s">
        <v>1916</v>
      </c>
      <c r="B10" s="1292"/>
      <c r="C10" s="1292"/>
      <c r="D10" s="1292"/>
      <c r="E10" s="1292"/>
      <c r="F10" s="1292"/>
      <c r="G10" s="1292"/>
      <c r="H10" s="1292"/>
      <c r="I10" s="1292"/>
      <c r="J10" s="1292"/>
      <c r="K10" s="1292"/>
      <c r="L10" s="1292"/>
      <c r="M10" s="1292"/>
      <c r="N10" s="1292"/>
    </row>
    <row r="11" spans="1:14" x14ac:dyDescent="0.3">
      <c r="A11" s="640"/>
      <c r="B11" s="1301"/>
      <c r="C11" s="1313"/>
      <c r="D11" s="1313"/>
      <c r="E11" s="1313"/>
      <c r="F11" s="1313"/>
      <c r="G11" s="1313"/>
      <c r="H11" s="1313"/>
      <c r="I11" s="1293" t="s">
        <v>1744</v>
      </c>
      <c r="J11" s="1294"/>
      <c r="K11" s="1295"/>
      <c r="L11" s="1299" t="s">
        <v>49</v>
      </c>
      <c r="M11" s="1299"/>
      <c r="N11" s="1299"/>
    </row>
    <row r="12" spans="1:14" x14ac:dyDescent="0.3">
      <c r="A12" s="171"/>
      <c r="B12" s="1301"/>
      <c r="C12" s="1302"/>
      <c r="D12" s="1302"/>
      <c r="E12" s="1302"/>
      <c r="F12" s="1302"/>
      <c r="G12" s="1302"/>
      <c r="H12" s="1302"/>
      <c r="I12" s="1325"/>
      <c r="J12" s="1326"/>
      <c r="K12" s="1327"/>
      <c r="L12" s="1300"/>
      <c r="M12" s="1300"/>
      <c r="N12" s="1300"/>
    </row>
    <row r="13" spans="1:14"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row>
    <row r="14" spans="1:14" ht="72.75" customHeight="1" x14ac:dyDescent="0.3">
      <c r="A14" s="1289" t="s">
        <v>1917</v>
      </c>
      <c r="B14" s="1289" t="s">
        <v>165</v>
      </c>
      <c r="C14" s="641" t="s">
        <v>81</v>
      </c>
      <c r="D14" s="641" t="s">
        <v>166</v>
      </c>
      <c r="E14" s="641">
        <v>0</v>
      </c>
      <c r="F14" s="32">
        <v>1149124</v>
      </c>
      <c r="G14" s="32">
        <f>ROUND((E14*F14),0)</f>
        <v>0</v>
      </c>
      <c r="H14" s="1289" t="s">
        <v>1918</v>
      </c>
      <c r="I14" s="536">
        <v>0</v>
      </c>
      <c r="J14" s="685">
        <f>ROUND(I14*F14,0)</f>
        <v>0</v>
      </c>
      <c r="K14" s="684">
        <v>0</v>
      </c>
      <c r="L14" s="536">
        <f>I14</f>
        <v>0</v>
      </c>
      <c r="M14" s="685">
        <f>J14</f>
        <v>0</v>
      </c>
      <c r="N14" s="684">
        <v>0</v>
      </c>
    </row>
    <row r="15" spans="1:14" ht="66" customHeight="1" x14ac:dyDescent="0.3">
      <c r="A15" s="1289"/>
      <c r="B15" s="1289"/>
      <c r="C15" s="641" t="s">
        <v>83</v>
      </c>
      <c r="D15" s="641" t="s">
        <v>167</v>
      </c>
      <c r="E15" s="641">
        <v>0</v>
      </c>
      <c r="F15" s="32">
        <v>2646468</v>
      </c>
      <c r="G15" s="32">
        <f>ROUND((E15*F15),0)</f>
        <v>0</v>
      </c>
      <c r="H15" s="1289"/>
      <c r="I15" s="536">
        <v>0</v>
      </c>
      <c r="J15" s="685">
        <f>ROUND(I15*F15,0)</f>
        <v>0</v>
      </c>
      <c r="K15" s="684">
        <v>0</v>
      </c>
      <c r="L15" s="536">
        <f>I15</f>
        <v>0</v>
      </c>
      <c r="M15" s="685">
        <f t="shared" ref="M15:M16" si="0">J15</f>
        <v>0</v>
      </c>
      <c r="N15" s="684">
        <v>0</v>
      </c>
    </row>
    <row r="16" spans="1:14" ht="60" customHeight="1" x14ac:dyDescent="0.3">
      <c r="A16" s="1289"/>
      <c r="B16" s="1289"/>
      <c r="C16" s="641" t="s">
        <v>61</v>
      </c>
      <c r="D16" s="641" t="s">
        <v>168</v>
      </c>
      <c r="E16" s="641">
        <v>0.05</v>
      </c>
      <c r="F16" s="32">
        <v>2542001</v>
      </c>
      <c r="G16" s="32">
        <f>ROUND((E16*F16),0)</f>
        <v>127100</v>
      </c>
      <c r="H16" s="1289"/>
      <c r="I16" s="536">
        <v>0.05</v>
      </c>
      <c r="J16" s="685">
        <f>ROUND(I16*F16,0)</f>
        <v>127100</v>
      </c>
      <c r="K16" s="684">
        <f>J16/G16</f>
        <v>1</v>
      </c>
      <c r="L16" s="536">
        <f>I16</f>
        <v>0.05</v>
      </c>
      <c r="M16" s="685">
        <f t="shared" si="0"/>
        <v>127100</v>
      </c>
      <c r="N16" s="684">
        <f>M16/G16</f>
        <v>1</v>
      </c>
    </row>
    <row r="17" spans="1:14" x14ac:dyDescent="0.3">
      <c r="A17" s="1289"/>
      <c r="B17" s="1289"/>
      <c r="C17" s="39"/>
      <c r="D17" s="39" t="s">
        <v>169</v>
      </c>
      <c r="E17" s="41"/>
      <c r="F17" s="41"/>
      <c r="G17" s="42">
        <f>SUM(G14:G16)</f>
        <v>127100</v>
      </c>
      <c r="H17" s="1289"/>
      <c r="I17" s="40"/>
      <c r="J17" s="683">
        <f>SUM(J14:J16)</f>
        <v>127100</v>
      </c>
      <c r="K17" s="519">
        <f>J17/G17</f>
        <v>1</v>
      </c>
      <c r="L17" s="40"/>
      <c r="M17" s="683">
        <f>SUM(M14:M16)</f>
        <v>127100</v>
      </c>
      <c r="N17" s="519">
        <f>M17/G17</f>
        <v>1</v>
      </c>
    </row>
    <row r="18" spans="1:14" ht="71.25" customHeight="1" x14ac:dyDescent="0.3">
      <c r="A18" s="1290" t="s">
        <v>1919</v>
      </c>
      <c r="B18" s="1289" t="s">
        <v>217</v>
      </c>
      <c r="C18" s="641" t="s">
        <v>81</v>
      </c>
      <c r="D18" s="641" t="s">
        <v>218</v>
      </c>
      <c r="E18" s="641">
        <v>0</v>
      </c>
      <c r="F18" s="32">
        <v>1149124</v>
      </c>
      <c r="G18" s="32">
        <f>ROUND((E18*F18),0)</f>
        <v>0</v>
      </c>
      <c r="H18" s="1289" t="s">
        <v>1913</v>
      </c>
      <c r="I18" s="536">
        <v>0</v>
      </c>
      <c r="J18" s="685">
        <f>ROUND(I18*F18,0)</f>
        <v>0</v>
      </c>
      <c r="K18" s="684">
        <v>0</v>
      </c>
      <c r="L18" s="536">
        <f>I18</f>
        <v>0</v>
      </c>
      <c r="M18" s="685">
        <f>J18</f>
        <v>0</v>
      </c>
      <c r="N18" s="684">
        <v>0</v>
      </c>
    </row>
    <row r="19" spans="1:14" ht="69.75" customHeight="1" x14ac:dyDescent="0.3">
      <c r="A19" s="1289"/>
      <c r="B19" s="1289"/>
      <c r="C19" s="641" t="s">
        <v>83</v>
      </c>
      <c r="D19" s="641" t="s">
        <v>219</v>
      </c>
      <c r="E19" s="641">
        <v>0</v>
      </c>
      <c r="F19" s="32">
        <v>2646468</v>
      </c>
      <c r="G19" s="32">
        <f>ROUND((E19*F19),0)</f>
        <v>0</v>
      </c>
      <c r="H19" s="1289"/>
      <c r="I19" s="536">
        <v>0</v>
      </c>
      <c r="J19" s="685">
        <f>ROUND(I19*F19,0)</f>
        <v>0</v>
      </c>
      <c r="K19" s="684">
        <v>0</v>
      </c>
      <c r="L19" s="536">
        <f>I19</f>
        <v>0</v>
      </c>
      <c r="M19" s="685">
        <f t="shared" ref="M19:M20" si="1">J19</f>
        <v>0</v>
      </c>
      <c r="N19" s="684">
        <v>0</v>
      </c>
    </row>
    <row r="20" spans="1:14" ht="63.75" customHeight="1" x14ac:dyDescent="0.3">
      <c r="A20" s="1289"/>
      <c r="B20" s="1289"/>
      <c r="C20" s="641" t="s">
        <v>61</v>
      </c>
      <c r="D20" s="641" t="s">
        <v>220</v>
      </c>
      <c r="E20" s="641">
        <v>0.05</v>
      </c>
      <c r="F20" s="32">
        <v>3203618</v>
      </c>
      <c r="G20" s="32">
        <f>ROUND((E20*F20),0)</f>
        <v>160181</v>
      </c>
      <c r="H20" s="1289"/>
      <c r="I20" s="536">
        <v>0.05</v>
      </c>
      <c r="J20" s="685">
        <f>ROUND(I20*F20,0)</f>
        <v>160181</v>
      </c>
      <c r="K20" s="684">
        <f>J20/G20</f>
        <v>1</v>
      </c>
      <c r="L20" s="536">
        <f>I20</f>
        <v>0.05</v>
      </c>
      <c r="M20" s="685">
        <f t="shared" si="1"/>
        <v>160181</v>
      </c>
      <c r="N20" s="684">
        <f>M20/G20</f>
        <v>1</v>
      </c>
    </row>
    <row r="21" spans="1:14" x14ac:dyDescent="0.3">
      <c r="A21" s="1289"/>
      <c r="B21" s="1289"/>
      <c r="C21" s="39"/>
      <c r="D21" s="39" t="s">
        <v>221</v>
      </c>
      <c r="E21" s="41"/>
      <c r="F21" s="41"/>
      <c r="G21" s="42">
        <f>SUM(G18:G20)</f>
        <v>160181</v>
      </c>
      <c r="H21" s="1289"/>
      <c r="I21" s="40"/>
      <c r="J21" s="683">
        <f>SUM(J18:J20)</f>
        <v>160181</v>
      </c>
      <c r="K21" s="519">
        <f>J21/G21</f>
        <v>1</v>
      </c>
      <c r="L21" s="40"/>
      <c r="M21" s="683">
        <f>SUM(M18:M20)</f>
        <v>160181</v>
      </c>
      <c r="N21" s="519">
        <f>M21/G21</f>
        <v>1</v>
      </c>
    </row>
    <row r="22" spans="1:14" ht="45" customHeight="1" x14ac:dyDescent="0.3">
      <c r="A22" s="1290" t="s">
        <v>1919</v>
      </c>
      <c r="B22" s="1289" t="s">
        <v>170</v>
      </c>
      <c r="C22" s="641" t="s">
        <v>83</v>
      </c>
      <c r="D22" s="641" t="s">
        <v>123</v>
      </c>
      <c r="E22" s="641">
        <v>0</v>
      </c>
      <c r="F22" s="32">
        <v>1044658</v>
      </c>
      <c r="G22" s="32">
        <f>ROUND((E22*F22),0)</f>
        <v>0</v>
      </c>
      <c r="H22" s="1289" t="s">
        <v>1914</v>
      </c>
      <c r="I22" s="536">
        <v>0</v>
      </c>
      <c r="J22" s="685">
        <f>ROUND(I22*F22,0)</f>
        <v>0</v>
      </c>
      <c r="K22" s="684">
        <v>0</v>
      </c>
      <c r="L22" s="536">
        <f>I22</f>
        <v>0</v>
      </c>
      <c r="M22" s="685">
        <f>J22</f>
        <v>0</v>
      </c>
      <c r="N22" s="684">
        <v>0</v>
      </c>
    </row>
    <row r="23" spans="1:14" ht="90" customHeight="1" x14ac:dyDescent="0.3">
      <c r="A23" s="1289"/>
      <c r="B23" s="1289"/>
      <c r="C23" s="641" t="s">
        <v>61</v>
      </c>
      <c r="D23" s="641" t="s">
        <v>125</v>
      </c>
      <c r="E23" s="641">
        <v>0.05</v>
      </c>
      <c r="F23" s="32">
        <v>1009836</v>
      </c>
      <c r="G23" s="32">
        <f>ROUND((E23*F23),0)</f>
        <v>50492</v>
      </c>
      <c r="H23" s="1289"/>
      <c r="I23" s="536">
        <v>0.05</v>
      </c>
      <c r="J23" s="685">
        <f>ROUND(I23*F23,0)</f>
        <v>50492</v>
      </c>
      <c r="K23" s="684">
        <f>J23/G23</f>
        <v>1</v>
      </c>
      <c r="L23" s="536">
        <f>I23</f>
        <v>0.05</v>
      </c>
      <c r="M23" s="685">
        <f>J23</f>
        <v>50492</v>
      </c>
      <c r="N23" s="684">
        <f>M23/G23</f>
        <v>1</v>
      </c>
    </row>
    <row r="24" spans="1:14" x14ac:dyDescent="0.3">
      <c r="A24" s="1289"/>
      <c r="B24" s="1289"/>
      <c r="C24" s="39"/>
      <c r="D24" s="39" t="s">
        <v>126</v>
      </c>
      <c r="E24" s="41"/>
      <c r="F24" s="41"/>
      <c r="G24" s="42">
        <f>SUM(G22:G23)</f>
        <v>50492</v>
      </c>
      <c r="H24" s="1289"/>
      <c r="I24" s="41"/>
      <c r="J24" s="683">
        <f>SUM(J22:J23)</f>
        <v>50492</v>
      </c>
      <c r="K24" s="519">
        <f>J24/G24</f>
        <v>1</v>
      </c>
      <c r="L24" s="40"/>
      <c r="M24" s="683">
        <f>SUM(M22:M23)</f>
        <v>50492</v>
      </c>
      <c r="N24" s="519">
        <f>M24/G24</f>
        <v>1</v>
      </c>
    </row>
    <row r="25" spans="1:14" ht="67.5" customHeight="1" x14ac:dyDescent="0.3">
      <c r="A25" s="1290" t="s">
        <v>1920</v>
      </c>
      <c r="B25" s="1289" t="s">
        <v>217</v>
      </c>
      <c r="C25" s="641" t="s">
        <v>81</v>
      </c>
      <c r="D25" s="641" t="s">
        <v>218</v>
      </c>
      <c r="E25" s="641">
        <v>0</v>
      </c>
      <c r="F25" s="32">
        <v>1149124</v>
      </c>
      <c r="G25" s="32">
        <f>ROUND((E25*F25),0)</f>
        <v>0</v>
      </c>
      <c r="H25" s="1289" t="s">
        <v>1913</v>
      </c>
      <c r="I25" s="536">
        <v>0</v>
      </c>
      <c r="J25" s="685">
        <f>ROUND(I25*F25,0)</f>
        <v>0</v>
      </c>
      <c r="K25" s="684">
        <v>0</v>
      </c>
      <c r="L25" s="536">
        <f>I25</f>
        <v>0</v>
      </c>
      <c r="M25" s="685">
        <f>J25</f>
        <v>0</v>
      </c>
      <c r="N25" s="684">
        <v>0</v>
      </c>
    </row>
    <row r="26" spans="1:14" ht="58.5" customHeight="1" x14ac:dyDescent="0.3">
      <c r="A26" s="1289"/>
      <c r="B26" s="1289"/>
      <c r="C26" s="641" t="s">
        <v>83</v>
      </c>
      <c r="D26" s="641" t="s">
        <v>219</v>
      </c>
      <c r="E26" s="641">
        <v>0</v>
      </c>
      <c r="F26" s="32">
        <v>2646468</v>
      </c>
      <c r="G26" s="32">
        <f>ROUND((E26*F26),0)</f>
        <v>0</v>
      </c>
      <c r="H26" s="1289"/>
      <c r="I26" s="536">
        <v>0</v>
      </c>
      <c r="J26" s="685">
        <f>ROUND(I26*F26,0)</f>
        <v>0</v>
      </c>
      <c r="K26" s="684">
        <v>0</v>
      </c>
      <c r="L26" s="536">
        <f>I26</f>
        <v>0</v>
      </c>
      <c r="M26" s="685">
        <f t="shared" ref="M26:M27" si="2">J26</f>
        <v>0</v>
      </c>
      <c r="N26" s="684">
        <v>0</v>
      </c>
    </row>
    <row r="27" spans="1:14" ht="73.5" customHeight="1" x14ac:dyDescent="0.3">
      <c r="A27" s="1289"/>
      <c r="B27" s="1289"/>
      <c r="C27" s="641" t="s">
        <v>61</v>
      </c>
      <c r="D27" s="641" t="s">
        <v>220</v>
      </c>
      <c r="E27" s="641">
        <v>0.05</v>
      </c>
      <c r="F27" s="32">
        <v>3203618</v>
      </c>
      <c r="G27" s="32">
        <f>ROUND((E27*F27),0)</f>
        <v>160181</v>
      </c>
      <c r="H27" s="1289"/>
      <c r="I27" s="536">
        <v>0.05</v>
      </c>
      <c r="J27" s="685">
        <f>ROUND(I27*F27,0)</f>
        <v>160181</v>
      </c>
      <c r="K27" s="684">
        <f>J27/G27</f>
        <v>1</v>
      </c>
      <c r="L27" s="536">
        <f>I27</f>
        <v>0.05</v>
      </c>
      <c r="M27" s="685">
        <f t="shared" si="2"/>
        <v>160181</v>
      </c>
      <c r="N27" s="684">
        <f>M27/G27</f>
        <v>1</v>
      </c>
    </row>
    <row r="28" spans="1:14" x14ac:dyDescent="0.3">
      <c r="A28" s="1289"/>
      <c r="B28" s="1289"/>
      <c r="C28" s="39"/>
      <c r="D28" s="39" t="s">
        <v>221</v>
      </c>
      <c r="E28" s="41"/>
      <c r="F28" s="41"/>
      <c r="G28" s="42">
        <f>SUM(G25:G27)</f>
        <v>160181</v>
      </c>
      <c r="H28" s="1289"/>
      <c r="I28" s="40"/>
      <c r="J28" s="683">
        <f>SUM(J25:J27)</f>
        <v>160181</v>
      </c>
      <c r="K28" s="519">
        <f>J28/G28</f>
        <v>1</v>
      </c>
      <c r="L28" s="40"/>
      <c r="M28" s="683">
        <f>SUM(M25:M27)</f>
        <v>160181</v>
      </c>
      <c r="N28" s="519">
        <f>M28/G28</f>
        <v>1</v>
      </c>
    </row>
    <row r="29" spans="1:14" ht="45" customHeight="1" x14ac:dyDescent="0.3">
      <c r="A29" s="1290" t="s">
        <v>1920</v>
      </c>
      <c r="B29" s="1289" t="s">
        <v>170</v>
      </c>
      <c r="C29" s="641" t="s">
        <v>83</v>
      </c>
      <c r="D29" s="641" t="s">
        <v>123</v>
      </c>
      <c r="E29" s="641">
        <v>0</v>
      </c>
      <c r="F29" s="32">
        <v>1044658</v>
      </c>
      <c r="G29" s="32">
        <f>ROUND((E29*F29),0)</f>
        <v>0</v>
      </c>
      <c r="H29" s="1289" t="s">
        <v>1914</v>
      </c>
      <c r="I29" s="536">
        <v>0</v>
      </c>
      <c r="J29" s="685">
        <f>ROUND(I29*F29,0)</f>
        <v>0</v>
      </c>
      <c r="K29" s="684">
        <v>0</v>
      </c>
      <c r="L29" s="536">
        <f>I29</f>
        <v>0</v>
      </c>
      <c r="M29" s="685">
        <f>J29</f>
        <v>0</v>
      </c>
      <c r="N29" s="684">
        <v>0</v>
      </c>
    </row>
    <row r="30" spans="1:14" ht="90" customHeight="1" x14ac:dyDescent="0.3">
      <c r="A30" s="1289"/>
      <c r="B30" s="1289"/>
      <c r="C30" s="641" t="s">
        <v>61</v>
      </c>
      <c r="D30" s="641" t="s">
        <v>125</v>
      </c>
      <c r="E30" s="641">
        <v>0.05</v>
      </c>
      <c r="F30" s="32">
        <v>1009836</v>
      </c>
      <c r="G30" s="32">
        <f>ROUND((E30*F30),0)</f>
        <v>50492</v>
      </c>
      <c r="H30" s="1289"/>
      <c r="I30" s="536">
        <v>0.05</v>
      </c>
      <c r="J30" s="685">
        <f>ROUND(I30*F30,0)</f>
        <v>50492</v>
      </c>
      <c r="K30" s="684">
        <f>J30/G30</f>
        <v>1</v>
      </c>
      <c r="L30" s="536">
        <f>I30</f>
        <v>0.05</v>
      </c>
      <c r="M30" s="685">
        <f>J30</f>
        <v>50492</v>
      </c>
      <c r="N30" s="684">
        <f>M30/G30</f>
        <v>1</v>
      </c>
    </row>
    <row r="31" spans="1:14" x14ac:dyDescent="0.3">
      <c r="A31" s="1289"/>
      <c r="B31" s="1289"/>
      <c r="C31" s="39"/>
      <c r="D31" s="39" t="s">
        <v>126</v>
      </c>
      <c r="E31" s="41"/>
      <c r="F31" s="41"/>
      <c r="G31" s="42">
        <f>SUM(G29:G30)</f>
        <v>50492</v>
      </c>
      <c r="H31" s="1289"/>
      <c r="I31" s="41"/>
      <c r="J31" s="683">
        <f>SUM(J29:J30)</f>
        <v>50492</v>
      </c>
      <c r="K31" s="519">
        <f>J31/G31</f>
        <v>1</v>
      </c>
      <c r="L31" s="40"/>
      <c r="M31" s="683">
        <f>SUM(M29:M30)</f>
        <v>50492</v>
      </c>
      <c r="N31" s="519">
        <f>M31/G31</f>
        <v>1</v>
      </c>
    </row>
    <row r="32" spans="1:14" ht="54.75" customHeight="1" x14ac:dyDescent="0.3">
      <c r="A32" s="1289" t="s">
        <v>1921</v>
      </c>
      <c r="B32" s="1289" t="s">
        <v>217</v>
      </c>
      <c r="C32" s="641" t="s">
        <v>81</v>
      </c>
      <c r="D32" s="641" t="s">
        <v>218</v>
      </c>
      <c r="E32" s="641">
        <v>0</v>
      </c>
      <c r="F32" s="32">
        <v>1149124</v>
      </c>
      <c r="G32" s="32">
        <f>ROUND((E32*F32),0)</f>
        <v>0</v>
      </c>
      <c r="H32" s="1289" t="s">
        <v>1913</v>
      </c>
      <c r="I32" s="536">
        <v>0</v>
      </c>
      <c r="J32" s="685">
        <f>ROUND(I32*F32,0)</f>
        <v>0</v>
      </c>
      <c r="K32" s="684">
        <v>0</v>
      </c>
      <c r="L32" s="536">
        <f>I32</f>
        <v>0</v>
      </c>
      <c r="M32" s="685">
        <f>J32</f>
        <v>0</v>
      </c>
      <c r="N32" s="684">
        <v>0</v>
      </c>
    </row>
    <row r="33" spans="1:14" ht="67.5" customHeight="1" x14ac:dyDescent="0.3">
      <c r="A33" s="1289"/>
      <c r="B33" s="1289"/>
      <c r="C33" s="641" t="s">
        <v>83</v>
      </c>
      <c r="D33" s="641" t="s">
        <v>219</v>
      </c>
      <c r="E33" s="641">
        <v>0</v>
      </c>
      <c r="F33" s="32">
        <v>2646468</v>
      </c>
      <c r="G33" s="32">
        <f>ROUND((E33*F33),0)</f>
        <v>0</v>
      </c>
      <c r="H33" s="1289"/>
      <c r="I33" s="536">
        <v>0</v>
      </c>
      <c r="J33" s="685">
        <f>ROUND(I33*F33,0)</f>
        <v>0</v>
      </c>
      <c r="K33" s="684">
        <v>0</v>
      </c>
      <c r="L33" s="536">
        <f>I33</f>
        <v>0</v>
      </c>
      <c r="M33" s="685">
        <f t="shared" ref="M33:M34" si="3">J33</f>
        <v>0</v>
      </c>
      <c r="N33" s="684">
        <v>0</v>
      </c>
    </row>
    <row r="34" spans="1:14" ht="54.75" customHeight="1" x14ac:dyDescent="0.3">
      <c r="A34" s="1289"/>
      <c r="B34" s="1289"/>
      <c r="C34" s="641" t="s">
        <v>61</v>
      </c>
      <c r="D34" s="641" t="s">
        <v>220</v>
      </c>
      <c r="E34" s="641">
        <v>0.05</v>
      </c>
      <c r="F34" s="32">
        <v>3203618</v>
      </c>
      <c r="G34" s="32">
        <f>ROUND((E34*F34),0)</f>
        <v>160181</v>
      </c>
      <c r="H34" s="1289"/>
      <c r="I34" s="536">
        <v>0.05</v>
      </c>
      <c r="J34" s="685">
        <f>ROUND(I34*F34,0)</f>
        <v>160181</v>
      </c>
      <c r="K34" s="684">
        <f>J34/G34</f>
        <v>1</v>
      </c>
      <c r="L34" s="536">
        <f>I34</f>
        <v>0.05</v>
      </c>
      <c r="M34" s="685">
        <f t="shared" si="3"/>
        <v>160181</v>
      </c>
      <c r="N34" s="684">
        <f>M34/G34</f>
        <v>1</v>
      </c>
    </row>
    <row r="35" spans="1:14" x14ac:dyDescent="0.3">
      <c r="A35" s="1289"/>
      <c r="B35" s="1289"/>
      <c r="C35" s="39"/>
      <c r="D35" s="39" t="s">
        <v>221</v>
      </c>
      <c r="E35" s="41"/>
      <c r="F35" s="41"/>
      <c r="G35" s="42">
        <f>SUM(G32:G34)</f>
        <v>160181</v>
      </c>
      <c r="H35" s="1289"/>
      <c r="I35" s="40"/>
      <c r="J35" s="683">
        <f>SUM(J32:J34)</f>
        <v>160181</v>
      </c>
      <c r="K35" s="519">
        <f>J35/G35</f>
        <v>1</v>
      </c>
      <c r="L35" s="40"/>
      <c r="M35" s="683">
        <f>SUM(M32:M34)</f>
        <v>160181</v>
      </c>
      <c r="N35" s="519">
        <f>M35/G35</f>
        <v>1</v>
      </c>
    </row>
    <row r="36" spans="1:14" ht="69.75" customHeight="1" x14ac:dyDescent="0.3">
      <c r="A36" s="1289" t="s">
        <v>1921</v>
      </c>
      <c r="B36" s="1289" t="s">
        <v>170</v>
      </c>
      <c r="C36" s="641" t="s">
        <v>83</v>
      </c>
      <c r="D36" s="641" t="s">
        <v>123</v>
      </c>
      <c r="E36" s="641">
        <v>0</v>
      </c>
      <c r="F36" s="32">
        <v>1044658</v>
      </c>
      <c r="G36" s="32">
        <f>ROUND((E36*F36),0)</f>
        <v>0</v>
      </c>
      <c r="H36" s="1289" t="s">
        <v>1914</v>
      </c>
      <c r="I36" s="536">
        <v>0</v>
      </c>
      <c r="J36" s="685">
        <f>ROUND(I36*F36,0)</f>
        <v>0</v>
      </c>
      <c r="K36" s="684">
        <v>0</v>
      </c>
      <c r="L36" s="536">
        <f>I36</f>
        <v>0</v>
      </c>
      <c r="M36" s="685">
        <f>J36</f>
        <v>0</v>
      </c>
      <c r="N36" s="684">
        <v>0</v>
      </c>
    </row>
    <row r="37" spans="1:14" ht="65.25" customHeight="1" x14ac:dyDescent="0.3">
      <c r="A37" s="1289"/>
      <c r="B37" s="1289"/>
      <c r="C37" s="641" t="s">
        <v>61</v>
      </c>
      <c r="D37" s="641" t="s">
        <v>125</v>
      </c>
      <c r="E37" s="641">
        <v>0.05</v>
      </c>
      <c r="F37" s="32">
        <v>1009836</v>
      </c>
      <c r="G37" s="32">
        <f>ROUND((E37*F37),0)</f>
        <v>50492</v>
      </c>
      <c r="H37" s="1289"/>
      <c r="I37" s="536">
        <v>0.05</v>
      </c>
      <c r="J37" s="685">
        <f>ROUND(I37*F37,0)</f>
        <v>50492</v>
      </c>
      <c r="K37" s="684">
        <f>J37/G37</f>
        <v>1</v>
      </c>
      <c r="L37" s="536">
        <f>I37</f>
        <v>0.05</v>
      </c>
      <c r="M37" s="685">
        <f>J37</f>
        <v>50492</v>
      </c>
      <c r="N37" s="684">
        <f>M37/G37</f>
        <v>1</v>
      </c>
    </row>
    <row r="38" spans="1:14" x14ac:dyDescent="0.3">
      <c r="A38" s="1289"/>
      <c r="B38" s="1289"/>
      <c r="C38" s="39"/>
      <c r="D38" s="39" t="s">
        <v>126</v>
      </c>
      <c r="E38" s="41"/>
      <c r="F38" s="41"/>
      <c r="G38" s="42">
        <f>SUM(G36:G37)</f>
        <v>50492</v>
      </c>
      <c r="H38" s="1289"/>
      <c r="I38" s="41"/>
      <c r="J38" s="683">
        <f>SUM(J36:J37)</f>
        <v>50492</v>
      </c>
      <c r="K38" s="519">
        <f>J38/G38</f>
        <v>1</v>
      </c>
      <c r="L38" s="40"/>
      <c r="M38" s="683">
        <f>SUM(M36:M37)</f>
        <v>50492</v>
      </c>
      <c r="N38" s="519">
        <f>M38/G38</f>
        <v>1</v>
      </c>
    </row>
    <row r="39" spans="1:14" x14ac:dyDescent="0.3">
      <c r="A39" s="643"/>
      <c r="B39" s="643"/>
      <c r="C39" s="643"/>
      <c r="D39" s="643"/>
      <c r="E39" s="643"/>
      <c r="F39" s="686" t="s">
        <v>1740</v>
      </c>
      <c r="G39" s="687">
        <f>G17+G24+G21+G31+G28+G35+G38</f>
        <v>759119</v>
      </c>
      <c r="H39" s="643"/>
      <c r="I39" s="695" t="s">
        <v>64</v>
      </c>
      <c r="J39" s="715">
        <f>SUM(J14:J38)/2</f>
        <v>759119</v>
      </c>
      <c r="K39" s="716"/>
      <c r="L39" s="695" t="s">
        <v>64</v>
      </c>
      <c r="M39" s="715">
        <f>SUM(M14:M38)/2</f>
        <v>759119</v>
      </c>
      <c r="N39" s="642"/>
    </row>
    <row r="40" spans="1:14" x14ac:dyDescent="0.3">
      <c r="A40" s="643"/>
      <c r="B40" s="643"/>
      <c r="C40" s="643"/>
      <c r="D40" s="643"/>
      <c r="E40" s="643"/>
      <c r="F40" s="444" t="s">
        <v>65</v>
      </c>
      <c r="G40" s="181">
        <v>0</v>
      </c>
      <c r="H40" s="643"/>
      <c r="I40" s="666" t="s">
        <v>65</v>
      </c>
      <c r="J40" s="697"/>
      <c r="K40" s="642"/>
      <c r="L40" s="666" t="s">
        <v>65</v>
      </c>
      <c r="M40" s="697"/>
      <c r="N40" s="642"/>
    </row>
    <row r="41" spans="1:14" x14ac:dyDescent="0.3">
      <c r="A41" s="643"/>
      <c r="B41" s="643"/>
      <c r="C41" s="643"/>
      <c r="D41" s="643"/>
      <c r="E41" s="643"/>
      <c r="F41" s="443" t="s">
        <v>1740</v>
      </c>
      <c r="G41" s="340">
        <f>+G40+G39</f>
        <v>759119</v>
      </c>
      <c r="H41" s="643"/>
      <c r="I41" s="698" t="s">
        <v>64</v>
      </c>
      <c r="J41" s="697">
        <f>J39+J40</f>
        <v>759119</v>
      </c>
      <c r="K41" s="642"/>
      <c r="L41" s="698" t="s">
        <v>64</v>
      </c>
      <c r="M41" s="697">
        <f>M39+M40</f>
        <v>759119</v>
      </c>
      <c r="N41" s="642"/>
    </row>
    <row r="42" spans="1:14" ht="27.6" x14ac:dyDescent="0.3">
      <c r="A42" s="643"/>
      <c r="B42" s="643"/>
      <c r="C42" s="643"/>
      <c r="D42" s="643"/>
      <c r="E42" s="643"/>
      <c r="F42" s="659"/>
      <c r="G42" s="659"/>
      <c r="H42" s="643"/>
      <c r="I42" s="699" t="s">
        <v>1439</v>
      </c>
      <c r="J42" s="697">
        <f>ROUND(J41*0.015,0)</f>
        <v>11387</v>
      </c>
      <c r="K42" s="642"/>
      <c r="L42" s="699" t="s">
        <v>1439</v>
      </c>
      <c r="M42" s="697">
        <f>ROUND(M41*0.015,0)</f>
        <v>11387</v>
      </c>
      <c r="N42" s="642"/>
    </row>
    <row r="43" spans="1:14" ht="27.6" x14ac:dyDescent="0.3">
      <c r="A43" s="643"/>
      <c r="B43" s="643"/>
      <c r="C43" s="643"/>
      <c r="D43" s="643"/>
      <c r="E43" s="643"/>
      <c r="F43" s="659"/>
      <c r="G43" s="659"/>
      <c r="H43" s="643"/>
      <c r="I43" s="700" t="s">
        <v>1440</v>
      </c>
      <c r="J43" s="425">
        <f>J41+J42</f>
        <v>770506</v>
      </c>
      <c r="K43" s="701">
        <f>J43/G39</f>
        <v>1.015000283223052</v>
      </c>
      <c r="L43" s="700" t="s">
        <v>1440</v>
      </c>
      <c r="M43" s="425">
        <f>M41+M42</f>
        <v>770506</v>
      </c>
      <c r="N43" s="701">
        <f>M43/G39</f>
        <v>1.015000283223052</v>
      </c>
    </row>
    <row r="44" spans="1:14" x14ac:dyDescent="0.3">
      <c r="A44" s="643"/>
      <c r="B44" s="643"/>
      <c r="C44" s="643"/>
      <c r="D44" s="643"/>
      <c r="E44" s="643"/>
      <c r="F44" s="442" t="s">
        <v>66</v>
      </c>
      <c r="G44" s="181">
        <f>+G39*19%</f>
        <v>144232.61000000002</v>
      </c>
      <c r="H44" s="643"/>
      <c r="I44" s="702" t="s">
        <v>66</v>
      </c>
      <c r="J44" s="703">
        <f>J43*0.19</f>
        <v>146396.14000000001</v>
      </c>
      <c r="K44" s="642"/>
      <c r="L44" s="702" t="s">
        <v>66</v>
      </c>
      <c r="M44" s="703">
        <f>M43*0.19</f>
        <v>146396.14000000001</v>
      </c>
      <c r="N44" s="642"/>
    </row>
    <row r="45" spans="1:14" x14ac:dyDescent="0.3">
      <c r="A45" s="643"/>
      <c r="B45" s="643"/>
      <c r="C45" s="643"/>
      <c r="D45" s="643"/>
      <c r="E45" s="643"/>
      <c r="F45" s="441" t="s">
        <v>69</v>
      </c>
      <c r="G45" s="181">
        <f>+G39+G44</f>
        <v>903351.61</v>
      </c>
      <c r="H45" s="643"/>
      <c r="I45" s="704" t="s">
        <v>69</v>
      </c>
      <c r="J45" s="703">
        <f>J43+J44</f>
        <v>916902.14</v>
      </c>
      <c r="K45" s="642"/>
      <c r="L45" s="704" t="s">
        <v>69</v>
      </c>
      <c r="M45" s="703">
        <f>M43+M44</f>
        <v>916902.14</v>
      </c>
      <c r="N45" s="642"/>
    </row>
    <row r="46" spans="1:14" x14ac:dyDescent="0.3">
      <c r="A46" s="643"/>
      <c r="B46" s="643"/>
      <c r="C46" s="643"/>
      <c r="D46" s="643"/>
      <c r="E46" s="643"/>
      <c r="F46" s="643"/>
      <c r="G46" s="643"/>
      <c r="H46" s="643"/>
      <c r="I46" s="642"/>
      <c r="J46" s="642"/>
      <c r="K46" s="642"/>
      <c r="L46" s="642"/>
      <c r="M46" s="642"/>
      <c r="N46" s="642"/>
    </row>
    <row r="47" spans="1:14" ht="27.6" x14ac:dyDescent="0.3">
      <c r="A47" s="665" t="s">
        <v>67</v>
      </c>
      <c r="B47" s="184"/>
      <c r="C47" s="184"/>
      <c r="D47" s="185" t="s">
        <v>68</v>
      </c>
      <c r="E47" s="643"/>
      <c r="F47" s="643"/>
      <c r="G47" s="643"/>
      <c r="H47" s="643"/>
      <c r="I47" s="705" t="s">
        <v>70</v>
      </c>
      <c r="J47" s="706" t="s">
        <v>71</v>
      </c>
      <c r="K47" s="705" t="s">
        <v>58</v>
      </c>
      <c r="L47" s="642"/>
      <c r="M47" s="642"/>
      <c r="N47" s="642"/>
    </row>
    <row r="48" spans="1:14" x14ac:dyDescent="0.3">
      <c r="A48" s="665"/>
      <c r="B48" s="184"/>
      <c r="C48" s="184"/>
      <c r="D48" s="185"/>
      <c r="E48" s="643"/>
      <c r="F48" s="643"/>
      <c r="G48" s="643"/>
      <c r="H48" s="643"/>
      <c r="I48" s="707" t="s">
        <v>72</v>
      </c>
      <c r="J48" s="708">
        <f>J43</f>
        <v>770506</v>
      </c>
      <c r="K48" s="709">
        <f>K43</f>
        <v>1.015000283223052</v>
      </c>
      <c r="L48" s="642"/>
      <c r="M48" s="642"/>
      <c r="N48" s="642"/>
    </row>
    <row r="49" spans="1:14" x14ac:dyDescent="0.3">
      <c r="A49" s="665"/>
      <c r="B49" s="184"/>
      <c r="C49" s="184"/>
      <c r="D49" s="185"/>
      <c r="E49" s="643"/>
      <c r="F49" s="643"/>
      <c r="G49" s="643"/>
      <c r="H49" s="643"/>
      <c r="I49" s="710" t="s">
        <v>1</v>
      </c>
      <c r="J49" s="711">
        <f>J48</f>
        <v>770506</v>
      </c>
      <c r="K49" s="712">
        <f>K48</f>
        <v>1.015000283223052</v>
      </c>
      <c r="L49" s="642"/>
      <c r="M49" s="642"/>
      <c r="N49" s="642"/>
    </row>
    <row r="50" spans="1:14" x14ac:dyDescent="0.3">
      <c r="A50" s="665"/>
      <c r="B50" s="184"/>
      <c r="C50" s="184"/>
      <c r="D50" s="185"/>
      <c r="E50" s="643"/>
      <c r="F50" s="643"/>
      <c r="G50" s="643"/>
      <c r="H50" s="643"/>
      <c r="I50" s="710" t="s">
        <v>9</v>
      </c>
      <c r="J50" s="1517"/>
      <c r="K50" s="1518"/>
      <c r="L50" s="642"/>
      <c r="M50" s="642"/>
      <c r="N50" s="642"/>
    </row>
    <row r="51" spans="1:14" x14ac:dyDescent="0.3">
      <c r="A51" s="665"/>
      <c r="B51" s="184"/>
      <c r="C51" s="184"/>
      <c r="D51" s="185"/>
      <c r="E51" s="643"/>
      <c r="F51" s="643"/>
      <c r="G51" s="643"/>
      <c r="H51" s="643"/>
      <c r="I51" s="713" t="s">
        <v>78</v>
      </c>
      <c r="J51" s="1517" t="s">
        <v>742</v>
      </c>
      <c r="K51" s="1518"/>
      <c r="L51" s="642"/>
      <c r="M51" s="642"/>
      <c r="N51" s="642"/>
    </row>
    <row r="52" spans="1:14" x14ac:dyDescent="0.3">
      <c r="A52" s="665"/>
      <c r="B52" s="184"/>
      <c r="C52" s="184"/>
      <c r="D52" s="185"/>
      <c r="E52" s="643"/>
      <c r="F52" s="643"/>
      <c r="G52" s="643"/>
      <c r="H52" s="643"/>
      <c r="I52" s="714" t="s">
        <v>8</v>
      </c>
      <c r="J52" s="1515" t="s">
        <v>743</v>
      </c>
      <c r="K52" s="1516"/>
      <c r="L52" s="642"/>
      <c r="M52" s="642"/>
      <c r="N52" s="642"/>
    </row>
    <row r="53" spans="1:14" x14ac:dyDescent="0.3">
      <c r="A53" s="665"/>
      <c r="B53" s="184"/>
      <c r="C53" s="184"/>
      <c r="D53" s="185" t="s">
        <v>75</v>
      </c>
      <c r="E53" s="643"/>
      <c r="F53" s="643"/>
      <c r="G53" s="643"/>
      <c r="H53" s="643"/>
      <c r="I53" s="643"/>
      <c r="J53" s="643"/>
      <c r="K53" s="643"/>
      <c r="L53" s="643"/>
      <c r="M53" s="643"/>
      <c r="N53" s="643"/>
    </row>
    <row r="54" spans="1:14" x14ac:dyDescent="0.3">
      <c r="A54" s="665" t="s">
        <v>76</v>
      </c>
      <c r="B54" s="180"/>
      <c r="C54" s="180"/>
      <c r="D54" s="185" t="s">
        <v>77</v>
      </c>
      <c r="E54" s="643"/>
      <c r="F54" s="643"/>
      <c r="G54" s="643"/>
      <c r="H54" s="643"/>
      <c r="I54" s="643"/>
      <c r="J54" s="643"/>
      <c r="K54" s="643"/>
      <c r="L54" s="643"/>
      <c r="M54" s="643"/>
      <c r="N54" s="643"/>
    </row>
    <row r="55" spans="1:14" x14ac:dyDescent="0.3">
      <c r="A55" s="665" t="s">
        <v>79</v>
      </c>
      <c r="B55" s="180"/>
      <c r="C55" s="180"/>
      <c r="D55" s="185" t="s">
        <v>80</v>
      </c>
      <c r="E55" s="643"/>
      <c r="F55" s="643"/>
      <c r="G55" s="643"/>
      <c r="H55" s="643"/>
      <c r="I55" s="643"/>
      <c r="J55" s="643"/>
      <c r="K55" s="643"/>
      <c r="L55" s="643"/>
      <c r="M55" s="643"/>
      <c r="N55" s="643"/>
    </row>
  </sheetData>
  <mergeCells count="39">
    <mergeCell ref="J52:K52"/>
    <mergeCell ref="A29:A31"/>
    <mergeCell ref="B29:B31"/>
    <mergeCell ref="H29:H31"/>
    <mergeCell ref="A32:A35"/>
    <mergeCell ref="B32:B35"/>
    <mergeCell ref="H32:H35"/>
    <mergeCell ref="A36:A38"/>
    <mergeCell ref="B36:B38"/>
    <mergeCell ref="H36:H38"/>
    <mergeCell ref="J50:K50"/>
    <mergeCell ref="J51:K51"/>
    <mergeCell ref="A22:A24"/>
    <mergeCell ref="B22:B24"/>
    <mergeCell ref="H22:H24"/>
    <mergeCell ref="A25:A28"/>
    <mergeCell ref="B25:B28"/>
    <mergeCell ref="H25:H28"/>
    <mergeCell ref="A14:A17"/>
    <mergeCell ref="B14:B17"/>
    <mergeCell ref="H14:H17"/>
    <mergeCell ref="A18:A21"/>
    <mergeCell ref="B18:B21"/>
    <mergeCell ref="H18:H21"/>
    <mergeCell ref="B11:H11"/>
    <mergeCell ref="I11:K12"/>
    <mergeCell ref="L11:N12"/>
    <mergeCell ref="B12:H12"/>
    <mergeCell ref="C1:K2"/>
    <mergeCell ref="L1:N1"/>
    <mergeCell ref="L2:N2"/>
    <mergeCell ref="A3:N3"/>
    <mergeCell ref="A4:N4"/>
    <mergeCell ref="A5:N5"/>
    <mergeCell ref="A6:N6"/>
    <mergeCell ref="A7:N7"/>
    <mergeCell ref="A8:N8"/>
    <mergeCell ref="A9:N9"/>
    <mergeCell ref="A10:N10"/>
  </mergeCells>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9">
    <tabColor theme="1"/>
  </sheetPr>
  <dimension ref="A1:G49"/>
  <sheetViews>
    <sheetView topLeftCell="A10"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RESUMEN!G135</f>
        <v>Proyecto:CDIM_CAOLIG_R0078 -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RESUMEN!B135</f>
        <v>D00249388</v>
      </c>
      <c r="C7" s="1265"/>
      <c r="D7" s="1177"/>
      <c r="E7" s="1266" t="s">
        <v>627</v>
      </c>
      <c r="F7" s="1267"/>
      <c r="G7" s="280" t="str">
        <f>RESUMEN!E135</f>
        <v xml:space="preserve">17-438 </v>
      </c>
    </row>
    <row r="8" spans="1:7" x14ac:dyDescent="0.25">
      <c r="A8" s="271" t="s">
        <v>628</v>
      </c>
      <c r="B8" s="1264" t="str">
        <f>RESUMEN!C135</f>
        <v>D00249388000</v>
      </c>
      <c r="C8" s="1265"/>
      <c r="D8" s="1177"/>
      <c r="E8" s="1266" t="s">
        <v>629</v>
      </c>
      <c r="F8" s="1267"/>
      <c r="G8" s="280" t="str">
        <f>RESUMEN!U135</f>
        <v xml:space="preserve">Acta N° 3: Marzo </v>
      </c>
    </row>
    <row r="9" spans="1:7" x14ac:dyDescent="0.25">
      <c r="A9" s="271" t="s">
        <v>630</v>
      </c>
      <c r="B9" s="1283" t="s">
        <v>631</v>
      </c>
      <c r="C9" s="1265"/>
      <c r="D9" s="1177"/>
      <c r="E9" s="1266" t="s">
        <v>632</v>
      </c>
      <c r="F9" s="1267"/>
      <c r="G9" s="1178">
        <f>RESUMEN!H135</f>
        <v>4457216</v>
      </c>
    </row>
    <row r="10" spans="1:7" x14ac:dyDescent="0.25">
      <c r="A10" s="271" t="s">
        <v>633</v>
      </c>
      <c r="B10" s="1283" t="str">
        <f>RESUMEN!D135</f>
        <v>CÓDIGO ZONA SUR</v>
      </c>
      <c r="C10" s="1265"/>
      <c r="D10" s="1177"/>
      <c r="E10" s="1266" t="s">
        <v>634</v>
      </c>
      <c r="F10" s="1267"/>
      <c r="G10" s="1178">
        <f>RESUMEN!R135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RESUMEN!N135</f>
        <v>0</v>
      </c>
      <c r="F19" s="1248"/>
      <c r="G19" s="1177"/>
    </row>
    <row r="20" spans="1:7" ht="27" customHeight="1" x14ac:dyDescent="0.25">
      <c r="A20" s="1177"/>
      <c r="B20" s="1244" t="s">
        <v>1498</v>
      </c>
      <c r="C20" s="1245"/>
      <c r="D20" s="1246"/>
      <c r="E20" s="1247">
        <f>RESUMEN!P135</f>
        <v>0</v>
      </c>
      <c r="F20" s="1248"/>
      <c r="G20" s="1177"/>
    </row>
    <row r="21" spans="1:7" ht="27" customHeight="1" x14ac:dyDescent="0.25">
      <c r="A21" s="1177"/>
      <c r="B21" s="1244" t="s">
        <v>1499</v>
      </c>
      <c r="C21" s="1245"/>
      <c r="D21" s="1246"/>
      <c r="E21" s="1247">
        <f>RESUMEN!Q135</f>
        <v>0</v>
      </c>
      <c r="F21" s="1248"/>
      <c r="G21" s="1177"/>
    </row>
    <row r="22" spans="1:7" x14ac:dyDescent="0.25">
      <c r="A22" s="1177"/>
      <c r="B22" s="1254" t="s">
        <v>64</v>
      </c>
      <c r="C22" s="1254"/>
      <c r="D22" s="1254"/>
      <c r="E22" s="1255">
        <f>RESUMEN!R135</f>
        <v>0</v>
      </c>
      <c r="F22" s="1255"/>
      <c r="G22" s="1177"/>
    </row>
    <row r="23" spans="1:7" x14ac:dyDescent="0.25">
      <c r="A23" s="1177"/>
      <c r="B23" s="1256" t="s">
        <v>66</v>
      </c>
      <c r="C23" s="1256"/>
      <c r="D23" s="1256"/>
      <c r="E23" s="1257">
        <f>RESUMEN!S135</f>
        <v>0</v>
      </c>
      <c r="F23" s="1257"/>
      <c r="G23" s="1177"/>
    </row>
    <row r="24" spans="1:7" x14ac:dyDescent="0.25">
      <c r="A24" s="1177"/>
      <c r="B24" s="1258" t="s">
        <v>1</v>
      </c>
      <c r="C24" s="1258"/>
      <c r="D24" s="1258"/>
      <c r="E24" s="1259">
        <f>RESUMEN!T135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+'OT17-438 CÓDIGO ZONA SUR'!Q25</f>
        <v>ACTA 1</v>
      </c>
      <c r="C28" s="1253">
        <f>+'OT17-438 CÓDIGO ZONA SUR'!R25</f>
        <v>2262037</v>
      </c>
      <c r="D28" s="1253"/>
      <c r="E28" s="267">
        <f>+'OT17-438 CÓDIGO ZONA SUR'!S25</f>
        <v>0.50749997307736483</v>
      </c>
      <c r="F28" s="1177"/>
      <c r="G28" s="1177"/>
    </row>
    <row r="29" spans="1:7" x14ac:dyDescent="0.25">
      <c r="A29" s="1177"/>
      <c r="B29" s="280" t="str">
        <f>+'OT17-438 CÓDIGO ZONA SUR'!Q26</f>
        <v>ACTA 2</v>
      </c>
      <c r="C29" s="1253">
        <f>+'OT17-438 CÓDIGO ZONA SUR'!R26</f>
        <v>1485879</v>
      </c>
      <c r="D29" s="1253"/>
      <c r="E29" s="267">
        <f>+'OT17-438 CÓDIGO ZONA SUR'!S26</f>
        <v>0.33336481785939925</v>
      </c>
      <c r="F29" s="1177"/>
      <c r="G29" s="1177"/>
    </row>
    <row r="30" spans="1:7" x14ac:dyDescent="0.25">
      <c r="A30" s="1177"/>
      <c r="B30" s="280" t="str">
        <f>+'OT17-438 CÓDIGO ZONA SUR'!Q27</f>
        <v>ACTA 3</v>
      </c>
      <c r="C30" s="1253">
        <f>+'OT17-438 CÓDIGO ZONA SUR'!R27</f>
        <v>0</v>
      </c>
      <c r="D30" s="1253"/>
      <c r="E30" s="267">
        <f>+'OT17-438 CÓDIGO ZONA SUR'!S27</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3747916</v>
      </c>
      <c r="D34" s="1251"/>
      <c r="E34" s="264">
        <f>SUM(E28:E33)</f>
        <v>0.84086479093676414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RESUMEN!V135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4" orientation="portrait" r:id="rId1"/>
  <drawing r:id="rId2"/>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80">
    <tabColor rgb="FF72104A"/>
  </sheetPr>
  <dimension ref="A1:V33"/>
  <sheetViews>
    <sheetView topLeftCell="F7" zoomScale="70" zoomScaleNormal="70" workbookViewId="0">
      <selection activeCell="V14" sqref="V14"/>
    </sheetView>
  </sheetViews>
  <sheetFormatPr baseColWidth="10" defaultRowHeight="14.4" x14ac:dyDescent="0.3"/>
  <cols>
    <col min="1" max="1" width="16.88671875" customWidth="1"/>
    <col min="2" max="2" width="22" customWidth="1"/>
    <col min="3" max="3" width="22.44140625" customWidth="1"/>
    <col min="4" max="4" width="39.33203125" customWidth="1"/>
    <col min="7" max="7" width="11.44140625" style="849"/>
    <col min="8" max="8" width="15.33203125" bestFit="1" customWidth="1"/>
    <col min="9" max="9" width="16.6640625" style="849" bestFit="1" customWidth="1"/>
    <col min="10" max="10" width="51.109375" customWidth="1"/>
    <col min="11" max="11" width="17.44140625" hidden="1" customWidth="1"/>
    <col min="12" max="12" width="15" hidden="1" customWidth="1"/>
    <col min="13" max="13" width="0" hidden="1" customWidth="1"/>
    <col min="14" max="14" width="20.6640625" style="849" customWidth="1"/>
    <col min="15" max="15" width="15" style="849" customWidth="1"/>
    <col min="16" max="16" width="11.44140625" style="849"/>
    <col min="17" max="17" width="13.77734375" style="1054" customWidth="1"/>
    <col min="18" max="18" width="15.6640625" style="1054" customWidth="1"/>
    <col min="19" max="19" width="11.5546875" style="1054"/>
    <col min="20" max="20" width="20.6640625" customWidth="1"/>
    <col min="21" max="21" width="15.44140625" bestFit="1" customWidth="1"/>
  </cols>
  <sheetData>
    <row r="1" spans="1:22" ht="21" customHeight="1" thickBot="1" x14ac:dyDescent="0.35">
      <c r="A1" s="169"/>
      <c r="B1" s="188"/>
      <c r="C1" s="1307" t="s">
        <v>40</v>
      </c>
      <c r="D1" s="1308"/>
      <c r="E1" s="1308"/>
      <c r="F1" s="1308"/>
      <c r="G1" s="1308"/>
      <c r="H1" s="1308"/>
      <c r="I1" s="1308"/>
      <c r="J1" s="1308"/>
      <c r="K1" s="1308"/>
      <c r="L1" s="1308"/>
      <c r="M1" s="1308"/>
      <c r="N1" s="846"/>
      <c r="O1" s="846"/>
      <c r="P1" s="846"/>
      <c r="Q1" s="1052"/>
      <c r="R1" s="1052"/>
      <c r="S1" s="1052"/>
      <c r="T1" s="1328" t="s">
        <v>1663</v>
      </c>
      <c r="U1" s="1303"/>
      <c r="V1" s="1304"/>
    </row>
    <row r="2" spans="1:22" ht="15" thickBot="1" x14ac:dyDescent="0.35">
      <c r="A2" s="170"/>
      <c r="B2" s="190"/>
      <c r="C2" s="1310"/>
      <c r="D2" s="1311"/>
      <c r="E2" s="1311"/>
      <c r="F2" s="1311"/>
      <c r="G2" s="1311"/>
      <c r="H2" s="1311"/>
      <c r="I2" s="1311"/>
      <c r="J2" s="1311"/>
      <c r="K2" s="1311"/>
      <c r="L2" s="1311"/>
      <c r="M2" s="1311"/>
      <c r="N2" s="847"/>
      <c r="O2" s="847"/>
      <c r="P2" s="847"/>
      <c r="Q2" s="1053"/>
      <c r="R2" s="1053"/>
      <c r="S2" s="1053"/>
      <c r="T2" s="1329" t="s">
        <v>41</v>
      </c>
      <c r="U2" s="1305"/>
      <c r="V2" s="1306"/>
    </row>
    <row r="3" spans="1:22"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1849</v>
      </c>
      <c r="B7" s="1292"/>
      <c r="C7" s="1292"/>
      <c r="D7" s="1292"/>
      <c r="E7" s="1292"/>
      <c r="F7" s="1292"/>
      <c r="G7" s="1292"/>
      <c r="H7" s="1292"/>
      <c r="I7" s="1292"/>
      <c r="J7" s="1292"/>
      <c r="K7" s="1292"/>
      <c r="L7" s="1292"/>
      <c r="M7" s="1292"/>
      <c r="N7" s="1292"/>
      <c r="O7" s="1292"/>
      <c r="P7" s="1292"/>
      <c r="Q7" s="1292"/>
      <c r="R7" s="1292"/>
      <c r="S7" s="1292"/>
      <c r="T7" s="1292"/>
      <c r="U7" s="1292"/>
      <c r="V7" s="1292"/>
    </row>
    <row r="8" spans="1:22" x14ac:dyDescent="0.3">
      <c r="A8" s="1292" t="s">
        <v>2337</v>
      </c>
      <c r="B8" s="1292"/>
      <c r="C8" s="1292"/>
      <c r="D8" s="1292"/>
      <c r="E8" s="1292"/>
      <c r="F8" s="1292"/>
      <c r="G8" s="1292"/>
      <c r="H8" s="1292"/>
      <c r="I8" s="1292"/>
      <c r="J8" s="1292"/>
      <c r="K8" s="1292"/>
      <c r="L8" s="1292"/>
      <c r="M8" s="1292"/>
      <c r="N8" s="1292"/>
      <c r="O8" s="1292"/>
      <c r="P8" s="1292"/>
      <c r="Q8" s="1292"/>
      <c r="R8" s="1292"/>
      <c r="S8" s="1292"/>
      <c r="T8" s="1292"/>
      <c r="U8" s="1292"/>
      <c r="V8" s="1292"/>
    </row>
    <row r="9" spans="1:22"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x14ac:dyDescent="0.3">
      <c r="A10" s="1292" t="s">
        <v>1923</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x14ac:dyDescent="0.3">
      <c r="A11" s="640"/>
      <c r="B11" s="1301"/>
      <c r="C11" s="1313"/>
      <c r="D11" s="1313"/>
      <c r="E11" s="1313"/>
      <c r="F11" s="1313"/>
      <c r="G11" s="1313"/>
      <c r="H11" s="1313"/>
      <c r="I11" s="1313"/>
      <c r="J11" s="1313"/>
      <c r="K11" s="1293" t="s">
        <v>1980</v>
      </c>
      <c r="L11" s="1294"/>
      <c r="M11" s="1295"/>
      <c r="N11" s="1293" t="s">
        <v>2094</v>
      </c>
      <c r="O11" s="1294"/>
      <c r="P11" s="1295"/>
      <c r="Q11" s="1293" t="s">
        <v>2318</v>
      </c>
      <c r="R11" s="1294"/>
      <c r="S11" s="1295"/>
      <c r="T11" s="1299" t="s">
        <v>49</v>
      </c>
      <c r="U11" s="1299"/>
      <c r="V11" s="1299"/>
    </row>
    <row r="12" spans="1:22"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879" t="s">
        <v>50</v>
      </c>
      <c r="B13" s="879" t="s">
        <v>51</v>
      </c>
      <c r="C13" s="879" t="s">
        <v>52</v>
      </c>
      <c r="D13" s="879" t="s">
        <v>164</v>
      </c>
      <c r="E13" s="159" t="s">
        <v>54</v>
      </c>
      <c r="F13" s="141" t="s">
        <v>55</v>
      </c>
      <c r="G13" s="823" t="s">
        <v>2007</v>
      </c>
      <c r="H13" s="159" t="s">
        <v>56</v>
      </c>
      <c r="I13" s="824" t="s">
        <v>56</v>
      </c>
      <c r="J13" s="660" t="s">
        <v>57</v>
      </c>
      <c r="K13" s="502" t="s">
        <v>54</v>
      </c>
      <c r="L13" s="502" t="s">
        <v>56</v>
      </c>
      <c r="M13" s="502" t="s">
        <v>58</v>
      </c>
      <c r="N13" s="502" t="s">
        <v>54</v>
      </c>
      <c r="O13" s="502" t="s">
        <v>56</v>
      </c>
      <c r="P13" s="502" t="s">
        <v>58</v>
      </c>
      <c r="Q13" s="502" t="s">
        <v>54</v>
      </c>
      <c r="R13" s="502" t="s">
        <v>56</v>
      </c>
      <c r="S13" s="502" t="s">
        <v>58</v>
      </c>
      <c r="T13" s="502" t="s">
        <v>54</v>
      </c>
      <c r="U13" s="502" t="s">
        <v>56</v>
      </c>
      <c r="V13" s="502" t="s">
        <v>58</v>
      </c>
    </row>
    <row r="14" spans="1:22" ht="153" customHeight="1" x14ac:dyDescent="0.3">
      <c r="A14" s="1289" t="s">
        <v>1186</v>
      </c>
      <c r="B14" s="1289" t="s">
        <v>194</v>
      </c>
      <c r="C14" s="641" t="s">
        <v>160</v>
      </c>
      <c r="D14" s="641" t="s">
        <v>161</v>
      </c>
      <c r="E14" s="641">
        <v>64</v>
      </c>
      <c r="F14" s="32">
        <v>69644</v>
      </c>
      <c r="G14" s="32">
        <f>+ROUND(F14*1.051,0)</f>
        <v>73196</v>
      </c>
      <c r="H14" s="32">
        <f>ROUND((E14*F14),0)</f>
        <v>4457216</v>
      </c>
      <c r="I14" s="32">
        <f>+ROUND(G14*E14,0)</f>
        <v>4684544</v>
      </c>
      <c r="J14" s="1290" t="s">
        <v>1922</v>
      </c>
      <c r="K14" s="537">
        <f>8*4</f>
        <v>32</v>
      </c>
      <c r="L14" s="752">
        <f>ROUND(K14*F14,0)</f>
        <v>2228608</v>
      </c>
      <c r="M14" s="753">
        <f t="shared" ref="M14:M15" si="0">L14/H14</f>
        <v>0.5</v>
      </c>
      <c r="N14" s="537">
        <v>20</v>
      </c>
      <c r="O14" s="752">
        <f>ROUND(N14*G14,0)</f>
        <v>1463920</v>
      </c>
      <c r="P14" s="753">
        <f>O14/H14</f>
        <v>0.32843819998851304</v>
      </c>
      <c r="Q14" s="891">
        <v>0</v>
      </c>
      <c r="R14" s="892">
        <f>ROUND(Q14*G14,0)</f>
        <v>0</v>
      </c>
      <c r="S14" s="893">
        <f>R14/I14</f>
        <v>0</v>
      </c>
      <c r="T14" s="536">
        <f>K14+N14+Q14</f>
        <v>52</v>
      </c>
      <c r="U14" s="685">
        <f>L14+O14+R14</f>
        <v>3692528</v>
      </c>
      <c r="V14" s="684">
        <f>U14/I14</f>
        <v>0.78823637903710586</v>
      </c>
    </row>
    <row r="15" spans="1:22" x14ac:dyDescent="0.3">
      <c r="A15" s="1289"/>
      <c r="B15" s="1289"/>
      <c r="C15" s="39"/>
      <c r="D15" s="39" t="s">
        <v>162</v>
      </c>
      <c r="E15" s="41"/>
      <c r="F15" s="41"/>
      <c r="G15" s="41"/>
      <c r="H15" s="42">
        <f>H14</f>
        <v>4457216</v>
      </c>
      <c r="I15" s="42">
        <f>SUM(I14)</f>
        <v>4684544</v>
      </c>
      <c r="J15" s="1290"/>
      <c r="K15" s="40"/>
      <c r="L15" s="683">
        <f>SUM(L14:L14)</f>
        <v>2228608</v>
      </c>
      <c r="M15" s="519">
        <f t="shared" si="0"/>
        <v>0.5</v>
      </c>
      <c r="N15" s="40"/>
      <c r="O15" s="683">
        <f>SUM(O14:O14)</f>
        <v>1463920</v>
      </c>
      <c r="P15" s="519">
        <f t="shared" ref="P15" si="1">O15/L15</f>
        <v>0.65687639997702607</v>
      </c>
      <c r="Q15" s="40"/>
      <c r="R15" s="683">
        <f>SUM(R14:R14)</f>
        <v>0</v>
      </c>
      <c r="S15" s="519">
        <f>R15/I15</f>
        <v>0</v>
      </c>
      <c r="T15" s="40"/>
      <c r="U15" s="683">
        <f>SUM(U14:U14)</f>
        <v>3692528</v>
      </c>
      <c r="V15" s="519">
        <f>U15/I15</f>
        <v>0.78823637903710586</v>
      </c>
    </row>
    <row r="16" spans="1:22" x14ac:dyDescent="0.3">
      <c r="A16" s="643"/>
      <c r="B16" s="643"/>
      <c r="C16" s="643"/>
      <c r="D16" s="643"/>
      <c r="E16" s="643"/>
      <c r="F16" s="686" t="s">
        <v>1740</v>
      </c>
      <c r="G16" s="686"/>
      <c r="H16" s="687">
        <f>H15</f>
        <v>4457216</v>
      </c>
      <c r="I16" s="687">
        <f>I15</f>
        <v>4684544</v>
      </c>
      <c r="J16" s="643"/>
      <c r="K16" s="549" t="s">
        <v>64</v>
      </c>
      <c r="L16" s="677">
        <f>SUM(L14:L15)/2</f>
        <v>2228608</v>
      </c>
      <c r="M16" s="643"/>
      <c r="N16" s="549" t="s">
        <v>64</v>
      </c>
      <c r="O16" s="677">
        <f>SUM(O14:O15)/2</f>
        <v>1463920</v>
      </c>
      <c r="Q16" s="549" t="s">
        <v>64</v>
      </c>
      <c r="R16" s="677">
        <f>SUM(R14:R15)/2</f>
        <v>0</v>
      </c>
      <c r="T16" s="549" t="s">
        <v>64</v>
      </c>
      <c r="U16" s="677">
        <f>SUM(U14:U15)/2</f>
        <v>3692528</v>
      </c>
      <c r="V16" s="643"/>
    </row>
    <row r="17" spans="1:22" ht="26.4" x14ac:dyDescent="0.3">
      <c r="A17" s="643"/>
      <c r="B17" s="643"/>
      <c r="C17" s="643"/>
      <c r="D17" s="643"/>
      <c r="E17" s="643"/>
      <c r="F17" s="444" t="s">
        <v>65</v>
      </c>
      <c r="G17" s="444"/>
      <c r="H17" s="181">
        <v>0</v>
      </c>
      <c r="I17" s="181">
        <v>0</v>
      </c>
      <c r="J17" s="643"/>
      <c r="K17" s="548" t="s">
        <v>65</v>
      </c>
      <c r="L17" s="677">
        <v>0</v>
      </c>
      <c r="M17" s="643"/>
      <c r="N17" s="548" t="s">
        <v>65</v>
      </c>
      <c r="O17" s="677">
        <v>0</v>
      </c>
      <c r="Q17" s="548" t="s">
        <v>65</v>
      </c>
      <c r="R17" s="677">
        <v>0</v>
      </c>
      <c r="T17" s="548" t="s">
        <v>65</v>
      </c>
      <c r="U17" s="677">
        <v>0</v>
      </c>
      <c r="V17" s="643"/>
    </row>
    <row r="18" spans="1:22" x14ac:dyDescent="0.3">
      <c r="A18" s="643"/>
      <c r="B18" s="643"/>
      <c r="C18" s="643"/>
      <c r="D18" s="643"/>
      <c r="E18" s="643"/>
      <c r="F18" s="443" t="s">
        <v>1740</v>
      </c>
      <c r="G18" s="443"/>
      <c r="H18" s="340">
        <f>+H17+H16</f>
        <v>4457216</v>
      </c>
      <c r="I18" s="340">
        <f>+I17+I16</f>
        <v>4684544</v>
      </c>
      <c r="J18" s="643"/>
      <c r="K18" s="549" t="s">
        <v>64</v>
      </c>
      <c r="L18" s="481">
        <f>L16+L17</f>
        <v>2228608</v>
      </c>
      <c r="M18" s="643"/>
      <c r="N18" s="549" t="s">
        <v>64</v>
      </c>
      <c r="O18" s="481">
        <f>O16+O17</f>
        <v>1463920</v>
      </c>
      <c r="Q18" s="549" t="s">
        <v>64</v>
      </c>
      <c r="R18" s="481">
        <f>R16+R17</f>
        <v>0</v>
      </c>
      <c r="T18" s="549" t="s">
        <v>64</v>
      </c>
      <c r="U18" s="481">
        <f>U16+U17</f>
        <v>3692528</v>
      </c>
      <c r="V18" s="643"/>
    </row>
    <row r="19" spans="1:22" ht="26.4" x14ac:dyDescent="0.3">
      <c r="A19" s="643"/>
      <c r="B19" s="643"/>
      <c r="C19" s="643"/>
      <c r="D19" s="643"/>
      <c r="E19" s="643"/>
      <c r="F19" s="659"/>
      <c r="G19" s="659"/>
      <c r="H19" s="659"/>
      <c r="I19" s="659"/>
      <c r="J19" s="643"/>
      <c r="K19" s="501" t="s">
        <v>1439</v>
      </c>
      <c r="L19" s="481">
        <f>ROUND(L18*0.015,0)</f>
        <v>33429</v>
      </c>
      <c r="M19" s="643"/>
      <c r="N19" s="501" t="s">
        <v>1439</v>
      </c>
      <c r="O19" s="481">
        <f>ROUND(O18*0.015,0)</f>
        <v>21959</v>
      </c>
      <c r="Q19" s="501" t="s">
        <v>1439</v>
      </c>
      <c r="R19" s="481">
        <f>ROUND(R18*0.015,0)</f>
        <v>0</v>
      </c>
      <c r="T19" s="501" t="s">
        <v>1439</v>
      </c>
      <c r="U19" s="481">
        <f>ROUND(U18*0.015,0)</f>
        <v>55388</v>
      </c>
      <c r="V19" s="643"/>
    </row>
    <row r="20" spans="1:22" ht="39.6" x14ac:dyDescent="0.3">
      <c r="A20" s="643"/>
      <c r="B20" s="643"/>
      <c r="C20" s="643"/>
      <c r="D20" s="643"/>
      <c r="E20" s="643"/>
      <c r="F20" s="659"/>
      <c r="G20" s="659"/>
      <c r="H20" s="659"/>
      <c r="I20" s="659"/>
      <c r="J20" s="643"/>
      <c r="K20" s="96" t="s">
        <v>1440</v>
      </c>
      <c r="L20" s="425">
        <f>L18+L19</f>
        <v>2262037</v>
      </c>
      <c r="M20" s="678">
        <f>L20/H18</f>
        <v>0.50749997307736483</v>
      </c>
      <c r="N20" s="96" t="s">
        <v>1440</v>
      </c>
      <c r="O20" s="425">
        <f>O18+O19</f>
        <v>1485879</v>
      </c>
      <c r="P20" s="678">
        <f>O20/H16</f>
        <v>0.33336481785939925</v>
      </c>
      <c r="Q20" s="96" t="s">
        <v>1440</v>
      </c>
      <c r="R20" s="425">
        <f>R18+R19</f>
        <v>0</v>
      </c>
      <c r="S20" s="678">
        <f>R20/H16</f>
        <v>0</v>
      </c>
      <c r="T20" s="96" t="s">
        <v>1440</v>
      </c>
      <c r="U20" s="425">
        <f>U18+U19</f>
        <v>3747916</v>
      </c>
      <c r="V20" s="678">
        <f>U20/H16</f>
        <v>0.84086479093676414</v>
      </c>
    </row>
    <row r="21" spans="1:22" x14ac:dyDescent="0.3">
      <c r="A21" s="643"/>
      <c r="B21" s="643"/>
      <c r="C21" s="643"/>
      <c r="D21" s="643"/>
      <c r="E21" s="643"/>
      <c r="F21" s="442" t="s">
        <v>66</v>
      </c>
      <c r="G21" s="442"/>
      <c r="H21" s="181">
        <f>+H16*19%</f>
        <v>846871.04000000004</v>
      </c>
      <c r="I21" s="181">
        <f>+I16*19%</f>
        <v>890063.35999999999</v>
      </c>
      <c r="J21" s="643"/>
      <c r="K21" s="551" t="s">
        <v>66</v>
      </c>
      <c r="L21" s="672">
        <f>L20*0.19</f>
        <v>429787.03</v>
      </c>
      <c r="M21" s="643"/>
      <c r="N21" s="551" t="s">
        <v>66</v>
      </c>
      <c r="O21" s="672">
        <f>O20*0.19</f>
        <v>282317.01</v>
      </c>
      <c r="Q21" s="551" t="s">
        <v>66</v>
      </c>
      <c r="R21" s="672">
        <f>R20*0.19</f>
        <v>0</v>
      </c>
      <c r="T21" s="551" t="s">
        <v>66</v>
      </c>
      <c r="U21" s="672">
        <f>U20*0.19</f>
        <v>712104.04</v>
      </c>
      <c r="V21" s="643"/>
    </row>
    <row r="22" spans="1:22" x14ac:dyDescent="0.3">
      <c r="A22" s="643"/>
      <c r="B22" s="643"/>
      <c r="C22" s="643"/>
      <c r="D22" s="643"/>
      <c r="E22" s="643"/>
      <c r="F22" s="441" t="s">
        <v>69</v>
      </c>
      <c r="G22" s="441"/>
      <c r="H22" s="181">
        <f>+H16+H21</f>
        <v>5304087.04</v>
      </c>
      <c r="I22" s="181">
        <f>+I16+I21</f>
        <v>5574607.3600000003</v>
      </c>
      <c r="J22" s="643"/>
      <c r="K22" s="552" t="s">
        <v>69</v>
      </c>
      <c r="L22" s="672">
        <f>L20+L21</f>
        <v>2691824.0300000003</v>
      </c>
      <c r="M22" s="643"/>
      <c r="N22" s="552" t="s">
        <v>69</v>
      </c>
      <c r="O22" s="672">
        <f>O20+O21</f>
        <v>1768196.01</v>
      </c>
      <c r="Q22" s="552" t="s">
        <v>69</v>
      </c>
      <c r="R22" s="672">
        <f>R20+R21</f>
        <v>0</v>
      </c>
      <c r="T22" s="552" t="s">
        <v>69</v>
      </c>
      <c r="U22" s="672">
        <f>U20+U21</f>
        <v>4460020.04</v>
      </c>
      <c r="V22" s="643"/>
    </row>
    <row r="23" spans="1:22" x14ac:dyDescent="0.3">
      <c r="A23" s="643"/>
      <c r="B23" s="643"/>
      <c r="C23" s="643"/>
      <c r="D23" s="643"/>
      <c r="E23" s="643"/>
      <c r="F23" s="643"/>
      <c r="H23" s="643"/>
      <c r="J23" s="643"/>
      <c r="K23" s="643"/>
      <c r="L23" s="643"/>
      <c r="M23" s="643"/>
      <c r="T23" s="643"/>
      <c r="U23" s="643"/>
      <c r="V23" s="643"/>
    </row>
    <row r="24" spans="1:22" x14ac:dyDescent="0.3">
      <c r="A24" s="665" t="s">
        <v>67</v>
      </c>
      <c r="B24" s="184"/>
      <c r="C24" s="184"/>
      <c r="D24" s="185" t="s">
        <v>68</v>
      </c>
      <c r="E24" s="643"/>
      <c r="F24" s="643"/>
      <c r="H24" s="643"/>
      <c r="J24" s="643"/>
      <c r="K24" s="186" t="s">
        <v>70</v>
      </c>
      <c r="L24" s="187" t="s">
        <v>71</v>
      </c>
      <c r="M24" s="186" t="s">
        <v>58</v>
      </c>
      <c r="N24" s="186" t="s">
        <v>70</v>
      </c>
      <c r="O24" s="187" t="s">
        <v>71</v>
      </c>
      <c r="P24" s="186" t="s">
        <v>58</v>
      </c>
      <c r="Q24" s="186" t="s">
        <v>70</v>
      </c>
      <c r="R24" s="187" t="s">
        <v>71</v>
      </c>
      <c r="S24" s="186" t="s">
        <v>58</v>
      </c>
      <c r="T24" s="643"/>
      <c r="U24" s="643"/>
      <c r="V24" s="643"/>
    </row>
    <row r="25" spans="1:22" x14ac:dyDescent="0.3">
      <c r="A25" s="665"/>
      <c r="B25" s="184"/>
      <c r="C25" s="184"/>
      <c r="D25" s="185"/>
      <c r="E25" s="643"/>
      <c r="F25" s="643"/>
      <c r="H25" s="643"/>
      <c r="J25" s="643"/>
      <c r="K25" s="69" t="s">
        <v>72</v>
      </c>
      <c r="L25" s="70">
        <f>L20</f>
        <v>2262037</v>
      </c>
      <c r="M25" s="360">
        <f>M20</f>
        <v>0.50749997307736483</v>
      </c>
      <c r="N25" s="69" t="s">
        <v>72</v>
      </c>
      <c r="O25" s="70">
        <f>L20</f>
        <v>2262037</v>
      </c>
      <c r="P25" s="360">
        <f>M20</f>
        <v>0.50749997307736483</v>
      </c>
      <c r="Q25" s="69" t="s">
        <v>72</v>
      </c>
      <c r="R25" s="70">
        <f>$L$20</f>
        <v>2262037</v>
      </c>
      <c r="S25" s="360">
        <f>$M$20</f>
        <v>0.50749997307736483</v>
      </c>
      <c r="T25" s="643"/>
      <c r="U25" s="643"/>
      <c r="V25" s="643"/>
    </row>
    <row r="26" spans="1:22" s="849" customFormat="1" x14ac:dyDescent="0.3">
      <c r="A26" s="665"/>
      <c r="B26" s="184"/>
      <c r="C26" s="184"/>
      <c r="D26" s="185"/>
      <c r="K26" s="69"/>
      <c r="L26" s="70"/>
      <c r="M26" s="360"/>
      <c r="N26" s="69" t="s">
        <v>73</v>
      </c>
      <c r="O26" s="70">
        <f>+O20</f>
        <v>1485879</v>
      </c>
      <c r="P26" s="360">
        <f>+P20</f>
        <v>0.33336481785939925</v>
      </c>
      <c r="Q26" s="69" t="s">
        <v>73</v>
      </c>
      <c r="R26" s="70">
        <f>$O$20</f>
        <v>1485879</v>
      </c>
      <c r="S26" s="360">
        <f>$P$20</f>
        <v>0.33336481785939925</v>
      </c>
    </row>
    <row r="27" spans="1:22" x14ac:dyDescent="0.3">
      <c r="A27" s="665"/>
      <c r="B27" s="184"/>
      <c r="C27" s="184"/>
      <c r="D27" s="185"/>
      <c r="E27" s="643"/>
      <c r="F27" s="643"/>
      <c r="H27" s="643"/>
      <c r="J27" s="643"/>
      <c r="K27" s="72" t="s">
        <v>1</v>
      </c>
      <c r="L27" s="105">
        <f>L25</f>
        <v>2262037</v>
      </c>
      <c r="M27" s="361">
        <f>M25</f>
        <v>0.50749997307736483</v>
      </c>
      <c r="N27" s="72" t="s">
        <v>1</v>
      </c>
      <c r="O27" s="105">
        <f>SUM(O25:O26)</f>
        <v>3747916</v>
      </c>
      <c r="P27" s="361">
        <f>SUM(P25:P26)</f>
        <v>0.84086479093676414</v>
      </c>
      <c r="Q27" s="69" t="s">
        <v>74</v>
      </c>
      <c r="R27" s="70">
        <f>$R$20</f>
        <v>0</v>
      </c>
      <c r="S27" s="360">
        <f>$S$20</f>
        <v>0</v>
      </c>
      <c r="T27" s="643"/>
      <c r="U27" s="643"/>
      <c r="V27" s="643"/>
    </row>
    <row r="28" spans="1:22" x14ac:dyDescent="0.3">
      <c r="A28" s="665"/>
      <c r="B28" s="184"/>
      <c r="C28" s="184"/>
      <c r="D28" s="185"/>
      <c r="E28" s="643"/>
      <c r="F28" s="643"/>
      <c r="H28" s="643"/>
      <c r="J28" s="643"/>
      <c r="K28" s="72" t="s">
        <v>9</v>
      </c>
      <c r="L28" s="1423"/>
      <c r="M28" s="1424"/>
      <c r="N28" s="72" t="s">
        <v>9</v>
      </c>
      <c r="O28" s="1423"/>
      <c r="P28" s="1424"/>
      <c r="Q28" s="72" t="s">
        <v>1</v>
      </c>
      <c r="R28" s="105">
        <f>SUM(R25:R27)</f>
        <v>3747916</v>
      </c>
      <c r="S28" s="361">
        <f>SUM(S25:S27)</f>
        <v>0.84086479093676414</v>
      </c>
      <c r="T28" s="643"/>
      <c r="U28" s="643"/>
      <c r="V28" s="643"/>
    </row>
    <row r="29" spans="1:22" x14ac:dyDescent="0.3">
      <c r="A29" s="665"/>
      <c r="B29" s="184"/>
      <c r="C29" s="184"/>
      <c r="D29" s="185"/>
      <c r="E29" s="643"/>
      <c r="F29" s="643"/>
      <c r="H29" s="643"/>
      <c r="J29" s="643"/>
      <c r="K29" s="440" t="s">
        <v>78</v>
      </c>
      <c r="L29" s="1423" t="s">
        <v>1984</v>
      </c>
      <c r="M29" s="1424"/>
      <c r="N29" s="440" t="s">
        <v>78</v>
      </c>
      <c r="O29" s="1423" t="s">
        <v>1984</v>
      </c>
      <c r="P29" s="1424"/>
      <c r="Q29" s="72" t="s">
        <v>9</v>
      </c>
      <c r="R29" s="1423"/>
      <c r="S29" s="1424"/>
      <c r="T29" s="643"/>
      <c r="U29" s="643"/>
      <c r="V29" s="643"/>
    </row>
    <row r="30" spans="1:22" x14ac:dyDescent="0.3">
      <c r="A30" s="665"/>
      <c r="B30" s="184"/>
      <c r="C30" s="184"/>
      <c r="D30" s="185"/>
      <c r="E30" s="643"/>
      <c r="F30" s="643"/>
      <c r="H30" s="643"/>
      <c r="J30" s="643"/>
      <c r="K30" s="439" t="s">
        <v>8</v>
      </c>
      <c r="L30" s="1423" t="s">
        <v>1985</v>
      </c>
      <c r="M30" s="1424"/>
      <c r="N30" s="439" t="s">
        <v>8</v>
      </c>
      <c r="O30" s="1423" t="s">
        <v>1985</v>
      </c>
      <c r="P30" s="1424"/>
      <c r="Q30" s="440" t="s">
        <v>78</v>
      </c>
      <c r="R30" s="1423" t="s">
        <v>1984</v>
      </c>
      <c r="S30" s="1424"/>
      <c r="T30" s="643"/>
      <c r="U30" s="643"/>
      <c r="V30" s="643"/>
    </row>
    <row r="31" spans="1:22" x14ac:dyDescent="0.3">
      <c r="A31" s="665"/>
      <c r="B31" s="184"/>
      <c r="C31" s="184"/>
      <c r="D31" s="185" t="s">
        <v>75</v>
      </c>
      <c r="E31" s="643"/>
      <c r="F31" s="643"/>
      <c r="H31" s="643"/>
      <c r="J31" s="643"/>
      <c r="K31" s="643"/>
      <c r="L31" s="643"/>
      <c r="M31" s="643"/>
      <c r="Q31" s="439" t="s">
        <v>8</v>
      </c>
      <c r="R31" s="1423" t="s">
        <v>1985</v>
      </c>
      <c r="S31" s="1424"/>
      <c r="T31" s="643"/>
      <c r="U31" s="643"/>
      <c r="V31" s="643"/>
    </row>
    <row r="32" spans="1:22" x14ac:dyDescent="0.3">
      <c r="A32" s="665" t="s">
        <v>76</v>
      </c>
      <c r="B32" s="180"/>
      <c r="C32" s="180"/>
      <c r="D32" s="185" t="s">
        <v>77</v>
      </c>
      <c r="E32" s="643"/>
      <c r="F32" s="643"/>
      <c r="H32" s="643"/>
      <c r="J32" s="643"/>
      <c r="K32" s="643"/>
      <c r="L32" s="643"/>
      <c r="M32" s="643"/>
      <c r="T32" s="643"/>
      <c r="U32" s="643"/>
      <c r="V32" s="643"/>
    </row>
    <row r="33" spans="1:22" ht="26.4" x14ac:dyDescent="0.3">
      <c r="A33" s="665" t="s">
        <v>79</v>
      </c>
      <c r="B33" s="180"/>
      <c r="C33" s="180"/>
      <c r="D33" s="185" t="s">
        <v>80</v>
      </c>
      <c r="E33" s="643"/>
      <c r="F33" s="643"/>
      <c r="H33" s="643"/>
      <c r="J33" s="643"/>
      <c r="K33" s="643"/>
      <c r="L33" s="643"/>
      <c r="M33" s="643"/>
      <c r="T33" s="643"/>
      <c r="U33" s="643"/>
      <c r="V33" s="643"/>
    </row>
  </sheetData>
  <mergeCells count="29">
    <mergeCell ref="C1:M2"/>
    <mergeCell ref="T1:V1"/>
    <mergeCell ref="T2:V2"/>
    <mergeCell ref="A3:V3"/>
    <mergeCell ref="A4:V4"/>
    <mergeCell ref="T11:V12"/>
    <mergeCell ref="B12:J12"/>
    <mergeCell ref="Q11:S12"/>
    <mergeCell ref="A5:V5"/>
    <mergeCell ref="A6:V6"/>
    <mergeCell ref="A7:V7"/>
    <mergeCell ref="A8:V8"/>
    <mergeCell ref="A9:V9"/>
    <mergeCell ref="R29:S29"/>
    <mergeCell ref="R30:S30"/>
    <mergeCell ref="R31:S31"/>
    <mergeCell ref="A10:V10"/>
    <mergeCell ref="N11:P12"/>
    <mergeCell ref="O28:P28"/>
    <mergeCell ref="O29:P29"/>
    <mergeCell ref="O30:P30"/>
    <mergeCell ref="B11:J11"/>
    <mergeCell ref="K11:M12"/>
    <mergeCell ref="L28:M28"/>
    <mergeCell ref="L29:M29"/>
    <mergeCell ref="L30:M30"/>
    <mergeCell ref="A14:A15"/>
    <mergeCell ref="B14:B15"/>
    <mergeCell ref="J14:J15"/>
  </mergeCells>
  <pageMargins left="0.7" right="0.7" top="0.75" bottom="0.75" header="0.3" footer="0.3"/>
  <pageSetup paperSize="9" scale="40" orientation="landscape" r:id="rId1"/>
  <drawing r:id="rId2"/>
  <legacyDrawing r:id="rId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1">
    <tabColor theme="1"/>
  </sheetPr>
  <dimension ref="A1:G49"/>
  <sheetViews>
    <sheetView topLeftCell="A17"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RESUMEN!G136</f>
        <v>Proyecto:CDIM_CAOLIG_R0078 -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RESUMEN!B136</f>
        <v>D00249388</v>
      </c>
      <c r="C7" s="1265"/>
      <c r="D7" s="1177"/>
      <c r="E7" s="1266" t="s">
        <v>627</v>
      </c>
      <c r="F7" s="1267"/>
      <c r="G7" s="280" t="str">
        <f>RESUMEN!E136</f>
        <v xml:space="preserve">17-439 </v>
      </c>
    </row>
    <row r="8" spans="1:7" x14ac:dyDescent="0.25">
      <c r="A8" s="271" t="s">
        <v>628</v>
      </c>
      <c r="B8" s="1264" t="str">
        <f>RESUMEN!C136</f>
        <v>D00249388000</v>
      </c>
      <c r="C8" s="1265"/>
      <c r="D8" s="1177"/>
      <c r="E8" s="1266" t="s">
        <v>629</v>
      </c>
      <c r="F8" s="1267"/>
      <c r="G8" s="280" t="str">
        <f>RESUMEN!U136</f>
        <v>Acta N° 3:  Marzo</v>
      </c>
    </row>
    <row r="9" spans="1:7" x14ac:dyDescent="0.25">
      <c r="A9" s="271" t="s">
        <v>630</v>
      </c>
      <c r="B9" s="1283" t="s">
        <v>631</v>
      </c>
      <c r="C9" s="1265"/>
      <c r="D9" s="1177"/>
      <c r="E9" s="1266" t="s">
        <v>632</v>
      </c>
      <c r="F9" s="1267"/>
      <c r="G9" s="1178">
        <f>RESUMEN!H136</f>
        <v>3342912</v>
      </c>
    </row>
    <row r="10" spans="1:7" x14ac:dyDescent="0.25">
      <c r="A10" s="271" t="s">
        <v>633</v>
      </c>
      <c r="B10" s="1283" t="str">
        <f>RESUMEN!D136</f>
        <v>CÓDIGO ZONA NORTE</v>
      </c>
      <c r="C10" s="1265"/>
      <c r="D10" s="1177"/>
      <c r="E10" s="1266" t="s">
        <v>634</v>
      </c>
      <c r="F10" s="1267"/>
      <c r="G10" s="1178">
        <f>RESUMEN!R136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RESUMEN!N136</f>
        <v>0</v>
      </c>
      <c r="F19" s="1248"/>
      <c r="G19" s="1177"/>
    </row>
    <row r="20" spans="1:7" ht="27" customHeight="1" x14ac:dyDescent="0.25">
      <c r="A20" s="1177"/>
      <c r="B20" s="1244" t="s">
        <v>1498</v>
      </c>
      <c r="C20" s="1245"/>
      <c r="D20" s="1246"/>
      <c r="E20" s="1247">
        <f>RESUMEN!P136</f>
        <v>0</v>
      </c>
      <c r="F20" s="1248"/>
      <c r="G20" s="1177"/>
    </row>
    <row r="21" spans="1:7" ht="27" customHeight="1" x14ac:dyDescent="0.25">
      <c r="A21" s="1177"/>
      <c r="B21" s="1244" t="s">
        <v>1499</v>
      </c>
      <c r="C21" s="1245"/>
      <c r="D21" s="1246"/>
      <c r="E21" s="1247">
        <f>RESUMEN!Q136</f>
        <v>0</v>
      </c>
      <c r="F21" s="1248"/>
      <c r="G21" s="1177"/>
    </row>
    <row r="22" spans="1:7" x14ac:dyDescent="0.25">
      <c r="A22" s="1177"/>
      <c r="B22" s="1254" t="s">
        <v>64</v>
      </c>
      <c r="C22" s="1254"/>
      <c r="D22" s="1254"/>
      <c r="E22" s="1255">
        <f>RESUMEN!R136</f>
        <v>0</v>
      </c>
      <c r="F22" s="1255"/>
      <c r="G22" s="1177"/>
    </row>
    <row r="23" spans="1:7" x14ac:dyDescent="0.25">
      <c r="A23" s="1177"/>
      <c r="B23" s="1256" t="s">
        <v>66</v>
      </c>
      <c r="C23" s="1256"/>
      <c r="D23" s="1256"/>
      <c r="E23" s="1257">
        <f>RESUMEN!S136</f>
        <v>0</v>
      </c>
      <c r="F23" s="1257"/>
      <c r="G23" s="1177"/>
    </row>
    <row r="24" spans="1:7" x14ac:dyDescent="0.25">
      <c r="A24" s="1177"/>
      <c r="B24" s="1258" t="s">
        <v>1</v>
      </c>
      <c r="C24" s="1258"/>
      <c r="D24" s="1258"/>
      <c r="E24" s="1259">
        <f>RESUMEN!T136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+'OT17-439 CÓDIGO ZONA NORTE'!Q25</f>
        <v>ACTA 1</v>
      </c>
      <c r="C28" s="1253">
        <f>+'OT17-439 CÓDIGO ZONA NORTE'!R25</f>
        <v>565509</v>
      </c>
      <c r="D28" s="1253"/>
      <c r="E28" s="267">
        <f>+'OT17-439 CÓDIGO ZONA NORTE'!S25</f>
        <v>0.16916658290735742</v>
      </c>
      <c r="F28" s="1177"/>
      <c r="G28" s="1177"/>
    </row>
    <row r="29" spans="1:7" x14ac:dyDescent="0.25">
      <c r="A29" s="1177"/>
      <c r="B29" s="280" t="str">
        <f>+'OT17-439 CÓDIGO ZONA NORTE'!Q26</f>
        <v>ACTA 2</v>
      </c>
      <c r="C29" s="1253">
        <f>+'OT17-439 CÓDIGO ZONA NORTE'!R26</f>
        <v>1188703</v>
      </c>
      <c r="D29" s="1253"/>
      <c r="E29" s="267">
        <f>+'OT17-439 CÓDIGO ZONA NORTE'!S26</f>
        <v>0.35558907922194782</v>
      </c>
      <c r="F29" s="1177"/>
      <c r="G29" s="1177"/>
    </row>
    <row r="30" spans="1:7" x14ac:dyDescent="0.25">
      <c r="A30" s="1177"/>
      <c r="B30" s="280" t="str">
        <f>+'OT17-439 CÓDIGO ZONA NORTE'!Q27</f>
        <v>ACTA 3</v>
      </c>
      <c r="C30" s="1253">
        <f>+'OT17-439 CÓDIGO ZONA NORTE'!R27</f>
        <v>0</v>
      </c>
      <c r="D30" s="1253"/>
      <c r="E30" s="267">
        <f>+'OT17-439 CÓDIGO ZONA NORTE'!S27</f>
        <v>0</v>
      </c>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1754212</v>
      </c>
      <c r="D34" s="1251"/>
      <c r="E34" s="264">
        <f>SUM(E28:E33)</f>
        <v>0.52475566212930524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RESUMEN!V136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4" orientation="portrait" r:id="rId1"/>
  <drawing r:id="rId2"/>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82">
    <tabColor rgb="FF72104A"/>
  </sheetPr>
  <dimension ref="A1:V40"/>
  <sheetViews>
    <sheetView topLeftCell="A4" zoomScale="70" zoomScaleNormal="70" workbookViewId="0">
      <selection activeCell="B14" sqref="B14:B15"/>
    </sheetView>
  </sheetViews>
  <sheetFormatPr baseColWidth="10" defaultRowHeight="14.4" x14ac:dyDescent="0.3"/>
  <cols>
    <col min="1" max="1" width="15.5546875" customWidth="1"/>
    <col min="2" max="2" width="22.109375" customWidth="1"/>
    <col min="3" max="3" width="14.44140625" customWidth="1"/>
    <col min="4" max="4" width="32.109375" customWidth="1"/>
    <col min="6" max="6" width="15" customWidth="1"/>
    <col min="7" max="7" width="15" style="849" customWidth="1"/>
    <col min="8" max="8" width="16.109375" customWidth="1"/>
    <col min="9" max="9" width="16.109375" style="849" customWidth="1"/>
    <col min="10" max="10" width="45.6640625" customWidth="1"/>
    <col min="11" max="11" width="16.33203125" hidden="1" customWidth="1"/>
    <col min="12" max="12" width="17.109375" hidden="1" customWidth="1"/>
    <col min="13" max="13" width="0" hidden="1" customWidth="1"/>
    <col min="14" max="14" width="20.109375" style="849" customWidth="1"/>
    <col min="15" max="15" width="17.109375" style="849" customWidth="1"/>
    <col min="16" max="16" width="11.44140625" style="849"/>
    <col min="17" max="19" width="11.5546875" style="1054"/>
    <col min="20" max="20" width="15.5546875" customWidth="1"/>
    <col min="21" max="21" width="18.88671875" customWidth="1"/>
  </cols>
  <sheetData>
    <row r="1" spans="1:22" ht="15" thickBot="1" x14ac:dyDescent="0.35">
      <c r="A1" s="169"/>
      <c r="B1" s="188"/>
      <c r="C1" s="1307" t="s">
        <v>40</v>
      </c>
      <c r="D1" s="1308"/>
      <c r="E1" s="1308"/>
      <c r="F1" s="1308"/>
      <c r="G1" s="1308"/>
      <c r="H1" s="1308"/>
      <c r="I1" s="1308"/>
      <c r="J1" s="1308"/>
      <c r="K1" s="1308"/>
      <c r="L1" s="1308"/>
      <c r="M1" s="1308"/>
      <c r="N1" s="846"/>
      <c r="O1" s="846"/>
      <c r="P1" s="846"/>
      <c r="Q1" s="1052"/>
      <c r="R1" s="1052"/>
      <c r="S1" s="1052"/>
      <c r="T1" s="1328" t="s">
        <v>1663</v>
      </c>
      <c r="U1" s="1303"/>
      <c r="V1" s="1304"/>
    </row>
    <row r="2" spans="1:22" ht="15" thickBot="1" x14ac:dyDescent="0.35">
      <c r="A2" s="170"/>
      <c r="B2" s="190"/>
      <c r="C2" s="1310"/>
      <c r="D2" s="1311"/>
      <c r="E2" s="1311"/>
      <c r="F2" s="1311"/>
      <c r="G2" s="1311"/>
      <c r="H2" s="1311"/>
      <c r="I2" s="1311"/>
      <c r="J2" s="1311"/>
      <c r="K2" s="1311"/>
      <c r="L2" s="1311"/>
      <c r="M2" s="1311"/>
      <c r="N2" s="847"/>
      <c r="O2" s="847"/>
      <c r="P2" s="847"/>
      <c r="Q2" s="1053"/>
      <c r="R2" s="1053"/>
      <c r="S2" s="1053"/>
      <c r="T2" s="1329" t="s">
        <v>41</v>
      </c>
      <c r="U2" s="1305"/>
      <c r="V2" s="1306"/>
    </row>
    <row r="3" spans="1:22" x14ac:dyDescent="0.3">
      <c r="A3" s="1292" t="s">
        <v>42</v>
      </c>
      <c r="B3" s="1292"/>
      <c r="C3" s="1292"/>
      <c r="D3" s="1292"/>
      <c r="E3" s="1292"/>
      <c r="F3" s="1292"/>
      <c r="G3" s="1292"/>
      <c r="H3" s="1292"/>
      <c r="I3" s="1292"/>
      <c r="J3" s="1292"/>
      <c r="K3" s="1292"/>
      <c r="L3" s="1292"/>
      <c r="M3" s="1292"/>
      <c r="N3" s="1292"/>
      <c r="O3" s="1292"/>
      <c r="P3" s="1292"/>
      <c r="Q3" s="1292"/>
      <c r="R3" s="1292"/>
      <c r="S3" s="1292"/>
      <c r="T3" s="1292"/>
      <c r="U3" s="1292"/>
      <c r="V3" s="1292"/>
    </row>
    <row r="4" spans="1:22" x14ac:dyDescent="0.3">
      <c r="A4" s="1292" t="s">
        <v>43</v>
      </c>
      <c r="B4" s="1292"/>
      <c r="C4" s="1292"/>
      <c r="D4" s="1292"/>
      <c r="E4" s="1292"/>
      <c r="F4" s="1292"/>
      <c r="G4" s="1292"/>
      <c r="H4" s="1292"/>
      <c r="I4" s="1292"/>
      <c r="J4" s="1292"/>
      <c r="K4" s="1292"/>
      <c r="L4" s="1292"/>
      <c r="M4" s="1292"/>
      <c r="N4" s="1292"/>
      <c r="O4" s="1292"/>
      <c r="P4" s="1292"/>
      <c r="Q4" s="1292"/>
      <c r="R4" s="1292"/>
      <c r="S4" s="1292"/>
      <c r="T4" s="1292"/>
      <c r="U4" s="1292"/>
      <c r="V4" s="1292"/>
    </row>
    <row r="5" spans="1:22" x14ac:dyDescent="0.3">
      <c r="A5" s="1292" t="s">
        <v>44</v>
      </c>
      <c r="B5" s="1292"/>
      <c r="C5" s="1292"/>
      <c r="D5" s="1292"/>
      <c r="E5" s="1292"/>
      <c r="F5" s="1292"/>
      <c r="G5" s="1292"/>
      <c r="H5" s="1292"/>
      <c r="I5" s="1292"/>
      <c r="J5" s="1292"/>
      <c r="K5" s="1292"/>
      <c r="L5" s="1292"/>
      <c r="M5" s="1292"/>
      <c r="N5" s="1292"/>
      <c r="O5" s="1292"/>
      <c r="P5" s="1292"/>
      <c r="Q5" s="1292"/>
      <c r="R5" s="1292"/>
      <c r="S5" s="1292"/>
      <c r="T5" s="1292"/>
      <c r="U5" s="1292"/>
      <c r="V5" s="1292"/>
    </row>
    <row r="6" spans="1:22" x14ac:dyDescent="0.3">
      <c r="A6" s="1292" t="s">
        <v>45</v>
      </c>
      <c r="B6" s="1292"/>
      <c r="C6" s="1292"/>
      <c r="D6" s="1292"/>
      <c r="E6" s="1292"/>
      <c r="F6" s="1292"/>
      <c r="G6" s="1292"/>
      <c r="H6" s="1292"/>
      <c r="I6" s="1292"/>
      <c r="J6" s="1292"/>
      <c r="K6" s="1292"/>
      <c r="L6" s="1292"/>
      <c r="M6" s="1292"/>
      <c r="N6" s="1292"/>
      <c r="O6" s="1292"/>
      <c r="P6" s="1292"/>
      <c r="Q6" s="1292"/>
      <c r="R6" s="1292"/>
      <c r="S6" s="1292"/>
      <c r="T6" s="1292"/>
      <c r="U6" s="1292"/>
      <c r="V6" s="1292"/>
    </row>
    <row r="7" spans="1:22" x14ac:dyDescent="0.3">
      <c r="A7" s="1291" t="s">
        <v>1849</v>
      </c>
      <c r="B7" s="1292"/>
      <c r="C7" s="1292"/>
      <c r="D7" s="1292"/>
      <c r="E7" s="1292"/>
      <c r="F7" s="1292"/>
      <c r="G7" s="1292"/>
      <c r="H7" s="1292"/>
      <c r="I7" s="1292"/>
      <c r="J7" s="1292"/>
      <c r="K7" s="1292"/>
      <c r="L7" s="1292"/>
      <c r="M7" s="1292"/>
      <c r="N7" s="1292"/>
      <c r="O7" s="1292"/>
      <c r="P7" s="1292"/>
      <c r="Q7" s="1292"/>
      <c r="R7" s="1292"/>
      <c r="S7" s="1292"/>
      <c r="T7" s="1292"/>
      <c r="U7" s="1292"/>
      <c r="V7" s="1292"/>
    </row>
    <row r="8" spans="1:22" x14ac:dyDescent="0.3">
      <c r="A8" s="1292" t="s">
        <v>2341</v>
      </c>
      <c r="B8" s="1292"/>
      <c r="C8" s="1292"/>
      <c r="D8" s="1292"/>
      <c r="E8" s="1292"/>
      <c r="F8" s="1292"/>
      <c r="G8" s="1292"/>
      <c r="H8" s="1292"/>
      <c r="I8" s="1292"/>
      <c r="J8" s="1292"/>
      <c r="K8" s="1292"/>
      <c r="L8" s="1292"/>
      <c r="M8" s="1292"/>
      <c r="N8" s="1292"/>
      <c r="O8" s="1292"/>
      <c r="P8" s="1292"/>
      <c r="Q8" s="1292"/>
      <c r="R8" s="1292"/>
      <c r="S8" s="1292"/>
      <c r="T8" s="1292"/>
      <c r="U8" s="1292"/>
      <c r="V8" s="1292"/>
    </row>
    <row r="9" spans="1:22" x14ac:dyDescent="0.3">
      <c r="A9" s="1292" t="s">
        <v>2305</v>
      </c>
      <c r="B9" s="1292"/>
      <c r="C9" s="1292"/>
      <c r="D9" s="1292"/>
      <c r="E9" s="1292"/>
      <c r="F9" s="1292"/>
      <c r="G9" s="1292"/>
      <c r="H9" s="1292"/>
      <c r="I9" s="1292"/>
      <c r="J9" s="1292"/>
      <c r="K9" s="1292"/>
      <c r="L9" s="1292"/>
      <c r="M9" s="1292"/>
      <c r="N9" s="1292"/>
      <c r="O9" s="1292"/>
      <c r="P9" s="1292"/>
      <c r="Q9" s="1292"/>
      <c r="R9" s="1292"/>
      <c r="S9" s="1292"/>
      <c r="T9" s="1292"/>
      <c r="U9" s="1292"/>
      <c r="V9" s="1292"/>
    </row>
    <row r="10" spans="1:22" x14ac:dyDescent="0.3">
      <c r="A10" s="1292" t="s">
        <v>1925</v>
      </c>
      <c r="B10" s="1292"/>
      <c r="C10" s="1292"/>
      <c r="D10" s="1292"/>
      <c r="E10" s="1292"/>
      <c r="F10" s="1292"/>
      <c r="G10" s="1292"/>
      <c r="H10" s="1292"/>
      <c r="I10" s="1292"/>
      <c r="J10" s="1292"/>
      <c r="K10" s="1292"/>
      <c r="L10" s="1292"/>
      <c r="M10" s="1292"/>
      <c r="N10" s="1292"/>
      <c r="O10" s="1292"/>
      <c r="P10" s="1292"/>
      <c r="Q10" s="1292"/>
      <c r="R10" s="1292"/>
      <c r="S10" s="1292"/>
      <c r="T10" s="1292"/>
      <c r="U10" s="1292"/>
      <c r="V10" s="1292"/>
    </row>
    <row r="11" spans="1:22" ht="10.5" customHeight="1" x14ac:dyDescent="0.3">
      <c r="A11" s="640"/>
      <c r="B11" s="1301"/>
      <c r="C11" s="1313"/>
      <c r="D11" s="1313"/>
      <c r="E11" s="1313"/>
      <c r="F11" s="1313"/>
      <c r="G11" s="1313"/>
      <c r="H11" s="1313"/>
      <c r="I11" s="1313"/>
      <c r="J11" s="1313"/>
      <c r="K11" s="1293" t="s">
        <v>1981</v>
      </c>
      <c r="L11" s="1294"/>
      <c r="M11" s="1295"/>
      <c r="N11" s="1293" t="s">
        <v>2094</v>
      </c>
      <c r="O11" s="1294"/>
      <c r="P11" s="1295"/>
      <c r="Q11" s="1293" t="s">
        <v>2318</v>
      </c>
      <c r="R11" s="1294"/>
      <c r="S11" s="1295"/>
      <c r="T11" s="1299" t="s">
        <v>49</v>
      </c>
      <c r="U11" s="1299"/>
      <c r="V11" s="1299"/>
    </row>
    <row r="12" spans="1:22" x14ac:dyDescent="0.3">
      <c r="A12" s="171"/>
      <c r="B12" s="1301"/>
      <c r="C12" s="1302"/>
      <c r="D12" s="1302"/>
      <c r="E12" s="1302"/>
      <c r="F12" s="1302"/>
      <c r="G12" s="1302"/>
      <c r="H12" s="1302"/>
      <c r="I12" s="1302"/>
      <c r="J12" s="1302"/>
      <c r="K12" s="1325"/>
      <c r="L12" s="1326"/>
      <c r="M12" s="1327"/>
      <c r="N12" s="1325"/>
      <c r="O12" s="1326"/>
      <c r="P12" s="1327"/>
      <c r="Q12" s="1325"/>
      <c r="R12" s="1326"/>
      <c r="S12" s="1327"/>
      <c r="T12" s="1300"/>
      <c r="U12" s="1300"/>
      <c r="V12" s="1300"/>
    </row>
    <row r="13" spans="1:22" ht="28.8" x14ac:dyDescent="0.3">
      <c r="A13" s="159" t="s">
        <v>50</v>
      </c>
      <c r="B13" s="159" t="s">
        <v>51</v>
      </c>
      <c r="C13" s="159" t="s">
        <v>52</v>
      </c>
      <c r="D13" s="159" t="s">
        <v>164</v>
      </c>
      <c r="E13" s="159" t="s">
        <v>54</v>
      </c>
      <c r="F13" s="141" t="s">
        <v>55</v>
      </c>
      <c r="G13" s="823" t="s">
        <v>2007</v>
      </c>
      <c r="H13" s="159" t="s">
        <v>56</v>
      </c>
      <c r="I13" s="824" t="s">
        <v>56</v>
      </c>
      <c r="J13" s="159" t="s">
        <v>57</v>
      </c>
      <c r="K13" s="502" t="s">
        <v>54</v>
      </c>
      <c r="L13" s="502" t="s">
        <v>56</v>
      </c>
      <c r="M13" s="502" t="s">
        <v>58</v>
      </c>
      <c r="N13" s="502" t="s">
        <v>54</v>
      </c>
      <c r="O13" s="502" t="s">
        <v>56</v>
      </c>
      <c r="P13" s="502" t="s">
        <v>58</v>
      </c>
      <c r="Q13" s="502" t="s">
        <v>54</v>
      </c>
      <c r="R13" s="502" t="s">
        <v>56</v>
      </c>
      <c r="S13" s="502" t="s">
        <v>58</v>
      </c>
      <c r="T13" s="502" t="s">
        <v>54</v>
      </c>
      <c r="U13" s="502" t="s">
        <v>56</v>
      </c>
      <c r="V13" s="502" t="s">
        <v>58</v>
      </c>
    </row>
    <row r="14" spans="1:22" ht="137.25" customHeight="1" x14ac:dyDescent="0.3">
      <c r="A14" s="1289" t="s">
        <v>1186</v>
      </c>
      <c r="B14" s="1289" t="s">
        <v>194</v>
      </c>
      <c r="C14" s="641" t="s">
        <v>160</v>
      </c>
      <c r="D14" s="641" t="s">
        <v>161</v>
      </c>
      <c r="E14" s="641">
        <v>48</v>
      </c>
      <c r="F14" s="32">
        <v>69644</v>
      </c>
      <c r="G14" s="32">
        <f>+ROUND(F14*1.051,0)</f>
        <v>73196</v>
      </c>
      <c r="H14" s="32">
        <f>ROUND((E14*F14),0)</f>
        <v>3342912</v>
      </c>
      <c r="I14" s="32">
        <f>+ROUND(G14*E14,0)</f>
        <v>3513408</v>
      </c>
      <c r="J14" s="1290" t="s">
        <v>1924</v>
      </c>
      <c r="K14" s="537">
        <v>8</v>
      </c>
      <c r="L14" s="752">
        <f>ROUND(K14*F14,0)</f>
        <v>557152</v>
      </c>
      <c r="M14" s="753">
        <f t="shared" ref="M14:M15" si="0">L14/H14</f>
        <v>0.16666666666666666</v>
      </c>
      <c r="N14" s="537">
        <v>16</v>
      </c>
      <c r="O14" s="752">
        <f>ROUND(N14*G14,0)</f>
        <v>1171136</v>
      </c>
      <c r="P14" s="753">
        <f>O14/H14</f>
        <v>0.35033407998774718</v>
      </c>
      <c r="Q14" s="891">
        <v>0</v>
      </c>
      <c r="R14" s="892">
        <f>ROUND(Q14*G14,0)</f>
        <v>0</v>
      </c>
      <c r="S14" s="893">
        <f>R14/I14</f>
        <v>0</v>
      </c>
      <c r="T14" s="536">
        <f>K14+N14+Q14</f>
        <v>24</v>
      </c>
      <c r="U14" s="685">
        <f>L14+O14+R14</f>
        <v>1728288</v>
      </c>
      <c r="V14" s="684">
        <f>U14/I14</f>
        <v>0.49191212634570197</v>
      </c>
    </row>
    <row r="15" spans="1:22" ht="18" customHeight="1" x14ac:dyDescent="0.3">
      <c r="A15" s="1289"/>
      <c r="B15" s="1289"/>
      <c r="C15" s="39"/>
      <c r="D15" s="39" t="s">
        <v>162</v>
      </c>
      <c r="E15" s="41"/>
      <c r="F15" s="41"/>
      <c r="G15" s="41"/>
      <c r="H15" s="42">
        <f>H14</f>
        <v>3342912</v>
      </c>
      <c r="I15" s="42">
        <f>SUM(I14)</f>
        <v>3513408</v>
      </c>
      <c r="J15" s="1290"/>
      <c r="K15" s="40"/>
      <c r="L15" s="683">
        <f>SUM(L14:L14)</f>
        <v>557152</v>
      </c>
      <c r="M15" s="519">
        <f t="shared" si="0"/>
        <v>0.16666666666666666</v>
      </c>
      <c r="N15" s="40"/>
      <c r="O15" s="683">
        <f>SUM(O14:O14)</f>
        <v>1171136</v>
      </c>
      <c r="P15" s="519">
        <f t="shared" ref="P15" si="1">O15/L15</f>
        <v>2.1020044799264834</v>
      </c>
      <c r="Q15" s="40"/>
      <c r="R15" s="683">
        <f>SUM(R14:R14)</f>
        <v>0</v>
      </c>
      <c r="S15" s="519">
        <f>R15/I15</f>
        <v>0</v>
      </c>
      <c r="T15" s="40"/>
      <c r="U15" s="683">
        <f>SUM(U14:U14)</f>
        <v>1728288</v>
      </c>
      <c r="V15" s="519">
        <f>U15/I15</f>
        <v>0.49191212634570197</v>
      </c>
    </row>
    <row r="16" spans="1:22" x14ac:dyDescent="0.3">
      <c r="A16" s="643"/>
      <c r="B16" s="643"/>
      <c r="C16" s="643"/>
      <c r="D16" s="643"/>
      <c r="E16" s="643"/>
      <c r="F16" s="686" t="s">
        <v>1740</v>
      </c>
      <c r="G16" s="686"/>
      <c r="H16" s="687">
        <f>H15</f>
        <v>3342912</v>
      </c>
      <c r="I16" s="687">
        <f>I15</f>
        <v>3513408</v>
      </c>
      <c r="J16" s="643"/>
      <c r="K16" s="549" t="s">
        <v>64</v>
      </c>
      <c r="L16" s="677">
        <f>SUM(L14:L15)/2</f>
        <v>557152</v>
      </c>
      <c r="M16" s="643"/>
      <c r="N16" s="549" t="s">
        <v>64</v>
      </c>
      <c r="O16" s="677">
        <f>SUM(O14:O15)/2</f>
        <v>1171136</v>
      </c>
      <c r="Q16" s="549" t="s">
        <v>64</v>
      </c>
      <c r="R16" s="677">
        <f>SUM(R14:R15)/2</f>
        <v>0</v>
      </c>
      <c r="T16" s="549" t="s">
        <v>64</v>
      </c>
      <c r="U16" s="677">
        <f>SUM(U14:U15)/2</f>
        <v>1728288</v>
      </c>
      <c r="V16" s="643"/>
    </row>
    <row r="17" spans="1:22" ht="26.4" x14ac:dyDescent="0.3">
      <c r="A17" s="643"/>
      <c r="B17" s="643"/>
      <c r="C17" s="643"/>
      <c r="D17" s="643"/>
      <c r="E17" s="643"/>
      <c r="F17" s="444" t="s">
        <v>65</v>
      </c>
      <c r="G17" s="444"/>
      <c r="H17" s="181">
        <v>0</v>
      </c>
      <c r="I17" s="181">
        <v>0</v>
      </c>
      <c r="J17" s="643"/>
      <c r="K17" s="548" t="s">
        <v>65</v>
      </c>
      <c r="L17" s="677">
        <v>0</v>
      </c>
      <c r="M17" s="643"/>
      <c r="N17" s="548" t="s">
        <v>65</v>
      </c>
      <c r="O17" s="677">
        <v>0</v>
      </c>
      <c r="Q17" s="548" t="s">
        <v>65</v>
      </c>
      <c r="R17" s="677">
        <v>0</v>
      </c>
      <c r="T17" s="548" t="s">
        <v>65</v>
      </c>
      <c r="U17" s="677">
        <v>0</v>
      </c>
      <c r="V17" s="643"/>
    </row>
    <row r="18" spans="1:22" x14ac:dyDescent="0.3">
      <c r="A18" s="643"/>
      <c r="B18" s="643"/>
      <c r="C18" s="643"/>
      <c r="D18" s="643"/>
      <c r="E18" s="643"/>
      <c r="F18" s="443" t="s">
        <v>1740</v>
      </c>
      <c r="G18" s="443"/>
      <c r="H18" s="340">
        <f>+H17+H16</f>
        <v>3342912</v>
      </c>
      <c r="I18" s="340">
        <f>+I17+I16</f>
        <v>3513408</v>
      </c>
      <c r="J18" s="643"/>
      <c r="K18" s="549" t="s">
        <v>64</v>
      </c>
      <c r="L18" s="481">
        <f>L16+L17</f>
        <v>557152</v>
      </c>
      <c r="M18" s="643"/>
      <c r="N18" s="549" t="s">
        <v>64</v>
      </c>
      <c r="O18" s="481">
        <f>O16+O17</f>
        <v>1171136</v>
      </c>
      <c r="Q18" s="549" t="s">
        <v>64</v>
      </c>
      <c r="R18" s="481">
        <f>R16+R17</f>
        <v>0</v>
      </c>
      <c r="T18" s="549" t="s">
        <v>64</v>
      </c>
      <c r="U18" s="481">
        <f>U16+U17</f>
        <v>1728288</v>
      </c>
      <c r="V18" s="643"/>
    </row>
    <row r="19" spans="1:22" ht="26.4" x14ac:dyDescent="0.3">
      <c r="A19" s="643"/>
      <c r="B19" s="643"/>
      <c r="C19" s="643"/>
      <c r="D19" s="643"/>
      <c r="E19" s="643"/>
      <c r="F19" s="659"/>
      <c r="G19" s="659"/>
      <c r="H19" s="659"/>
      <c r="I19" s="659"/>
      <c r="J19" s="643"/>
      <c r="K19" s="501" t="s">
        <v>1439</v>
      </c>
      <c r="L19" s="481">
        <f>ROUND(L18*0.015,0)</f>
        <v>8357</v>
      </c>
      <c r="M19" s="643"/>
      <c r="N19" s="501" t="s">
        <v>1439</v>
      </c>
      <c r="O19" s="481">
        <f>ROUND(O18*0.015,0)</f>
        <v>17567</v>
      </c>
      <c r="Q19" s="501" t="s">
        <v>1439</v>
      </c>
      <c r="R19" s="481">
        <f>ROUND(R18*0.015,0)</f>
        <v>0</v>
      </c>
      <c r="T19" s="501" t="s">
        <v>1439</v>
      </c>
      <c r="U19" s="481">
        <f>ROUND(U18*0.015,0)</f>
        <v>25924</v>
      </c>
      <c r="V19" s="643"/>
    </row>
    <row r="20" spans="1:22" ht="39.6" x14ac:dyDescent="0.3">
      <c r="A20" s="643"/>
      <c r="B20" s="643"/>
      <c r="C20" s="643"/>
      <c r="D20" s="643"/>
      <c r="E20" s="643"/>
      <c r="F20" s="659"/>
      <c r="G20" s="659"/>
      <c r="H20" s="659"/>
      <c r="I20" s="659"/>
      <c r="J20" s="643"/>
      <c r="K20" s="96" t="s">
        <v>1440</v>
      </c>
      <c r="L20" s="425">
        <f>L18+L19</f>
        <v>565509</v>
      </c>
      <c r="M20" s="678">
        <f>L20/H18</f>
        <v>0.16916658290735742</v>
      </c>
      <c r="N20" s="96" t="s">
        <v>1440</v>
      </c>
      <c r="O20" s="783">
        <f>O18+O19</f>
        <v>1188703</v>
      </c>
      <c r="P20" s="832">
        <f>O20/H16</f>
        <v>0.35558907922194782</v>
      </c>
      <c r="Q20" s="96" t="s">
        <v>1440</v>
      </c>
      <c r="R20" s="425">
        <f>R18+R19</f>
        <v>0</v>
      </c>
      <c r="S20" s="678">
        <f>R20/H16</f>
        <v>0</v>
      </c>
      <c r="T20" s="96" t="s">
        <v>1440</v>
      </c>
      <c r="U20" s="783">
        <f>U18+U19</f>
        <v>1754212</v>
      </c>
      <c r="V20" s="832">
        <f>U20/H16</f>
        <v>0.52475566212930524</v>
      </c>
    </row>
    <row r="21" spans="1:22" x14ac:dyDescent="0.3">
      <c r="A21" s="643"/>
      <c r="B21" s="643"/>
      <c r="C21" s="643"/>
      <c r="D21" s="643"/>
      <c r="E21" s="643"/>
      <c r="F21" s="442" t="s">
        <v>66</v>
      </c>
      <c r="G21" s="442"/>
      <c r="H21" s="181">
        <f>+H16*19%</f>
        <v>635153.28</v>
      </c>
      <c r="I21" s="181">
        <f>+I16*19%</f>
        <v>667547.52</v>
      </c>
      <c r="J21" s="643"/>
      <c r="K21" s="551" t="s">
        <v>66</v>
      </c>
      <c r="L21" s="672">
        <f>L20*0.19</f>
        <v>107446.71</v>
      </c>
      <c r="M21" s="643"/>
      <c r="N21" s="551" t="s">
        <v>66</v>
      </c>
      <c r="O21" s="672">
        <f>O20*0.19</f>
        <v>225853.57</v>
      </c>
      <c r="Q21" s="551" t="s">
        <v>66</v>
      </c>
      <c r="R21" s="672">
        <f>R20*0.19</f>
        <v>0</v>
      </c>
      <c r="T21" s="551" t="s">
        <v>66</v>
      </c>
      <c r="U21" s="672">
        <f>U20*0.19</f>
        <v>333300.28000000003</v>
      </c>
      <c r="V21" s="643"/>
    </row>
    <row r="22" spans="1:22" x14ac:dyDescent="0.3">
      <c r="A22" s="643"/>
      <c r="B22" s="643"/>
      <c r="C22" s="643"/>
      <c r="D22" s="643"/>
      <c r="E22" s="643"/>
      <c r="F22" s="441" t="s">
        <v>69</v>
      </c>
      <c r="G22" s="441"/>
      <c r="H22" s="181">
        <f>+H16+H21</f>
        <v>3978065.2800000003</v>
      </c>
      <c r="I22" s="181">
        <f>+I16+I21</f>
        <v>4180955.52</v>
      </c>
      <c r="J22" s="643"/>
      <c r="K22" s="552" t="s">
        <v>69</v>
      </c>
      <c r="L22" s="672">
        <f>L20+L21</f>
        <v>672955.71</v>
      </c>
      <c r="M22" s="643"/>
      <c r="N22" s="552" t="s">
        <v>69</v>
      </c>
      <c r="O22" s="672">
        <f>O20+O21</f>
        <v>1414556.57</v>
      </c>
      <c r="Q22" s="552" t="s">
        <v>69</v>
      </c>
      <c r="R22" s="672">
        <f>R20+R21</f>
        <v>0</v>
      </c>
      <c r="T22" s="552" t="s">
        <v>69</v>
      </c>
      <c r="U22" s="672">
        <f>U20+U21</f>
        <v>2087512.28</v>
      </c>
      <c r="V22" s="643"/>
    </row>
    <row r="23" spans="1:22" x14ac:dyDescent="0.3">
      <c r="A23" s="643"/>
      <c r="B23" s="643"/>
      <c r="C23" s="643"/>
      <c r="D23" s="643"/>
      <c r="E23" s="643"/>
      <c r="F23" s="643"/>
      <c r="H23" s="643"/>
      <c r="J23" s="643"/>
      <c r="K23" s="643"/>
      <c r="L23" s="643"/>
      <c r="M23" s="643"/>
      <c r="T23" s="643"/>
      <c r="U23" s="643"/>
      <c r="V23" s="643"/>
    </row>
    <row r="24" spans="1:22" ht="27" customHeight="1" x14ac:dyDescent="0.3">
      <c r="A24" s="665" t="s">
        <v>67</v>
      </c>
      <c r="B24" s="184"/>
      <c r="C24" s="184"/>
      <c r="D24" s="185" t="s">
        <v>68</v>
      </c>
      <c r="E24" s="643"/>
      <c r="F24" s="643"/>
      <c r="H24" s="643"/>
      <c r="J24" s="643"/>
      <c r="K24" s="186" t="s">
        <v>70</v>
      </c>
      <c r="L24" s="187" t="s">
        <v>71</v>
      </c>
      <c r="M24" s="186" t="s">
        <v>58</v>
      </c>
      <c r="N24" s="186" t="s">
        <v>70</v>
      </c>
      <c r="O24" s="187" t="s">
        <v>71</v>
      </c>
      <c r="P24" s="186" t="s">
        <v>58</v>
      </c>
      <c r="Q24" s="186" t="s">
        <v>70</v>
      </c>
      <c r="R24" s="187" t="s">
        <v>71</v>
      </c>
      <c r="S24" s="186" t="s">
        <v>58</v>
      </c>
      <c r="T24" s="643"/>
      <c r="U24" s="643"/>
      <c r="V24" s="643"/>
    </row>
    <row r="25" spans="1:22" x14ac:dyDescent="0.3">
      <c r="A25" s="665"/>
      <c r="B25" s="184"/>
      <c r="C25" s="184"/>
      <c r="D25" s="185"/>
      <c r="E25" s="643"/>
      <c r="F25" s="643"/>
      <c r="H25" s="643"/>
      <c r="J25" s="643"/>
      <c r="K25" s="69" t="s">
        <v>72</v>
      </c>
      <c r="L25" s="70">
        <f>L20</f>
        <v>565509</v>
      </c>
      <c r="M25" s="360">
        <f>M20</f>
        <v>0.16916658290735742</v>
      </c>
      <c r="N25" s="69" t="s">
        <v>72</v>
      </c>
      <c r="O25" s="70">
        <f>L20</f>
        <v>565509</v>
      </c>
      <c r="P25" s="360">
        <f>M20</f>
        <v>0.16916658290735742</v>
      </c>
      <c r="Q25" s="69" t="s">
        <v>72</v>
      </c>
      <c r="R25" s="70">
        <f>$L$20</f>
        <v>565509</v>
      </c>
      <c r="S25" s="360">
        <f>$M$20</f>
        <v>0.16916658290735742</v>
      </c>
      <c r="T25" s="643"/>
      <c r="U25" s="643"/>
      <c r="V25" s="643"/>
    </row>
    <row r="26" spans="1:22" s="849" customFormat="1" x14ac:dyDescent="0.3">
      <c r="A26" s="665"/>
      <c r="B26" s="184"/>
      <c r="C26" s="184"/>
      <c r="D26" s="185"/>
      <c r="K26" s="69"/>
      <c r="L26" s="70"/>
      <c r="M26" s="360"/>
      <c r="N26" s="69" t="s">
        <v>73</v>
      </c>
      <c r="O26" s="70">
        <f>+O20</f>
        <v>1188703</v>
      </c>
      <c r="P26" s="360">
        <f>+P20</f>
        <v>0.35558907922194782</v>
      </c>
      <c r="Q26" s="69" t="s">
        <v>73</v>
      </c>
      <c r="R26" s="70">
        <f>$O$20</f>
        <v>1188703</v>
      </c>
      <c r="S26" s="360">
        <f>$P$20</f>
        <v>0.35558907922194782</v>
      </c>
    </row>
    <row r="27" spans="1:22" x14ac:dyDescent="0.3">
      <c r="A27" s="665"/>
      <c r="B27" s="184"/>
      <c r="C27" s="184"/>
      <c r="D27" s="185"/>
      <c r="E27" s="643"/>
      <c r="F27" s="643"/>
      <c r="H27" s="643"/>
      <c r="J27" s="643"/>
      <c r="K27" s="72" t="s">
        <v>1</v>
      </c>
      <c r="L27" s="105">
        <f>L25</f>
        <v>565509</v>
      </c>
      <c r="M27" s="361">
        <f>M25</f>
        <v>0.16916658290735742</v>
      </c>
      <c r="N27" s="72" t="s">
        <v>1</v>
      </c>
      <c r="O27" s="105">
        <f>SUM(O25:O26)</f>
        <v>1754212</v>
      </c>
      <c r="P27" s="361">
        <f>SUM(P25:P26)</f>
        <v>0.52475566212930524</v>
      </c>
      <c r="Q27" s="69" t="s">
        <v>74</v>
      </c>
      <c r="R27" s="70">
        <f>$R$20</f>
        <v>0</v>
      </c>
      <c r="S27" s="360">
        <f>$S$20</f>
        <v>0</v>
      </c>
      <c r="T27" s="643"/>
      <c r="U27" s="643"/>
      <c r="V27" s="643"/>
    </row>
    <row r="28" spans="1:22" x14ac:dyDescent="0.3">
      <c r="A28" s="665"/>
      <c r="B28" s="184"/>
      <c r="C28" s="184"/>
      <c r="D28" s="185"/>
      <c r="E28" s="643"/>
      <c r="F28" s="643"/>
      <c r="H28" s="643"/>
      <c r="J28" s="643"/>
      <c r="K28" s="72" t="s">
        <v>9</v>
      </c>
      <c r="L28" s="1423"/>
      <c r="M28" s="1424"/>
      <c r="N28" s="72" t="s">
        <v>9</v>
      </c>
      <c r="O28" s="1423"/>
      <c r="P28" s="1424"/>
      <c r="Q28" s="72" t="s">
        <v>1</v>
      </c>
      <c r="R28" s="105">
        <f>SUM(R25:R27)</f>
        <v>1754212</v>
      </c>
      <c r="S28" s="361">
        <f>SUM(S25:S27)</f>
        <v>0.52475566212930524</v>
      </c>
      <c r="T28" s="643"/>
      <c r="U28" s="643"/>
      <c r="V28" s="643"/>
    </row>
    <row r="29" spans="1:22" x14ac:dyDescent="0.3">
      <c r="A29" s="665"/>
      <c r="B29" s="184"/>
      <c r="C29" s="184"/>
      <c r="D29" s="185"/>
      <c r="E29" s="643"/>
      <c r="F29" s="643"/>
      <c r="H29" s="643"/>
      <c r="J29" s="643"/>
      <c r="K29" s="440" t="s">
        <v>78</v>
      </c>
      <c r="L29" s="1423" t="s">
        <v>1984</v>
      </c>
      <c r="M29" s="1424"/>
      <c r="N29" s="440" t="s">
        <v>78</v>
      </c>
      <c r="O29" s="1423" t="s">
        <v>1984</v>
      </c>
      <c r="P29" s="1424"/>
      <c r="Q29" s="72" t="s">
        <v>9</v>
      </c>
      <c r="R29" s="1423"/>
      <c r="S29" s="1424"/>
      <c r="T29" s="643"/>
      <c r="U29" s="643"/>
      <c r="V29" s="643"/>
    </row>
    <row r="30" spans="1:22" x14ac:dyDescent="0.3">
      <c r="A30" s="665"/>
      <c r="B30" s="184"/>
      <c r="C30" s="184"/>
      <c r="D30" s="185"/>
      <c r="E30" s="643"/>
      <c r="F30" s="643"/>
      <c r="H30" s="643"/>
      <c r="J30" s="643"/>
      <c r="K30" s="439" t="s">
        <v>8</v>
      </c>
      <c r="L30" s="1423" t="s">
        <v>1985</v>
      </c>
      <c r="M30" s="1424"/>
      <c r="N30" s="439" t="s">
        <v>8</v>
      </c>
      <c r="O30" s="1423" t="s">
        <v>1985</v>
      </c>
      <c r="P30" s="1424"/>
      <c r="Q30" s="440" t="s">
        <v>78</v>
      </c>
      <c r="R30" s="1423" t="s">
        <v>1984</v>
      </c>
      <c r="S30" s="1424"/>
      <c r="T30" s="643"/>
      <c r="U30" s="643"/>
      <c r="V30" s="643"/>
    </row>
    <row r="31" spans="1:22" x14ac:dyDescent="0.3">
      <c r="A31" s="665"/>
      <c r="B31" s="184"/>
      <c r="C31" s="184"/>
      <c r="D31" s="185" t="s">
        <v>75</v>
      </c>
      <c r="E31" s="643"/>
      <c r="F31" s="643"/>
      <c r="H31" s="643"/>
      <c r="J31" s="643"/>
      <c r="K31" s="643"/>
      <c r="L31" s="643"/>
      <c r="M31" s="643"/>
      <c r="Q31" s="439" t="s">
        <v>8</v>
      </c>
      <c r="R31" s="1423" t="s">
        <v>1985</v>
      </c>
      <c r="S31" s="1424"/>
      <c r="T31" s="643"/>
      <c r="U31" s="643"/>
      <c r="V31" s="643"/>
    </row>
    <row r="32" spans="1:22" x14ac:dyDescent="0.3">
      <c r="A32" s="665" t="s">
        <v>76</v>
      </c>
      <c r="B32" s="180"/>
      <c r="C32" s="180"/>
      <c r="D32" s="185" t="s">
        <v>77</v>
      </c>
      <c r="E32" s="643"/>
      <c r="F32" s="643"/>
      <c r="H32" s="643"/>
      <c r="J32" s="643"/>
      <c r="K32" s="643"/>
      <c r="L32" s="643"/>
      <c r="M32" s="643"/>
      <c r="T32" s="643"/>
      <c r="U32" s="643"/>
      <c r="V32" s="643"/>
    </row>
    <row r="33" spans="1:22" ht="26.4" x14ac:dyDescent="0.3">
      <c r="A33" s="665" t="s">
        <v>79</v>
      </c>
      <c r="B33" s="180"/>
      <c r="C33" s="180"/>
      <c r="D33" s="185" t="s">
        <v>80</v>
      </c>
      <c r="E33" s="643"/>
      <c r="F33" s="643"/>
      <c r="H33" s="643"/>
      <c r="J33" s="643"/>
      <c r="K33" s="643"/>
      <c r="L33" s="643"/>
      <c r="M33" s="643"/>
      <c r="T33" s="643"/>
      <c r="U33" s="643"/>
      <c r="V33" s="643"/>
    </row>
    <row r="34" spans="1:22" x14ac:dyDescent="0.3">
      <c r="A34" s="643"/>
      <c r="B34" s="643"/>
      <c r="C34" s="643"/>
      <c r="D34" s="643"/>
      <c r="E34" s="643"/>
      <c r="F34" s="643"/>
      <c r="H34" s="643"/>
      <c r="J34" s="643"/>
      <c r="K34" s="643"/>
      <c r="L34" s="643"/>
      <c r="M34" s="643"/>
      <c r="T34" s="643"/>
      <c r="U34" s="643"/>
      <c r="V34" s="643"/>
    </row>
    <row r="35" spans="1:22" x14ac:dyDescent="0.3">
      <c r="A35" s="643"/>
      <c r="B35" s="643"/>
      <c r="C35" s="643"/>
      <c r="D35" s="643"/>
      <c r="E35" s="643"/>
      <c r="F35" s="643"/>
      <c r="H35" s="643"/>
      <c r="J35" s="643"/>
      <c r="K35" s="643"/>
      <c r="L35" s="643"/>
      <c r="M35" s="643"/>
      <c r="T35" s="643"/>
      <c r="U35" s="643"/>
      <c r="V35" s="643"/>
    </row>
    <row r="36" spans="1:22" x14ac:dyDescent="0.3">
      <c r="A36" s="643"/>
      <c r="B36" s="643"/>
      <c r="C36" s="643"/>
      <c r="D36" s="643"/>
      <c r="E36" s="643"/>
      <c r="F36" s="643"/>
      <c r="H36" s="643"/>
      <c r="J36" s="643"/>
      <c r="K36" s="643"/>
      <c r="L36" s="643"/>
      <c r="M36" s="643"/>
      <c r="T36" s="643"/>
      <c r="U36" s="643"/>
      <c r="V36" s="643"/>
    </row>
    <row r="37" spans="1:22" x14ac:dyDescent="0.3">
      <c r="A37" s="643"/>
      <c r="B37" s="643"/>
      <c r="C37" s="643"/>
      <c r="D37" s="643"/>
      <c r="E37" s="643"/>
      <c r="F37" s="643"/>
      <c r="H37" s="643"/>
      <c r="J37" s="643"/>
      <c r="K37" s="643"/>
      <c r="L37" s="643"/>
      <c r="M37" s="643"/>
      <c r="T37" s="643"/>
      <c r="U37" s="643"/>
      <c r="V37" s="643"/>
    </row>
    <row r="38" spans="1:22" x14ac:dyDescent="0.3">
      <c r="A38" s="643"/>
      <c r="B38" s="643"/>
      <c r="C38" s="643"/>
      <c r="D38" s="643"/>
      <c r="E38" s="643"/>
      <c r="F38" s="643"/>
      <c r="H38" s="643"/>
      <c r="J38" s="643"/>
      <c r="K38" s="643"/>
      <c r="L38" s="643"/>
      <c r="M38" s="643"/>
      <c r="T38" s="643"/>
      <c r="U38" s="643"/>
      <c r="V38" s="643"/>
    </row>
    <row r="39" spans="1:22" x14ac:dyDescent="0.3">
      <c r="A39" s="643"/>
      <c r="B39" s="643"/>
      <c r="C39" s="643"/>
      <c r="D39" s="643"/>
      <c r="E39" s="643"/>
      <c r="F39" s="643"/>
      <c r="H39" s="643"/>
      <c r="J39" s="643"/>
      <c r="K39" s="643"/>
      <c r="L39" s="643"/>
      <c r="M39" s="643"/>
      <c r="T39" s="643"/>
      <c r="U39" s="643"/>
      <c r="V39" s="643"/>
    </row>
    <row r="40" spans="1:22" x14ac:dyDescent="0.3">
      <c r="A40" s="643"/>
      <c r="B40" s="643"/>
      <c r="C40" s="643"/>
      <c r="D40" s="643"/>
      <c r="E40" s="643"/>
      <c r="F40" s="643"/>
      <c r="H40" s="643"/>
      <c r="J40" s="643"/>
      <c r="K40" s="643"/>
      <c r="L40" s="643"/>
      <c r="M40" s="643"/>
      <c r="T40" s="643"/>
      <c r="U40" s="643"/>
      <c r="V40" s="643"/>
    </row>
  </sheetData>
  <mergeCells count="29">
    <mergeCell ref="R29:S29"/>
    <mergeCell ref="O29:P29"/>
    <mergeCell ref="B14:B15"/>
    <mergeCell ref="J14:J15"/>
    <mergeCell ref="O28:P28"/>
    <mergeCell ref="L28:M28"/>
    <mergeCell ref="L29:M29"/>
    <mergeCell ref="B12:J12"/>
    <mergeCell ref="A14:A15"/>
    <mergeCell ref="N11:P12"/>
    <mergeCell ref="K11:M12"/>
    <mergeCell ref="T11:V12"/>
    <mergeCell ref="Q11:S12"/>
    <mergeCell ref="R30:S30"/>
    <mergeCell ref="R31:S31"/>
    <mergeCell ref="O30:P30"/>
    <mergeCell ref="A5:V5"/>
    <mergeCell ref="C1:M2"/>
    <mergeCell ref="T1:V1"/>
    <mergeCell ref="T2:V2"/>
    <mergeCell ref="A3:V3"/>
    <mergeCell ref="A4:V4"/>
    <mergeCell ref="L30:M30"/>
    <mergeCell ref="A6:V6"/>
    <mergeCell ref="A7:V7"/>
    <mergeCell ref="A8:V8"/>
    <mergeCell ref="A9:V9"/>
    <mergeCell ref="A10:V10"/>
    <mergeCell ref="B11:J11"/>
  </mergeCells>
  <pageMargins left="0.7" right="0.7" top="0.75" bottom="0.75" header="0.3" footer="0.3"/>
  <pageSetup paperSize="9" scale="42" orientation="landscape" r:id="rId1"/>
  <drawing r:id="rId2"/>
  <legacyDrawing r:id="rId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3">
    <tabColor theme="1"/>
  </sheetPr>
  <dimension ref="A1:G49"/>
  <sheetViews>
    <sheetView topLeftCell="A10" zoomScaleNormal="100" zoomScaleSheetLayoutView="8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RESUMEN!G137</f>
        <v>Proyecto:Estabilización T 533 LT DO GU.</v>
      </c>
      <c r="C5" s="1281"/>
      <c r="D5" s="1281"/>
      <c r="E5" s="1281"/>
      <c r="F5" s="1281"/>
      <c r="G5" s="1282"/>
    </row>
    <row r="6" spans="1:7" x14ac:dyDescent="0.25">
      <c r="A6" s="1177"/>
      <c r="B6" s="1177"/>
      <c r="C6" s="1177"/>
      <c r="D6" s="1177"/>
      <c r="E6" s="1177"/>
      <c r="F6" s="1177"/>
      <c r="G6" s="1177"/>
    </row>
    <row r="7" spans="1:7" x14ac:dyDescent="0.25">
      <c r="A7" s="271" t="s">
        <v>0</v>
      </c>
      <c r="B7" s="1264">
        <f>RESUMEN!B137</f>
        <v>0</v>
      </c>
      <c r="C7" s="1265"/>
      <c r="D7" s="1177"/>
      <c r="E7" s="1266" t="s">
        <v>627</v>
      </c>
      <c r="F7" s="1267"/>
      <c r="G7" s="280" t="str">
        <f>RESUMEN!E137</f>
        <v>17-440</v>
      </c>
    </row>
    <row r="8" spans="1:7" x14ac:dyDescent="0.25">
      <c r="A8" s="271" t="s">
        <v>628</v>
      </c>
      <c r="B8" s="1264">
        <f>RESUMEN!C137</f>
        <v>0</v>
      </c>
      <c r="C8" s="1265"/>
      <c r="D8" s="1177"/>
      <c r="E8" s="1266" t="s">
        <v>629</v>
      </c>
      <c r="F8" s="1267"/>
      <c r="G8" s="280" t="str">
        <f>RESUMEN!U137</f>
        <v>Acta N° 2: Marzo</v>
      </c>
    </row>
    <row r="9" spans="1:7" x14ac:dyDescent="0.25">
      <c r="A9" s="271" t="s">
        <v>630</v>
      </c>
      <c r="B9" s="1283" t="s">
        <v>631</v>
      </c>
      <c r="C9" s="1265"/>
      <c r="D9" s="1177"/>
      <c r="E9" s="1266" t="s">
        <v>632</v>
      </c>
      <c r="F9" s="1267"/>
      <c r="G9" s="1178">
        <f>RESUMEN!H137</f>
        <v>17188128</v>
      </c>
    </row>
    <row r="10" spans="1:7" x14ac:dyDescent="0.25">
      <c r="A10" s="271" t="s">
        <v>633</v>
      </c>
      <c r="B10" s="1283" t="str">
        <f>RESUMEN!D137</f>
        <v>LLTT GUADUAS GUADUERO EST 533</v>
      </c>
      <c r="C10" s="1265"/>
      <c r="D10" s="1177"/>
      <c r="E10" s="1266" t="s">
        <v>634</v>
      </c>
      <c r="F10" s="1267"/>
      <c r="G10" s="1178">
        <f>RESUMEN!R137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",RESUMEN!G137)</f>
        <v>A los 14 días del mes de Marzo se reunieron en las instalaciones de CODENSA S.A. E.S.P., los ingenieros Ing. Andrés Patarroyo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Proyecto:Estabilización T 533 LT DO GU.</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RESUMEN!N137</f>
        <v>0</v>
      </c>
      <c r="F19" s="1248"/>
      <c r="G19" s="1177"/>
    </row>
    <row r="20" spans="1:7" ht="27" customHeight="1" x14ac:dyDescent="0.25">
      <c r="A20" s="1177"/>
      <c r="B20" s="1244" t="s">
        <v>1498</v>
      </c>
      <c r="C20" s="1245"/>
      <c r="D20" s="1246"/>
      <c r="E20" s="1247">
        <f>RESUMEN!P137</f>
        <v>0</v>
      </c>
      <c r="F20" s="1248"/>
      <c r="G20" s="1177"/>
    </row>
    <row r="21" spans="1:7" ht="27" customHeight="1" x14ac:dyDescent="0.25">
      <c r="A21" s="1177"/>
      <c r="B21" s="1244" t="s">
        <v>1499</v>
      </c>
      <c r="C21" s="1245"/>
      <c r="D21" s="1246"/>
      <c r="E21" s="1247">
        <f>RESUMEN!Q137</f>
        <v>0</v>
      </c>
      <c r="F21" s="1248"/>
      <c r="G21" s="1177"/>
    </row>
    <row r="22" spans="1:7" x14ac:dyDescent="0.25">
      <c r="A22" s="1177"/>
      <c r="B22" s="1254" t="s">
        <v>64</v>
      </c>
      <c r="C22" s="1254"/>
      <c r="D22" s="1254"/>
      <c r="E22" s="1255">
        <f>RESUMEN!R137</f>
        <v>0</v>
      </c>
      <c r="F22" s="1255"/>
      <c r="G22" s="1177"/>
    </row>
    <row r="23" spans="1:7" x14ac:dyDescent="0.25">
      <c r="A23" s="1177"/>
      <c r="B23" s="1256" t="s">
        <v>66</v>
      </c>
      <c r="C23" s="1256"/>
      <c r="D23" s="1256"/>
      <c r="E23" s="1257">
        <f>RESUMEN!S137</f>
        <v>0</v>
      </c>
      <c r="F23" s="1257"/>
      <c r="G23" s="1177"/>
    </row>
    <row r="24" spans="1:7" x14ac:dyDescent="0.25">
      <c r="A24" s="1177"/>
      <c r="B24" s="1258" t="s">
        <v>1</v>
      </c>
      <c r="C24" s="1258"/>
      <c r="D24" s="1258"/>
      <c r="E24" s="1259">
        <f>RESUMEN!T137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+'OT17-440 LLTT DO GU EST 533'!N29</f>
        <v>ACTA 1</v>
      </c>
      <c r="C28" s="1253">
        <f>+'OT17-440 LLTT DO GU EST 533'!O29</f>
        <v>2662981.33</v>
      </c>
      <c r="D28" s="1253"/>
      <c r="E28" s="267">
        <f>+'OT17-440 LLTT DO GU EST 533'!P29</f>
        <v>0.15427881320308501</v>
      </c>
      <c r="F28" s="1177"/>
      <c r="G28" s="1177"/>
    </row>
    <row r="29" spans="1:7" x14ac:dyDescent="0.25">
      <c r="A29" s="1177"/>
      <c r="B29" s="280" t="str">
        <f>+'OT17-440 LLTT DO GU EST 533'!N30</f>
        <v>ACTA 2</v>
      </c>
      <c r="C29" s="1253">
        <f>+'OT17-440 LLTT DO GU EST 533'!O30</f>
        <v>0</v>
      </c>
      <c r="D29" s="1253"/>
      <c r="E29" s="267">
        <f>+'OT17-440 LLTT DO GU EST 533'!P30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2662981.33</v>
      </c>
      <c r="D34" s="1251"/>
      <c r="E34" s="264">
        <f>SUM(E28:E33)</f>
        <v>0.15427881320308501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RESUMEN!V137</f>
        <v>Ing. Andrés Patarroyo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4">
    <tabColor rgb="FF72104A"/>
  </sheetPr>
  <dimension ref="A1:S37"/>
  <sheetViews>
    <sheetView topLeftCell="I15" zoomScale="80" zoomScaleNormal="80" zoomScaleSheetLayoutView="55" workbookViewId="0">
      <selection activeCell="J25" sqref="J25"/>
    </sheetView>
  </sheetViews>
  <sheetFormatPr baseColWidth="10" defaultRowHeight="14.4" x14ac:dyDescent="0.3"/>
  <cols>
    <col min="1" max="1" width="24" customWidth="1"/>
    <col min="2" max="2" width="24.6640625" customWidth="1"/>
    <col min="3" max="3" width="13.88671875" customWidth="1"/>
    <col min="4" max="4" width="23.33203125" customWidth="1"/>
    <col min="6" max="6" width="17.88671875" customWidth="1"/>
    <col min="7" max="7" width="17.88671875" style="954" customWidth="1"/>
    <col min="8" max="8" width="20.33203125" customWidth="1"/>
    <col min="9" max="9" width="20.33203125" style="954" customWidth="1"/>
    <col min="10" max="10" width="55.44140625" customWidth="1"/>
    <col min="11" max="11" width="21.109375" customWidth="1"/>
    <col min="12" max="12" width="18.33203125" bestFit="1" customWidth="1"/>
    <col min="14" max="14" width="16" style="1054" customWidth="1"/>
    <col min="15" max="15" width="16.5546875" style="1054" customWidth="1"/>
    <col min="16" max="16" width="15.88671875" style="1054" customWidth="1"/>
    <col min="17" max="17" width="24.88671875" customWidth="1"/>
    <col min="18" max="18" width="15.33203125" bestFit="1" customWidth="1"/>
  </cols>
  <sheetData>
    <row r="1" spans="1:19" ht="15" thickBot="1" x14ac:dyDescent="0.35">
      <c r="A1" s="169"/>
      <c r="B1" s="188"/>
      <c r="C1" s="1307" t="s">
        <v>40</v>
      </c>
      <c r="D1" s="1308"/>
      <c r="E1" s="1308"/>
      <c r="F1" s="1308"/>
      <c r="G1" s="1308"/>
      <c r="H1" s="1308"/>
      <c r="I1" s="1308"/>
      <c r="J1" s="1308"/>
      <c r="K1" s="1308"/>
      <c r="L1" s="1308"/>
      <c r="M1" s="1308"/>
      <c r="N1" s="1052"/>
      <c r="O1" s="1052"/>
      <c r="P1" s="1052"/>
      <c r="Q1" s="1328" t="s">
        <v>1663</v>
      </c>
      <c r="R1" s="1303"/>
      <c r="S1" s="1304"/>
    </row>
    <row r="2" spans="1:19" ht="15" thickBot="1" x14ac:dyDescent="0.35">
      <c r="A2" s="170"/>
      <c r="B2" s="190"/>
      <c r="C2" s="1310"/>
      <c r="D2" s="1311"/>
      <c r="E2" s="1311"/>
      <c r="F2" s="1311"/>
      <c r="G2" s="1311"/>
      <c r="H2" s="1311"/>
      <c r="I2" s="1311"/>
      <c r="J2" s="1311"/>
      <c r="K2" s="1311"/>
      <c r="L2" s="1311"/>
      <c r="M2" s="1311"/>
      <c r="N2" s="1053"/>
      <c r="O2" s="1053"/>
      <c r="P2" s="1053"/>
      <c r="Q2" s="1329" t="s">
        <v>41</v>
      </c>
      <c r="R2" s="1305"/>
      <c r="S2" s="1306"/>
    </row>
    <row r="3" spans="1:19" x14ac:dyDescent="0.3">
      <c r="A3" s="1292" t="s">
        <v>42</v>
      </c>
      <c r="B3" s="1292"/>
      <c r="C3" s="1292"/>
      <c r="D3" s="1292"/>
      <c r="E3" s="1292"/>
      <c r="F3" s="1292"/>
      <c r="G3" s="1292"/>
      <c r="H3" s="1292"/>
      <c r="I3" s="1292"/>
      <c r="J3" s="1292"/>
      <c r="K3" s="1292"/>
      <c r="L3" s="1292"/>
      <c r="M3" s="1292"/>
      <c r="N3" s="1292"/>
      <c r="O3" s="1292"/>
      <c r="P3" s="1292"/>
      <c r="Q3" s="1292"/>
      <c r="R3" s="1292"/>
      <c r="S3" s="1292"/>
    </row>
    <row r="4" spans="1:19" x14ac:dyDescent="0.3">
      <c r="A4" s="1292" t="s">
        <v>43</v>
      </c>
      <c r="B4" s="1292"/>
      <c r="C4" s="1292"/>
      <c r="D4" s="1292"/>
      <c r="E4" s="1292"/>
      <c r="F4" s="1292"/>
      <c r="G4" s="1292"/>
      <c r="H4" s="1292"/>
      <c r="I4" s="1292"/>
      <c r="J4" s="1292"/>
      <c r="K4" s="1292"/>
      <c r="L4" s="1292"/>
      <c r="M4" s="1292"/>
      <c r="N4" s="1292"/>
      <c r="O4" s="1292"/>
      <c r="P4" s="1292"/>
      <c r="Q4" s="1292"/>
      <c r="R4" s="1292"/>
      <c r="S4" s="1292"/>
    </row>
    <row r="5" spans="1:19" x14ac:dyDescent="0.3">
      <c r="A5" s="1292" t="s">
        <v>44</v>
      </c>
      <c r="B5" s="1292"/>
      <c r="C5" s="1292"/>
      <c r="D5" s="1292"/>
      <c r="E5" s="1292"/>
      <c r="F5" s="1292"/>
      <c r="G5" s="1292"/>
      <c r="H5" s="1292"/>
      <c r="I5" s="1292"/>
      <c r="J5" s="1292"/>
      <c r="K5" s="1292"/>
      <c r="L5" s="1292"/>
      <c r="M5" s="1292"/>
      <c r="N5" s="1292"/>
      <c r="O5" s="1292"/>
      <c r="P5" s="1292"/>
      <c r="Q5" s="1292"/>
      <c r="R5" s="1292"/>
      <c r="S5" s="1292"/>
    </row>
    <row r="6" spans="1:19" x14ac:dyDescent="0.3">
      <c r="A6" s="1292" t="s">
        <v>45</v>
      </c>
      <c r="B6" s="1292"/>
      <c r="C6" s="1292"/>
      <c r="D6" s="1292"/>
      <c r="E6" s="1292"/>
      <c r="F6" s="1292"/>
      <c r="G6" s="1292"/>
      <c r="H6" s="1292"/>
      <c r="I6" s="1292"/>
      <c r="J6" s="1292"/>
      <c r="K6" s="1292"/>
      <c r="L6" s="1292"/>
      <c r="M6" s="1292"/>
      <c r="N6" s="1292"/>
      <c r="O6" s="1292"/>
      <c r="P6" s="1292"/>
      <c r="Q6" s="1292"/>
      <c r="R6" s="1292"/>
      <c r="S6" s="1292"/>
    </row>
    <row r="7" spans="1:19" x14ac:dyDescent="0.3">
      <c r="A7" s="1291" t="s">
        <v>1930</v>
      </c>
      <c r="B7" s="1292"/>
      <c r="C7" s="1292"/>
      <c r="D7" s="1292"/>
      <c r="E7" s="1292"/>
      <c r="F7" s="1292"/>
      <c r="G7" s="1292"/>
      <c r="H7" s="1292"/>
      <c r="I7" s="1292"/>
      <c r="J7" s="1292"/>
      <c r="K7" s="1292"/>
      <c r="L7" s="1292"/>
      <c r="M7" s="1292"/>
      <c r="N7" s="1292"/>
      <c r="O7" s="1292"/>
      <c r="P7" s="1292"/>
      <c r="Q7" s="1292"/>
      <c r="R7" s="1292"/>
      <c r="S7" s="1292"/>
    </row>
    <row r="8" spans="1:19" x14ac:dyDescent="0.3">
      <c r="A8" s="1292" t="s">
        <v>2323</v>
      </c>
      <c r="B8" s="1292"/>
      <c r="C8" s="1292"/>
      <c r="D8" s="1292"/>
      <c r="E8" s="1292"/>
      <c r="F8" s="1292"/>
      <c r="G8" s="1292"/>
      <c r="H8" s="1292"/>
      <c r="I8" s="1292"/>
      <c r="J8" s="1292"/>
      <c r="K8" s="1292"/>
      <c r="L8" s="1292"/>
      <c r="M8" s="1292"/>
      <c r="N8" s="1292"/>
      <c r="O8" s="1292"/>
      <c r="P8" s="1292"/>
      <c r="Q8" s="1292"/>
      <c r="R8" s="1292"/>
      <c r="S8" s="1292"/>
    </row>
    <row r="9" spans="1:19" x14ac:dyDescent="0.3">
      <c r="A9" s="1292" t="s">
        <v>2305</v>
      </c>
      <c r="B9" s="1292"/>
      <c r="C9" s="1292"/>
      <c r="D9" s="1292"/>
      <c r="E9" s="1292"/>
      <c r="F9" s="1292"/>
      <c r="G9" s="1292"/>
      <c r="H9" s="1292"/>
      <c r="I9" s="1292"/>
      <c r="J9" s="1292"/>
      <c r="K9" s="1292"/>
      <c r="L9" s="1292"/>
      <c r="M9" s="1292"/>
      <c r="N9" s="1292"/>
      <c r="O9" s="1292"/>
      <c r="P9" s="1292"/>
      <c r="Q9" s="1292"/>
      <c r="R9" s="1292"/>
      <c r="S9" s="1292"/>
    </row>
    <row r="10" spans="1:19" x14ac:dyDescent="0.3">
      <c r="A10" s="1292" t="s">
        <v>1926</v>
      </c>
      <c r="B10" s="1292"/>
      <c r="C10" s="1292"/>
      <c r="D10" s="1292"/>
      <c r="E10" s="1292"/>
      <c r="F10" s="1292"/>
      <c r="G10" s="1292"/>
      <c r="H10" s="1292"/>
      <c r="I10" s="1292"/>
      <c r="J10" s="1292"/>
      <c r="K10" s="1292"/>
      <c r="L10" s="1292"/>
      <c r="M10" s="1292"/>
      <c r="N10" s="1292"/>
      <c r="O10" s="1292"/>
      <c r="P10" s="1292"/>
      <c r="Q10" s="1292"/>
      <c r="R10" s="1292"/>
      <c r="S10" s="1292"/>
    </row>
    <row r="11" spans="1:19" x14ac:dyDescent="0.3">
      <c r="A11" s="640"/>
      <c r="B11" s="1301"/>
      <c r="C11" s="1313"/>
      <c r="D11" s="1313"/>
      <c r="E11" s="1313"/>
      <c r="F11" s="1313"/>
      <c r="G11" s="1313"/>
      <c r="H11" s="1313"/>
      <c r="I11" s="1313"/>
      <c r="J11" s="1313"/>
      <c r="K11" s="1293" t="s">
        <v>1982</v>
      </c>
      <c r="L11" s="1294"/>
      <c r="M11" s="1295"/>
      <c r="N11" s="1293" t="s">
        <v>2324</v>
      </c>
      <c r="O11" s="1294"/>
      <c r="P11" s="1295"/>
      <c r="Q11" s="1299" t="s">
        <v>49</v>
      </c>
      <c r="R11" s="1299"/>
      <c r="S11" s="1299"/>
    </row>
    <row r="12" spans="1:19" x14ac:dyDescent="0.3">
      <c r="A12" s="171"/>
      <c r="B12" s="1301"/>
      <c r="C12" s="1302"/>
      <c r="D12" s="1302"/>
      <c r="E12" s="1302"/>
      <c r="F12" s="1302"/>
      <c r="G12" s="1302"/>
      <c r="H12" s="1302"/>
      <c r="I12" s="1302"/>
      <c r="J12" s="1302"/>
      <c r="K12" s="1325"/>
      <c r="L12" s="1326"/>
      <c r="M12" s="1327"/>
      <c r="N12" s="1325"/>
      <c r="O12" s="1326"/>
      <c r="P12" s="1327"/>
      <c r="Q12" s="1300"/>
      <c r="R12" s="1300"/>
      <c r="S12" s="1300"/>
    </row>
    <row r="13" spans="1:19" ht="28.8" x14ac:dyDescent="0.3">
      <c r="A13" s="159" t="s">
        <v>50</v>
      </c>
      <c r="B13" s="159" t="s">
        <v>51</v>
      </c>
      <c r="C13" s="159" t="s">
        <v>52</v>
      </c>
      <c r="D13" s="159" t="s">
        <v>164</v>
      </c>
      <c r="E13" s="159" t="s">
        <v>54</v>
      </c>
      <c r="F13" s="141" t="s">
        <v>55</v>
      </c>
      <c r="G13" s="823" t="s">
        <v>2007</v>
      </c>
      <c r="H13" s="159" t="s">
        <v>56</v>
      </c>
      <c r="I13" s="824" t="s">
        <v>56</v>
      </c>
      <c r="J13" s="964" t="s">
        <v>57</v>
      </c>
      <c r="K13" s="502" t="s">
        <v>54</v>
      </c>
      <c r="L13" s="502" t="s">
        <v>56</v>
      </c>
      <c r="M13" s="502" t="s">
        <v>58</v>
      </c>
      <c r="N13" s="502" t="s">
        <v>54</v>
      </c>
      <c r="O13" s="502" t="s">
        <v>56</v>
      </c>
      <c r="P13" s="502" t="s">
        <v>58</v>
      </c>
      <c r="Q13" s="502" t="s">
        <v>54</v>
      </c>
      <c r="R13" s="502" t="s">
        <v>56</v>
      </c>
      <c r="S13" s="502" t="s">
        <v>58</v>
      </c>
    </row>
    <row r="14" spans="1:19" ht="171.75" customHeight="1" x14ac:dyDescent="0.3">
      <c r="A14" s="1289" t="s">
        <v>1927</v>
      </c>
      <c r="B14" s="1289" t="s">
        <v>275</v>
      </c>
      <c r="C14" s="641" t="s">
        <v>276</v>
      </c>
      <c r="D14" s="641" t="s">
        <v>277</v>
      </c>
      <c r="E14" s="644">
        <v>144</v>
      </c>
      <c r="F14" s="32">
        <v>69644</v>
      </c>
      <c r="G14" s="32">
        <f>+ROUND(F14*1.051,0)</f>
        <v>73196</v>
      </c>
      <c r="H14" s="32">
        <f>ROUND((E14*F14),0)</f>
        <v>10028736</v>
      </c>
      <c r="I14" s="32">
        <f>+ROUND(G14*E14,0)</f>
        <v>10540224</v>
      </c>
      <c r="J14" s="1519" t="s">
        <v>1928</v>
      </c>
      <c r="K14" s="536">
        <v>0</v>
      </c>
      <c r="L14" s="685">
        <f>ROUND(K14*G14,0)</f>
        <v>0</v>
      </c>
      <c r="M14" s="684">
        <f>L14/H14</f>
        <v>0</v>
      </c>
      <c r="N14" s="799">
        <v>0</v>
      </c>
      <c r="O14" s="685">
        <f>ROUND(N14*G14,0)</f>
        <v>0</v>
      </c>
      <c r="P14" s="684">
        <f>O14/I14</f>
        <v>0</v>
      </c>
      <c r="Q14" s="536">
        <f>K14+N14</f>
        <v>0</v>
      </c>
      <c r="R14" s="685">
        <f>L14+O14</f>
        <v>0</v>
      </c>
      <c r="S14" s="684">
        <f>R14/I14</f>
        <v>0</v>
      </c>
    </row>
    <row r="15" spans="1:19" x14ac:dyDescent="0.3">
      <c r="A15" s="1289"/>
      <c r="B15" s="1289"/>
      <c r="C15" s="39"/>
      <c r="D15" s="39" t="s">
        <v>278</v>
      </c>
      <c r="E15" s="41"/>
      <c r="F15" s="41"/>
      <c r="G15" s="41"/>
      <c r="H15" s="42">
        <f>H14</f>
        <v>10028736</v>
      </c>
      <c r="I15" s="42">
        <f>SUM(I14)</f>
        <v>10540224</v>
      </c>
      <c r="J15" s="1520"/>
      <c r="K15" s="40"/>
      <c r="L15" s="683">
        <f>SUM(L14:L14)</f>
        <v>0</v>
      </c>
      <c r="M15" s="519">
        <f t="shared" ref="M15" si="0">L15/H15</f>
        <v>0</v>
      </c>
      <c r="N15" s="40"/>
      <c r="O15" s="683">
        <f>SUM(O14:O14)</f>
        <v>0</v>
      </c>
      <c r="P15" s="684">
        <f t="shared" ref="P15:P19" si="1">O15/I15</f>
        <v>0</v>
      </c>
      <c r="Q15" s="799"/>
      <c r="R15" s="685">
        <f t="shared" ref="R15:R19" si="2">L15+O15</f>
        <v>0</v>
      </c>
      <c r="S15" s="684">
        <f t="shared" ref="S15:S19" si="3">R15/I15</f>
        <v>0</v>
      </c>
    </row>
    <row r="16" spans="1:19" s="643" customFormat="1" ht="63" customHeight="1" x14ac:dyDescent="0.3">
      <c r="A16" s="1289" t="s">
        <v>1927</v>
      </c>
      <c r="B16" s="1289" t="s">
        <v>258</v>
      </c>
      <c r="C16" s="641" t="s">
        <v>259</v>
      </c>
      <c r="D16" s="641" t="s">
        <v>260</v>
      </c>
      <c r="E16" s="644">
        <v>1.2</v>
      </c>
      <c r="F16" s="32">
        <v>2019673</v>
      </c>
      <c r="G16" s="32">
        <f>+ROUND(F16*1.051,0)</f>
        <v>2122676</v>
      </c>
      <c r="H16" s="32">
        <f>ROUND((E16*F16),0)</f>
        <v>2423608</v>
      </c>
      <c r="I16" s="32">
        <f>+ROUND(G16*E16,0)</f>
        <v>2547211</v>
      </c>
      <c r="J16" s="1290" t="s">
        <v>2212</v>
      </c>
      <c r="K16" s="537">
        <v>1.2</v>
      </c>
      <c r="L16" s="752">
        <f>ROUND(K16*G16,0)</f>
        <v>2547211</v>
      </c>
      <c r="M16" s="753">
        <f>L16/H16</f>
        <v>1.0509995840911566</v>
      </c>
      <c r="N16" s="891">
        <v>0</v>
      </c>
      <c r="O16" s="892">
        <f>ROUND(N16*G16,0)</f>
        <v>0</v>
      </c>
      <c r="P16" s="684">
        <f t="shared" si="1"/>
        <v>0</v>
      </c>
      <c r="Q16" s="799">
        <f t="shared" ref="Q16:Q18" si="4">K16+N16</f>
        <v>1.2</v>
      </c>
      <c r="R16" s="685">
        <f t="shared" si="2"/>
        <v>2547211</v>
      </c>
      <c r="S16" s="684">
        <f t="shared" si="3"/>
        <v>1</v>
      </c>
    </row>
    <row r="17" spans="1:19" s="643" customFormat="1" x14ac:dyDescent="0.3">
      <c r="A17" s="1289"/>
      <c r="B17" s="1289"/>
      <c r="C17" s="39"/>
      <c r="D17" s="39" t="s">
        <v>261</v>
      </c>
      <c r="E17" s="41"/>
      <c r="F17" s="41"/>
      <c r="G17" s="41"/>
      <c r="H17" s="42">
        <f>H16</f>
        <v>2423608</v>
      </c>
      <c r="I17" s="42">
        <f>SUM(I16)</f>
        <v>2547211</v>
      </c>
      <c r="J17" s="1289"/>
      <c r="K17" s="40"/>
      <c r="L17" s="683">
        <f>SUM(L16:L16)</f>
        <v>2547211</v>
      </c>
      <c r="M17" s="519">
        <f t="shared" ref="M17" si="5">L17/H17</f>
        <v>1.0509995840911566</v>
      </c>
      <c r="N17" s="40"/>
      <c r="O17" s="683">
        <f>SUM(O16:O16)</f>
        <v>0</v>
      </c>
      <c r="P17" s="684">
        <f t="shared" si="1"/>
        <v>0</v>
      </c>
      <c r="Q17" s="799"/>
      <c r="R17" s="685">
        <f t="shared" si="2"/>
        <v>2547211</v>
      </c>
      <c r="S17" s="684">
        <f t="shared" si="3"/>
        <v>1</v>
      </c>
    </row>
    <row r="18" spans="1:19" s="643" customFormat="1" ht="205.5" customHeight="1" x14ac:dyDescent="0.3">
      <c r="A18" s="1289" t="s">
        <v>1927</v>
      </c>
      <c r="B18" s="1289" t="s">
        <v>269</v>
      </c>
      <c r="C18" s="641" t="s">
        <v>270</v>
      </c>
      <c r="D18" s="641" t="s">
        <v>271</v>
      </c>
      <c r="E18" s="644">
        <v>0.85</v>
      </c>
      <c r="F18" s="32">
        <v>5571510</v>
      </c>
      <c r="G18" s="32">
        <f>+ROUND(F18*1.051,0)</f>
        <v>5855657</v>
      </c>
      <c r="H18" s="32">
        <f>ROUND((E18*F18),0)</f>
        <v>4735784</v>
      </c>
      <c r="I18" s="32">
        <f>+ROUND(G18*E18,0)</f>
        <v>4977308</v>
      </c>
      <c r="J18" s="1290" t="s">
        <v>1929</v>
      </c>
      <c r="K18" s="536">
        <v>0</v>
      </c>
      <c r="L18" s="685">
        <f>ROUND(K18*G18,0)</f>
        <v>0</v>
      </c>
      <c r="M18" s="684">
        <f>L18/H18</f>
        <v>0</v>
      </c>
      <c r="N18" s="799">
        <v>0</v>
      </c>
      <c r="O18" s="685">
        <f>ROUND(N18*G18,0)</f>
        <v>0</v>
      </c>
      <c r="P18" s="684">
        <f t="shared" si="1"/>
        <v>0</v>
      </c>
      <c r="Q18" s="799">
        <f t="shared" si="4"/>
        <v>0</v>
      </c>
      <c r="R18" s="685">
        <f t="shared" si="2"/>
        <v>0</v>
      </c>
      <c r="S18" s="684">
        <f t="shared" si="3"/>
        <v>0</v>
      </c>
    </row>
    <row r="19" spans="1:19" s="643" customFormat="1" x14ac:dyDescent="0.3">
      <c r="A19" s="1289"/>
      <c r="B19" s="1289"/>
      <c r="C19" s="39"/>
      <c r="D19" s="39" t="s">
        <v>215</v>
      </c>
      <c r="E19" s="41"/>
      <c r="F19" s="41"/>
      <c r="G19" s="41"/>
      <c r="H19" s="42">
        <f>H18</f>
        <v>4735784</v>
      </c>
      <c r="I19" s="42">
        <f>SUM(I18)</f>
        <v>4977308</v>
      </c>
      <c r="J19" s="1289"/>
      <c r="K19" s="40"/>
      <c r="L19" s="683">
        <f>SUM(L18:L18)</f>
        <v>0</v>
      </c>
      <c r="M19" s="519">
        <f t="shared" ref="M19" si="6">L19/H19</f>
        <v>0</v>
      </c>
      <c r="N19" s="40"/>
      <c r="O19" s="683">
        <f>SUM(O18:O18)</f>
        <v>0</v>
      </c>
      <c r="P19" s="684">
        <f t="shared" si="1"/>
        <v>0</v>
      </c>
      <c r="Q19" s="40"/>
      <c r="R19" s="685">
        <f t="shared" si="2"/>
        <v>0</v>
      </c>
      <c r="S19" s="684">
        <f t="shared" si="3"/>
        <v>0</v>
      </c>
    </row>
    <row r="20" spans="1:19" x14ac:dyDescent="0.3">
      <c r="A20" s="643"/>
      <c r="B20" s="643"/>
      <c r="C20" s="643"/>
      <c r="D20" s="643"/>
      <c r="E20" s="643"/>
      <c r="F20" s="686" t="s">
        <v>1932</v>
      </c>
      <c r="G20" s="686"/>
      <c r="H20" s="687">
        <f>H15+H17+H19</f>
        <v>17188128</v>
      </c>
      <c r="I20" s="687">
        <f>I15+I17+I19</f>
        <v>18064743</v>
      </c>
      <c r="J20" s="643"/>
      <c r="K20" s="549" t="s">
        <v>64</v>
      </c>
      <c r="L20" s="677">
        <f>SUM(L14:L19)/2</f>
        <v>2547211</v>
      </c>
      <c r="M20" s="643"/>
      <c r="N20" s="549" t="s">
        <v>64</v>
      </c>
      <c r="O20" s="677">
        <f>SUM(O14:O19)/2</f>
        <v>0</v>
      </c>
      <c r="Q20" s="549" t="s">
        <v>64</v>
      </c>
      <c r="R20" s="677">
        <f>SUM(R14:R19)/2</f>
        <v>2547211</v>
      </c>
      <c r="S20" s="643"/>
    </row>
    <row r="21" spans="1:19" x14ac:dyDescent="0.3">
      <c r="A21" s="643"/>
      <c r="B21" s="643"/>
      <c r="C21" s="643"/>
      <c r="D21" s="643"/>
      <c r="E21" s="643"/>
      <c r="F21" s="693" t="s">
        <v>1931</v>
      </c>
      <c r="G21" s="958"/>
      <c r="H21" s="687">
        <f>(H17*0.03)</f>
        <v>72708.239999999991</v>
      </c>
      <c r="I21" s="687">
        <f>(I17*0.03)</f>
        <v>76416.33</v>
      </c>
      <c r="J21" s="643"/>
      <c r="K21" s="548" t="s">
        <v>65</v>
      </c>
      <c r="L21" s="339">
        <f>(L17*0.03)</f>
        <v>76416.33</v>
      </c>
      <c r="M21" s="643"/>
      <c r="N21" s="548" t="s">
        <v>65</v>
      </c>
      <c r="O21" s="339">
        <f>(O17*0.03)</f>
        <v>0</v>
      </c>
      <c r="Q21" s="548" t="s">
        <v>65</v>
      </c>
      <c r="R21" s="339">
        <f>(R17*0.03)</f>
        <v>76416.33</v>
      </c>
      <c r="S21" s="643"/>
    </row>
    <row r="22" spans="1:19" x14ac:dyDescent="0.3">
      <c r="A22" s="643"/>
      <c r="B22" s="643"/>
      <c r="C22" s="643"/>
      <c r="D22" s="643"/>
      <c r="E22" s="643"/>
      <c r="F22" s="680" t="s">
        <v>1</v>
      </c>
      <c r="G22" s="680"/>
      <c r="H22" s="681">
        <f>H20+H21</f>
        <v>17260836.239999998</v>
      </c>
      <c r="I22" s="681">
        <f>I20+I21</f>
        <v>18141159.329999998</v>
      </c>
      <c r="J22" s="643"/>
      <c r="K22" s="549" t="s">
        <v>64</v>
      </c>
      <c r="L22" s="481">
        <f>L20+L21</f>
        <v>2623627.33</v>
      </c>
      <c r="M22" s="643"/>
      <c r="N22" s="549" t="s">
        <v>64</v>
      </c>
      <c r="O22" s="481">
        <f>O20+O21</f>
        <v>0</v>
      </c>
      <c r="Q22" s="549" t="s">
        <v>64</v>
      </c>
      <c r="R22" s="481">
        <f>R20+R21</f>
        <v>2623627.33</v>
      </c>
      <c r="S22" s="643"/>
    </row>
    <row r="23" spans="1:19" ht="26.4" x14ac:dyDescent="0.3">
      <c r="A23" s="643"/>
      <c r="B23" s="643"/>
      <c r="C23" s="643"/>
      <c r="D23" s="643"/>
      <c r="E23" s="643"/>
      <c r="F23" s="659"/>
      <c r="G23" s="659"/>
      <c r="H23" s="659"/>
      <c r="I23" s="659"/>
      <c r="J23" s="643"/>
      <c r="K23" s="501" t="s">
        <v>1439</v>
      </c>
      <c r="L23" s="481">
        <f>ROUND(L22*0.015,0)</f>
        <v>39354</v>
      </c>
      <c r="M23" s="643"/>
      <c r="N23" s="501" t="s">
        <v>1439</v>
      </c>
      <c r="O23" s="481">
        <f>ROUND(O22*0.015,0)</f>
        <v>0</v>
      </c>
      <c r="Q23" s="501" t="s">
        <v>1439</v>
      </c>
      <c r="R23" s="481">
        <f>ROUND(R22*0.015,0)</f>
        <v>39354</v>
      </c>
      <c r="S23" s="643"/>
    </row>
    <row r="24" spans="1:19" ht="26.4" x14ac:dyDescent="0.3">
      <c r="A24" s="643"/>
      <c r="B24" s="643"/>
      <c r="C24" s="643"/>
      <c r="D24" s="643"/>
      <c r="E24" s="643"/>
      <c r="F24" s="659"/>
      <c r="G24" s="659"/>
      <c r="H24" s="659"/>
      <c r="I24" s="659"/>
      <c r="J24" s="643"/>
      <c r="K24" s="96" t="s">
        <v>1440</v>
      </c>
      <c r="L24" s="425">
        <f>L22+L23</f>
        <v>2662981.33</v>
      </c>
      <c r="M24" s="678">
        <f>L24/H22</f>
        <v>0.15427881320308501</v>
      </c>
      <c r="N24" s="96" t="s">
        <v>1440</v>
      </c>
      <c r="O24" s="425">
        <f>O22+O23</f>
        <v>0</v>
      </c>
      <c r="P24" s="678">
        <f>O24/H22</f>
        <v>0</v>
      </c>
      <c r="Q24" s="96" t="s">
        <v>1440</v>
      </c>
      <c r="R24" s="425">
        <f>R22+R23</f>
        <v>2662981.33</v>
      </c>
      <c r="S24" s="678">
        <f>R24/H22</f>
        <v>0.15427881320308501</v>
      </c>
    </row>
    <row r="25" spans="1:19" x14ac:dyDescent="0.3">
      <c r="A25" s="643"/>
      <c r="B25" s="643"/>
      <c r="C25" s="643"/>
      <c r="D25" s="643"/>
      <c r="E25" s="643"/>
      <c r="F25" s="442" t="s">
        <v>66</v>
      </c>
      <c r="G25" s="442"/>
      <c r="H25" s="181">
        <f>+H20*19%</f>
        <v>3265744.32</v>
      </c>
      <c r="I25" s="181">
        <f>+I20*19%</f>
        <v>3432301.17</v>
      </c>
      <c r="J25" s="643"/>
      <c r="K25" s="551" t="s">
        <v>66</v>
      </c>
      <c r="L25" s="672">
        <f>L24*0.19</f>
        <v>505966.45270000002</v>
      </c>
      <c r="M25" s="643"/>
      <c r="N25" s="551" t="s">
        <v>66</v>
      </c>
      <c r="O25" s="672">
        <f>O24*0.19</f>
        <v>0</v>
      </c>
      <c r="Q25" s="551" t="s">
        <v>66</v>
      </c>
      <c r="R25" s="672">
        <f>R24*0.19</f>
        <v>505966.45270000002</v>
      </c>
      <c r="S25" s="643"/>
    </row>
    <row r="26" spans="1:19" x14ac:dyDescent="0.3">
      <c r="A26" s="643"/>
      <c r="B26" s="643"/>
      <c r="C26" s="643"/>
      <c r="D26" s="643"/>
      <c r="E26" s="643"/>
      <c r="F26" s="441" t="s">
        <v>69</v>
      </c>
      <c r="G26" s="441"/>
      <c r="H26" s="181">
        <f>+H20+H25</f>
        <v>20453872.32</v>
      </c>
      <c r="I26" s="181">
        <f>+I20+I25</f>
        <v>21497044.170000002</v>
      </c>
      <c r="J26" s="643"/>
      <c r="K26" s="552" t="s">
        <v>69</v>
      </c>
      <c r="L26" s="672">
        <f>L24+L25</f>
        <v>3168947.7827000003</v>
      </c>
      <c r="M26" s="643"/>
      <c r="N26" s="552" t="s">
        <v>69</v>
      </c>
      <c r="O26" s="672">
        <f>O24+O25</f>
        <v>0</v>
      </c>
      <c r="Q26" s="552" t="s">
        <v>69</v>
      </c>
      <c r="R26" s="672">
        <f>R24+R25</f>
        <v>3168947.7827000003</v>
      </c>
      <c r="S26" s="643"/>
    </row>
    <row r="27" spans="1:19" x14ac:dyDescent="0.3">
      <c r="A27" s="643"/>
      <c r="B27" s="643"/>
      <c r="C27" s="643"/>
      <c r="D27" s="643"/>
      <c r="E27" s="643"/>
      <c r="F27" s="643"/>
      <c r="H27" s="643"/>
      <c r="J27" s="643"/>
      <c r="K27" s="643"/>
      <c r="L27" s="643"/>
      <c r="M27" s="643"/>
      <c r="Q27" s="643"/>
      <c r="R27" s="643"/>
      <c r="S27" s="643"/>
    </row>
    <row r="28" spans="1:19" x14ac:dyDescent="0.3">
      <c r="A28" s="665" t="s">
        <v>67</v>
      </c>
      <c r="B28" s="184"/>
      <c r="C28" s="184"/>
      <c r="D28" s="185" t="s">
        <v>68</v>
      </c>
      <c r="E28" s="643"/>
      <c r="F28" s="643"/>
      <c r="H28" s="643"/>
      <c r="J28" s="643"/>
      <c r="K28" s="186" t="s">
        <v>70</v>
      </c>
      <c r="L28" s="187" t="s">
        <v>71</v>
      </c>
      <c r="M28" s="186" t="s">
        <v>58</v>
      </c>
      <c r="N28" s="186" t="s">
        <v>70</v>
      </c>
      <c r="O28" s="187" t="s">
        <v>71</v>
      </c>
      <c r="P28" s="186" t="s">
        <v>58</v>
      </c>
      <c r="Q28" s="643"/>
      <c r="R28" s="643"/>
      <c r="S28" s="643"/>
    </row>
    <row r="29" spans="1:19" x14ac:dyDescent="0.3">
      <c r="A29" s="665"/>
      <c r="B29" s="184"/>
      <c r="C29" s="184"/>
      <c r="D29" s="185"/>
      <c r="E29" s="643"/>
      <c r="F29" s="643"/>
      <c r="H29" s="643"/>
      <c r="J29" s="643"/>
      <c r="K29" s="69" t="s">
        <v>72</v>
      </c>
      <c r="L29" s="70">
        <f>L24</f>
        <v>2662981.33</v>
      </c>
      <c r="M29" s="360">
        <f>M24</f>
        <v>0.15427881320308501</v>
      </c>
      <c r="N29" s="69" t="s">
        <v>72</v>
      </c>
      <c r="O29" s="70">
        <f>$L$24</f>
        <v>2662981.33</v>
      </c>
      <c r="P29" s="360">
        <f>$M$24</f>
        <v>0.15427881320308501</v>
      </c>
      <c r="Q29" s="643"/>
      <c r="R29" s="643"/>
      <c r="S29" s="643"/>
    </row>
    <row r="30" spans="1:19" x14ac:dyDescent="0.3">
      <c r="A30" s="665"/>
      <c r="B30" s="184"/>
      <c r="C30" s="184"/>
      <c r="D30" s="185"/>
      <c r="E30" s="643"/>
      <c r="F30" s="643"/>
      <c r="H30" s="643"/>
      <c r="J30" s="643"/>
      <c r="K30" s="72" t="s">
        <v>1</v>
      </c>
      <c r="L30" s="105">
        <f>L29</f>
        <v>2662981.33</v>
      </c>
      <c r="M30" s="361">
        <f>M29</f>
        <v>0.15427881320308501</v>
      </c>
      <c r="N30" s="69" t="s">
        <v>73</v>
      </c>
      <c r="O30" s="70">
        <f>$O$24</f>
        <v>0</v>
      </c>
      <c r="P30" s="360">
        <f>$P$24</f>
        <v>0</v>
      </c>
      <c r="Q30" s="643"/>
      <c r="R30" s="643"/>
      <c r="S30" s="643"/>
    </row>
    <row r="31" spans="1:19" x14ac:dyDescent="0.3">
      <c r="A31" s="665"/>
      <c r="B31" s="184"/>
      <c r="C31" s="184"/>
      <c r="D31" s="185"/>
      <c r="E31" s="643"/>
      <c r="F31" s="643"/>
      <c r="H31" s="643"/>
      <c r="J31" s="643"/>
      <c r="K31" s="72" t="s">
        <v>9</v>
      </c>
      <c r="L31" s="1423"/>
      <c r="M31" s="1424"/>
      <c r="N31" s="72" t="s">
        <v>1</v>
      </c>
      <c r="O31" s="105">
        <f>SUM(O29:O30)</f>
        <v>2662981.33</v>
      </c>
      <c r="P31" s="361">
        <f>SUM(P29:P30)</f>
        <v>0.15427881320308501</v>
      </c>
      <c r="Q31" s="643"/>
      <c r="R31" s="643"/>
      <c r="S31" s="643"/>
    </row>
    <row r="32" spans="1:19" x14ac:dyDescent="0.3">
      <c r="A32" s="665"/>
      <c r="B32" s="184"/>
      <c r="C32" s="184"/>
      <c r="D32" s="185"/>
      <c r="E32" s="643"/>
      <c r="F32" s="643"/>
      <c r="H32" s="643"/>
      <c r="J32" s="643"/>
      <c r="K32" s="440" t="s">
        <v>78</v>
      </c>
      <c r="L32" s="1423"/>
      <c r="M32" s="1424"/>
      <c r="N32" s="72" t="s">
        <v>9</v>
      </c>
      <c r="O32" s="1423"/>
      <c r="P32" s="1424"/>
      <c r="Q32" s="643"/>
      <c r="R32" s="643"/>
      <c r="S32" s="643"/>
    </row>
    <row r="33" spans="1:19" x14ac:dyDescent="0.3">
      <c r="A33" s="665"/>
      <c r="B33" s="184"/>
      <c r="C33" s="184"/>
      <c r="D33" s="185"/>
      <c r="E33" s="643"/>
      <c r="F33" s="643"/>
      <c r="H33" s="643"/>
      <c r="J33" s="643"/>
      <c r="K33" s="439" t="s">
        <v>8</v>
      </c>
      <c r="L33" s="1425"/>
      <c r="M33" s="1426"/>
      <c r="N33" s="440" t="s">
        <v>78</v>
      </c>
      <c r="O33" s="1423"/>
      <c r="P33" s="1424"/>
      <c r="Q33" s="643"/>
      <c r="R33" s="643"/>
      <c r="S33" s="643"/>
    </row>
    <row r="34" spans="1:19" x14ac:dyDescent="0.3">
      <c r="A34" s="665"/>
      <c r="B34" s="184"/>
      <c r="C34" s="184"/>
      <c r="D34" s="185" t="s">
        <v>75</v>
      </c>
      <c r="E34" s="643"/>
      <c r="F34" s="643"/>
      <c r="H34" s="643"/>
      <c r="J34" s="643"/>
      <c r="K34" s="643"/>
      <c r="L34" s="643"/>
      <c r="M34" s="643"/>
      <c r="N34" s="439" t="s">
        <v>8</v>
      </c>
      <c r="O34" s="1425"/>
      <c r="P34" s="1426"/>
      <c r="Q34" s="643"/>
      <c r="R34" s="643"/>
      <c r="S34" s="643"/>
    </row>
    <row r="35" spans="1:19" x14ac:dyDescent="0.3">
      <c r="A35" s="665" t="s">
        <v>76</v>
      </c>
      <c r="B35" s="180"/>
      <c r="C35" s="180"/>
      <c r="D35" s="185" t="s">
        <v>77</v>
      </c>
      <c r="E35" s="643"/>
      <c r="F35" s="643"/>
      <c r="H35" s="643"/>
      <c r="J35" s="643"/>
      <c r="K35" s="643"/>
      <c r="L35" s="643"/>
      <c r="M35" s="643"/>
      <c r="Q35" s="643"/>
      <c r="R35" s="643"/>
      <c r="S35" s="643"/>
    </row>
    <row r="36" spans="1:19" x14ac:dyDescent="0.3">
      <c r="A36" s="665" t="s">
        <v>79</v>
      </c>
      <c r="B36" s="180"/>
      <c r="C36" s="180"/>
      <c r="D36" s="185" t="s">
        <v>80</v>
      </c>
      <c r="E36" s="643"/>
      <c r="F36" s="643"/>
      <c r="H36" s="643"/>
      <c r="J36" s="643"/>
      <c r="K36" s="643"/>
      <c r="L36" s="643"/>
      <c r="M36" s="643"/>
      <c r="Q36" s="643"/>
      <c r="R36" s="643"/>
      <c r="S36" s="643"/>
    </row>
    <row r="37" spans="1:19" x14ac:dyDescent="0.3">
      <c r="A37" s="643"/>
      <c r="B37" s="643"/>
      <c r="C37" s="643"/>
      <c r="D37" s="643"/>
      <c r="E37" s="643"/>
      <c r="F37" s="643"/>
      <c r="H37" s="643"/>
      <c r="J37" s="643"/>
      <c r="K37" s="643"/>
      <c r="L37" s="643"/>
      <c r="M37" s="643"/>
      <c r="Q37" s="643"/>
      <c r="R37" s="643"/>
      <c r="S37" s="643"/>
    </row>
  </sheetData>
  <mergeCells count="31">
    <mergeCell ref="A14:A15"/>
    <mergeCell ref="B14:B15"/>
    <mergeCell ref="J14:J15"/>
    <mergeCell ref="L31:M31"/>
    <mergeCell ref="L32:M32"/>
    <mergeCell ref="A16:A17"/>
    <mergeCell ref="B16:B17"/>
    <mergeCell ref="J16:J17"/>
    <mergeCell ref="A18:A19"/>
    <mergeCell ref="B18:B19"/>
    <mergeCell ref="J18:J19"/>
    <mergeCell ref="Q11:S12"/>
    <mergeCell ref="B12:J12"/>
    <mergeCell ref="C1:M2"/>
    <mergeCell ref="Q1:S1"/>
    <mergeCell ref="Q2:S2"/>
    <mergeCell ref="A3:S3"/>
    <mergeCell ref="A4:S4"/>
    <mergeCell ref="A5:S5"/>
    <mergeCell ref="A6:S6"/>
    <mergeCell ref="A7:S7"/>
    <mergeCell ref="A8:S8"/>
    <mergeCell ref="A9:S9"/>
    <mergeCell ref="A10:S10"/>
    <mergeCell ref="N11:P12"/>
    <mergeCell ref="O32:P32"/>
    <mergeCell ref="O33:P33"/>
    <mergeCell ref="O34:P34"/>
    <mergeCell ref="B11:J11"/>
    <mergeCell ref="K11:M12"/>
    <mergeCell ref="L33:M33"/>
  </mergeCells>
  <pageMargins left="0.7" right="0.7" top="0.75" bottom="0.75" header="0.3" footer="0.3"/>
  <pageSetup paperSize="9" scale="35" orientation="landscape" r:id="rId1"/>
  <drawing r:id="rId2"/>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5">
    <tabColor theme="1"/>
  </sheetPr>
  <dimension ref="A1:G49"/>
  <sheetViews>
    <sheetView topLeftCell="A13" zoomScaleNormal="100" zoomScaleSheetLayoutView="8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RESUMEN!G138</f>
        <v>Proyecto:Levantamiento e ingeniería para el montaje de un nuevo Transformador D2 34.5/13.2kV.</v>
      </c>
      <c r="C5" s="1281"/>
      <c r="D5" s="1281"/>
      <c r="E5" s="1281"/>
      <c r="F5" s="1281"/>
      <c r="G5" s="1282"/>
    </row>
    <row r="6" spans="1:7" x14ac:dyDescent="0.25">
      <c r="A6" s="1177"/>
      <c r="B6" s="1177"/>
      <c r="C6" s="1177"/>
      <c r="D6" s="1177"/>
      <c r="E6" s="1177"/>
      <c r="F6" s="1177"/>
      <c r="G6" s="1177"/>
    </row>
    <row r="7" spans="1:7" x14ac:dyDescent="0.25">
      <c r="A7" s="271" t="s">
        <v>0</v>
      </c>
      <c r="B7" s="1264" t="str">
        <f>RESUMEN!B138</f>
        <v>D00249370</v>
      </c>
      <c r="C7" s="1265"/>
      <c r="D7" s="1177"/>
      <c r="E7" s="1266" t="s">
        <v>627</v>
      </c>
      <c r="F7" s="1267"/>
      <c r="G7" s="280" t="str">
        <f>RESUMEN!E138</f>
        <v>17-441</v>
      </c>
    </row>
    <row r="8" spans="1:7" x14ac:dyDescent="0.25">
      <c r="A8" s="271" t="s">
        <v>628</v>
      </c>
      <c r="B8" s="1264" t="str">
        <f>RESUMEN!C138</f>
        <v>D00249370000</v>
      </c>
      <c r="C8" s="1265"/>
      <c r="D8" s="1177"/>
      <c r="E8" s="1266" t="s">
        <v>629</v>
      </c>
      <c r="F8" s="1267"/>
      <c r="G8" s="280" t="str">
        <f>RESUMEN!U138</f>
        <v>Acta N° 2: Marzo</v>
      </c>
    </row>
    <row r="9" spans="1:7" x14ac:dyDescent="0.25">
      <c r="A9" s="271" t="s">
        <v>630</v>
      </c>
      <c r="B9" s="1283" t="s">
        <v>631</v>
      </c>
      <c r="C9" s="1265"/>
      <c r="D9" s="1177"/>
      <c r="E9" s="1266" t="s">
        <v>632</v>
      </c>
      <c r="F9" s="1267"/>
      <c r="G9" s="1178">
        <f>RESUMEN!H138</f>
        <v>10376938</v>
      </c>
    </row>
    <row r="10" spans="1:7" x14ac:dyDescent="0.25">
      <c r="A10" s="271" t="s">
        <v>633</v>
      </c>
      <c r="B10" s="1283" t="str">
        <f>RESUMEN!D138</f>
        <v>GUACHETA</v>
      </c>
      <c r="C10" s="1265"/>
      <c r="D10" s="1177"/>
      <c r="E10" s="1266" t="s">
        <v>634</v>
      </c>
      <c r="F10" s="1267"/>
      <c r="G10" s="1178">
        <f>RESUMEN!R138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",RESUMEN!G138)</f>
        <v>A los 14 días del mes de Marzo se reunieron en las instalaciones de CODENSA S.A. E.S.P., los ingenieros Ing. Jhon Casanova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Proyecto:Levantamiento e ingeniería para el montaje de un nuevo Transformador D2 34.5/13.2kV.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RESUMEN!N138</f>
        <v>0</v>
      </c>
      <c r="F19" s="1248"/>
      <c r="G19" s="1177"/>
    </row>
    <row r="20" spans="1:7" ht="27" customHeight="1" x14ac:dyDescent="0.25">
      <c r="A20" s="1177"/>
      <c r="B20" s="1244" t="s">
        <v>1498</v>
      </c>
      <c r="C20" s="1245"/>
      <c r="D20" s="1246"/>
      <c r="E20" s="1247">
        <f>RESUMEN!P138</f>
        <v>0</v>
      </c>
      <c r="F20" s="1248"/>
      <c r="G20" s="1177"/>
    </row>
    <row r="21" spans="1:7" ht="27" customHeight="1" x14ac:dyDescent="0.25">
      <c r="A21" s="1177"/>
      <c r="B21" s="1244" t="s">
        <v>1499</v>
      </c>
      <c r="C21" s="1245"/>
      <c r="D21" s="1246"/>
      <c r="E21" s="1247">
        <f>RESUMEN!Q138</f>
        <v>0</v>
      </c>
      <c r="F21" s="1248"/>
      <c r="G21" s="1177"/>
    </row>
    <row r="22" spans="1:7" x14ac:dyDescent="0.25">
      <c r="A22" s="1177"/>
      <c r="B22" s="1254" t="s">
        <v>64</v>
      </c>
      <c r="C22" s="1254"/>
      <c r="D22" s="1254"/>
      <c r="E22" s="1255">
        <f>RESUMEN!R138</f>
        <v>0</v>
      </c>
      <c r="F22" s="1255"/>
      <c r="G22" s="1177"/>
    </row>
    <row r="23" spans="1:7" x14ac:dyDescent="0.25">
      <c r="A23" s="1177"/>
      <c r="B23" s="1256" t="s">
        <v>66</v>
      </c>
      <c r="C23" s="1256"/>
      <c r="D23" s="1256"/>
      <c r="E23" s="1257">
        <f>RESUMEN!S138</f>
        <v>0</v>
      </c>
      <c r="F23" s="1257"/>
      <c r="G23" s="1177"/>
    </row>
    <row r="24" spans="1:7" x14ac:dyDescent="0.25">
      <c r="A24" s="1177"/>
      <c r="B24" s="1258" t="s">
        <v>1</v>
      </c>
      <c r="C24" s="1258"/>
      <c r="D24" s="1258"/>
      <c r="E24" s="1259">
        <f>RESUMEN!T138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+'OT17-441 GUACHETA'!L29</f>
        <v>ACTA 1</v>
      </c>
      <c r="C28" s="1253">
        <f>+'OT17-441 GUACHETA'!M29</f>
        <v>6245333</v>
      </c>
      <c r="D28" s="1253"/>
      <c r="E28" s="267">
        <f>+'OT17-441 GUACHETA'!N29</f>
        <v>0.60184738503785995</v>
      </c>
      <c r="F28" s="1177"/>
      <c r="G28" s="1177"/>
    </row>
    <row r="29" spans="1:7" x14ac:dyDescent="0.25">
      <c r="A29" s="1177"/>
      <c r="B29" s="280" t="str">
        <f>+'OT17-441 GUACHETA'!L30</f>
        <v>ACTA 2</v>
      </c>
      <c r="C29" s="1253">
        <f>+'OT17-441 GUACHETA'!M30</f>
        <v>0</v>
      </c>
      <c r="D29" s="1253"/>
      <c r="E29" s="267">
        <f>+'OT17-441 GUACHETA'!N30</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6245333</v>
      </c>
      <c r="D34" s="1251"/>
      <c r="E34" s="264">
        <f>SUM(E28:E33)</f>
        <v>0.60184738503785995</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RESUMEN!V138</f>
        <v>Ing. Jhon Casanova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6">
    <tabColor rgb="FF72104A"/>
  </sheetPr>
  <dimension ref="A1:Q36"/>
  <sheetViews>
    <sheetView topLeftCell="C16" zoomScale="80" zoomScaleNormal="80" workbookViewId="0">
      <selection activeCell="G18" sqref="G18"/>
    </sheetView>
  </sheetViews>
  <sheetFormatPr baseColWidth="10" defaultRowHeight="14.4" x14ac:dyDescent="0.3"/>
  <cols>
    <col min="1" max="1" width="18.5546875" customWidth="1"/>
    <col min="2" max="2" width="29.44140625" customWidth="1"/>
    <col min="3" max="3" width="20.88671875" customWidth="1"/>
    <col min="4" max="4" width="35" customWidth="1"/>
    <col min="5" max="5" width="17.6640625" customWidth="1"/>
    <col min="6" max="6" width="20.109375" customWidth="1"/>
    <col min="7" max="7" width="17.5546875" customWidth="1"/>
    <col min="8" max="8" width="61.5546875" customWidth="1"/>
    <col min="9" max="9" width="19.33203125" customWidth="1"/>
    <col min="10" max="10" width="15.6640625" customWidth="1"/>
    <col min="12" max="14" width="11.5546875" style="1054"/>
    <col min="15" max="15" width="24" customWidth="1"/>
    <col min="16" max="16" width="16" customWidth="1"/>
  </cols>
  <sheetData>
    <row r="1" spans="1:17" ht="15" thickBot="1" x14ac:dyDescent="0.35">
      <c r="A1" s="169"/>
      <c r="B1" s="188"/>
      <c r="C1" s="1307" t="s">
        <v>40</v>
      </c>
      <c r="D1" s="1308"/>
      <c r="E1" s="1308"/>
      <c r="F1" s="1308"/>
      <c r="G1" s="1308"/>
      <c r="H1" s="1308"/>
      <c r="I1" s="1308"/>
      <c r="J1" s="1308"/>
      <c r="K1" s="1308"/>
      <c r="L1" s="1052"/>
      <c r="M1" s="1052"/>
      <c r="N1" s="1052"/>
      <c r="O1" s="1328" t="s">
        <v>1663</v>
      </c>
      <c r="P1" s="1303"/>
      <c r="Q1" s="1304"/>
    </row>
    <row r="2" spans="1:17" ht="15" thickBot="1" x14ac:dyDescent="0.35">
      <c r="A2" s="170"/>
      <c r="B2" s="190"/>
      <c r="C2" s="1310"/>
      <c r="D2" s="1311"/>
      <c r="E2" s="1311"/>
      <c r="F2" s="1311"/>
      <c r="G2" s="1311"/>
      <c r="H2" s="1311"/>
      <c r="I2" s="1311"/>
      <c r="J2" s="1311"/>
      <c r="K2" s="1311"/>
      <c r="L2" s="1053"/>
      <c r="M2" s="1053"/>
      <c r="N2" s="1053"/>
      <c r="O2" s="1329" t="s">
        <v>41</v>
      </c>
      <c r="P2" s="1305"/>
      <c r="Q2" s="1306"/>
    </row>
    <row r="3" spans="1:17" x14ac:dyDescent="0.3">
      <c r="A3" s="1292" t="s">
        <v>42</v>
      </c>
      <c r="B3" s="1292"/>
      <c r="C3" s="1292"/>
      <c r="D3" s="1292"/>
      <c r="E3" s="1292"/>
      <c r="F3" s="1292"/>
      <c r="G3" s="1292"/>
      <c r="H3" s="1292"/>
      <c r="I3" s="1292"/>
      <c r="J3" s="1292"/>
      <c r="K3" s="1292"/>
      <c r="L3" s="1292"/>
      <c r="M3" s="1292"/>
      <c r="N3" s="1292"/>
      <c r="O3" s="1292"/>
      <c r="P3" s="1292"/>
      <c r="Q3" s="1292"/>
    </row>
    <row r="4" spans="1:17" x14ac:dyDescent="0.3">
      <c r="A4" s="1292" t="s">
        <v>43</v>
      </c>
      <c r="B4" s="1292"/>
      <c r="C4" s="1292"/>
      <c r="D4" s="1292"/>
      <c r="E4" s="1292"/>
      <c r="F4" s="1292"/>
      <c r="G4" s="1292"/>
      <c r="H4" s="1292"/>
      <c r="I4" s="1292"/>
      <c r="J4" s="1292"/>
      <c r="K4" s="1292"/>
      <c r="L4" s="1292"/>
      <c r="M4" s="1292"/>
      <c r="N4" s="1292"/>
      <c r="O4" s="1292"/>
      <c r="P4" s="1292"/>
      <c r="Q4" s="1292"/>
    </row>
    <row r="5" spans="1:17" x14ac:dyDescent="0.3">
      <c r="A5" s="1292" t="s">
        <v>44</v>
      </c>
      <c r="B5" s="1292"/>
      <c r="C5" s="1292"/>
      <c r="D5" s="1292"/>
      <c r="E5" s="1292"/>
      <c r="F5" s="1292"/>
      <c r="G5" s="1292"/>
      <c r="H5" s="1292"/>
      <c r="I5" s="1292"/>
      <c r="J5" s="1292"/>
      <c r="K5" s="1292"/>
      <c r="L5" s="1292"/>
      <c r="M5" s="1292"/>
      <c r="N5" s="1292"/>
      <c r="O5" s="1292"/>
      <c r="P5" s="1292"/>
      <c r="Q5" s="1292"/>
    </row>
    <row r="6" spans="1:17" x14ac:dyDescent="0.3">
      <c r="A6" s="1292" t="s">
        <v>45</v>
      </c>
      <c r="B6" s="1292"/>
      <c r="C6" s="1292"/>
      <c r="D6" s="1292"/>
      <c r="E6" s="1292"/>
      <c r="F6" s="1292"/>
      <c r="G6" s="1292"/>
      <c r="H6" s="1292"/>
      <c r="I6" s="1292"/>
      <c r="J6" s="1292"/>
      <c r="K6" s="1292"/>
      <c r="L6" s="1292"/>
      <c r="M6" s="1292"/>
      <c r="N6" s="1292"/>
      <c r="O6" s="1292"/>
      <c r="P6" s="1292"/>
      <c r="Q6" s="1292"/>
    </row>
    <row r="7" spans="1:17" x14ac:dyDescent="0.3">
      <c r="A7" s="1291" t="s">
        <v>1936</v>
      </c>
      <c r="B7" s="1292"/>
      <c r="C7" s="1292"/>
      <c r="D7" s="1292"/>
      <c r="E7" s="1292"/>
      <c r="F7" s="1292"/>
      <c r="G7" s="1292"/>
      <c r="H7" s="1292"/>
      <c r="I7" s="1292"/>
      <c r="J7" s="1292"/>
      <c r="K7" s="1292"/>
      <c r="L7" s="1292"/>
      <c r="M7" s="1292"/>
      <c r="N7" s="1292"/>
      <c r="O7" s="1292"/>
      <c r="P7" s="1292"/>
      <c r="Q7" s="1292"/>
    </row>
    <row r="8" spans="1:17" x14ac:dyDescent="0.3">
      <c r="A8" s="1292" t="s">
        <v>2323</v>
      </c>
      <c r="B8" s="1292"/>
      <c r="C8" s="1292"/>
      <c r="D8" s="1292"/>
      <c r="E8" s="1292"/>
      <c r="F8" s="1292"/>
      <c r="G8" s="1292"/>
      <c r="H8" s="1292"/>
      <c r="I8" s="1292"/>
      <c r="J8" s="1292"/>
      <c r="K8" s="1292"/>
      <c r="L8" s="1292"/>
      <c r="M8" s="1292"/>
      <c r="N8" s="1292"/>
      <c r="O8" s="1292"/>
      <c r="P8" s="1292"/>
      <c r="Q8" s="1292"/>
    </row>
    <row r="9" spans="1:17" x14ac:dyDescent="0.3">
      <c r="A9" s="1292" t="s">
        <v>2305</v>
      </c>
      <c r="B9" s="1292"/>
      <c r="C9" s="1292"/>
      <c r="D9" s="1292"/>
      <c r="E9" s="1292"/>
      <c r="F9" s="1292"/>
      <c r="G9" s="1292"/>
      <c r="H9" s="1292"/>
      <c r="I9" s="1292"/>
      <c r="J9" s="1292"/>
      <c r="K9" s="1292"/>
      <c r="L9" s="1292"/>
      <c r="M9" s="1292"/>
      <c r="N9" s="1292"/>
      <c r="O9" s="1292"/>
      <c r="P9" s="1292"/>
      <c r="Q9" s="1292"/>
    </row>
    <row r="10" spans="1:17" x14ac:dyDescent="0.3">
      <c r="A10" s="1292" t="s">
        <v>1935</v>
      </c>
      <c r="B10" s="1292"/>
      <c r="C10" s="1292"/>
      <c r="D10" s="1292"/>
      <c r="E10" s="1292"/>
      <c r="F10" s="1292"/>
      <c r="G10" s="1292"/>
      <c r="H10" s="1292"/>
      <c r="I10" s="1292"/>
      <c r="J10" s="1292"/>
      <c r="K10" s="1292"/>
      <c r="L10" s="1292"/>
      <c r="M10" s="1292"/>
      <c r="N10" s="1292"/>
      <c r="O10" s="1292"/>
      <c r="P10" s="1292"/>
      <c r="Q10" s="1292"/>
    </row>
    <row r="11" spans="1:17" x14ac:dyDescent="0.3">
      <c r="A11" s="717"/>
      <c r="B11" s="1301"/>
      <c r="C11" s="1313"/>
      <c r="D11" s="1313"/>
      <c r="E11" s="1313"/>
      <c r="F11" s="1313"/>
      <c r="G11" s="1313"/>
      <c r="H11" s="1313"/>
      <c r="I11" s="1293" t="s">
        <v>1982</v>
      </c>
      <c r="J11" s="1294"/>
      <c r="K11" s="1295"/>
      <c r="L11" s="1293" t="s">
        <v>2324</v>
      </c>
      <c r="M11" s="1294"/>
      <c r="N11" s="1295"/>
      <c r="O11" s="1299" t="s">
        <v>49</v>
      </c>
      <c r="P11" s="1299"/>
      <c r="Q11" s="1299"/>
    </row>
    <row r="12" spans="1:17" x14ac:dyDescent="0.3">
      <c r="A12" s="171"/>
      <c r="B12" s="1301"/>
      <c r="C12" s="1302"/>
      <c r="D12" s="1302"/>
      <c r="E12" s="1302"/>
      <c r="F12" s="1302"/>
      <c r="G12" s="1302"/>
      <c r="H12" s="1302"/>
      <c r="I12" s="1325"/>
      <c r="J12" s="1326"/>
      <c r="K12" s="1327"/>
      <c r="L12" s="1325"/>
      <c r="M12" s="1326"/>
      <c r="N12" s="1327"/>
      <c r="O12" s="1300"/>
      <c r="P12" s="1300"/>
      <c r="Q12" s="1300"/>
    </row>
    <row r="13" spans="1:17" ht="28.8" x14ac:dyDescent="0.3">
      <c r="A13" s="679" t="s">
        <v>50</v>
      </c>
      <c r="B13" s="679" t="s">
        <v>51</v>
      </c>
      <c r="C13" s="679" t="s">
        <v>52</v>
      </c>
      <c r="D13" s="679" t="s">
        <v>164</v>
      </c>
      <c r="E13" s="661" t="s">
        <v>54</v>
      </c>
      <c r="F13" s="662" t="s">
        <v>55</v>
      </c>
      <c r="G13" s="661" t="s">
        <v>56</v>
      </c>
      <c r="H13" s="660" t="s">
        <v>57</v>
      </c>
      <c r="I13" s="502" t="s">
        <v>54</v>
      </c>
      <c r="J13" s="502" t="s">
        <v>56</v>
      </c>
      <c r="K13" s="502" t="s">
        <v>58</v>
      </c>
      <c r="L13" s="502" t="s">
        <v>54</v>
      </c>
      <c r="M13" s="502" t="s">
        <v>56</v>
      </c>
      <c r="N13" s="502" t="s">
        <v>58</v>
      </c>
      <c r="O13" s="502" t="s">
        <v>54</v>
      </c>
      <c r="P13" s="502" t="s">
        <v>56</v>
      </c>
      <c r="Q13" s="502" t="s">
        <v>58</v>
      </c>
    </row>
    <row r="14" spans="1:17" ht="114" customHeight="1" x14ac:dyDescent="0.3">
      <c r="A14" s="1289" t="s">
        <v>1577</v>
      </c>
      <c r="B14" s="1289" t="s">
        <v>238</v>
      </c>
      <c r="C14" s="718" t="s">
        <v>81</v>
      </c>
      <c r="D14" s="718" t="s">
        <v>128</v>
      </c>
      <c r="E14" s="718">
        <v>1</v>
      </c>
      <c r="F14" s="32">
        <v>3621482</v>
      </c>
      <c r="G14" s="32">
        <f>ROUND((E14*F14),0)</f>
        <v>3621482</v>
      </c>
      <c r="H14" s="1521" t="s">
        <v>1933</v>
      </c>
      <c r="I14" s="537">
        <v>0.3</v>
      </c>
      <c r="J14" s="752">
        <f>ROUND(I14*F14,0)</f>
        <v>1086445</v>
      </c>
      <c r="K14" s="753">
        <f t="shared" ref="K14:K16" si="0">J14/G14</f>
        <v>0.30000011045201935</v>
      </c>
      <c r="L14" s="891">
        <v>0</v>
      </c>
      <c r="M14" s="892">
        <f>ROUND(L14*F14,0)</f>
        <v>0</v>
      </c>
      <c r="N14" s="893">
        <f>M14/G14</f>
        <v>0</v>
      </c>
      <c r="O14" s="536">
        <f>I14+L14</f>
        <v>0.3</v>
      </c>
      <c r="P14" s="685">
        <f>J14+M14</f>
        <v>1086445</v>
      </c>
      <c r="Q14" s="684">
        <f t="shared" ref="Q14:Q16" si="1">P14/G14</f>
        <v>0.30000011045201935</v>
      </c>
    </row>
    <row r="15" spans="1:17" x14ac:dyDescent="0.3">
      <c r="A15" s="1289"/>
      <c r="B15" s="1289"/>
      <c r="C15" s="39"/>
      <c r="D15" s="39" t="s">
        <v>130</v>
      </c>
      <c r="E15" s="41"/>
      <c r="F15" s="41"/>
      <c r="G15" s="42">
        <f>G14</f>
        <v>3621482</v>
      </c>
      <c r="H15" s="1522"/>
      <c r="I15" s="40"/>
      <c r="J15" s="683">
        <f>SUM(J14:J14)</f>
        <v>1086445</v>
      </c>
      <c r="K15" s="519">
        <f t="shared" si="0"/>
        <v>0.30000011045201935</v>
      </c>
      <c r="L15" s="40"/>
      <c r="M15" s="683">
        <f>SUM(M14:M14)</f>
        <v>0</v>
      </c>
      <c r="N15" s="1100">
        <f t="shared" ref="N15:N19" si="2">M15/G15</f>
        <v>0</v>
      </c>
      <c r="O15" s="1106"/>
      <c r="P15" s="1107">
        <f t="shared" ref="P15:P19" si="3">J15+M15</f>
        <v>1086445</v>
      </c>
      <c r="Q15" s="519">
        <f t="shared" si="1"/>
        <v>0.30000011045201935</v>
      </c>
    </row>
    <row r="16" spans="1:17" s="719" customFormat="1" ht="45" customHeight="1" x14ac:dyDescent="0.3">
      <c r="A16" s="1289" t="s">
        <v>1577</v>
      </c>
      <c r="B16" s="1289" t="s">
        <v>324</v>
      </c>
      <c r="C16" s="718" t="s">
        <v>81</v>
      </c>
      <c r="D16" s="718" t="s">
        <v>325</v>
      </c>
      <c r="E16" s="718">
        <v>1</v>
      </c>
      <c r="F16" s="32">
        <v>6755456</v>
      </c>
      <c r="G16" s="32">
        <f>ROUND((E16*F16),0)</f>
        <v>6755456</v>
      </c>
      <c r="H16" s="1290" t="s">
        <v>1934</v>
      </c>
      <c r="I16" s="537">
        <v>0.75</v>
      </c>
      <c r="J16" s="752">
        <f>ROUND(I16*F16,0)</f>
        <v>5066592</v>
      </c>
      <c r="K16" s="753">
        <f t="shared" si="0"/>
        <v>0.75</v>
      </c>
      <c r="L16" s="891">
        <v>0</v>
      </c>
      <c r="M16" s="892">
        <f>ROUND(L16*F16,0)</f>
        <v>0</v>
      </c>
      <c r="N16" s="893">
        <f t="shared" si="2"/>
        <v>0</v>
      </c>
      <c r="O16" s="799">
        <f t="shared" ref="O16:O18" si="4">I16+L16</f>
        <v>0.75</v>
      </c>
      <c r="P16" s="685">
        <f t="shared" si="3"/>
        <v>5066592</v>
      </c>
      <c r="Q16" s="684">
        <f t="shared" si="1"/>
        <v>0.75</v>
      </c>
    </row>
    <row r="17" spans="1:17" s="719" customFormat="1" ht="43.2" x14ac:dyDescent="0.3">
      <c r="A17" s="1289"/>
      <c r="B17" s="1289"/>
      <c r="C17" s="718" t="s">
        <v>83</v>
      </c>
      <c r="D17" s="718" t="s">
        <v>326</v>
      </c>
      <c r="E17" s="718">
        <v>0</v>
      </c>
      <c r="F17" s="32">
        <v>4039345</v>
      </c>
      <c r="G17" s="32">
        <f>ROUND((E17*F17),0)</f>
        <v>0</v>
      </c>
      <c r="H17" s="1289"/>
      <c r="I17" s="536">
        <v>0</v>
      </c>
      <c r="J17" s="685">
        <f>ROUND(I17*F17,0)</f>
        <v>0</v>
      </c>
      <c r="K17" s="684">
        <v>0</v>
      </c>
      <c r="L17" s="799">
        <v>0</v>
      </c>
      <c r="M17" s="892">
        <f t="shared" ref="M17:M18" si="5">ROUND(L17*F17,0)</f>
        <v>0</v>
      </c>
      <c r="N17" s="893">
        <v>0</v>
      </c>
      <c r="O17" s="799">
        <f t="shared" si="4"/>
        <v>0</v>
      </c>
      <c r="P17" s="685">
        <f t="shared" si="3"/>
        <v>0</v>
      </c>
      <c r="Q17" s="684">
        <v>0</v>
      </c>
    </row>
    <row r="18" spans="1:17" s="719" customFormat="1" ht="43.2" x14ac:dyDescent="0.3">
      <c r="A18" s="1289"/>
      <c r="B18" s="1289"/>
      <c r="C18" s="718" t="s">
        <v>61</v>
      </c>
      <c r="D18" s="718" t="s">
        <v>327</v>
      </c>
      <c r="E18" s="718">
        <v>0</v>
      </c>
      <c r="F18" s="32">
        <v>2576823</v>
      </c>
      <c r="G18" s="32">
        <f>ROUND((E18*F18),0)</f>
        <v>0</v>
      </c>
      <c r="H18" s="1289"/>
      <c r="I18" s="536">
        <v>0</v>
      </c>
      <c r="J18" s="685">
        <f>ROUND(I18*F18,0)</f>
        <v>0</v>
      </c>
      <c r="K18" s="684">
        <v>0</v>
      </c>
      <c r="L18" s="799">
        <v>0</v>
      </c>
      <c r="M18" s="892">
        <f t="shared" si="5"/>
        <v>0</v>
      </c>
      <c r="N18" s="893">
        <v>0</v>
      </c>
      <c r="O18" s="799">
        <f t="shared" si="4"/>
        <v>0</v>
      </c>
      <c r="P18" s="685">
        <f t="shared" si="3"/>
        <v>0</v>
      </c>
      <c r="Q18" s="684">
        <v>0</v>
      </c>
    </row>
    <row r="19" spans="1:17" s="719" customFormat="1" x14ac:dyDescent="0.3">
      <c r="A19" s="1289"/>
      <c r="B19" s="1289"/>
      <c r="C19" s="39"/>
      <c r="D19" s="39" t="s">
        <v>328</v>
      </c>
      <c r="E19" s="41"/>
      <c r="F19" s="41"/>
      <c r="G19" s="42">
        <f>SUM(G16:G18)</f>
        <v>6755456</v>
      </c>
      <c r="H19" s="1289"/>
      <c r="I19" s="40"/>
      <c r="J19" s="683">
        <f>SUM(J16:J18)</f>
        <v>5066592</v>
      </c>
      <c r="K19" s="519">
        <f>J19/G19</f>
        <v>0.75</v>
      </c>
      <c r="L19" s="40"/>
      <c r="M19" s="683">
        <f>SUM(M16:M18)</f>
        <v>0</v>
      </c>
      <c r="N19" s="1100">
        <f t="shared" si="2"/>
        <v>0</v>
      </c>
      <c r="O19" s="1108"/>
      <c r="P19" s="1107">
        <f t="shared" si="3"/>
        <v>5066592</v>
      </c>
      <c r="Q19" s="519">
        <f>P19/G19</f>
        <v>0.75</v>
      </c>
    </row>
    <row r="20" spans="1:17" x14ac:dyDescent="0.3">
      <c r="A20" s="719"/>
      <c r="B20" s="719"/>
      <c r="C20" s="719"/>
      <c r="D20" s="719"/>
      <c r="E20" s="719"/>
      <c r="F20" s="686" t="s">
        <v>1740</v>
      </c>
      <c r="G20" s="687">
        <f>G15+G19</f>
        <v>10376938</v>
      </c>
      <c r="H20" s="719"/>
      <c r="I20" s="547" t="s">
        <v>64</v>
      </c>
      <c r="J20" s="688">
        <f>SUM(J14:J19)/2</f>
        <v>6153037</v>
      </c>
      <c r="K20" s="719"/>
      <c r="L20" s="547" t="s">
        <v>64</v>
      </c>
      <c r="M20" s="688">
        <f>SUM(M14:M19)/2</f>
        <v>0</v>
      </c>
      <c r="O20" s="547" t="s">
        <v>64</v>
      </c>
      <c r="P20" s="688">
        <f>SUM(P14:P19)/2</f>
        <v>6153037</v>
      </c>
      <c r="Q20" s="719"/>
    </row>
    <row r="21" spans="1:17" ht="26.4" x14ac:dyDescent="0.3">
      <c r="A21" s="719"/>
      <c r="B21" s="719"/>
      <c r="C21" s="719"/>
      <c r="D21" s="719"/>
      <c r="E21" s="719"/>
      <c r="F21" s="444" t="s">
        <v>65</v>
      </c>
      <c r="G21" s="181">
        <v>0</v>
      </c>
      <c r="H21" s="719"/>
      <c r="I21" s="548" t="s">
        <v>65</v>
      </c>
      <c r="J21" s="677">
        <v>0</v>
      </c>
      <c r="K21" s="719"/>
      <c r="L21" s="548" t="s">
        <v>65</v>
      </c>
      <c r="M21" s="677">
        <v>0</v>
      </c>
      <c r="O21" s="548" t="s">
        <v>65</v>
      </c>
      <c r="P21" s="677">
        <v>0</v>
      </c>
      <c r="Q21" s="719"/>
    </row>
    <row r="22" spans="1:17" x14ac:dyDescent="0.3">
      <c r="A22" s="719"/>
      <c r="B22" s="719"/>
      <c r="C22" s="719"/>
      <c r="D22" s="719"/>
      <c r="E22" s="719"/>
      <c r="F22" s="443" t="s">
        <v>1740</v>
      </c>
      <c r="G22" s="340">
        <f>+G21+G20</f>
        <v>10376938</v>
      </c>
      <c r="H22" s="719"/>
      <c r="I22" s="549" t="s">
        <v>64</v>
      </c>
      <c r="J22" s="481">
        <f>J20+J21</f>
        <v>6153037</v>
      </c>
      <c r="K22" s="719"/>
      <c r="L22" s="549" t="s">
        <v>64</v>
      </c>
      <c r="M22" s="481">
        <f>M20+M21</f>
        <v>0</v>
      </c>
      <c r="O22" s="549" t="s">
        <v>64</v>
      </c>
      <c r="P22" s="481">
        <f>P20+P21</f>
        <v>6153037</v>
      </c>
      <c r="Q22" s="719"/>
    </row>
    <row r="23" spans="1:17" ht="26.4" x14ac:dyDescent="0.3">
      <c r="A23" s="719"/>
      <c r="B23" s="719"/>
      <c r="C23" s="719"/>
      <c r="D23" s="719"/>
      <c r="E23" s="719"/>
      <c r="F23" s="659"/>
      <c r="G23" s="659"/>
      <c r="H23" s="719"/>
      <c r="I23" s="501" t="s">
        <v>1439</v>
      </c>
      <c r="J23" s="481">
        <f>ROUND(J22*0.015,0)</f>
        <v>92296</v>
      </c>
      <c r="K23" s="719"/>
      <c r="L23" s="501" t="s">
        <v>1439</v>
      </c>
      <c r="M23" s="481">
        <f>ROUND(M22*0.015,0)</f>
        <v>0</v>
      </c>
      <c r="O23" s="501" t="s">
        <v>1439</v>
      </c>
      <c r="P23" s="481">
        <f>ROUND(P22*0.015,0)</f>
        <v>92296</v>
      </c>
      <c r="Q23" s="719"/>
    </row>
    <row r="24" spans="1:17" ht="39.6" x14ac:dyDescent="0.3">
      <c r="A24" s="719"/>
      <c r="B24" s="719"/>
      <c r="C24" s="719"/>
      <c r="D24" s="719"/>
      <c r="E24" s="719"/>
      <c r="F24" s="659"/>
      <c r="G24" s="659"/>
      <c r="H24" s="719"/>
      <c r="I24" s="96" t="s">
        <v>1440</v>
      </c>
      <c r="J24" s="425">
        <f>J22+J23</f>
        <v>6245333</v>
      </c>
      <c r="K24" s="678">
        <f>J24/G20</f>
        <v>0.60184738503785995</v>
      </c>
      <c r="L24" s="96" t="s">
        <v>1440</v>
      </c>
      <c r="M24" s="425">
        <f>M22+M23</f>
        <v>0</v>
      </c>
      <c r="N24" s="678">
        <f>M24/G20</f>
        <v>0</v>
      </c>
      <c r="O24" s="96" t="s">
        <v>1440</v>
      </c>
      <c r="P24" s="425">
        <f>P22+P23</f>
        <v>6245333</v>
      </c>
      <c r="Q24" s="678">
        <f>P24/G20</f>
        <v>0.60184738503785995</v>
      </c>
    </row>
    <row r="25" spans="1:17" x14ac:dyDescent="0.3">
      <c r="A25" s="719"/>
      <c r="B25" s="719"/>
      <c r="C25" s="719"/>
      <c r="D25" s="719"/>
      <c r="E25" s="719"/>
      <c r="F25" s="442" t="s">
        <v>66</v>
      </c>
      <c r="G25" s="181">
        <f>+G20*19%</f>
        <v>1971618.22</v>
      </c>
      <c r="H25" s="719"/>
      <c r="I25" s="551" t="s">
        <v>66</v>
      </c>
      <c r="J25" s="672">
        <f>J24*0.19</f>
        <v>1186613.27</v>
      </c>
      <c r="K25" s="719"/>
      <c r="L25" s="551" t="s">
        <v>66</v>
      </c>
      <c r="M25" s="672">
        <f>M24*0.19</f>
        <v>0</v>
      </c>
      <c r="O25" s="551" t="s">
        <v>66</v>
      </c>
      <c r="P25" s="672">
        <f>P24*0.19</f>
        <v>1186613.27</v>
      </c>
      <c r="Q25" s="719"/>
    </row>
    <row r="26" spans="1:17" x14ac:dyDescent="0.3">
      <c r="A26" s="719"/>
      <c r="B26" s="719"/>
      <c r="C26" s="719"/>
      <c r="D26" s="719"/>
      <c r="E26" s="719"/>
      <c r="F26" s="441" t="s">
        <v>69</v>
      </c>
      <c r="G26" s="181">
        <f>+G20+G25</f>
        <v>12348556.220000001</v>
      </c>
      <c r="H26" s="719"/>
      <c r="I26" s="552" t="s">
        <v>69</v>
      </c>
      <c r="J26" s="672">
        <f>J24+J25</f>
        <v>7431946.2699999996</v>
      </c>
      <c r="K26" s="719"/>
      <c r="L26" s="552" t="s">
        <v>69</v>
      </c>
      <c r="M26" s="672">
        <f>M24+M25</f>
        <v>0</v>
      </c>
      <c r="O26" s="552" t="s">
        <v>69</v>
      </c>
      <c r="P26" s="672">
        <f>P24+P25</f>
        <v>7431946.2699999996</v>
      </c>
      <c r="Q26" s="719"/>
    </row>
    <row r="27" spans="1:17" x14ac:dyDescent="0.3">
      <c r="A27" s="719"/>
      <c r="B27" s="719"/>
      <c r="C27" s="719"/>
      <c r="D27" s="719"/>
      <c r="E27" s="719"/>
      <c r="F27" s="719"/>
      <c r="G27" s="719"/>
      <c r="H27" s="719"/>
      <c r="I27" s="719"/>
      <c r="J27" s="719"/>
      <c r="K27" s="719"/>
      <c r="O27" s="719"/>
      <c r="P27" s="719"/>
      <c r="Q27" s="719"/>
    </row>
    <row r="28" spans="1:17" ht="26.4" x14ac:dyDescent="0.3">
      <c r="A28" s="665" t="s">
        <v>67</v>
      </c>
      <c r="B28" s="184"/>
      <c r="C28" s="184"/>
      <c r="D28" s="185" t="s">
        <v>68</v>
      </c>
      <c r="E28" s="719"/>
      <c r="F28" s="719"/>
      <c r="G28" s="719"/>
      <c r="H28" s="719"/>
      <c r="I28" s="186" t="s">
        <v>70</v>
      </c>
      <c r="J28" s="187" t="s">
        <v>71</v>
      </c>
      <c r="K28" s="186" t="s">
        <v>58</v>
      </c>
      <c r="L28" s="186" t="s">
        <v>70</v>
      </c>
      <c r="M28" s="187" t="s">
        <v>71</v>
      </c>
      <c r="N28" s="186" t="s">
        <v>58</v>
      </c>
      <c r="O28" s="719"/>
      <c r="P28" s="719"/>
      <c r="Q28" s="719"/>
    </row>
    <row r="29" spans="1:17" x14ac:dyDescent="0.3">
      <c r="A29" s="665"/>
      <c r="B29" s="184"/>
      <c r="C29" s="184"/>
      <c r="D29" s="185"/>
      <c r="E29" s="719"/>
      <c r="F29" s="719"/>
      <c r="G29" s="719"/>
      <c r="H29" s="719"/>
      <c r="I29" s="69" t="s">
        <v>72</v>
      </c>
      <c r="J29" s="70">
        <f>J24</f>
        <v>6245333</v>
      </c>
      <c r="K29" s="360">
        <f>K24</f>
        <v>0.60184738503785995</v>
      </c>
      <c r="L29" s="69" t="s">
        <v>72</v>
      </c>
      <c r="M29" s="70">
        <f>$J$24</f>
        <v>6245333</v>
      </c>
      <c r="N29" s="360">
        <f>$K$24</f>
        <v>0.60184738503785995</v>
      </c>
      <c r="O29" s="719"/>
      <c r="P29" s="719"/>
      <c r="Q29" s="719"/>
    </row>
    <row r="30" spans="1:17" x14ac:dyDescent="0.3">
      <c r="A30" s="665"/>
      <c r="B30" s="184"/>
      <c r="C30" s="184"/>
      <c r="D30" s="185"/>
      <c r="E30" s="719"/>
      <c r="F30" s="719"/>
      <c r="G30" s="719"/>
      <c r="H30" s="719"/>
      <c r="I30" s="72" t="s">
        <v>1</v>
      </c>
      <c r="J30" s="105">
        <f>J29</f>
        <v>6245333</v>
      </c>
      <c r="K30" s="361">
        <f>K29</f>
        <v>0.60184738503785995</v>
      </c>
      <c r="L30" s="69" t="s">
        <v>73</v>
      </c>
      <c r="M30" s="70">
        <f>$M$24</f>
        <v>0</v>
      </c>
      <c r="N30" s="360">
        <f>$N$24</f>
        <v>0</v>
      </c>
      <c r="O30" s="719"/>
      <c r="P30" s="719"/>
      <c r="Q30" s="719"/>
    </row>
    <row r="31" spans="1:17" x14ac:dyDescent="0.3">
      <c r="A31" s="665"/>
      <c r="B31" s="184"/>
      <c r="C31" s="184"/>
      <c r="D31" s="185"/>
      <c r="E31" s="719"/>
      <c r="F31" s="719"/>
      <c r="G31" s="719"/>
      <c r="H31" s="719"/>
      <c r="I31" s="72" t="s">
        <v>9</v>
      </c>
      <c r="J31" s="1423"/>
      <c r="K31" s="1424"/>
      <c r="L31" s="72" t="s">
        <v>1</v>
      </c>
      <c r="M31" s="105">
        <f>SUM(M29:M30)</f>
        <v>6245333</v>
      </c>
      <c r="N31" s="361">
        <f>SUM(N29:N30)</f>
        <v>0.60184738503785995</v>
      </c>
      <c r="O31" s="719"/>
      <c r="P31" s="719"/>
      <c r="Q31" s="719"/>
    </row>
    <row r="32" spans="1:17" x14ac:dyDescent="0.3">
      <c r="A32" s="665"/>
      <c r="B32" s="184"/>
      <c r="C32" s="184"/>
      <c r="D32" s="185"/>
      <c r="E32" s="719"/>
      <c r="F32" s="719"/>
      <c r="G32" s="719"/>
      <c r="H32" s="719"/>
      <c r="I32" s="440" t="s">
        <v>78</v>
      </c>
      <c r="J32" s="1423" t="s">
        <v>2235</v>
      </c>
      <c r="K32" s="1424"/>
      <c r="L32" s="72" t="s">
        <v>9</v>
      </c>
      <c r="M32" s="1423"/>
      <c r="N32" s="1424"/>
      <c r="O32" s="719"/>
      <c r="P32" s="719"/>
      <c r="Q32" s="719"/>
    </row>
    <row r="33" spans="1:17" x14ac:dyDescent="0.3">
      <c r="A33" s="665"/>
      <c r="B33" s="184"/>
      <c r="C33" s="184"/>
      <c r="D33" s="185"/>
      <c r="E33" s="719"/>
      <c r="F33" s="719"/>
      <c r="G33" s="719"/>
      <c r="H33" s="719"/>
      <c r="I33" s="439" t="s">
        <v>8</v>
      </c>
      <c r="J33" s="1423" t="s">
        <v>2236</v>
      </c>
      <c r="K33" s="1424"/>
      <c r="L33" s="440" t="s">
        <v>78</v>
      </c>
      <c r="M33" s="1423" t="s">
        <v>2235</v>
      </c>
      <c r="N33" s="1424"/>
      <c r="O33" s="719"/>
      <c r="P33" s="719"/>
      <c r="Q33" s="719"/>
    </row>
    <row r="34" spans="1:17" x14ac:dyDescent="0.3">
      <c r="A34" s="665"/>
      <c r="B34" s="184"/>
      <c r="C34" s="184"/>
      <c r="D34" s="185" t="s">
        <v>75</v>
      </c>
      <c r="E34" s="719"/>
      <c r="F34" s="719"/>
      <c r="G34" s="719"/>
      <c r="H34" s="719"/>
      <c r="I34" s="719"/>
      <c r="J34" s="719"/>
      <c r="K34" s="719"/>
      <c r="L34" s="439" t="s">
        <v>8</v>
      </c>
      <c r="M34" s="1423" t="s">
        <v>2236</v>
      </c>
      <c r="N34" s="1424"/>
      <c r="O34" s="719"/>
      <c r="P34" s="719"/>
      <c r="Q34" s="719"/>
    </row>
    <row r="35" spans="1:17" x14ac:dyDescent="0.3">
      <c r="A35" s="665" t="s">
        <v>76</v>
      </c>
      <c r="B35" s="180"/>
      <c r="C35" s="180"/>
      <c r="D35" s="185" t="s">
        <v>77</v>
      </c>
      <c r="E35" s="719"/>
      <c r="F35" s="719"/>
      <c r="G35" s="719"/>
      <c r="H35" s="719"/>
      <c r="I35" s="719"/>
      <c r="J35" s="719"/>
      <c r="K35" s="719"/>
      <c r="O35" s="719"/>
      <c r="P35" s="719"/>
      <c r="Q35" s="719"/>
    </row>
    <row r="36" spans="1:17" x14ac:dyDescent="0.3">
      <c r="A36" s="665" t="s">
        <v>79</v>
      </c>
      <c r="B36" s="180"/>
      <c r="C36" s="180"/>
      <c r="D36" s="185" t="s">
        <v>80</v>
      </c>
      <c r="E36" s="719"/>
      <c r="F36" s="719"/>
      <c r="G36" s="719"/>
      <c r="H36" s="719"/>
      <c r="I36" s="719"/>
      <c r="J36" s="719"/>
      <c r="K36" s="719"/>
      <c r="O36" s="719"/>
      <c r="P36" s="719"/>
      <c r="Q36" s="719"/>
    </row>
  </sheetData>
  <mergeCells count="28">
    <mergeCell ref="J31:K31"/>
    <mergeCell ref="J32:K32"/>
    <mergeCell ref="J33:K33"/>
    <mergeCell ref="A16:A19"/>
    <mergeCell ref="B16:B19"/>
    <mergeCell ref="H16:H19"/>
    <mergeCell ref="A10:Q10"/>
    <mergeCell ref="B11:H11"/>
    <mergeCell ref="I11:K12"/>
    <mergeCell ref="O11:Q12"/>
    <mergeCell ref="B12:H12"/>
    <mergeCell ref="L11:N12"/>
    <mergeCell ref="M33:N33"/>
    <mergeCell ref="M34:N34"/>
    <mergeCell ref="M32:N32"/>
    <mergeCell ref="A5:Q5"/>
    <mergeCell ref="C1:K2"/>
    <mergeCell ref="O1:Q1"/>
    <mergeCell ref="O2:Q2"/>
    <mergeCell ref="A3:Q3"/>
    <mergeCell ref="A4:Q4"/>
    <mergeCell ref="A14:A15"/>
    <mergeCell ref="B14:B15"/>
    <mergeCell ref="H14:H15"/>
    <mergeCell ref="A6:Q6"/>
    <mergeCell ref="A7:Q7"/>
    <mergeCell ref="A8:Q8"/>
    <mergeCell ref="A9:Q9"/>
  </mergeCells>
  <pageMargins left="0.7" right="0.7" top="0.75" bottom="0.75" header="0.3" footer="0.3"/>
  <pageSetup scale="28"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7">
    <tabColor theme="1"/>
  </sheetPr>
  <dimension ref="A1:G49"/>
  <sheetViews>
    <sheetView topLeftCell="A16"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RESUMEN!G139</f>
        <v>Proyecto: Adecuación sismoresistente Casa control SE Fontibón</v>
      </c>
      <c r="C5" s="1281"/>
      <c r="D5" s="1281"/>
      <c r="E5" s="1281"/>
      <c r="F5" s="1281"/>
      <c r="G5" s="1282"/>
    </row>
    <row r="6" spans="1:7" x14ac:dyDescent="0.25">
      <c r="A6" s="1177"/>
      <c r="B6" s="1177"/>
      <c r="C6" s="1177"/>
      <c r="D6" s="1177"/>
      <c r="E6" s="1177"/>
      <c r="F6" s="1177"/>
      <c r="G6" s="1177"/>
    </row>
    <row r="7" spans="1:7" x14ac:dyDescent="0.25">
      <c r="A7" s="271" t="s">
        <v>0</v>
      </c>
      <c r="B7" s="1264">
        <f>RESUMEN!B139</f>
        <v>0</v>
      </c>
      <c r="C7" s="1265"/>
      <c r="D7" s="1177"/>
      <c r="E7" s="1266" t="s">
        <v>627</v>
      </c>
      <c r="F7" s="1267"/>
      <c r="G7" s="280" t="str">
        <f>RESUMEN!E139</f>
        <v>18-001</v>
      </c>
    </row>
    <row r="8" spans="1:7" x14ac:dyDescent="0.25">
      <c r="A8" s="271" t="s">
        <v>628</v>
      </c>
      <c r="B8" s="1264">
        <f>RESUMEN!C139</f>
        <v>0</v>
      </c>
      <c r="C8" s="1265"/>
      <c r="D8" s="1177"/>
      <c r="E8" s="1266" t="s">
        <v>629</v>
      </c>
      <c r="F8" s="1267"/>
      <c r="G8" s="280" t="str">
        <f>RESUMEN!U139</f>
        <v>Acta N° 2: Marzo</v>
      </c>
    </row>
    <row r="9" spans="1:7" x14ac:dyDescent="0.25">
      <c r="A9" s="271" t="s">
        <v>630</v>
      </c>
      <c r="B9" s="1283" t="s">
        <v>631</v>
      </c>
      <c r="C9" s="1265"/>
      <c r="D9" s="1177"/>
      <c r="E9" s="1266" t="s">
        <v>632</v>
      </c>
      <c r="F9" s="1267"/>
      <c r="G9" s="1178">
        <f>RESUMEN!H139</f>
        <v>37932214</v>
      </c>
    </row>
    <row r="10" spans="1:7" x14ac:dyDescent="0.25">
      <c r="A10" s="271" t="s">
        <v>633</v>
      </c>
      <c r="B10" s="1283" t="str">
        <f>RESUMEN!D139</f>
        <v>FONTIBÓN</v>
      </c>
      <c r="C10" s="1265"/>
      <c r="D10" s="1177"/>
      <c r="E10" s="1266" t="s">
        <v>634</v>
      </c>
      <c r="F10" s="1267"/>
      <c r="G10" s="1178">
        <f>RESUMEN!R139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RESUMEN!V139,"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",RESUMEN!G139)</f>
        <v>A los 14 días del mes de Marzo se reunieron en las instalaciones de CODENSA S.A. E.S.P., los ingenieros Ing. Andrés Patarroyo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Adecuación sismoresistente Casa control SE Fontibón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RESUMEN!N139</f>
        <v>0</v>
      </c>
      <c r="F19" s="1248"/>
      <c r="G19" s="1177"/>
    </row>
    <row r="20" spans="1:7" ht="27" customHeight="1" x14ac:dyDescent="0.25">
      <c r="A20" s="1177"/>
      <c r="B20" s="1244" t="s">
        <v>1498</v>
      </c>
      <c r="C20" s="1245"/>
      <c r="D20" s="1246"/>
      <c r="E20" s="1247">
        <f>RESUMEN!P139</f>
        <v>0</v>
      </c>
      <c r="F20" s="1248"/>
      <c r="G20" s="1177"/>
    </row>
    <row r="21" spans="1:7" ht="27" customHeight="1" x14ac:dyDescent="0.25">
      <c r="A21" s="1177"/>
      <c r="B21" s="1244" t="s">
        <v>1499</v>
      </c>
      <c r="C21" s="1245"/>
      <c r="D21" s="1246"/>
      <c r="E21" s="1247">
        <f>RESUMEN!Q139</f>
        <v>0</v>
      </c>
      <c r="F21" s="1248"/>
      <c r="G21" s="1177"/>
    </row>
    <row r="22" spans="1:7" x14ac:dyDescent="0.25">
      <c r="A22" s="1177"/>
      <c r="B22" s="1254" t="s">
        <v>64</v>
      </c>
      <c r="C22" s="1254"/>
      <c r="D22" s="1254"/>
      <c r="E22" s="1255">
        <f>RESUMEN!R139</f>
        <v>0</v>
      </c>
      <c r="F22" s="1255"/>
      <c r="G22" s="1177"/>
    </row>
    <row r="23" spans="1:7" x14ac:dyDescent="0.25">
      <c r="A23" s="1177"/>
      <c r="B23" s="1256" t="s">
        <v>66</v>
      </c>
      <c r="C23" s="1256"/>
      <c r="D23" s="1256"/>
      <c r="E23" s="1257">
        <f>RESUMEN!S139</f>
        <v>0</v>
      </c>
      <c r="F23" s="1257"/>
      <c r="G23" s="1177"/>
    </row>
    <row r="24" spans="1:7" x14ac:dyDescent="0.25">
      <c r="A24" s="1177"/>
      <c r="B24" s="1258" t="s">
        <v>1</v>
      </c>
      <c r="C24" s="1258"/>
      <c r="D24" s="1258"/>
      <c r="E24" s="1259">
        <f>RESUMEN!T139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+'OT18-001 FONTIBÓN'!L40</f>
        <v>ACTA 1</v>
      </c>
      <c r="C28" s="1253">
        <f>+'OT18-001 FONTIBÓN'!M40</f>
        <v>3833551</v>
      </c>
      <c r="D28" s="1253"/>
      <c r="E28" s="267">
        <f>+'OT18-001 FONTIBÓN'!N40</f>
        <v>0.10106320184737964</v>
      </c>
      <c r="F28" s="1177"/>
      <c r="G28" s="1177"/>
    </row>
    <row r="29" spans="1:7" x14ac:dyDescent="0.25">
      <c r="A29" s="1177"/>
      <c r="B29" s="280" t="str">
        <f>+'OT18-001 FONTIBÓN'!L41</f>
        <v>ACTA 2</v>
      </c>
      <c r="C29" s="1253">
        <f>+'OT18-001 FONTIBÓN'!M41</f>
        <v>0</v>
      </c>
      <c r="D29" s="1253"/>
      <c r="E29" s="267">
        <f>+'OT18-001 FONTIBÓN'!N41</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3833551</v>
      </c>
      <c r="D34" s="1251"/>
      <c r="E34" s="264">
        <f>SUM(E28:E33)</f>
        <v>0.10106320184737964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RESUMEN!V139</f>
        <v>Ing. Andrés Patarroyo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8">
    <tabColor rgb="FF72104A"/>
  </sheetPr>
  <dimension ref="A1:Q50"/>
  <sheetViews>
    <sheetView topLeftCell="H25" zoomScale="80" zoomScaleNormal="80" workbookViewId="0">
      <selection activeCell="H13" sqref="H13"/>
    </sheetView>
  </sheetViews>
  <sheetFormatPr baseColWidth="10" defaultColWidth="9.109375" defaultRowHeight="14.4" x14ac:dyDescent="0.3"/>
  <cols>
    <col min="1" max="1" width="20" style="786" customWidth="1"/>
    <col min="2" max="2" width="30" style="786" customWidth="1"/>
    <col min="3" max="3" width="35.33203125" style="786" customWidth="1"/>
    <col min="4" max="4" width="23" style="786" customWidth="1"/>
    <col min="5" max="5" width="10" style="80" bestFit="1" customWidth="1"/>
    <col min="6" max="6" width="19.33203125" style="786" bestFit="1" customWidth="1"/>
    <col min="7" max="7" width="16.88671875" style="786" customWidth="1"/>
    <col min="8" max="8" width="40.5546875" style="786" customWidth="1"/>
    <col min="9" max="9" width="16.33203125" style="786" bestFit="1" customWidth="1"/>
    <col min="10" max="10" width="20.6640625" style="786" customWidth="1"/>
    <col min="11" max="11" width="9.109375" style="786"/>
    <col min="12" max="12" width="12.44140625" style="1054" customWidth="1"/>
    <col min="13" max="13" width="13.6640625" style="1054" customWidth="1"/>
    <col min="14" max="14" width="15.21875" style="1054" customWidth="1"/>
    <col min="15" max="15" width="16.33203125" style="786" bestFit="1" customWidth="1"/>
    <col min="16" max="16" width="15" style="786" bestFit="1" customWidth="1"/>
    <col min="17" max="16384" width="9.109375" style="786"/>
  </cols>
  <sheetData>
    <row r="1" spans="1:17" s="795" customFormat="1" ht="30.75" customHeight="1" x14ac:dyDescent="0.3">
      <c r="A1" s="169"/>
      <c r="B1" s="188"/>
      <c r="C1" s="1307" t="s">
        <v>40</v>
      </c>
      <c r="D1" s="1308"/>
      <c r="E1" s="1308"/>
      <c r="F1" s="1308"/>
      <c r="G1" s="1308"/>
      <c r="H1" s="1308"/>
      <c r="I1" s="1308"/>
      <c r="J1" s="1308"/>
      <c r="K1" s="1526" t="s">
        <v>1372</v>
      </c>
      <c r="L1" s="1527"/>
      <c r="M1" s="1527"/>
      <c r="N1" s="1527"/>
      <c r="O1" s="1527"/>
      <c r="P1" s="1527"/>
      <c r="Q1" s="1527"/>
    </row>
    <row r="2" spans="1:17" s="795" customFormat="1" ht="15" thickBot="1" x14ac:dyDescent="0.35">
      <c r="A2" s="170"/>
      <c r="B2" s="190"/>
      <c r="C2" s="1310"/>
      <c r="D2" s="1311"/>
      <c r="E2" s="1311"/>
      <c r="F2" s="1311"/>
      <c r="G2" s="1311"/>
      <c r="H2" s="1311"/>
      <c r="I2" s="1311"/>
      <c r="J2" s="1311"/>
      <c r="K2" s="1459" t="s">
        <v>41</v>
      </c>
      <c r="L2" s="1459"/>
      <c r="M2" s="1459"/>
      <c r="N2" s="1459"/>
      <c r="O2" s="1459"/>
      <c r="P2" s="1459"/>
      <c r="Q2" s="1459"/>
    </row>
    <row r="3" spans="1:17" s="795" customFormat="1" x14ac:dyDescent="0.3">
      <c r="A3" s="1292" t="s">
        <v>42</v>
      </c>
      <c r="B3" s="1292"/>
      <c r="C3" s="1292"/>
      <c r="D3" s="1292"/>
      <c r="E3" s="1292"/>
      <c r="F3" s="1292"/>
      <c r="G3" s="1292"/>
      <c r="H3" s="1292"/>
      <c r="I3" s="1292"/>
      <c r="J3" s="1292"/>
      <c r="K3" s="1292"/>
      <c r="L3" s="1292"/>
      <c r="M3" s="1292"/>
      <c r="N3" s="1292"/>
      <c r="O3" s="1292"/>
      <c r="P3" s="1292"/>
    </row>
    <row r="4" spans="1:17" s="795" customFormat="1" x14ac:dyDescent="0.3">
      <c r="A4" s="1292" t="s">
        <v>43</v>
      </c>
      <c r="B4" s="1292"/>
      <c r="C4" s="1292"/>
      <c r="D4" s="1292"/>
      <c r="E4" s="1292"/>
      <c r="F4" s="1292"/>
      <c r="G4" s="1292"/>
      <c r="H4" s="1292"/>
      <c r="I4" s="1292"/>
      <c r="J4" s="1292"/>
      <c r="K4" s="1292"/>
      <c r="L4" s="1292"/>
      <c r="M4" s="1292"/>
      <c r="N4" s="1292"/>
      <c r="O4" s="1292"/>
      <c r="P4" s="1292"/>
    </row>
    <row r="5" spans="1:17" s="795" customFormat="1" x14ac:dyDescent="0.3">
      <c r="A5" s="1292" t="s">
        <v>44</v>
      </c>
      <c r="B5" s="1292"/>
      <c r="C5" s="1292"/>
      <c r="D5" s="1292"/>
      <c r="E5" s="1292"/>
      <c r="F5" s="1292"/>
      <c r="G5" s="1292"/>
      <c r="H5" s="1292"/>
      <c r="I5" s="1292"/>
      <c r="J5" s="1292"/>
      <c r="K5" s="1292"/>
      <c r="L5" s="1292"/>
      <c r="M5" s="1292"/>
      <c r="N5" s="1292"/>
      <c r="O5" s="1292"/>
      <c r="P5" s="1292"/>
    </row>
    <row r="6" spans="1:17" s="795" customFormat="1" x14ac:dyDescent="0.3">
      <c r="A6" s="1292" t="s">
        <v>45</v>
      </c>
      <c r="B6" s="1292"/>
      <c r="C6" s="1292"/>
      <c r="D6" s="1292"/>
      <c r="E6" s="1292"/>
      <c r="F6" s="1292"/>
      <c r="G6" s="1292"/>
      <c r="H6" s="1292"/>
      <c r="I6" s="1292"/>
      <c r="J6" s="1292"/>
      <c r="K6" s="1292"/>
      <c r="L6" s="1292"/>
      <c r="M6" s="1292"/>
      <c r="N6" s="1292"/>
      <c r="O6" s="1292"/>
      <c r="P6" s="1292"/>
    </row>
    <row r="7" spans="1:17" s="795" customFormat="1" x14ac:dyDescent="0.3">
      <c r="A7" s="1291" t="s">
        <v>1371</v>
      </c>
      <c r="B7" s="1292"/>
      <c r="C7" s="1292"/>
      <c r="D7" s="1292"/>
      <c r="E7" s="1292"/>
      <c r="F7" s="1292"/>
      <c r="G7" s="1292"/>
      <c r="H7" s="1292"/>
      <c r="I7" s="1292"/>
      <c r="J7" s="1292"/>
      <c r="K7" s="1292"/>
      <c r="L7" s="1292"/>
      <c r="M7" s="1292"/>
      <c r="N7" s="1292"/>
      <c r="O7" s="1292"/>
      <c r="P7" s="1292"/>
    </row>
    <row r="8" spans="1:17" s="795" customFormat="1" x14ac:dyDescent="0.3">
      <c r="A8" s="1292" t="s">
        <v>2323</v>
      </c>
      <c r="B8" s="1292"/>
      <c r="C8" s="1292"/>
      <c r="D8" s="1292"/>
      <c r="E8" s="1292"/>
      <c r="F8" s="1292"/>
      <c r="G8" s="1292"/>
      <c r="H8" s="1292"/>
      <c r="I8" s="1292"/>
      <c r="J8" s="1292"/>
      <c r="K8" s="1292"/>
      <c r="L8" s="1292"/>
      <c r="M8" s="1292"/>
      <c r="N8" s="1292"/>
      <c r="O8" s="1292"/>
      <c r="P8" s="1292"/>
    </row>
    <row r="9" spans="1:17" s="795" customFormat="1" x14ac:dyDescent="0.3">
      <c r="A9" s="1292" t="s">
        <v>2305</v>
      </c>
      <c r="B9" s="1292"/>
      <c r="C9" s="1292"/>
      <c r="D9" s="1292"/>
      <c r="E9" s="1292"/>
      <c r="F9" s="1292"/>
      <c r="G9" s="1292"/>
      <c r="H9" s="1292"/>
      <c r="I9" s="1292"/>
      <c r="J9" s="1292"/>
      <c r="K9" s="1292"/>
      <c r="L9" s="1292"/>
      <c r="M9" s="1292"/>
      <c r="N9" s="1292"/>
      <c r="O9" s="1292"/>
      <c r="P9" s="1292"/>
    </row>
    <row r="10" spans="1:17" s="795" customFormat="1" x14ac:dyDescent="0.3">
      <c r="A10" s="1292" t="s">
        <v>2102</v>
      </c>
      <c r="B10" s="1292"/>
      <c r="C10" s="1292"/>
      <c r="D10" s="1292"/>
      <c r="E10" s="1292"/>
      <c r="F10" s="1292"/>
      <c r="G10" s="1292"/>
      <c r="H10" s="1292"/>
      <c r="I10" s="1292"/>
      <c r="J10" s="1292"/>
      <c r="K10" s="1292"/>
      <c r="L10" s="1292"/>
      <c r="M10" s="1292"/>
      <c r="N10" s="1292"/>
      <c r="O10" s="1292"/>
      <c r="P10" s="1292"/>
    </row>
    <row r="11" spans="1:17" s="795" customFormat="1" x14ac:dyDescent="0.3">
      <c r="A11" s="791"/>
      <c r="B11" s="1301"/>
      <c r="C11" s="1313"/>
      <c r="D11" s="1313"/>
      <c r="E11" s="1313"/>
      <c r="F11" s="1313"/>
      <c r="G11" s="1313"/>
      <c r="I11" s="1470" t="s">
        <v>1982</v>
      </c>
      <c r="J11" s="1471"/>
      <c r="K11" s="1472"/>
      <c r="L11" s="1470" t="s">
        <v>2324</v>
      </c>
      <c r="M11" s="1471"/>
      <c r="N11" s="1472"/>
      <c r="O11" s="1299" t="s">
        <v>49</v>
      </c>
      <c r="P11" s="1299"/>
      <c r="Q11" s="1299"/>
    </row>
    <row r="12" spans="1:17" s="795" customFormat="1" ht="18" customHeight="1" x14ac:dyDescent="0.3">
      <c r="A12" s="171"/>
      <c r="B12" s="1301"/>
      <c r="C12" s="1302"/>
      <c r="D12" s="1302"/>
      <c r="E12" s="1302"/>
      <c r="F12" s="1302"/>
      <c r="G12" s="1302"/>
      <c r="H12" s="831"/>
      <c r="I12" s="1523"/>
      <c r="J12" s="1524"/>
      <c r="K12" s="1525"/>
      <c r="L12" s="1523"/>
      <c r="M12" s="1524"/>
      <c r="N12" s="1525"/>
      <c r="O12" s="1300"/>
      <c r="P12" s="1300"/>
      <c r="Q12" s="1300"/>
    </row>
    <row r="13" spans="1:17" ht="21" customHeight="1" x14ac:dyDescent="0.3">
      <c r="A13" s="660" t="s">
        <v>50</v>
      </c>
      <c r="B13" s="660" t="s">
        <v>51</v>
      </c>
      <c r="C13" s="660" t="s">
        <v>52</v>
      </c>
      <c r="D13" s="660" t="s">
        <v>164</v>
      </c>
      <c r="E13" s="661" t="s">
        <v>54</v>
      </c>
      <c r="F13" s="661" t="s">
        <v>2007</v>
      </c>
      <c r="G13" s="661" t="s">
        <v>56</v>
      </c>
      <c r="H13" s="660" t="s">
        <v>57</v>
      </c>
      <c r="I13" s="502" t="s">
        <v>54</v>
      </c>
      <c r="J13" s="502" t="s">
        <v>56</v>
      </c>
      <c r="K13" s="502" t="s">
        <v>58</v>
      </c>
      <c r="L13" s="502" t="s">
        <v>54</v>
      </c>
      <c r="M13" s="502" t="s">
        <v>56</v>
      </c>
      <c r="N13" s="502" t="s">
        <v>58</v>
      </c>
      <c r="O13" s="502" t="s">
        <v>54</v>
      </c>
      <c r="P13" s="502" t="s">
        <v>56</v>
      </c>
      <c r="Q13" s="502" t="s">
        <v>58</v>
      </c>
    </row>
    <row r="14" spans="1:17" ht="33.75" customHeight="1" x14ac:dyDescent="0.3">
      <c r="A14" s="1290" t="s">
        <v>1622</v>
      </c>
      <c r="B14" s="1290" t="s">
        <v>2008</v>
      </c>
      <c r="C14" s="790" t="s">
        <v>59</v>
      </c>
      <c r="D14" s="797" t="s">
        <v>141</v>
      </c>
      <c r="E14" s="31">
        <v>1</v>
      </c>
      <c r="F14" s="32">
        <v>988142</v>
      </c>
      <c r="G14" s="32">
        <f>ROUND((E14*F14),0)</f>
        <v>988142</v>
      </c>
      <c r="H14" s="1290" t="s">
        <v>2009</v>
      </c>
      <c r="I14" s="799">
        <v>0</v>
      </c>
      <c r="J14" s="685">
        <f>ROUND(I14*F14,0)</f>
        <v>0</v>
      </c>
      <c r="K14" s="684">
        <f t="shared" ref="K14:K21" si="0">J14/G14</f>
        <v>0</v>
      </c>
      <c r="L14" s="799">
        <v>0</v>
      </c>
      <c r="M14" s="685">
        <f>ROUND(L14*F14,0)</f>
        <v>0</v>
      </c>
      <c r="N14" s="684">
        <f>M14/G14</f>
        <v>0</v>
      </c>
      <c r="O14" s="799">
        <f>I14+L14</f>
        <v>0</v>
      </c>
      <c r="P14" s="685">
        <f>J14+M14</f>
        <v>0</v>
      </c>
      <c r="Q14" s="684">
        <f>P14/G14</f>
        <v>0</v>
      </c>
    </row>
    <row r="15" spans="1:17" ht="28.8" x14ac:dyDescent="0.3">
      <c r="A15" s="1290"/>
      <c r="B15" s="1290"/>
      <c r="C15" s="790" t="s">
        <v>61</v>
      </c>
      <c r="D15" s="797" t="s">
        <v>142</v>
      </c>
      <c r="E15" s="31">
        <v>1</v>
      </c>
      <c r="F15" s="32">
        <v>3037621</v>
      </c>
      <c r="G15" s="32">
        <f>ROUND((E15*F15),0)</f>
        <v>3037621</v>
      </c>
      <c r="H15" s="1290"/>
      <c r="I15" s="537">
        <v>0.3</v>
      </c>
      <c r="J15" s="752">
        <f>ROUND(I15*F15,0)</f>
        <v>911286</v>
      </c>
      <c r="K15" s="753">
        <f>J15/G15</f>
        <v>0.29999990123850212</v>
      </c>
      <c r="L15" s="891">
        <v>0</v>
      </c>
      <c r="M15" s="685">
        <f>ROUND(L15*F15,0)</f>
        <v>0</v>
      </c>
      <c r="N15" s="684">
        <f t="shared" ref="N15:N30" si="1">M15/G15</f>
        <v>0</v>
      </c>
      <c r="O15" s="799">
        <f t="shared" ref="O15:O29" si="2">I15+L15</f>
        <v>0.3</v>
      </c>
      <c r="P15" s="685">
        <f t="shared" ref="P15:P30" si="3">J15+M15</f>
        <v>911286</v>
      </c>
      <c r="Q15" s="684">
        <f>P15/G15</f>
        <v>0.29999990123850212</v>
      </c>
    </row>
    <row r="16" spans="1:17" x14ac:dyDescent="0.3">
      <c r="A16" s="1290"/>
      <c r="B16" s="1290"/>
      <c r="C16" s="39"/>
      <c r="D16" s="39" t="s">
        <v>143</v>
      </c>
      <c r="E16" s="40"/>
      <c r="F16" s="41"/>
      <c r="G16" s="42">
        <f>SUM(G14:G15)</f>
        <v>4025763</v>
      </c>
      <c r="H16" s="1290"/>
      <c r="I16" s="40"/>
      <c r="J16" s="683">
        <f>SUM(J14:J15)</f>
        <v>911286</v>
      </c>
      <c r="K16" s="519">
        <f>J16/G16</f>
        <v>0.22636354897195884</v>
      </c>
      <c r="L16" s="40"/>
      <c r="M16" s="683">
        <f>SUM(M14:M15)</f>
        <v>0</v>
      </c>
      <c r="N16" s="1100">
        <f t="shared" si="1"/>
        <v>0</v>
      </c>
      <c r="O16" s="1106"/>
      <c r="P16" s="1107">
        <f t="shared" si="3"/>
        <v>911286</v>
      </c>
      <c r="Q16" s="519">
        <f t="shared" ref="Q16" si="4">P16/G16</f>
        <v>0.22636354897195884</v>
      </c>
    </row>
    <row r="17" spans="1:17" ht="55.5" customHeight="1" x14ac:dyDescent="0.3">
      <c r="A17" s="1289" t="s">
        <v>1865</v>
      </c>
      <c r="B17" s="1290" t="s">
        <v>2010</v>
      </c>
      <c r="C17" s="790" t="s">
        <v>59</v>
      </c>
      <c r="D17" s="797" t="s">
        <v>145</v>
      </c>
      <c r="E17" s="31">
        <v>2</v>
      </c>
      <c r="F17" s="32">
        <v>988142</v>
      </c>
      <c r="G17" s="32">
        <f>ROUND((E17*F17),0)</f>
        <v>1976284</v>
      </c>
      <c r="H17" s="1290" t="s">
        <v>2213</v>
      </c>
      <c r="I17" s="799">
        <v>0</v>
      </c>
      <c r="J17" s="685">
        <f>ROUND(I17*F17,0)</f>
        <v>0</v>
      </c>
      <c r="K17" s="684">
        <f t="shared" si="0"/>
        <v>0</v>
      </c>
      <c r="L17" s="799">
        <v>0</v>
      </c>
      <c r="M17" s="685">
        <f>ROUND(L17*F17,0)</f>
        <v>0</v>
      </c>
      <c r="N17" s="684">
        <f t="shared" si="1"/>
        <v>0</v>
      </c>
      <c r="O17" s="799">
        <f t="shared" si="2"/>
        <v>0</v>
      </c>
      <c r="P17" s="685">
        <f t="shared" si="3"/>
        <v>0</v>
      </c>
      <c r="Q17" s="684">
        <f>P17/G17</f>
        <v>0</v>
      </c>
    </row>
    <row r="18" spans="1:17" ht="49.5" customHeight="1" x14ac:dyDescent="0.3">
      <c r="A18" s="1289"/>
      <c r="B18" s="1290"/>
      <c r="C18" s="790" t="s">
        <v>61</v>
      </c>
      <c r="D18" s="797" t="s">
        <v>146</v>
      </c>
      <c r="E18" s="31">
        <v>2</v>
      </c>
      <c r="F18" s="32">
        <v>5453081</v>
      </c>
      <c r="G18" s="32">
        <f>ROUND((E18*F18),0)</f>
        <v>10906162</v>
      </c>
      <c r="H18" s="1290"/>
      <c r="I18" s="537">
        <v>0.3</v>
      </c>
      <c r="J18" s="752">
        <f>ROUND(I18*F18,0)</f>
        <v>1635924</v>
      </c>
      <c r="K18" s="753">
        <f t="shared" si="0"/>
        <v>0.14999997249261474</v>
      </c>
      <c r="L18" s="891">
        <v>0</v>
      </c>
      <c r="M18" s="685">
        <f>ROUND(L18*F18,0)</f>
        <v>0</v>
      </c>
      <c r="N18" s="684">
        <f t="shared" si="1"/>
        <v>0</v>
      </c>
      <c r="O18" s="799">
        <f t="shared" si="2"/>
        <v>0.3</v>
      </c>
      <c r="P18" s="685">
        <f t="shared" si="3"/>
        <v>1635924</v>
      </c>
      <c r="Q18" s="684">
        <f>P18/G18</f>
        <v>0.14999997249261474</v>
      </c>
    </row>
    <row r="19" spans="1:17" x14ac:dyDescent="0.3">
      <c r="A19" s="1289"/>
      <c r="B19" s="1290"/>
      <c r="C19" s="39"/>
      <c r="D19" s="39" t="s">
        <v>147</v>
      </c>
      <c r="E19" s="40"/>
      <c r="F19" s="41"/>
      <c r="G19" s="42">
        <f>SUM(G17:G18)</f>
        <v>12882446</v>
      </c>
      <c r="H19" s="1290"/>
      <c r="I19" s="40"/>
      <c r="J19" s="683">
        <f>SUM(J17:J18)</f>
        <v>1635924</v>
      </c>
      <c r="K19" s="519">
        <f>J19/G19</f>
        <v>0.12698861691327873</v>
      </c>
      <c r="L19" s="40"/>
      <c r="M19" s="683">
        <f>SUM(M17:M18)</f>
        <v>0</v>
      </c>
      <c r="N19" s="1100">
        <f t="shared" si="1"/>
        <v>0</v>
      </c>
      <c r="O19" s="1106"/>
      <c r="P19" s="1107">
        <f t="shared" si="3"/>
        <v>1635924</v>
      </c>
      <c r="Q19" s="519">
        <f t="shared" ref="Q19" si="5">P19/G19</f>
        <v>0.12698861691327873</v>
      </c>
    </row>
    <row r="20" spans="1:17" ht="28.5" customHeight="1" x14ac:dyDescent="0.3">
      <c r="A20" s="1289" t="s">
        <v>1907</v>
      </c>
      <c r="B20" s="1290" t="s">
        <v>2011</v>
      </c>
      <c r="C20" s="833" t="s">
        <v>118</v>
      </c>
      <c r="D20" s="659" t="s">
        <v>119</v>
      </c>
      <c r="E20" s="31">
        <v>0.51</v>
      </c>
      <c r="F20" s="32">
        <v>8307714</v>
      </c>
      <c r="G20" s="32">
        <f>ROUND((E20*F20),0)</f>
        <v>4236934</v>
      </c>
      <c r="H20" s="1290" t="s">
        <v>2012</v>
      </c>
      <c r="I20" s="799">
        <v>0</v>
      </c>
      <c r="J20" s="685">
        <f>ROUND(I20*F20,0)</f>
        <v>0</v>
      </c>
      <c r="K20" s="684">
        <f t="shared" si="0"/>
        <v>0</v>
      </c>
      <c r="L20" s="799">
        <v>0</v>
      </c>
      <c r="M20" s="685">
        <f>ROUND(L20*F20,0)</f>
        <v>0</v>
      </c>
      <c r="N20" s="684">
        <f t="shared" si="1"/>
        <v>0</v>
      </c>
      <c r="O20" s="799">
        <f t="shared" si="2"/>
        <v>0</v>
      </c>
      <c r="P20" s="685">
        <f t="shared" si="3"/>
        <v>0</v>
      </c>
      <c r="Q20" s="684">
        <f>P20/G20</f>
        <v>0</v>
      </c>
    </row>
    <row r="21" spans="1:17" ht="17.25" customHeight="1" x14ac:dyDescent="0.3">
      <c r="A21" s="1289"/>
      <c r="B21" s="1290"/>
      <c r="C21" s="833" t="s">
        <v>83</v>
      </c>
      <c r="D21" s="659" t="s">
        <v>120</v>
      </c>
      <c r="E21" s="31">
        <v>0.59</v>
      </c>
      <c r="F21" s="32">
        <v>5270091</v>
      </c>
      <c r="G21" s="32">
        <f>ROUND((E21*F21),0)</f>
        <v>3109354</v>
      </c>
      <c r="H21" s="1290"/>
      <c r="I21" s="799">
        <v>0</v>
      </c>
      <c r="J21" s="685">
        <f>ROUND(I21*F21,0)</f>
        <v>0</v>
      </c>
      <c r="K21" s="684">
        <f t="shared" si="0"/>
        <v>0</v>
      </c>
      <c r="L21" s="799">
        <v>0</v>
      </c>
      <c r="M21" s="685">
        <f t="shared" ref="M21:M22" si="6">ROUND(L21*F21,0)</f>
        <v>0</v>
      </c>
      <c r="N21" s="684">
        <f t="shared" si="1"/>
        <v>0</v>
      </c>
      <c r="O21" s="799">
        <f t="shared" si="2"/>
        <v>0</v>
      </c>
      <c r="P21" s="685">
        <f t="shared" si="3"/>
        <v>0</v>
      </c>
      <c r="Q21" s="684">
        <f>P21/G21</f>
        <v>0</v>
      </c>
    </row>
    <row r="22" spans="1:17" ht="28.8" x14ac:dyDescent="0.3">
      <c r="A22" s="1289"/>
      <c r="B22" s="1290"/>
      <c r="C22" s="833" t="s">
        <v>61</v>
      </c>
      <c r="D22" s="659" t="s">
        <v>121</v>
      </c>
      <c r="E22" s="31">
        <v>0</v>
      </c>
      <c r="F22" s="32">
        <v>4501536</v>
      </c>
      <c r="G22" s="32">
        <f>ROUND((E22*F22),0)</f>
        <v>0</v>
      </c>
      <c r="H22" s="1290"/>
      <c r="I22" s="799">
        <v>0</v>
      </c>
      <c r="J22" s="685">
        <f>ROUND(I22*F22,0)</f>
        <v>0</v>
      </c>
      <c r="K22" s="684">
        <v>0</v>
      </c>
      <c r="L22" s="799">
        <v>0</v>
      </c>
      <c r="M22" s="685">
        <f t="shared" si="6"/>
        <v>0</v>
      </c>
      <c r="N22" s="684">
        <v>0</v>
      </c>
      <c r="O22" s="799">
        <f t="shared" si="2"/>
        <v>0</v>
      </c>
      <c r="P22" s="685">
        <f t="shared" si="3"/>
        <v>0</v>
      </c>
      <c r="Q22" s="684">
        <v>0</v>
      </c>
    </row>
    <row r="23" spans="1:17" x14ac:dyDescent="0.3">
      <c r="A23" s="1289"/>
      <c r="B23" s="1290"/>
      <c r="C23" s="1528" t="s">
        <v>2013</v>
      </c>
      <c r="D23" s="1528"/>
      <c r="E23" s="40"/>
      <c r="F23" s="41"/>
      <c r="G23" s="42">
        <f>SUM(G20:G22)</f>
        <v>7346288</v>
      </c>
      <c r="H23" s="754"/>
      <c r="I23" s="40"/>
      <c r="J23" s="683">
        <f>SUM(J20:J22)</f>
        <v>0</v>
      </c>
      <c r="K23" s="519">
        <f t="shared" ref="K23:K28" si="7">J23/G23</f>
        <v>0</v>
      </c>
      <c r="L23" s="40"/>
      <c r="M23" s="683">
        <f>SUM(M20:M22)</f>
        <v>0</v>
      </c>
      <c r="N23" s="1100">
        <f t="shared" si="1"/>
        <v>0</v>
      </c>
      <c r="O23" s="1106"/>
      <c r="P23" s="1107">
        <f t="shared" si="3"/>
        <v>0</v>
      </c>
      <c r="Q23" s="519">
        <f t="shared" ref="Q23" si="8">P23/G23</f>
        <v>0</v>
      </c>
    </row>
    <row r="24" spans="1:17" ht="84.75" customHeight="1" x14ac:dyDescent="0.3">
      <c r="A24" s="1289" t="s">
        <v>109</v>
      </c>
      <c r="B24" s="1290" t="s">
        <v>2014</v>
      </c>
      <c r="C24" s="790" t="s">
        <v>59</v>
      </c>
      <c r="D24" s="797" t="s">
        <v>204</v>
      </c>
      <c r="E24" s="31">
        <v>1</v>
      </c>
      <c r="F24" s="32">
        <v>2232469</v>
      </c>
      <c r="G24" s="32">
        <f>ROUND((E24*F24),0)</f>
        <v>2232469</v>
      </c>
      <c r="H24" s="1290" t="s">
        <v>2015</v>
      </c>
      <c r="I24" s="799">
        <v>0</v>
      </c>
      <c r="J24" s="685">
        <f>ROUND(I24*F24,0)</f>
        <v>0</v>
      </c>
      <c r="K24" s="684">
        <f t="shared" si="7"/>
        <v>0</v>
      </c>
      <c r="L24" s="799">
        <v>0</v>
      </c>
      <c r="M24" s="685">
        <f>ROUND(L24*F24,0)</f>
        <v>0</v>
      </c>
      <c r="N24" s="684">
        <f t="shared" si="1"/>
        <v>0</v>
      </c>
      <c r="O24" s="799">
        <f t="shared" si="2"/>
        <v>0</v>
      </c>
      <c r="P24" s="685">
        <f t="shared" si="3"/>
        <v>0</v>
      </c>
      <c r="Q24" s="684">
        <f>P24/G24</f>
        <v>0</v>
      </c>
    </row>
    <row r="25" spans="1:17" ht="62.25" customHeight="1" x14ac:dyDescent="0.3">
      <c r="A25" s="1289"/>
      <c r="B25" s="1290"/>
      <c r="C25" s="790" t="s">
        <v>61</v>
      </c>
      <c r="D25" s="797" t="s">
        <v>205</v>
      </c>
      <c r="E25" s="31">
        <v>1</v>
      </c>
      <c r="F25" s="32">
        <v>4098960</v>
      </c>
      <c r="G25" s="32">
        <f>ROUND((E25*F25),0)</f>
        <v>4098960</v>
      </c>
      <c r="H25" s="1290"/>
      <c r="I25" s="537">
        <v>0.3</v>
      </c>
      <c r="J25" s="752">
        <f>ROUND(I25*F25,0)</f>
        <v>1229688</v>
      </c>
      <c r="K25" s="753">
        <f t="shared" si="7"/>
        <v>0.3</v>
      </c>
      <c r="L25" s="891">
        <v>0</v>
      </c>
      <c r="M25" s="685">
        <f>ROUND(L25*F25,0)</f>
        <v>0</v>
      </c>
      <c r="N25" s="684">
        <f t="shared" si="1"/>
        <v>0</v>
      </c>
      <c r="O25" s="799">
        <f t="shared" si="2"/>
        <v>0.3</v>
      </c>
      <c r="P25" s="685">
        <f t="shared" si="3"/>
        <v>1229688</v>
      </c>
      <c r="Q25" s="684">
        <f>P25/G25</f>
        <v>0.3</v>
      </c>
    </row>
    <row r="26" spans="1:17" x14ac:dyDescent="0.3">
      <c r="A26" s="1289"/>
      <c r="B26" s="1290"/>
      <c r="C26" s="39"/>
      <c r="D26" s="39" t="s">
        <v>206</v>
      </c>
      <c r="E26" s="40"/>
      <c r="F26" s="41"/>
      <c r="G26" s="42">
        <f>SUM(G24:G25)</f>
        <v>6331429</v>
      </c>
      <c r="H26" s="1290"/>
      <c r="I26" s="40"/>
      <c r="J26" s="683">
        <f>SUM(J24:J25)</f>
        <v>1229688</v>
      </c>
      <c r="K26" s="519">
        <f t="shared" si="7"/>
        <v>0.19421966194361495</v>
      </c>
      <c r="L26" s="40"/>
      <c r="M26" s="683">
        <f>SUM(M24:M25)</f>
        <v>0</v>
      </c>
      <c r="N26" s="1100">
        <f t="shared" si="1"/>
        <v>0</v>
      </c>
      <c r="O26" s="1106"/>
      <c r="P26" s="1107">
        <f t="shared" si="3"/>
        <v>1229688</v>
      </c>
      <c r="Q26" s="519">
        <f t="shared" ref="Q26" si="9">P26/G26</f>
        <v>0.19421966194361495</v>
      </c>
    </row>
    <row r="27" spans="1:17" ht="42" customHeight="1" x14ac:dyDescent="0.3">
      <c r="A27" s="1289" t="s">
        <v>922</v>
      </c>
      <c r="B27" s="1290" t="s">
        <v>2011</v>
      </c>
      <c r="C27" s="833" t="s">
        <v>118</v>
      </c>
      <c r="D27" s="659" t="s">
        <v>119</v>
      </c>
      <c r="E27" s="31">
        <v>0.51</v>
      </c>
      <c r="F27" s="32">
        <v>8307714</v>
      </c>
      <c r="G27" s="32">
        <f>ROUND((E27*F27),0)</f>
        <v>4236934</v>
      </c>
      <c r="H27" s="1290" t="s">
        <v>2012</v>
      </c>
      <c r="I27" s="799">
        <v>0</v>
      </c>
      <c r="J27" s="685">
        <f>ROUND(I27*F27,0)</f>
        <v>0</v>
      </c>
      <c r="K27" s="684">
        <f t="shared" si="7"/>
        <v>0</v>
      </c>
      <c r="L27" s="799">
        <v>0</v>
      </c>
      <c r="M27" s="685">
        <f>ROUND(L27*F27,0)</f>
        <v>0</v>
      </c>
      <c r="N27" s="684">
        <f t="shared" si="1"/>
        <v>0</v>
      </c>
      <c r="O27" s="799">
        <f t="shared" si="2"/>
        <v>0</v>
      </c>
      <c r="P27" s="685">
        <f t="shared" si="3"/>
        <v>0</v>
      </c>
      <c r="Q27" s="684">
        <f>P27/G27</f>
        <v>0</v>
      </c>
    </row>
    <row r="28" spans="1:17" ht="28.5" customHeight="1" x14ac:dyDescent="0.3">
      <c r="A28" s="1529"/>
      <c r="B28" s="1529"/>
      <c r="C28" s="833" t="s">
        <v>83</v>
      </c>
      <c r="D28" s="659" t="s">
        <v>120</v>
      </c>
      <c r="E28" s="31">
        <v>0.59</v>
      </c>
      <c r="F28" s="32">
        <v>5270091</v>
      </c>
      <c r="G28" s="32">
        <f>ROUND((E28*F28),0)</f>
        <v>3109354</v>
      </c>
      <c r="H28" s="1529"/>
      <c r="I28" s="799">
        <v>0</v>
      </c>
      <c r="J28" s="685">
        <f>ROUND(I28*F28,0)</f>
        <v>0</v>
      </c>
      <c r="K28" s="684">
        <f t="shared" si="7"/>
        <v>0</v>
      </c>
      <c r="L28" s="799">
        <v>0</v>
      </c>
      <c r="M28" s="685">
        <f t="shared" ref="M28:M29" si="10">ROUND(L28*F28,0)</f>
        <v>0</v>
      </c>
      <c r="N28" s="684">
        <f t="shared" si="1"/>
        <v>0</v>
      </c>
      <c r="O28" s="799">
        <f t="shared" si="2"/>
        <v>0</v>
      </c>
      <c r="P28" s="685">
        <f t="shared" si="3"/>
        <v>0</v>
      </c>
      <c r="Q28" s="684">
        <f>P28/G28</f>
        <v>0</v>
      </c>
    </row>
    <row r="29" spans="1:17" ht="28.8" x14ac:dyDescent="0.3">
      <c r="A29" s="1529"/>
      <c r="B29" s="1529"/>
      <c r="C29" s="833" t="s">
        <v>61</v>
      </c>
      <c r="D29" s="659" t="s">
        <v>121</v>
      </c>
      <c r="E29" s="31">
        <v>0</v>
      </c>
      <c r="F29" s="32">
        <v>4501536</v>
      </c>
      <c r="G29" s="32">
        <f>ROUND((E29*F29),0)</f>
        <v>0</v>
      </c>
      <c r="H29" s="1529"/>
      <c r="I29" s="799">
        <v>0</v>
      </c>
      <c r="J29" s="685">
        <f>ROUND(I29*F29,0)</f>
        <v>0</v>
      </c>
      <c r="K29" s="684">
        <v>0</v>
      </c>
      <c r="L29" s="799">
        <v>0</v>
      </c>
      <c r="M29" s="685">
        <f t="shared" si="10"/>
        <v>0</v>
      </c>
      <c r="N29" s="684">
        <v>0</v>
      </c>
      <c r="O29" s="799">
        <f t="shared" si="2"/>
        <v>0</v>
      </c>
      <c r="P29" s="685">
        <f t="shared" si="3"/>
        <v>0</v>
      </c>
      <c r="Q29" s="684">
        <v>0</v>
      </c>
    </row>
    <row r="30" spans="1:17" x14ac:dyDescent="0.3">
      <c r="A30" s="1529"/>
      <c r="B30" s="1529"/>
      <c r="C30" s="1528" t="s">
        <v>2013</v>
      </c>
      <c r="D30" s="1528"/>
      <c r="E30" s="40"/>
      <c r="F30" s="41"/>
      <c r="G30" s="42">
        <f>SUM(G27:G29)</f>
        <v>7346288</v>
      </c>
      <c r="H30" s="754"/>
      <c r="I30" s="40"/>
      <c r="J30" s="683">
        <f>SUM(J27:J29)</f>
        <v>0</v>
      </c>
      <c r="K30" s="519">
        <f>J30/G30</f>
        <v>0</v>
      </c>
      <c r="L30" s="40"/>
      <c r="M30" s="683">
        <f>SUM(M27:M29)</f>
        <v>0</v>
      </c>
      <c r="N30" s="1100">
        <f t="shared" si="1"/>
        <v>0</v>
      </c>
      <c r="O30" s="1108"/>
      <c r="P30" s="1107">
        <f t="shared" si="3"/>
        <v>0</v>
      </c>
      <c r="Q30" s="519">
        <f t="shared" ref="Q30" si="11">P30/G30</f>
        <v>0</v>
      </c>
    </row>
    <row r="31" spans="1:17" s="795" customFormat="1" x14ac:dyDescent="0.3">
      <c r="E31" s="80"/>
      <c r="F31" s="686" t="s">
        <v>1740</v>
      </c>
      <c r="G31" s="687">
        <f>SUM(G30,G26,G23,G19,G16)</f>
        <v>37932214</v>
      </c>
      <c r="I31" s="547" t="s">
        <v>64</v>
      </c>
      <c r="J31" s="688">
        <f>SUM(J14:J30)/2</f>
        <v>3776898</v>
      </c>
      <c r="L31" s="547" t="s">
        <v>64</v>
      </c>
      <c r="M31" s="688">
        <f>SUM(M14:M30)/2</f>
        <v>0</v>
      </c>
      <c r="N31" s="1054"/>
      <c r="O31" s="547" t="s">
        <v>64</v>
      </c>
      <c r="P31" s="688">
        <f>SUM(P14:P30)/2</f>
        <v>3776898</v>
      </c>
    </row>
    <row r="32" spans="1:17" s="795" customFormat="1" ht="26.4" x14ac:dyDescent="0.3">
      <c r="E32" s="80"/>
      <c r="F32" s="444" t="s">
        <v>65</v>
      </c>
      <c r="G32" s="181">
        <v>0</v>
      </c>
      <c r="I32" s="548" t="s">
        <v>65</v>
      </c>
      <c r="J32" s="677">
        <v>0</v>
      </c>
      <c r="L32" s="548" t="s">
        <v>65</v>
      </c>
      <c r="M32" s="677">
        <v>0</v>
      </c>
      <c r="N32" s="1054"/>
      <c r="O32" s="548" t="s">
        <v>65</v>
      </c>
      <c r="P32" s="677">
        <v>0</v>
      </c>
    </row>
    <row r="33" spans="1:17" s="795" customFormat="1" x14ac:dyDescent="0.3">
      <c r="E33" s="80"/>
      <c r="F33" s="443" t="s">
        <v>1740</v>
      </c>
      <c r="G33" s="340">
        <f>+G32+G31</f>
        <v>37932214</v>
      </c>
      <c r="I33" s="549" t="s">
        <v>64</v>
      </c>
      <c r="J33" s="481">
        <f>J31+J32</f>
        <v>3776898</v>
      </c>
      <c r="L33" s="549" t="s">
        <v>64</v>
      </c>
      <c r="M33" s="481">
        <f>M31+M32</f>
        <v>0</v>
      </c>
      <c r="N33" s="1054"/>
      <c r="O33" s="549" t="s">
        <v>64</v>
      </c>
      <c r="P33" s="481">
        <f>P31+P32</f>
        <v>3776898</v>
      </c>
    </row>
    <row r="34" spans="1:17" s="795" customFormat="1" ht="26.4" x14ac:dyDescent="0.3">
      <c r="E34" s="80"/>
      <c r="F34" s="659"/>
      <c r="G34" s="659"/>
      <c r="I34" s="501" t="s">
        <v>1439</v>
      </c>
      <c r="J34" s="481">
        <f>ROUND(J33*0.015,0)</f>
        <v>56653</v>
      </c>
      <c r="L34" s="501" t="s">
        <v>1439</v>
      </c>
      <c r="M34" s="481">
        <f>ROUND(M33*0.015,0)</f>
        <v>0</v>
      </c>
      <c r="N34" s="1054"/>
      <c r="O34" s="501" t="s">
        <v>1439</v>
      </c>
      <c r="P34" s="481">
        <f>ROUND(P33*0.015,0)</f>
        <v>56653</v>
      </c>
    </row>
    <row r="35" spans="1:17" s="795" customFormat="1" ht="39.6" x14ac:dyDescent="0.3">
      <c r="E35" s="80"/>
      <c r="F35" s="659"/>
      <c r="G35" s="659"/>
      <c r="I35" s="96" t="s">
        <v>1440</v>
      </c>
      <c r="J35" s="783">
        <f>J33+J34</f>
        <v>3833551</v>
      </c>
      <c r="K35" s="832">
        <f>J35/G31</f>
        <v>0.10106320184737964</v>
      </c>
      <c r="L35" s="96" t="s">
        <v>1440</v>
      </c>
      <c r="M35" s="783">
        <f>M33+M34</f>
        <v>0</v>
      </c>
      <c r="N35" s="832">
        <f>M35/G31</f>
        <v>0</v>
      </c>
      <c r="O35" s="96" t="s">
        <v>1440</v>
      </c>
      <c r="P35" s="425">
        <f>P33+P34</f>
        <v>3833551</v>
      </c>
      <c r="Q35" s="678">
        <f>P35/G31</f>
        <v>0.10106320184737964</v>
      </c>
    </row>
    <row r="36" spans="1:17" s="795" customFormat="1" x14ac:dyDescent="0.3">
      <c r="E36" s="80"/>
      <c r="F36" s="442" t="s">
        <v>66</v>
      </c>
      <c r="G36" s="181">
        <f>+G31*19%</f>
        <v>7207120.6600000001</v>
      </c>
      <c r="I36" s="551" t="s">
        <v>66</v>
      </c>
      <c r="J36" s="672">
        <f>J35*0.19</f>
        <v>728374.69000000006</v>
      </c>
      <c r="L36" s="551" t="s">
        <v>66</v>
      </c>
      <c r="M36" s="672">
        <f>M35*0.19</f>
        <v>0</v>
      </c>
      <c r="N36" s="1054"/>
      <c r="O36" s="551" t="s">
        <v>66</v>
      </c>
      <c r="P36" s="672">
        <f>P35*0.19</f>
        <v>728374.69000000006</v>
      </c>
    </row>
    <row r="37" spans="1:17" s="795" customFormat="1" x14ac:dyDescent="0.3">
      <c r="E37" s="80"/>
      <c r="F37" s="441" t="s">
        <v>69</v>
      </c>
      <c r="G37" s="181">
        <f>+G31+G36</f>
        <v>45139334.659999996</v>
      </c>
      <c r="I37" s="552" t="s">
        <v>69</v>
      </c>
      <c r="J37" s="672">
        <f>J35+J36</f>
        <v>4561925.6900000004</v>
      </c>
      <c r="L37" s="552" t="s">
        <v>69</v>
      </c>
      <c r="M37" s="672">
        <f>M35+M36</f>
        <v>0</v>
      </c>
      <c r="N37" s="1054"/>
      <c r="O37" s="552" t="s">
        <v>69</v>
      </c>
      <c r="P37" s="672">
        <f>P35+P36</f>
        <v>4561925.6900000004</v>
      </c>
    </row>
    <row r="38" spans="1:17" s="795" customFormat="1" x14ac:dyDescent="0.3">
      <c r="E38" s="80"/>
      <c r="L38" s="1054"/>
      <c r="M38" s="1054"/>
      <c r="N38" s="1054"/>
    </row>
    <row r="39" spans="1:17" s="795" customFormat="1" ht="26.4" x14ac:dyDescent="0.3">
      <c r="A39" s="665" t="s">
        <v>67</v>
      </c>
      <c r="B39" s="184"/>
      <c r="C39" s="184"/>
      <c r="D39" s="185" t="s">
        <v>68</v>
      </c>
      <c r="E39" s="80"/>
      <c r="I39" s="186" t="s">
        <v>70</v>
      </c>
      <c r="J39" s="187" t="s">
        <v>71</v>
      </c>
      <c r="K39" s="186" t="s">
        <v>58</v>
      </c>
      <c r="L39" s="186" t="s">
        <v>70</v>
      </c>
      <c r="M39" s="187" t="s">
        <v>71</v>
      </c>
      <c r="N39" s="186" t="s">
        <v>58</v>
      </c>
    </row>
    <row r="40" spans="1:17" s="795" customFormat="1" x14ac:dyDescent="0.3">
      <c r="A40" s="665"/>
      <c r="B40" s="184"/>
      <c r="C40" s="184"/>
      <c r="D40" s="185"/>
      <c r="E40" s="80"/>
      <c r="I40" s="69" t="s">
        <v>72</v>
      </c>
      <c r="J40" s="70">
        <f>J35</f>
        <v>3833551</v>
      </c>
      <c r="K40" s="360">
        <f>K35</f>
        <v>0.10106320184737964</v>
      </c>
      <c r="L40" s="69" t="s">
        <v>72</v>
      </c>
      <c r="M40" s="70">
        <f>$J$35</f>
        <v>3833551</v>
      </c>
      <c r="N40" s="360">
        <f>$K$35</f>
        <v>0.10106320184737964</v>
      </c>
    </row>
    <row r="41" spans="1:17" s="795" customFormat="1" x14ac:dyDescent="0.3">
      <c r="A41" s="665"/>
      <c r="B41" s="184"/>
      <c r="C41" s="184"/>
      <c r="D41" s="185"/>
      <c r="E41" s="80"/>
      <c r="I41" s="72" t="s">
        <v>1</v>
      </c>
      <c r="J41" s="105">
        <f>J40</f>
        <v>3833551</v>
      </c>
      <c r="K41" s="361">
        <f>K40</f>
        <v>0.10106320184737964</v>
      </c>
      <c r="L41" s="69" t="s">
        <v>73</v>
      </c>
      <c r="M41" s="70">
        <f>$M$35</f>
        <v>0</v>
      </c>
      <c r="N41" s="360">
        <f>$N$35</f>
        <v>0</v>
      </c>
    </row>
    <row r="42" spans="1:17" s="795" customFormat="1" x14ac:dyDescent="0.3">
      <c r="A42" s="665"/>
      <c r="B42" s="184"/>
      <c r="C42" s="184"/>
      <c r="D42" s="185"/>
      <c r="E42" s="80"/>
      <c r="I42" s="72" t="s">
        <v>9</v>
      </c>
      <c r="J42" s="1423"/>
      <c r="K42" s="1424"/>
      <c r="L42" s="72" t="s">
        <v>1</v>
      </c>
      <c r="M42" s="105">
        <f>SUM(M40:M41)</f>
        <v>3833551</v>
      </c>
      <c r="N42" s="361">
        <f>SUM(N40:N41)</f>
        <v>0.10106320184737964</v>
      </c>
    </row>
    <row r="43" spans="1:17" s="795" customFormat="1" x14ac:dyDescent="0.3">
      <c r="A43" s="665"/>
      <c r="B43" s="184"/>
      <c r="C43" s="184"/>
      <c r="D43" s="185"/>
      <c r="E43" s="80"/>
      <c r="I43" s="440" t="s">
        <v>78</v>
      </c>
      <c r="J43" s="1423"/>
      <c r="K43" s="1424"/>
      <c r="L43" s="72" t="s">
        <v>9</v>
      </c>
      <c r="M43" s="1423"/>
      <c r="N43" s="1424"/>
    </row>
    <row r="44" spans="1:17" s="795" customFormat="1" x14ac:dyDescent="0.3">
      <c r="A44" s="665"/>
      <c r="B44" s="184"/>
      <c r="C44" s="184"/>
      <c r="D44" s="185"/>
      <c r="E44" s="80"/>
      <c r="I44" s="439" t="s">
        <v>8</v>
      </c>
      <c r="J44" s="1425"/>
      <c r="K44" s="1426"/>
      <c r="L44" s="440" t="s">
        <v>78</v>
      </c>
      <c r="M44" s="1423"/>
      <c r="N44" s="1424"/>
    </row>
    <row r="45" spans="1:17" s="795" customFormat="1" x14ac:dyDescent="0.3">
      <c r="A45" s="665"/>
      <c r="B45" s="184"/>
      <c r="C45" s="184"/>
      <c r="D45" s="185" t="s">
        <v>75</v>
      </c>
      <c r="E45" s="80"/>
      <c r="L45" s="439" t="s">
        <v>8</v>
      </c>
      <c r="M45" s="1425"/>
      <c r="N45" s="1426"/>
    </row>
    <row r="46" spans="1:17" s="795" customFormat="1" x14ac:dyDescent="0.3">
      <c r="A46" s="665" t="s">
        <v>76</v>
      </c>
      <c r="B46" s="180"/>
      <c r="C46" s="180"/>
      <c r="D46" s="185" t="s">
        <v>77</v>
      </c>
      <c r="E46" s="80"/>
      <c r="L46" s="1054"/>
      <c r="M46" s="1054"/>
      <c r="N46" s="1054"/>
    </row>
    <row r="47" spans="1:17" s="795" customFormat="1" x14ac:dyDescent="0.3">
      <c r="A47" s="665" t="s">
        <v>79</v>
      </c>
      <c r="B47" s="180"/>
      <c r="C47" s="180"/>
      <c r="D47" s="185" t="s">
        <v>80</v>
      </c>
      <c r="E47" s="80"/>
      <c r="L47" s="1054"/>
      <c r="M47" s="1054"/>
      <c r="N47" s="1054"/>
    </row>
    <row r="48" spans="1:17" x14ac:dyDescent="0.3">
      <c r="A48" s="788"/>
      <c r="B48" s="788"/>
      <c r="C48" s="788"/>
      <c r="D48" s="788"/>
      <c r="E48" s="959"/>
      <c r="F48" s="788"/>
    </row>
    <row r="49" spans="1:6" x14ac:dyDescent="0.3">
      <c r="A49" s="788"/>
      <c r="B49" s="788"/>
      <c r="C49" s="788"/>
      <c r="D49" s="788"/>
      <c r="E49" s="959"/>
      <c r="F49" s="788"/>
    </row>
    <row r="50" spans="1:6" x14ac:dyDescent="0.3">
      <c r="A50" s="788"/>
      <c r="B50" s="788"/>
      <c r="C50" s="788"/>
      <c r="D50" s="788"/>
      <c r="E50" s="959"/>
      <c r="F50" s="788"/>
    </row>
  </sheetData>
  <sheetProtection formatCells="0" formatColumns="0" formatRows="0" insertColumns="0" insertRows="0" insertHyperlinks="0" deleteColumns="0" deleteRows="0" sort="0" autoFilter="0" pivotTables="0"/>
  <mergeCells count="39">
    <mergeCell ref="C30:D30"/>
    <mergeCell ref="C23:D23"/>
    <mergeCell ref="A27:A30"/>
    <mergeCell ref="B27:B30"/>
    <mergeCell ref="H17:H19"/>
    <mergeCell ref="A24:A26"/>
    <mergeCell ref="B24:B26"/>
    <mergeCell ref="H24:H26"/>
    <mergeCell ref="H27:H29"/>
    <mergeCell ref="C1:J2"/>
    <mergeCell ref="A3:P3"/>
    <mergeCell ref="A4:P4"/>
    <mergeCell ref="K1:Q1"/>
    <mergeCell ref="K2:Q2"/>
    <mergeCell ref="A5:P5"/>
    <mergeCell ref="A6:P6"/>
    <mergeCell ref="A7:P7"/>
    <mergeCell ref="A8:P8"/>
    <mergeCell ref="A9:P9"/>
    <mergeCell ref="A14:A16"/>
    <mergeCell ref="B14:B16"/>
    <mergeCell ref="H14:H16"/>
    <mergeCell ref="A20:A23"/>
    <mergeCell ref="B20:B23"/>
    <mergeCell ref="H20:H22"/>
    <mergeCell ref="A17:A19"/>
    <mergeCell ref="B17:B19"/>
    <mergeCell ref="A10:P10"/>
    <mergeCell ref="B11:G11"/>
    <mergeCell ref="O11:Q12"/>
    <mergeCell ref="B12:G12"/>
    <mergeCell ref="I11:K12"/>
    <mergeCell ref="L11:N12"/>
    <mergeCell ref="M43:N43"/>
    <mergeCell ref="M44:N44"/>
    <mergeCell ref="M45:N45"/>
    <mergeCell ref="J42:K42"/>
    <mergeCell ref="J43:K43"/>
    <mergeCell ref="J44:K44"/>
  </mergeCells>
  <pageMargins left="0.7" right="0.7" top="0.75" bottom="0.75" header="0.3" footer="0.3"/>
  <pageSetup scale="41" orientation="landscape" r:id="rId1"/>
  <drawing r:id="rId2"/>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7"/>
  <dimension ref="A1:G49"/>
  <sheetViews>
    <sheetView topLeftCell="A10" workbookViewId="0">
      <selection activeCell="G26" sqref="G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RESUMEN!G140</f>
        <v>Proyecto: CDIE_CBCCSM_R0184, PC1 -  NORMALIZACIÓN SE MT-MT.</v>
      </c>
      <c r="C5" s="1281"/>
      <c r="D5" s="1281"/>
      <c r="E5" s="1281"/>
      <c r="F5" s="1281"/>
      <c r="G5" s="1282"/>
    </row>
    <row r="6" spans="1:7" x14ac:dyDescent="0.25">
      <c r="A6" s="1177"/>
      <c r="B6" s="1177"/>
      <c r="C6" s="1177"/>
      <c r="D6" s="1177"/>
      <c r="E6" s="1177"/>
      <c r="F6" s="1177"/>
      <c r="G6" s="1177"/>
    </row>
    <row r="7" spans="1:7" x14ac:dyDescent="0.25">
      <c r="A7" s="271" t="s">
        <v>0</v>
      </c>
      <c r="B7" s="1264">
        <f>RESUMEN!B140</f>
        <v>0</v>
      </c>
      <c r="C7" s="1265"/>
      <c r="D7" s="1177"/>
      <c r="E7" s="1266" t="s">
        <v>627</v>
      </c>
      <c r="F7" s="1267"/>
      <c r="G7" s="280" t="str">
        <f>RESUMEN!E140</f>
        <v xml:space="preserve">18-002 </v>
      </c>
    </row>
    <row r="8" spans="1:7" x14ac:dyDescent="0.25">
      <c r="A8" s="271" t="s">
        <v>628</v>
      </c>
      <c r="B8" s="1264">
        <f>RESUMEN!C140</f>
        <v>0</v>
      </c>
      <c r="C8" s="1265"/>
      <c r="D8" s="1177"/>
      <c r="E8" s="1266" t="s">
        <v>629</v>
      </c>
      <c r="F8" s="1267"/>
      <c r="G8" s="280" t="str">
        <f>RESUMEN!U140</f>
        <v>Acta N° 1: Marzo</v>
      </c>
    </row>
    <row r="9" spans="1:7" x14ac:dyDescent="0.25">
      <c r="A9" s="271" t="s">
        <v>630</v>
      </c>
      <c r="B9" s="1283" t="s">
        <v>631</v>
      </c>
      <c r="C9" s="1265"/>
      <c r="D9" s="1177"/>
      <c r="E9" s="1266" t="s">
        <v>632</v>
      </c>
      <c r="F9" s="1267"/>
      <c r="G9" s="1178">
        <f>RESUMEN!H140</f>
        <v>4432001</v>
      </c>
    </row>
    <row r="10" spans="1:7" x14ac:dyDescent="0.25">
      <c r="A10" s="271" t="s">
        <v>633</v>
      </c>
      <c r="B10" s="1283" t="str">
        <f>RESUMEN!D140</f>
        <v>VIANÍ</v>
      </c>
      <c r="C10" s="1265"/>
      <c r="D10" s="1177"/>
      <c r="E10" s="1266" t="s">
        <v>634</v>
      </c>
      <c r="F10" s="1267"/>
      <c r="G10" s="1178">
        <f>RESUMEN!R140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 PC1 -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RESUMEN!N140</f>
        <v>0</v>
      </c>
      <c r="F19" s="1248"/>
      <c r="G19" s="1177"/>
    </row>
    <row r="20" spans="1:7" ht="27" customHeight="1" x14ac:dyDescent="0.25">
      <c r="A20" s="1177"/>
      <c r="B20" s="1244" t="s">
        <v>1498</v>
      </c>
      <c r="C20" s="1245"/>
      <c r="D20" s="1246"/>
      <c r="E20" s="1247">
        <f>RESUMEN!P140</f>
        <v>0</v>
      </c>
      <c r="F20" s="1248"/>
      <c r="G20" s="1177"/>
    </row>
    <row r="21" spans="1:7" ht="27" customHeight="1" x14ac:dyDescent="0.25">
      <c r="A21" s="1177"/>
      <c r="B21" s="1244" t="s">
        <v>1499</v>
      </c>
      <c r="C21" s="1245"/>
      <c r="D21" s="1246"/>
      <c r="E21" s="1247">
        <f>RESUMEN!Q140</f>
        <v>0</v>
      </c>
      <c r="F21" s="1248"/>
      <c r="G21" s="1177"/>
    </row>
    <row r="22" spans="1:7" x14ac:dyDescent="0.25">
      <c r="A22" s="1177"/>
      <c r="B22" s="1254" t="s">
        <v>64</v>
      </c>
      <c r="C22" s="1254"/>
      <c r="D22" s="1254"/>
      <c r="E22" s="1255">
        <f>RESUMEN!R140</f>
        <v>0</v>
      </c>
      <c r="F22" s="1255"/>
      <c r="G22" s="1177"/>
    </row>
    <row r="23" spans="1:7" x14ac:dyDescent="0.25">
      <c r="A23" s="1177"/>
      <c r="B23" s="1256" t="s">
        <v>66</v>
      </c>
      <c r="C23" s="1256"/>
      <c r="D23" s="1256"/>
      <c r="E23" s="1257">
        <f>RESUMEN!S140</f>
        <v>0</v>
      </c>
      <c r="F23" s="1257"/>
      <c r="G23" s="1177"/>
    </row>
    <row r="24" spans="1:7" x14ac:dyDescent="0.25">
      <c r="A24" s="1177"/>
      <c r="B24" s="1258" t="s">
        <v>1</v>
      </c>
      <c r="C24" s="1258"/>
      <c r="D24" s="1258"/>
      <c r="E24" s="1259">
        <f>RESUMEN!T140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+'OT18-002 VIANÍ'!I26</f>
        <v>ACTA 1</v>
      </c>
      <c r="C28" s="1253">
        <f>+'OT18-002 VIANÍ'!J26</f>
        <v>0</v>
      </c>
      <c r="D28" s="1253"/>
      <c r="E28" s="267">
        <f>+'OT18-002 VIANÍ'!K26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RESUMEN!V140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9"/>
  <dimension ref="A1:N33"/>
  <sheetViews>
    <sheetView zoomScale="70" zoomScaleNormal="70" workbookViewId="0">
      <selection activeCell="M16" sqref="M16"/>
    </sheetView>
  </sheetViews>
  <sheetFormatPr baseColWidth="10" defaultColWidth="9.109375" defaultRowHeight="14.4" x14ac:dyDescent="0.3"/>
  <cols>
    <col min="1" max="1" width="15.44140625" style="786" customWidth="1"/>
    <col min="2" max="2" width="31.88671875" style="786" customWidth="1"/>
    <col min="3" max="3" width="32.6640625" style="786" customWidth="1"/>
    <col min="4" max="4" width="22.33203125" style="786" bestFit="1" customWidth="1"/>
    <col min="5" max="5" width="10.5546875" style="786" bestFit="1" customWidth="1"/>
    <col min="6" max="6" width="14.44140625" style="786" bestFit="1" customWidth="1"/>
    <col min="7" max="7" width="15.88671875" style="786" customWidth="1"/>
    <col min="8" max="8" width="40.88671875" style="786" customWidth="1"/>
    <col min="9" max="9" width="19.6640625" style="786" customWidth="1"/>
    <col min="10" max="10" width="14.6640625" style="786" customWidth="1"/>
    <col min="11" max="11" width="9.109375" style="786"/>
    <col min="12" max="12" width="17.33203125" style="786" customWidth="1"/>
    <col min="13" max="13" width="16.44140625" style="786" customWidth="1"/>
    <col min="14" max="16384" width="9.109375" style="786"/>
  </cols>
  <sheetData>
    <row r="1" spans="1:14" s="795" customFormat="1" ht="30.75" customHeight="1" x14ac:dyDescent="0.3">
      <c r="A1" s="169"/>
      <c r="B1" s="188"/>
      <c r="C1" s="1307" t="s">
        <v>40</v>
      </c>
      <c r="D1" s="1308"/>
      <c r="E1" s="1308"/>
      <c r="F1" s="1308"/>
      <c r="G1" s="1308"/>
      <c r="H1" s="1308"/>
      <c r="I1" s="1308"/>
      <c r="J1" s="1308"/>
      <c r="K1" s="1526" t="s">
        <v>2123</v>
      </c>
      <c r="L1" s="1527"/>
      <c r="M1" s="1527"/>
      <c r="N1" s="1527"/>
    </row>
    <row r="2" spans="1:14" s="795" customFormat="1" ht="15" thickBot="1" x14ac:dyDescent="0.35">
      <c r="A2" s="170"/>
      <c r="B2" s="190"/>
      <c r="C2" s="1310"/>
      <c r="D2" s="1311"/>
      <c r="E2" s="1311"/>
      <c r="F2" s="1311"/>
      <c r="G2" s="1311"/>
      <c r="H2" s="1311"/>
      <c r="I2" s="1311"/>
      <c r="J2" s="1311"/>
      <c r="K2" s="1459" t="s">
        <v>41</v>
      </c>
      <c r="L2" s="1459"/>
      <c r="M2" s="1459"/>
      <c r="N2" s="1459"/>
    </row>
    <row r="3" spans="1:14" s="795" customFormat="1" x14ac:dyDescent="0.3">
      <c r="A3" s="1292" t="s">
        <v>42</v>
      </c>
      <c r="B3" s="1292"/>
      <c r="C3" s="1292"/>
      <c r="D3" s="1292"/>
      <c r="E3" s="1292"/>
      <c r="F3" s="1292"/>
      <c r="G3" s="1292"/>
      <c r="H3" s="1292"/>
      <c r="I3" s="1292"/>
      <c r="J3" s="1292"/>
      <c r="K3" s="1292"/>
      <c r="L3" s="1292"/>
      <c r="M3" s="1292"/>
    </row>
    <row r="4" spans="1:14" s="795" customFormat="1" x14ac:dyDescent="0.3">
      <c r="A4" s="1292" t="s">
        <v>43</v>
      </c>
      <c r="B4" s="1292"/>
      <c r="C4" s="1292"/>
      <c r="D4" s="1292"/>
      <c r="E4" s="1292"/>
      <c r="F4" s="1292"/>
      <c r="G4" s="1292"/>
      <c r="H4" s="1292"/>
      <c r="I4" s="1292"/>
      <c r="J4" s="1292"/>
      <c r="K4" s="1292"/>
      <c r="L4" s="1292"/>
      <c r="M4" s="1292"/>
    </row>
    <row r="5" spans="1:14" s="795" customFormat="1" x14ac:dyDescent="0.3">
      <c r="A5" s="1292" t="s">
        <v>44</v>
      </c>
      <c r="B5" s="1292"/>
      <c r="C5" s="1292"/>
      <c r="D5" s="1292"/>
      <c r="E5" s="1292"/>
      <c r="F5" s="1292"/>
      <c r="G5" s="1292"/>
      <c r="H5" s="1292"/>
      <c r="I5" s="1292"/>
      <c r="J5" s="1292"/>
      <c r="K5" s="1292"/>
      <c r="L5" s="1292"/>
      <c r="M5" s="1292"/>
    </row>
    <row r="6" spans="1:14" s="795" customFormat="1" x14ac:dyDescent="0.3">
      <c r="A6" s="1292" t="s">
        <v>45</v>
      </c>
      <c r="B6" s="1292"/>
      <c r="C6" s="1292"/>
      <c r="D6" s="1292"/>
      <c r="E6" s="1292"/>
      <c r="F6" s="1292"/>
      <c r="G6" s="1292"/>
      <c r="H6" s="1292"/>
      <c r="I6" s="1292"/>
      <c r="J6" s="1292"/>
      <c r="K6" s="1292"/>
      <c r="L6" s="1292"/>
      <c r="M6" s="1292"/>
    </row>
    <row r="7" spans="1:14" s="795" customFormat="1" x14ac:dyDescent="0.3">
      <c r="A7" s="1291" t="s">
        <v>2122</v>
      </c>
      <c r="B7" s="1292"/>
      <c r="C7" s="1292"/>
      <c r="D7" s="1292"/>
      <c r="E7" s="1292"/>
      <c r="F7" s="1292"/>
      <c r="G7" s="1292"/>
      <c r="H7" s="1292"/>
      <c r="I7" s="1292"/>
      <c r="J7" s="1292"/>
      <c r="K7" s="1292"/>
      <c r="L7" s="1292"/>
      <c r="M7" s="1292"/>
    </row>
    <row r="8" spans="1:14" s="795" customFormat="1" x14ac:dyDescent="0.3">
      <c r="A8" s="1292" t="s">
        <v>2312</v>
      </c>
      <c r="B8" s="1292"/>
      <c r="C8" s="1292"/>
      <c r="D8" s="1292"/>
      <c r="E8" s="1292"/>
      <c r="F8" s="1292"/>
      <c r="G8" s="1292"/>
      <c r="H8" s="1292"/>
      <c r="I8" s="1292"/>
      <c r="J8" s="1292"/>
      <c r="K8" s="1292"/>
      <c r="L8" s="1292"/>
      <c r="M8" s="1292"/>
    </row>
    <row r="9" spans="1:14" s="795" customFormat="1" x14ac:dyDescent="0.3">
      <c r="A9" s="1292" t="s">
        <v>2305</v>
      </c>
      <c r="B9" s="1292"/>
      <c r="C9" s="1292"/>
      <c r="D9" s="1292"/>
      <c r="E9" s="1292"/>
      <c r="F9" s="1292"/>
      <c r="G9" s="1292"/>
      <c r="H9" s="1292"/>
      <c r="I9" s="1292"/>
      <c r="J9" s="1292"/>
      <c r="K9" s="1292"/>
      <c r="L9" s="1292"/>
      <c r="M9" s="1292"/>
    </row>
    <row r="10" spans="1:14" s="795" customFormat="1" x14ac:dyDescent="0.3">
      <c r="A10" s="1292" t="s">
        <v>2124</v>
      </c>
      <c r="B10" s="1292"/>
      <c r="C10" s="1292"/>
      <c r="D10" s="1292"/>
      <c r="E10" s="1292"/>
      <c r="F10" s="1292"/>
      <c r="G10" s="1292"/>
      <c r="H10" s="1292"/>
      <c r="I10" s="1292"/>
      <c r="J10" s="1292"/>
      <c r="K10" s="1292"/>
      <c r="L10" s="1292"/>
      <c r="M10" s="1292"/>
    </row>
    <row r="11" spans="1:14" s="795" customFormat="1" x14ac:dyDescent="0.3">
      <c r="A11" s="791"/>
      <c r="B11" s="1301"/>
      <c r="C11" s="1313"/>
      <c r="D11" s="1313"/>
      <c r="E11" s="1313"/>
      <c r="F11" s="1313"/>
      <c r="G11" s="1313"/>
      <c r="I11" s="1470" t="s">
        <v>2313</v>
      </c>
      <c r="J11" s="1471"/>
      <c r="K11" s="1472"/>
      <c r="L11" s="1299" t="s">
        <v>49</v>
      </c>
      <c r="M11" s="1299"/>
      <c r="N11" s="1299"/>
    </row>
    <row r="12" spans="1:14" s="795"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55</v>
      </c>
      <c r="G13" s="661" t="s">
        <v>56</v>
      </c>
      <c r="H13" s="660" t="s">
        <v>57</v>
      </c>
      <c r="I13" s="502" t="s">
        <v>54</v>
      </c>
      <c r="J13" s="502" t="s">
        <v>56</v>
      </c>
      <c r="K13" s="502" t="s">
        <v>58</v>
      </c>
      <c r="L13" s="502" t="s">
        <v>54</v>
      </c>
      <c r="M13" s="502" t="s">
        <v>56</v>
      </c>
      <c r="N13" s="502" t="s">
        <v>58</v>
      </c>
    </row>
    <row r="14" spans="1:14" ht="47.25" customHeight="1" x14ac:dyDescent="0.3">
      <c r="A14" s="1289" t="s">
        <v>285</v>
      </c>
      <c r="B14" s="1289" t="s">
        <v>320</v>
      </c>
      <c r="C14" s="790" t="s">
        <v>59</v>
      </c>
      <c r="D14" s="790" t="s">
        <v>321</v>
      </c>
      <c r="E14" s="31">
        <v>0.7</v>
      </c>
      <c r="F14" s="32">
        <v>6331430</v>
      </c>
      <c r="G14" s="32">
        <f>ROUND((E14*F14),0)</f>
        <v>4432001</v>
      </c>
      <c r="H14" s="1289" t="s">
        <v>2016</v>
      </c>
      <c r="I14" s="799">
        <v>0</v>
      </c>
      <c r="J14" s="685">
        <f>ROUND(I14*F14,0)</f>
        <v>0</v>
      </c>
      <c r="K14" s="684">
        <f>J14/G14</f>
        <v>0</v>
      </c>
      <c r="L14" s="799">
        <f>I14</f>
        <v>0</v>
      </c>
      <c r="M14" s="685">
        <f>J14</f>
        <v>0</v>
      </c>
      <c r="N14" s="684">
        <f>M14/G14</f>
        <v>0</v>
      </c>
    </row>
    <row r="15" spans="1:14" ht="32.25" customHeight="1" x14ac:dyDescent="0.3">
      <c r="A15" s="1289"/>
      <c r="B15" s="1289"/>
      <c r="C15" s="790" t="s">
        <v>61</v>
      </c>
      <c r="D15" s="790" t="s">
        <v>322</v>
      </c>
      <c r="E15" s="31">
        <v>0</v>
      </c>
      <c r="F15" s="32">
        <v>6990192</v>
      </c>
      <c r="G15" s="32">
        <f>ROUND((E15*F15),0)</f>
        <v>0</v>
      </c>
      <c r="H15" s="1289"/>
      <c r="I15" s="799">
        <v>0</v>
      </c>
      <c r="J15" s="685">
        <f>ROUND(I15*F15,0)</f>
        <v>0</v>
      </c>
      <c r="K15" s="684">
        <v>0</v>
      </c>
      <c r="L15" s="799">
        <f>I15</f>
        <v>0</v>
      </c>
      <c r="M15" s="685">
        <f>J15</f>
        <v>0</v>
      </c>
      <c r="N15" s="684">
        <v>0</v>
      </c>
    </row>
    <row r="16" spans="1:14" x14ac:dyDescent="0.3">
      <c r="A16" s="1289"/>
      <c r="B16" s="1289"/>
      <c r="C16" s="39"/>
      <c r="D16" s="39" t="s">
        <v>143</v>
      </c>
      <c r="E16" s="41"/>
      <c r="F16" s="41"/>
      <c r="G16" s="42">
        <f>SUM(G14:G15)</f>
        <v>4432001</v>
      </c>
      <c r="H16" s="1289"/>
      <c r="I16" s="40"/>
      <c r="J16" s="683">
        <f>SUM(J14:J15)</f>
        <v>0</v>
      </c>
      <c r="K16" s="519">
        <f>J16/G16</f>
        <v>0</v>
      </c>
      <c r="L16" s="40"/>
      <c r="M16" s="683">
        <f>SUM(M15:M15)</f>
        <v>0</v>
      </c>
      <c r="N16" s="519">
        <f t="shared" ref="N16" si="0">M16/G16</f>
        <v>0</v>
      </c>
    </row>
    <row r="17" spans="1:14" s="795" customFormat="1" x14ac:dyDescent="0.3">
      <c r="F17" s="836" t="s">
        <v>1740</v>
      </c>
      <c r="G17" s="837">
        <f>SUM(G16,G12,G9,G5,G2)</f>
        <v>4432001</v>
      </c>
      <c r="I17" s="547" t="s">
        <v>64</v>
      </c>
      <c r="J17" s="835">
        <f>SUM(J16)</f>
        <v>0</v>
      </c>
      <c r="L17" s="547" t="s">
        <v>64</v>
      </c>
      <c r="M17" s="835">
        <f>SUM(M16)</f>
        <v>0</v>
      </c>
    </row>
    <row r="18" spans="1:14" s="795" customFormat="1" x14ac:dyDescent="0.3">
      <c r="F18" s="548" t="s">
        <v>65</v>
      </c>
      <c r="G18" s="481">
        <v>0</v>
      </c>
      <c r="I18" s="548" t="s">
        <v>65</v>
      </c>
      <c r="J18" s="677">
        <v>0</v>
      </c>
      <c r="L18" s="548" t="s">
        <v>65</v>
      </c>
      <c r="M18" s="677">
        <v>0</v>
      </c>
    </row>
    <row r="19" spans="1:14" s="795" customFormat="1" x14ac:dyDescent="0.3">
      <c r="F19" s="549" t="s">
        <v>1740</v>
      </c>
      <c r="G19" s="550">
        <f>+G18+G17</f>
        <v>4432001</v>
      </c>
      <c r="I19" s="549" t="s">
        <v>64</v>
      </c>
      <c r="J19" s="481">
        <f>J17+J18</f>
        <v>0</v>
      </c>
      <c r="L19" s="549" t="s">
        <v>64</v>
      </c>
      <c r="M19" s="481">
        <f>M17+M18</f>
        <v>0</v>
      </c>
    </row>
    <row r="20" spans="1:14" s="795" customFormat="1" ht="18" customHeight="1" x14ac:dyDescent="0.3">
      <c r="F20" s="810"/>
      <c r="G20" s="810"/>
      <c r="I20" s="501" t="s">
        <v>1439</v>
      </c>
      <c r="J20" s="481">
        <f>ROUND(J19*0.015,0)</f>
        <v>0</v>
      </c>
      <c r="L20" s="501" t="s">
        <v>1439</v>
      </c>
      <c r="M20" s="481">
        <f>ROUND(M19*0.015,0)</f>
        <v>0</v>
      </c>
    </row>
    <row r="21" spans="1:14" s="795" customFormat="1" ht="27.75" customHeight="1" x14ac:dyDescent="0.3">
      <c r="F21" s="810"/>
      <c r="G21" s="810"/>
      <c r="I21" s="96" t="s">
        <v>1440</v>
      </c>
      <c r="J21" s="783">
        <f>J19+J20</f>
        <v>0</v>
      </c>
      <c r="K21" s="832">
        <f>J21/G17</f>
        <v>0</v>
      </c>
      <c r="L21" s="96" t="s">
        <v>1440</v>
      </c>
      <c r="M21" s="425">
        <f>M19+M20</f>
        <v>0</v>
      </c>
      <c r="N21" s="678">
        <f>M21/G17</f>
        <v>0</v>
      </c>
    </row>
    <row r="22" spans="1:14" s="795" customFormat="1" x14ac:dyDescent="0.3">
      <c r="F22" s="551" t="s">
        <v>66</v>
      </c>
      <c r="G22" s="481">
        <f>+G17*19%</f>
        <v>842080.19000000006</v>
      </c>
      <c r="I22" s="551" t="s">
        <v>66</v>
      </c>
      <c r="J22" s="672">
        <f>J21*0.19</f>
        <v>0</v>
      </c>
      <c r="L22" s="551" t="s">
        <v>66</v>
      </c>
      <c r="M22" s="672">
        <f>M21*0.19</f>
        <v>0</v>
      </c>
    </row>
    <row r="23" spans="1:14" s="795" customFormat="1" x14ac:dyDescent="0.3">
      <c r="F23" s="552" t="s">
        <v>69</v>
      </c>
      <c r="G23" s="481">
        <f>+G17+G22</f>
        <v>5274081.1900000004</v>
      </c>
      <c r="I23" s="552" t="s">
        <v>69</v>
      </c>
      <c r="J23" s="672">
        <f>J21+J22</f>
        <v>0</v>
      </c>
      <c r="L23" s="552" t="s">
        <v>69</v>
      </c>
      <c r="M23" s="672">
        <f>M21+M22</f>
        <v>0</v>
      </c>
    </row>
    <row r="24" spans="1:14" s="795" customFormat="1" x14ac:dyDescent="0.3"/>
    <row r="25" spans="1:14" s="795" customFormat="1" x14ac:dyDescent="0.3">
      <c r="A25" s="665" t="s">
        <v>67</v>
      </c>
      <c r="B25" s="184"/>
      <c r="C25" s="184"/>
      <c r="D25" s="185" t="s">
        <v>68</v>
      </c>
      <c r="I25" s="186" t="s">
        <v>70</v>
      </c>
      <c r="J25" s="187" t="s">
        <v>71</v>
      </c>
      <c r="K25" s="186" t="s">
        <v>58</v>
      </c>
    </row>
    <row r="26" spans="1:14" s="795" customFormat="1" x14ac:dyDescent="0.3">
      <c r="A26" s="665"/>
      <c r="B26" s="184"/>
      <c r="C26" s="184"/>
      <c r="D26" s="185"/>
      <c r="I26" s="69" t="s">
        <v>72</v>
      </c>
      <c r="J26" s="70">
        <f>J21</f>
        <v>0</v>
      </c>
      <c r="K26" s="360">
        <f>K21</f>
        <v>0</v>
      </c>
    </row>
    <row r="27" spans="1:14" s="795" customFormat="1" x14ac:dyDescent="0.3">
      <c r="A27" s="665"/>
      <c r="B27" s="184"/>
      <c r="C27" s="184"/>
      <c r="D27" s="185"/>
      <c r="I27" s="72" t="s">
        <v>1</v>
      </c>
      <c r="J27" s="105">
        <f>J26</f>
        <v>0</v>
      </c>
      <c r="K27" s="361">
        <f>K26</f>
        <v>0</v>
      </c>
    </row>
    <row r="28" spans="1:14" s="795" customFormat="1" x14ac:dyDescent="0.3">
      <c r="A28" s="665"/>
      <c r="B28" s="184"/>
      <c r="C28" s="184"/>
      <c r="D28" s="185"/>
      <c r="I28" s="72" t="s">
        <v>9</v>
      </c>
      <c r="J28" s="1423"/>
      <c r="K28" s="1424"/>
    </row>
    <row r="29" spans="1:14" s="795" customFormat="1" x14ac:dyDescent="0.3">
      <c r="A29" s="665"/>
      <c r="B29" s="184"/>
      <c r="C29" s="184"/>
      <c r="D29" s="185"/>
      <c r="I29" s="440" t="s">
        <v>78</v>
      </c>
      <c r="J29" s="1423"/>
      <c r="K29" s="1424"/>
    </row>
    <row r="30" spans="1:14" s="795" customFormat="1" x14ac:dyDescent="0.3">
      <c r="A30" s="665"/>
      <c r="B30" s="184"/>
      <c r="C30" s="184"/>
      <c r="D30" s="185"/>
      <c r="I30" s="439" t="s">
        <v>8</v>
      </c>
      <c r="J30" s="1425"/>
      <c r="K30" s="1426"/>
    </row>
    <row r="31" spans="1:14" s="795" customFormat="1" x14ac:dyDescent="0.3">
      <c r="A31" s="665"/>
      <c r="B31" s="184"/>
      <c r="C31" s="184"/>
      <c r="D31" s="185" t="s">
        <v>75</v>
      </c>
    </row>
    <row r="32" spans="1:14" s="795" customFormat="1" x14ac:dyDescent="0.3">
      <c r="A32" s="665" t="s">
        <v>76</v>
      </c>
      <c r="B32" s="180"/>
      <c r="C32" s="180"/>
      <c r="D32" s="185" t="s">
        <v>77</v>
      </c>
    </row>
    <row r="33" spans="1:4" s="795" customFormat="1" ht="26.4" x14ac:dyDescent="0.3">
      <c r="A33" s="665" t="s">
        <v>79</v>
      </c>
      <c r="B33" s="180"/>
      <c r="C33" s="180"/>
      <c r="D33" s="185" t="s">
        <v>80</v>
      </c>
    </row>
  </sheetData>
  <sheetProtection formatCells="0" formatColumns="0" formatRows="0" insertColumns="0" insertRows="0" insertHyperlinks="0" deleteColumns="0" deleteRows="0" sort="0" autoFilter="0" pivotTables="0"/>
  <mergeCells count="21">
    <mergeCell ref="C1:J2"/>
    <mergeCell ref="K1:N1"/>
    <mergeCell ref="K2:N2"/>
    <mergeCell ref="A3:M3"/>
    <mergeCell ref="A4:M4"/>
    <mergeCell ref="A5:M5"/>
    <mergeCell ref="A6:M6"/>
    <mergeCell ref="A7:M7"/>
    <mergeCell ref="A8:M8"/>
    <mergeCell ref="A9:M9"/>
    <mergeCell ref="J28:K28"/>
    <mergeCell ref="J29:K29"/>
    <mergeCell ref="J30:K30"/>
    <mergeCell ref="A10:M10"/>
    <mergeCell ref="B11:G11"/>
    <mergeCell ref="I11:K12"/>
    <mergeCell ref="L11:N12"/>
    <mergeCell ref="B12:G12"/>
    <mergeCell ref="A14:A16"/>
    <mergeCell ref="B14:B16"/>
    <mergeCell ref="H14:H16"/>
  </mergeCells>
  <pageMargins left="0.7" right="0.7" top="0.75" bottom="0.75" header="0.3" footer="0.3"/>
  <pageSetup scale="69" orientation="landscape" r:id="rId1"/>
  <drawing r:id="rId2"/>
  <legacyDrawingHF r:id="rId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8"/>
  <dimension ref="A1:G49"/>
  <sheetViews>
    <sheetView workbookViewId="0">
      <selection activeCell="G34" sqref="G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RESUMEN!G141</f>
        <v>Proyecto: CDIE_CBCCSM_R0184_PC1 – REPOSICIÓN DE INTERRUPTORES AT.</v>
      </c>
      <c r="C5" s="1281"/>
      <c r="D5" s="1281"/>
      <c r="E5" s="1281"/>
      <c r="F5" s="1281"/>
      <c r="G5" s="1282"/>
    </row>
    <row r="6" spans="1:7" x14ac:dyDescent="0.25">
      <c r="A6" s="1177"/>
      <c r="B6" s="1177"/>
      <c r="C6" s="1177"/>
      <c r="D6" s="1177"/>
      <c r="E6" s="1177"/>
      <c r="F6" s="1177"/>
      <c r="G6" s="1177"/>
    </row>
    <row r="7" spans="1:7" x14ac:dyDescent="0.25">
      <c r="A7" s="271" t="s">
        <v>0</v>
      </c>
      <c r="B7" s="1264">
        <f>RESUMEN!B141</f>
        <v>0</v>
      </c>
      <c r="C7" s="1265"/>
      <c r="D7" s="1177"/>
      <c r="E7" s="1266" t="s">
        <v>627</v>
      </c>
      <c r="F7" s="1267"/>
      <c r="G7" s="280" t="str">
        <f>RESUMEN!E141</f>
        <v>18-003</v>
      </c>
    </row>
    <row r="8" spans="1:7" x14ac:dyDescent="0.25">
      <c r="A8" s="271" t="s">
        <v>628</v>
      </c>
      <c r="B8" s="1264">
        <f>RESUMEN!C141</f>
        <v>0</v>
      </c>
      <c r="C8" s="1265"/>
      <c r="D8" s="1177"/>
      <c r="E8" s="1266" t="s">
        <v>629</v>
      </c>
      <c r="F8" s="1267"/>
      <c r="G8" s="280" t="str">
        <f>RESUMEN!U141</f>
        <v>Acta N° 1: Marzo</v>
      </c>
    </row>
    <row r="9" spans="1:7" x14ac:dyDescent="0.25">
      <c r="A9" s="271" t="s">
        <v>630</v>
      </c>
      <c r="B9" s="1283" t="s">
        <v>631</v>
      </c>
      <c r="C9" s="1265"/>
      <c r="D9" s="1177"/>
      <c r="E9" s="1266" t="s">
        <v>632</v>
      </c>
      <c r="F9" s="1267"/>
      <c r="G9" s="1178">
        <f>RESUMEN!H141</f>
        <v>1650037</v>
      </c>
    </row>
    <row r="10" spans="1:7" x14ac:dyDescent="0.25">
      <c r="A10" s="271" t="s">
        <v>633</v>
      </c>
      <c r="B10" s="1283" t="str">
        <f>RESUMEN!D141</f>
        <v xml:space="preserve"> REP PROT DES NOCT</v>
      </c>
      <c r="C10" s="1265"/>
      <c r="D10" s="1177"/>
      <c r="E10" s="1266" t="s">
        <v>634</v>
      </c>
      <c r="F10" s="1267"/>
      <c r="G10" s="1178">
        <f>RESUMEN!R141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CDIE_CBCCSM_R0184_PC1 – REPOSICIÓN DE INTERRUPTORES AT.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RESUMEN!N141</f>
        <v>0</v>
      </c>
      <c r="F19" s="1248"/>
      <c r="G19" s="1177"/>
    </row>
    <row r="20" spans="1:7" ht="27" customHeight="1" x14ac:dyDescent="0.25">
      <c r="A20" s="1177"/>
      <c r="B20" s="1244" t="s">
        <v>1498</v>
      </c>
      <c r="C20" s="1245"/>
      <c r="D20" s="1246"/>
      <c r="E20" s="1247">
        <f>RESUMEN!P141</f>
        <v>0</v>
      </c>
      <c r="F20" s="1248"/>
      <c r="G20" s="1177"/>
    </row>
    <row r="21" spans="1:7" ht="27" customHeight="1" x14ac:dyDescent="0.25">
      <c r="A21" s="1177"/>
      <c r="B21" s="1244" t="s">
        <v>1499</v>
      </c>
      <c r="C21" s="1245"/>
      <c r="D21" s="1246"/>
      <c r="E21" s="1247">
        <f>RESUMEN!Q141</f>
        <v>0</v>
      </c>
      <c r="F21" s="1248"/>
      <c r="G21" s="1177"/>
    </row>
    <row r="22" spans="1:7" x14ac:dyDescent="0.25">
      <c r="A22" s="1177"/>
      <c r="B22" s="1254" t="s">
        <v>64</v>
      </c>
      <c r="C22" s="1254"/>
      <c r="D22" s="1254"/>
      <c r="E22" s="1255">
        <f>RESUMEN!R141</f>
        <v>0</v>
      </c>
      <c r="F22" s="1255"/>
      <c r="G22" s="1177"/>
    </row>
    <row r="23" spans="1:7" x14ac:dyDescent="0.25">
      <c r="A23" s="1177"/>
      <c r="B23" s="1256" t="s">
        <v>66</v>
      </c>
      <c r="C23" s="1256"/>
      <c r="D23" s="1256"/>
      <c r="E23" s="1257">
        <f>RESUMEN!S141</f>
        <v>0</v>
      </c>
      <c r="F23" s="1257"/>
      <c r="G23" s="1177"/>
    </row>
    <row r="24" spans="1:7" x14ac:dyDescent="0.25">
      <c r="A24" s="1177"/>
      <c r="B24" s="1258" t="s">
        <v>1</v>
      </c>
      <c r="C24" s="1258"/>
      <c r="D24" s="1258"/>
      <c r="E24" s="1259">
        <f>RESUMEN!T141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+'OT18-003 REP PROT DES NOCT'!I88</f>
        <v>ACTA 1</v>
      </c>
      <c r="C28" s="1253">
        <f>+'OT18-003 REP PROT DES NOCT'!J88</f>
        <v>0</v>
      </c>
      <c r="D28" s="1253"/>
      <c r="E28" s="267">
        <f>+'OT18-003 REP PROT DES NOCT'!K88</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RESUMEN!V141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0"/>
  <dimension ref="A1:N95"/>
  <sheetViews>
    <sheetView topLeftCell="A61" zoomScale="55" zoomScaleNormal="55" zoomScaleSheetLayoutView="40" workbookViewId="0">
      <selection activeCell="E19" sqref="E19"/>
    </sheetView>
  </sheetViews>
  <sheetFormatPr baseColWidth="10" defaultColWidth="9.109375" defaultRowHeight="14.4" x14ac:dyDescent="0.3"/>
  <cols>
    <col min="1" max="1" width="22.5546875" style="786" customWidth="1"/>
    <col min="2" max="2" width="35.33203125" style="786" customWidth="1"/>
    <col min="3" max="3" width="40.44140625" style="786" customWidth="1"/>
    <col min="4" max="4" width="23.44140625" style="786" customWidth="1"/>
    <col min="5" max="5" width="24" style="786" customWidth="1"/>
    <col min="6" max="6" width="15.5546875" style="786" customWidth="1"/>
    <col min="7" max="7" width="21.109375" style="786" customWidth="1"/>
    <col min="8" max="8" width="46.88671875" style="786" customWidth="1"/>
    <col min="9" max="9" width="20" style="786" customWidth="1"/>
    <col min="10" max="10" width="18" style="786" customWidth="1"/>
    <col min="11" max="11" width="12.109375" style="786" customWidth="1"/>
    <col min="12" max="12" width="22" style="786" customWidth="1"/>
    <col min="13" max="13" width="18.5546875" style="786" customWidth="1"/>
    <col min="14" max="14" width="10" style="786" bestFit="1" customWidth="1"/>
    <col min="15" max="16384" width="9.109375" style="786"/>
  </cols>
  <sheetData>
    <row r="1" spans="1:14" s="795" customFormat="1" ht="30.75" customHeight="1" x14ac:dyDescent="0.3">
      <c r="A1" s="169"/>
      <c r="B1" s="188"/>
      <c r="C1" s="1307" t="s">
        <v>40</v>
      </c>
      <c r="D1" s="1308"/>
      <c r="E1" s="1308"/>
      <c r="F1" s="1308"/>
      <c r="G1" s="1308"/>
      <c r="H1" s="1308"/>
      <c r="I1" s="1308"/>
      <c r="J1" s="1308"/>
      <c r="K1" s="1526" t="s">
        <v>2121</v>
      </c>
      <c r="L1" s="1527"/>
      <c r="M1" s="1527"/>
      <c r="N1" s="1527"/>
    </row>
    <row r="2" spans="1:14" s="795" customFormat="1" ht="15" thickBot="1" x14ac:dyDescent="0.35">
      <c r="A2" s="170"/>
      <c r="B2" s="190"/>
      <c r="C2" s="1310"/>
      <c r="D2" s="1311"/>
      <c r="E2" s="1311"/>
      <c r="F2" s="1311"/>
      <c r="G2" s="1311"/>
      <c r="H2" s="1311"/>
      <c r="I2" s="1311"/>
      <c r="J2" s="1311"/>
      <c r="K2" s="1459" t="s">
        <v>41</v>
      </c>
      <c r="L2" s="1459"/>
      <c r="M2" s="1459"/>
      <c r="N2" s="1459"/>
    </row>
    <row r="3" spans="1:14" s="795" customFormat="1" x14ac:dyDescent="0.3">
      <c r="A3" s="1292" t="s">
        <v>42</v>
      </c>
      <c r="B3" s="1292"/>
      <c r="C3" s="1292"/>
      <c r="D3" s="1292"/>
      <c r="E3" s="1292"/>
      <c r="F3" s="1292"/>
      <c r="G3" s="1292"/>
      <c r="H3" s="1292"/>
      <c r="I3" s="1292"/>
      <c r="J3" s="1292"/>
      <c r="K3" s="1292"/>
      <c r="L3" s="1292"/>
      <c r="M3" s="1292"/>
    </row>
    <row r="4" spans="1:14" s="795" customFormat="1" x14ac:dyDescent="0.3">
      <c r="A4" s="1292" t="s">
        <v>43</v>
      </c>
      <c r="B4" s="1292"/>
      <c r="C4" s="1292"/>
      <c r="D4" s="1292"/>
      <c r="E4" s="1292"/>
      <c r="F4" s="1292"/>
      <c r="G4" s="1292"/>
      <c r="H4" s="1292"/>
      <c r="I4" s="1292"/>
      <c r="J4" s="1292"/>
      <c r="K4" s="1292"/>
      <c r="L4" s="1292"/>
      <c r="M4" s="1292"/>
    </row>
    <row r="5" spans="1:14" s="795" customFormat="1" x14ac:dyDescent="0.3">
      <c r="A5" s="1292" t="s">
        <v>44</v>
      </c>
      <c r="B5" s="1292"/>
      <c r="C5" s="1292"/>
      <c r="D5" s="1292"/>
      <c r="E5" s="1292"/>
      <c r="F5" s="1292"/>
      <c r="G5" s="1292"/>
      <c r="H5" s="1292"/>
      <c r="I5" s="1292"/>
      <c r="J5" s="1292"/>
      <c r="K5" s="1292"/>
      <c r="L5" s="1292"/>
      <c r="M5" s="1292"/>
    </row>
    <row r="6" spans="1:14" s="795" customFormat="1" x14ac:dyDescent="0.3">
      <c r="A6" s="1292" t="s">
        <v>45</v>
      </c>
      <c r="B6" s="1292"/>
      <c r="C6" s="1292"/>
      <c r="D6" s="1292"/>
      <c r="E6" s="1292"/>
      <c r="F6" s="1292"/>
      <c r="G6" s="1292"/>
      <c r="H6" s="1292"/>
      <c r="I6" s="1292"/>
      <c r="J6" s="1292"/>
      <c r="K6" s="1292"/>
      <c r="L6" s="1292"/>
      <c r="M6" s="1292"/>
    </row>
    <row r="7" spans="1:14" s="795" customFormat="1" x14ac:dyDescent="0.3">
      <c r="A7" s="1291" t="s">
        <v>2120</v>
      </c>
      <c r="B7" s="1292"/>
      <c r="C7" s="1292"/>
      <c r="D7" s="1292"/>
      <c r="E7" s="1292"/>
      <c r="F7" s="1292"/>
      <c r="G7" s="1292"/>
      <c r="H7" s="1292"/>
      <c r="I7" s="1292"/>
      <c r="J7" s="1292"/>
      <c r="K7" s="1292"/>
      <c r="L7" s="1292"/>
      <c r="M7" s="1292"/>
    </row>
    <row r="8" spans="1:14" s="795" customFormat="1" x14ac:dyDescent="0.3">
      <c r="A8" s="1292" t="s">
        <v>2312</v>
      </c>
      <c r="B8" s="1292"/>
      <c r="C8" s="1292"/>
      <c r="D8" s="1292"/>
      <c r="E8" s="1292"/>
      <c r="F8" s="1292"/>
      <c r="G8" s="1292"/>
      <c r="H8" s="1292"/>
      <c r="I8" s="1292"/>
      <c r="J8" s="1292"/>
      <c r="K8" s="1292"/>
      <c r="L8" s="1292"/>
      <c r="M8" s="1292"/>
    </row>
    <row r="9" spans="1:14" s="795" customFormat="1" x14ac:dyDescent="0.3">
      <c r="A9" s="1292" t="s">
        <v>2305</v>
      </c>
      <c r="B9" s="1292"/>
      <c r="C9" s="1292"/>
      <c r="D9" s="1292"/>
      <c r="E9" s="1292"/>
      <c r="F9" s="1292"/>
      <c r="G9" s="1292"/>
      <c r="H9" s="1292"/>
      <c r="I9" s="1292"/>
      <c r="J9" s="1292"/>
      <c r="K9" s="1292"/>
      <c r="L9" s="1292"/>
      <c r="M9" s="1292"/>
    </row>
    <row r="10" spans="1:14" s="795" customFormat="1" x14ac:dyDescent="0.3">
      <c r="A10" s="1292" t="s">
        <v>2125</v>
      </c>
      <c r="B10" s="1292"/>
      <c r="C10" s="1292"/>
      <c r="D10" s="1292"/>
      <c r="E10" s="1292"/>
      <c r="F10" s="1292"/>
      <c r="G10" s="1292"/>
      <c r="H10" s="1292"/>
      <c r="I10" s="1292"/>
      <c r="J10" s="1292"/>
      <c r="K10" s="1292"/>
      <c r="L10" s="1292"/>
      <c r="M10" s="1292"/>
    </row>
    <row r="11" spans="1:14" s="795" customFormat="1" x14ac:dyDescent="0.3">
      <c r="A11" s="791"/>
      <c r="B11" s="1301"/>
      <c r="C11" s="1313"/>
      <c r="D11" s="1313"/>
      <c r="E11" s="1313"/>
      <c r="F11" s="1313"/>
      <c r="G11" s="1313"/>
      <c r="I11" s="1470" t="s">
        <v>2313</v>
      </c>
      <c r="J11" s="1471"/>
      <c r="K11" s="1472"/>
      <c r="L11" s="1299" t="s">
        <v>49</v>
      </c>
      <c r="M11" s="1299"/>
      <c r="N11" s="1299"/>
    </row>
    <row r="12" spans="1:14" s="795"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55</v>
      </c>
      <c r="G13" s="661" t="s">
        <v>56</v>
      </c>
      <c r="H13" s="660" t="s">
        <v>57</v>
      </c>
      <c r="I13" s="502" t="s">
        <v>54</v>
      </c>
      <c r="J13" s="502" t="s">
        <v>56</v>
      </c>
      <c r="K13" s="502" t="s">
        <v>58</v>
      </c>
      <c r="L13" s="502" t="s">
        <v>54</v>
      </c>
      <c r="M13" s="502" t="s">
        <v>56</v>
      </c>
      <c r="N13" s="502" t="s">
        <v>58</v>
      </c>
    </row>
    <row r="14" spans="1:14" ht="44.25" customHeight="1" x14ac:dyDescent="0.3">
      <c r="A14" s="1290" t="s">
        <v>2104</v>
      </c>
      <c r="B14" s="1289" t="s">
        <v>216</v>
      </c>
      <c r="C14" s="790" t="s">
        <v>81</v>
      </c>
      <c r="D14" s="790" t="s">
        <v>82</v>
      </c>
      <c r="E14" s="790">
        <v>0</v>
      </c>
      <c r="F14" s="32">
        <v>1880385</v>
      </c>
      <c r="G14" s="32">
        <f>ROUND((E14*F14),0)</f>
        <v>0</v>
      </c>
      <c r="H14" s="1290" t="s">
        <v>2018</v>
      </c>
      <c r="I14" s="799">
        <v>0</v>
      </c>
      <c r="J14" s="685">
        <f>ROUND(I14*F14,0)</f>
        <v>0</v>
      </c>
      <c r="K14" s="684">
        <v>0</v>
      </c>
      <c r="L14" s="799">
        <f t="shared" ref="L14:L15" si="0">I14</f>
        <v>0</v>
      </c>
      <c r="M14" s="685">
        <f>J14</f>
        <v>0</v>
      </c>
      <c r="N14" s="684">
        <v>0</v>
      </c>
    </row>
    <row r="15" spans="1:14" ht="31.5" customHeight="1" x14ac:dyDescent="0.3">
      <c r="A15" s="1289"/>
      <c r="B15" s="1289"/>
      <c r="C15" s="790" t="s">
        <v>83</v>
      </c>
      <c r="D15" s="790" t="s">
        <v>84</v>
      </c>
      <c r="E15" s="790">
        <v>4.4999999999999998E-2</v>
      </c>
      <c r="F15" s="32">
        <v>1845563</v>
      </c>
      <c r="G15" s="32">
        <f>ROUND((E15*F15),0)</f>
        <v>83050</v>
      </c>
      <c r="H15" s="1289"/>
      <c r="I15" s="799">
        <v>0</v>
      </c>
      <c r="J15" s="685">
        <f t="shared" ref="J15" si="1">ROUND(I15*F15,0)</f>
        <v>0</v>
      </c>
      <c r="K15" s="684">
        <f>J15/G15</f>
        <v>0</v>
      </c>
      <c r="L15" s="799">
        <f t="shared" si="0"/>
        <v>0</v>
      </c>
      <c r="M15" s="685">
        <f t="shared" ref="M15:M78" si="2">J15</f>
        <v>0</v>
      </c>
      <c r="N15" s="684">
        <f>+M15/G15</f>
        <v>0</v>
      </c>
    </row>
    <row r="16" spans="1:14" ht="28.8" x14ac:dyDescent="0.3">
      <c r="A16" s="1289"/>
      <c r="B16" s="1289"/>
      <c r="C16" s="790" t="s">
        <v>61</v>
      </c>
      <c r="D16" s="790" t="s">
        <v>85</v>
      </c>
      <c r="E16" s="790">
        <v>4.4999999999999998E-2</v>
      </c>
      <c r="F16" s="32">
        <v>7312607</v>
      </c>
      <c r="G16" s="32">
        <f>ROUND((E16*F16),0)</f>
        <v>329067</v>
      </c>
      <c r="H16" s="1289"/>
      <c r="I16" s="799">
        <v>0</v>
      </c>
      <c r="J16" s="685">
        <f>ROUND(I16*F16,0)</f>
        <v>0</v>
      </c>
      <c r="K16" s="684">
        <f>J16/G16</f>
        <v>0</v>
      </c>
      <c r="L16" s="799">
        <f>I16</f>
        <v>0</v>
      </c>
      <c r="M16" s="685">
        <f t="shared" si="2"/>
        <v>0</v>
      </c>
      <c r="N16" s="684">
        <f t="shared" ref="N16" si="3">+M16/G16</f>
        <v>0</v>
      </c>
    </row>
    <row r="17" spans="1:14" x14ac:dyDescent="0.3">
      <c r="A17" s="1289"/>
      <c r="B17" s="1289"/>
      <c r="C17" s="39"/>
      <c r="D17" s="39" t="s">
        <v>86</v>
      </c>
      <c r="E17" s="41"/>
      <c r="F17" s="41"/>
      <c r="G17" s="42">
        <f>SUM(G14:G16)</f>
        <v>412117</v>
      </c>
      <c r="H17" s="1289"/>
      <c r="I17" s="40"/>
      <c r="J17" s="683">
        <f>SUM(J15:J16)</f>
        <v>0</v>
      </c>
      <c r="K17" s="519">
        <f>J17/G17</f>
        <v>0</v>
      </c>
      <c r="L17" s="40"/>
      <c r="M17" s="1107">
        <f t="shared" si="2"/>
        <v>0</v>
      </c>
      <c r="N17" s="519">
        <f t="shared" ref="N17" si="4">M17/G17</f>
        <v>0</v>
      </c>
    </row>
    <row r="18" spans="1:14" ht="76.5" customHeight="1" x14ac:dyDescent="0.3">
      <c r="A18" s="1290" t="s">
        <v>2105</v>
      </c>
      <c r="B18" s="1289" t="s">
        <v>216</v>
      </c>
      <c r="C18" s="790" t="s">
        <v>81</v>
      </c>
      <c r="D18" s="790" t="s">
        <v>82</v>
      </c>
      <c r="E18" s="790">
        <v>0</v>
      </c>
      <c r="F18" s="32">
        <v>1880385</v>
      </c>
      <c r="G18" s="32">
        <f>ROUND((E18*F18),0)</f>
        <v>0</v>
      </c>
      <c r="H18" s="1290" t="s">
        <v>2019</v>
      </c>
      <c r="I18" s="799">
        <v>0</v>
      </c>
      <c r="J18" s="685">
        <f>ROUND(I18*F18,0)</f>
        <v>0</v>
      </c>
      <c r="K18" s="684">
        <v>0</v>
      </c>
      <c r="L18" s="799">
        <f t="shared" ref="L18:L19" si="5">I18</f>
        <v>0</v>
      </c>
      <c r="M18" s="685">
        <f t="shared" si="2"/>
        <v>0</v>
      </c>
      <c r="N18" s="684">
        <v>0</v>
      </c>
    </row>
    <row r="19" spans="1:14" ht="58.5" customHeight="1" x14ac:dyDescent="0.3">
      <c r="A19" s="1289"/>
      <c r="B19" s="1289"/>
      <c r="C19" s="790" t="s">
        <v>83</v>
      </c>
      <c r="D19" s="790" t="s">
        <v>84</v>
      </c>
      <c r="E19" s="790">
        <v>4.4999999999999998E-2</v>
      </c>
      <c r="F19" s="32">
        <v>1845563</v>
      </c>
      <c r="G19" s="32">
        <f>ROUND((E19*F19),0)</f>
        <v>83050</v>
      </c>
      <c r="H19" s="1289"/>
      <c r="I19" s="799">
        <v>0</v>
      </c>
      <c r="J19" s="685">
        <f t="shared" ref="J19" si="6">ROUND(I19*F19,0)</f>
        <v>0</v>
      </c>
      <c r="K19" s="684">
        <f>J19/G19</f>
        <v>0</v>
      </c>
      <c r="L19" s="799">
        <f t="shared" si="5"/>
        <v>0</v>
      </c>
      <c r="M19" s="685">
        <f t="shared" si="2"/>
        <v>0</v>
      </c>
      <c r="N19" s="684">
        <f>+M19/G19</f>
        <v>0</v>
      </c>
    </row>
    <row r="20" spans="1:14" ht="20.25" customHeight="1" x14ac:dyDescent="0.3">
      <c r="A20" s="1289"/>
      <c r="B20" s="1289"/>
      <c r="C20" s="790" t="s">
        <v>61</v>
      </c>
      <c r="D20" s="790" t="s">
        <v>85</v>
      </c>
      <c r="E20" s="790">
        <v>4.4999999999999998E-2</v>
      </c>
      <c r="F20" s="32">
        <v>7312607</v>
      </c>
      <c r="G20" s="32">
        <f>ROUND((E20*F20),0)</f>
        <v>329067</v>
      </c>
      <c r="H20" s="1289"/>
      <c r="I20" s="799">
        <v>0</v>
      </c>
      <c r="J20" s="685">
        <f>ROUND(I20*F20,0)</f>
        <v>0</v>
      </c>
      <c r="K20" s="684">
        <f>J20/G20</f>
        <v>0</v>
      </c>
      <c r="L20" s="799">
        <f>I20</f>
        <v>0</v>
      </c>
      <c r="M20" s="685">
        <f t="shared" si="2"/>
        <v>0</v>
      </c>
      <c r="N20" s="684">
        <f t="shared" ref="N20" si="7">+M20/G20</f>
        <v>0</v>
      </c>
    </row>
    <row r="21" spans="1:14" x14ac:dyDescent="0.3">
      <c r="A21" s="1289"/>
      <c r="B21" s="1289"/>
      <c r="C21" s="39"/>
      <c r="D21" s="39" t="s">
        <v>86</v>
      </c>
      <c r="E21" s="41"/>
      <c r="F21" s="41"/>
      <c r="G21" s="42">
        <f>SUM(G18:G20)</f>
        <v>412117</v>
      </c>
      <c r="H21" s="1289"/>
      <c r="I21" s="40"/>
      <c r="J21" s="683">
        <f>SUM(J19:J20)</f>
        <v>0</v>
      </c>
      <c r="K21" s="519">
        <f>J21/G21</f>
        <v>0</v>
      </c>
      <c r="L21" s="40"/>
      <c r="M21" s="1107">
        <f t="shared" si="2"/>
        <v>0</v>
      </c>
      <c r="N21" s="519">
        <f t="shared" ref="N21" si="8">M21/G21</f>
        <v>0</v>
      </c>
    </row>
    <row r="22" spans="1:14" ht="32.25" customHeight="1" x14ac:dyDescent="0.3">
      <c r="A22" s="1323" t="s">
        <v>2106</v>
      </c>
      <c r="B22" s="1323" t="s">
        <v>216</v>
      </c>
      <c r="C22" s="794" t="s">
        <v>81</v>
      </c>
      <c r="D22" s="794" t="s">
        <v>82</v>
      </c>
      <c r="E22" s="358">
        <v>0</v>
      </c>
      <c r="F22" s="114">
        <v>1880385</v>
      </c>
      <c r="G22" s="114">
        <v>0</v>
      </c>
      <c r="H22" s="1530" t="s">
        <v>2020</v>
      </c>
      <c r="I22" s="799">
        <v>0</v>
      </c>
      <c r="J22" s="685">
        <f>ROUND(I22*F22,0)</f>
        <v>0</v>
      </c>
      <c r="K22" s="684">
        <v>0</v>
      </c>
      <c r="L22" s="799">
        <f t="shared" ref="L22:L23" si="9">I22</f>
        <v>0</v>
      </c>
      <c r="M22" s="685">
        <f t="shared" si="2"/>
        <v>0</v>
      </c>
      <c r="N22" s="684">
        <v>0</v>
      </c>
    </row>
    <row r="23" spans="1:14" ht="34.5" customHeight="1" x14ac:dyDescent="0.3">
      <c r="A23" s="1323"/>
      <c r="B23" s="1323"/>
      <c r="C23" s="794" t="s">
        <v>83</v>
      </c>
      <c r="D23" s="794" t="s">
        <v>84</v>
      </c>
      <c r="E23" s="358">
        <v>4.4999999999999998E-2</v>
      </c>
      <c r="F23" s="114">
        <v>1845563</v>
      </c>
      <c r="G23" s="114">
        <v>83050</v>
      </c>
      <c r="H23" s="1530"/>
      <c r="I23" s="799">
        <v>0</v>
      </c>
      <c r="J23" s="685">
        <f t="shared" ref="J23" si="10">ROUND(I23*F23,0)</f>
        <v>0</v>
      </c>
      <c r="K23" s="684">
        <f t="shared" ref="K23:K32" si="11">J23/G23</f>
        <v>0</v>
      </c>
      <c r="L23" s="799">
        <f t="shared" si="9"/>
        <v>0</v>
      </c>
      <c r="M23" s="685">
        <f t="shared" si="2"/>
        <v>0</v>
      </c>
      <c r="N23" s="684">
        <f>+M23/G23</f>
        <v>0</v>
      </c>
    </row>
    <row r="24" spans="1:14" ht="39.75" customHeight="1" x14ac:dyDescent="0.3">
      <c r="A24" s="1323"/>
      <c r="B24" s="1323"/>
      <c r="C24" s="794" t="s">
        <v>61</v>
      </c>
      <c r="D24" s="794" t="s">
        <v>85</v>
      </c>
      <c r="E24" s="358">
        <v>4.4999999999999998E-2</v>
      </c>
      <c r="F24" s="114">
        <v>7312607</v>
      </c>
      <c r="G24" s="114">
        <v>329067</v>
      </c>
      <c r="H24" s="1530"/>
      <c r="I24" s="799">
        <v>0</v>
      </c>
      <c r="J24" s="685">
        <f>ROUND(I24*F24,0)</f>
        <v>0</v>
      </c>
      <c r="K24" s="684">
        <f t="shared" si="11"/>
        <v>0</v>
      </c>
      <c r="L24" s="799">
        <f>I24</f>
        <v>0</v>
      </c>
      <c r="M24" s="685">
        <f t="shared" si="2"/>
        <v>0</v>
      </c>
      <c r="N24" s="684">
        <f t="shared" ref="N24" si="12">+M24/G24</f>
        <v>0</v>
      </c>
    </row>
    <row r="25" spans="1:14" x14ac:dyDescent="0.3">
      <c r="A25" s="1323"/>
      <c r="B25" s="1323"/>
      <c r="C25" s="115"/>
      <c r="D25" s="115" t="s">
        <v>86</v>
      </c>
      <c r="E25" s="368"/>
      <c r="F25" s="116"/>
      <c r="G25" s="117">
        <v>412117</v>
      </c>
      <c r="H25" s="1530"/>
      <c r="I25" s="40"/>
      <c r="J25" s="683">
        <f>SUM(J23:J24)</f>
        <v>0</v>
      </c>
      <c r="K25" s="519">
        <f t="shared" si="11"/>
        <v>0</v>
      </c>
      <c r="L25" s="40"/>
      <c r="M25" s="1107">
        <f t="shared" si="2"/>
        <v>0</v>
      </c>
      <c r="N25" s="519">
        <f t="shared" ref="N25" si="13">M25/G25</f>
        <v>0</v>
      </c>
    </row>
    <row r="26" spans="1:14" ht="28.8" x14ac:dyDescent="0.3">
      <c r="A26" s="1323" t="s">
        <v>2107</v>
      </c>
      <c r="B26" s="1323" t="s">
        <v>195</v>
      </c>
      <c r="C26" s="794" t="s">
        <v>83</v>
      </c>
      <c r="D26" s="794" t="s">
        <v>91</v>
      </c>
      <c r="E26" s="358">
        <v>4.4999999999999998E-2</v>
      </c>
      <c r="F26" s="114">
        <v>1671452</v>
      </c>
      <c r="G26" s="114">
        <v>75215</v>
      </c>
      <c r="H26" s="1530"/>
      <c r="I26" s="799">
        <v>0</v>
      </c>
      <c r="J26" s="685">
        <f t="shared" ref="J26" si="14">ROUND(I26*F26,0)</f>
        <v>0</v>
      </c>
      <c r="K26" s="684">
        <f t="shared" si="11"/>
        <v>0</v>
      </c>
      <c r="L26" s="799">
        <f t="shared" ref="L26" si="15">I26</f>
        <v>0</v>
      </c>
      <c r="M26" s="685">
        <f t="shared" si="2"/>
        <v>0</v>
      </c>
      <c r="N26" s="684">
        <f>+M26/G26</f>
        <v>0</v>
      </c>
    </row>
    <row r="27" spans="1:14" ht="28.8" x14ac:dyDescent="0.3">
      <c r="A27" s="1323"/>
      <c r="B27" s="1323"/>
      <c r="C27" s="794" t="s">
        <v>61</v>
      </c>
      <c r="D27" s="794" t="s">
        <v>92</v>
      </c>
      <c r="E27" s="358">
        <v>4.4999999999999998E-2</v>
      </c>
      <c r="F27" s="114">
        <v>6233126</v>
      </c>
      <c r="G27" s="114">
        <v>280491</v>
      </c>
      <c r="H27" s="1530"/>
      <c r="I27" s="799">
        <v>0</v>
      </c>
      <c r="J27" s="685">
        <f>ROUND(I27*F27,0)</f>
        <v>0</v>
      </c>
      <c r="K27" s="684">
        <f t="shared" si="11"/>
        <v>0</v>
      </c>
      <c r="L27" s="799">
        <f>I27</f>
        <v>0</v>
      </c>
      <c r="M27" s="685">
        <f t="shared" si="2"/>
        <v>0</v>
      </c>
      <c r="N27" s="684">
        <f t="shared" ref="N27" si="16">+M27/G27</f>
        <v>0</v>
      </c>
    </row>
    <row r="28" spans="1:14" x14ac:dyDescent="0.3">
      <c r="A28" s="1323"/>
      <c r="B28" s="1323"/>
      <c r="C28" s="115"/>
      <c r="D28" s="115" t="s">
        <v>63</v>
      </c>
      <c r="E28" s="368"/>
      <c r="F28" s="116"/>
      <c r="G28" s="117">
        <v>355706</v>
      </c>
      <c r="H28" s="1530"/>
      <c r="I28" s="40"/>
      <c r="J28" s="683">
        <f>SUM(J26:J27)</f>
        <v>0</v>
      </c>
      <c r="K28" s="519">
        <f t="shared" si="11"/>
        <v>0</v>
      </c>
      <c r="L28" s="40"/>
      <c r="M28" s="1107">
        <f t="shared" si="2"/>
        <v>0</v>
      </c>
      <c r="N28" s="519">
        <f t="shared" ref="N28" si="17">M28/G28</f>
        <v>0</v>
      </c>
    </row>
    <row r="29" spans="1:14" ht="60" customHeight="1" x14ac:dyDescent="0.3">
      <c r="A29" s="1323" t="s">
        <v>2108</v>
      </c>
      <c r="B29" s="1323" t="s">
        <v>216</v>
      </c>
      <c r="C29" s="794" t="s">
        <v>81</v>
      </c>
      <c r="D29" s="794" t="s">
        <v>82</v>
      </c>
      <c r="E29" s="358">
        <v>4.4999999999999998E-2</v>
      </c>
      <c r="F29" s="114">
        <v>1880385</v>
      </c>
      <c r="G29" s="114">
        <v>84617</v>
      </c>
      <c r="H29" s="1324" t="s">
        <v>2021</v>
      </c>
      <c r="I29" s="799">
        <v>0</v>
      </c>
      <c r="J29" s="685">
        <f>ROUND(I29*F29,0)</f>
        <v>0</v>
      </c>
      <c r="K29" s="684">
        <f t="shared" si="11"/>
        <v>0</v>
      </c>
      <c r="L29" s="799">
        <f t="shared" ref="L29:L30" si="18">I29</f>
        <v>0</v>
      </c>
      <c r="M29" s="685">
        <f t="shared" si="2"/>
        <v>0</v>
      </c>
      <c r="N29" s="684">
        <f>+M29/G29</f>
        <v>0</v>
      </c>
    </row>
    <row r="30" spans="1:14" ht="35.25" customHeight="1" x14ac:dyDescent="0.3">
      <c r="A30" s="1323"/>
      <c r="B30" s="1323"/>
      <c r="C30" s="794" t="s">
        <v>83</v>
      </c>
      <c r="D30" s="794" t="s">
        <v>84</v>
      </c>
      <c r="E30" s="358">
        <v>4.4999999999999998E-2</v>
      </c>
      <c r="F30" s="114">
        <v>1845563</v>
      </c>
      <c r="G30" s="114">
        <v>83050</v>
      </c>
      <c r="H30" s="1323"/>
      <c r="I30" s="799">
        <v>0</v>
      </c>
      <c r="J30" s="685">
        <f t="shared" ref="J30" si="19">ROUND(I30*F30,0)</f>
        <v>0</v>
      </c>
      <c r="K30" s="684">
        <f t="shared" si="11"/>
        <v>0</v>
      </c>
      <c r="L30" s="799">
        <f t="shared" si="18"/>
        <v>0</v>
      </c>
      <c r="M30" s="685">
        <f t="shared" si="2"/>
        <v>0</v>
      </c>
      <c r="N30" s="684">
        <f>+M30/G30</f>
        <v>0</v>
      </c>
    </row>
    <row r="31" spans="1:14" ht="42.75" customHeight="1" x14ac:dyDescent="0.3">
      <c r="A31" s="1323"/>
      <c r="B31" s="1323"/>
      <c r="C31" s="794" t="s">
        <v>61</v>
      </c>
      <c r="D31" s="794" t="s">
        <v>85</v>
      </c>
      <c r="E31" s="358">
        <v>4.4999999999999998E-2</v>
      </c>
      <c r="F31" s="114">
        <v>7312607</v>
      </c>
      <c r="G31" s="114">
        <v>329067</v>
      </c>
      <c r="H31" s="1323"/>
      <c r="I31" s="799">
        <v>0</v>
      </c>
      <c r="J31" s="685">
        <f>ROUND(I31*F31,0)</f>
        <v>0</v>
      </c>
      <c r="K31" s="684">
        <f t="shared" si="11"/>
        <v>0</v>
      </c>
      <c r="L31" s="799">
        <f>I31</f>
        <v>0</v>
      </c>
      <c r="M31" s="685">
        <f t="shared" si="2"/>
        <v>0</v>
      </c>
      <c r="N31" s="684">
        <f t="shared" ref="N31" si="20">+M31/G31</f>
        <v>0</v>
      </c>
    </row>
    <row r="32" spans="1:14" x14ac:dyDescent="0.3">
      <c r="A32" s="1323"/>
      <c r="B32" s="1323"/>
      <c r="C32" s="115"/>
      <c r="D32" s="115" t="s">
        <v>86</v>
      </c>
      <c r="E32" s="368"/>
      <c r="F32" s="116"/>
      <c r="G32" s="117">
        <v>496734</v>
      </c>
      <c r="H32" s="1323"/>
      <c r="I32" s="40"/>
      <c r="J32" s="683">
        <f>SUM(J30:J31)</f>
        <v>0</v>
      </c>
      <c r="K32" s="519">
        <f t="shared" si="11"/>
        <v>0</v>
      </c>
      <c r="L32" s="40"/>
      <c r="M32" s="1107">
        <f t="shared" si="2"/>
        <v>0</v>
      </c>
      <c r="N32" s="519">
        <f t="shared" ref="N32" si="21">M32/G32</f>
        <v>0</v>
      </c>
    </row>
    <row r="33" spans="1:14" ht="28.8" x14ac:dyDescent="0.3">
      <c r="A33" s="1323" t="s">
        <v>2109</v>
      </c>
      <c r="B33" s="1323" t="s">
        <v>1089</v>
      </c>
      <c r="C33" s="794" t="s">
        <v>81</v>
      </c>
      <c r="D33" s="794" t="s">
        <v>82</v>
      </c>
      <c r="E33" s="794">
        <v>0</v>
      </c>
      <c r="F33" s="114">
        <v>1880385</v>
      </c>
      <c r="G33" s="114">
        <v>0</v>
      </c>
      <c r="H33" s="1530" t="s">
        <v>2022</v>
      </c>
      <c r="I33" s="799">
        <v>0</v>
      </c>
      <c r="J33" s="685">
        <f>ROUND(I33*F33,0)</f>
        <v>0</v>
      </c>
      <c r="K33" s="684">
        <v>0</v>
      </c>
      <c r="L33" s="799">
        <f t="shared" ref="L33:L34" si="22">I33</f>
        <v>0</v>
      </c>
      <c r="M33" s="685">
        <f t="shared" si="2"/>
        <v>0</v>
      </c>
      <c r="N33" s="684">
        <v>0</v>
      </c>
    </row>
    <row r="34" spans="1:14" ht="52.5" customHeight="1" x14ac:dyDescent="0.3">
      <c r="A34" s="1323"/>
      <c r="B34" s="1323"/>
      <c r="C34" s="794" t="s">
        <v>83</v>
      </c>
      <c r="D34" s="794" t="s">
        <v>84</v>
      </c>
      <c r="E34" s="794">
        <v>4.4999999999999998E-2</v>
      </c>
      <c r="F34" s="114">
        <v>1845563</v>
      </c>
      <c r="G34" s="114">
        <v>83050</v>
      </c>
      <c r="H34" s="1530"/>
      <c r="I34" s="799">
        <v>0</v>
      </c>
      <c r="J34" s="685">
        <f t="shared" ref="J34" si="23">ROUND(I34*F34,0)</f>
        <v>0</v>
      </c>
      <c r="K34" s="684">
        <f>J34/G34</f>
        <v>0</v>
      </c>
      <c r="L34" s="799">
        <f t="shared" si="22"/>
        <v>0</v>
      </c>
      <c r="M34" s="685">
        <f t="shared" si="2"/>
        <v>0</v>
      </c>
      <c r="N34" s="684">
        <f>+M34/G34</f>
        <v>0</v>
      </c>
    </row>
    <row r="35" spans="1:14" ht="28.8" x14ac:dyDescent="0.3">
      <c r="A35" s="1323"/>
      <c r="B35" s="1323"/>
      <c r="C35" s="794" t="s">
        <v>61</v>
      </c>
      <c r="D35" s="794" t="s">
        <v>85</v>
      </c>
      <c r="E35" s="794">
        <v>4.4999999999999998E-2</v>
      </c>
      <c r="F35" s="114">
        <v>7312607</v>
      </c>
      <c r="G35" s="114">
        <v>329067</v>
      </c>
      <c r="H35" s="1530"/>
      <c r="I35" s="799">
        <v>0</v>
      </c>
      <c r="J35" s="685">
        <f>ROUND(I35*F35,0)</f>
        <v>0</v>
      </c>
      <c r="K35" s="684">
        <f>J35/G35</f>
        <v>0</v>
      </c>
      <c r="L35" s="799">
        <f>I35</f>
        <v>0</v>
      </c>
      <c r="M35" s="685">
        <f t="shared" si="2"/>
        <v>0</v>
      </c>
      <c r="N35" s="684">
        <f t="shared" ref="N35" si="24">+M35/G35</f>
        <v>0</v>
      </c>
    </row>
    <row r="36" spans="1:14" x14ac:dyDescent="0.3">
      <c r="A36" s="1323"/>
      <c r="B36" s="1323"/>
      <c r="C36" s="115"/>
      <c r="D36" s="115" t="s">
        <v>86</v>
      </c>
      <c r="E36" s="116"/>
      <c r="F36" s="116"/>
      <c r="G36" s="117">
        <v>412117</v>
      </c>
      <c r="H36" s="1530"/>
      <c r="I36" s="40"/>
      <c r="J36" s="683">
        <f>SUM(J34:J35)</f>
        <v>0</v>
      </c>
      <c r="K36" s="519">
        <f>J36/G36</f>
        <v>0</v>
      </c>
      <c r="L36" s="40"/>
      <c r="M36" s="1107">
        <f t="shared" si="2"/>
        <v>0</v>
      </c>
      <c r="N36" s="519">
        <f t="shared" ref="N36" si="25">M36/G36</f>
        <v>0</v>
      </c>
    </row>
    <row r="37" spans="1:14" ht="44.25" customHeight="1" x14ac:dyDescent="0.3">
      <c r="A37" s="1323" t="s">
        <v>2110</v>
      </c>
      <c r="B37" s="1323" t="s">
        <v>1091</v>
      </c>
      <c r="C37" s="794" t="s">
        <v>83</v>
      </c>
      <c r="D37" s="794" t="s">
        <v>91</v>
      </c>
      <c r="E37" s="794">
        <v>0</v>
      </c>
      <c r="F37" s="114">
        <v>1671452</v>
      </c>
      <c r="G37" s="114">
        <v>0</v>
      </c>
      <c r="H37" s="1530"/>
      <c r="I37" s="799">
        <v>0</v>
      </c>
      <c r="J37" s="685">
        <f t="shared" ref="J37" si="26">ROUND(I37*F37,0)</f>
        <v>0</v>
      </c>
      <c r="K37" s="684">
        <v>0</v>
      </c>
      <c r="L37" s="799">
        <f t="shared" ref="L37" si="27">I37</f>
        <v>0</v>
      </c>
      <c r="M37" s="685">
        <f t="shared" si="2"/>
        <v>0</v>
      </c>
      <c r="N37" s="684">
        <v>0</v>
      </c>
    </row>
    <row r="38" spans="1:14" ht="28.8" x14ac:dyDescent="0.3">
      <c r="A38" s="1323"/>
      <c r="B38" s="1323"/>
      <c r="C38" s="794" t="s">
        <v>61</v>
      </c>
      <c r="D38" s="794" t="s">
        <v>92</v>
      </c>
      <c r="E38" s="794">
        <v>4.4999999999999998E-2</v>
      </c>
      <c r="F38" s="114">
        <v>6233126</v>
      </c>
      <c r="G38" s="114">
        <v>280491</v>
      </c>
      <c r="H38" s="1530"/>
      <c r="I38" s="799">
        <v>0</v>
      </c>
      <c r="J38" s="685">
        <f>ROUND(I38*F38,0)</f>
        <v>0</v>
      </c>
      <c r="K38" s="684">
        <f>J38/G38</f>
        <v>0</v>
      </c>
      <c r="L38" s="799">
        <f>I38</f>
        <v>0</v>
      </c>
      <c r="M38" s="685">
        <f t="shared" si="2"/>
        <v>0</v>
      </c>
      <c r="N38" s="684">
        <f t="shared" ref="N38" si="28">+M38/G38</f>
        <v>0</v>
      </c>
    </row>
    <row r="39" spans="1:14" x14ac:dyDescent="0.3">
      <c r="A39" s="1323"/>
      <c r="B39" s="1323"/>
      <c r="C39" s="115"/>
      <c r="D39" s="115" t="s">
        <v>63</v>
      </c>
      <c r="E39" s="116"/>
      <c r="F39" s="116"/>
      <c r="G39" s="117">
        <v>280491</v>
      </c>
      <c r="H39" s="1530"/>
      <c r="I39" s="40"/>
      <c r="J39" s="683">
        <f>SUM(J37:J38)</f>
        <v>0</v>
      </c>
      <c r="K39" s="519">
        <f>J39/G39</f>
        <v>0</v>
      </c>
      <c r="L39" s="40"/>
      <c r="M39" s="1107">
        <f t="shared" si="2"/>
        <v>0</v>
      </c>
      <c r="N39" s="519">
        <f t="shared" ref="N39" si="29">M39/G39</f>
        <v>0</v>
      </c>
    </row>
    <row r="40" spans="1:14" ht="28.8" x14ac:dyDescent="0.3">
      <c r="A40" s="1323" t="s">
        <v>2111</v>
      </c>
      <c r="B40" s="1323" t="s">
        <v>1089</v>
      </c>
      <c r="C40" s="794" t="s">
        <v>81</v>
      </c>
      <c r="D40" s="794" t="s">
        <v>82</v>
      </c>
      <c r="E40" s="794">
        <v>0</v>
      </c>
      <c r="F40" s="114">
        <v>1880385</v>
      </c>
      <c r="G40" s="114">
        <v>0</v>
      </c>
      <c r="H40" s="1530" t="s">
        <v>2023</v>
      </c>
      <c r="I40" s="799">
        <v>0</v>
      </c>
      <c r="J40" s="685">
        <f>ROUND(I40*F40,0)</f>
        <v>0</v>
      </c>
      <c r="K40" s="684">
        <v>0</v>
      </c>
      <c r="L40" s="799">
        <f t="shared" ref="L40:L41" si="30">I40</f>
        <v>0</v>
      </c>
      <c r="M40" s="685">
        <f t="shared" si="2"/>
        <v>0</v>
      </c>
      <c r="N40" s="684">
        <v>0</v>
      </c>
    </row>
    <row r="41" spans="1:14" ht="36.75" customHeight="1" x14ac:dyDescent="0.3">
      <c r="A41" s="1323"/>
      <c r="B41" s="1323"/>
      <c r="C41" s="794" t="s">
        <v>83</v>
      </c>
      <c r="D41" s="794" t="s">
        <v>84</v>
      </c>
      <c r="E41" s="794">
        <v>4.4999999999999998E-2</v>
      </c>
      <c r="F41" s="114">
        <v>1845563</v>
      </c>
      <c r="G41" s="114">
        <v>83050</v>
      </c>
      <c r="H41" s="1530"/>
      <c r="I41" s="799">
        <v>0</v>
      </c>
      <c r="J41" s="685">
        <f t="shared" ref="J41" si="31">ROUND(I41*F41,0)</f>
        <v>0</v>
      </c>
      <c r="K41" s="684">
        <f>J41/G41</f>
        <v>0</v>
      </c>
      <c r="L41" s="799">
        <f t="shared" si="30"/>
        <v>0</v>
      </c>
      <c r="M41" s="685">
        <f t="shared" si="2"/>
        <v>0</v>
      </c>
      <c r="N41" s="684">
        <f>+M41/G41</f>
        <v>0</v>
      </c>
    </row>
    <row r="42" spans="1:14" ht="39.75" customHeight="1" x14ac:dyDescent="0.3">
      <c r="A42" s="1323"/>
      <c r="B42" s="1323"/>
      <c r="C42" s="794" t="s">
        <v>61</v>
      </c>
      <c r="D42" s="794" t="s">
        <v>85</v>
      </c>
      <c r="E42" s="794">
        <v>4.4999999999999998E-2</v>
      </c>
      <c r="F42" s="114">
        <v>7312607</v>
      </c>
      <c r="G42" s="114">
        <v>329067</v>
      </c>
      <c r="H42" s="1530"/>
      <c r="I42" s="799">
        <v>0</v>
      </c>
      <c r="J42" s="685">
        <f>ROUND(I42*F42,0)</f>
        <v>0</v>
      </c>
      <c r="K42" s="684">
        <f>J42/G42</f>
        <v>0</v>
      </c>
      <c r="L42" s="799">
        <f>I42</f>
        <v>0</v>
      </c>
      <c r="M42" s="685">
        <f t="shared" si="2"/>
        <v>0</v>
      </c>
      <c r="N42" s="684">
        <f t="shared" ref="N42" si="32">+M42/G42</f>
        <v>0</v>
      </c>
    </row>
    <row r="43" spans="1:14" x14ac:dyDescent="0.3">
      <c r="A43" s="1323"/>
      <c r="B43" s="1323"/>
      <c r="C43" s="115"/>
      <c r="D43" s="115" t="s">
        <v>86</v>
      </c>
      <c r="E43" s="116"/>
      <c r="F43" s="116"/>
      <c r="G43" s="117">
        <v>412117</v>
      </c>
      <c r="H43" s="1530"/>
      <c r="I43" s="40"/>
      <c r="J43" s="683">
        <f>SUM(J41:J42)</f>
        <v>0</v>
      </c>
      <c r="K43" s="519">
        <f>J43/G43</f>
        <v>0</v>
      </c>
      <c r="L43" s="40"/>
      <c r="M43" s="1107">
        <f t="shared" si="2"/>
        <v>0</v>
      </c>
      <c r="N43" s="519">
        <f t="shared" ref="N43" si="33">M43/G43</f>
        <v>0</v>
      </c>
    </row>
    <row r="44" spans="1:14" ht="28.8" x14ac:dyDescent="0.3">
      <c r="A44" s="1323" t="s">
        <v>2111</v>
      </c>
      <c r="B44" s="1323" t="s">
        <v>1091</v>
      </c>
      <c r="C44" s="794" t="s">
        <v>83</v>
      </c>
      <c r="D44" s="794" t="s">
        <v>91</v>
      </c>
      <c r="E44" s="794">
        <v>0</v>
      </c>
      <c r="F44" s="114">
        <v>1671452</v>
      </c>
      <c r="G44" s="114">
        <v>0</v>
      </c>
      <c r="H44" s="1530"/>
      <c r="I44" s="799">
        <v>0</v>
      </c>
      <c r="J44" s="685">
        <f t="shared" ref="J44" si="34">ROUND(I44*F44,0)</f>
        <v>0</v>
      </c>
      <c r="K44" s="684">
        <v>0</v>
      </c>
      <c r="L44" s="799">
        <f t="shared" ref="L44" si="35">I44</f>
        <v>0</v>
      </c>
      <c r="M44" s="685">
        <f t="shared" si="2"/>
        <v>0</v>
      </c>
      <c r="N44" s="684">
        <v>0</v>
      </c>
    </row>
    <row r="45" spans="1:14" ht="42.75" customHeight="1" x14ac:dyDescent="0.3">
      <c r="A45" s="1323"/>
      <c r="B45" s="1323"/>
      <c r="C45" s="794" t="s">
        <v>61</v>
      </c>
      <c r="D45" s="794" t="s">
        <v>92</v>
      </c>
      <c r="E45" s="794">
        <v>4.4999999999999998E-2</v>
      </c>
      <c r="F45" s="114">
        <v>6233126</v>
      </c>
      <c r="G45" s="114">
        <v>280491</v>
      </c>
      <c r="H45" s="1530"/>
      <c r="I45" s="799">
        <v>0</v>
      </c>
      <c r="J45" s="685">
        <f>ROUND(I45*F45,0)</f>
        <v>0</v>
      </c>
      <c r="K45" s="684">
        <f>J45/G45</f>
        <v>0</v>
      </c>
      <c r="L45" s="799">
        <f>I45</f>
        <v>0</v>
      </c>
      <c r="M45" s="685">
        <f t="shared" si="2"/>
        <v>0</v>
      </c>
      <c r="N45" s="684">
        <f t="shared" ref="N45" si="36">+M45/G45</f>
        <v>0</v>
      </c>
    </row>
    <row r="46" spans="1:14" x14ac:dyDescent="0.3">
      <c r="A46" s="1323"/>
      <c r="B46" s="1323"/>
      <c r="C46" s="115"/>
      <c r="D46" s="115" t="s">
        <v>63</v>
      </c>
      <c r="E46" s="116"/>
      <c r="F46" s="116"/>
      <c r="G46" s="117">
        <v>280491</v>
      </c>
      <c r="H46" s="1530"/>
      <c r="I46" s="40"/>
      <c r="J46" s="683">
        <f>SUM(J44:J45)</f>
        <v>0</v>
      </c>
      <c r="K46" s="519">
        <f>J46/G46</f>
        <v>0</v>
      </c>
      <c r="L46" s="40"/>
      <c r="M46" s="1107">
        <f t="shared" si="2"/>
        <v>0</v>
      </c>
      <c r="N46" s="519">
        <f t="shared" ref="N46" si="37">M46/G46</f>
        <v>0</v>
      </c>
    </row>
    <row r="47" spans="1:14" ht="28.8" x14ac:dyDescent="0.3">
      <c r="A47" s="1323" t="s">
        <v>2112</v>
      </c>
      <c r="B47" s="1324" t="s">
        <v>216</v>
      </c>
      <c r="C47" s="794" t="s">
        <v>81</v>
      </c>
      <c r="D47" s="794" t="s">
        <v>82</v>
      </c>
      <c r="E47" s="794">
        <v>0</v>
      </c>
      <c r="F47" s="114">
        <v>1880385</v>
      </c>
      <c r="G47" s="114">
        <v>0</v>
      </c>
      <c r="H47" s="1324" t="s">
        <v>2024</v>
      </c>
      <c r="I47" s="799">
        <v>0</v>
      </c>
      <c r="J47" s="685">
        <f>ROUND(I47*F47,0)</f>
        <v>0</v>
      </c>
      <c r="K47" s="684">
        <v>0</v>
      </c>
      <c r="L47" s="799">
        <f t="shared" ref="L47:L48" si="38">I47</f>
        <v>0</v>
      </c>
      <c r="M47" s="685">
        <f t="shared" si="2"/>
        <v>0</v>
      </c>
      <c r="N47" s="684">
        <v>0</v>
      </c>
    </row>
    <row r="48" spans="1:14" ht="54.75" customHeight="1" x14ac:dyDescent="0.3">
      <c r="A48" s="1323"/>
      <c r="B48" s="1323"/>
      <c r="C48" s="794" t="s">
        <v>83</v>
      </c>
      <c r="D48" s="794" t="s">
        <v>84</v>
      </c>
      <c r="E48" s="794">
        <v>0</v>
      </c>
      <c r="F48" s="114">
        <v>1845563</v>
      </c>
      <c r="G48" s="114">
        <v>0</v>
      </c>
      <c r="H48" s="1323"/>
      <c r="I48" s="799">
        <v>0</v>
      </c>
      <c r="J48" s="685">
        <f t="shared" ref="J48" si="39">ROUND(I48*F48,0)</f>
        <v>0</v>
      </c>
      <c r="K48" s="684">
        <v>0</v>
      </c>
      <c r="L48" s="799">
        <f t="shared" si="38"/>
        <v>0</v>
      </c>
      <c r="M48" s="685">
        <f t="shared" si="2"/>
        <v>0</v>
      </c>
      <c r="N48" s="684">
        <v>0</v>
      </c>
    </row>
    <row r="49" spans="1:14" ht="56.25" customHeight="1" x14ac:dyDescent="0.3">
      <c r="A49" s="1323"/>
      <c r="B49" s="1323"/>
      <c r="C49" s="794" t="s">
        <v>61</v>
      </c>
      <c r="D49" s="794" t="s">
        <v>85</v>
      </c>
      <c r="E49" s="794">
        <v>4.4999999999999998E-2</v>
      </c>
      <c r="F49" s="114">
        <v>7312607</v>
      </c>
      <c r="G49" s="114">
        <v>329067</v>
      </c>
      <c r="H49" s="1323"/>
      <c r="I49" s="799">
        <v>0</v>
      </c>
      <c r="J49" s="685">
        <f>ROUND(I49*F49,0)</f>
        <v>0</v>
      </c>
      <c r="K49" s="684">
        <f>J49/G49</f>
        <v>0</v>
      </c>
      <c r="L49" s="799">
        <f>I49</f>
        <v>0</v>
      </c>
      <c r="M49" s="685">
        <f t="shared" si="2"/>
        <v>0</v>
      </c>
      <c r="N49" s="684">
        <f t="shared" ref="N49" si="40">+M49/G49</f>
        <v>0</v>
      </c>
    </row>
    <row r="50" spans="1:14" x14ac:dyDescent="0.3">
      <c r="A50" s="1323"/>
      <c r="B50" s="1323"/>
      <c r="C50" s="115"/>
      <c r="D50" s="115" t="s">
        <v>86</v>
      </c>
      <c r="E50" s="116"/>
      <c r="F50" s="116"/>
      <c r="G50" s="117">
        <v>329067</v>
      </c>
      <c r="H50" s="1323"/>
      <c r="I50" s="40"/>
      <c r="J50" s="683">
        <f>SUM(J48:J49)</f>
        <v>0</v>
      </c>
      <c r="K50" s="519">
        <f>J50/G50</f>
        <v>0</v>
      </c>
      <c r="L50" s="40"/>
      <c r="M50" s="1107">
        <f t="shared" si="2"/>
        <v>0</v>
      </c>
      <c r="N50" s="519">
        <f t="shared" ref="N50" si="41">M50/G50</f>
        <v>0</v>
      </c>
    </row>
    <row r="51" spans="1:14" ht="28.8" x14ac:dyDescent="0.3">
      <c r="A51" s="1290" t="s">
        <v>2113</v>
      </c>
      <c r="B51" s="1289" t="s">
        <v>216</v>
      </c>
      <c r="C51" s="790" t="s">
        <v>81</v>
      </c>
      <c r="D51" s="790" t="s">
        <v>82</v>
      </c>
      <c r="E51" s="790">
        <v>0</v>
      </c>
      <c r="F51" s="32">
        <v>1880385</v>
      </c>
      <c r="G51" s="32">
        <f>ROUND((E51*F51),0)</f>
        <v>0</v>
      </c>
      <c r="H51" s="1501" t="s">
        <v>2025</v>
      </c>
      <c r="I51" s="799">
        <v>0</v>
      </c>
      <c r="J51" s="685">
        <f>ROUND(I51*F51,0)</f>
        <v>0</v>
      </c>
      <c r="K51" s="684">
        <v>0</v>
      </c>
      <c r="L51" s="799">
        <f t="shared" ref="L51:L52" si="42">I51</f>
        <v>0</v>
      </c>
      <c r="M51" s="685">
        <f t="shared" si="2"/>
        <v>0</v>
      </c>
      <c r="N51" s="684">
        <v>0</v>
      </c>
    </row>
    <row r="52" spans="1:14" ht="28.8" x14ac:dyDescent="0.3">
      <c r="A52" s="1289"/>
      <c r="B52" s="1289"/>
      <c r="C52" s="790" t="s">
        <v>83</v>
      </c>
      <c r="D52" s="790" t="s">
        <v>84</v>
      </c>
      <c r="E52" s="790">
        <v>4.4999999999999998E-2</v>
      </c>
      <c r="F52" s="32">
        <v>1845563</v>
      </c>
      <c r="G52" s="32">
        <f>ROUND((E52*F52),0)</f>
        <v>83050</v>
      </c>
      <c r="H52" s="1502"/>
      <c r="I52" s="799">
        <v>0</v>
      </c>
      <c r="J52" s="685">
        <f t="shared" ref="J52" si="43">ROUND(I52*F52,0)</f>
        <v>0</v>
      </c>
      <c r="K52" s="684">
        <f t="shared" ref="K52:K57" si="44">J52/G52</f>
        <v>0</v>
      </c>
      <c r="L52" s="799">
        <f t="shared" si="42"/>
        <v>0</v>
      </c>
      <c r="M52" s="685">
        <f t="shared" si="2"/>
        <v>0</v>
      </c>
      <c r="N52" s="684">
        <f t="shared" ref="N52:N53" si="45">+M52/G52</f>
        <v>0</v>
      </c>
    </row>
    <row r="53" spans="1:14" ht="28.8" x14ac:dyDescent="0.3">
      <c r="A53" s="1289"/>
      <c r="B53" s="1289"/>
      <c r="C53" s="790" t="s">
        <v>61</v>
      </c>
      <c r="D53" s="790" t="s">
        <v>85</v>
      </c>
      <c r="E53" s="790">
        <v>4.4999999999999998E-2</v>
      </c>
      <c r="F53" s="32">
        <v>7312607</v>
      </c>
      <c r="G53" s="32">
        <f>ROUND((E53*F53),0)</f>
        <v>329067</v>
      </c>
      <c r="H53" s="1502"/>
      <c r="I53" s="799">
        <v>0</v>
      </c>
      <c r="J53" s="685">
        <f>ROUND(I53*F53,0)</f>
        <v>0</v>
      </c>
      <c r="K53" s="684">
        <f t="shared" si="44"/>
        <v>0</v>
      </c>
      <c r="L53" s="799">
        <f>I53</f>
        <v>0</v>
      </c>
      <c r="M53" s="685">
        <f t="shared" si="2"/>
        <v>0</v>
      </c>
      <c r="N53" s="684">
        <f t="shared" si="45"/>
        <v>0</v>
      </c>
    </row>
    <row r="54" spans="1:14" x14ac:dyDescent="0.3">
      <c r="A54" s="1289"/>
      <c r="B54" s="1289"/>
      <c r="C54" s="39"/>
      <c r="D54" s="39" t="s">
        <v>86</v>
      </c>
      <c r="E54" s="41"/>
      <c r="F54" s="41"/>
      <c r="G54" s="42">
        <f>SUM(G51:G53)</f>
        <v>412117</v>
      </c>
      <c r="H54" s="1502"/>
      <c r="I54" s="40"/>
      <c r="J54" s="683">
        <f>SUM(J52:J53)</f>
        <v>0</v>
      </c>
      <c r="K54" s="519">
        <f t="shared" si="44"/>
        <v>0</v>
      </c>
      <c r="L54" s="40"/>
      <c r="M54" s="1107">
        <f t="shared" si="2"/>
        <v>0</v>
      </c>
      <c r="N54" s="519">
        <f t="shared" ref="N54" si="46">M54/G54</f>
        <v>0</v>
      </c>
    </row>
    <row r="55" spans="1:14" ht="28.8" x14ac:dyDescent="0.3">
      <c r="A55" s="1290" t="s">
        <v>2114</v>
      </c>
      <c r="B55" s="1289" t="s">
        <v>195</v>
      </c>
      <c r="C55" s="790" t="s">
        <v>83</v>
      </c>
      <c r="D55" s="790" t="s">
        <v>91</v>
      </c>
      <c r="E55" s="790">
        <v>4.4999999999999998E-2</v>
      </c>
      <c r="F55" s="32">
        <v>1671452</v>
      </c>
      <c r="G55" s="32">
        <f>ROUND((E55*F55),0)</f>
        <v>75215</v>
      </c>
      <c r="H55" s="1502"/>
      <c r="I55" s="799">
        <v>0</v>
      </c>
      <c r="J55" s="685">
        <f t="shared" ref="J55" si="47">ROUND(I55*F55,0)</f>
        <v>0</v>
      </c>
      <c r="K55" s="684">
        <f t="shared" si="44"/>
        <v>0</v>
      </c>
      <c r="L55" s="799">
        <f t="shared" ref="L55" si="48">I55</f>
        <v>0</v>
      </c>
      <c r="M55" s="685">
        <f t="shared" si="2"/>
        <v>0</v>
      </c>
      <c r="N55" s="684">
        <f t="shared" ref="N55:N56" si="49">+M55/G55</f>
        <v>0</v>
      </c>
    </row>
    <row r="56" spans="1:14" ht="28.8" x14ac:dyDescent="0.3">
      <c r="A56" s="1289"/>
      <c r="B56" s="1289"/>
      <c r="C56" s="790" t="s">
        <v>61</v>
      </c>
      <c r="D56" s="790" t="s">
        <v>92</v>
      </c>
      <c r="E56" s="790">
        <v>4.4999999999999998E-2</v>
      </c>
      <c r="F56" s="32">
        <v>6233126</v>
      </c>
      <c r="G56" s="32">
        <f>ROUND((E56*F56),0)</f>
        <v>280491</v>
      </c>
      <c r="H56" s="1502"/>
      <c r="I56" s="799">
        <v>0</v>
      </c>
      <c r="J56" s="685">
        <f>ROUND(I56*F56,0)</f>
        <v>0</v>
      </c>
      <c r="K56" s="684">
        <f t="shared" si="44"/>
        <v>0</v>
      </c>
      <c r="L56" s="799">
        <f>I56</f>
        <v>0</v>
      </c>
      <c r="M56" s="685">
        <f t="shared" si="2"/>
        <v>0</v>
      </c>
      <c r="N56" s="684">
        <f t="shared" si="49"/>
        <v>0</v>
      </c>
    </row>
    <row r="57" spans="1:14" x14ac:dyDescent="0.3">
      <c r="A57" s="1289"/>
      <c r="B57" s="1289"/>
      <c r="C57" s="39"/>
      <c r="D57" s="39" t="s">
        <v>63</v>
      </c>
      <c r="E57" s="41"/>
      <c r="F57" s="41"/>
      <c r="G57" s="42">
        <f>SUM(G55:G56)</f>
        <v>355706</v>
      </c>
      <c r="H57" s="1502"/>
      <c r="I57" s="40"/>
      <c r="J57" s="683">
        <f>SUM(J55:J56)</f>
        <v>0</v>
      </c>
      <c r="K57" s="519">
        <f t="shared" si="44"/>
        <v>0</v>
      </c>
      <c r="L57" s="40"/>
      <c r="M57" s="1107">
        <f t="shared" si="2"/>
        <v>0</v>
      </c>
      <c r="N57" s="519">
        <f t="shared" ref="N57" si="50">M57/G57</f>
        <v>0</v>
      </c>
    </row>
    <row r="58" spans="1:14" ht="28.8" x14ac:dyDescent="0.3">
      <c r="A58" s="1323" t="s">
        <v>2115</v>
      </c>
      <c r="B58" s="1323" t="s">
        <v>216</v>
      </c>
      <c r="C58" s="794" t="s">
        <v>81</v>
      </c>
      <c r="D58" s="794" t="s">
        <v>82</v>
      </c>
      <c r="E58" s="794">
        <v>0</v>
      </c>
      <c r="F58" s="114">
        <v>1880385</v>
      </c>
      <c r="G58" s="114">
        <v>0</v>
      </c>
      <c r="H58" s="1530" t="s">
        <v>2026</v>
      </c>
      <c r="I58" s="799">
        <v>0</v>
      </c>
      <c r="J58" s="685">
        <f>ROUND(I58*F58,0)</f>
        <v>0</v>
      </c>
      <c r="K58" s="684">
        <v>0</v>
      </c>
      <c r="L58" s="799">
        <f t="shared" ref="L58:L59" si="51">I58</f>
        <v>0</v>
      </c>
      <c r="M58" s="685">
        <f t="shared" si="2"/>
        <v>0</v>
      </c>
      <c r="N58" s="684">
        <v>0</v>
      </c>
    </row>
    <row r="59" spans="1:14" ht="38.25" customHeight="1" x14ac:dyDescent="0.3">
      <c r="A59" s="1323"/>
      <c r="B59" s="1323"/>
      <c r="C59" s="794" t="s">
        <v>83</v>
      </c>
      <c r="D59" s="794" t="s">
        <v>84</v>
      </c>
      <c r="E59" s="794">
        <v>4.4999999999999998E-2</v>
      </c>
      <c r="F59" s="114">
        <v>1845563</v>
      </c>
      <c r="G59" s="114">
        <v>83050</v>
      </c>
      <c r="H59" s="1530"/>
      <c r="I59" s="799">
        <v>0</v>
      </c>
      <c r="J59" s="685">
        <f t="shared" ref="J59" si="52">ROUND(I59*F59,0)</f>
        <v>0</v>
      </c>
      <c r="K59" s="684">
        <f t="shared" ref="K59:K64" si="53">J59/G59</f>
        <v>0</v>
      </c>
      <c r="L59" s="799">
        <f t="shared" si="51"/>
        <v>0</v>
      </c>
      <c r="M59" s="685">
        <f t="shared" si="2"/>
        <v>0</v>
      </c>
      <c r="N59" s="684">
        <f t="shared" ref="N59:N60" si="54">+M59/G59</f>
        <v>0</v>
      </c>
    </row>
    <row r="60" spans="1:14" ht="34.5" customHeight="1" x14ac:dyDescent="0.3">
      <c r="A60" s="1323"/>
      <c r="B60" s="1323"/>
      <c r="C60" s="794" t="s">
        <v>61</v>
      </c>
      <c r="D60" s="794" t="s">
        <v>85</v>
      </c>
      <c r="E60" s="794">
        <v>4.4999999999999998E-2</v>
      </c>
      <c r="F60" s="114">
        <v>7312607</v>
      </c>
      <c r="G60" s="114">
        <v>329067</v>
      </c>
      <c r="H60" s="1530"/>
      <c r="I60" s="799">
        <v>0</v>
      </c>
      <c r="J60" s="685">
        <f>ROUND(I60*F60,0)</f>
        <v>0</v>
      </c>
      <c r="K60" s="684">
        <f t="shared" si="53"/>
        <v>0</v>
      </c>
      <c r="L60" s="799">
        <f>I60</f>
        <v>0</v>
      </c>
      <c r="M60" s="685">
        <f t="shared" si="2"/>
        <v>0</v>
      </c>
      <c r="N60" s="684">
        <f t="shared" si="54"/>
        <v>0</v>
      </c>
    </row>
    <row r="61" spans="1:14" x14ac:dyDescent="0.3">
      <c r="A61" s="1323"/>
      <c r="B61" s="1323"/>
      <c r="C61" s="115"/>
      <c r="D61" s="115" t="s">
        <v>86</v>
      </c>
      <c r="E61" s="116"/>
      <c r="F61" s="116"/>
      <c r="G61" s="117">
        <v>412117</v>
      </c>
      <c r="H61" s="1530"/>
      <c r="I61" s="40"/>
      <c r="J61" s="683">
        <f>SUM(J59:J60)</f>
        <v>0</v>
      </c>
      <c r="K61" s="519">
        <f t="shared" si="53"/>
        <v>0</v>
      </c>
      <c r="L61" s="40"/>
      <c r="M61" s="1107">
        <f t="shared" si="2"/>
        <v>0</v>
      </c>
      <c r="N61" s="519">
        <f t="shared" ref="N61" si="55">M61/G61</f>
        <v>0</v>
      </c>
    </row>
    <row r="62" spans="1:14" ht="35.25" customHeight="1" x14ac:dyDescent="0.3">
      <c r="A62" s="1323" t="s">
        <v>2116</v>
      </c>
      <c r="B62" s="1323" t="s">
        <v>195</v>
      </c>
      <c r="C62" s="794" t="s">
        <v>83</v>
      </c>
      <c r="D62" s="794" t="s">
        <v>91</v>
      </c>
      <c r="E62" s="794">
        <v>4.4999999999999998E-2</v>
      </c>
      <c r="F62" s="114">
        <v>1671452</v>
      </c>
      <c r="G62" s="114">
        <v>75215</v>
      </c>
      <c r="H62" s="1530"/>
      <c r="I62" s="799">
        <v>0</v>
      </c>
      <c r="J62" s="685">
        <f t="shared" ref="J62" si="56">ROUND(I62*F62,0)</f>
        <v>0</v>
      </c>
      <c r="K62" s="684">
        <f t="shared" si="53"/>
        <v>0</v>
      </c>
      <c r="L62" s="799">
        <f t="shared" ref="L62" si="57">I62</f>
        <v>0</v>
      </c>
      <c r="M62" s="685">
        <f t="shared" si="2"/>
        <v>0</v>
      </c>
      <c r="N62" s="684">
        <f t="shared" ref="N62:N63" si="58">+M62/G62</f>
        <v>0</v>
      </c>
    </row>
    <row r="63" spans="1:14" ht="28.8" x14ac:dyDescent="0.3">
      <c r="A63" s="1323"/>
      <c r="B63" s="1323"/>
      <c r="C63" s="794" t="s">
        <v>61</v>
      </c>
      <c r="D63" s="794" t="s">
        <v>92</v>
      </c>
      <c r="E63" s="794">
        <v>4.4999999999999998E-2</v>
      </c>
      <c r="F63" s="114">
        <v>6233126</v>
      </c>
      <c r="G63" s="114">
        <v>280491</v>
      </c>
      <c r="H63" s="1530"/>
      <c r="I63" s="799">
        <v>0</v>
      </c>
      <c r="J63" s="685">
        <f>ROUND(I63*F63,0)</f>
        <v>0</v>
      </c>
      <c r="K63" s="684">
        <f t="shared" si="53"/>
        <v>0</v>
      </c>
      <c r="L63" s="799">
        <f>I63</f>
        <v>0</v>
      </c>
      <c r="M63" s="685">
        <f t="shared" si="2"/>
        <v>0</v>
      </c>
      <c r="N63" s="684">
        <f t="shared" si="58"/>
        <v>0</v>
      </c>
    </row>
    <row r="64" spans="1:14" ht="29.25" customHeight="1" x14ac:dyDescent="0.3">
      <c r="A64" s="1323"/>
      <c r="B64" s="1323"/>
      <c r="C64" s="115"/>
      <c r="D64" s="115" t="s">
        <v>63</v>
      </c>
      <c r="E64" s="116"/>
      <c r="F64" s="116"/>
      <c r="G64" s="117">
        <v>355706</v>
      </c>
      <c r="H64" s="1530"/>
      <c r="I64" s="40"/>
      <c r="J64" s="683">
        <f>SUM(J62:J63)</f>
        <v>0</v>
      </c>
      <c r="K64" s="519">
        <f t="shared" si="53"/>
        <v>0</v>
      </c>
      <c r="L64" s="40"/>
      <c r="M64" s="1107">
        <f t="shared" si="2"/>
        <v>0</v>
      </c>
      <c r="N64" s="519">
        <f t="shared" ref="N64" si="59">M64/G64</f>
        <v>0</v>
      </c>
    </row>
    <row r="65" spans="1:14" ht="28.8" x14ac:dyDescent="0.3">
      <c r="A65" s="1323" t="s">
        <v>2117</v>
      </c>
      <c r="B65" s="1323" t="s">
        <v>216</v>
      </c>
      <c r="C65" s="794" t="s">
        <v>81</v>
      </c>
      <c r="D65" s="794" t="s">
        <v>82</v>
      </c>
      <c r="E65" s="794">
        <v>0</v>
      </c>
      <c r="F65" s="114">
        <v>1880385</v>
      </c>
      <c r="G65" s="114">
        <v>0</v>
      </c>
      <c r="H65" s="1530" t="s">
        <v>2027</v>
      </c>
      <c r="I65" s="799">
        <v>0</v>
      </c>
      <c r="J65" s="685">
        <f>ROUND(I65*F65,0)</f>
        <v>0</v>
      </c>
      <c r="K65" s="684">
        <v>0</v>
      </c>
      <c r="L65" s="799">
        <f t="shared" ref="L65:L66" si="60">I65</f>
        <v>0</v>
      </c>
      <c r="M65" s="685">
        <f t="shared" si="2"/>
        <v>0</v>
      </c>
      <c r="N65" s="684">
        <v>0</v>
      </c>
    </row>
    <row r="66" spans="1:14" ht="33" customHeight="1" x14ac:dyDescent="0.3">
      <c r="A66" s="1323"/>
      <c r="B66" s="1323"/>
      <c r="C66" s="794" t="s">
        <v>83</v>
      </c>
      <c r="D66" s="794" t="s">
        <v>84</v>
      </c>
      <c r="E66" s="794">
        <v>4.4999999999999998E-2</v>
      </c>
      <c r="F66" s="114">
        <v>1845563</v>
      </c>
      <c r="G66" s="114">
        <v>83050</v>
      </c>
      <c r="H66" s="1530"/>
      <c r="I66" s="799">
        <v>0</v>
      </c>
      <c r="J66" s="685">
        <f t="shared" ref="J66" si="61">ROUND(I66*F66,0)</f>
        <v>0</v>
      </c>
      <c r="K66" s="684">
        <f t="shared" ref="K66:K71" si="62">J66/G66</f>
        <v>0</v>
      </c>
      <c r="L66" s="799">
        <f t="shared" si="60"/>
        <v>0</v>
      </c>
      <c r="M66" s="685">
        <f t="shared" si="2"/>
        <v>0</v>
      </c>
      <c r="N66" s="684">
        <f t="shared" ref="N66:N67" si="63">+M66/G66</f>
        <v>0</v>
      </c>
    </row>
    <row r="67" spans="1:14" ht="46.5" customHeight="1" x14ac:dyDescent="0.3">
      <c r="A67" s="1323"/>
      <c r="B67" s="1323"/>
      <c r="C67" s="794" t="s">
        <v>61</v>
      </c>
      <c r="D67" s="794" t="s">
        <v>85</v>
      </c>
      <c r="E67" s="794">
        <v>4.4999999999999998E-2</v>
      </c>
      <c r="F67" s="114">
        <v>7312607</v>
      </c>
      <c r="G67" s="114">
        <v>329067</v>
      </c>
      <c r="H67" s="1530"/>
      <c r="I67" s="799">
        <v>0</v>
      </c>
      <c r="J67" s="685">
        <f>ROUND(I67*F67,0)</f>
        <v>0</v>
      </c>
      <c r="K67" s="684">
        <f t="shared" si="62"/>
        <v>0</v>
      </c>
      <c r="L67" s="799">
        <f>I67</f>
        <v>0</v>
      </c>
      <c r="M67" s="685">
        <f t="shared" si="2"/>
        <v>0</v>
      </c>
      <c r="N67" s="684">
        <f t="shared" si="63"/>
        <v>0</v>
      </c>
    </row>
    <row r="68" spans="1:14" x14ac:dyDescent="0.3">
      <c r="A68" s="1323"/>
      <c r="B68" s="1323"/>
      <c r="C68" s="115"/>
      <c r="D68" s="115" t="s">
        <v>86</v>
      </c>
      <c r="E68" s="116"/>
      <c r="F68" s="116"/>
      <c r="G68" s="117">
        <v>412117</v>
      </c>
      <c r="H68" s="1530"/>
      <c r="I68" s="40"/>
      <c r="J68" s="683">
        <f>SUM(J66:J67)</f>
        <v>0</v>
      </c>
      <c r="K68" s="519">
        <f t="shared" si="62"/>
        <v>0</v>
      </c>
      <c r="L68" s="40"/>
      <c r="M68" s="1107">
        <f t="shared" si="2"/>
        <v>0</v>
      </c>
      <c r="N68" s="519">
        <f t="shared" ref="N68" si="64">M68/G68</f>
        <v>0</v>
      </c>
    </row>
    <row r="69" spans="1:14" ht="33" customHeight="1" x14ac:dyDescent="0.3">
      <c r="A69" s="1323" t="s">
        <v>2118</v>
      </c>
      <c r="B69" s="1323" t="s">
        <v>195</v>
      </c>
      <c r="C69" s="794" t="s">
        <v>83</v>
      </c>
      <c r="D69" s="794" t="s">
        <v>91</v>
      </c>
      <c r="E69" s="794">
        <v>4.4999999999999998E-2</v>
      </c>
      <c r="F69" s="114">
        <v>1671452</v>
      </c>
      <c r="G69" s="114">
        <v>75215</v>
      </c>
      <c r="H69" s="1530"/>
      <c r="I69" s="799">
        <v>0</v>
      </c>
      <c r="J69" s="685">
        <f t="shared" ref="J69" si="65">ROUND(I69*F69,0)</f>
        <v>0</v>
      </c>
      <c r="K69" s="684">
        <f t="shared" si="62"/>
        <v>0</v>
      </c>
      <c r="L69" s="799">
        <f t="shared" ref="L69" si="66">I69</f>
        <v>0</v>
      </c>
      <c r="M69" s="685">
        <f t="shared" si="2"/>
        <v>0</v>
      </c>
      <c r="N69" s="684">
        <f t="shared" ref="N69:N70" si="67">+M69/G69</f>
        <v>0</v>
      </c>
    </row>
    <row r="70" spans="1:14" ht="28.8" x14ac:dyDescent="0.3">
      <c r="A70" s="1323"/>
      <c r="B70" s="1323"/>
      <c r="C70" s="794" t="s">
        <v>61</v>
      </c>
      <c r="D70" s="794" t="s">
        <v>92</v>
      </c>
      <c r="E70" s="794">
        <v>4.4999999999999998E-2</v>
      </c>
      <c r="F70" s="114">
        <v>6233126</v>
      </c>
      <c r="G70" s="114">
        <v>280491</v>
      </c>
      <c r="H70" s="1530"/>
      <c r="I70" s="799">
        <v>0</v>
      </c>
      <c r="J70" s="685">
        <f>ROUND(I70*F70,0)</f>
        <v>0</v>
      </c>
      <c r="K70" s="684">
        <f t="shared" si="62"/>
        <v>0</v>
      </c>
      <c r="L70" s="799">
        <f>I70</f>
        <v>0</v>
      </c>
      <c r="M70" s="685">
        <f t="shared" si="2"/>
        <v>0</v>
      </c>
      <c r="N70" s="684">
        <f t="shared" si="67"/>
        <v>0</v>
      </c>
    </row>
    <row r="71" spans="1:14" ht="18" customHeight="1" x14ac:dyDescent="0.3">
      <c r="A71" s="1323"/>
      <c r="B71" s="1323"/>
      <c r="C71" s="115"/>
      <c r="D71" s="115" t="s">
        <v>63</v>
      </c>
      <c r="E71" s="116"/>
      <c r="F71" s="116"/>
      <c r="G71" s="117">
        <v>355706</v>
      </c>
      <c r="H71" s="1530"/>
      <c r="I71" s="40"/>
      <c r="J71" s="683">
        <f>SUM(J69:J70)</f>
        <v>0</v>
      </c>
      <c r="K71" s="519">
        <f t="shared" si="62"/>
        <v>0</v>
      </c>
      <c r="L71" s="40"/>
      <c r="M71" s="1107">
        <f t="shared" si="2"/>
        <v>0</v>
      </c>
      <c r="N71" s="519">
        <f t="shared" ref="N71" si="68">M71/G71</f>
        <v>0</v>
      </c>
    </row>
    <row r="72" spans="1:14" ht="28.8" x14ac:dyDescent="0.3">
      <c r="A72" s="1323" t="s">
        <v>2119</v>
      </c>
      <c r="B72" s="1324" t="s">
        <v>216</v>
      </c>
      <c r="C72" s="794" t="s">
        <v>81</v>
      </c>
      <c r="D72" s="794" t="s">
        <v>82</v>
      </c>
      <c r="E72" s="794">
        <v>0</v>
      </c>
      <c r="F72" s="114">
        <v>1880385</v>
      </c>
      <c r="G72" s="114">
        <v>0</v>
      </c>
      <c r="H72" s="1530" t="s">
        <v>2028</v>
      </c>
      <c r="I72" s="799">
        <v>0</v>
      </c>
      <c r="J72" s="685">
        <f>ROUND(I72*F72,0)</f>
        <v>0</v>
      </c>
      <c r="K72" s="684">
        <v>0</v>
      </c>
      <c r="L72" s="799">
        <f t="shared" ref="L72:L73" si="69">I72</f>
        <v>0</v>
      </c>
      <c r="M72" s="685">
        <f t="shared" si="2"/>
        <v>0</v>
      </c>
      <c r="N72" s="684">
        <v>0</v>
      </c>
    </row>
    <row r="73" spans="1:14" ht="38.25" customHeight="1" x14ac:dyDescent="0.3">
      <c r="A73" s="1323"/>
      <c r="B73" s="1323"/>
      <c r="C73" s="794" t="s">
        <v>83</v>
      </c>
      <c r="D73" s="794" t="s">
        <v>84</v>
      </c>
      <c r="E73" s="794">
        <v>0</v>
      </c>
      <c r="F73" s="114">
        <v>1845563</v>
      </c>
      <c r="G73" s="114">
        <v>0</v>
      </c>
      <c r="H73" s="1531"/>
      <c r="I73" s="799">
        <v>0</v>
      </c>
      <c r="J73" s="685">
        <f t="shared" ref="J73" si="70">ROUND(I73*F73,0)</f>
        <v>0</v>
      </c>
      <c r="K73" s="684">
        <v>0</v>
      </c>
      <c r="L73" s="799">
        <f t="shared" si="69"/>
        <v>0</v>
      </c>
      <c r="M73" s="685">
        <f t="shared" si="2"/>
        <v>0</v>
      </c>
      <c r="N73" s="684">
        <v>0</v>
      </c>
    </row>
    <row r="74" spans="1:14" ht="34.5" customHeight="1" x14ac:dyDescent="0.3">
      <c r="A74" s="1323"/>
      <c r="B74" s="1323"/>
      <c r="C74" s="794" t="s">
        <v>61</v>
      </c>
      <c r="D74" s="794" t="s">
        <v>85</v>
      </c>
      <c r="E74" s="794">
        <v>4.4999999999999998E-2</v>
      </c>
      <c r="F74" s="114">
        <v>7312607</v>
      </c>
      <c r="G74" s="114">
        <v>329067</v>
      </c>
      <c r="H74" s="1531"/>
      <c r="I74" s="799">
        <v>0</v>
      </c>
      <c r="J74" s="685">
        <f>ROUND(I74*F74,0)</f>
        <v>0</v>
      </c>
      <c r="K74" s="684">
        <f>J74/G74</f>
        <v>0</v>
      </c>
      <c r="L74" s="799">
        <f>I74</f>
        <v>0</v>
      </c>
      <c r="M74" s="685">
        <f t="shared" si="2"/>
        <v>0</v>
      </c>
      <c r="N74" s="684">
        <f t="shared" ref="N74" si="71">+M74/G74</f>
        <v>0</v>
      </c>
    </row>
    <row r="75" spans="1:14" ht="27" customHeight="1" x14ac:dyDescent="0.3">
      <c r="A75" s="1323"/>
      <c r="B75" s="1323"/>
      <c r="C75" s="115"/>
      <c r="D75" s="115" t="s">
        <v>86</v>
      </c>
      <c r="E75" s="116"/>
      <c r="F75" s="116"/>
      <c r="G75" s="117">
        <v>329067</v>
      </c>
      <c r="H75" s="1531"/>
      <c r="I75" s="40"/>
      <c r="J75" s="683">
        <f>SUM(J73:J74)</f>
        <v>0</v>
      </c>
      <c r="K75" s="519">
        <f>J75/G75</f>
        <v>0</v>
      </c>
      <c r="L75" s="40"/>
      <c r="M75" s="1107">
        <f t="shared" si="2"/>
        <v>0</v>
      </c>
      <c r="N75" s="519">
        <f t="shared" ref="N75" si="72">M75/G75</f>
        <v>0</v>
      </c>
    </row>
    <row r="76" spans="1:14" ht="81.75" customHeight="1" x14ac:dyDescent="0.3">
      <c r="A76" s="1323" t="s">
        <v>2119</v>
      </c>
      <c r="B76" s="1323" t="s">
        <v>195</v>
      </c>
      <c r="C76" s="794" t="s">
        <v>83</v>
      </c>
      <c r="D76" s="794" t="s">
        <v>91</v>
      </c>
      <c r="E76" s="794">
        <v>0</v>
      </c>
      <c r="F76" s="114">
        <v>1671452</v>
      </c>
      <c r="G76" s="114">
        <v>0</v>
      </c>
      <c r="H76" s="1531"/>
      <c r="I76" s="799">
        <v>0</v>
      </c>
      <c r="J76" s="685">
        <f t="shared" ref="J76" si="73">ROUND(I76*F76,0)</f>
        <v>0</v>
      </c>
      <c r="K76" s="684">
        <v>0</v>
      </c>
      <c r="L76" s="799">
        <f t="shared" ref="L76" si="74">I76</f>
        <v>0</v>
      </c>
      <c r="M76" s="685">
        <f t="shared" si="2"/>
        <v>0</v>
      </c>
      <c r="N76" s="684">
        <v>0</v>
      </c>
    </row>
    <row r="77" spans="1:14" ht="53.25" customHeight="1" x14ac:dyDescent="0.3">
      <c r="A77" s="1323"/>
      <c r="B77" s="1323"/>
      <c r="C77" s="794" t="s">
        <v>61</v>
      </c>
      <c r="D77" s="794" t="s">
        <v>92</v>
      </c>
      <c r="E77" s="794">
        <v>4.4999999999999998E-2</v>
      </c>
      <c r="F77" s="114">
        <v>6233126</v>
      </c>
      <c r="G77" s="114">
        <v>280491</v>
      </c>
      <c r="H77" s="1531"/>
      <c r="I77" s="799">
        <v>0</v>
      </c>
      <c r="J77" s="685">
        <f>ROUND(I77*F77,0)</f>
        <v>0</v>
      </c>
      <c r="K77" s="684">
        <f>J77/G77</f>
        <v>0</v>
      </c>
      <c r="L77" s="799">
        <f>I77</f>
        <v>0</v>
      </c>
      <c r="M77" s="685">
        <f t="shared" si="2"/>
        <v>0</v>
      </c>
      <c r="N77" s="684">
        <f t="shared" ref="N77" si="75">+M77/G77</f>
        <v>0</v>
      </c>
    </row>
    <row r="78" spans="1:14" x14ac:dyDescent="0.3">
      <c r="A78" s="1323"/>
      <c r="B78" s="1323"/>
      <c r="C78" s="115"/>
      <c r="D78" s="115" t="s">
        <v>63</v>
      </c>
      <c r="E78" s="116"/>
      <c r="F78" s="116"/>
      <c r="G78" s="117">
        <v>280491</v>
      </c>
      <c r="H78" s="1531"/>
      <c r="I78" s="40"/>
      <c r="J78" s="683">
        <f>SUM(J76:J77)</f>
        <v>0</v>
      </c>
      <c r="K78" s="519">
        <f>J78/G78</f>
        <v>0</v>
      </c>
      <c r="L78" s="40"/>
      <c r="M78" s="1107">
        <f t="shared" si="2"/>
        <v>0</v>
      </c>
      <c r="N78" s="519">
        <f t="shared" ref="N78" si="76">M78/G78</f>
        <v>0</v>
      </c>
    </row>
    <row r="79" spans="1:14" s="795" customFormat="1" x14ac:dyDescent="0.3">
      <c r="F79" s="836" t="s">
        <v>1740</v>
      </c>
      <c r="G79" s="837">
        <f>SUM(G78,G74,G71,G67,G64)</f>
        <v>1650037</v>
      </c>
      <c r="I79" s="547" t="s">
        <v>64</v>
      </c>
      <c r="J79" s="835">
        <f>SUM(J78)</f>
        <v>0</v>
      </c>
      <c r="L79" s="547" t="s">
        <v>64</v>
      </c>
      <c r="M79" s="835">
        <f>SUM(M78)</f>
        <v>0</v>
      </c>
    </row>
    <row r="80" spans="1:14" s="795" customFormat="1" x14ac:dyDescent="0.3">
      <c r="F80" s="548" t="s">
        <v>65</v>
      </c>
      <c r="G80" s="481">
        <v>0</v>
      </c>
      <c r="I80" s="548" t="s">
        <v>65</v>
      </c>
      <c r="J80" s="677">
        <v>0</v>
      </c>
      <c r="L80" s="548" t="s">
        <v>65</v>
      </c>
      <c r="M80" s="677">
        <v>0</v>
      </c>
    </row>
    <row r="81" spans="1:14" s="795" customFormat="1" x14ac:dyDescent="0.3">
      <c r="F81" s="549" t="s">
        <v>1740</v>
      </c>
      <c r="G81" s="550">
        <f>+G80+G79</f>
        <v>1650037</v>
      </c>
      <c r="I81" s="549" t="s">
        <v>64</v>
      </c>
      <c r="J81" s="481">
        <f>J79+J80</f>
        <v>0</v>
      </c>
      <c r="L81" s="549" t="s">
        <v>64</v>
      </c>
      <c r="M81" s="481">
        <f>M79+M80</f>
        <v>0</v>
      </c>
    </row>
    <row r="82" spans="1:14" s="795" customFormat="1" ht="18" customHeight="1" x14ac:dyDescent="0.3">
      <c r="F82" s="810"/>
      <c r="G82" s="810"/>
      <c r="I82" s="501" t="s">
        <v>1439</v>
      </c>
      <c r="J82" s="481">
        <f>ROUND(J81*0.015,0)</f>
        <v>0</v>
      </c>
      <c r="L82" s="501" t="s">
        <v>1439</v>
      </c>
      <c r="M82" s="481">
        <f>ROUND(M81*0.015,0)</f>
        <v>0</v>
      </c>
    </row>
    <row r="83" spans="1:14" s="795" customFormat="1" ht="27.75" customHeight="1" x14ac:dyDescent="0.3">
      <c r="F83" s="810"/>
      <c r="G83" s="810"/>
      <c r="I83" s="96" t="s">
        <v>1440</v>
      </c>
      <c r="J83" s="783">
        <f>J81+J82</f>
        <v>0</v>
      </c>
      <c r="K83" s="832">
        <f>J83/G79</f>
        <v>0</v>
      </c>
      <c r="L83" s="96" t="s">
        <v>1440</v>
      </c>
      <c r="M83" s="425">
        <f>M81+M82</f>
        <v>0</v>
      </c>
      <c r="N83" s="678">
        <f>M83/G79</f>
        <v>0</v>
      </c>
    </row>
    <row r="84" spans="1:14" s="795" customFormat="1" x14ac:dyDescent="0.3">
      <c r="F84" s="551" t="s">
        <v>66</v>
      </c>
      <c r="G84" s="481">
        <f>+G79*19%</f>
        <v>313507.03000000003</v>
      </c>
      <c r="I84" s="551" t="s">
        <v>66</v>
      </c>
      <c r="J84" s="672">
        <f>J83*0.19</f>
        <v>0</v>
      </c>
      <c r="L84" s="551" t="s">
        <v>66</v>
      </c>
      <c r="M84" s="672">
        <f>M83*0.19</f>
        <v>0</v>
      </c>
    </row>
    <row r="85" spans="1:14" s="795" customFormat="1" x14ac:dyDescent="0.3">
      <c r="F85" s="552" t="s">
        <v>69</v>
      </c>
      <c r="G85" s="481">
        <f>+G79+G84</f>
        <v>1963544.03</v>
      </c>
      <c r="I85" s="552" t="s">
        <v>69</v>
      </c>
      <c r="J85" s="672">
        <f>J83+J84</f>
        <v>0</v>
      </c>
      <c r="L85" s="552" t="s">
        <v>69</v>
      </c>
      <c r="M85" s="672">
        <f>M83+M84</f>
        <v>0</v>
      </c>
    </row>
    <row r="86" spans="1:14" s="795" customFormat="1" x14ac:dyDescent="0.3"/>
    <row r="87" spans="1:14" s="795" customFormat="1" x14ac:dyDescent="0.3">
      <c r="A87" s="665" t="s">
        <v>67</v>
      </c>
      <c r="B87" s="184"/>
      <c r="C87" s="184"/>
      <c r="D87" s="185" t="s">
        <v>68</v>
      </c>
      <c r="I87" s="186" t="s">
        <v>70</v>
      </c>
      <c r="J87" s="187" t="s">
        <v>71</v>
      </c>
      <c r="K87" s="186" t="s">
        <v>58</v>
      </c>
    </row>
    <row r="88" spans="1:14" s="795" customFormat="1" x14ac:dyDescent="0.3">
      <c r="A88" s="665"/>
      <c r="B88" s="184"/>
      <c r="C88" s="184"/>
      <c r="D88" s="185"/>
      <c r="I88" s="69" t="s">
        <v>72</v>
      </c>
      <c r="J88" s="70">
        <f>J83</f>
        <v>0</v>
      </c>
      <c r="K88" s="360">
        <f>K83</f>
        <v>0</v>
      </c>
    </row>
    <row r="89" spans="1:14" s="795" customFormat="1" x14ac:dyDescent="0.3">
      <c r="A89" s="665"/>
      <c r="B89" s="184"/>
      <c r="C89" s="184"/>
      <c r="D89" s="185"/>
      <c r="I89" s="72" t="s">
        <v>1</v>
      </c>
      <c r="J89" s="105">
        <f>J88</f>
        <v>0</v>
      </c>
      <c r="K89" s="361">
        <f>K88</f>
        <v>0</v>
      </c>
    </row>
    <row r="90" spans="1:14" s="795" customFormat="1" x14ac:dyDescent="0.3">
      <c r="A90" s="665"/>
      <c r="B90" s="184"/>
      <c r="C90" s="184"/>
      <c r="D90" s="185"/>
      <c r="I90" s="72" t="s">
        <v>9</v>
      </c>
      <c r="J90" s="1423"/>
      <c r="K90" s="1424"/>
    </row>
    <row r="91" spans="1:14" s="795" customFormat="1" x14ac:dyDescent="0.3">
      <c r="A91" s="665"/>
      <c r="B91" s="184"/>
      <c r="C91" s="184"/>
      <c r="D91" s="185"/>
      <c r="I91" s="440" t="s">
        <v>78</v>
      </c>
      <c r="J91" s="1423"/>
      <c r="K91" s="1424"/>
    </row>
    <row r="92" spans="1:14" s="795" customFormat="1" x14ac:dyDescent="0.3">
      <c r="A92" s="665"/>
      <c r="B92" s="184"/>
      <c r="C92" s="184"/>
      <c r="D92" s="185"/>
      <c r="I92" s="439" t="s">
        <v>8</v>
      </c>
      <c r="J92" s="1425"/>
      <c r="K92" s="1426"/>
    </row>
    <row r="93" spans="1:14" s="795" customFormat="1" x14ac:dyDescent="0.3">
      <c r="A93" s="665"/>
      <c r="B93" s="184"/>
      <c r="C93" s="184"/>
      <c r="D93" s="185" t="s">
        <v>75</v>
      </c>
    </row>
    <row r="94" spans="1:14" s="795" customFormat="1" x14ac:dyDescent="0.3">
      <c r="A94" s="665" t="s">
        <v>76</v>
      </c>
      <c r="B94" s="180"/>
      <c r="C94" s="180"/>
      <c r="D94" s="185" t="s">
        <v>77</v>
      </c>
    </row>
    <row r="95" spans="1:14" s="795" customFormat="1" x14ac:dyDescent="0.3">
      <c r="A95" s="665" t="s">
        <v>79</v>
      </c>
      <c r="B95" s="180"/>
      <c r="C95" s="180"/>
      <c r="D95" s="185" t="s">
        <v>80</v>
      </c>
    </row>
  </sheetData>
  <sheetProtection formatCells="0" formatColumns="0" formatRows="0" insertColumns="0" insertRows="0" insertHyperlinks="0" deleteColumns="0" deleteRows="0" sort="0" autoFilter="0" pivotTables="0"/>
  <mergeCells count="65">
    <mergeCell ref="A72:A75"/>
    <mergeCell ref="B72:B75"/>
    <mergeCell ref="H72:H78"/>
    <mergeCell ref="A76:A78"/>
    <mergeCell ref="B76:B78"/>
    <mergeCell ref="A65:A68"/>
    <mergeCell ref="B65:B68"/>
    <mergeCell ref="H65:H71"/>
    <mergeCell ref="A69:A71"/>
    <mergeCell ref="B69:B71"/>
    <mergeCell ref="A58:A61"/>
    <mergeCell ref="B58:B61"/>
    <mergeCell ref="H58:H64"/>
    <mergeCell ref="A62:A64"/>
    <mergeCell ref="B62:B64"/>
    <mergeCell ref="A47:A50"/>
    <mergeCell ref="B47:B50"/>
    <mergeCell ref="H47:H50"/>
    <mergeCell ref="A51:A54"/>
    <mergeCell ref="B51:B54"/>
    <mergeCell ref="H51:H57"/>
    <mergeCell ref="A55:A57"/>
    <mergeCell ref="B55:B57"/>
    <mergeCell ref="A40:A43"/>
    <mergeCell ref="B40:B43"/>
    <mergeCell ref="H40:H46"/>
    <mergeCell ref="A44:A46"/>
    <mergeCell ref="B44:B46"/>
    <mergeCell ref="A29:A32"/>
    <mergeCell ref="B29:B32"/>
    <mergeCell ref="H29:H32"/>
    <mergeCell ref="A33:A36"/>
    <mergeCell ref="B33:B36"/>
    <mergeCell ref="H33:H39"/>
    <mergeCell ref="A37:A39"/>
    <mergeCell ref="B37:B39"/>
    <mergeCell ref="B18:B21"/>
    <mergeCell ref="H18:H21"/>
    <mergeCell ref="A22:A25"/>
    <mergeCell ref="B22:B25"/>
    <mergeCell ref="H22:H28"/>
    <mergeCell ref="A26:A28"/>
    <mergeCell ref="B26:B28"/>
    <mergeCell ref="J90:K90"/>
    <mergeCell ref="J91:K91"/>
    <mergeCell ref="J92:K92"/>
    <mergeCell ref="C1:J2"/>
    <mergeCell ref="K1:N1"/>
    <mergeCell ref="K2:N2"/>
    <mergeCell ref="A3:M3"/>
    <mergeCell ref="A4:M4"/>
    <mergeCell ref="A5:M5"/>
    <mergeCell ref="A6:M6"/>
    <mergeCell ref="A7:M7"/>
    <mergeCell ref="A8:M8"/>
    <mergeCell ref="A14:A17"/>
    <mergeCell ref="B14:B17"/>
    <mergeCell ref="H14:H17"/>
    <mergeCell ref="A18:A21"/>
    <mergeCell ref="A9:M9"/>
    <mergeCell ref="A10:M10"/>
    <mergeCell ref="B11:G11"/>
    <mergeCell ref="I11:K12"/>
    <mergeCell ref="L11:N12"/>
    <mergeCell ref="B12:G12"/>
  </mergeCells>
  <pageMargins left="0.7" right="0.7" top="0.75" bottom="0.75" header="0.3" footer="0.3"/>
  <pageSetup scale="43" orientation="landscape" r:id="rId1"/>
  <drawing r:id="rId2"/>
  <legacyDrawingHF r:id="rId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1">
    <tabColor theme="1"/>
  </sheetPr>
  <dimension ref="A1:G49"/>
  <sheetViews>
    <sheetView topLeftCell="A13" zoomScaleNormal="100" zoomScaleSheetLayoutView="8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RESUMEN!G142</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RESUMEN!B142</f>
        <v>D00249543</v>
      </c>
      <c r="C7" s="1265"/>
      <c r="D7" s="1177"/>
      <c r="E7" s="1266" t="s">
        <v>627</v>
      </c>
      <c r="F7" s="1267"/>
      <c r="G7" s="280" t="str">
        <f>RESUMEN!E142</f>
        <v>18-004</v>
      </c>
    </row>
    <row r="8" spans="1:7" x14ac:dyDescent="0.25">
      <c r="A8" s="271" t="s">
        <v>628</v>
      </c>
      <c r="B8" s="1264" t="str">
        <f>RESUMEN!C142</f>
        <v>D00249543000</v>
      </c>
      <c r="C8" s="1265"/>
      <c r="D8" s="1177"/>
      <c r="E8" s="1266" t="s">
        <v>629</v>
      </c>
      <c r="F8" s="1267"/>
      <c r="G8" s="280" t="str">
        <f>RESUMEN!U142</f>
        <v>Acta N° 1: Febrero</v>
      </c>
    </row>
    <row r="9" spans="1:7" x14ac:dyDescent="0.25">
      <c r="A9" s="271" t="s">
        <v>630</v>
      </c>
      <c r="B9" s="1283" t="s">
        <v>631</v>
      </c>
      <c r="C9" s="1265"/>
      <c r="D9" s="1177"/>
      <c r="E9" s="1266" t="s">
        <v>632</v>
      </c>
      <c r="F9" s="1267"/>
      <c r="G9" s="1178">
        <f>RESUMEN!H142</f>
        <v>3544503</v>
      </c>
    </row>
    <row r="10" spans="1:7" x14ac:dyDescent="0.25">
      <c r="A10" s="271" t="s">
        <v>633</v>
      </c>
      <c r="B10" s="1283" t="str">
        <f>RESUMEN!D142</f>
        <v>AUTOPISTA</v>
      </c>
      <c r="C10" s="1265"/>
      <c r="D10" s="1177"/>
      <c r="E10" s="1266" t="s">
        <v>634</v>
      </c>
      <c r="F10" s="1267"/>
      <c r="G10" s="1178">
        <f>RESUMEN!R142</f>
        <v>3597671</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",RESUMEN!G142)</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RESUMEN!N142</f>
        <v>3544503</v>
      </c>
      <c r="F19" s="1248"/>
      <c r="G19" s="1177"/>
    </row>
    <row r="20" spans="1:7" ht="27" customHeight="1" x14ac:dyDescent="0.25">
      <c r="A20" s="1177"/>
      <c r="B20" s="1244" t="s">
        <v>1498</v>
      </c>
      <c r="C20" s="1245"/>
      <c r="D20" s="1246"/>
      <c r="E20" s="1247">
        <f>RESUMEN!P142</f>
        <v>0</v>
      </c>
      <c r="F20" s="1248"/>
      <c r="G20" s="1177"/>
    </row>
    <row r="21" spans="1:7" ht="27" customHeight="1" x14ac:dyDescent="0.25">
      <c r="A21" s="1177"/>
      <c r="B21" s="1244" t="s">
        <v>1499</v>
      </c>
      <c r="C21" s="1245"/>
      <c r="D21" s="1246"/>
      <c r="E21" s="1247">
        <f>RESUMEN!Q142</f>
        <v>53168</v>
      </c>
      <c r="F21" s="1248"/>
      <c r="G21" s="1177"/>
    </row>
    <row r="22" spans="1:7" x14ac:dyDescent="0.25">
      <c r="A22" s="1177"/>
      <c r="B22" s="1254" t="s">
        <v>64</v>
      </c>
      <c r="C22" s="1254"/>
      <c r="D22" s="1254"/>
      <c r="E22" s="1255">
        <f>RESUMEN!R142</f>
        <v>3597671</v>
      </c>
      <c r="F22" s="1255"/>
      <c r="G22" s="1177"/>
    </row>
    <row r="23" spans="1:7" x14ac:dyDescent="0.25">
      <c r="A23" s="1177"/>
      <c r="B23" s="1256" t="s">
        <v>66</v>
      </c>
      <c r="C23" s="1256"/>
      <c r="D23" s="1256"/>
      <c r="E23" s="1257">
        <f>RESUMEN!S142</f>
        <v>683557.49</v>
      </c>
      <c r="F23" s="1257"/>
      <c r="G23" s="1177"/>
    </row>
    <row r="24" spans="1:7" x14ac:dyDescent="0.25">
      <c r="A24" s="1177"/>
      <c r="B24" s="1258" t="s">
        <v>1</v>
      </c>
      <c r="C24" s="1258"/>
      <c r="D24" s="1258"/>
      <c r="E24" s="1259">
        <f>RESUMEN!T142</f>
        <v>4281228.49</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+'OT18-004 AUTOPISTA'!I26</f>
        <v>ACTA 1</v>
      </c>
      <c r="C28" s="1253">
        <f>+'OT18-004 AUTOPISTA'!J26</f>
        <v>3597671</v>
      </c>
      <c r="D28" s="1253"/>
      <c r="E28" s="267">
        <f>+'OT18-004 AUTOPISTA'!K26</f>
        <v>1.0150001283677852</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3597671</v>
      </c>
      <c r="D34" s="1251"/>
      <c r="E34" s="264">
        <f>SUM(E28:E33)</f>
        <v>1.0150001283677852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RESUMEN!V142</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2">
    <tabColor rgb="FF72104A"/>
  </sheetPr>
  <dimension ref="A1:N33"/>
  <sheetViews>
    <sheetView view="pageBreakPreview" topLeftCell="B1" zoomScale="60" zoomScaleNormal="70" workbookViewId="0">
      <selection activeCell="K22" sqref="J22:K22"/>
    </sheetView>
  </sheetViews>
  <sheetFormatPr baseColWidth="10" defaultColWidth="9.109375" defaultRowHeight="14.4" x14ac:dyDescent="0.3"/>
  <cols>
    <col min="1" max="1" width="16.44140625" style="787" customWidth="1"/>
    <col min="2" max="2" width="23.44140625" style="787" customWidth="1"/>
    <col min="3" max="3" width="23.33203125" style="787" customWidth="1"/>
    <col min="4" max="4" width="23.88671875" style="787" customWidth="1"/>
    <col min="5" max="5" width="13" style="787" customWidth="1"/>
    <col min="6" max="6" width="12.44140625" style="787" customWidth="1"/>
    <col min="7" max="7" width="15.44140625" style="787" bestFit="1" customWidth="1"/>
    <col min="8" max="8" width="56" style="787" customWidth="1"/>
    <col min="9" max="9" width="21.6640625" style="787" customWidth="1"/>
    <col min="10" max="10" width="20.33203125" style="787" customWidth="1"/>
    <col min="11" max="11" width="9.109375" style="787"/>
    <col min="12" max="12" width="23.5546875" style="787" customWidth="1"/>
    <col min="13" max="13" width="17.33203125" style="787" customWidth="1"/>
    <col min="14" max="16384" width="9.109375" style="787"/>
  </cols>
  <sheetData>
    <row r="1" spans="1:14" s="795" customFormat="1" ht="30.75" customHeight="1" x14ac:dyDescent="0.3">
      <c r="A1" s="169"/>
      <c r="B1" s="188"/>
      <c r="C1" s="1307" t="s">
        <v>40</v>
      </c>
      <c r="D1" s="1308"/>
      <c r="E1" s="1308"/>
      <c r="F1" s="1308"/>
      <c r="G1" s="1308"/>
      <c r="H1" s="1308"/>
      <c r="I1" s="1308"/>
      <c r="J1" s="1308"/>
      <c r="K1" s="1526" t="s">
        <v>2291</v>
      </c>
      <c r="L1" s="1527"/>
      <c r="M1" s="1527"/>
      <c r="N1" s="1527"/>
    </row>
    <row r="2" spans="1:14" s="795" customFormat="1" ht="15" thickBot="1" x14ac:dyDescent="0.35">
      <c r="A2" s="170"/>
      <c r="B2" s="190"/>
      <c r="C2" s="1310"/>
      <c r="D2" s="1311"/>
      <c r="E2" s="1311"/>
      <c r="F2" s="1311"/>
      <c r="G2" s="1311"/>
      <c r="H2" s="1311"/>
      <c r="I2" s="1311"/>
      <c r="J2" s="1311"/>
      <c r="K2" s="1459" t="s">
        <v>41</v>
      </c>
      <c r="L2" s="1459"/>
      <c r="M2" s="1459"/>
      <c r="N2" s="1459"/>
    </row>
    <row r="3" spans="1:14" s="795" customFormat="1" x14ac:dyDescent="0.3">
      <c r="A3" s="1292" t="s">
        <v>42</v>
      </c>
      <c r="B3" s="1292"/>
      <c r="C3" s="1292"/>
      <c r="D3" s="1292"/>
      <c r="E3" s="1292"/>
      <c r="F3" s="1292"/>
      <c r="G3" s="1292"/>
      <c r="H3" s="1292"/>
      <c r="I3" s="1292"/>
      <c r="J3" s="1292"/>
      <c r="K3" s="1292"/>
      <c r="L3" s="1292"/>
      <c r="M3" s="1292"/>
    </row>
    <row r="4" spans="1:14" s="795" customFormat="1" x14ac:dyDescent="0.3">
      <c r="A4" s="1292" t="s">
        <v>43</v>
      </c>
      <c r="B4" s="1292"/>
      <c r="C4" s="1292"/>
      <c r="D4" s="1292"/>
      <c r="E4" s="1292"/>
      <c r="F4" s="1292"/>
      <c r="G4" s="1292"/>
      <c r="H4" s="1292"/>
      <c r="I4" s="1292"/>
      <c r="J4" s="1292"/>
      <c r="K4" s="1292"/>
      <c r="L4" s="1292"/>
      <c r="M4" s="1292"/>
    </row>
    <row r="5" spans="1:14" s="795" customFormat="1" x14ac:dyDescent="0.3">
      <c r="A5" s="1292" t="s">
        <v>44</v>
      </c>
      <c r="B5" s="1292"/>
      <c r="C5" s="1292"/>
      <c r="D5" s="1292"/>
      <c r="E5" s="1292"/>
      <c r="F5" s="1292"/>
      <c r="G5" s="1292"/>
      <c r="H5" s="1292"/>
      <c r="I5" s="1292"/>
      <c r="J5" s="1292"/>
      <c r="K5" s="1292"/>
      <c r="L5" s="1292"/>
      <c r="M5" s="1292"/>
    </row>
    <row r="6" spans="1:14" s="795" customFormat="1" x14ac:dyDescent="0.3">
      <c r="A6" s="1292" t="s">
        <v>45</v>
      </c>
      <c r="B6" s="1292"/>
      <c r="C6" s="1292"/>
      <c r="D6" s="1292"/>
      <c r="E6" s="1292"/>
      <c r="F6" s="1292"/>
      <c r="G6" s="1292"/>
      <c r="H6" s="1292"/>
      <c r="I6" s="1292"/>
      <c r="J6" s="1292"/>
      <c r="K6" s="1292"/>
      <c r="L6" s="1292"/>
      <c r="M6" s="1292"/>
    </row>
    <row r="7" spans="1:14" s="795" customFormat="1" ht="27" customHeight="1" x14ac:dyDescent="0.3">
      <c r="A7" s="1291" t="s">
        <v>2290</v>
      </c>
      <c r="B7" s="1292"/>
      <c r="C7" s="1292"/>
      <c r="D7" s="1292"/>
      <c r="E7" s="1292"/>
      <c r="F7" s="1292"/>
      <c r="G7" s="1292"/>
      <c r="H7" s="1292"/>
      <c r="I7" s="1292"/>
      <c r="J7" s="1292"/>
      <c r="K7" s="1292"/>
      <c r="L7" s="1292"/>
      <c r="M7" s="1292"/>
    </row>
    <row r="8" spans="1:14" s="795" customFormat="1" x14ac:dyDescent="0.3">
      <c r="A8" s="1292" t="s">
        <v>2103</v>
      </c>
      <c r="B8" s="1292"/>
      <c r="C8" s="1292"/>
      <c r="D8" s="1292"/>
      <c r="E8" s="1292"/>
      <c r="F8" s="1292"/>
      <c r="G8" s="1292"/>
      <c r="H8" s="1292"/>
      <c r="I8" s="1292"/>
      <c r="J8" s="1292"/>
      <c r="K8" s="1292"/>
      <c r="L8" s="1292"/>
      <c r="M8" s="1292"/>
    </row>
    <row r="9" spans="1:14" s="795" customFormat="1" x14ac:dyDescent="0.3">
      <c r="A9" s="1292" t="s">
        <v>2087</v>
      </c>
      <c r="B9" s="1292"/>
      <c r="C9" s="1292"/>
      <c r="D9" s="1292"/>
      <c r="E9" s="1292"/>
      <c r="F9" s="1292"/>
      <c r="G9" s="1292"/>
      <c r="H9" s="1292"/>
      <c r="I9" s="1292"/>
      <c r="J9" s="1292"/>
      <c r="K9" s="1292"/>
      <c r="L9" s="1292"/>
      <c r="M9" s="1292"/>
    </row>
    <row r="10" spans="1:14" s="795" customFormat="1" x14ac:dyDescent="0.3">
      <c r="A10" s="1292" t="s">
        <v>2126</v>
      </c>
      <c r="B10" s="1292"/>
      <c r="C10" s="1292"/>
      <c r="D10" s="1292"/>
      <c r="E10" s="1292"/>
      <c r="F10" s="1292"/>
      <c r="G10" s="1292"/>
      <c r="H10" s="1292"/>
      <c r="I10" s="1292"/>
      <c r="J10" s="1292"/>
      <c r="K10" s="1292"/>
      <c r="L10" s="1292"/>
      <c r="M10" s="1292"/>
    </row>
    <row r="11" spans="1:14" s="795" customFormat="1" x14ac:dyDescent="0.3">
      <c r="A11" s="791"/>
      <c r="B11" s="1301"/>
      <c r="C11" s="1313"/>
      <c r="D11" s="1313"/>
      <c r="E11" s="1313"/>
      <c r="F11" s="1313"/>
      <c r="G11" s="1313"/>
      <c r="I11" s="1470" t="s">
        <v>1982</v>
      </c>
      <c r="J11" s="1471"/>
      <c r="K11" s="1472"/>
      <c r="L11" s="1299" t="s">
        <v>49</v>
      </c>
      <c r="M11" s="1299"/>
      <c r="N11" s="1299"/>
    </row>
    <row r="12" spans="1:14" s="795"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55</v>
      </c>
      <c r="G13" s="661" t="s">
        <v>56</v>
      </c>
      <c r="H13" s="660" t="s">
        <v>57</v>
      </c>
      <c r="I13" s="502" t="s">
        <v>54</v>
      </c>
      <c r="J13" s="502" t="s">
        <v>56</v>
      </c>
      <c r="K13" s="502" t="s">
        <v>58</v>
      </c>
      <c r="L13" s="502" t="s">
        <v>54</v>
      </c>
      <c r="M13" s="502" t="s">
        <v>56</v>
      </c>
      <c r="N13" s="502" t="s">
        <v>58</v>
      </c>
    </row>
    <row r="14" spans="1:14" ht="43.2" x14ac:dyDescent="0.3">
      <c r="A14" s="1289" t="s">
        <v>144</v>
      </c>
      <c r="B14" s="1289" t="s">
        <v>251</v>
      </c>
      <c r="C14" s="790" t="s">
        <v>59</v>
      </c>
      <c r="D14" s="790" t="s">
        <v>145</v>
      </c>
      <c r="E14" s="790">
        <v>0</v>
      </c>
      <c r="F14" s="32">
        <v>988142</v>
      </c>
      <c r="G14" s="32">
        <f>ROUND((E14*F14),0)</f>
        <v>0</v>
      </c>
      <c r="H14" s="1290" t="s">
        <v>2029</v>
      </c>
      <c r="I14" s="799">
        <v>0</v>
      </c>
      <c r="J14" s="685">
        <f t="shared" ref="J14" si="0">ROUND(I14*F14,0)</f>
        <v>0</v>
      </c>
      <c r="K14" s="684">
        <v>0</v>
      </c>
      <c r="L14" s="799">
        <f t="shared" ref="L14:M14" si="1">I14</f>
        <v>0</v>
      </c>
      <c r="M14" s="685">
        <f t="shared" si="1"/>
        <v>0</v>
      </c>
      <c r="N14" s="684">
        <v>0</v>
      </c>
    </row>
    <row r="15" spans="1:14" ht="43.2" x14ac:dyDescent="0.3">
      <c r="A15" s="1289"/>
      <c r="B15" s="1289"/>
      <c r="C15" s="790" t="s">
        <v>61</v>
      </c>
      <c r="D15" s="790" t="s">
        <v>146</v>
      </c>
      <c r="E15" s="790">
        <v>0.65</v>
      </c>
      <c r="F15" s="32">
        <v>5453081</v>
      </c>
      <c r="G15" s="32">
        <f>ROUND((E15*F15),0)</f>
        <v>3544503</v>
      </c>
      <c r="H15" s="1289"/>
      <c r="I15" s="537">
        <v>0.65</v>
      </c>
      <c r="J15" s="752">
        <f>ROUND(I15*F15,0)</f>
        <v>3544503</v>
      </c>
      <c r="K15" s="753">
        <f>J15/G15</f>
        <v>1</v>
      </c>
      <c r="L15" s="799">
        <f>I15</f>
        <v>0.65</v>
      </c>
      <c r="M15" s="685">
        <f>J15</f>
        <v>3544503</v>
      </c>
      <c r="N15" s="684">
        <f t="shared" ref="N15" si="2">+M15/G15</f>
        <v>1</v>
      </c>
    </row>
    <row r="16" spans="1:14" x14ac:dyDescent="0.3">
      <c r="A16" s="1289"/>
      <c r="B16" s="1289"/>
      <c r="C16" s="39"/>
      <c r="D16" s="39" t="s">
        <v>147</v>
      </c>
      <c r="E16" s="41"/>
      <c r="F16" s="41"/>
      <c r="G16" s="42">
        <f>SUM(G14:G15)</f>
        <v>3544503</v>
      </c>
      <c r="H16" s="1289"/>
      <c r="I16" s="40"/>
      <c r="J16" s="683">
        <f>SUM(J14:J15)</f>
        <v>3544503</v>
      </c>
      <c r="K16" s="519">
        <f>J16/G16</f>
        <v>1</v>
      </c>
      <c r="L16" s="40"/>
      <c r="M16" s="683">
        <f>SUM(M15:M15)</f>
        <v>3544503</v>
      </c>
      <c r="N16" s="519">
        <f t="shared" ref="N16" si="3">M16/G16</f>
        <v>1</v>
      </c>
    </row>
    <row r="17" spans="1:14" s="795" customFormat="1" x14ac:dyDescent="0.3">
      <c r="F17" s="836" t="s">
        <v>1740</v>
      </c>
      <c r="G17" s="837">
        <f>SUM(G16,G12,G9,G5,G2)</f>
        <v>3544503</v>
      </c>
      <c r="I17" s="547" t="s">
        <v>64</v>
      </c>
      <c r="J17" s="835">
        <f>SUM(J16)</f>
        <v>3544503</v>
      </c>
      <c r="L17" s="547" t="s">
        <v>64</v>
      </c>
      <c r="M17" s="835">
        <f>SUM(M16)</f>
        <v>3544503</v>
      </c>
    </row>
    <row r="18" spans="1:14" s="795" customFormat="1" ht="26.4" x14ac:dyDescent="0.3">
      <c r="F18" s="548" t="s">
        <v>65</v>
      </c>
      <c r="G18" s="481">
        <v>0</v>
      </c>
      <c r="I18" s="548" t="s">
        <v>65</v>
      </c>
      <c r="J18" s="677">
        <v>0</v>
      </c>
      <c r="L18" s="548" t="s">
        <v>65</v>
      </c>
      <c r="M18" s="677">
        <v>0</v>
      </c>
    </row>
    <row r="19" spans="1:14" s="795" customFormat="1" x14ac:dyDescent="0.3">
      <c r="F19" s="549" t="s">
        <v>1740</v>
      </c>
      <c r="G19" s="550">
        <f>+G18+G17</f>
        <v>3544503</v>
      </c>
      <c r="I19" s="549" t="s">
        <v>64</v>
      </c>
      <c r="J19" s="481">
        <f>J17+J18</f>
        <v>3544503</v>
      </c>
      <c r="L19" s="549" t="s">
        <v>64</v>
      </c>
      <c r="M19" s="481">
        <f>M17+M18</f>
        <v>3544503</v>
      </c>
    </row>
    <row r="20" spans="1:14" s="795" customFormat="1" ht="18" customHeight="1" x14ac:dyDescent="0.3">
      <c r="F20" s="810"/>
      <c r="G20" s="810"/>
      <c r="I20" s="501" t="s">
        <v>1439</v>
      </c>
      <c r="J20" s="481">
        <f>ROUND(J19*0.015,0)</f>
        <v>53168</v>
      </c>
      <c r="L20" s="501" t="s">
        <v>1439</v>
      </c>
      <c r="M20" s="481">
        <f>ROUND(M19*0.015,0)</f>
        <v>53168</v>
      </c>
    </row>
    <row r="21" spans="1:14" s="795" customFormat="1" ht="27.75" customHeight="1" x14ac:dyDescent="0.3">
      <c r="F21" s="810"/>
      <c r="G21" s="810"/>
      <c r="I21" s="96" t="s">
        <v>1440</v>
      </c>
      <c r="J21" s="783">
        <f>J19+J20</f>
        <v>3597671</v>
      </c>
      <c r="K21" s="832">
        <f>J21/G17</f>
        <v>1.0150001283677852</v>
      </c>
      <c r="L21" s="96" t="s">
        <v>1440</v>
      </c>
      <c r="M21" s="425">
        <f>M19+M20</f>
        <v>3597671</v>
      </c>
      <c r="N21" s="678">
        <f>M21/G17</f>
        <v>1.0150001283677852</v>
      </c>
    </row>
    <row r="22" spans="1:14" s="795" customFormat="1" x14ac:dyDescent="0.3">
      <c r="F22" s="551" t="s">
        <v>66</v>
      </c>
      <c r="G22" s="481">
        <f>+G17*19%</f>
        <v>673455.57000000007</v>
      </c>
      <c r="I22" s="551" t="s">
        <v>66</v>
      </c>
      <c r="J22" s="672">
        <f>J21*0.19</f>
        <v>683557.49</v>
      </c>
      <c r="L22" s="551" t="s">
        <v>66</v>
      </c>
      <c r="M22" s="672">
        <f>M21*0.19</f>
        <v>683557.49</v>
      </c>
    </row>
    <row r="23" spans="1:14" s="795" customFormat="1" x14ac:dyDescent="0.3">
      <c r="F23" s="552" t="s">
        <v>69</v>
      </c>
      <c r="G23" s="481">
        <f>+G17+G22</f>
        <v>4217958.57</v>
      </c>
      <c r="I23" s="552" t="s">
        <v>69</v>
      </c>
      <c r="J23" s="672">
        <f>J21+J22</f>
        <v>4281228.49</v>
      </c>
      <c r="L23" s="552" t="s">
        <v>69</v>
      </c>
      <c r="M23" s="672">
        <f>M21+M22</f>
        <v>4281228.49</v>
      </c>
    </row>
    <row r="24" spans="1:14" s="795" customFormat="1" x14ac:dyDescent="0.3"/>
    <row r="25" spans="1:14" s="795" customFormat="1" x14ac:dyDescent="0.3">
      <c r="A25" s="665" t="s">
        <v>67</v>
      </c>
      <c r="B25" s="184"/>
      <c r="C25" s="184"/>
      <c r="D25" s="185" t="s">
        <v>68</v>
      </c>
      <c r="I25" s="186" t="s">
        <v>70</v>
      </c>
      <c r="J25" s="187" t="s">
        <v>71</v>
      </c>
      <c r="K25" s="186" t="s">
        <v>58</v>
      </c>
    </row>
    <row r="26" spans="1:14" s="795" customFormat="1" x14ac:dyDescent="0.3">
      <c r="A26" s="665"/>
      <c r="B26" s="184"/>
      <c r="C26" s="184"/>
      <c r="D26" s="185"/>
      <c r="I26" s="69" t="s">
        <v>72</v>
      </c>
      <c r="J26" s="70">
        <f>J21</f>
        <v>3597671</v>
      </c>
      <c r="K26" s="360">
        <f>K21</f>
        <v>1.0150001283677852</v>
      </c>
    </row>
    <row r="27" spans="1:14" s="795" customFormat="1" x14ac:dyDescent="0.3">
      <c r="A27" s="665"/>
      <c r="B27" s="184"/>
      <c r="C27" s="184"/>
      <c r="D27" s="185"/>
      <c r="I27" s="72" t="s">
        <v>1</v>
      </c>
      <c r="J27" s="105">
        <f>J26</f>
        <v>3597671</v>
      </c>
      <c r="K27" s="361">
        <f>K26</f>
        <v>1.0150001283677852</v>
      </c>
    </row>
    <row r="28" spans="1:14" s="795" customFormat="1" x14ac:dyDescent="0.3">
      <c r="A28" s="665"/>
      <c r="B28" s="184"/>
      <c r="C28" s="184"/>
      <c r="D28" s="185"/>
      <c r="I28" s="72" t="s">
        <v>9</v>
      </c>
      <c r="J28" s="1423"/>
      <c r="K28" s="1424"/>
    </row>
    <row r="29" spans="1:14" s="795" customFormat="1" x14ac:dyDescent="0.3">
      <c r="A29" s="665"/>
      <c r="B29" s="184"/>
      <c r="C29" s="184"/>
      <c r="D29" s="185"/>
      <c r="I29" s="440" t="s">
        <v>78</v>
      </c>
      <c r="J29" s="1423" t="s">
        <v>2227</v>
      </c>
      <c r="K29" s="1424"/>
    </row>
    <row r="30" spans="1:14" s="795" customFormat="1" x14ac:dyDescent="0.3">
      <c r="A30" s="665"/>
      <c r="B30" s="184"/>
      <c r="C30" s="184"/>
      <c r="D30" s="185"/>
      <c r="I30" s="439" t="s">
        <v>8</v>
      </c>
      <c r="J30" s="1423" t="s">
        <v>2228</v>
      </c>
      <c r="K30" s="1424"/>
    </row>
    <row r="31" spans="1:14" s="795" customFormat="1" x14ac:dyDescent="0.3">
      <c r="A31" s="665"/>
      <c r="B31" s="184"/>
      <c r="C31" s="184"/>
      <c r="D31" s="185" t="s">
        <v>75</v>
      </c>
    </row>
    <row r="32" spans="1:14" s="795" customFormat="1" x14ac:dyDescent="0.3">
      <c r="A32" s="665" t="s">
        <v>76</v>
      </c>
      <c r="B32" s="180"/>
      <c r="C32" s="180"/>
      <c r="D32" s="185" t="s">
        <v>77</v>
      </c>
    </row>
    <row r="33" spans="1:4" s="795" customFormat="1" ht="26.4" x14ac:dyDescent="0.3">
      <c r="A33" s="665" t="s">
        <v>79</v>
      </c>
      <c r="B33" s="180"/>
      <c r="C33" s="180"/>
      <c r="D33" s="185" t="s">
        <v>80</v>
      </c>
    </row>
  </sheetData>
  <mergeCells count="21">
    <mergeCell ref="C1:J2"/>
    <mergeCell ref="K1:N1"/>
    <mergeCell ref="K2:N2"/>
    <mergeCell ref="A3:M3"/>
    <mergeCell ref="A4:M4"/>
    <mergeCell ref="A5:M5"/>
    <mergeCell ref="A6:M6"/>
    <mergeCell ref="A7:M7"/>
    <mergeCell ref="A8:M8"/>
    <mergeCell ref="A9:M9"/>
    <mergeCell ref="J28:K28"/>
    <mergeCell ref="J29:K29"/>
    <mergeCell ref="J30:K30"/>
    <mergeCell ref="A10:M10"/>
    <mergeCell ref="B11:G11"/>
    <mergeCell ref="I11:K12"/>
    <mergeCell ref="L11:N12"/>
    <mergeCell ref="B12:G12"/>
    <mergeCell ref="A14:A16"/>
    <mergeCell ref="B14:B16"/>
    <mergeCell ref="H14:H16"/>
  </mergeCells>
  <pageMargins left="0.7" right="0.7" top="0.75" bottom="0.75" header="0.3" footer="0.3"/>
  <pageSetup paperSize="9" scale="44" orientation="landscape" r:id="rId1"/>
  <drawing r:id="rId2"/>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9"/>
  <dimension ref="A1:G49"/>
  <sheetViews>
    <sheetView topLeftCell="A19" workbookViewId="0">
      <selection activeCell="E30" sqref="E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RESUMEN!G143</f>
        <v>Proyecto: Reemplazo de las celdas asociadas a las filas 1, 2 y 3 11,4kV.</v>
      </c>
      <c r="C5" s="1281"/>
      <c r="D5" s="1281"/>
      <c r="E5" s="1281"/>
      <c r="F5" s="1281"/>
      <c r="G5" s="1282"/>
    </row>
    <row r="6" spans="1:7" x14ac:dyDescent="0.25">
      <c r="A6" s="1177"/>
      <c r="B6" s="1177"/>
      <c r="C6" s="1177"/>
      <c r="D6" s="1177"/>
      <c r="E6" s="1177"/>
      <c r="F6" s="1177"/>
      <c r="G6" s="1177"/>
    </row>
    <row r="7" spans="1:7" x14ac:dyDescent="0.25">
      <c r="A7" s="271" t="s">
        <v>0</v>
      </c>
      <c r="B7" s="1264">
        <f>RESUMEN!B143</f>
        <v>0</v>
      </c>
      <c r="C7" s="1265"/>
      <c r="D7" s="1177"/>
      <c r="E7" s="1266" t="s">
        <v>627</v>
      </c>
      <c r="F7" s="1267"/>
      <c r="G7" s="280" t="str">
        <f>RESUMEN!E143</f>
        <v xml:space="preserve">18-005 </v>
      </c>
    </row>
    <row r="8" spans="1:7" x14ac:dyDescent="0.25">
      <c r="A8" s="271" t="s">
        <v>628</v>
      </c>
      <c r="B8" s="1264">
        <f>RESUMEN!C143</f>
        <v>0</v>
      </c>
      <c r="C8" s="1265"/>
      <c r="D8" s="1177"/>
      <c r="E8" s="1266" t="s">
        <v>629</v>
      </c>
      <c r="F8" s="1267"/>
      <c r="G8" s="280" t="str">
        <f>RESUMEN!U143</f>
        <v>Acta N° 1: Marzo</v>
      </c>
    </row>
    <row r="9" spans="1:7" x14ac:dyDescent="0.25">
      <c r="A9" s="271" t="s">
        <v>630</v>
      </c>
      <c r="B9" s="1283" t="s">
        <v>631</v>
      </c>
      <c r="C9" s="1265"/>
      <c r="D9" s="1177"/>
      <c r="E9" s="1266" t="s">
        <v>632</v>
      </c>
      <c r="F9" s="1267"/>
      <c r="G9" s="1178">
        <f>RESUMEN!H143</f>
        <v>10737813</v>
      </c>
    </row>
    <row r="10" spans="1:7" x14ac:dyDescent="0.25">
      <c r="A10" s="271" t="s">
        <v>633</v>
      </c>
      <c r="B10" s="1264" t="str">
        <f>RESUMEN!D143</f>
        <v>OT18-005 VERAGUAS</v>
      </c>
      <c r="C10" s="1265"/>
      <c r="D10" s="1177"/>
      <c r="E10" s="1266" t="s">
        <v>634</v>
      </c>
      <c r="F10" s="1267"/>
      <c r="G10" s="1178">
        <f>RESUMEN!R143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Reemplazo de las celdas asociadas a las filas 1, 2 y 3 11,4kV.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RESUMEN!N143</f>
        <v>0</v>
      </c>
      <c r="F19" s="1248"/>
      <c r="G19" s="1177"/>
    </row>
    <row r="20" spans="1:7" ht="27" customHeight="1" x14ac:dyDescent="0.25">
      <c r="A20" s="1177"/>
      <c r="B20" s="1244" t="s">
        <v>1498</v>
      </c>
      <c r="C20" s="1245"/>
      <c r="D20" s="1246"/>
      <c r="E20" s="1247">
        <f>RESUMEN!P143</f>
        <v>0</v>
      </c>
      <c r="F20" s="1248"/>
      <c r="G20" s="1177"/>
    </row>
    <row r="21" spans="1:7" ht="27" customHeight="1" x14ac:dyDescent="0.25">
      <c r="A21" s="1177"/>
      <c r="B21" s="1244" t="s">
        <v>1499</v>
      </c>
      <c r="C21" s="1245"/>
      <c r="D21" s="1246"/>
      <c r="E21" s="1247">
        <f>RESUMEN!Q143</f>
        <v>0</v>
      </c>
      <c r="F21" s="1248"/>
      <c r="G21" s="1177"/>
    </row>
    <row r="22" spans="1:7" x14ac:dyDescent="0.25">
      <c r="A22" s="1177"/>
      <c r="B22" s="1254" t="s">
        <v>64</v>
      </c>
      <c r="C22" s="1254"/>
      <c r="D22" s="1254"/>
      <c r="E22" s="1255">
        <f>RESUMEN!R143</f>
        <v>0</v>
      </c>
      <c r="F22" s="1255"/>
      <c r="G22" s="1177"/>
    </row>
    <row r="23" spans="1:7" x14ac:dyDescent="0.25">
      <c r="A23" s="1177"/>
      <c r="B23" s="1256" t="s">
        <v>66</v>
      </c>
      <c r="C23" s="1256"/>
      <c r="D23" s="1256"/>
      <c r="E23" s="1257">
        <f>RESUMEN!S143</f>
        <v>0</v>
      </c>
      <c r="F23" s="1257"/>
      <c r="G23" s="1177"/>
    </row>
    <row r="24" spans="1:7" x14ac:dyDescent="0.25">
      <c r="A24" s="1177"/>
      <c r="B24" s="1258" t="s">
        <v>1</v>
      </c>
      <c r="C24" s="1258"/>
      <c r="D24" s="1258"/>
      <c r="E24" s="1259">
        <f>RESUMEN!T143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+'OT18-005 VERAGUAS'!I41</f>
        <v>ACTA 1</v>
      </c>
      <c r="C28" s="1253">
        <f>+'OT18-005 VERAGUAS'!J41</f>
        <v>0</v>
      </c>
      <c r="D28" s="1253"/>
      <c r="E28" s="267">
        <f>+'OT18-005 VERAGUAS'!K41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RESUMEN!V143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3"/>
  <dimension ref="A1:N48"/>
  <sheetViews>
    <sheetView topLeftCell="A19" zoomScale="55" zoomScaleNormal="55" workbookViewId="0">
      <selection activeCell="L29" sqref="L29"/>
    </sheetView>
  </sheetViews>
  <sheetFormatPr baseColWidth="10" defaultColWidth="9.109375" defaultRowHeight="14.4" x14ac:dyDescent="0.3"/>
  <cols>
    <col min="1" max="1" width="13" style="789" customWidth="1"/>
    <col min="2" max="2" width="29.88671875" style="789" customWidth="1"/>
    <col min="3" max="3" width="25" style="789" customWidth="1"/>
    <col min="4" max="4" width="22.33203125" style="789" bestFit="1" customWidth="1"/>
    <col min="5" max="5" width="13" style="789" customWidth="1"/>
    <col min="6" max="6" width="13.33203125" style="789" customWidth="1"/>
    <col min="7" max="7" width="15.44140625" style="789" bestFit="1" customWidth="1"/>
    <col min="8" max="8" width="46.109375" style="789" customWidth="1"/>
    <col min="9" max="9" width="24.88671875" style="789" bestFit="1" customWidth="1"/>
    <col min="10" max="10" width="14.6640625" style="789" customWidth="1"/>
    <col min="11" max="11" width="9.109375" style="789"/>
    <col min="12" max="12" width="22" style="789" bestFit="1" customWidth="1"/>
    <col min="13" max="13" width="19.5546875" style="789" customWidth="1"/>
    <col min="14" max="16384" width="9.109375" style="789"/>
  </cols>
  <sheetData>
    <row r="1" spans="1:14" s="804" customFormat="1" ht="30.75" customHeight="1" x14ac:dyDescent="0.3">
      <c r="A1" s="169"/>
      <c r="B1" s="188"/>
      <c r="C1" s="1307" t="s">
        <v>40</v>
      </c>
      <c r="D1" s="1308"/>
      <c r="E1" s="1308"/>
      <c r="F1" s="1308"/>
      <c r="G1" s="1308"/>
      <c r="H1" s="1308"/>
      <c r="I1" s="1308"/>
      <c r="J1" s="1308"/>
      <c r="K1" s="1532" t="s">
        <v>2128</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2127</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2129</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55</v>
      </c>
      <c r="G13" s="661" t="s">
        <v>56</v>
      </c>
      <c r="H13" s="660" t="s">
        <v>57</v>
      </c>
      <c r="I13" s="502" t="s">
        <v>54</v>
      </c>
      <c r="J13" s="502" t="s">
        <v>56</v>
      </c>
      <c r="K13" s="502" t="s">
        <v>58</v>
      </c>
      <c r="L13" s="502" t="s">
        <v>54</v>
      </c>
      <c r="M13" s="502" t="s">
        <v>56</v>
      </c>
      <c r="N13" s="502" t="s">
        <v>58</v>
      </c>
    </row>
    <row r="14" spans="1:14" ht="27" customHeight="1" x14ac:dyDescent="0.3">
      <c r="A14" s="1289" t="s">
        <v>2030</v>
      </c>
      <c r="B14" s="1289" t="s">
        <v>2031</v>
      </c>
      <c r="C14" s="803" t="s">
        <v>59</v>
      </c>
      <c r="D14" s="803" t="s">
        <v>60</v>
      </c>
      <c r="E14" s="803">
        <v>0.3</v>
      </c>
      <c r="F14" s="32">
        <v>14016979</v>
      </c>
      <c r="G14" s="32">
        <f>ROUND((E14*F14),0)</f>
        <v>4205094</v>
      </c>
      <c r="H14" s="1289" t="s">
        <v>2032</v>
      </c>
      <c r="I14" s="799">
        <v>0</v>
      </c>
      <c r="J14" s="685">
        <f t="shared" ref="J14" si="0">ROUND(I14*F14,0)</f>
        <v>0</v>
      </c>
      <c r="K14" s="684">
        <v>0</v>
      </c>
      <c r="L14" s="799">
        <f t="shared" ref="L14:M14" si="1">I14</f>
        <v>0</v>
      </c>
      <c r="M14" s="685">
        <f t="shared" si="1"/>
        <v>0</v>
      </c>
      <c r="N14" s="684">
        <v>0</v>
      </c>
    </row>
    <row r="15" spans="1:14" ht="43.2" x14ac:dyDescent="0.3">
      <c r="A15" s="1289"/>
      <c r="B15" s="1289"/>
      <c r="C15" s="803" t="s">
        <v>61</v>
      </c>
      <c r="D15" s="803" t="s">
        <v>62</v>
      </c>
      <c r="E15" s="803">
        <v>0.3</v>
      </c>
      <c r="F15" s="32">
        <v>5306689</v>
      </c>
      <c r="G15" s="32">
        <f>ROUND((E15*F15),0)</f>
        <v>1592007</v>
      </c>
      <c r="H15" s="1289"/>
      <c r="I15" s="799">
        <v>0</v>
      </c>
      <c r="J15" s="685">
        <f>ROUND(I15*F15,0)</f>
        <v>0</v>
      </c>
      <c r="K15" s="684">
        <f>J15/G15</f>
        <v>0</v>
      </c>
      <c r="L15" s="799">
        <f>I15</f>
        <v>0</v>
      </c>
      <c r="M15" s="685">
        <f>J15</f>
        <v>0</v>
      </c>
      <c r="N15" s="684">
        <f t="shared" ref="N15" si="2">+M15/G15</f>
        <v>0</v>
      </c>
    </row>
    <row r="16" spans="1:14" x14ac:dyDescent="0.3">
      <c r="A16" s="1289"/>
      <c r="B16" s="1289"/>
      <c r="C16" s="39"/>
      <c r="D16" s="39" t="s">
        <v>63</v>
      </c>
      <c r="E16" s="41"/>
      <c r="F16" s="854"/>
      <c r="G16" s="42">
        <f>SUM(G14:G15)</f>
        <v>5797101</v>
      </c>
      <c r="H16" s="1289"/>
      <c r="I16" s="40"/>
      <c r="J16" s="683">
        <f>SUM(J14:J15)</f>
        <v>0</v>
      </c>
      <c r="K16" s="519">
        <f>J16/G16</f>
        <v>0</v>
      </c>
      <c r="L16" s="40"/>
      <c r="M16" s="683">
        <f>SUM(M15:M15)</f>
        <v>0</v>
      </c>
      <c r="N16" s="519">
        <f t="shared" ref="N16" si="3">M16/G16</f>
        <v>0</v>
      </c>
    </row>
    <row r="17" spans="1:14" ht="67.5" customHeight="1" x14ac:dyDescent="0.3">
      <c r="A17" s="1289" t="s">
        <v>2030</v>
      </c>
      <c r="B17" s="1289" t="s">
        <v>2033</v>
      </c>
      <c r="C17" s="803" t="s">
        <v>59</v>
      </c>
      <c r="D17" s="803" t="s">
        <v>829</v>
      </c>
      <c r="E17" s="803">
        <v>0.3</v>
      </c>
      <c r="F17" s="32">
        <v>3220612</v>
      </c>
      <c r="G17" s="32">
        <f>ROUND((E17*F17),0)</f>
        <v>966184</v>
      </c>
      <c r="H17" s="1289" t="s">
        <v>2034</v>
      </c>
      <c r="I17" s="799">
        <v>0</v>
      </c>
      <c r="J17" s="685">
        <f t="shared" ref="J17" si="4">ROUND(I17*F17,0)</f>
        <v>0</v>
      </c>
      <c r="K17" s="684">
        <v>0</v>
      </c>
      <c r="L17" s="799">
        <f t="shared" ref="L17" si="5">I17</f>
        <v>0</v>
      </c>
      <c r="M17" s="685">
        <f t="shared" ref="M17" si="6">J17</f>
        <v>0</v>
      </c>
      <c r="N17" s="684">
        <v>0</v>
      </c>
    </row>
    <row r="18" spans="1:14" ht="38.25" customHeight="1" x14ac:dyDescent="0.3">
      <c r="A18" s="1289"/>
      <c r="B18" s="1289"/>
      <c r="C18" s="803" t="s">
        <v>61</v>
      </c>
      <c r="D18" s="803" t="s">
        <v>830</v>
      </c>
      <c r="E18" s="803">
        <v>0.3</v>
      </c>
      <c r="F18" s="32">
        <v>5013906</v>
      </c>
      <c r="G18" s="32">
        <f>ROUND((E18*F18),0)</f>
        <v>1504172</v>
      </c>
      <c r="H18" s="1289"/>
      <c r="I18" s="799">
        <v>0</v>
      </c>
      <c r="J18" s="685">
        <f>ROUND(I18*F18,0)</f>
        <v>0</v>
      </c>
      <c r="K18" s="684">
        <f>J18/G18</f>
        <v>0</v>
      </c>
      <c r="L18" s="799">
        <f>I18</f>
        <v>0</v>
      </c>
      <c r="M18" s="685">
        <f>J18</f>
        <v>0</v>
      </c>
      <c r="N18" s="684">
        <f t="shared" ref="N18" si="7">+M18/G18</f>
        <v>0</v>
      </c>
    </row>
    <row r="19" spans="1:14" x14ac:dyDescent="0.3">
      <c r="A19" s="1289"/>
      <c r="B19" s="1289"/>
      <c r="C19" s="39"/>
      <c r="D19" s="39" t="s">
        <v>831</v>
      </c>
      <c r="E19" s="41"/>
      <c r="F19" s="854"/>
      <c r="G19" s="42">
        <f>SUM(G17:G18)</f>
        <v>2470356</v>
      </c>
      <c r="H19" s="1289"/>
      <c r="I19" s="40"/>
      <c r="J19" s="683">
        <f>SUM(J17:J18)</f>
        <v>0</v>
      </c>
      <c r="K19" s="519">
        <f>J19/G19</f>
        <v>0</v>
      </c>
      <c r="L19" s="40"/>
      <c r="M19" s="683">
        <f>SUM(M18:M18)</f>
        <v>0</v>
      </c>
      <c r="N19" s="519">
        <f t="shared" ref="N19" si="8">M19/G19</f>
        <v>0</v>
      </c>
    </row>
    <row r="20" spans="1:14" ht="43.2" x14ac:dyDescent="0.3">
      <c r="A20" s="1289" t="s">
        <v>2035</v>
      </c>
      <c r="B20" s="1289" t="s">
        <v>2031</v>
      </c>
      <c r="C20" s="803" t="s">
        <v>59</v>
      </c>
      <c r="D20" s="803" t="s">
        <v>60</v>
      </c>
      <c r="E20" s="803">
        <v>0.3</v>
      </c>
      <c r="F20" s="32">
        <v>14016979</v>
      </c>
      <c r="G20" s="32">
        <f>ROUND((E20*F20),0)</f>
        <v>4205094</v>
      </c>
      <c r="H20" s="1289" t="s">
        <v>2036</v>
      </c>
      <c r="I20" s="799">
        <v>0</v>
      </c>
      <c r="J20" s="685">
        <f t="shared" ref="J20" si="9">ROUND(I20*F20,0)</f>
        <v>0</v>
      </c>
      <c r="K20" s="684">
        <v>0</v>
      </c>
      <c r="L20" s="799">
        <f t="shared" ref="L20" si="10">I20</f>
        <v>0</v>
      </c>
      <c r="M20" s="685">
        <f t="shared" ref="M20" si="11">J20</f>
        <v>0</v>
      </c>
      <c r="N20" s="684">
        <v>0</v>
      </c>
    </row>
    <row r="21" spans="1:14" ht="43.2" x14ac:dyDescent="0.3">
      <c r="A21" s="1289"/>
      <c r="B21" s="1289"/>
      <c r="C21" s="803" t="s">
        <v>61</v>
      </c>
      <c r="D21" s="803" t="s">
        <v>62</v>
      </c>
      <c r="E21" s="803">
        <v>0.3</v>
      </c>
      <c r="F21" s="32">
        <v>5306689</v>
      </c>
      <c r="G21" s="32">
        <f>ROUND((E21*F21),0)</f>
        <v>1592007</v>
      </c>
      <c r="H21" s="1289"/>
      <c r="I21" s="799">
        <v>0</v>
      </c>
      <c r="J21" s="685">
        <f>ROUND(I21*F21,0)</f>
        <v>0</v>
      </c>
      <c r="K21" s="684">
        <f>J21/G21</f>
        <v>0</v>
      </c>
      <c r="L21" s="799">
        <f>I21</f>
        <v>0</v>
      </c>
      <c r="M21" s="685">
        <f>J21</f>
        <v>0</v>
      </c>
      <c r="N21" s="684">
        <f t="shared" ref="N21" si="12">+M21/G21</f>
        <v>0</v>
      </c>
    </row>
    <row r="22" spans="1:14" x14ac:dyDescent="0.3">
      <c r="A22" s="1289"/>
      <c r="B22" s="1289"/>
      <c r="C22" s="39"/>
      <c r="D22" s="39" t="s">
        <v>63</v>
      </c>
      <c r="E22" s="41"/>
      <c r="F22" s="854"/>
      <c r="G22" s="42">
        <f>SUM(G20:G21)</f>
        <v>5797101</v>
      </c>
      <c r="H22" s="1289"/>
      <c r="I22" s="40"/>
      <c r="J22" s="683">
        <f>SUM(J20:J21)</f>
        <v>0</v>
      </c>
      <c r="K22" s="519">
        <f>J22/G22</f>
        <v>0</v>
      </c>
      <c r="L22" s="40"/>
      <c r="M22" s="683">
        <f>SUM(M21:M21)</f>
        <v>0</v>
      </c>
      <c r="N22" s="519">
        <f t="shared" ref="N22" si="13">M22/G22</f>
        <v>0</v>
      </c>
    </row>
    <row r="23" spans="1:14" ht="44.25" customHeight="1" x14ac:dyDescent="0.3">
      <c r="A23" s="1289" t="s">
        <v>2035</v>
      </c>
      <c r="B23" s="1289" t="s">
        <v>2033</v>
      </c>
      <c r="C23" s="803" t="s">
        <v>59</v>
      </c>
      <c r="D23" s="803" t="s">
        <v>829</v>
      </c>
      <c r="E23" s="803">
        <v>0.3</v>
      </c>
      <c r="F23" s="32">
        <v>3220612</v>
      </c>
      <c r="G23" s="32">
        <f>ROUND((E23*F23),0)</f>
        <v>966184</v>
      </c>
      <c r="H23" s="1289" t="s">
        <v>2037</v>
      </c>
      <c r="I23" s="799">
        <v>0</v>
      </c>
      <c r="J23" s="685">
        <f t="shared" ref="J23" si="14">ROUND(I23*F23,0)</f>
        <v>0</v>
      </c>
      <c r="K23" s="684">
        <v>0</v>
      </c>
      <c r="L23" s="799">
        <f t="shared" ref="L23" si="15">I23</f>
        <v>0</v>
      </c>
      <c r="M23" s="685">
        <f t="shared" ref="M23" si="16">J23</f>
        <v>0</v>
      </c>
      <c r="N23" s="684">
        <v>0</v>
      </c>
    </row>
    <row r="24" spans="1:14" ht="48.75" customHeight="1" x14ac:dyDescent="0.3">
      <c r="A24" s="1289"/>
      <c r="B24" s="1289"/>
      <c r="C24" s="803" t="s">
        <v>61</v>
      </c>
      <c r="D24" s="803" t="s">
        <v>830</v>
      </c>
      <c r="E24" s="803">
        <v>0.3</v>
      </c>
      <c r="F24" s="32">
        <v>5013906</v>
      </c>
      <c r="G24" s="32">
        <f>ROUND((E24*F24),0)</f>
        <v>1504172</v>
      </c>
      <c r="H24" s="1289"/>
      <c r="I24" s="799">
        <v>0</v>
      </c>
      <c r="J24" s="685">
        <f>ROUND(I24*F24,0)</f>
        <v>0</v>
      </c>
      <c r="K24" s="684">
        <f>J24/G24</f>
        <v>0</v>
      </c>
      <c r="L24" s="799">
        <f>I24</f>
        <v>0</v>
      </c>
      <c r="M24" s="685">
        <f>J24</f>
        <v>0</v>
      </c>
      <c r="N24" s="684">
        <f t="shared" ref="N24" si="17">+M24/G24</f>
        <v>0</v>
      </c>
    </row>
    <row r="25" spans="1:14" x14ac:dyDescent="0.3">
      <c r="A25" s="1289"/>
      <c r="B25" s="1289"/>
      <c r="C25" s="39"/>
      <c r="D25" s="39" t="s">
        <v>831</v>
      </c>
      <c r="E25" s="41"/>
      <c r="F25" s="854"/>
      <c r="G25" s="42">
        <f>SUM(G23:G24)</f>
        <v>2470356</v>
      </c>
      <c r="H25" s="1289"/>
      <c r="I25" s="40"/>
      <c r="J25" s="683">
        <f>SUM(J23:J24)</f>
        <v>0</v>
      </c>
      <c r="K25" s="519">
        <f>J25/G25</f>
        <v>0</v>
      </c>
      <c r="L25" s="40"/>
      <c r="M25" s="683">
        <f>SUM(M24:M24)</f>
        <v>0</v>
      </c>
      <c r="N25" s="519">
        <f t="shared" ref="N25" si="18">M25/G25</f>
        <v>0</v>
      </c>
    </row>
    <row r="26" spans="1:14" ht="43.2" x14ac:dyDescent="0.3">
      <c r="A26" s="1289" t="s">
        <v>1648</v>
      </c>
      <c r="B26" s="1289" t="s">
        <v>2031</v>
      </c>
      <c r="C26" s="803" t="s">
        <v>59</v>
      </c>
      <c r="D26" s="803" t="s">
        <v>60</v>
      </c>
      <c r="E26" s="803">
        <v>0.3</v>
      </c>
      <c r="F26" s="32">
        <v>14016979</v>
      </c>
      <c r="G26" s="32">
        <f>ROUND((E26*F26),0)</f>
        <v>4205094</v>
      </c>
      <c r="H26" s="1289" t="s">
        <v>2038</v>
      </c>
      <c r="I26" s="799">
        <v>0</v>
      </c>
      <c r="J26" s="685">
        <f t="shared" ref="J26" si="19">ROUND(I26*F26,0)</f>
        <v>0</v>
      </c>
      <c r="K26" s="684">
        <v>0</v>
      </c>
      <c r="L26" s="799">
        <f t="shared" ref="L26" si="20">I26</f>
        <v>0</v>
      </c>
      <c r="M26" s="685">
        <f t="shared" ref="M26" si="21">J26</f>
        <v>0</v>
      </c>
      <c r="N26" s="684">
        <v>0</v>
      </c>
    </row>
    <row r="27" spans="1:14" ht="43.2" x14ac:dyDescent="0.3">
      <c r="A27" s="1289"/>
      <c r="B27" s="1289"/>
      <c r="C27" s="803" t="s">
        <v>61</v>
      </c>
      <c r="D27" s="803" t="s">
        <v>62</v>
      </c>
      <c r="E27" s="803">
        <v>0.3</v>
      </c>
      <c r="F27" s="32">
        <v>5306689</v>
      </c>
      <c r="G27" s="32">
        <f>ROUND((E27*F27),0)</f>
        <v>1592007</v>
      </c>
      <c r="H27" s="1289"/>
      <c r="I27" s="799">
        <v>0</v>
      </c>
      <c r="J27" s="685">
        <f>ROUND(I27*F27,0)</f>
        <v>0</v>
      </c>
      <c r="K27" s="684">
        <f>J27/G27</f>
        <v>0</v>
      </c>
      <c r="L27" s="799">
        <f>I27</f>
        <v>0</v>
      </c>
      <c r="M27" s="685">
        <f>J27</f>
        <v>0</v>
      </c>
      <c r="N27" s="684">
        <f t="shared" ref="N27" si="22">+M27/G27</f>
        <v>0</v>
      </c>
    </row>
    <row r="28" spans="1:14" x14ac:dyDescent="0.3">
      <c r="A28" s="1289"/>
      <c r="B28" s="1289"/>
      <c r="C28" s="39"/>
      <c r="D28" s="39" t="s">
        <v>63</v>
      </c>
      <c r="E28" s="41"/>
      <c r="F28" s="854"/>
      <c r="G28" s="42">
        <f>SUM(G26:G27)</f>
        <v>5797101</v>
      </c>
      <c r="H28" s="1289"/>
      <c r="I28" s="40"/>
      <c r="J28" s="683">
        <f>SUM(J26:J27)</f>
        <v>0</v>
      </c>
      <c r="K28" s="519">
        <f>J28/G28</f>
        <v>0</v>
      </c>
      <c r="L28" s="40"/>
      <c r="M28" s="683">
        <f>SUM(M27:M27)</f>
        <v>0</v>
      </c>
      <c r="N28" s="519">
        <f t="shared" ref="N28" si="23">M28/G28</f>
        <v>0</v>
      </c>
    </row>
    <row r="29" spans="1:14" ht="37.5" customHeight="1" x14ac:dyDescent="0.3">
      <c r="A29" s="1289" t="s">
        <v>1648</v>
      </c>
      <c r="B29" s="1289" t="s">
        <v>2033</v>
      </c>
      <c r="C29" s="803" t="s">
        <v>59</v>
      </c>
      <c r="D29" s="803" t="s">
        <v>829</v>
      </c>
      <c r="E29" s="803">
        <v>0.3</v>
      </c>
      <c r="F29" s="32">
        <v>3220612</v>
      </c>
      <c r="G29" s="32">
        <f>ROUND((E29*F29),0)</f>
        <v>966184</v>
      </c>
      <c r="H29" s="1289" t="s">
        <v>2039</v>
      </c>
      <c r="I29" s="799">
        <v>0</v>
      </c>
      <c r="J29" s="685">
        <f t="shared" ref="J29" si="24">ROUND(I29*F29,0)</f>
        <v>0</v>
      </c>
      <c r="K29" s="684">
        <v>0</v>
      </c>
      <c r="L29" s="799">
        <f t="shared" ref="L29" si="25">I29</f>
        <v>0</v>
      </c>
      <c r="M29" s="685">
        <f t="shared" ref="M29" si="26">J29</f>
        <v>0</v>
      </c>
      <c r="N29" s="684">
        <v>0</v>
      </c>
    </row>
    <row r="30" spans="1:14" ht="39" customHeight="1" x14ac:dyDescent="0.3">
      <c r="A30" s="1289"/>
      <c r="B30" s="1289"/>
      <c r="C30" s="803" t="s">
        <v>61</v>
      </c>
      <c r="D30" s="803" t="s">
        <v>830</v>
      </c>
      <c r="E30" s="803">
        <v>0.3</v>
      </c>
      <c r="F30" s="32">
        <v>5013906</v>
      </c>
      <c r="G30" s="32">
        <f>ROUND((E30*F30),0)</f>
        <v>1504172</v>
      </c>
      <c r="H30" s="1289"/>
      <c r="I30" s="799">
        <v>0</v>
      </c>
      <c r="J30" s="685">
        <f>ROUND(I30*F30,0)</f>
        <v>0</v>
      </c>
      <c r="K30" s="684">
        <f>J30/G30</f>
        <v>0</v>
      </c>
      <c r="L30" s="799">
        <f>I30</f>
        <v>0</v>
      </c>
      <c r="M30" s="685">
        <f>J30</f>
        <v>0</v>
      </c>
      <c r="N30" s="684">
        <f t="shared" ref="N30" si="27">+M30/G30</f>
        <v>0</v>
      </c>
    </row>
    <row r="31" spans="1:14" x14ac:dyDescent="0.3">
      <c r="A31" s="1289"/>
      <c r="B31" s="1289"/>
      <c r="C31" s="39"/>
      <c r="D31" s="39" t="s">
        <v>831</v>
      </c>
      <c r="E31" s="41"/>
      <c r="F31" s="854"/>
      <c r="G31" s="42">
        <f>SUM(G29:G30)</f>
        <v>2470356</v>
      </c>
      <c r="H31" s="1289"/>
      <c r="I31" s="40"/>
      <c r="J31" s="683">
        <f>SUM(J29:J30)</f>
        <v>0</v>
      </c>
      <c r="K31" s="519">
        <f>J31/G31</f>
        <v>0</v>
      </c>
      <c r="L31" s="40"/>
      <c r="M31" s="683">
        <f>SUM(M30:M30)</f>
        <v>0</v>
      </c>
      <c r="N31" s="519">
        <f t="shared" ref="N31" si="28">M31/G31</f>
        <v>0</v>
      </c>
    </row>
    <row r="32" spans="1:14" s="804" customFormat="1" x14ac:dyDescent="0.3">
      <c r="F32" s="836" t="s">
        <v>1740</v>
      </c>
      <c r="G32" s="837">
        <f>SUM(G31,G27,G24,G20,G17)</f>
        <v>10737813</v>
      </c>
      <c r="I32" s="547" t="s">
        <v>64</v>
      </c>
      <c r="J32" s="835">
        <f>SUM(J31)</f>
        <v>0</v>
      </c>
      <c r="L32" s="547" t="s">
        <v>64</v>
      </c>
      <c r="M32" s="835">
        <f>SUM(M31)</f>
        <v>0</v>
      </c>
    </row>
    <row r="33" spans="1:14" s="804" customFormat="1" ht="26.4" x14ac:dyDescent="0.3">
      <c r="F33" s="548" t="s">
        <v>65</v>
      </c>
      <c r="G33" s="481">
        <v>0</v>
      </c>
      <c r="I33" s="548" t="s">
        <v>65</v>
      </c>
      <c r="J33" s="677">
        <v>0</v>
      </c>
      <c r="L33" s="548" t="s">
        <v>65</v>
      </c>
      <c r="M33" s="677">
        <v>0</v>
      </c>
    </row>
    <row r="34" spans="1:14" s="804" customFormat="1" x14ac:dyDescent="0.3">
      <c r="F34" s="549" t="s">
        <v>1740</v>
      </c>
      <c r="G34" s="550">
        <f>+G33+G32</f>
        <v>10737813</v>
      </c>
      <c r="I34" s="549" t="s">
        <v>64</v>
      </c>
      <c r="J34" s="481">
        <f>J32+J33</f>
        <v>0</v>
      </c>
      <c r="L34" s="549" t="s">
        <v>64</v>
      </c>
      <c r="M34" s="481">
        <f>M32+M33</f>
        <v>0</v>
      </c>
    </row>
    <row r="35" spans="1:14" s="804" customFormat="1" ht="18" customHeight="1" x14ac:dyDescent="0.3">
      <c r="F35" s="810"/>
      <c r="G35" s="810"/>
      <c r="I35" s="501" t="s">
        <v>1439</v>
      </c>
      <c r="J35" s="481">
        <f>ROUND(J34*0.015,0)</f>
        <v>0</v>
      </c>
      <c r="L35" s="501" t="s">
        <v>1439</v>
      </c>
      <c r="M35" s="481">
        <f>ROUND(M34*0.015,0)</f>
        <v>0</v>
      </c>
    </row>
    <row r="36" spans="1:14" s="804" customFormat="1" ht="27.75" customHeight="1" x14ac:dyDescent="0.3">
      <c r="F36" s="810"/>
      <c r="G36" s="810"/>
      <c r="I36" s="96" t="s">
        <v>1440</v>
      </c>
      <c r="J36" s="783">
        <f>J34+J35</f>
        <v>0</v>
      </c>
      <c r="K36" s="832">
        <f>J36/G32</f>
        <v>0</v>
      </c>
      <c r="L36" s="96" t="s">
        <v>1440</v>
      </c>
      <c r="M36" s="425">
        <f>M34+M35</f>
        <v>0</v>
      </c>
      <c r="N36" s="678">
        <f>M36/G32</f>
        <v>0</v>
      </c>
    </row>
    <row r="37" spans="1:14" s="804" customFormat="1" x14ac:dyDescent="0.3">
      <c r="F37" s="551" t="s">
        <v>66</v>
      </c>
      <c r="G37" s="481">
        <f>+G32*19%</f>
        <v>2040184.47</v>
      </c>
      <c r="I37" s="551" t="s">
        <v>66</v>
      </c>
      <c r="J37" s="672">
        <f>J36*0.19</f>
        <v>0</v>
      </c>
      <c r="L37" s="551" t="s">
        <v>66</v>
      </c>
      <c r="M37" s="672">
        <f>M36*0.19</f>
        <v>0</v>
      </c>
    </row>
    <row r="38" spans="1:14" s="804" customFormat="1" x14ac:dyDescent="0.3">
      <c r="F38" s="552" t="s">
        <v>69</v>
      </c>
      <c r="G38" s="481">
        <f>+G32+G37</f>
        <v>12777997.470000001</v>
      </c>
      <c r="I38" s="552" t="s">
        <v>69</v>
      </c>
      <c r="J38" s="672">
        <f>J36+J37</f>
        <v>0</v>
      </c>
      <c r="L38" s="552" t="s">
        <v>69</v>
      </c>
      <c r="M38" s="672">
        <f>M36+M37</f>
        <v>0</v>
      </c>
    </row>
    <row r="39" spans="1:14" s="804" customFormat="1" x14ac:dyDescent="0.3"/>
    <row r="40" spans="1:14" s="804" customFormat="1" ht="26.4" x14ac:dyDescent="0.3">
      <c r="A40" s="665" t="s">
        <v>67</v>
      </c>
      <c r="B40" s="184"/>
      <c r="C40" s="184"/>
      <c r="D40" s="185" t="s">
        <v>68</v>
      </c>
      <c r="I40" s="186" t="s">
        <v>70</v>
      </c>
      <c r="J40" s="187" t="s">
        <v>71</v>
      </c>
      <c r="K40" s="186" t="s">
        <v>58</v>
      </c>
    </row>
    <row r="41" spans="1:14" s="804" customFormat="1" x14ac:dyDescent="0.3">
      <c r="A41" s="665"/>
      <c r="B41" s="184"/>
      <c r="C41" s="184"/>
      <c r="D41" s="185"/>
      <c r="I41" s="69" t="s">
        <v>72</v>
      </c>
      <c r="J41" s="70">
        <f>J36</f>
        <v>0</v>
      </c>
      <c r="K41" s="360">
        <f>K36</f>
        <v>0</v>
      </c>
    </row>
    <row r="42" spans="1:14" s="804" customFormat="1" x14ac:dyDescent="0.3">
      <c r="A42" s="665"/>
      <c r="B42" s="184"/>
      <c r="C42" s="184"/>
      <c r="D42" s="185"/>
      <c r="I42" s="72" t="s">
        <v>1</v>
      </c>
      <c r="J42" s="105">
        <f>J41</f>
        <v>0</v>
      </c>
      <c r="K42" s="361">
        <f>K41</f>
        <v>0</v>
      </c>
    </row>
    <row r="43" spans="1:14" s="804" customFormat="1" x14ac:dyDescent="0.3">
      <c r="A43" s="665"/>
      <c r="B43" s="184"/>
      <c r="C43" s="184"/>
      <c r="D43" s="185"/>
      <c r="I43" s="72" t="s">
        <v>9</v>
      </c>
      <c r="J43" s="1423"/>
      <c r="K43" s="1424"/>
    </row>
    <row r="44" spans="1:14" s="804" customFormat="1" x14ac:dyDescent="0.3">
      <c r="A44" s="665"/>
      <c r="B44" s="184"/>
      <c r="C44" s="184"/>
      <c r="D44" s="185"/>
      <c r="I44" s="440" t="s">
        <v>78</v>
      </c>
      <c r="J44" s="1423"/>
      <c r="K44" s="1424"/>
    </row>
    <row r="45" spans="1:14" s="804" customFormat="1" x14ac:dyDescent="0.3">
      <c r="A45" s="665"/>
      <c r="B45" s="184"/>
      <c r="C45" s="184"/>
      <c r="D45" s="185"/>
      <c r="I45" s="439" t="s">
        <v>8</v>
      </c>
      <c r="J45" s="1425"/>
      <c r="K45" s="1426"/>
    </row>
    <row r="46" spans="1:14" s="804" customFormat="1" x14ac:dyDescent="0.3">
      <c r="A46" s="665"/>
      <c r="B46" s="184"/>
      <c r="C46" s="184"/>
      <c r="D46" s="185" t="s">
        <v>75</v>
      </c>
    </row>
    <row r="47" spans="1:14" s="804" customFormat="1" x14ac:dyDescent="0.3">
      <c r="A47" s="665" t="s">
        <v>76</v>
      </c>
      <c r="B47" s="180"/>
      <c r="C47" s="180"/>
      <c r="D47" s="185" t="s">
        <v>77</v>
      </c>
    </row>
    <row r="48" spans="1:14" s="804" customFormat="1" ht="26.4" x14ac:dyDescent="0.3">
      <c r="A48" s="665" t="s">
        <v>79</v>
      </c>
      <c r="B48" s="180"/>
      <c r="C48" s="180"/>
      <c r="D48" s="185" t="s">
        <v>80</v>
      </c>
    </row>
  </sheetData>
  <mergeCells count="36">
    <mergeCell ref="J43:K43"/>
    <mergeCell ref="J44:K44"/>
    <mergeCell ref="J45:K45"/>
    <mergeCell ref="A10:M10"/>
    <mergeCell ref="B11:G11"/>
    <mergeCell ref="I11:K12"/>
    <mergeCell ref="L11:N12"/>
    <mergeCell ref="B12:G12"/>
    <mergeCell ref="A26:A28"/>
    <mergeCell ref="B26:B28"/>
    <mergeCell ref="H26:H28"/>
    <mergeCell ref="A29:A31"/>
    <mergeCell ref="B29:B31"/>
    <mergeCell ref="H29:H31"/>
    <mergeCell ref="A20:A22"/>
    <mergeCell ref="B20:B22"/>
    <mergeCell ref="A5:M5"/>
    <mergeCell ref="A6:M6"/>
    <mergeCell ref="A7:M7"/>
    <mergeCell ref="A8:M8"/>
    <mergeCell ref="A9:M9"/>
    <mergeCell ref="C1:J2"/>
    <mergeCell ref="K1:N1"/>
    <mergeCell ref="K2:N2"/>
    <mergeCell ref="A3:M3"/>
    <mergeCell ref="A4:M4"/>
    <mergeCell ref="H20:H22"/>
    <mergeCell ref="A23:A25"/>
    <mergeCell ref="B23:B25"/>
    <mergeCell ref="H23:H25"/>
    <mergeCell ref="A14:A16"/>
    <mergeCell ref="B14:B16"/>
    <mergeCell ref="H14:H16"/>
    <mergeCell ref="A17:A19"/>
    <mergeCell ref="B17:B19"/>
    <mergeCell ref="H17:H19"/>
  </mergeCells>
  <pageMargins left="0.7" right="0.7" top="0.75" bottom="0.75" header="0.3" footer="0.3"/>
  <drawing r:id="rId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0"/>
  <dimension ref="A1:G49"/>
  <sheetViews>
    <sheetView workbookViewId="0">
      <selection activeCell="J37" sqref="J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RESUMEN!G144</f>
        <v>Proyecto: Reemplazo de las celdas asociadas a las filas 1, 2 y 3 11,4kV.</v>
      </c>
      <c r="C5" s="1281"/>
      <c r="D5" s="1281"/>
      <c r="E5" s="1281"/>
      <c r="F5" s="1281"/>
      <c r="G5" s="1282"/>
    </row>
    <row r="6" spans="1:7" x14ac:dyDescent="0.25">
      <c r="A6" s="1177"/>
      <c r="B6" s="1177"/>
      <c r="C6" s="1177"/>
      <c r="D6" s="1177"/>
      <c r="E6" s="1177"/>
      <c r="F6" s="1177"/>
      <c r="G6" s="1177"/>
    </row>
    <row r="7" spans="1:7" x14ac:dyDescent="0.25">
      <c r="A7" s="271" t="s">
        <v>0</v>
      </c>
      <c r="B7" s="1264">
        <f>RESUMEN!B144</f>
        <v>0</v>
      </c>
      <c r="C7" s="1265"/>
      <c r="D7" s="1177"/>
      <c r="E7" s="1266" t="s">
        <v>627</v>
      </c>
      <c r="F7" s="1267"/>
      <c r="G7" s="280" t="str">
        <f>RESUMEN!E144</f>
        <v xml:space="preserve">18-006 </v>
      </c>
    </row>
    <row r="8" spans="1:7" x14ac:dyDescent="0.25">
      <c r="A8" s="271" t="s">
        <v>628</v>
      </c>
      <c r="B8" s="1264">
        <f>RESUMEN!C144</f>
        <v>0</v>
      </c>
      <c r="C8" s="1265"/>
      <c r="D8" s="1177"/>
      <c r="E8" s="1266" t="s">
        <v>629</v>
      </c>
      <c r="F8" s="1267"/>
      <c r="G8" s="280" t="str">
        <f>RESUMEN!U144</f>
        <v>Acta N° 1: Marzo</v>
      </c>
    </row>
    <row r="9" spans="1:7" x14ac:dyDescent="0.25">
      <c r="A9" s="271" t="s">
        <v>630</v>
      </c>
      <c r="B9" s="1283" t="s">
        <v>631</v>
      </c>
      <c r="C9" s="1265"/>
      <c r="D9" s="1177"/>
      <c r="E9" s="1266" t="s">
        <v>632</v>
      </c>
      <c r="F9" s="1267"/>
      <c r="G9" s="1178">
        <f>RESUMEN!H144</f>
        <v>10737813</v>
      </c>
    </row>
    <row r="10" spans="1:7" x14ac:dyDescent="0.25">
      <c r="A10" s="271" t="s">
        <v>633</v>
      </c>
      <c r="B10" s="1264" t="str">
        <f>RESUMEN!D144</f>
        <v xml:space="preserve">BOLIVIA </v>
      </c>
      <c r="C10" s="1265"/>
      <c r="D10" s="1177"/>
      <c r="E10" s="1266" t="s">
        <v>634</v>
      </c>
      <c r="F10" s="1267"/>
      <c r="G10" s="1178">
        <f>RESUMEN!R144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Reemplazo de las celdas asociadas a las filas 1, 2 y 3 11,4kV.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RESUMEN!N144</f>
        <v>0</v>
      </c>
      <c r="F19" s="1248"/>
      <c r="G19" s="1177"/>
    </row>
    <row r="20" spans="1:7" ht="27" customHeight="1" x14ac:dyDescent="0.25">
      <c r="A20" s="1177"/>
      <c r="B20" s="1244" t="s">
        <v>1498</v>
      </c>
      <c r="C20" s="1245"/>
      <c r="D20" s="1246"/>
      <c r="E20" s="1247">
        <f>RESUMEN!P144</f>
        <v>0</v>
      </c>
      <c r="F20" s="1248"/>
      <c r="G20" s="1177"/>
    </row>
    <row r="21" spans="1:7" ht="27" customHeight="1" x14ac:dyDescent="0.25">
      <c r="A21" s="1177"/>
      <c r="B21" s="1244" t="s">
        <v>1499</v>
      </c>
      <c r="C21" s="1245"/>
      <c r="D21" s="1246"/>
      <c r="E21" s="1247">
        <f>RESUMEN!Q144</f>
        <v>0</v>
      </c>
      <c r="F21" s="1248"/>
      <c r="G21" s="1177"/>
    </row>
    <row r="22" spans="1:7" x14ac:dyDescent="0.25">
      <c r="A22" s="1177"/>
      <c r="B22" s="1254" t="s">
        <v>64</v>
      </c>
      <c r="C22" s="1254"/>
      <c r="D22" s="1254"/>
      <c r="E22" s="1255">
        <f>RESUMEN!R144</f>
        <v>0</v>
      </c>
      <c r="F22" s="1255"/>
      <c r="G22" s="1177"/>
    </row>
    <row r="23" spans="1:7" x14ac:dyDescent="0.25">
      <c r="A23" s="1177"/>
      <c r="B23" s="1256" t="s">
        <v>66</v>
      </c>
      <c r="C23" s="1256"/>
      <c r="D23" s="1256"/>
      <c r="E23" s="1257">
        <f>RESUMEN!S144</f>
        <v>0</v>
      </c>
      <c r="F23" s="1257"/>
      <c r="G23" s="1177"/>
    </row>
    <row r="24" spans="1:7" x14ac:dyDescent="0.25">
      <c r="A24" s="1177"/>
      <c r="B24" s="1258" t="s">
        <v>1</v>
      </c>
      <c r="C24" s="1258"/>
      <c r="D24" s="1258"/>
      <c r="E24" s="1259">
        <f>RESUMEN!T144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+'OT18-006 BOLIVIA '!I41</f>
        <v>ACTA 1</v>
      </c>
      <c r="C28" s="1253">
        <f>+'OT18-006 BOLIVIA '!J41</f>
        <v>0</v>
      </c>
      <c r="D28" s="1253"/>
      <c r="E28" s="267">
        <f>+'OT18-006 BOLIVIA '!K41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RESUMEN!V144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4"/>
  <dimension ref="A1:N48"/>
  <sheetViews>
    <sheetView topLeftCell="A18" zoomScale="55" zoomScaleNormal="55" workbookViewId="0">
      <selection activeCell="H26" sqref="H26:H28"/>
    </sheetView>
  </sheetViews>
  <sheetFormatPr baseColWidth="10" defaultColWidth="9.109375" defaultRowHeight="14.4" x14ac:dyDescent="0.3"/>
  <cols>
    <col min="1" max="1" width="13" style="795" customWidth="1"/>
    <col min="2" max="2" width="28.88671875" style="795" customWidth="1"/>
    <col min="3" max="3" width="17.6640625" style="795" customWidth="1"/>
    <col min="4" max="4" width="22.33203125" style="795" bestFit="1" customWidth="1"/>
    <col min="5" max="5" width="13" style="795" customWidth="1"/>
    <col min="6" max="6" width="16.33203125" style="795" bestFit="1" customWidth="1"/>
    <col min="7" max="7" width="17.5546875" style="795" bestFit="1" customWidth="1"/>
    <col min="8" max="8" width="32.109375" style="795" customWidth="1"/>
    <col min="9" max="9" width="17.6640625" style="795" customWidth="1"/>
    <col min="10" max="10" width="13.5546875" style="795" customWidth="1"/>
    <col min="11" max="11" width="9.109375" style="795"/>
    <col min="12" max="12" width="17.88671875" style="795" customWidth="1"/>
    <col min="13" max="13" width="21.4414062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2128</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2127</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2130</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55</v>
      </c>
      <c r="G13" s="661" t="s">
        <v>56</v>
      </c>
      <c r="H13" s="660" t="s">
        <v>57</v>
      </c>
      <c r="I13" s="502" t="s">
        <v>54</v>
      </c>
      <c r="J13" s="502" t="s">
        <v>56</v>
      </c>
      <c r="K13" s="502" t="s">
        <v>58</v>
      </c>
      <c r="L13" s="502" t="s">
        <v>54</v>
      </c>
      <c r="M13" s="502" t="s">
        <v>56</v>
      </c>
      <c r="N13" s="502" t="s">
        <v>58</v>
      </c>
    </row>
    <row r="14" spans="1:14" ht="40.5" customHeight="1" x14ac:dyDescent="0.3">
      <c r="A14" s="1289" t="s">
        <v>2040</v>
      </c>
      <c r="B14" s="1289" t="s">
        <v>392</v>
      </c>
      <c r="C14" s="803" t="s">
        <v>59</v>
      </c>
      <c r="D14" s="803" t="s">
        <v>60</v>
      </c>
      <c r="E14" s="803">
        <v>0.3</v>
      </c>
      <c r="F14" s="32">
        <v>14016979</v>
      </c>
      <c r="G14" s="32">
        <f>ROUND((E14*F14),0)</f>
        <v>4205094</v>
      </c>
      <c r="H14" s="1289" t="s">
        <v>2041</v>
      </c>
      <c r="I14" s="799">
        <v>0</v>
      </c>
      <c r="J14" s="685">
        <f t="shared" ref="J14" si="0">ROUND(I14*F14,0)</f>
        <v>0</v>
      </c>
      <c r="K14" s="684">
        <v>0</v>
      </c>
      <c r="L14" s="799">
        <f t="shared" ref="L14:M29" si="1">I14</f>
        <v>0</v>
      </c>
      <c r="M14" s="685">
        <f t="shared" si="1"/>
        <v>0</v>
      </c>
      <c r="N14" s="684">
        <v>0</v>
      </c>
    </row>
    <row r="15" spans="1:14" ht="57.6" x14ac:dyDescent="0.3">
      <c r="A15" s="1289"/>
      <c r="B15" s="1289"/>
      <c r="C15" s="803" t="s">
        <v>61</v>
      </c>
      <c r="D15" s="803" t="s">
        <v>62</v>
      </c>
      <c r="E15" s="803">
        <v>0.3</v>
      </c>
      <c r="F15" s="32">
        <v>5306689</v>
      </c>
      <c r="G15" s="32">
        <f>ROUND((E15*F15),0)</f>
        <v>1592007</v>
      </c>
      <c r="H15" s="1289"/>
      <c r="I15" s="799">
        <v>0</v>
      </c>
      <c r="J15" s="685">
        <f>ROUND(I15*F15,0)</f>
        <v>0</v>
      </c>
      <c r="K15" s="684">
        <f>J15/G15</f>
        <v>0</v>
      </c>
      <c r="L15" s="799">
        <f>I15</f>
        <v>0</v>
      </c>
      <c r="M15" s="685">
        <f t="shared" si="1"/>
        <v>0</v>
      </c>
      <c r="N15" s="684">
        <f t="shared" ref="N15" si="2">+M15/G15</f>
        <v>0</v>
      </c>
    </row>
    <row r="16" spans="1:14" x14ac:dyDescent="0.3">
      <c r="A16" s="1289"/>
      <c r="B16" s="1289"/>
      <c r="C16" s="39"/>
      <c r="D16" s="39" t="s">
        <v>63</v>
      </c>
      <c r="E16" s="41"/>
      <c r="F16" s="41"/>
      <c r="G16" s="42">
        <f>SUM(G14:G15)</f>
        <v>5797101</v>
      </c>
      <c r="H16" s="1289"/>
      <c r="I16" s="40"/>
      <c r="J16" s="683">
        <f>SUM(J14:J15)</f>
        <v>0</v>
      </c>
      <c r="K16" s="519">
        <f>J16/G16</f>
        <v>0</v>
      </c>
      <c r="L16" s="40"/>
      <c r="M16" s="1107">
        <f t="shared" si="1"/>
        <v>0</v>
      </c>
      <c r="N16" s="519">
        <f t="shared" ref="N16" si="3">M16/G16</f>
        <v>0</v>
      </c>
    </row>
    <row r="17" spans="1:14" ht="52.5" customHeight="1" x14ac:dyDescent="0.3">
      <c r="A17" s="1289" t="s">
        <v>2040</v>
      </c>
      <c r="B17" s="1289" t="s">
        <v>828</v>
      </c>
      <c r="C17" s="803" t="s">
        <v>59</v>
      </c>
      <c r="D17" s="803" t="s">
        <v>829</v>
      </c>
      <c r="E17" s="803">
        <v>0.3</v>
      </c>
      <c r="F17" s="32">
        <v>3220612</v>
      </c>
      <c r="G17" s="32">
        <f>ROUND((E17*F17),0)</f>
        <v>966184</v>
      </c>
      <c r="H17" s="1289" t="s">
        <v>2042</v>
      </c>
      <c r="I17" s="799">
        <v>0</v>
      </c>
      <c r="J17" s="685">
        <f t="shared" ref="J17" si="4">ROUND(I17*F17,0)</f>
        <v>0</v>
      </c>
      <c r="K17" s="684">
        <v>0</v>
      </c>
      <c r="L17" s="799">
        <f t="shared" ref="L17" si="5">I17</f>
        <v>0</v>
      </c>
      <c r="M17" s="685">
        <f t="shared" si="1"/>
        <v>0</v>
      </c>
      <c r="N17" s="684">
        <v>0</v>
      </c>
    </row>
    <row r="18" spans="1:14" ht="49.5" customHeight="1" x14ac:dyDescent="0.3">
      <c r="A18" s="1289"/>
      <c r="B18" s="1289"/>
      <c r="C18" s="803" t="s">
        <v>61</v>
      </c>
      <c r="D18" s="803" t="s">
        <v>830</v>
      </c>
      <c r="E18" s="803">
        <v>0.3</v>
      </c>
      <c r="F18" s="32">
        <v>5013906</v>
      </c>
      <c r="G18" s="32">
        <f>ROUND((E18*F18),0)</f>
        <v>1504172</v>
      </c>
      <c r="H18" s="1289"/>
      <c r="I18" s="799">
        <v>0</v>
      </c>
      <c r="J18" s="685">
        <f>ROUND(I18*F18,0)</f>
        <v>0</v>
      </c>
      <c r="K18" s="684">
        <f>J18/G18</f>
        <v>0</v>
      </c>
      <c r="L18" s="799">
        <f>I18</f>
        <v>0</v>
      </c>
      <c r="M18" s="685">
        <f t="shared" si="1"/>
        <v>0</v>
      </c>
      <c r="N18" s="684">
        <f t="shared" ref="N18" si="6">+M18/G18</f>
        <v>0</v>
      </c>
    </row>
    <row r="19" spans="1:14" x14ac:dyDescent="0.3">
      <c r="A19" s="1289"/>
      <c r="B19" s="1289"/>
      <c r="C19" s="39"/>
      <c r="D19" s="39" t="s">
        <v>831</v>
      </c>
      <c r="E19" s="41"/>
      <c r="F19" s="41"/>
      <c r="G19" s="42">
        <f>SUM(G17:G18)</f>
        <v>2470356</v>
      </c>
      <c r="H19" s="1289"/>
      <c r="I19" s="40"/>
      <c r="J19" s="683">
        <f>SUM(J17:J18)</f>
        <v>0</v>
      </c>
      <c r="K19" s="519">
        <f>J19/G19</f>
        <v>0</v>
      </c>
      <c r="L19" s="40"/>
      <c r="M19" s="1107">
        <f t="shared" si="1"/>
        <v>0</v>
      </c>
      <c r="N19" s="519">
        <f t="shared" ref="N19" si="7">M19/G19</f>
        <v>0</v>
      </c>
    </row>
    <row r="20" spans="1:14" ht="72" x14ac:dyDescent="0.3">
      <c r="A20" s="1289" t="s">
        <v>2043</v>
      </c>
      <c r="B20" s="1289" t="s">
        <v>392</v>
      </c>
      <c r="C20" s="803" t="s">
        <v>59</v>
      </c>
      <c r="D20" s="803" t="s">
        <v>60</v>
      </c>
      <c r="E20" s="803">
        <v>0.3</v>
      </c>
      <c r="F20" s="32">
        <v>14016979</v>
      </c>
      <c r="G20" s="32">
        <f>ROUND((E20*F20),0)</f>
        <v>4205094</v>
      </c>
      <c r="H20" s="1289" t="s">
        <v>2041</v>
      </c>
      <c r="I20" s="799">
        <v>0</v>
      </c>
      <c r="J20" s="685">
        <f t="shared" ref="J20" si="8">ROUND(I20*F20,0)</f>
        <v>0</v>
      </c>
      <c r="K20" s="684">
        <v>0</v>
      </c>
      <c r="L20" s="799">
        <f t="shared" ref="L20" si="9">I20</f>
        <v>0</v>
      </c>
      <c r="M20" s="685">
        <f t="shared" si="1"/>
        <v>0</v>
      </c>
      <c r="N20" s="684">
        <v>0</v>
      </c>
    </row>
    <row r="21" spans="1:14" ht="57.6" x14ac:dyDescent="0.3">
      <c r="A21" s="1289"/>
      <c r="B21" s="1289"/>
      <c r="C21" s="803" t="s">
        <v>61</v>
      </c>
      <c r="D21" s="803" t="s">
        <v>62</v>
      </c>
      <c r="E21" s="803">
        <v>0.3</v>
      </c>
      <c r="F21" s="32">
        <v>5306689</v>
      </c>
      <c r="G21" s="32">
        <f>ROUND((E21*F21),0)</f>
        <v>1592007</v>
      </c>
      <c r="H21" s="1289"/>
      <c r="I21" s="799">
        <v>0</v>
      </c>
      <c r="J21" s="685">
        <f>ROUND(I21*F21,0)</f>
        <v>0</v>
      </c>
      <c r="K21" s="684">
        <f>J21/G21</f>
        <v>0</v>
      </c>
      <c r="L21" s="799">
        <f>I21</f>
        <v>0</v>
      </c>
      <c r="M21" s="685">
        <f t="shared" si="1"/>
        <v>0</v>
      </c>
      <c r="N21" s="684">
        <f t="shared" ref="N21" si="10">+M21/G21</f>
        <v>0</v>
      </c>
    </row>
    <row r="22" spans="1:14" x14ac:dyDescent="0.3">
      <c r="A22" s="1289"/>
      <c r="B22" s="1289"/>
      <c r="C22" s="39"/>
      <c r="D22" s="39" t="s">
        <v>63</v>
      </c>
      <c r="E22" s="41"/>
      <c r="F22" s="41"/>
      <c r="G22" s="42">
        <f>SUM(G20:G21)</f>
        <v>5797101</v>
      </c>
      <c r="H22" s="1289"/>
      <c r="I22" s="40"/>
      <c r="J22" s="683">
        <f>SUM(J20:J21)</f>
        <v>0</v>
      </c>
      <c r="K22" s="519">
        <f>J22/G22</f>
        <v>0</v>
      </c>
      <c r="L22" s="40"/>
      <c r="M22" s="1107">
        <f t="shared" si="1"/>
        <v>0</v>
      </c>
      <c r="N22" s="519">
        <f t="shared" ref="N22" si="11">M22/G22</f>
        <v>0</v>
      </c>
    </row>
    <row r="23" spans="1:14" ht="68.25" customHeight="1" x14ac:dyDescent="0.3">
      <c r="A23" s="1289" t="s">
        <v>2043</v>
      </c>
      <c r="B23" s="1289" t="s">
        <v>828</v>
      </c>
      <c r="C23" s="803" t="s">
        <v>59</v>
      </c>
      <c r="D23" s="803" t="s">
        <v>829</v>
      </c>
      <c r="E23" s="803">
        <v>0.3</v>
      </c>
      <c r="F23" s="32">
        <v>3220612</v>
      </c>
      <c r="G23" s="32">
        <f>ROUND((E23*F23),0)</f>
        <v>966184</v>
      </c>
      <c r="H23" s="1289" t="s">
        <v>2044</v>
      </c>
      <c r="I23" s="799">
        <v>0</v>
      </c>
      <c r="J23" s="685">
        <f t="shared" ref="J23" si="12">ROUND(I23*F23,0)</f>
        <v>0</v>
      </c>
      <c r="K23" s="684">
        <v>0</v>
      </c>
      <c r="L23" s="799">
        <f t="shared" ref="L23" si="13">I23</f>
        <v>0</v>
      </c>
      <c r="M23" s="685">
        <f t="shared" si="1"/>
        <v>0</v>
      </c>
      <c r="N23" s="684">
        <v>0</v>
      </c>
    </row>
    <row r="24" spans="1:14" ht="31.5" customHeight="1" x14ac:dyDescent="0.3">
      <c r="A24" s="1289"/>
      <c r="B24" s="1289"/>
      <c r="C24" s="803" t="s">
        <v>61</v>
      </c>
      <c r="D24" s="803" t="s">
        <v>830</v>
      </c>
      <c r="E24" s="803">
        <v>0.3</v>
      </c>
      <c r="F24" s="32">
        <v>5013906</v>
      </c>
      <c r="G24" s="32">
        <f>ROUND((E24*F24),0)</f>
        <v>1504172</v>
      </c>
      <c r="H24" s="1289"/>
      <c r="I24" s="799">
        <v>0</v>
      </c>
      <c r="J24" s="685">
        <f>ROUND(I24*F24,0)</f>
        <v>0</v>
      </c>
      <c r="K24" s="684">
        <f>J24/G24</f>
        <v>0</v>
      </c>
      <c r="L24" s="799">
        <f>I24</f>
        <v>0</v>
      </c>
      <c r="M24" s="685">
        <f t="shared" si="1"/>
        <v>0</v>
      </c>
      <c r="N24" s="684">
        <f t="shared" ref="N24" si="14">+M24/G24</f>
        <v>0</v>
      </c>
    </row>
    <row r="25" spans="1:14" x14ac:dyDescent="0.3">
      <c r="A25" s="1289"/>
      <c r="B25" s="1289"/>
      <c r="C25" s="39"/>
      <c r="D25" s="39" t="s">
        <v>831</v>
      </c>
      <c r="E25" s="41"/>
      <c r="F25" s="41"/>
      <c r="G25" s="42">
        <f>SUM(G23:G24)</f>
        <v>2470356</v>
      </c>
      <c r="H25" s="1289"/>
      <c r="I25" s="40"/>
      <c r="J25" s="683">
        <f>SUM(J23:J24)</f>
        <v>0</v>
      </c>
      <c r="K25" s="519">
        <f>J25/G25</f>
        <v>0</v>
      </c>
      <c r="L25" s="40"/>
      <c r="M25" s="1107">
        <f t="shared" si="1"/>
        <v>0</v>
      </c>
      <c r="N25" s="519">
        <f t="shared" ref="N25" si="15">M25/G25</f>
        <v>0</v>
      </c>
    </row>
    <row r="26" spans="1:14" ht="72" x14ac:dyDescent="0.3">
      <c r="A26" s="1289" t="s">
        <v>991</v>
      </c>
      <c r="B26" s="1289" t="s">
        <v>392</v>
      </c>
      <c r="C26" s="803" t="s">
        <v>59</v>
      </c>
      <c r="D26" s="803" t="s">
        <v>60</v>
      </c>
      <c r="E26" s="803">
        <v>0.3</v>
      </c>
      <c r="F26" s="32">
        <v>14016979</v>
      </c>
      <c r="G26" s="32">
        <f>ROUND((E26*F26),0)</f>
        <v>4205094</v>
      </c>
      <c r="H26" s="1289" t="s">
        <v>2041</v>
      </c>
      <c r="I26" s="799">
        <v>0</v>
      </c>
      <c r="J26" s="685">
        <f t="shared" ref="J26" si="16">ROUND(I26*F26,0)</f>
        <v>0</v>
      </c>
      <c r="K26" s="684">
        <v>0</v>
      </c>
      <c r="L26" s="799">
        <f t="shared" ref="L26" si="17">I26</f>
        <v>0</v>
      </c>
      <c r="M26" s="685">
        <f t="shared" si="1"/>
        <v>0</v>
      </c>
      <c r="N26" s="684">
        <v>0</v>
      </c>
    </row>
    <row r="27" spans="1:14" ht="57.6" x14ac:dyDescent="0.3">
      <c r="A27" s="1289"/>
      <c r="B27" s="1289"/>
      <c r="C27" s="803" t="s">
        <v>61</v>
      </c>
      <c r="D27" s="803" t="s">
        <v>62</v>
      </c>
      <c r="E27" s="803">
        <v>0.3</v>
      </c>
      <c r="F27" s="32">
        <v>5306689</v>
      </c>
      <c r="G27" s="32">
        <f>ROUND((E27*F27),0)</f>
        <v>1592007</v>
      </c>
      <c r="H27" s="1289"/>
      <c r="I27" s="799">
        <v>0</v>
      </c>
      <c r="J27" s="685">
        <f>ROUND(I27*F27,0)</f>
        <v>0</v>
      </c>
      <c r="K27" s="684">
        <f>J27/G27</f>
        <v>0</v>
      </c>
      <c r="L27" s="799">
        <f>I27</f>
        <v>0</v>
      </c>
      <c r="M27" s="685">
        <f t="shared" si="1"/>
        <v>0</v>
      </c>
      <c r="N27" s="684">
        <f t="shared" ref="N27" si="18">+M27/G27</f>
        <v>0</v>
      </c>
    </row>
    <row r="28" spans="1:14" x14ac:dyDescent="0.3">
      <c r="A28" s="1289"/>
      <c r="B28" s="1289"/>
      <c r="C28" s="39"/>
      <c r="D28" s="39" t="s">
        <v>63</v>
      </c>
      <c r="E28" s="41"/>
      <c r="F28" s="41"/>
      <c r="G28" s="42">
        <f>SUM(G26:G27)</f>
        <v>5797101</v>
      </c>
      <c r="H28" s="1289"/>
      <c r="I28" s="40"/>
      <c r="J28" s="683">
        <f>SUM(J26:J27)</f>
        <v>0</v>
      </c>
      <c r="K28" s="519">
        <f>J28/G28</f>
        <v>0</v>
      </c>
      <c r="L28" s="40"/>
      <c r="M28" s="1107">
        <f t="shared" si="1"/>
        <v>0</v>
      </c>
      <c r="N28" s="519">
        <f t="shared" ref="N28" si="19">M28/G28</f>
        <v>0</v>
      </c>
    </row>
    <row r="29" spans="1:14" ht="47.25" customHeight="1" x14ac:dyDescent="0.3">
      <c r="A29" s="1289" t="s">
        <v>991</v>
      </c>
      <c r="B29" s="1289" t="s">
        <v>828</v>
      </c>
      <c r="C29" s="803" t="s">
        <v>59</v>
      </c>
      <c r="D29" s="803" t="s">
        <v>829</v>
      </c>
      <c r="E29" s="803">
        <v>0.3</v>
      </c>
      <c r="F29" s="32">
        <v>3220612</v>
      </c>
      <c r="G29" s="32">
        <f>ROUND((E29*F29),0)</f>
        <v>966184</v>
      </c>
      <c r="H29" s="1289" t="s">
        <v>2045</v>
      </c>
      <c r="I29" s="799">
        <v>0</v>
      </c>
      <c r="J29" s="685">
        <f t="shared" ref="J29" si="20">ROUND(I29*F29,0)</f>
        <v>0</v>
      </c>
      <c r="K29" s="684">
        <v>0</v>
      </c>
      <c r="L29" s="799">
        <f t="shared" ref="L29" si="21">I29</f>
        <v>0</v>
      </c>
      <c r="M29" s="685">
        <f t="shared" si="1"/>
        <v>0</v>
      </c>
      <c r="N29" s="684">
        <v>0</v>
      </c>
    </row>
    <row r="30" spans="1:14" ht="48.75" customHeight="1" x14ac:dyDescent="0.3">
      <c r="A30" s="1289"/>
      <c r="B30" s="1289"/>
      <c r="C30" s="803" t="s">
        <v>61</v>
      </c>
      <c r="D30" s="803" t="s">
        <v>830</v>
      </c>
      <c r="E30" s="803">
        <v>0.3</v>
      </c>
      <c r="F30" s="32">
        <v>5013906</v>
      </c>
      <c r="G30" s="32">
        <f>ROUND((E30*F30),0)</f>
        <v>1504172</v>
      </c>
      <c r="H30" s="1289"/>
      <c r="I30" s="799">
        <v>0</v>
      </c>
      <c r="J30" s="685">
        <f>ROUND(I30*F30,0)</f>
        <v>0</v>
      </c>
      <c r="K30" s="684">
        <f>J30/G30</f>
        <v>0</v>
      </c>
      <c r="L30" s="799">
        <f>I30</f>
        <v>0</v>
      </c>
      <c r="M30" s="685">
        <f t="shared" ref="M30:M31" si="22">J30</f>
        <v>0</v>
      </c>
      <c r="N30" s="684">
        <f t="shared" ref="N30" si="23">+M30/G30</f>
        <v>0</v>
      </c>
    </row>
    <row r="31" spans="1:14" x14ac:dyDescent="0.3">
      <c r="A31" s="1289"/>
      <c r="B31" s="1289"/>
      <c r="C31" s="39"/>
      <c r="D31" s="39" t="s">
        <v>831</v>
      </c>
      <c r="E31" s="41"/>
      <c r="F31" s="41"/>
      <c r="G31" s="42">
        <f>SUM(G29:G30)</f>
        <v>2470356</v>
      </c>
      <c r="H31" s="1289"/>
      <c r="I31" s="40"/>
      <c r="J31" s="683">
        <f>SUM(J29:J30)</f>
        <v>0</v>
      </c>
      <c r="K31" s="519">
        <f>J31/G31</f>
        <v>0</v>
      </c>
      <c r="L31" s="40"/>
      <c r="M31" s="1107">
        <f t="shared" si="22"/>
        <v>0</v>
      </c>
      <c r="N31" s="519">
        <f t="shared" ref="N31" si="24">M31/G31</f>
        <v>0</v>
      </c>
    </row>
    <row r="32" spans="1:14" s="804" customFormat="1" x14ac:dyDescent="0.3">
      <c r="F32" s="836" t="s">
        <v>1740</v>
      </c>
      <c r="G32" s="837">
        <f>SUM(G31,G27,G24,G20,G17)</f>
        <v>10737813</v>
      </c>
      <c r="I32" s="547" t="s">
        <v>64</v>
      </c>
      <c r="J32" s="855">
        <f>SUM(J31)</f>
        <v>0</v>
      </c>
      <c r="L32" s="547" t="s">
        <v>64</v>
      </c>
      <c r="M32" s="835">
        <f>SUM(M31)</f>
        <v>0</v>
      </c>
    </row>
    <row r="33" spans="1:14" s="804" customFormat="1" x14ac:dyDescent="0.3">
      <c r="F33" s="548" t="s">
        <v>65</v>
      </c>
      <c r="G33" s="481">
        <v>0</v>
      </c>
      <c r="I33" s="548" t="s">
        <v>65</v>
      </c>
      <c r="J33" s="677">
        <v>0</v>
      </c>
      <c r="L33" s="548" t="s">
        <v>65</v>
      </c>
      <c r="M33" s="677">
        <v>0</v>
      </c>
    </row>
    <row r="34" spans="1:14" s="804" customFormat="1" x14ac:dyDescent="0.3">
      <c r="F34" s="549" t="s">
        <v>1740</v>
      </c>
      <c r="G34" s="340">
        <f>+G33+G32</f>
        <v>10737813</v>
      </c>
      <c r="I34" s="549" t="s">
        <v>64</v>
      </c>
      <c r="J34" s="481">
        <f>J32+J33</f>
        <v>0</v>
      </c>
      <c r="L34" s="549" t="s">
        <v>64</v>
      </c>
      <c r="M34" s="481">
        <f>M32+M33</f>
        <v>0</v>
      </c>
    </row>
    <row r="35" spans="1:14" s="804" customFormat="1" ht="18" customHeight="1" x14ac:dyDescent="0.3">
      <c r="F35" s="810"/>
      <c r="G35" s="810"/>
      <c r="I35" s="501" t="s">
        <v>1439</v>
      </c>
      <c r="J35" s="481">
        <f>ROUND(J34*0.015,0)</f>
        <v>0</v>
      </c>
      <c r="L35" s="501" t="s">
        <v>1439</v>
      </c>
      <c r="M35" s="481">
        <f>ROUND(M34*0.015,0)</f>
        <v>0</v>
      </c>
    </row>
    <row r="36" spans="1:14" s="804" customFormat="1" ht="27.75" customHeight="1" x14ac:dyDescent="0.3">
      <c r="F36" s="810"/>
      <c r="G36" s="810"/>
      <c r="I36" s="96" t="s">
        <v>1440</v>
      </c>
      <c r="J36" s="783">
        <f>J34+J35</f>
        <v>0</v>
      </c>
      <c r="K36" s="832">
        <f>J36/G32</f>
        <v>0</v>
      </c>
      <c r="L36" s="96" t="s">
        <v>1440</v>
      </c>
      <c r="M36" s="425">
        <f>M34+M35</f>
        <v>0</v>
      </c>
      <c r="N36" s="678">
        <f>M36/G32</f>
        <v>0</v>
      </c>
    </row>
    <row r="37" spans="1:14" s="804" customFormat="1" x14ac:dyDescent="0.3">
      <c r="F37" s="551" t="s">
        <v>66</v>
      </c>
      <c r="G37" s="481">
        <f>+G32*19%</f>
        <v>2040184.47</v>
      </c>
      <c r="I37" s="551" t="s">
        <v>66</v>
      </c>
      <c r="J37" s="672">
        <f>J36*0.19</f>
        <v>0</v>
      </c>
      <c r="L37" s="551" t="s">
        <v>66</v>
      </c>
      <c r="M37" s="672">
        <f>M36*0.19</f>
        <v>0</v>
      </c>
    </row>
    <row r="38" spans="1:14" s="804" customFormat="1" x14ac:dyDescent="0.3">
      <c r="F38" s="552" t="s">
        <v>69</v>
      </c>
      <c r="G38" s="481">
        <f>+G32+G37</f>
        <v>12777997.470000001</v>
      </c>
      <c r="I38" s="552" t="s">
        <v>69</v>
      </c>
      <c r="J38" s="672">
        <f>J36+J37</f>
        <v>0</v>
      </c>
      <c r="L38" s="552" t="s">
        <v>69</v>
      </c>
      <c r="M38" s="672">
        <f>M36+M37</f>
        <v>0</v>
      </c>
    </row>
    <row r="39" spans="1:14" s="804" customFormat="1" x14ac:dyDescent="0.3"/>
    <row r="40" spans="1:14" s="804" customFormat="1" ht="26.4" x14ac:dyDescent="0.3">
      <c r="A40" s="665" t="s">
        <v>67</v>
      </c>
      <c r="B40" s="184"/>
      <c r="C40" s="184"/>
      <c r="D40" s="185" t="s">
        <v>68</v>
      </c>
      <c r="I40" s="186" t="s">
        <v>70</v>
      </c>
      <c r="J40" s="187" t="s">
        <v>71</v>
      </c>
      <c r="K40" s="186" t="s">
        <v>58</v>
      </c>
    </row>
    <row r="41" spans="1:14" s="804" customFormat="1" x14ac:dyDescent="0.3">
      <c r="A41" s="665"/>
      <c r="B41" s="184"/>
      <c r="C41" s="184"/>
      <c r="D41" s="185"/>
      <c r="I41" s="69" t="s">
        <v>72</v>
      </c>
      <c r="J41" s="70">
        <f>J36</f>
        <v>0</v>
      </c>
      <c r="K41" s="360">
        <f>K36</f>
        <v>0</v>
      </c>
    </row>
    <row r="42" spans="1:14" s="804" customFormat="1" x14ac:dyDescent="0.3">
      <c r="A42" s="665"/>
      <c r="B42" s="184"/>
      <c r="C42" s="184"/>
      <c r="D42" s="185"/>
      <c r="I42" s="72" t="s">
        <v>1</v>
      </c>
      <c r="J42" s="105">
        <f>J41</f>
        <v>0</v>
      </c>
      <c r="K42" s="361">
        <f>K41</f>
        <v>0</v>
      </c>
    </row>
    <row r="43" spans="1:14" s="804" customFormat="1" x14ac:dyDescent="0.3">
      <c r="A43" s="665"/>
      <c r="B43" s="184"/>
      <c r="C43" s="184"/>
      <c r="D43" s="185"/>
      <c r="I43" s="72" t="s">
        <v>9</v>
      </c>
      <c r="J43" s="1423"/>
      <c r="K43" s="1424"/>
    </row>
    <row r="44" spans="1:14" s="804" customFormat="1" x14ac:dyDescent="0.3">
      <c r="A44" s="665"/>
      <c r="B44" s="184"/>
      <c r="C44" s="184"/>
      <c r="D44" s="185"/>
      <c r="I44" s="440" t="s">
        <v>78</v>
      </c>
      <c r="J44" s="1423"/>
      <c r="K44" s="1424"/>
    </row>
    <row r="45" spans="1:14" s="804" customFormat="1" x14ac:dyDescent="0.3">
      <c r="A45" s="665"/>
      <c r="B45" s="184"/>
      <c r="C45" s="184"/>
      <c r="D45" s="185"/>
      <c r="I45" s="439" t="s">
        <v>8</v>
      </c>
      <c r="J45" s="1425"/>
      <c r="K45" s="1426"/>
    </row>
    <row r="46" spans="1:14" s="804" customFormat="1" x14ac:dyDescent="0.3">
      <c r="A46" s="665"/>
      <c r="B46" s="184"/>
      <c r="C46" s="184"/>
      <c r="D46" s="185" t="s">
        <v>75</v>
      </c>
    </row>
    <row r="47" spans="1:14" s="804" customFormat="1" x14ac:dyDescent="0.3">
      <c r="A47" s="665" t="s">
        <v>76</v>
      </c>
      <c r="B47" s="180"/>
      <c r="C47" s="180"/>
      <c r="D47" s="185" t="s">
        <v>77</v>
      </c>
    </row>
    <row r="48" spans="1:14" s="804" customFormat="1" ht="26.4" x14ac:dyDescent="0.3">
      <c r="A48" s="665" t="s">
        <v>79</v>
      </c>
      <c r="B48" s="180"/>
      <c r="C48" s="180"/>
      <c r="D48" s="185" t="s">
        <v>80</v>
      </c>
    </row>
  </sheetData>
  <sheetProtection formatCells="0" formatColumns="0" formatRows="0" insertColumns="0" insertRows="0" insertHyperlinks="0" deleteColumns="0" deleteRows="0" sort="0" autoFilter="0" pivotTables="0"/>
  <mergeCells count="36">
    <mergeCell ref="J43:K43"/>
    <mergeCell ref="J44:K44"/>
    <mergeCell ref="J45:K45"/>
    <mergeCell ref="B11:G11"/>
    <mergeCell ref="I11:K12"/>
    <mergeCell ref="H26:H28"/>
    <mergeCell ref="L11:N12"/>
    <mergeCell ref="B12:G12"/>
    <mergeCell ref="C1:J2"/>
    <mergeCell ref="K1:N1"/>
    <mergeCell ref="K2:N2"/>
    <mergeCell ref="A3:M3"/>
    <mergeCell ref="A4:M4"/>
    <mergeCell ref="A5:M5"/>
    <mergeCell ref="A6:M6"/>
    <mergeCell ref="A7:M7"/>
    <mergeCell ref="A8:M8"/>
    <mergeCell ref="A9:M9"/>
    <mergeCell ref="A10:M10"/>
    <mergeCell ref="A14:A16"/>
    <mergeCell ref="B14:B16"/>
    <mergeCell ref="H14:H16"/>
    <mergeCell ref="A17:A19"/>
    <mergeCell ref="B17:B19"/>
    <mergeCell ref="H17:H19"/>
    <mergeCell ref="A29:A31"/>
    <mergeCell ref="B29:B31"/>
    <mergeCell ref="H29:H31"/>
    <mergeCell ref="A20:A22"/>
    <mergeCell ref="B20:B22"/>
    <mergeCell ref="H20:H22"/>
    <mergeCell ref="A23:A25"/>
    <mergeCell ref="B23:B25"/>
    <mergeCell ref="H23:H25"/>
    <mergeCell ref="A26:A28"/>
    <mergeCell ref="B26:B28"/>
  </mergeCells>
  <pageMargins left="0.7" right="0.7" top="0.75" bottom="0.75" header="0.3" footer="0.3"/>
  <pageSetup scale="62" orientation="landscape" r:id="rId1"/>
  <drawing r:id="rId2"/>
  <legacyDrawingHF r:id="rId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1"/>
  <dimension ref="A1:G49"/>
  <sheetViews>
    <sheetView topLeftCell="A16" workbookViewId="0">
      <selection activeCell="I26" sqref="I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RESUMEN!G145</f>
        <v>Proyecto: CONSTRUC. LÍNEAS 115 KV  NE-BO1, NE-TE.</v>
      </c>
      <c r="C5" s="1281"/>
      <c r="D5" s="1281"/>
      <c r="E5" s="1281"/>
      <c r="F5" s="1281"/>
      <c r="G5" s="1282"/>
    </row>
    <row r="6" spans="1:7" x14ac:dyDescent="0.25">
      <c r="A6" s="1177"/>
      <c r="B6" s="1177"/>
      <c r="C6" s="1177"/>
      <c r="D6" s="1177"/>
      <c r="E6" s="1177"/>
      <c r="F6" s="1177"/>
      <c r="G6" s="1177"/>
    </row>
    <row r="7" spans="1:7" x14ac:dyDescent="0.25">
      <c r="A7" s="271" t="s">
        <v>0</v>
      </c>
      <c r="B7" s="1264" t="str">
        <f>RESUMEN!B145</f>
        <v>D00243645</v>
      </c>
      <c r="C7" s="1265"/>
      <c r="D7" s="1177"/>
      <c r="E7" s="1266" t="s">
        <v>627</v>
      </c>
      <c r="F7" s="1267"/>
      <c r="G7" s="280" t="str">
        <f>RESUMEN!E145</f>
        <v>18-007</v>
      </c>
    </row>
    <row r="8" spans="1:7" x14ac:dyDescent="0.25">
      <c r="A8" s="271" t="s">
        <v>628</v>
      </c>
      <c r="B8" s="1264" t="str">
        <f>RESUMEN!C145</f>
        <v>D00243645000</v>
      </c>
      <c r="C8" s="1265"/>
      <c r="D8" s="1177"/>
      <c r="E8" s="1266" t="s">
        <v>629</v>
      </c>
      <c r="F8" s="1267"/>
      <c r="G8" s="280" t="str">
        <f>RESUMEN!U145</f>
        <v>Acta N° 1: Marzo</v>
      </c>
    </row>
    <row r="9" spans="1:7" x14ac:dyDescent="0.25">
      <c r="A9" s="271" t="s">
        <v>630</v>
      </c>
      <c r="B9" s="1283" t="s">
        <v>631</v>
      </c>
      <c r="C9" s="1265"/>
      <c r="D9" s="1177"/>
      <c r="E9" s="1266" t="s">
        <v>632</v>
      </c>
      <c r="F9" s="1267"/>
      <c r="G9" s="1178">
        <f>RESUMEN!H145</f>
        <v>8828135</v>
      </c>
    </row>
    <row r="10" spans="1:7" x14ac:dyDescent="0.25">
      <c r="A10" s="271" t="s">
        <v>633</v>
      </c>
      <c r="B10" s="1264" t="str">
        <f>RESUMEN!D145</f>
        <v xml:space="preserve"> TECHO</v>
      </c>
      <c r="C10" s="1265"/>
      <c r="D10" s="1177"/>
      <c r="E10" s="1266" t="s">
        <v>634</v>
      </c>
      <c r="F10" s="1267"/>
      <c r="G10" s="1178">
        <f>RESUMEN!R145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CONSTRUC. LÍNEAS 115 KV  NE-BO1, NE-TE.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RESUMEN!N145</f>
        <v>0</v>
      </c>
      <c r="F19" s="1248"/>
      <c r="G19" s="1177"/>
    </row>
    <row r="20" spans="1:7" ht="27" customHeight="1" x14ac:dyDescent="0.25">
      <c r="A20" s="1177"/>
      <c r="B20" s="1244" t="s">
        <v>1498</v>
      </c>
      <c r="C20" s="1245"/>
      <c r="D20" s="1246"/>
      <c r="E20" s="1247">
        <f>RESUMEN!P145</f>
        <v>0</v>
      </c>
      <c r="F20" s="1248"/>
      <c r="G20" s="1177"/>
    </row>
    <row r="21" spans="1:7" ht="27" customHeight="1" x14ac:dyDescent="0.25">
      <c r="A21" s="1177"/>
      <c r="B21" s="1244" t="s">
        <v>1499</v>
      </c>
      <c r="C21" s="1245"/>
      <c r="D21" s="1246"/>
      <c r="E21" s="1247">
        <f>RESUMEN!Q145</f>
        <v>0</v>
      </c>
      <c r="F21" s="1248"/>
      <c r="G21" s="1177"/>
    </row>
    <row r="22" spans="1:7" x14ac:dyDescent="0.25">
      <c r="A22" s="1177"/>
      <c r="B22" s="1254" t="s">
        <v>64</v>
      </c>
      <c r="C22" s="1254"/>
      <c r="D22" s="1254"/>
      <c r="E22" s="1255">
        <f>RESUMEN!R145</f>
        <v>0</v>
      </c>
      <c r="F22" s="1255"/>
      <c r="G22" s="1177"/>
    </row>
    <row r="23" spans="1:7" x14ac:dyDescent="0.25">
      <c r="A23" s="1177"/>
      <c r="B23" s="1256" t="s">
        <v>66</v>
      </c>
      <c r="C23" s="1256"/>
      <c r="D23" s="1256"/>
      <c r="E23" s="1257">
        <f>RESUMEN!S145</f>
        <v>0</v>
      </c>
      <c r="F23" s="1257"/>
      <c r="G23" s="1177"/>
    </row>
    <row r="24" spans="1:7" x14ac:dyDescent="0.25">
      <c r="A24" s="1177"/>
      <c r="B24" s="1258" t="s">
        <v>1</v>
      </c>
      <c r="C24" s="1258"/>
      <c r="D24" s="1258"/>
      <c r="E24" s="1259">
        <f>RESUMEN!T145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+'OT18-007 TECHO'!I30</f>
        <v>ACTA 1</v>
      </c>
      <c r="C28" s="1253">
        <f>+'OT18-007 TECHO'!J30</f>
        <v>0</v>
      </c>
      <c r="D28" s="1253"/>
      <c r="E28" s="267">
        <f>+'OT18-007 TECHO'!K30</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RESUMEN!V145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5"/>
  <dimension ref="A1:N37"/>
  <sheetViews>
    <sheetView topLeftCell="A4" zoomScale="55" zoomScaleNormal="55" workbookViewId="0">
      <selection activeCell="I11" sqref="I11:K12"/>
    </sheetView>
  </sheetViews>
  <sheetFormatPr baseColWidth="10" defaultColWidth="9.109375" defaultRowHeight="14.4" x14ac:dyDescent="0.3"/>
  <cols>
    <col min="1" max="1" width="15.44140625" style="795" customWidth="1"/>
    <col min="2" max="2" width="27.44140625" style="795" customWidth="1"/>
    <col min="3" max="3" width="49.33203125" style="795" customWidth="1"/>
    <col min="4" max="4" width="23.44140625" style="795" customWidth="1"/>
    <col min="5" max="5" width="13" style="795" customWidth="1"/>
    <col min="6" max="6" width="12.33203125" style="795" customWidth="1"/>
    <col min="7" max="7" width="16.6640625" style="795" customWidth="1"/>
    <col min="8" max="8" width="37" style="795" customWidth="1"/>
    <col min="9" max="9" width="23.5546875" style="795" customWidth="1"/>
    <col min="10" max="10" width="24.44140625" style="795" customWidth="1"/>
    <col min="11" max="11" width="9.109375" style="795"/>
    <col min="12" max="12" width="22" style="795" bestFit="1" customWidth="1"/>
    <col min="13" max="13" width="14.8867187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2132</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2131</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2133</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45" customHeight="1" x14ac:dyDescent="0.3">
      <c r="A14" s="1289" t="s">
        <v>2046</v>
      </c>
      <c r="B14" s="1289" t="s">
        <v>217</v>
      </c>
      <c r="C14" s="803" t="s">
        <v>81</v>
      </c>
      <c r="D14" s="803" t="s">
        <v>218</v>
      </c>
      <c r="E14" s="803">
        <v>0</v>
      </c>
      <c r="F14" s="32">
        <v>1207729</v>
      </c>
      <c r="G14" s="32">
        <f>ROUND((E14*F14),0)</f>
        <v>0</v>
      </c>
      <c r="H14" s="1290" t="s">
        <v>2047</v>
      </c>
      <c r="I14" s="799">
        <v>0</v>
      </c>
      <c r="J14" s="685">
        <f t="shared" ref="J14" si="0">ROUND(I14*F14,0)</f>
        <v>0</v>
      </c>
      <c r="K14" s="684">
        <v>0</v>
      </c>
      <c r="L14" s="799">
        <f t="shared" ref="L14" si="1">I14</f>
        <v>0</v>
      </c>
      <c r="M14" s="685">
        <f t="shared" ref="M14" si="2">J14</f>
        <v>0</v>
      </c>
      <c r="N14" s="684">
        <v>0</v>
      </c>
    </row>
    <row r="15" spans="1:14" ht="42" customHeight="1" x14ac:dyDescent="0.3">
      <c r="A15" s="1289"/>
      <c r="B15" s="1289"/>
      <c r="C15" s="803" t="s">
        <v>83</v>
      </c>
      <c r="D15" s="803" t="s">
        <v>219</v>
      </c>
      <c r="E15" s="803">
        <v>0</v>
      </c>
      <c r="F15" s="32">
        <v>2781438</v>
      </c>
      <c r="G15" s="32">
        <f>ROUND((E15*F15),0)</f>
        <v>0</v>
      </c>
      <c r="H15" s="1289"/>
      <c r="I15" s="799">
        <v>0</v>
      </c>
      <c r="J15" s="685">
        <f t="shared" ref="J15" si="3">ROUND(I15*F15,0)</f>
        <v>0</v>
      </c>
      <c r="K15" s="684">
        <v>0</v>
      </c>
      <c r="L15" s="799">
        <f t="shared" ref="L15:M15" si="4">I15</f>
        <v>0</v>
      </c>
      <c r="M15" s="685">
        <f t="shared" si="4"/>
        <v>0</v>
      </c>
      <c r="N15" s="684">
        <v>0</v>
      </c>
    </row>
    <row r="16" spans="1:14" x14ac:dyDescent="0.3">
      <c r="A16" s="1289"/>
      <c r="B16" s="1289"/>
      <c r="C16" s="803" t="s">
        <v>61</v>
      </c>
      <c r="D16" s="803" t="s">
        <v>220</v>
      </c>
      <c r="E16" s="803">
        <v>0.21</v>
      </c>
      <c r="F16" s="32">
        <v>3367003</v>
      </c>
      <c r="G16" s="32">
        <f>ROUND((E16*F16),0)</f>
        <v>707071</v>
      </c>
      <c r="H16" s="1289"/>
      <c r="I16" s="799">
        <v>0</v>
      </c>
      <c r="J16" s="685">
        <f>ROUND(I16*F16,0)</f>
        <v>0</v>
      </c>
      <c r="K16" s="684">
        <f>J16/G16</f>
        <v>0</v>
      </c>
      <c r="L16" s="799">
        <f>I16</f>
        <v>0</v>
      </c>
      <c r="M16" s="685">
        <f>J16</f>
        <v>0</v>
      </c>
      <c r="N16" s="684">
        <f t="shared" ref="N16" si="5">+M16/G16</f>
        <v>0</v>
      </c>
    </row>
    <row r="17" spans="1:14" x14ac:dyDescent="0.3">
      <c r="A17" s="1289"/>
      <c r="B17" s="1289"/>
      <c r="C17" s="39"/>
      <c r="D17" s="39" t="s">
        <v>221</v>
      </c>
      <c r="E17" s="41"/>
      <c r="F17" s="854"/>
      <c r="G17" s="42">
        <f>SUM(G14:G16)</f>
        <v>707071</v>
      </c>
      <c r="H17" s="1289"/>
      <c r="I17" s="40"/>
      <c r="J17" s="683">
        <f>SUM(J15:J16)</f>
        <v>0</v>
      </c>
      <c r="K17" s="519">
        <f>J17/G17</f>
        <v>0</v>
      </c>
      <c r="L17" s="40"/>
      <c r="M17" s="683">
        <f>J17</f>
        <v>0</v>
      </c>
      <c r="N17" s="519">
        <f t="shared" ref="N17" si="6">M17/G17</f>
        <v>0</v>
      </c>
    </row>
    <row r="18" spans="1:14" ht="39.75" customHeight="1" x14ac:dyDescent="0.3">
      <c r="A18" s="1289" t="s">
        <v>2046</v>
      </c>
      <c r="B18" s="1289" t="s">
        <v>222</v>
      </c>
      <c r="C18" s="803" t="s">
        <v>83</v>
      </c>
      <c r="D18" s="803" t="s">
        <v>223</v>
      </c>
      <c r="E18" s="803">
        <v>0.7</v>
      </c>
      <c r="F18" s="32">
        <v>2012882</v>
      </c>
      <c r="G18" s="32">
        <f>ROUND((E18*F18),0)</f>
        <v>1409017</v>
      </c>
      <c r="H18" s="1289" t="s">
        <v>2048</v>
      </c>
      <c r="I18" s="799">
        <v>0</v>
      </c>
      <c r="J18" s="685">
        <f t="shared" ref="J18" si="7">ROUND(I18*F18,0)</f>
        <v>0</v>
      </c>
      <c r="K18" s="684">
        <v>0</v>
      </c>
      <c r="L18" s="799">
        <f t="shared" ref="L18" si="8">I18</f>
        <v>0</v>
      </c>
      <c r="M18" s="685">
        <f t="shared" ref="M18" si="9">J18</f>
        <v>0</v>
      </c>
      <c r="N18" s="684">
        <v>0</v>
      </c>
    </row>
    <row r="19" spans="1:14" ht="35.25" customHeight="1" x14ac:dyDescent="0.3">
      <c r="A19" s="1289"/>
      <c r="B19" s="1289"/>
      <c r="C19" s="803" t="s">
        <v>61</v>
      </c>
      <c r="D19" s="803" t="s">
        <v>224</v>
      </c>
      <c r="E19" s="803">
        <v>0.7</v>
      </c>
      <c r="F19" s="32">
        <v>9588639</v>
      </c>
      <c r="G19" s="32">
        <f>ROUND((E19*F19),0)</f>
        <v>6712047</v>
      </c>
      <c r="H19" s="1289"/>
      <c r="I19" s="799">
        <v>0</v>
      </c>
      <c r="J19" s="685">
        <f>ROUND(I19*F19,0)</f>
        <v>0</v>
      </c>
      <c r="K19" s="684">
        <f>J19/G19</f>
        <v>0</v>
      </c>
      <c r="L19" s="799">
        <f>I19</f>
        <v>0</v>
      </c>
      <c r="M19" s="685">
        <f>J19</f>
        <v>0</v>
      </c>
      <c r="N19" s="684">
        <f t="shared" ref="N19" si="10">+M19/G19</f>
        <v>0</v>
      </c>
    </row>
    <row r="20" spans="1:14" x14ac:dyDescent="0.3">
      <c r="A20" s="1289"/>
      <c r="B20" s="1289"/>
      <c r="C20" s="39"/>
      <c r="D20" s="39" t="s">
        <v>225</v>
      </c>
      <c r="E20" s="41"/>
      <c r="F20" s="854"/>
      <c r="G20" s="42">
        <f>SUM(G18:G19)</f>
        <v>8121064</v>
      </c>
      <c r="H20" s="1289"/>
      <c r="I20" s="40"/>
      <c r="J20" s="683">
        <f>SUM(J18:J19)</f>
        <v>0</v>
      </c>
      <c r="K20" s="519">
        <f>J20/G20</f>
        <v>0</v>
      </c>
      <c r="L20" s="40"/>
      <c r="M20" s="683">
        <f>J20</f>
        <v>0</v>
      </c>
      <c r="N20" s="519">
        <f t="shared" ref="N20" si="11">M20/G20</f>
        <v>0</v>
      </c>
    </row>
    <row r="21" spans="1:14" s="804" customFormat="1" x14ac:dyDescent="0.3">
      <c r="F21" s="836" t="s">
        <v>1740</v>
      </c>
      <c r="G21" s="837">
        <f>SUM(G20,G16,G13,G9,G6)</f>
        <v>8828135</v>
      </c>
      <c r="I21" s="547" t="s">
        <v>64</v>
      </c>
      <c r="J21" s="855">
        <f>SUM(J20)</f>
        <v>0</v>
      </c>
      <c r="L21" s="547" t="s">
        <v>64</v>
      </c>
      <c r="M21" s="835">
        <f>SUM(M20)</f>
        <v>0</v>
      </c>
    </row>
    <row r="22" spans="1:14" s="804" customFormat="1" ht="26.4" x14ac:dyDescent="0.3">
      <c r="F22" s="548" t="s">
        <v>65</v>
      </c>
      <c r="G22" s="481">
        <v>0</v>
      </c>
      <c r="I22" s="548" t="s">
        <v>65</v>
      </c>
      <c r="J22" s="677">
        <v>0</v>
      </c>
      <c r="L22" s="548" t="s">
        <v>65</v>
      </c>
      <c r="M22" s="677">
        <v>0</v>
      </c>
    </row>
    <row r="23" spans="1:14" s="804" customFormat="1" x14ac:dyDescent="0.3">
      <c r="F23" s="549" t="s">
        <v>1740</v>
      </c>
      <c r="G23" s="340">
        <f>+G22+G21</f>
        <v>8828135</v>
      </c>
      <c r="I23" s="549" t="s">
        <v>64</v>
      </c>
      <c r="J23" s="481">
        <f>J21+J22</f>
        <v>0</v>
      </c>
      <c r="L23" s="549" t="s">
        <v>64</v>
      </c>
      <c r="M23" s="481">
        <f>M21+M22</f>
        <v>0</v>
      </c>
    </row>
    <row r="24" spans="1:14" s="804" customFormat="1" ht="18" customHeight="1" x14ac:dyDescent="0.3">
      <c r="F24" s="810"/>
      <c r="G24" s="810"/>
      <c r="I24" s="501" t="s">
        <v>1439</v>
      </c>
      <c r="J24" s="481">
        <f>ROUND(J23*0.015,0)</f>
        <v>0</v>
      </c>
      <c r="L24" s="501" t="s">
        <v>1439</v>
      </c>
      <c r="M24" s="481">
        <f>ROUND(M23*0.015,0)</f>
        <v>0</v>
      </c>
    </row>
    <row r="25" spans="1:14" s="804" customFormat="1" ht="27.75" customHeight="1" x14ac:dyDescent="0.3">
      <c r="F25" s="810"/>
      <c r="G25" s="810"/>
      <c r="I25" s="96" t="s">
        <v>1440</v>
      </c>
      <c r="J25" s="783">
        <f>J23+J24</f>
        <v>0</v>
      </c>
      <c r="K25" s="832">
        <f>J25/G21</f>
        <v>0</v>
      </c>
      <c r="L25" s="96" t="s">
        <v>1440</v>
      </c>
      <c r="M25" s="425">
        <f>M23+M24</f>
        <v>0</v>
      </c>
      <c r="N25" s="678">
        <f>M25/G21</f>
        <v>0</v>
      </c>
    </row>
    <row r="26" spans="1:14" s="804" customFormat="1" x14ac:dyDescent="0.3">
      <c r="F26" s="551" t="s">
        <v>66</v>
      </c>
      <c r="G26" s="481">
        <f>+G21*19%</f>
        <v>1677345.65</v>
      </c>
      <c r="I26" s="551" t="s">
        <v>66</v>
      </c>
      <c r="J26" s="672">
        <f>J25*0.19</f>
        <v>0</v>
      </c>
      <c r="L26" s="551" t="s">
        <v>66</v>
      </c>
      <c r="M26" s="672">
        <f>M25*0.19</f>
        <v>0</v>
      </c>
    </row>
    <row r="27" spans="1:14" s="804" customFormat="1" x14ac:dyDescent="0.3">
      <c r="F27" s="552" t="s">
        <v>69</v>
      </c>
      <c r="G27" s="481">
        <f>+G21+G26</f>
        <v>10505480.65</v>
      </c>
      <c r="I27" s="552" t="s">
        <v>69</v>
      </c>
      <c r="J27" s="672">
        <f>J25+J26</f>
        <v>0</v>
      </c>
      <c r="L27" s="552" t="s">
        <v>69</v>
      </c>
      <c r="M27" s="672">
        <f>M25+M26</f>
        <v>0</v>
      </c>
    </row>
    <row r="28" spans="1:14" s="804" customFormat="1" x14ac:dyDescent="0.3"/>
    <row r="29" spans="1:14" s="804" customFormat="1" x14ac:dyDescent="0.3">
      <c r="A29" s="665" t="s">
        <v>67</v>
      </c>
      <c r="B29" s="184"/>
      <c r="C29" s="184"/>
      <c r="D29" s="185" t="s">
        <v>68</v>
      </c>
      <c r="I29" s="186" t="s">
        <v>70</v>
      </c>
      <c r="J29" s="187" t="s">
        <v>71</v>
      </c>
      <c r="K29" s="186" t="s">
        <v>58</v>
      </c>
    </row>
    <row r="30" spans="1:14" s="804" customFormat="1" x14ac:dyDescent="0.3">
      <c r="A30" s="665"/>
      <c r="B30" s="184"/>
      <c r="C30" s="184"/>
      <c r="D30" s="185"/>
      <c r="I30" s="69" t="s">
        <v>72</v>
      </c>
      <c r="J30" s="70">
        <f>J25</f>
        <v>0</v>
      </c>
      <c r="K30" s="360">
        <f>K25</f>
        <v>0</v>
      </c>
    </row>
    <row r="31" spans="1:14" s="804" customFormat="1" x14ac:dyDescent="0.3">
      <c r="A31" s="665"/>
      <c r="B31" s="184"/>
      <c r="C31" s="184"/>
      <c r="D31" s="185"/>
      <c r="I31" s="72" t="s">
        <v>1</v>
      </c>
      <c r="J31" s="105">
        <f>J30</f>
        <v>0</v>
      </c>
      <c r="K31" s="361">
        <f>K30</f>
        <v>0</v>
      </c>
    </row>
    <row r="32" spans="1:14" s="804" customFormat="1" x14ac:dyDescent="0.3">
      <c r="A32" s="665"/>
      <c r="B32" s="184"/>
      <c r="C32" s="184"/>
      <c r="D32" s="185"/>
      <c r="I32" s="72" t="s">
        <v>9</v>
      </c>
      <c r="J32" s="1423"/>
      <c r="K32" s="1424"/>
    </row>
    <row r="33" spans="1:11" s="804" customFormat="1" x14ac:dyDescent="0.3">
      <c r="A33" s="665"/>
      <c r="B33" s="184"/>
      <c r="C33" s="184"/>
      <c r="D33" s="185"/>
      <c r="I33" s="440" t="s">
        <v>78</v>
      </c>
      <c r="J33" s="1423" t="s">
        <v>2049</v>
      </c>
      <c r="K33" s="1424"/>
    </row>
    <row r="34" spans="1:11" s="804" customFormat="1" x14ac:dyDescent="0.3">
      <c r="A34" s="665"/>
      <c r="B34" s="184"/>
      <c r="C34" s="184"/>
      <c r="D34" s="185"/>
      <c r="I34" s="439" t="s">
        <v>8</v>
      </c>
      <c r="J34" s="1425" t="s">
        <v>2050</v>
      </c>
      <c r="K34" s="1426"/>
    </row>
    <row r="35" spans="1:11" s="804" customFormat="1" x14ac:dyDescent="0.3">
      <c r="A35" s="665"/>
      <c r="B35" s="184"/>
      <c r="C35" s="184"/>
      <c r="D35" s="185" t="s">
        <v>75</v>
      </c>
    </row>
    <row r="36" spans="1:11" s="804" customFormat="1" x14ac:dyDescent="0.3">
      <c r="A36" s="665" t="s">
        <v>76</v>
      </c>
      <c r="B36" s="180"/>
      <c r="C36" s="180"/>
      <c r="D36" s="185" t="s">
        <v>77</v>
      </c>
    </row>
    <row r="37" spans="1:11" s="804" customFormat="1" ht="26.4" x14ac:dyDescent="0.3">
      <c r="A37" s="665" t="s">
        <v>79</v>
      </c>
      <c r="B37" s="180"/>
      <c r="C37" s="180"/>
      <c r="D37" s="185" t="s">
        <v>80</v>
      </c>
    </row>
  </sheetData>
  <sheetProtection formatCells="0" formatColumns="0" formatRows="0" insertColumns="0" insertRows="0" insertHyperlinks="0" deleteColumns="0" deleteRows="0" sort="0" autoFilter="0" pivotTables="0"/>
  <mergeCells count="24">
    <mergeCell ref="J32:K32"/>
    <mergeCell ref="J33:K33"/>
    <mergeCell ref="J34:K34"/>
    <mergeCell ref="C1:J2"/>
    <mergeCell ref="K1:N1"/>
    <mergeCell ref="K2:N2"/>
    <mergeCell ref="A3:M3"/>
    <mergeCell ref="A4:M4"/>
    <mergeCell ref="A5:M5"/>
    <mergeCell ref="A6:M6"/>
    <mergeCell ref="A7:M7"/>
    <mergeCell ref="A8:M8"/>
    <mergeCell ref="A9:M9"/>
    <mergeCell ref="A10:M10"/>
    <mergeCell ref="B11:G11"/>
    <mergeCell ref="I11:K12"/>
    <mergeCell ref="A18:A20"/>
    <mergeCell ref="B18:B20"/>
    <mergeCell ref="H18:H20"/>
    <mergeCell ref="L11:N12"/>
    <mergeCell ref="B12:G12"/>
    <mergeCell ref="A14:A17"/>
    <mergeCell ref="B14:B17"/>
    <mergeCell ref="H14:H17"/>
  </mergeCells>
  <pageMargins left="0.7" right="0.7" top="0.75" bottom="0.75" header="0.3" footer="0.3"/>
  <pageSetup scale="57" orientation="landscape" r:id="rId1"/>
  <drawing r:id="rId2"/>
  <legacyDrawingHF r:id="rId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6">
    <tabColor theme="1"/>
  </sheetPr>
  <dimension ref="A1:G49"/>
  <sheetViews>
    <sheetView topLeftCell="A16" zoomScaleNormal="100" zoomScaleSheetLayoutView="8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RESUMEN!G146</f>
        <v>Proyecto:INGENIERÍA ELÉCTRICA Y MECÁNICA REPOSICIÓN DE PROTECCIONES AT2 EN SSEE TUNAL</v>
      </c>
      <c r="C5" s="1281"/>
      <c r="D5" s="1281"/>
      <c r="E5" s="1281"/>
      <c r="F5" s="1281"/>
      <c r="G5" s="1282"/>
    </row>
    <row r="6" spans="1:7" x14ac:dyDescent="0.25">
      <c r="A6" s="1177"/>
      <c r="B6" s="1177"/>
      <c r="C6" s="1177"/>
      <c r="D6" s="1177"/>
      <c r="E6" s="1177"/>
      <c r="F6" s="1177"/>
      <c r="G6" s="1177"/>
    </row>
    <row r="7" spans="1:7" x14ac:dyDescent="0.25">
      <c r="A7" s="271" t="s">
        <v>0</v>
      </c>
      <c r="B7" s="1264" t="str">
        <f>RESUMEN!B146</f>
        <v>F29CDR530</v>
      </c>
      <c r="C7" s="1265"/>
      <c r="D7" s="1177"/>
      <c r="E7" s="1266" t="s">
        <v>627</v>
      </c>
      <c r="F7" s="1267"/>
      <c r="G7" s="280" t="str">
        <f>RESUMEN!E146</f>
        <v>18-008</v>
      </c>
    </row>
    <row r="8" spans="1:7" x14ac:dyDescent="0.25">
      <c r="A8" s="271" t="s">
        <v>628</v>
      </c>
      <c r="B8" s="1264">
        <f>RESUMEN!C146</f>
        <v>0</v>
      </c>
      <c r="C8" s="1265"/>
      <c r="D8" s="1177"/>
      <c r="E8" s="1266" t="s">
        <v>629</v>
      </c>
      <c r="F8" s="1267"/>
      <c r="G8" s="280" t="str">
        <f>RESUMEN!U146</f>
        <v>Acta N° 2: Marzo</v>
      </c>
    </row>
    <row r="9" spans="1:7" x14ac:dyDescent="0.25">
      <c r="A9" s="271" t="s">
        <v>630</v>
      </c>
      <c r="B9" s="1283" t="s">
        <v>631</v>
      </c>
      <c r="C9" s="1265"/>
      <c r="D9" s="1177"/>
      <c r="E9" s="1266" t="s">
        <v>632</v>
      </c>
      <c r="F9" s="1267"/>
      <c r="G9" s="1178">
        <f>RESUMEN!H146</f>
        <v>6133800</v>
      </c>
    </row>
    <row r="10" spans="1:7" x14ac:dyDescent="0.25">
      <c r="A10" s="271" t="s">
        <v>633</v>
      </c>
      <c r="B10" s="1283" t="str">
        <f>RESUMEN!D146</f>
        <v>TUNAL</v>
      </c>
      <c r="C10" s="1265"/>
      <c r="D10" s="1177"/>
      <c r="E10" s="1266" t="s">
        <v>634</v>
      </c>
      <c r="F10" s="1267"/>
      <c r="G10" s="1178">
        <f>RESUMEN!R146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",RESUMEN!G146)</f>
        <v>A los 14 días del mes de Marzo se reunieron en las instalaciones de CODENSA S.A. E.S.P., los ingenieros Ing. David Jaramillo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Proyecto:INGENIERÍA ELÉCTRICA Y MECÁNICA REPOSICIÓN DE PROTECCIONES AT2 EN SSEE TUNAL</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RESUMEN!N146</f>
        <v>0</v>
      </c>
      <c r="F19" s="1248"/>
      <c r="G19" s="1177"/>
    </row>
    <row r="20" spans="1:7" ht="27" customHeight="1" x14ac:dyDescent="0.25">
      <c r="A20" s="1177"/>
      <c r="B20" s="1244" t="s">
        <v>1498</v>
      </c>
      <c r="C20" s="1245"/>
      <c r="D20" s="1246"/>
      <c r="E20" s="1247">
        <f>RESUMEN!P146</f>
        <v>0</v>
      </c>
      <c r="F20" s="1248"/>
      <c r="G20" s="1177"/>
    </row>
    <row r="21" spans="1:7" ht="27" customHeight="1" x14ac:dyDescent="0.25">
      <c r="A21" s="1177"/>
      <c r="B21" s="1244" t="s">
        <v>1499</v>
      </c>
      <c r="C21" s="1245"/>
      <c r="D21" s="1246"/>
      <c r="E21" s="1247">
        <f>RESUMEN!Q146</f>
        <v>0</v>
      </c>
      <c r="F21" s="1248"/>
      <c r="G21" s="1177"/>
    </row>
    <row r="22" spans="1:7" x14ac:dyDescent="0.25">
      <c r="A22" s="1177"/>
      <c r="B22" s="1254" t="s">
        <v>64</v>
      </c>
      <c r="C22" s="1254"/>
      <c r="D22" s="1254"/>
      <c r="E22" s="1255">
        <f>RESUMEN!R146</f>
        <v>0</v>
      </c>
      <c r="F22" s="1255"/>
      <c r="G22" s="1177"/>
    </row>
    <row r="23" spans="1:7" x14ac:dyDescent="0.25">
      <c r="A23" s="1177"/>
      <c r="B23" s="1256" t="s">
        <v>66</v>
      </c>
      <c r="C23" s="1256"/>
      <c r="D23" s="1256"/>
      <c r="E23" s="1257">
        <f>RESUMEN!S146</f>
        <v>0</v>
      </c>
      <c r="F23" s="1257"/>
      <c r="G23" s="1177"/>
    </row>
    <row r="24" spans="1:7" x14ac:dyDescent="0.25">
      <c r="A24" s="1177"/>
      <c r="B24" s="1258" t="s">
        <v>1</v>
      </c>
      <c r="C24" s="1258"/>
      <c r="D24" s="1258"/>
      <c r="E24" s="1259">
        <f>RESUMEN!T146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+'OT18-008 TUNAL'!L26</f>
        <v>ACTA 1</v>
      </c>
      <c r="C28" s="1253">
        <f>+'OT18-008 TUNAL'!M26</f>
        <v>5869198</v>
      </c>
      <c r="D28" s="1253"/>
      <c r="E28" s="267">
        <f>+'OT18-008 TUNAL'!N26</f>
        <v>0.95686165183083893</v>
      </c>
      <c r="F28" s="1177"/>
      <c r="G28" s="1177"/>
    </row>
    <row r="29" spans="1:7" x14ac:dyDescent="0.25">
      <c r="A29" s="1177"/>
      <c r="B29" s="280" t="str">
        <f>+'OT18-008 TUNAL'!L27</f>
        <v>ACTA 2</v>
      </c>
      <c r="C29" s="1253">
        <f>+'OT18-008 TUNAL'!M27</f>
        <v>0</v>
      </c>
      <c r="D29" s="1253"/>
      <c r="E29" s="267">
        <f>+'OT18-008 TUNAL'!N27</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5869198</v>
      </c>
      <c r="D34" s="1251"/>
      <c r="E34" s="264">
        <f>SUM(E28:E33)</f>
        <v>0.95686165183083893</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RESUMEN!V146</f>
        <v>Ing. David Jaramillo</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4" orientation="portrait" r:id="rId1"/>
  <drawing r:id="rId2"/>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7">
    <tabColor rgb="FF72104A"/>
  </sheetPr>
  <dimension ref="A1:Q33"/>
  <sheetViews>
    <sheetView topLeftCell="C1" zoomScale="70" zoomScaleNormal="70" workbookViewId="0">
      <selection activeCell="C13" sqref="C13"/>
    </sheetView>
  </sheetViews>
  <sheetFormatPr baseColWidth="10" defaultColWidth="9.109375" defaultRowHeight="14.4" x14ac:dyDescent="0.3"/>
  <cols>
    <col min="1" max="1" width="13" style="941" customWidth="1"/>
    <col min="2" max="2" width="22.5546875" style="941" customWidth="1"/>
    <col min="3" max="3" width="44.44140625" style="941" customWidth="1"/>
    <col min="4" max="4" width="22.33203125" style="941" bestFit="1" customWidth="1"/>
    <col min="5" max="5" width="13" style="941" customWidth="1"/>
    <col min="6" max="6" width="13.44140625" style="941" customWidth="1"/>
    <col min="7" max="7" width="15" style="941" bestFit="1" customWidth="1"/>
    <col min="8" max="8" width="46.33203125" style="941" customWidth="1"/>
    <col min="9" max="9" width="18.6640625" style="941" customWidth="1"/>
    <col min="10" max="10" width="16.88671875" style="941" bestFit="1" customWidth="1"/>
    <col min="11" max="11" width="9.109375" style="941"/>
    <col min="12" max="12" width="13.6640625" style="1054" customWidth="1"/>
    <col min="13" max="13" width="17" style="1054" customWidth="1"/>
    <col min="14" max="14" width="14.6640625" style="1054" customWidth="1"/>
    <col min="15" max="15" width="17.44140625" style="941" customWidth="1"/>
    <col min="16" max="16" width="16.33203125" style="941" customWidth="1"/>
    <col min="17" max="16384" width="9.109375" style="941"/>
  </cols>
  <sheetData>
    <row r="1" spans="1:17" ht="30.75" customHeight="1" x14ac:dyDescent="0.3">
      <c r="A1" s="169"/>
      <c r="B1" s="188"/>
      <c r="C1" s="1307" t="s">
        <v>40</v>
      </c>
      <c r="D1" s="1308"/>
      <c r="E1" s="1308"/>
      <c r="F1" s="1308"/>
      <c r="G1" s="1308"/>
      <c r="H1" s="1308"/>
      <c r="I1" s="1308"/>
      <c r="J1" s="1308"/>
      <c r="K1" s="1533" t="s">
        <v>2152</v>
      </c>
      <c r="L1" s="1534"/>
      <c r="M1" s="1534"/>
      <c r="N1" s="1534"/>
      <c r="O1" s="1534"/>
      <c r="P1" s="1534"/>
      <c r="Q1" s="1535"/>
    </row>
    <row r="2" spans="1:17" ht="15" thickBot="1" x14ac:dyDescent="0.35">
      <c r="A2" s="170"/>
      <c r="B2" s="190"/>
      <c r="C2" s="1310"/>
      <c r="D2" s="1311"/>
      <c r="E2" s="1311"/>
      <c r="F2" s="1311"/>
      <c r="G2" s="1311"/>
      <c r="H2" s="1311"/>
      <c r="I2" s="1311"/>
      <c r="J2" s="1311"/>
      <c r="K2" s="1459" t="s">
        <v>41</v>
      </c>
      <c r="L2" s="1459"/>
      <c r="M2" s="1459"/>
      <c r="N2" s="1459"/>
      <c r="O2" s="1459"/>
      <c r="P2" s="1459"/>
      <c r="Q2" s="1459"/>
    </row>
    <row r="3" spans="1:17" x14ac:dyDescent="0.3">
      <c r="A3" s="1292" t="s">
        <v>42</v>
      </c>
      <c r="B3" s="1292"/>
      <c r="C3" s="1292"/>
      <c r="D3" s="1292"/>
      <c r="E3" s="1292"/>
      <c r="F3" s="1292"/>
      <c r="G3" s="1292"/>
      <c r="H3" s="1292"/>
      <c r="I3" s="1292"/>
      <c r="J3" s="1292"/>
      <c r="K3" s="1292"/>
      <c r="L3" s="1292"/>
      <c r="M3" s="1292"/>
      <c r="N3" s="1292"/>
      <c r="O3" s="1292"/>
      <c r="P3" s="1292"/>
    </row>
    <row r="4" spans="1:17" x14ac:dyDescent="0.3">
      <c r="A4" s="1292" t="s">
        <v>43</v>
      </c>
      <c r="B4" s="1292"/>
      <c r="C4" s="1292"/>
      <c r="D4" s="1292"/>
      <c r="E4" s="1292"/>
      <c r="F4" s="1292"/>
      <c r="G4" s="1292"/>
      <c r="H4" s="1292"/>
      <c r="I4" s="1292"/>
      <c r="J4" s="1292"/>
      <c r="K4" s="1292"/>
      <c r="L4" s="1292"/>
      <c r="M4" s="1292"/>
      <c r="N4" s="1292"/>
      <c r="O4" s="1292"/>
      <c r="P4" s="1292"/>
    </row>
    <row r="5" spans="1:17" x14ac:dyDescent="0.3">
      <c r="A5" s="1292" t="s">
        <v>44</v>
      </c>
      <c r="B5" s="1292"/>
      <c r="C5" s="1292"/>
      <c r="D5" s="1292"/>
      <c r="E5" s="1292"/>
      <c r="F5" s="1292"/>
      <c r="G5" s="1292"/>
      <c r="H5" s="1292"/>
      <c r="I5" s="1292"/>
      <c r="J5" s="1292"/>
      <c r="K5" s="1292"/>
      <c r="L5" s="1292"/>
      <c r="M5" s="1292"/>
      <c r="N5" s="1292"/>
      <c r="O5" s="1292"/>
      <c r="P5" s="1292"/>
    </row>
    <row r="6" spans="1:17" x14ac:dyDescent="0.3">
      <c r="A6" s="1292" t="s">
        <v>45</v>
      </c>
      <c r="B6" s="1292"/>
      <c r="C6" s="1292"/>
      <c r="D6" s="1292"/>
      <c r="E6" s="1292"/>
      <c r="F6" s="1292"/>
      <c r="G6" s="1292"/>
      <c r="H6" s="1292"/>
      <c r="I6" s="1292"/>
      <c r="J6" s="1292"/>
      <c r="K6" s="1292"/>
      <c r="L6" s="1292"/>
      <c r="M6" s="1292"/>
      <c r="N6" s="1292"/>
      <c r="O6" s="1292"/>
      <c r="P6" s="1292"/>
    </row>
    <row r="7" spans="1:17" ht="27" customHeight="1" x14ac:dyDescent="0.3">
      <c r="A7" s="1291" t="s">
        <v>2189</v>
      </c>
      <c r="B7" s="1292"/>
      <c r="C7" s="1292"/>
      <c r="D7" s="1292"/>
      <c r="E7" s="1292"/>
      <c r="F7" s="1292"/>
      <c r="G7" s="1292"/>
      <c r="H7" s="1292"/>
      <c r="I7" s="1292"/>
      <c r="J7" s="1292"/>
      <c r="K7" s="1292"/>
      <c r="L7" s="1292"/>
      <c r="M7" s="1292"/>
      <c r="N7" s="1292"/>
      <c r="O7" s="1292"/>
      <c r="P7" s="1292"/>
    </row>
    <row r="8" spans="1:17" x14ac:dyDescent="0.3">
      <c r="A8" s="1292" t="s">
        <v>2323</v>
      </c>
      <c r="B8" s="1292"/>
      <c r="C8" s="1292"/>
      <c r="D8" s="1292"/>
      <c r="E8" s="1292"/>
      <c r="F8" s="1292"/>
      <c r="G8" s="1292"/>
      <c r="H8" s="1292"/>
      <c r="I8" s="1292"/>
      <c r="J8" s="1292"/>
      <c r="K8" s="1292"/>
      <c r="L8" s="1292"/>
      <c r="M8" s="1292"/>
      <c r="N8" s="1292"/>
      <c r="O8" s="1292"/>
      <c r="P8" s="1292"/>
    </row>
    <row r="9" spans="1:17" x14ac:dyDescent="0.3">
      <c r="A9" s="1292" t="s">
        <v>2305</v>
      </c>
      <c r="B9" s="1292"/>
      <c r="C9" s="1292"/>
      <c r="D9" s="1292"/>
      <c r="E9" s="1292"/>
      <c r="F9" s="1292"/>
      <c r="G9" s="1292"/>
      <c r="H9" s="1292"/>
      <c r="I9" s="1292"/>
      <c r="J9" s="1292"/>
      <c r="K9" s="1292"/>
      <c r="L9" s="1292"/>
      <c r="M9" s="1292"/>
      <c r="N9" s="1292"/>
      <c r="O9" s="1292"/>
      <c r="P9" s="1292"/>
    </row>
    <row r="10" spans="1:17" x14ac:dyDescent="0.3">
      <c r="A10" s="1292" t="s">
        <v>2188</v>
      </c>
      <c r="B10" s="1292"/>
      <c r="C10" s="1292"/>
      <c r="D10" s="1292"/>
      <c r="E10" s="1292"/>
      <c r="F10" s="1292"/>
      <c r="G10" s="1292"/>
      <c r="H10" s="1292"/>
      <c r="I10" s="1292"/>
      <c r="J10" s="1292"/>
      <c r="K10" s="1292"/>
      <c r="L10" s="1292"/>
      <c r="M10" s="1292"/>
      <c r="N10" s="1292"/>
      <c r="O10" s="1292"/>
      <c r="P10" s="1292"/>
    </row>
    <row r="11" spans="1:17" x14ac:dyDescent="0.3">
      <c r="A11" s="939"/>
      <c r="B11" s="1301"/>
      <c r="C11" s="1313"/>
      <c r="D11" s="1313"/>
      <c r="E11" s="1313"/>
      <c r="F11" s="1313"/>
      <c r="G11" s="1313"/>
      <c r="I11" s="1470" t="s">
        <v>1982</v>
      </c>
      <c r="J11" s="1471"/>
      <c r="K11" s="1472"/>
      <c r="L11" s="1470" t="s">
        <v>2324</v>
      </c>
      <c r="M11" s="1471"/>
      <c r="N11" s="1472"/>
      <c r="O11" s="1299" t="s">
        <v>49</v>
      </c>
      <c r="P11" s="1299"/>
      <c r="Q11" s="1299"/>
    </row>
    <row r="12" spans="1:17" ht="18" customHeight="1" x14ac:dyDescent="0.3">
      <c r="A12" s="171"/>
      <c r="B12" s="1301"/>
      <c r="C12" s="1302"/>
      <c r="D12" s="1302"/>
      <c r="E12" s="1302"/>
      <c r="F12" s="1302"/>
      <c r="G12" s="1302"/>
      <c r="H12" s="831"/>
      <c r="I12" s="1523"/>
      <c r="J12" s="1524"/>
      <c r="K12" s="1525"/>
      <c r="L12" s="1523"/>
      <c r="M12" s="1524"/>
      <c r="N12" s="1525"/>
      <c r="O12" s="1300"/>
      <c r="P12" s="1300"/>
      <c r="Q12" s="1300"/>
    </row>
    <row r="13" spans="1:17" ht="28.8" x14ac:dyDescent="0.3">
      <c r="A13" s="660" t="s">
        <v>50</v>
      </c>
      <c r="B13" s="660" t="s">
        <v>51</v>
      </c>
      <c r="C13" s="660" t="s">
        <v>52</v>
      </c>
      <c r="D13" s="660" t="s">
        <v>164</v>
      </c>
      <c r="E13" s="661" t="s">
        <v>54</v>
      </c>
      <c r="F13" s="952" t="s">
        <v>2007</v>
      </c>
      <c r="G13" s="661" t="s">
        <v>56</v>
      </c>
      <c r="H13" s="660" t="s">
        <v>57</v>
      </c>
      <c r="I13" s="502" t="s">
        <v>54</v>
      </c>
      <c r="J13" s="502" t="s">
        <v>56</v>
      </c>
      <c r="K13" s="502" t="s">
        <v>58</v>
      </c>
      <c r="L13" s="502" t="s">
        <v>54</v>
      </c>
      <c r="M13" s="502" t="s">
        <v>56</v>
      </c>
      <c r="N13" s="502" t="s">
        <v>58</v>
      </c>
      <c r="O13" s="502" t="s">
        <v>54</v>
      </c>
      <c r="P13" s="502" t="s">
        <v>56</v>
      </c>
      <c r="Q13" s="502" t="s">
        <v>58</v>
      </c>
    </row>
    <row r="14" spans="1:17" ht="44.25" customHeight="1" x14ac:dyDescent="0.3">
      <c r="A14" s="1289" t="s">
        <v>2187</v>
      </c>
      <c r="B14" s="1289" t="s">
        <v>196</v>
      </c>
      <c r="C14" s="938" t="s">
        <v>83</v>
      </c>
      <c r="D14" s="938" t="s">
        <v>197</v>
      </c>
      <c r="E14" s="938">
        <v>0.3</v>
      </c>
      <c r="F14" s="32">
        <v>1171131</v>
      </c>
      <c r="G14" s="32">
        <f>ROUND((E14*F14),0)</f>
        <v>351339</v>
      </c>
      <c r="H14" s="1290" t="s">
        <v>2222</v>
      </c>
      <c r="I14" s="891">
        <v>0</v>
      </c>
      <c r="J14" s="892">
        <f>ROUND(I14*F14,0)</f>
        <v>0</v>
      </c>
      <c r="K14" s="893">
        <v>0</v>
      </c>
      <c r="L14" s="891">
        <v>0</v>
      </c>
      <c r="M14" s="892">
        <f>ROUND(L14*F14,0)</f>
        <v>0</v>
      </c>
      <c r="N14" s="893">
        <v>0</v>
      </c>
      <c r="O14" s="799">
        <f>I14+L14</f>
        <v>0</v>
      </c>
      <c r="P14" s="685">
        <f>J14+M14</f>
        <v>0</v>
      </c>
      <c r="Q14" s="684">
        <f>+P14/G14</f>
        <v>0</v>
      </c>
    </row>
    <row r="15" spans="1:17" ht="48.75" customHeight="1" x14ac:dyDescent="0.3">
      <c r="A15" s="1289"/>
      <c r="B15" s="1289"/>
      <c r="C15" s="938" t="s">
        <v>61</v>
      </c>
      <c r="D15" s="938" t="s">
        <v>198</v>
      </c>
      <c r="E15" s="938">
        <v>1</v>
      </c>
      <c r="F15" s="32">
        <v>5782461</v>
      </c>
      <c r="G15" s="32">
        <f>ROUND((E15*F15),0)</f>
        <v>5782461</v>
      </c>
      <c r="H15" s="1289"/>
      <c r="I15" s="537">
        <v>1</v>
      </c>
      <c r="J15" s="752">
        <f>ROUND(I15*F15,0)</f>
        <v>5782461</v>
      </c>
      <c r="K15" s="753">
        <f>J15/G15</f>
        <v>1</v>
      </c>
      <c r="L15" s="891">
        <v>0</v>
      </c>
      <c r="M15" s="892">
        <f>ROUND(L15*F15,0)</f>
        <v>0</v>
      </c>
      <c r="N15" s="893">
        <f>M15/G15</f>
        <v>0</v>
      </c>
      <c r="O15" s="799">
        <f>I15+L15</f>
        <v>1</v>
      </c>
      <c r="P15" s="685">
        <f>J15+M15</f>
        <v>5782461</v>
      </c>
      <c r="Q15" s="684">
        <f>+P15/G15</f>
        <v>1</v>
      </c>
    </row>
    <row r="16" spans="1:17" x14ac:dyDescent="0.3">
      <c r="A16" s="1289"/>
      <c r="B16" s="1289"/>
      <c r="C16" s="39"/>
      <c r="D16" s="39" t="s">
        <v>199</v>
      </c>
      <c r="E16" s="41"/>
      <c r="F16" s="953"/>
      <c r="G16" s="42">
        <f>SUM(G14:G15)</f>
        <v>6133800</v>
      </c>
      <c r="H16" s="1289"/>
      <c r="I16" s="40"/>
      <c r="J16" s="683">
        <f>SUM(J14:J15)</f>
        <v>5782461</v>
      </c>
      <c r="K16" s="519">
        <f>J16/G16</f>
        <v>0.94272082558935733</v>
      </c>
      <c r="L16" s="40"/>
      <c r="M16" s="683">
        <f>SUM(M14:M15)</f>
        <v>0</v>
      </c>
      <c r="N16" s="519">
        <f>M16/G16</f>
        <v>0</v>
      </c>
      <c r="O16" s="40"/>
      <c r="P16" s="683">
        <f>SUM(P14:P15)</f>
        <v>5782461</v>
      </c>
      <c r="Q16" s="519">
        <f>P16/G16</f>
        <v>0.94272082558935733</v>
      </c>
    </row>
    <row r="17" spans="1:17" x14ac:dyDescent="0.3">
      <c r="F17" s="836" t="s">
        <v>1740</v>
      </c>
      <c r="G17" s="837">
        <f>SUM(G16)</f>
        <v>6133800</v>
      </c>
      <c r="I17" s="547" t="s">
        <v>64</v>
      </c>
      <c r="J17" s="837">
        <f>SUM(J16)</f>
        <v>5782461</v>
      </c>
      <c r="L17" s="547" t="s">
        <v>64</v>
      </c>
      <c r="M17" s="837">
        <f>SUM(M16)</f>
        <v>0</v>
      </c>
      <c r="O17" s="547" t="s">
        <v>64</v>
      </c>
      <c r="P17" s="837">
        <f>SUM(P16)</f>
        <v>5782461</v>
      </c>
    </row>
    <row r="18" spans="1:17" ht="26.4" x14ac:dyDescent="0.3">
      <c r="F18" s="548" t="s">
        <v>65</v>
      </c>
      <c r="G18" s="481">
        <v>0</v>
      </c>
      <c r="I18" s="548" t="s">
        <v>65</v>
      </c>
      <c r="J18" s="677">
        <v>0</v>
      </c>
      <c r="L18" s="548" t="s">
        <v>65</v>
      </c>
      <c r="M18" s="677">
        <v>0</v>
      </c>
      <c r="O18" s="548" t="s">
        <v>65</v>
      </c>
      <c r="P18" s="677">
        <v>0</v>
      </c>
    </row>
    <row r="19" spans="1:17" x14ac:dyDescent="0.3">
      <c r="F19" s="443" t="s">
        <v>1740</v>
      </c>
      <c r="G19" s="340">
        <f>+G18+G17</f>
        <v>6133800</v>
      </c>
      <c r="I19" s="549" t="s">
        <v>64</v>
      </c>
      <c r="J19" s="481">
        <f>J17+J18</f>
        <v>5782461</v>
      </c>
      <c r="L19" s="549" t="s">
        <v>64</v>
      </c>
      <c r="M19" s="481">
        <f>M17+M18</f>
        <v>0</v>
      </c>
      <c r="O19" s="549" t="s">
        <v>64</v>
      </c>
      <c r="P19" s="481">
        <f>P17+P18</f>
        <v>5782461</v>
      </c>
    </row>
    <row r="20" spans="1:17" ht="18" customHeight="1" x14ac:dyDescent="0.3">
      <c r="F20" s="810"/>
      <c r="G20" s="810"/>
      <c r="I20" s="501" t="s">
        <v>1439</v>
      </c>
      <c r="J20" s="481">
        <f>ROUND(J19*0.015,0)</f>
        <v>86737</v>
      </c>
      <c r="L20" s="501" t="s">
        <v>1439</v>
      </c>
      <c r="M20" s="481">
        <f>ROUND(M19*0.015,0)</f>
        <v>0</v>
      </c>
      <c r="O20" s="501" t="s">
        <v>1439</v>
      </c>
      <c r="P20" s="481">
        <f>+J20+M20</f>
        <v>86737</v>
      </c>
    </row>
    <row r="21" spans="1:17" ht="27.75" customHeight="1" x14ac:dyDescent="0.3">
      <c r="F21" s="810"/>
      <c r="G21" s="810"/>
      <c r="I21" s="96" t="s">
        <v>1440</v>
      </c>
      <c r="J21" s="783">
        <f>J19+J20</f>
        <v>5869198</v>
      </c>
      <c r="K21" s="965">
        <f>J21/G17</f>
        <v>0.95686165183083893</v>
      </c>
      <c r="L21" s="96" t="s">
        <v>1440</v>
      </c>
      <c r="M21" s="783">
        <f>M19+M20</f>
        <v>0</v>
      </c>
      <c r="N21" s="965">
        <f>M21/G17</f>
        <v>0</v>
      </c>
      <c r="O21" s="96" t="s">
        <v>1440</v>
      </c>
      <c r="P21" s="425">
        <f>P19+P20</f>
        <v>5869198</v>
      </c>
      <c r="Q21" s="966">
        <f>P21/G19</f>
        <v>0.95686165183083893</v>
      </c>
    </row>
    <row r="22" spans="1:17" x14ac:dyDescent="0.3">
      <c r="F22" s="551" t="s">
        <v>66</v>
      </c>
      <c r="G22" s="481">
        <f>+G17*19%</f>
        <v>1165422</v>
      </c>
      <c r="I22" s="551" t="s">
        <v>66</v>
      </c>
      <c r="J22" s="672">
        <f>J21*0.19</f>
        <v>1115147.6200000001</v>
      </c>
      <c r="L22" s="551" t="s">
        <v>66</v>
      </c>
      <c r="M22" s="672">
        <f>M21*0.19</f>
        <v>0</v>
      </c>
      <c r="O22" s="551" t="s">
        <v>66</v>
      </c>
      <c r="P22" s="672">
        <f>P21*0.19</f>
        <v>1115147.6200000001</v>
      </c>
    </row>
    <row r="23" spans="1:17" x14ac:dyDescent="0.3">
      <c r="F23" s="552" t="s">
        <v>69</v>
      </c>
      <c r="G23" s="481">
        <f>+G17+G22</f>
        <v>7299222</v>
      </c>
      <c r="I23" s="552" t="s">
        <v>69</v>
      </c>
      <c r="J23" s="672">
        <f>J21+J22</f>
        <v>6984345.6200000001</v>
      </c>
      <c r="L23" s="552" t="s">
        <v>69</v>
      </c>
      <c r="M23" s="672">
        <f>M21+M22</f>
        <v>0</v>
      </c>
      <c r="O23" s="552" t="s">
        <v>69</v>
      </c>
      <c r="P23" s="672">
        <f>P21+P22</f>
        <v>6984345.6200000001</v>
      </c>
    </row>
    <row r="25" spans="1:17" ht="26.4" x14ac:dyDescent="0.3">
      <c r="A25" s="665" t="s">
        <v>67</v>
      </c>
      <c r="B25" s="184"/>
      <c r="C25" s="184"/>
      <c r="D25" s="185" t="s">
        <v>68</v>
      </c>
      <c r="I25" s="186" t="s">
        <v>70</v>
      </c>
      <c r="J25" s="187" t="s">
        <v>71</v>
      </c>
      <c r="K25" s="186" t="s">
        <v>58</v>
      </c>
      <c r="L25" s="186" t="s">
        <v>70</v>
      </c>
      <c r="M25" s="187" t="s">
        <v>71</v>
      </c>
      <c r="N25" s="186" t="s">
        <v>58</v>
      </c>
    </row>
    <row r="26" spans="1:17" x14ac:dyDescent="0.3">
      <c r="A26" s="665"/>
      <c r="B26" s="184"/>
      <c r="C26" s="184"/>
      <c r="D26" s="185"/>
      <c r="I26" s="69" t="s">
        <v>72</v>
      </c>
      <c r="J26" s="70">
        <f>J21</f>
        <v>5869198</v>
      </c>
      <c r="K26" s="71">
        <f>K21</f>
        <v>0.95686165183083893</v>
      </c>
      <c r="L26" s="69" t="s">
        <v>72</v>
      </c>
      <c r="M26" s="70">
        <f>$J$21</f>
        <v>5869198</v>
      </c>
      <c r="N26" s="71">
        <f>$K$21</f>
        <v>0.95686165183083893</v>
      </c>
    </row>
    <row r="27" spans="1:17" x14ac:dyDescent="0.3">
      <c r="A27" s="665"/>
      <c r="B27" s="184"/>
      <c r="C27" s="184"/>
      <c r="D27" s="185"/>
      <c r="I27" s="72" t="s">
        <v>1</v>
      </c>
      <c r="J27" s="105">
        <f>J26</f>
        <v>5869198</v>
      </c>
      <c r="K27" s="73">
        <f>K26</f>
        <v>0.95686165183083893</v>
      </c>
      <c r="L27" s="69" t="s">
        <v>73</v>
      </c>
      <c r="M27" s="70">
        <f>$M$21</f>
        <v>0</v>
      </c>
      <c r="N27" s="71">
        <f>$N$21</f>
        <v>0</v>
      </c>
    </row>
    <row r="28" spans="1:17" x14ac:dyDescent="0.3">
      <c r="A28" s="665"/>
      <c r="B28" s="184"/>
      <c r="C28" s="184"/>
      <c r="D28" s="185"/>
      <c r="I28" s="72" t="s">
        <v>9</v>
      </c>
      <c r="J28" s="1423"/>
      <c r="K28" s="1424"/>
      <c r="L28" s="72" t="s">
        <v>1</v>
      </c>
      <c r="M28" s="105">
        <f>SUM(M26:M27)</f>
        <v>5869198</v>
      </c>
      <c r="N28" s="73">
        <f>SUM(N26:N27)</f>
        <v>0.95686165183083893</v>
      </c>
    </row>
    <row r="29" spans="1:17" x14ac:dyDescent="0.3">
      <c r="A29" s="665"/>
      <c r="B29" s="184"/>
      <c r="C29" s="184"/>
      <c r="D29" s="185"/>
      <c r="I29" s="440" t="s">
        <v>78</v>
      </c>
      <c r="J29" s="1423" t="s">
        <v>2077</v>
      </c>
      <c r="K29" s="1424"/>
      <c r="L29" s="72" t="s">
        <v>9</v>
      </c>
      <c r="M29" s="1423"/>
      <c r="N29" s="1424"/>
    </row>
    <row r="30" spans="1:17" x14ac:dyDescent="0.3">
      <c r="A30" s="665"/>
      <c r="B30" s="184"/>
      <c r="C30" s="184"/>
      <c r="D30" s="185"/>
      <c r="I30" s="439" t="s">
        <v>8</v>
      </c>
      <c r="J30" s="1425"/>
      <c r="K30" s="1426"/>
      <c r="L30" s="440" t="s">
        <v>78</v>
      </c>
      <c r="M30" s="1423" t="s">
        <v>2077</v>
      </c>
      <c r="N30" s="1424"/>
    </row>
    <row r="31" spans="1:17" x14ac:dyDescent="0.3">
      <c r="A31" s="665"/>
      <c r="B31" s="184"/>
      <c r="C31" s="184"/>
      <c r="D31" s="185" t="s">
        <v>75</v>
      </c>
      <c r="L31" s="439" t="s">
        <v>8</v>
      </c>
      <c r="M31" s="1425"/>
      <c r="N31" s="1426"/>
    </row>
    <row r="32" spans="1:17" x14ac:dyDescent="0.3">
      <c r="A32" s="665" t="s">
        <v>76</v>
      </c>
      <c r="B32" s="180"/>
      <c r="C32" s="180"/>
      <c r="D32" s="185" t="s">
        <v>77</v>
      </c>
    </row>
    <row r="33" spans="1:4" ht="26.4" x14ac:dyDescent="0.3">
      <c r="A33" s="665" t="s">
        <v>79</v>
      </c>
      <c r="B33" s="180"/>
      <c r="C33" s="180"/>
      <c r="D33" s="185" t="s">
        <v>80</v>
      </c>
    </row>
  </sheetData>
  <sheetProtection formatCells="0" formatColumns="0" formatRows="0" insertColumns="0" insertRows="0" insertHyperlinks="0" deleteColumns="0" deleteRows="0" sort="0" autoFilter="0" pivotTables="0"/>
  <mergeCells count="25">
    <mergeCell ref="C1:J2"/>
    <mergeCell ref="A7:P7"/>
    <mergeCell ref="A8:P8"/>
    <mergeCell ref="A9:P9"/>
    <mergeCell ref="A10:P10"/>
    <mergeCell ref="K1:Q1"/>
    <mergeCell ref="K2:Q2"/>
    <mergeCell ref="A3:P3"/>
    <mergeCell ref="A4:P4"/>
    <mergeCell ref="A5:P5"/>
    <mergeCell ref="M31:N31"/>
    <mergeCell ref="A6:P6"/>
    <mergeCell ref="A14:A16"/>
    <mergeCell ref="B14:B16"/>
    <mergeCell ref="H14:H16"/>
    <mergeCell ref="J30:K30"/>
    <mergeCell ref="B11:G11"/>
    <mergeCell ref="I11:K12"/>
    <mergeCell ref="O11:Q12"/>
    <mergeCell ref="B12:G12"/>
    <mergeCell ref="J28:K28"/>
    <mergeCell ref="J29:K29"/>
    <mergeCell ref="L11:N12"/>
    <mergeCell ref="M29:N29"/>
    <mergeCell ref="M30:N30"/>
  </mergeCells>
  <pageMargins left="0.7" right="0.7" top="0.75" bottom="0.75" header="0.3" footer="0.3"/>
  <pageSetup paperSize="9" scale="46" orientation="landscape" r:id="rId1"/>
  <drawing r:id="rId2"/>
  <legacyDrawingHF r:id="rId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8">
    <tabColor theme="1"/>
  </sheetPr>
  <dimension ref="A1:G49"/>
  <sheetViews>
    <sheetView topLeftCell="A13" zoomScaleNormal="100" zoomScaleSheetLayoutView="80" workbookViewId="0">
      <selection activeCell="I32" sqref="I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RESUMEN!G147</f>
        <v>Proyecto:CDIM_CBSGSM_R0146 - NORMALIZACIÓN Y REPOSICIÓN EL SOL.</v>
      </c>
      <c r="C5" s="1281"/>
      <c r="D5" s="1281"/>
      <c r="E5" s="1281"/>
      <c r="F5" s="1281"/>
      <c r="G5" s="1282"/>
    </row>
    <row r="6" spans="1:7" x14ac:dyDescent="0.25">
      <c r="A6" s="1177"/>
      <c r="B6" s="1177"/>
      <c r="C6" s="1177"/>
      <c r="D6" s="1177"/>
      <c r="E6" s="1177"/>
      <c r="F6" s="1177"/>
      <c r="G6" s="1177"/>
    </row>
    <row r="7" spans="1:7" x14ac:dyDescent="0.25">
      <c r="A7" s="271" t="s">
        <v>0</v>
      </c>
      <c r="B7" s="1264" t="str">
        <f>RESUMEN!B147</f>
        <v>D00249501</v>
      </c>
      <c r="C7" s="1265"/>
      <c r="D7" s="1177"/>
      <c r="E7" s="1266" t="s">
        <v>627</v>
      </c>
      <c r="F7" s="1267"/>
      <c r="G7" s="280" t="str">
        <f>RESUMEN!E147</f>
        <v>18-009</v>
      </c>
    </row>
    <row r="8" spans="1:7" x14ac:dyDescent="0.25">
      <c r="A8" s="271" t="s">
        <v>628</v>
      </c>
      <c r="B8" s="1264" t="str">
        <f>RESUMEN!C147</f>
        <v>D00249501000</v>
      </c>
      <c r="C8" s="1265"/>
      <c r="D8" s="1177"/>
      <c r="E8" s="1266" t="s">
        <v>629</v>
      </c>
      <c r="F8" s="1267"/>
      <c r="G8" s="280" t="str">
        <f>RESUMEN!U147</f>
        <v>Acta N° 1: Febrero</v>
      </c>
    </row>
    <row r="9" spans="1:7" x14ac:dyDescent="0.25">
      <c r="A9" s="271" t="s">
        <v>630</v>
      </c>
      <c r="B9" s="1283" t="s">
        <v>631</v>
      </c>
      <c r="C9" s="1265"/>
      <c r="D9" s="1177"/>
      <c r="E9" s="1266" t="s">
        <v>632</v>
      </c>
      <c r="F9" s="1267"/>
      <c r="G9" s="1178">
        <f>RESUMEN!H147</f>
        <v>4854999</v>
      </c>
    </row>
    <row r="10" spans="1:7" x14ac:dyDescent="0.25">
      <c r="A10" s="271" t="s">
        <v>633</v>
      </c>
      <c r="B10" s="1283" t="str">
        <f>RESUMEN!D147</f>
        <v>EL SOL</v>
      </c>
      <c r="C10" s="1265"/>
      <c r="D10" s="1177"/>
      <c r="E10" s="1266" t="s">
        <v>634</v>
      </c>
      <c r="F10" s="1267"/>
      <c r="G10" s="1178">
        <f>RESUMEN!R147</f>
        <v>4927824</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",RESUMEN!G147)</f>
        <v>A los 14 días del mes de Marzo se reunieron en las instalaciones de CODENSA S.A. E.S.P., los ingenieros Ing. Diana García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Proyecto:CDIM_CBSGSM_R0146 - NORMALIZACIÓN Y REPOSICIÓN EL SOL.</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RESUMEN!N147</f>
        <v>4854999</v>
      </c>
      <c r="F19" s="1248"/>
      <c r="G19" s="1177"/>
    </row>
    <row r="20" spans="1:7" ht="27" customHeight="1" x14ac:dyDescent="0.25">
      <c r="A20" s="1177"/>
      <c r="B20" s="1244" t="s">
        <v>1498</v>
      </c>
      <c r="C20" s="1245"/>
      <c r="D20" s="1246"/>
      <c r="E20" s="1247">
        <f>RESUMEN!P147</f>
        <v>0</v>
      </c>
      <c r="F20" s="1248"/>
      <c r="G20" s="1177"/>
    </row>
    <row r="21" spans="1:7" ht="27" customHeight="1" x14ac:dyDescent="0.25">
      <c r="A21" s="1177"/>
      <c r="B21" s="1244" t="s">
        <v>1499</v>
      </c>
      <c r="C21" s="1245"/>
      <c r="D21" s="1246"/>
      <c r="E21" s="1247">
        <f>RESUMEN!Q147</f>
        <v>72825</v>
      </c>
      <c r="F21" s="1248"/>
      <c r="G21" s="1177"/>
    </row>
    <row r="22" spans="1:7" x14ac:dyDescent="0.25">
      <c r="A22" s="1177"/>
      <c r="B22" s="1254" t="s">
        <v>64</v>
      </c>
      <c r="C22" s="1254"/>
      <c r="D22" s="1254"/>
      <c r="E22" s="1255">
        <f>RESUMEN!R147</f>
        <v>4927824</v>
      </c>
      <c r="F22" s="1255"/>
      <c r="G22" s="1177"/>
    </row>
    <row r="23" spans="1:7" x14ac:dyDescent="0.25">
      <c r="A23" s="1177"/>
      <c r="B23" s="1256" t="s">
        <v>66</v>
      </c>
      <c r="C23" s="1256"/>
      <c r="D23" s="1256"/>
      <c r="E23" s="1257">
        <f>RESUMEN!S147</f>
        <v>936286.56</v>
      </c>
      <c r="F23" s="1257"/>
      <c r="G23" s="1177"/>
    </row>
    <row r="24" spans="1:7" x14ac:dyDescent="0.25">
      <c r="A24" s="1177"/>
      <c r="B24" s="1258" t="s">
        <v>1</v>
      </c>
      <c r="C24" s="1258"/>
      <c r="D24" s="1258"/>
      <c r="E24" s="1259">
        <f>RESUMEN!T147</f>
        <v>5864110.5600000005</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+'OT18-009 EL SOL R2'!I27</f>
        <v>ACTA 1</v>
      </c>
      <c r="C28" s="1253">
        <f>+'OT18-009 EL SOL R2'!J27</f>
        <v>4927824</v>
      </c>
      <c r="D28" s="1253"/>
      <c r="E28" s="267">
        <f>+'OT18-009 EL SOL R2'!K27</f>
        <v>1</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4927824</v>
      </c>
      <c r="D34" s="1251"/>
      <c r="E34" s="264">
        <f>SUM(E28:E33)</f>
        <v>1</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RESUMEN!V147</f>
        <v>Ing. Diana García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C30:D30"/>
    <mergeCell ref="B21:D21"/>
    <mergeCell ref="E21:F21"/>
    <mergeCell ref="B22:D22"/>
    <mergeCell ref="E22:F22"/>
    <mergeCell ref="B23:D23"/>
    <mergeCell ref="E23:F23"/>
    <mergeCell ref="B24:D24"/>
    <mergeCell ref="E24:F24"/>
    <mergeCell ref="C27:D27"/>
    <mergeCell ref="C28:D28"/>
    <mergeCell ref="C29:D29"/>
    <mergeCell ref="C31:D31"/>
    <mergeCell ref="C32:D32"/>
    <mergeCell ref="C33:D33"/>
    <mergeCell ref="C34:D34"/>
    <mergeCell ref="A36:G36"/>
    <mergeCell ref="A40:C40"/>
    <mergeCell ref="E40:G40"/>
    <mergeCell ref="A41:C41"/>
    <mergeCell ref="E41:G41"/>
    <mergeCell ref="A42:C42"/>
    <mergeCell ref="E42:G42"/>
    <mergeCell ref="A49:C49"/>
    <mergeCell ref="E49:G49"/>
    <mergeCell ref="A47:C47"/>
    <mergeCell ref="E47:G47"/>
    <mergeCell ref="A48:C48"/>
    <mergeCell ref="E48:G48"/>
  </mergeCells>
  <pageMargins left="0.70866141732283472" right="0.70866141732283472" top="0.74803149606299213" bottom="0.74803149606299213" header="0.31496062992125984" footer="0.31496062992125984"/>
  <pageSetup scale="84" orientation="portrait" r:id="rId1"/>
  <drawing r:id="rId2"/>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9">
    <tabColor rgb="FF72104A"/>
  </sheetPr>
  <dimension ref="A1:N34"/>
  <sheetViews>
    <sheetView topLeftCell="C7" zoomScale="80" zoomScaleNormal="80" workbookViewId="0">
      <selection activeCell="M25" sqref="M25"/>
    </sheetView>
  </sheetViews>
  <sheetFormatPr baseColWidth="10" defaultColWidth="11.44140625" defaultRowHeight="14.4" x14ac:dyDescent="0.3"/>
  <cols>
    <col min="1" max="1" width="18" style="942" customWidth="1"/>
    <col min="2" max="2" width="27.109375" style="942" customWidth="1"/>
    <col min="3" max="3" width="31.88671875" style="942" customWidth="1"/>
    <col min="4" max="4" width="23.88671875" style="942" customWidth="1"/>
    <col min="5" max="5" width="16.88671875" style="942" customWidth="1"/>
    <col min="6" max="6" width="14.33203125" style="942" customWidth="1"/>
    <col min="7" max="7" width="17.5546875" style="942" customWidth="1"/>
    <col min="8" max="8" width="45" style="942" customWidth="1"/>
    <col min="9" max="9" width="22" style="942" bestFit="1" customWidth="1"/>
    <col min="10" max="10" width="18" style="942" bestFit="1" customWidth="1"/>
    <col min="11" max="11" width="11.44140625" style="942"/>
    <col min="12" max="12" width="16.88671875" style="942" customWidth="1"/>
    <col min="13" max="13" width="16" style="942" bestFit="1" customWidth="1"/>
    <col min="14" max="16384" width="11.44140625" style="942"/>
  </cols>
  <sheetData>
    <row r="1" spans="1:14" s="941" customFormat="1" ht="30.75" customHeight="1" x14ac:dyDescent="0.3">
      <c r="A1" s="169"/>
      <c r="B1" s="188"/>
      <c r="C1" s="1307" t="s">
        <v>40</v>
      </c>
      <c r="D1" s="1308"/>
      <c r="E1" s="1308"/>
      <c r="F1" s="1308"/>
      <c r="G1" s="1308"/>
      <c r="H1" s="1308"/>
      <c r="I1" s="1308"/>
      <c r="J1" s="1308"/>
      <c r="K1" s="1533" t="s">
        <v>2199</v>
      </c>
      <c r="L1" s="1534"/>
      <c r="M1" s="1534"/>
      <c r="N1" s="1535"/>
    </row>
    <row r="2" spans="1:14" s="941" customFormat="1" ht="15" thickBot="1" x14ac:dyDescent="0.35">
      <c r="A2" s="170"/>
      <c r="B2" s="190"/>
      <c r="C2" s="1310"/>
      <c r="D2" s="1311"/>
      <c r="E2" s="1311"/>
      <c r="F2" s="1311"/>
      <c r="G2" s="1311"/>
      <c r="H2" s="1311"/>
      <c r="I2" s="1311"/>
      <c r="J2" s="1311"/>
      <c r="K2" s="1459" t="s">
        <v>41</v>
      </c>
      <c r="L2" s="1459"/>
      <c r="M2" s="1459"/>
      <c r="N2" s="1459"/>
    </row>
    <row r="3" spans="1:14" s="941" customFormat="1" x14ac:dyDescent="0.3">
      <c r="A3" s="1292" t="s">
        <v>42</v>
      </c>
      <c r="B3" s="1292"/>
      <c r="C3" s="1292"/>
      <c r="D3" s="1292"/>
      <c r="E3" s="1292"/>
      <c r="F3" s="1292"/>
      <c r="G3" s="1292"/>
      <c r="H3" s="1292"/>
      <c r="I3" s="1292"/>
      <c r="J3" s="1292"/>
      <c r="K3" s="1292"/>
      <c r="L3" s="1292"/>
      <c r="M3" s="1292"/>
    </row>
    <row r="4" spans="1:14" s="941" customFormat="1" x14ac:dyDescent="0.3">
      <c r="A4" s="1292" t="s">
        <v>43</v>
      </c>
      <c r="B4" s="1292"/>
      <c r="C4" s="1292"/>
      <c r="D4" s="1292"/>
      <c r="E4" s="1292"/>
      <c r="F4" s="1292"/>
      <c r="G4" s="1292"/>
      <c r="H4" s="1292"/>
      <c r="I4" s="1292"/>
      <c r="J4" s="1292"/>
      <c r="K4" s="1292"/>
      <c r="L4" s="1292"/>
      <c r="M4" s="1292"/>
    </row>
    <row r="5" spans="1:14" s="941" customFormat="1" x14ac:dyDescent="0.3">
      <c r="A5" s="1292" t="s">
        <v>44</v>
      </c>
      <c r="B5" s="1292"/>
      <c r="C5" s="1292"/>
      <c r="D5" s="1292"/>
      <c r="E5" s="1292"/>
      <c r="F5" s="1292"/>
      <c r="G5" s="1292"/>
      <c r="H5" s="1292"/>
      <c r="I5" s="1292"/>
      <c r="J5" s="1292"/>
      <c r="K5" s="1292"/>
      <c r="L5" s="1292"/>
      <c r="M5" s="1292"/>
    </row>
    <row r="6" spans="1:14" s="941" customFormat="1" x14ac:dyDescent="0.3">
      <c r="A6" s="1292" t="s">
        <v>45</v>
      </c>
      <c r="B6" s="1292"/>
      <c r="C6" s="1292"/>
      <c r="D6" s="1292"/>
      <c r="E6" s="1292"/>
      <c r="F6" s="1292"/>
      <c r="G6" s="1292"/>
      <c r="H6" s="1292"/>
      <c r="I6" s="1292"/>
      <c r="J6" s="1292"/>
      <c r="K6" s="1292"/>
      <c r="L6" s="1292"/>
      <c r="M6" s="1292"/>
    </row>
    <row r="7" spans="1:14" s="941" customFormat="1" ht="27" customHeight="1" x14ac:dyDescent="0.3">
      <c r="A7" s="1291" t="s">
        <v>2198</v>
      </c>
      <c r="B7" s="1292"/>
      <c r="C7" s="1292"/>
      <c r="D7" s="1292"/>
      <c r="E7" s="1292"/>
      <c r="F7" s="1292"/>
      <c r="G7" s="1292"/>
      <c r="H7" s="1292"/>
      <c r="I7" s="1292"/>
      <c r="J7" s="1292"/>
      <c r="K7" s="1292"/>
      <c r="L7" s="1292"/>
      <c r="M7" s="1292"/>
    </row>
    <row r="8" spans="1:14" s="941" customFormat="1" x14ac:dyDescent="0.3">
      <c r="A8" s="1292" t="s">
        <v>2103</v>
      </c>
      <c r="B8" s="1292"/>
      <c r="C8" s="1292"/>
      <c r="D8" s="1292"/>
      <c r="E8" s="1292"/>
      <c r="F8" s="1292"/>
      <c r="G8" s="1292"/>
      <c r="H8" s="1292"/>
      <c r="I8" s="1292"/>
      <c r="J8" s="1292"/>
      <c r="K8" s="1292"/>
      <c r="L8" s="1292"/>
      <c r="M8" s="1292"/>
    </row>
    <row r="9" spans="1:14" s="941" customFormat="1" x14ac:dyDescent="0.3">
      <c r="A9" s="1292" t="s">
        <v>2087</v>
      </c>
      <c r="B9" s="1292"/>
      <c r="C9" s="1292"/>
      <c r="D9" s="1292"/>
      <c r="E9" s="1292"/>
      <c r="F9" s="1292"/>
      <c r="G9" s="1292"/>
      <c r="H9" s="1292"/>
      <c r="I9" s="1292"/>
      <c r="J9" s="1292"/>
      <c r="K9" s="1292"/>
      <c r="L9" s="1292"/>
      <c r="M9" s="1292"/>
    </row>
    <row r="10" spans="1:14" s="941" customFormat="1" x14ac:dyDescent="0.3">
      <c r="A10" s="1292" t="s">
        <v>2197</v>
      </c>
      <c r="B10" s="1292"/>
      <c r="C10" s="1292"/>
      <c r="D10" s="1292"/>
      <c r="E10" s="1292"/>
      <c r="F10" s="1292"/>
      <c r="G10" s="1292"/>
      <c r="H10" s="1292"/>
      <c r="I10" s="1292"/>
      <c r="J10" s="1292"/>
      <c r="K10" s="1292"/>
      <c r="L10" s="1292"/>
      <c r="M10" s="1292"/>
    </row>
    <row r="11" spans="1:14" s="941" customFormat="1" ht="14.4" customHeight="1" x14ac:dyDescent="0.3">
      <c r="A11" s="939"/>
      <c r="B11" s="1301"/>
      <c r="C11" s="1313"/>
      <c r="D11" s="1313"/>
      <c r="E11" s="1313"/>
      <c r="F11" s="1313"/>
      <c r="G11" s="1313"/>
      <c r="I11" s="1470" t="s">
        <v>1982</v>
      </c>
      <c r="J11" s="1471"/>
      <c r="K11" s="1472"/>
      <c r="L11" s="1299" t="s">
        <v>49</v>
      </c>
      <c r="M11" s="1299"/>
      <c r="N11" s="1299"/>
    </row>
    <row r="12" spans="1:14" s="941" customFormat="1" ht="18" customHeight="1" x14ac:dyDescent="0.3">
      <c r="A12" s="171"/>
      <c r="B12" s="1301"/>
      <c r="C12" s="1302"/>
      <c r="D12" s="1302"/>
      <c r="E12" s="1302"/>
      <c r="F12" s="1302"/>
      <c r="G12" s="1302"/>
      <c r="H12" s="831"/>
      <c r="I12" s="1523"/>
      <c r="J12" s="1524"/>
      <c r="K12" s="1525"/>
      <c r="L12" s="1300"/>
      <c r="M12" s="1300"/>
      <c r="N12" s="1300"/>
    </row>
    <row r="13" spans="1:14" s="941" customFormat="1" ht="28.8" x14ac:dyDescent="0.3">
      <c r="A13" s="660" t="s">
        <v>50</v>
      </c>
      <c r="B13" s="660" t="s">
        <v>51</v>
      </c>
      <c r="C13" s="660" t="s">
        <v>52</v>
      </c>
      <c r="D13" s="660" t="s">
        <v>164</v>
      </c>
      <c r="E13" s="661" t="s">
        <v>54</v>
      </c>
      <c r="F13" s="952" t="s">
        <v>2007</v>
      </c>
      <c r="G13" s="661" t="s">
        <v>56</v>
      </c>
      <c r="H13" s="660" t="s">
        <v>57</v>
      </c>
      <c r="I13" s="502" t="s">
        <v>54</v>
      </c>
      <c r="J13" s="502" t="s">
        <v>56</v>
      </c>
      <c r="K13" s="502" t="s">
        <v>58</v>
      </c>
      <c r="L13" s="502" t="s">
        <v>54</v>
      </c>
      <c r="M13" s="502" t="s">
        <v>56</v>
      </c>
      <c r="N13" s="502" t="s">
        <v>58</v>
      </c>
    </row>
    <row r="14" spans="1:14" ht="78" customHeight="1" x14ac:dyDescent="0.3">
      <c r="A14" s="1536" t="s">
        <v>307</v>
      </c>
      <c r="B14" s="1314" t="s">
        <v>2192</v>
      </c>
      <c r="C14" s="940" t="s">
        <v>61</v>
      </c>
      <c r="D14" s="940" t="s">
        <v>2193</v>
      </c>
      <c r="E14" s="940">
        <v>0.35</v>
      </c>
      <c r="F14" s="192">
        <v>10979358</v>
      </c>
      <c r="G14" s="192">
        <f>ROUND((E14*F14),0)</f>
        <v>3842775</v>
      </c>
      <c r="H14" s="1315" t="s">
        <v>2194</v>
      </c>
      <c r="I14" s="537">
        <v>0.35</v>
      </c>
      <c r="J14" s="752">
        <f>ROUND(I14*F14,0)</f>
        <v>3842775</v>
      </c>
      <c r="K14" s="753">
        <f>J14/G14</f>
        <v>1</v>
      </c>
      <c r="L14" s="799">
        <f>I14</f>
        <v>0.35</v>
      </c>
      <c r="M14" s="685">
        <f>J14</f>
        <v>3842775</v>
      </c>
      <c r="N14" s="684">
        <f>+M14/G14</f>
        <v>1</v>
      </c>
    </row>
    <row r="15" spans="1:14" x14ac:dyDescent="0.3">
      <c r="A15" s="1536"/>
      <c r="B15" s="1314"/>
      <c r="C15" s="196"/>
      <c r="D15" s="196" t="s">
        <v>2195</v>
      </c>
      <c r="E15" s="198"/>
      <c r="F15" s="198"/>
      <c r="G15" s="199">
        <f>G14</f>
        <v>3842775</v>
      </c>
      <c r="H15" s="1314"/>
      <c r="I15" s="40"/>
      <c r="J15" s="683">
        <f>SUM(J14)</f>
        <v>3842775</v>
      </c>
      <c r="K15" s="519">
        <f>J15/G15</f>
        <v>1</v>
      </c>
      <c r="L15" s="40"/>
      <c r="M15" s="683">
        <f>SUM(M14:M14)</f>
        <v>3842775</v>
      </c>
      <c r="N15" s="519">
        <f>M15/G15</f>
        <v>1</v>
      </c>
    </row>
    <row r="16" spans="1:14" ht="44.25" customHeight="1" x14ac:dyDescent="0.3">
      <c r="A16" s="1536" t="s">
        <v>307</v>
      </c>
      <c r="B16" s="1314" t="s">
        <v>1209</v>
      </c>
      <c r="C16" s="940" t="s">
        <v>1210</v>
      </c>
      <c r="D16" s="940" t="s">
        <v>1211</v>
      </c>
      <c r="E16" s="940">
        <v>12</v>
      </c>
      <c r="F16" s="192">
        <v>84352</v>
      </c>
      <c r="G16" s="192">
        <f>ROUND((E16*F16),0)</f>
        <v>1012224</v>
      </c>
      <c r="H16" s="1314" t="s">
        <v>2196</v>
      </c>
      <c r="I16" s="537">
        <v>12</v>
      </c>
      <c r="J16" s="752">
        <f>ROUND(I16*F16,0)</f>
        <v>1012224</v>
      </c>
      <c r="K16" s="753">
        <f>J16/G16</f>
        <v>1</v>
      </c>
      <c r="L16" s="799">
        <f>I16</f>
        <v>12</v>
      </c>
      <c r="M16" s="685">
        <f>J16</f>
        <v>1012224</v>
      </c>
      <c r="N16" s="684">
        <f>+M16/G16</f>
        <v>1</v>
      </c>
    </row>
    <row r="17" spans="1:14" x14ac:dyDescent="0.3">
      <c r="A17" s="1536"/>
      <c r="B17" s="1314"/>
      <c r="C17" s="196"/>
      <c r="D17" s="196" t="s">
        <v>1212</v>
      </c>
      <c r="E17" s="198"/>
      <c r="F17" s="198"/>
      <c r="G17" s="199">
        <f>G16</f>
        <v>1012224</v>
      </c>
      <c r="H17" s="1314"/>
      <c r="I17" s="40"/>
      <c r="J17" s="683">
        <f>SUM(J16)</f>
        <v>1012224</v>
      </c>
      <c r="K17" s="519">
        <f>J17/G17</f>
        <v>1</v>
      </c>
      <c r="L17" s="40"/>
      <c r="M17" s="683">
        <f>SUM(M16:M16)</f>
        <v>1012224</v>
      </c>
      <c r="N17" s="519">
        <f>M17/G17</f>
        <v>1</v>
      </c>
    </row>
    <row r="18" spans="1:14" s="941" customFormat="1" x14ac:dyDescent="0.3">
      <c r="F18" s="547" t="s">
        <v>64</v>
      </c>
      <c r="G18" s="855">
        <f>SUM(G14:G17)/2</f>
        <v>4854999</v>
      </c>
      <c r="I18" s="547" t="s">
        <v>64</v>
      </c>
      <c r="J18" s="855">
        <f>SUM(J14:J17)/2</f>
        <v>4854999</v>
      </c>
      <c r="L18" s="547" t="s">
        <v>64</v>
      </c>
      <c r="M18" s="855">
        <f>SUM(M14:M17)/2</f>
        <v>4854999</v>
      </c>
    </row>
    <row r="19" spans="1:14" s="941" customFormat="1" x14ac:dyDescent="0.3">
      <c r="F19" s="548" t="s">
        <v>65</v>
      </c>
      <c r="G19" s="677">
        <v>0</v>
      </c>
      <c r="I19" s="548" t="s">
        <v>65</v>
      </c>
      <c r="J19" s="677">
        <v>0</v>
      </c>
      <c r="L19" s="548" t="s">
        <v>65</v>
      </c>
      <c r="M19" s="677">
        <v>0</v>
      </c>
    </row>
    <row r="20" spans="1:14" s="941" customFormat="1" x14ac:dyDescent="0.3">
      <c r="F20" s="549" t="s">
        <v>64</v>
      </c>
      <c r="G20" s="481">
        <f>G18+G19</f>
        <v>4854999</v>
      </c>
      <c r="I20" s="549" t="s">
        <v>64</v>
      </c>
      <c r="J20" s="481">
        <f>J18+J19</f>
        <v>4854999</v>
      </c>
      <c r="L20" s="549" t="s">
        <v>64</v>
      </c>
      <c r="M20" s="481">
        <f>M18+M19</f>
        <v>4854999</v>
      </c>
    </row>
    <row r="21" spans="1:14" s="941" customFormat="1" ht="18" customHeight="1" x14ac:dyDescent="0.3">
      <c r="F21" s="501" t="s">
        <v>1439</v>
      </c>
      <c r="G21" s="481">
        <f>ROUND(G20*0.015,0)</f>
        <v>72825</v>
      </c>
      <c r="I21" s="501" t="s">
        <v>1439</v>
      </c>
      <c r="J21" s="481">
        <f>ROUND(J20*0.015,0)</f>
        <v>72825</v>
      </c>
      <c r="L21" s="501" t="s">
        <v>1439</v>
      </c>
      <c r="M21" s="481">
        <f>ROUND(M20*0.015,0)</f>
        <v>72825</v>
      </c>
    </row>
    <row r="22" spans="1:14" s="941" customFormat="1" ht="27.75" customHeight="1" x14ac:dyDescent="0.3">
      <c r="F22" s="96" t="s">
        <v>1440</v>
      </c>
      <c r="G22" s="783">
        <f>G20+G21</f>
        <v>4927824</v>
      </c>
      <c r="I22" s="96" t="s">
        <v>1440</v>
      </c>
      <c r="J22" s="783">
        <f>J20+J21</f>
        <v>4927824</v>
      </c>
      <c r="K22" s="832">
        <f>J22/G22</f>
        <v>1</v>
      </c>
      <c r="L22" s="96" t="s">
        <v>1440</v>
      </c>
      <c r="M22" s="425">
        <f>M20+M21</f>
        <v>4927824</v>
      </c>
      <c r="N22" s="678">
        <f>M22/G22</f>
        <v>1</v>
      </c>
    </row>
    <row r="23" spans="1:14" s="941" customFormat="1" x14ac:dyDescent="0.3">
      <c r="F23" s="551" t="s">
        <v>66</v>
      </c>
      <c r="G23" s="672">
        <f>G22*0.19</f>
        <v>936286.56</v>
      </c>
      <c r="I23" s="551" t="s">
        <v>66</v>
      </c>
      <c r="J23" s="672">
        <f>J22*0.19</f>
        <v>936286.56</v>
      </c>
      <c r="L23" s="551" t="s">
        <v>66</v>
      </c>
      <c r="M23" s="672">
        <f>M22*0.19</f>
        <v>936286.56</v>
      </c>
    </row>
    <row r="24" spans="1:14" s="941" customFormat="1" x14ac:dyDescent="0.3">
      <c r="F24" s="552" t="s">
        <v>69</v>
      </c>
      <c r="G24" s="672">
        <f>G22+G23</f>
        <v>5864110.5600000005</v>
      </c>
      <c r="I24" s="552" t="s">
        <v>69</v>
      </c>
      <c r="J24" s="672">
        <f>J22+J23</f>
        <v>5864110.5600000005</v>
      </c>
      <c r="L24" s="552" t="s">
        <v>69</v>
      </c>
      <c r="M24" s="672">
        <f>M22+M23</f>
        <v>5864110.5600000005</v>
      </c>
    </row>
    <row r="25" spans="1:14" s="941" customFormat="1" x14ac:dyDescent="0.3"/>
    <row r="26" spans="1:14" s="941" customFormat="1" ht="26.25" customHeight="1" x14ac:dyDescent="0.3">
      <c r="A26" s="665" t="s">
        <v>67</v>
      </c>
      <c r="B26" s="184"/>
      <c r="C26" s="184"/>
      <c r="D26" s="185" t="s">
        <v>68</v>
      </c>
      <c r="I26" s="186" t="s">
        <v>70</v>
      </c>
      <c r="J26" s="187" t="s">
        <v>71</v>
      </c>
      <c r="K26" s="186" t="s">
        <v>58</v>
      </c>
    </row>
    <row r="27" spans="1:14" s="941" customFormat="1" x14ac:dyDescent="0.3">
      <c r="A27" s="665"/>
      <c r="B27" s="184"/>
      <c r="C27" s="184"/>
      <c r="D27" s="185"/>
      <c r="I27" s="69" t="s">
        <v>72</v>
      </c>
      <c r="J27" s="70">
        <f>J22</f>
        <v>4927824</v>
      </c>
      <c r="K27" s="360">
        <f>K22</f>
        <v>1</v>
      </c>
    </row>
    <row r="28" spans="1:14" s="941" customFormat="1" x14ac:dyDescent="0.3">
      <c r="A28" s="665"/>
      <c r="B28" s="184"/>
      <c r="C28" s="184"/>
      <c r="D28" s="185"/>
      <c r="I28" s="72" t="s">
        <v>1</v>
      </c>
      <c r="J28" s="105">
        <f>J27</f>
        <v>4927824</v>
      </c>
      <c r="K28" s="361">
        <f>K27</f>
        <v>1</v>
      </c>
    </row>
    <row r="29" spans="1:14" s="941" customFormat="1" x14ac:dyDescent="0.3">
      <c r="A29" s="665"/>
      <c r="B29" s="184"/>
      <c r="C29" s="184"/>
      <c r="D29" s="185"/>
      <c r="I29" s="72" t="s">
        <v>9</v>
      </c>
      <c r="J29" s="1423"/>
      <c r="K29" s="1424"/>
    </row>
    <row r="30" spans="1:14" s="941" customFormat="1" x14ac:dyDescent="0.3">
      <c r="A30" s="665"/>
      <c r="B30" s="184"/>
      <c r="C30" s="184"/>
      <c r="D30" s="185"/>
      <c r="I30" s="440" t="s">
        <v>78</v>
      </c>
      <c r="J30" s="1423" t="s">
        <v>2292</v>
      </c>
      <c r="K30" s="1424"/>
    </row>
    <row r="31" spans="1:14" s="941" customFormat="1" x14ac:dyDescent="0.3">
      <c r="A31" s="665"/>
      <c r="B31" s="184"/>
      <c r="C31" s="184"/>
      <c r="D31" s="185"/>
      <c r="I31" s="439" t="s">
        <v>8</v>
      </c>
      <c r="J31" s="1425" t="s">
        <v>2293</v>
      </c>
      <c r="K31" s="1426"/>
    </row>
    <row r="32" spans="1:14" s="950" customFormat="1" x14ac:dyDescent="0.3">
      <c r="A32" s="665"/>
      <c r="B32" s="184"/>
      <c r="C32" s="184"/>
      <c r="D32" s="185" t="s">
        <v>75</v>
      </c>
    </row>
    <row r="33" spans="1:4" s="950" customFormat="1" x14ac:dyDescent="0.3">
      <c r="A33" s="665" t="s">
        <v>76</v>
      </c>
      <c r="B33" s="180"/>
      <c r="C33" s="180"/>
      <c r="D33" s="185" t="s">
        <v>77</v>
      </c>
    </row>
    <row r="34" spans="1:4" s="950" customFormat="1" x14ac:dyDescent="0.3">
      <c r="A34" s="665" t="s">
        <v>79</v>
      </c>
      <c r="B34" s="180"/>
      <c r="C34" s="180"/>
      <c r="D34" s="185" t="s">
        <v>80</v>
      </c>
    </row>
  </sheetData>
  <sheetProtection formatCells="0" formatColumns="0" formatRows="0" insertColumns="0" insertRows="0" insertHyperlinks="0" deleteColumns="0" deleteRows="0" sort="0" autoFilter="0" pivotTables="0"/>
  <mergeCells count="24">
    <mergeCell ref="A5:M5"/>
    <mergeCell ref="A6:M6"/>
    <mergeCell ref="A14:A15"/>
    <mergeCell ref="B14:B15"/>
    <mergeCell ref="H14:H15"/>
    <mergeCell ref="C1:J2"/>
    <mergeCell ref="K1:N1"/>
    <mergeCell ref="K2:N2"/>
    <mergeCell ref="A3:M3"/>
    <mergeCell ref="A4:M4"/>
    <mergeCell ref="J29:K29"/>
    <mergeCell ref="J30:K30"/>
    <mergeCell ref="J31:K31"/>
    <mergeCell ref="A7:M7"/>
    <mergeCell ref="A8:M8"/>
    <mergeCell ref="A9:M9"/>
    <mergeCell ref="A10:M10"/>
    <mergeCell ref="B11:G11"/>
    <mergeCell ref="I11:K12"/>
    <mergeCell ref="L11:N12"/>
    <mergeCell ref="B12:G12"/>
    <mergeCell ref="A16:A17"/>
    <mergeCell ref="B16:B17"/>
    <mergeCell ref="H16:H17"/>
  </mergeCells>
  <pageMargins left="0.7" right="0.7" top="0.75" bottom="0.75" header="0.3" footer="0.3"/>
  <pageSetup scale="40" orientation="landscape" r:id="rId1"/>
  <drawing r:id="rId2"/>
  <legacyDrawingHF r:id="rId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0">
    <tabColor theme="1"/>
  </sheetPr>
  <dimension ref="A1:G49"/>
  <sheetViews>
    <sheetView topLeftCell="A16" zoomScaleNormal="100" zoomScaleSheetLayoutView="80" workbookViewId="0">
      <selection activeCell="F31" sqref="F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RESUMEN!G148</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RESUMEN!B148</f>
        <v>D00249539</v>
      </c>
      <c r="C7" s="1265"/>
      <c r="D7" s="1177"/>
      <c r="E7" s="1266" t="s">
        <v>627</v>
      </c>
      <c r="F7" s="1267"/>
      <c r="G7" s="280" t="str">
        <f>RESUMEN!E148</f>
        <v>18-010</v>
      </c>
    </row>
    <row r="8" spans="1:7" x14ac:dyDescent="0.25">
      <c r="A8" s="271" t="s">
        <v>628</v>
      </c>
      <c r="B8" s="1264" t="str">
        <f>RESUMEN!C148</f>
        <v>D00249539000</v>
      </c>
      <c r="C8" s="1265"/>
      <c r="D8" s="1177"/>
      <c r="E8" s="1266" t="s">
        <v>629</v>
      </c>
      <c r="F8" s="1267"/>
      <c r="G8" s="280" t="str">
        <f>RESUMEN!U148</f>
        <v>Acta N° 2: Marzo</v>
      </c>
    </row>
    <row r="9" spans="1:7" x14ac:dyDescent="0.25">
      <c r="A9" s="271" t="s">
        <v>630</v>
      </c>
      <c r="B9" s="1283" t="s">
        <v>631</v>
      </c>
      <c r="C9" s="1265"/>
      <c r="D9" s="1177"/>
      <c r="E9" s="1266" t="s">
        <v>632</v>
      </c>
      <c r="F9" s="1267"/>
      <c r="G9" s="1178">
        <f>RESUMEN!H148</f>
        <v>13843144</v>
      </c>
    </row>
    <row r="10" spans="1:7" x14ac:dyDescent="0.25">
      <c r="A10" s="271" t="s">
        <v>633</v>
      </c>
      <c r="B10" s="1283" t="str">
        <f>RESUMEN!D148</f>
        <v>SIBERIA</v>
      </c>
      <c r="C10" s="1265"/>
      <c r="D10" s="1177"/>
      <c r="E10" s="1266" t="s">
        <v>634</v>
      </c>
      <c r="F10" s="1267"/>
      <c r="G10" s="1178">
        <f>RESUMEN!R148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",RESUMEN!G148)</f>
        <v>A los 14 días del mes de Marzo se reunieron en las instalaciones de CODENSA S.A. E.S.P., los ingenieros Ing. Mónica Pineda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RESUMEN!N148</f>
        <v>0</v>
      </c>
      <c r="F19" s="1248"/>
      <c r="G19" s="1177"/>
    </row>
    <row r="20" spans="1:7" ht="27" customHeight="1" x14ac:dyDescent="0.25">
      <c r="A20" s="1177"/>
      <c r="B20" s="1244" t="s">
        <v>1498</v>
      </c>
      <c r="C20" s="1245"/>
      <c r="D20" s="1246"/>
      <c r="E20" s="1247">
        <f>RESUMEN!P148</f>
        <v>0</v>
      </c>
      <c r="F20" s="1248"/>
      <c r="G20" s="1177"/>
    </row>
    <row r="21" spans="1:7" ht="27" customHeight="1" x14ac:dyDescent="0.25">
      <c r="A21" s="1177"/>
      <c r="B21" s="1244" t="s">
        <v>1499</v>
      </c>
      <c r="C21" s="1245"/>
      <c r="D21" s="1246"/>
      <c r="E21" s="1247">
        <f>RESUMEN!Q148</f>
        <v>0</v>
      </c>
      <c r="F21" s="1248"/>
      <c r="G21" s="1177"/>
    </row>
    <row r="22" spans="1:7" x14ac:dyDescent="0.25">
      <c r="A22" s="1177"/>
      <c r="B22" s="1254" t="s">
        <v>64</v>
      </c>
      <c r="C22" s="1254"/>
      <c r="D22" s="1254"/>
      <c r="E22" s="1255">
        <f>RESUMEN!R148</f>
        <v>0</v>
      </c>
      <c r="F22" s="1255"/>
      <c r="G22" s="1177"/>
    </row>
    <row r="23" spans="1:7" x14ac:dyDescent="0.25">
      <c r="A23" s="1177"/>
      <c r="B23" s="1256" t="s">
        <v>66</v>
      </c>
      <c r="C23" s="1256"/>
      <c r="D23" s="1256"/>
      <c r="E23" s="1257">
        <f>RESUMEN!S148</f>
        <v>0</v>
      </c>
      <c r="F23" s="1257"/>
      <c r="G23" s="1177"/>
    </row>
    <row r="24" spans="1:7" x14ac:dyDescent="0.25">
      <c r="A24" s="1177"/>
      <c r="B24" s="1258" t="s">
        <v>1</v>
      </c>
      <c r="C24" s="1258"/>
      <c r="D24" s="1258"/>
      <c r="E24" s="1259">
        <f>RESUMEN!T148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+'OT18-010 SIBERIA'!L37</f>
        <v>ACTA 1</v>
      </c>
      <c r="C28" s="1253">
        <f>+'OT18-010 SIBERIA'!M37</f>
        <v>3023751</v>
      </c>
      <c r="D28" s="1253"/>
      <c r="E28" s="267">
        <f>+'OT18-010 SIBERIA'!N37</f>
        <v>0.21842949838562684</v>
      </c>
      <c r="F28" s="1177"/>
      <c r="G28" s="1177"/>
    </row>
    <row r="29" spans="1:7" x14ac:dyDescent="0.25">
      <c r="A29" s="1177"/>
      <c r="B29" s="280" t="str">
        <f>+'OT18-010 SIBERIA'!L38</f>
        <v>ACTA 2</v>
      </c>
      <c r="C29" s="1253">
        <f>+'OT18-010 SIBERIA'!M38</f>
        <v>0</v>
      </c>
      <c r="D29" s="1253"/>
      <c r="E29" s="267">
        <f>+'OT18-010 SIBERIA'!N38</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3023751</v>
      </c>
      <c r="D34" s="1251"/>
      <c r="E34" s="264">
        <f>SUM(E28:E33)</f>
        <v>0.21842949838562684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RESUMEN!V148</f>
        <v>Ing. Mónica Pineda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1">
    <tabColor rgb="FF72104A"/>
  </sheetPr>
  <dimension ref="A1:Q44"/>
  <sheetViews>
    <sheetView topLeftCell="E22" zoomScale="70" zoomScaleNormal="70" workbookViewId="0">
      <selection activeCell="T18" sqref="T18"/>
    </sheetView>
  </sheetViews>
  <sheetFormatPr baseColWidth="10" defaultColWidth="9.109375" defaultRowHeight="14.4" x14ac:dyDescent="0.3"/>
  <cols>
    <col min="1" max="1" width="15.33203125" style="795" customWidth="1"/>
    <col min="2" max="2" width="25.109375" style="795" customWidth="1"/>
    <col min="3" max="3" width="23.88671875" style="795" customWidth="1"/>
    <col min="4" max="4" width="23.109375" style="795" customWidth="1"/>
    <col min="5" max="5" width="15.44140625" style="795" customWidth="1"/>
    <col min="6" max="6" width="13.33203125" style="795" customWidth="1"/>
    <col min="7" max="7" width="21.88671875" style="795" customWidth="1"/>
    <col min="8" max="8" width="43" style="795" customWidth="1"/>
    <col min="9" max="9" width="19.88671875" style="795" customWidth="1"/>
    <col min="10" max="10" width="17.88671875" style="795" bestFit="1" customWidth="1"/>
    <col min="11" max="11" width="9.109375" style="795"/>
    <col min="12" max="14" width="20.33203125" style="1054" customWidth="1"/>
    <col min="15" max="15" width="20.88671875" style="795" customWidth="1"/>
    <col min="16" max="16" width="18.44140625" style="795" customWidth="1"/>
    <col min="17" max="16384" width="9.109375" style="795"/>
  </cols>
  <sheetData>
    <row r="1" spans="1:17" s="804" customFormat="1" ht="30.75" customHeight="1" x14ac:dyDescent="0.3">
      <c r="A1" s="169"/>
      <c r="B1" s="188"/>
      <c r="C1" s="1307" t="s">
        <v>40</v>
      </c>
      <c r="D1" s="1308"/>
      <c r="E1" s="1308"/>
      <c r="F1" s="1308"/>
      <c r="G1" s="1308"/>
      <c r="H1" s="1308"/>
      <c r="I1" s="1308"/>
      <c r="J1" s="1308"/>
      <c r="K1" s="1532" t="s">
        <v>2134</v>
      </c>
      <c r="L1" s="1532"/>
      <c r="M1" s="1532"/>
      <c r="N1" s="1532"/>
      <c r="O1" s="1532"/>
      <c r="P1" s="1532"/>
      <c r="Q1" s="1532"/>
    </row>
    <row r="2" spans="1:17" s="804" customFormat="1" ht="15" thickBot="1" x14ac:dyDescent="0.35">
      <c r="A2" s="170"/>
      <c r="B2" s="190"/>
      <c r="C2" s="1310"/>
      <c r="D2" s="1311"/>
      <c r="E2" s="1311"/>
      <c r="F2" s="1311"/>
      <c r="G2" s="1311"/>
      <c r="H2" s="1311"/>
      <c r="I2" s="1311"/>
      <c r="J2" s="1311"/>
      <c r="K2" s="1459" t="s">
        <v>41</v>
      </c>
      <c r="L2" s="1459"/>
      <c r="M2" s="1459"/>
      <c r="N2" s="1459"/>
      <c r="O2" s="1459"/>
      <c r="P2" s="1459"/>
      <c r="Q2" s="1459"/>
    </row>
    <row r="3" spans="1:17" s="804" customFormat="1" x14ac:dyDescent="0.3">
      <c r="A3" s="1292" t="s">
        <v>42</v>
      </c>
      <c r="B3" s="1292"/>
      <c r="C3" s="1292"/>
      <c r="D3" s="1292"/>
      <c r="E3" s="1292"/>
      <c r="F3" s="1292"/>
      <c r="G3" s="1292"/>
      <c r="H3" s="1292"/>
      <c r="I3" s="1292"/>
      <c r="J3" s="1292"/>
      <c r="K3" s="1292"/>
      <c r="L3" s="1292"/>
      <c r="M3" s="1292"/>
      <c r="N3" s="1292"/>
      <c r="O3" s="1292"/>
      <c r="P3" s="1292"/>
      <c r="Q3" s="831"/>
    </row>
    <row r="4" spans="1:17" s="804" customFormat="1" x14ac:dyDescent="0.3">
      <c r="A4" s="1292" t="s">
        <v>43</v>
      </c>
      <c r="B4" s="1292"/>
      <c r="C4" s="1292"/>
      <c r="D4" s="1292"/>
      <c r="E4" s="1292"/>
      <c r="F4" s="1292"/>
      <c r="G4" s="1292"/>
      <c r="H4" s="1292"/>
      <c r="I4" s="1292"/>
      <c r="J4" s="1292"/>
      <c r="K4" s="1292"/>
      <c r="L4" s="1292"/>
      <c r="M4" s="1292"/>
      <c r="N4" s="1292"/>
      <c r="O4" s="1292"/>
      <c r="P4" s="1292"/>
      <c r="Q4" s="831"/>
    </row>
    <row r="5" spans="1:17" s="804" customFormat="1" x14ac:dyDescent="0.3">
      <c r="A5" s="1292" t="s">
        <v>44</v>
      </c>
      <c r="B5" s="1292"/>
      <c r="C5" s="1292"/>
      <c r="D5" s="1292"/>
      <c r="E5" s="1292"/>
      <c r="F5" s="1292"/>
      <c r="G5" s="1292"/>
      <c r="H5" s="1292"/>
      <c r="I5" s="1292"/>
      <c r="J5" s="1292"/>
      <c r="K5" s="1292"/>
      <c r="L5" s="1292"/>
      <c r="M5" s="1292"/>
      <c r="N5" s="1292"/>
      <c r="O5" s="1292"/>
      <c r="P5" s="1292"/>
      <c r="Q5" s="831"/>
    </row>
    <row r="6" spans="1:17" s="804" customFormat="1" x14ac:dyDescent="0.3">
      <c r="A6" s="1292" t="s">
        <v>45</v>
      </c>
      <c r="B6" s="1292"/>
      <c r="C6" s="1292"/>
      <c r="D6" s="1292"/>
      <c r="E6" s="1292"/>
      <c r="F6" s="1292"/>
      <c r="G6" s="1292"/>
      <c r="H6" s="1292"/>
      <c r="I6" s="1292"/>
      <c r="J6" s="1292"/>
      <c r="K6" s="1292"/>
      <c r="L6" s="1292"/>
      <c r="M6" s="1292"/>
      <c r="N6" s="1292"/>
      <c r="O6" s="1292"/>
      <c r="P6" s="1292"/>
      <c r="Q6" s="831"/>
    </row>
    <row r="7" spans="1:17" s="804" customFormat="1" ht="16.5" customHeight="1" x14ac:dyDescent="0.3">
      <c r="A7" s="1291" t="s">
        <v>1766</v>
      </c>
      <c r="B7" s="1292"/>
      <c r="C7" s="1292"/>
      <c r="D7" s="1292"/>
      <c r="E7" s="1292"/>
      <c r="F7" s="1292"/>
      <c r="G7" s="1292"/>
      <c r="H7" s="1292"/>
      <c r="I7" s="1292"/>
      <c r="J7" s="1292"/>
      <c r="K7" s="1292"/>
      <c r="L7" s="1292"/>
      <c r="M7" s="1292"/>
      <c r="N7" s="1292"/>
      <c r="O7" s="1292"/>
      <c r="P7" s="1292"/>
      <c r="Q7" s="831"/>
    </row>
    <row r="8" spans="1:17" s="804" customFormat="1" x14ac:dyDescent="0.3">
      <c r="A8" s="1292" t="s">
        <v>2323</v>
      </c>
      <c r="B8" s="1292"/>
      <c r="C8" s="1292"/>
      <c r="D8" s="1292"/>
      <c r="E8" s="1292"/>
      <c r="F8" s="1292"/>
      <c r="G8" s="1292"/>
      <c r="H8" s="1292"/>
      <c r="I8" s="1292"/>
      <c r="J8" s="1292"/>
      <c r="K8" s="1292"/>
      <c r="L8" s="1292"/>
      <c r="M8" s="1292"/>
      <c r="N8" s="1292"/>
      <c r="O8" s="1292"/>
      <c r="P8" s="1292"/>
      <c r="Q8" s="831"/>
    </row>
    <row r="9" spans="1:17" s="804" customFormat="1" x14ac:dyDescent="0.3">
      <c r="A9" s="1292" t="s">
        <v>2305</v>
      </c>
      <c r="B9" s="1292"/>
      <c r="C9" s="1292"/>
      <c r="D9" s="1292"/>
      <c r="E9" s="1292"/>
      <c r="F9" s="1292"/>
      <c r="G9" s="1292"/>
      <c r="H9" s="1292"/>
      <c r="I9" s="1292"/>
      <c r="J9" s="1292"/>
      <c r="K9" s="1292"/>
      <c r="L9" s="1292"/>
      <c r="M9" s="1292"/>
      <c r="N9" s="1292"/>
      <c r="O9" s="1292"/>
      <c r="P9" s="1292"/>
      <c r="Q9" s="831"/>
    </row>
    <row r="10" spans="1:17" s="804" customFormat="1" x14ac:dyDescent="0.3">
      <c r="A10" s="1292" t="s">
        <v>2135</v>
      </c>
      <c r="B10" s="1292"/>
      <c r="C10" s="1292"/>
      <c r="D10" s="1292"/>
      <c r="E10" s="1292"/>
      <c r="F10" s="1292"/>
      <c r="G10" s="1292"/>
      <c r="H10" s="1292"/>
      <c r="I10" s="1292"/>
      <c r="J10" s="1292"/>
      <c r="K10" s="1292"/>
      <c r="L10" s="1292"/>
      <c r="M10" s="1292"/>
      <c r="N10" s="1292"/>
      <c r="O10" s="1292"/>
      <c r="P10" s="1292"/>
      <c r="Q10" s="831"/>
    </row>
    <row r="11" spans="1:17" s="804" customFormat="1" x14ac:dyDescent="0.3">
      <c r="A11" s="802"/>
      <c r="B11" s="1301"/>
      <c r="C11" s="1313"/>
      <c r="D11" s="1313"/>
      <c r="E11" s="1313"/>
      <c r="F11" s="1313"/>
      <c r="G11" s="1313"/>
      <c r="I11" s="1470" t="s">
        <v>1982</v>
      </c>
      <c r="J11" s="1471"/>
      <c r="K11" s="1472"/>
      <c r="L11" s="1470" t="s">
        <v>2324</v>
      </c>
      <c r="M11" s="1471"/>
      <c r="N11" s="1472"/>
      <c r="O11" s="1299" t="s">
        <v>49</v>
      </c>
      <c r="P11" s="1299"/>
      <c r="Q11" s="1299"/>
    </row>
    <row r="12" spans="1:17" s="804" customFormat="1" ht="18" customHeight="1" x14ac:dyDescent="0.3">
      <c r="A12" s="171"/>
      <c r="B12" s="1301"/>
      <c r="C12" s="1302"/>
      <c r="D12" s="1302"/>
      <c r="E12" s="1302"/>
      <c r="F12" s="1302"/>
      <c r="G12" s="1302"/>
      <c r="H12" s="831"/>
      <c r="I12" s="1523"/>
      <c r="J12" s="1524"/>
      <c r="K12" s="1525"/>
      <c r="L12" s="1523"/>
      <c r="M12" s="1524"/>
      <c r="N12" s="1525"/>
      <c r="O12" s="1300"/>
      <c r="P12" s="1300"/>
      <c r="Q12" s="1300"/>
    </row>
    <row r="13" spans="1:17"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c r="O13" s="502" t="s">
        <v>54</v>
      </c>
      <c r="P13" s="502" t="s">
        <v>56</v>
      </c>
      <c r="Q13" s="502" t="s">
        <v>58</v>
      </c>
    </row>
    <row r="14" spans="1:17" ht="109.5" customHeight="1" x14ac:dyDescent="0.3">
      <c r="A14" s="1289" t="s">
        <v>280</v>
      </c>
      <c r="B14" s="1290" t="s">
        <v>240</v>
      </c>
      <c r="C14" s="803" t="s">
        <v>59</v>
      </c>
      <c r="D14" s="803" t="s">
        <v>241</v>
      </c>
      <c r="E14" s="803">
        <v>1.3</v>
      </c>
      <c r="F14" s="32">
        <v>2561850</v>
      </c>
      <c r="G14" s="32">
        <f>ROUND((E14*F14),0)</f>
        <v>3330405</v>
      </c>
      <c r="H14" s="1289" t="s">
        <v>2051</v>
      </c>
      <c r="I14" s="799">
        <v>0</v>
      </c>
      <c r="J14" s="685">
        <f>ROUND(I14*F14,0)</f>
        <v>0</v>
      </c>
      <c r="K14" s="684">
        <f>J14/G14</f>
        <v>0</v>
      </c>
      <c r="L14" s="799">
        <v>0</v>
      </c>
      <c r="M14" s="685">
        <f>ROUND(L14*F14,0)</f>
        <v>0</v>
      </c>
      <c r="N14" s="684">
        <f>M14/G14</f>
        <v>0</v>
      </c>
      <c r="O14" s="799">
        <f>I14+L14</f>
        <v>0</v>
      </c>
      <c r="P14" s="685">
        <f>J14+M14</f>
        <v>0</v>
      </c>
      <c r="Q14" s="684">
        <f t="shared" ref="Q14" si="0">+P14/G14</f>
        <v>0</v>
      </c>
    </row>
    <row r="15" spans="1:17" x14ac:dyDescent="0.3">
      <c r="A15" s="1289"/>
      <c r="B15" s="1289"/>
      <c r="C15" s="39"/>
      <c r="D15" s="39" t="s">
        <v>242</v>
      </c>
      <c r="E15" s="41"/>
      <c r="F15" s="854"/>
      <c r="G15" s="42">
        <f>G14</f>
        <v>3330405</v>
      </c>
      <c r="H15" s="1289"/>
      <c r="I15" s="40"/>
      <c r="J15" s="683">
        <f>SUM(J14)</f>
        <v>0</v>
      </c>
      <c r="K15" s="519">
        <f>J15/G15</f>
        <v>0</v>
      </c>
      <c r="L15" s="40"/>
      <c r="M15" s="683">
        <f>SUM(M14)</f>
        <v>0</v>
      </c>
      <c r="N15" s="1100">
        <f t="shared" ref="N15:N27" si="1">M15/G15</f>
        <v>0</v>
      </c>
      <c r="O15" s="1106">
        <f t="shared" ref="O15:O26" si="2">I15+L15</f>
        <v>0</v>
      </c>
      <c r="P15" s="1107">
        <f t="shared" ref="P15:P27" si="3">J15+M15</f>
        <v>0</v>
      </c>
      <c r="Q15" s="519">
        <f t="shared" ref="Q15" si="4">P15/G15</f>
        <v>0</v>
      </c>
    </row>
    <row r="16" spans="1:17" ht="98.25" customHeight="1" x14ac:dyDescent="0.3">
      <c r="A16" s="1289" t="s">
        <v>280</v>
      </c>
      <c r="B16" s="1289" t="s">
        <v>244</v>
      </c>
      <c r="C16" s="803" t="s">
        <v>245</v>
      </c>
      <c r="D16" s="803" t="s">
        <v>246</v>
      </c>
      <c r="E16" s="803">
        <v>1</v>
      </c>
      <c r="F16" s="32">
        <v>1939687</v>
      </c>
      <c r="G16" s="32">
        <f>ROUND((E16*F16),0)</f>
        <v>1939687</v>
      </c>
      <c r="H16" s="1290" t="s">
        <v>2052</v>
      </c>
      <c r="I16" s="537">
        <v>0.3</v>
      </c>
      <c r="J16" s="752">
        <f>ROUND(I16*F16,0)</f>
        <v>581906</v>
      </c>
      <c r="K16" s="753">
        <f>J16/G16</f>
        <v>0.29999994844529038</v>
      </c>
      <c r="L16" s="891">
        <v>0</v>
      </c>
      <c r="M16" s="892">
        <f>ROUND(L16*F16,0)</f>
        <v>0</v>
      </c>
      <c r="N16" s="684">
        <f t="shared" si="1"/>
        <v>0</v>
      </c>
      <c r="O16" s="799">
        <f t="shared" si="2"/>
        <v>0.3</v>
      </c>
      <c r="P16" s="685">
        <f t="shared" si="3"/>
        <v>581906</v>
      </c>
      <c r="Q16" s="684">
        <f t="shared" ref="Q16" si="5">+P16/G16</f>
        <v>0.29999994844529038</v>
      </c>
    </row>
    <row r="17" spans="1:17" x14ac:dyDescent="0.3">
      <c r="A17" s="1289"/>
      <c r="B17" s="1289"/>
      <c r="C17" s="39"/>
      <c r="D17" s="39" t="s">
        <v>247</v>
      </c>
      <c r="E17" s="41"/>
      <c r="F17" s="854"/>
      <c r="G17" s="42">
        <f>G16</f>
        <v>1939687</v>
      </c>
      <c r="H17" s="1289"/>
      <c r="I17" s="40"/>
      <c r="J17" s="683">
        <f>SUM(J16)</f>
        <v>581906</v>
      </c>
      <c r="K17" s="519">
        <f>J17/G17</f>
        <v>0.29999994844529038</v>
      </c>
      <c r="L17" s="40"/>
      <c r="M17" s="683">
        <f>SUM(M16)</f>
        <v>0</v>
      </c>
      <c r="N17" s="1100">
        <f t="shared" si="1"/>
        <v>0</v>
      </c>
      <c r="O17" s="1106">
        <f t="shared" si="2"/>
        <v>0</v>
      </c>
      <c r="P17" s="1107">
        <f t="shared" si="3"/>
        <v>581906</v>
      </c>
      <c r="Q17" s="519">
        <f t="shared" ref="Q17" si="6">P17/G17</f>
        <v>0.29999994844529038</v>
      </c>
    </row>
    <row r="18" spans="1:17" ht="37.5" customHeight="1" x14ac:dyDescent="0.3">
      <c r="A18" s="1289" t="s">
        <v>281</v>
      </c>
      <c r="B18" s="1289" t="s">
        <v>251</v>
      </c>
      <c r="C18" s="803" t="s">
        <v>59</v>
      </c>
      <c r="D18" s="803" t="s">
        <v>145</v>
      </c>
      <c r="E18" s="803">
        <v>0</v>
      </c>
      <c r="F18" s="32">
        <v>988142</v>
      </c>
      <c r="G18" s="32">
        <f>ROUND((E18*F18),0)</f>
        <v>0</v>
      </c>
      <c r="H18" s="1290" t="s">
        <v>2053</v>
      </c>
      <c r="I18" s="799">
        <v>0</v>
      </c>
      <c r="J18" s="685">
        <f>ROUND(I18*F18,0)</f>
        <v>0</v>
      </c>
      <c r="K18" s="684">
        <v>0</v>
      </c>
      <c r="L18" s="799">
        <v>0</v>
      </c>
      <c r="M18" s="685">
        <f>ROUND(L18*F18,0)</f>
        <v>0</v>
      </c>
      <c r="N18" s="684">
        <v>0</v>
      </c>
      <c r="O18" s="799">
        <f t="shared" si="2"/>
        <v>0</v>
      </c>
      <c r="P18" s="685">
        <f t="shared" si="3"/>
        <v>0</v>
      </c>
      <c r="Q18" s="684">
        <v>0</v>
      </c>
    </row>
    <row r="19" spans="1:17" ht="97.5" customHeight="1" x14ac:dyDescent="0.3">
      <c r="A19" s="1289"/>
      <c r="B19" s="1289"/>
      <c r="C19" s="803" t="s">
        <v>61</v>
      </c>
      <c r="D19" s="803" t="s">
        <v>146</v>
      </c>
      <c r="E19" s="803">
        <v>0.65</v>
      </c>
      <c r="F19" s="32">
        <v>5453081</v>
      </c>
      <c r="G19" s="32">
        <f>ROUND((E19*F19),0)</f>
        <v>3544503</v>
      </c>
      <c r="H19" s="1289"/>
      <c r="I19" s="537">
        <v>0.3</v>
      </c>
      <c r="J19" s="752">
        <f>ROUND(I19*F19,0)</f>
        <v>1635924</v>
      </c>
      <c r="K19" s="753">
        <f t="shared" ref="K19:K27" si="7">J19/G19</f>
        <v>0.46153833132599975</v>
      </c>
      <c r="L19" s="891">
        <v>0</v>
      </c>
      <c r="M19" s="685">
        <f>ROUND(L19*F19,0)</f>
        <v>0</v>
      </c>
      <c r="N19" s="684">
        <f t="shared" si="1"/>
        <v>0</v>
      </c>
      <c r="O19" s="799">
        <f t="shared" si="2"/>
        <v>0.3</v>
      </c>
      <c r="P19" s="685">
        <f t="shared" si="3"/>
        <v>1635924</v>
      </c>
      <c r="Q19" s="684">
        <f t="shared" ref="Q19" si="8">+P19/G19</f>
        <v>0.46153833132599975</v>
      </c>
    </row>
    <row r="20" spans="1:17" x14ac:dyDescent="0.3">
      <c r="A20" s="1289"/>
      <c r="B20" s="1289"/>
      <c r="C20" s="39"/>
      <c r="D20" s="39" t="s">
        <v>147</v>
      </c>
      <c r="E20" s="41"/>
      <c r="F20" s="854"/>
      <c r="G20" s="42">
        <f>SUM(G18:G19)</f>
        <v>3544503</v>
      </c>
      <c r="H20" s="1289"/>
      <c r="I20" s="40"/>
      <c r="J20" s="683">
        <f>SUM(J18:J19)</f>
        <v>1635924</v>
      </c>
      <c r="K20" s="519">
        <f t="shared" si="7"/>
        <v>0.46153833132599975</v>
      </c>
      <c r="L20" s="40"/>
      <c r="M20" s="683">
        <f>SUM(M18:M19)</f>
        <v>0</v>
      </c>
      <c r="N20" s="1100">
        <f t="shared" si="1"/>
        <v>0</v>
      </c>
      <c r="O20" s="1106">
        <f t="shared" si="2"/>
        <v>0</v>
      </c>
      <c r="P20" s="1107">
        <f t="shared" si="3"/>
        <v>1635924</v>
      </c>
      <c r="Q20" s="519">
        <f t="shared" ref="Q20" si="9">P20/G20</f>
        <v>0.46153833132599975</v>
      </c>
    </row>
    <row r="21" spans="1:17" ht="66" customHeight="1" x14ac:dyDescent="0.3">
      <c r="A21" s="1289" t="s">
        <v>281</v>
      </c>
      <c r="B21" s="1289" t="s">
        <v>248</v>
      </c>
      <c r="C21" s="803" t="s">
        <v>152</v>
      </c>
      <c r="D21" s="803" t="s">
        <v>249</v>
      </c>
      <c r="E21" s="803">
        <v>1</v>
      </c>
      <c r="F21" s="32">
        <v>329380</v>
      </c>
      <c r="G21" s="32">
        <f>ROUND((E21*F21),0)</f>
        <v>329380</v>
      </c>
      <c r="H21" s="1290" t="s">
        <v>2054</v>
      </c>
      <c r="I21" s="799">
        <v>0</v>
      </c>
      <c r="J21" s="685">
        <f>ROUND(I21*F21,0)</f>
        <v>0</v>
      </c>
      <c r="K21" s="684">
        <f t="shared" si="7"/>
        <v>0</v>
      </c>
      <c r="L21" s="799">
        <v>0</v>
      </c>
      <c r="M21" s="685">
        <f>ROUND(L21*F21,0)</f>
        <v>0</v>
      </c>
      <c r="N21" s="684">
        <f t="shared" si="1"/>
        <v>0</v>
      </c>
      <c r="O21" s="799">
        <f t="shared" si="2"/>
        <v>0</v>
      </c>
      <c r="P21" s="685">
        <f t="shared" si="3"/>
        <v>0</v>
      </c>
      <c r="Q21" s="684">
        <f t="shared" ref="Q21:Q22" si="10">+P21/G21</f>
        <v>0</v>
      </c>
    </row>
    <row r="22" spans="1:17" ht="61.5" customHeight="1" x14ac:dyDescent="0.3">
      <c r="A22" s="1289"/>
      <c r="B22" s="1289"/>
      <c r="C22" s="803" t="s">
        <v>61</v>
      </c>
      <c r="D22" s="803" t="s">
        <v>250</v>
      </c>
      <c r="E22" s="803">
        <v>1</v>
      </c>
      <c r="F22" s="32">
        <v>1683501</v>
      </c>
      <c r="G22" s="32">
        <f>ROUND((E22*F22),0)</f>
        <v>1683501</v>
      </c>
      <c r="H22" s="1289"/>
      <c r="I22" s="537">
        <v>0.3</v>
      </c>
      <c r="J22" s="752">
        <f>ROUND(I22*F22,0)</f>
        <v>505050</v>
      </c>
      <c r="K22" s="753">
        <f t="shared" si="7"/>
        <v>0.29999982179992762</v>
      </c>
      <c r="L22" s="891">
        <v>0</v>
      </c>
      <c r="M22" s="685">
        <f>ROUND(L22*F22,0)</f>
        <v>0</v>
      </c>
      <c r="N22" s="684">
        <f t="shared" si="1"/>
        <v>0</v>
      </c>
      <c r="O22" s="799">
        <f t="shared" si="2"/>
        <v>0.3</v>
      </c>
      <c r="P22" s="685">
        <f t="shared" si="3"/>
        <v>505050</v>
      </c>
      <c r="Q22" s="684">
        <f t="shared" si="10"/>
        <v>0.29999982179992762</v>
      </c>
    </row>
    <row r="23" spans="1:17" x14ac:dyDescent="0.3">
      <c r="A23" s="1289"/>
      <c r="B23" s="1289"/>
      <c r="C23" s="39"/>
      <c r="D23" s="39" t="s">
        <v>102</v>
      </c>
      <c r="E23" s="41"/>
      <c r="F23" s="854"/>
      <c r="G23" s="42">
        <f>SUM(G21:G22)</f>
        <v>2012881</v>
      </c>
      <c r="H23" s="1289"/>
      <c r="I23" s="40"/>
      <c r="J23" s="683">
        <f>SUM(J21:J22)</f>
        <v>505050</v>
      </c>
      <c r="K23" s="519">
        <f t="shared" si="7"/>
        <v>0.25090902045376751</v>
      </c>
      <c r="L23" s="40"/>
      <c r="M23" s="683">
        <f>SUM(M21:M22)</f>
        <v>0</v>
      </c>
      <c r="N23" s="1100">
        <f t="shared" si="1"/>
        <v>0</v>
      </c>
      <c r="O23" s="1106">
        <f t="shared" si="2"/>
        <v>0</v>
      </c>
      <c r="P23" s="1107">
        <f t="shared" si="3"/>
        <v>505050</v>
      </c>
      <c r="Q23" s="519">
        <f t="shared" ref="Q23" si="11">P23/G23</f>
        <v>0.25090902045376751</v>
      </c>
    </row>
    <row r="24" spans="1:17" ht="53.25" customHeight="1" x14ac:dyDescent="0.3">
      <c r="A24" s="1289" t="s">
        <v>281</v>
      </c>
      <c r="B24" s="1289" t="s">
        <v>194</v>
      </c>
      <c r="C24" s="803" t="s">
        <v>160</v>
      </c>
      <c r="D24" s="803" t="s">
        <v>161</v>
      </c>
      <c r="E24" s="803">
        <v>16</v>
      </c>
      <c r="F24" s="32">
        <v>73196</v>
      </c>
      <c r="G24" s="32">
        <f>ROUND((E24*F24),0)</f>
        <v>1171136</v>
      </c>
      <c r="H24" s="1290" t="s">
        <v>2055</v>
      </c>
      <c r="I24" s="799">
        <v>0</v>
      </c>
      <c r="J24" s="685">
        <f>ROUND(I24*F24,0)</f>
        <v>0</v>
      </c>
      <c r="K24" s="684">
        <f t="shared" si="7"/>
        <v>0</v>
      </c>
      <c r="L24" s="799">
        <v>0</v>
      </c>
      <c r="M24" s="685">
        <f>ROUND(L24*F24,0)</f>
        <v>0</v>
      </c>
      <c r="N24" s="684">
        <f t="shared" si="1"/>
        <v>0</v>
      </c>
      <c r="O24" s="799">
        <f t="shared" si="2"/>
        <v>0</v>
      </c>
      <c r="P24" s="685">
        <f t="shared" si="3"/>
        <v>0</v>
      </c>
      <c r="Q24" s="684">
        <f t="shared" ref="Q24" si="12">+P24/G24</f>
        <v>0</v>
      </c>
    </row>
    <row r="25" spans="1:17" x14ac:dyDescent="0.3">
      <c r="A25" s="1289"/>
      <c r="B25" s="1289"/>
      <c r="C25" s="39"/>
      <c r="D25" s="39" t="s">
        <v>162</v>
      </c>
      <c r="E25" s="41"/>
      <c r="F25" s="854"/>
      <c r="G25" s="42">
        <f>G24</f>
        <v>1171136</v>
      </c>
      <c r="H25" s="1289"/>
      <c r="I25" s="40"/>
      <c r="J25" s="683">
        <f>SUM(J24)</f>
        <v>0</v>
      </c>
      <c r="K25" s="519">
        <f t="shared" si="7"/>
        <v>0</v>
      </c>
      <c r="L25" s="40"/>
      <c r="M25" s="683">
        <f>SUM(M24)</f>
        <v>0</v>
      </c>
      <c r="N25" s="1100">
        <f t="shared" si="1"/>
        <v>0</v>
      </c>
      <c r="O25" s="1106">
        <f t="shared" si="2"/>
        <v>0</v>
      </c>
      <c r="P25" s="1107">
        <f t="shared" si="3"/>
        <v>0</v>
      </c>
      <c r="Q25" s="519">
        <f t="shared" ref="Q25" si="13">P25/G25</f>
        <v>0</v>
      </c>
    </row>
    <row r="26" spans="1:17" ht="99" customHeight="1" x14ac:dyDescent="0.3">
      <c r="A26" s="1290" t="s">
        <v>897</v>
      </c>
      <c r="B26" s="1289" t="s">
        <v>252</v>
      </c>
      <c r="C26" s="803" t="s">
        <v>157</v>
      </c>
      <c r="D26" s="803" t="s">
        <v>158</v>
      </c>
      <c r="E26" s="803">
        <v>0.72</v>
      </c>
      <c r="F26" s="32">
        <v>2561850</v>
      </c>
      <c r="G26" s="32">
        <f>ROUND((E26*F26),0)</f>
        <v>1844532</v>
      </c>
      <c r="H26" s="1290" t="s">
        <v>2056</v>
      </c>
      <c r="I26" s="537">
        <f>0.3/3</f>
        <v>9.9999999999999992E-2</v>
      </c>
      <c r="J26" s="752">
        <f>ROUND(I26*F26,0)</f>
        <v>256185</v>
      </c>
      <c r="K26" s="753">
        <f t="shared" si="7"/>
        <v>0.1388888888888889</v>
      </c>
      <c r="L26" s="891">
        <v>0</v>
      </c>
      <c r="M26" s="892">
        <f>ROUND(L26*F26,0)</f>
        <v>0</v>
      </c>
      <c r="N26" s="684">
        <f t="shared" si="1"/>
        <v>0</v>
      </c>
      <c r="O26" s="799">
        <f t="shared" si="2"/>
        <v>9.9999999999999992E-2</v>
      </c>
      <c r="P26" s="685">
        <f t="shared" si="3"/>
        <v>256185</v>
      </c>
      <c r="Q26" s="684">
        <f t="shared" ref="Q26" si="14">+P26/G26</f>
        <v>0.1388888888888889</v>
      </c>
    </row>
    <row r="27" spans="1:17" x14ac:dyDescent="0.3">
      <c r="A27" s="1289"/>
      <c r="B27" s="1289"/>
      <c r="C27" s="39"/>
      <c r="D27" s="39" t="s">
        <v>159</v>
      </c>
      <c r="E27" s="41"/>
      <c r="F27" s="854"/>
      <c r="G27" s="42">
        <f>G26</f>
        <v>1844532</v>
      </c>
      <c r="H27" s="1289"/>
      <c r="I27" s="40"/>
      <c r="J27" s="683">
        <f>SUM(J26)</f>
        <v>256185</v>
      </c>
      <c r="K27" s="519">
        <f t="shared" si="7"/>
        <v>0.1388888888888889</v>
      </c>
      <c r="L27" s="40"/>
      <c r="M27" s="683">
        <f>SUM(M26)</f>
        <v>0</v>
      </c>
      <c r="N27" s="1100">
        <f t="shared" si="1"/>
        <v>0</v>
      </c>
      <c r="O27" s="1108"/>
      <c r="P27" s="1107">
        <f t="shared" si="3"/>
        <v>256185</v>
      </c>
      <c r="Q27" s="519">
        <f t="shared" ref="Q27" si="15">P27/G27</f>
        <v>0.1388888888888889</v>
      </c>
    </row>
    <row r="28" spans="1:17" s="804" customFormat="1" x14ac:dyDescent="0.3">
      <c r="F28" s="836" t="s">
        <v>1740</v>
      </c>
      <c r="G28" s="837">
        <f>SUM(G14:G27)/2</f>
        <v>13843144</v>
      </c>
      <c r="I28" s="547" t="s">
        <v>64</v>
      </c>
      <c r="J28" s="855">
        <f>SUM(J27,J25,J23,J20,J17,J15)</f>
        <v>2979065</v>
      </c>
      <c r="L28" s="547" t="s">
        <v>64</v>
      </c>
      <c r="M28" s="855">
        <f>SUM(M27,M25,M23,M20,M17,M15)</f>
        <v>0</v>
      </c>
      <c r="N28" s="1054"/>
      <c r="O28" s="547" t="s">
        <v>64</v>
      </c>
      <c r="P28" s="835">
        <f>SUM(P27,P25,P23,P20,P17,P15)</f>
        <v>2979065</v>
      </c>
    </row>
    <row r="29" spans="1:17" s="804" customFormat="1" ht="26.4" x14ac:dyDescent="0.3">
      <c r="F29" s="548" t="s">
        <v>65</v>
      </c>
      <c r="G29" s="481">
        <v>0</v>
      </c>
      <c r="I29" s="548" t="s">
        <v>65</v>
      </c>
      <c r="J29" s="677">
        <v>0</v>
      </c>
      <c r="L29" s="548" t="s">
        <v>65</v>
      </c>
      <c r="M29" s="677">
        <v>0</v>
      </c>
      <c r="N29" s="1054"/>
      <c r="O29" s="548" t="s">
        <v>65</v>
      </c>
      <c r="P29" s="677">
        <v>0</v>
      </c>
    </row>
    <row r="30" spans="1:17" s="804" customFormat="1" x14ac:dyDescent="0.3">
      <c r="F30" s="549" t="s">
        <v>1740</v>
      </c>
      <c r="G30" s="340">
        <f>+G29+G28</f>
        <v>13843144</v>
      </c>
      <c r="I30" s="549" t="s">
        <v>64</v>
      </c>
      <c r="J30" s="481">
        <f>J28+J29</f>
        <v>2979065</v>
      </c>
      <c r="L30" s="549" t="s">
        <v>64</v>
      </c>
      <c r="M30" s="481">
        <f>M28+M29</f>
        <v>0</v>
      </c>
      <c r="N30" s="1054"/>
      <c r="O30" s="549" t="s">
        <v>64</v>
      </c>
      <c r="P30" s="481">
        <f>P28+P29</f>
        <v>2979065</v>
      </c>
    </row>
    <row r="31" spans="1:17" s="804" customFormat="1" ht="18" customHeight="1" x14ac:dyDescent="0.3">
      <c r="F31" s="810"/>
      <c r="G31" s="810"/>
      <c r="I31" s="501" t="s">
        <v>1439</v>
      </c>
      <c r="J31" s="481">
        <f>ROUND(J30*0.015,0)</f>
        <v>44686</v>
      </c>
      <c r="L31" s="501" t="s">
        <v>1439</v>
      </c>
      <c r="M31" s="481">
        <f>ROUND(M30*0.015,0)</f>
        <v>0</v>
      </c>
      <c r="N31" s="1054"/>
      <c r="O31" s="501" t="s">
        <v>1439</v>
      </c>
      <c r="P31" s="481">
        <f>ROUND(P30*0.015,0)</f>
        <v>44686</v>
      </c>
    </row>
    <row r="32" spans="1:17" s="804" customFormat="1" ht="27.75" customHeight="1" x14ac:dyDescent="0.3">
      <c r="F32" s="810"/>
      <c r="G32" s="810"/>
      <c r="I32" s="96" t="s">
        <v>1440</v>
      </c>
      <c r="J32" s="783">
        <f>J30+J31</f>
        <v>3023751</v>
      </c>
      <c r="K32" s="832">
        <f>J32/G28</f>
        <v>0.21842949838562684</v>
      </c>
      <c r="L32" s="96" t="s">
        <v>1440</v>
      </c>
      <c r="M32" s="783">
        <f>M30+M31</f>
        <v>0</v>
      </c>
      <c r="N32" s="832">
        <f>M32/G28</f>
        <v>0</v>
      </c>
      <c r="O32" s="96" t="s">
        <v>1440</v>
      </c>
      <c r="P32" s="783">
        <f>+P31+P30</f>
        <v>3023751</v>
      </c>
      <c r="Q32" s="832">
        <f>P32/G28</f>
        <v>0.21842949838562684</v>
      </c>
    </row>
    <row r="33" spans="1:16" s="804" customFormat="1" x14ac:dyDescent="0.3">
      <c r="F33" s="551" t="s">
        <v>66</v>
      </c>
      <c r="G33" s="481">
        <f>+G28*19%</f>
        <v>2630197.36</v>
      </c>
      <c r="I33" s="551" t="s">
        <v>66</v>
      </c>
      <c r="J33" s="672">
        <f>J32*0.19</f>
        <v>574512.69000000006</v>
      </c>
      <c r="L33" s="551" t="s">
        <v>66</v>
      </c>
      <c r="M33" s="672">
        <f>M32*0.19</f>
        <v>0</v>
      </c>
      <c r="N33" s="1054"/>
      <c r="O33" s="551" t="s">
        <v>66</v>
      </c>
      <c r="P33" s="672">
        <f>P32*0.19</f>
        <v>574512.69000000006</v>
      </c>
    </row>
    <row r="34" spans="1:16" s="804" customFormat="1" x14ac:dyDescent="0.3">
      <c r="F34" s="552" t="s">
        <v>69</v>
      </c>
      <c r="G34" s="481">
        <f>+G28+G33</f>
        <v>16473341.359999999</v>
      </c>
      <c r="I34" s="552" t="s">
        <v>69</v>
      </c>
      <c r="J34" s="672">
        <f>J32+J33</f>
        <v>3598263.69</v>
      </c>
      <c r="L34" s="552" t="s">
        <v>69</v>
      </c>
      <c r="M34" s="672">
        <f>M32+M33</f>
        <v>0</v>
      </c>
      <c r="N34" s="1054"/>
      <c r="O34" s="552" t="s">
        <v>69</v>
      </c>
      <c r="P34" s="672">
        <f>P32+P33</f>
        <v>3598263.69</v>
      </c>
    </row>
    <row r="35" spans="1:16" s="804" customFormat="1" x14ac:dyDescent="0.3">
      <c r="L35" s="1054"/>
      <c r="M35" s="1054"/>
      <c r="N35" s="1054"/>
    </row>
    <row r="36" spans="1:16" s="804" customFormat="1" ht="26.25" customHeight="1" x14ac:dyDescent="0.3">
      <c r="A36" s="665" t="s">
        <v>67</v>
      </c>
      <c r="B36" s="184"/>
      <c r="C36" s="184"/>
      <c r="D36" s="185" t="s">
        <v>68</v>
      </c>
      <c r="I36" s="186" t="s">
        <v>70</v>
      </c>
      <c r="J36" s="187" t="s">
        <v>71</v>
      </c>
      <c r="K36" s="186" t="s">
        <v>58</v>
      </c>
      <c r="L36" s="186" t="s">
        <v>70</v>
      </c>
      <c r="M36" s="187" t="s">
        <v>71</v>
      </c>
      <c r="N36" s="186" t="s">
        <v>58</v>
      </c>
    </row>
    <row r="37" spans="1:16" s="804" customFormat="1" x14ac:dyDescent="0.3">
      <c r="A37" s="665"/>
      <c r="B37" s="184"/>
      <c r="C37" s="184"/>
      <c r="D37" s="185"/>
      <c r="I37" s="69" t="s">
        <v>72</v>
      </c>
      <c r="J37" s="70">
        <f>J32</f>
        <v>3023751</v>
      </c>
      <c r="K37" s="360">
        <f>K32</f>
        <v>0.21842949838562684</v>
      </c>
      <c r="L37" s="69" t="s">
        <v>72</v>
      </c>
      <c r="M37" s="70">
        <f>$J$32</f>
        <v>3023751</v>
      </c>
      <c r="N37" s="360">
        <f>$K$32</f>
        <v>0.21842949838562684</v>
      </c>
    </row>
    <row r="38" spans="1:16" s="804" customFormat="1" x14ac:dyDescent="0.3">
      <c r="A38" s="665"/>
      <c r="B38" s="184"/>
      <c r="C38" s="184"/>
      <c r="D38" s="185"/>
      <c r="I38" s="72" t="s">
        <v>1</v>
      </c>
      <c r="J38" s="105">
        <f>J37</f>
        <v>3023751</v>
      </c>
      <c r="K38" s="361">
        <f>K37</f>
        <v>0.21842949838562684</v>
      </c>
      <c r="L38" s="69" t="s">
        <v>73</v>
      </c>
      <c r="M38" s="70">
        <f>$M$32</f>
        <v>0</v>
      </c>
      <c r="N38" s="360">
        <f>$N$32</f>
        <v>0</v>
      </c>
    </row>
    <row r="39" spans="1:16" s="804" customFormat="1" x14ac:dyDescent="0.3">
      <c r="A39" s="665"/>
      <c r="B39" s="184"/>
      <c r="C39" s="184"/>
      <c r="D39" s="185"/>
      <c r="I39" s="72" t="s">
        <v>9</v>
      </c>
      <c r="J39" s="1423"/>
      <c r="K39" s="1424"/>
      <c r="L39" s="72" t="s">
        <v>1</v>
      </c>
      <c r="M39" s="105">
        <f>SUM(M37:M38)</f>
        <v>3023751</v>
      </c>
      <c r="N39" s="361">
        <f>SUM(N37:N38)</f>
        <v>0.21842949838562684</v>
      </c>
    </row>
    <row r="40" spans="1:16" s="804" customFormat="1" x14ac:dyDescent="0.3">
      <c r="A40" s="665"/>
      <c r="B40" s="184"/>
      <c r="C40" s="184"/>
      <c r="D40" s="185"/>
      <c r="I40" s="440" t="s">
        <v>78</v>
      </c>
      <c r="J40" s="1423" t="s">
        <v>2233</v>
      </c>
      <c r="K40" s="1424"/>
      <c r="L40" s="72" t="s">
        <v>9</v>
      </c>
      <c r="M40" s="1423"/>
      <c r="N40" s="1424"/>
    </row>
    <row r="41" spans="1:16" s="804" customFormat="1" x14ac:dyDescent="0.3">
      <c r="A41" s="665"/>
      <c r="B41" s="184"/>
      <c r="C41" s="184"/>
      <c r="D41" s="185"/>
      <c r="I41" s="439" t="s">
        <v>8</v>
      </c>
      <c r="J41" s="1423" t="s">
        <v>2234</v>
      </c>
      <c r="K41" s="1424"/>
      <c r="L41" s="440" t="s">
        <v>78</v>
      </c>
      <c r="M41" s="1423" t="s">
        <v>2233</v>
      </c>
      <c r="N41" s="1424"/>
    </row>
    <row r="42" spans="1:16" s="804" customFormat="1" x14ac:dyDescent="0.3">
      <c r="A42" s="665"/>
      <c r="B42" s="184"/>
      <c r="C42" s="184"/>
      <c r="D42" s="185" t="s">
        <v>75</v>
      </c>
      <c r="L42" s="439" t="s">
        <v>8</v>
      </c>
      <c r="M42" s="1423" t="s">
        <v>2234</v>
      </c>
      <c r="N42" s="1424"/>
    </row>
    <row r="43" spans="1:16" s="804" customFormat="1" x14ac:dyDescent="0.3">
      <c r="A43" s="665" t="s">
        <v>76</v>
      </c>
      <c r="B43" s="180"/>
      <c r="C43" s="180"/>
      <c r="D43" s="185" t="s">
        <v>77</v>
      </c>
      <c r="L43" s="1054"/>
      <c r="M43" s="1054"/>
      <c r="N43" s="1054"/>
    </row>
    <row r="44" spans="1:16" s="804" customFormat="1" ht="26.4" x14ac:dyDescent="0.3">
      <c r="A44" s="665" t="s">
        <v>79</v>
      </c>
      <c r="B44" s="180"/>
      <c r="C44" s="180"/>
      <c r="D44" s="185" t="s">
        <v>80</v>
      </c>
      <c r="L44" s="1054"/>
      <c r="M44" s="1054"/>
      <c r="N44" s="1054"/>
    </row>
  </sheetData>
  <sheetProtection formatCells="0" formatColumns="0" formatRows="0" insertColumns="0" insertRows="0" insertHyperlinks="0" deleteColumns="0" deleteRows="0" sort="0" autoFilter="0" pivotTables="0"/>
  <mergeCells count="40">
    <mergeCell ref="J39:K39"/>
    <mergeCell ref="J40:K40"/>
    <mergeCell ref="J41:K41"/>
    <mergeCell ref="C1:J2"/>
    <mergeCell ref="K1:Q1"/>
    <mergeCell ref="K2:Q2"/>
    <mergeCell ref="A3:P3"/>
    <mergeCell ref="A4:P4"/>
    <mergeCell ref="A5:P5"/>
    <mergeCell ref="A6:P6"/>
    <mergeCell ref="A7:P7"/>
    <mergeCell ref="A8:P8"/>
    <mergeCell ref="A9:P9"/>
    <mergeCell ref="A10:P10"/>
    <mergeCell ref="B11:G11"/>
    <mergeCell ref="I11:K12"/>
    <mergeCell ref="A24:A25"/>
    <mergeCell ref="B24:B25"/>
    <mergeCell ref="O11:Q12"/>
    <mergeCell ref="B12:G12"/>
    <mergeCell ref="A14:A15"/>
    <mergeCell ref="B14:B15"/>
    <mergeCell ref="H14:H15"/>
    <mergeCell ref="L11:N12"/>
    <mergeCell ref="M40:N40"/>
    <mergeCell ref="M41:N41"/>
    <mergeCell ref="M42:N42"/>
    <mergeCell ref="A16:A17"/>
    <mergeCell ref="B16:B17"/>
    <mergeCell ref="H16:H17"/>
    <mergeCell ref="H24:H25"/>
    <mergeCell ref="A26:A27"/>
    <mergeCell ref="B26:B27"/>
    <mergeCell ref="H26:H27"/>
    <mergeCell ref="A18:A20"/>
    <mergeCell ref="B18:B20"/>
    <mergeCell ref="H18:H20"/>
    <mergeCell ref="A21:A23"/>
    <mergeCell ref="B21:B23"/>
    <mergeCell ref="H21:H23"/>
  </mergeCells>
  <pageMargins left="0.70866141732283472" right="0.70866141732283472" top="0.74803149606299213" bottom="0.74803149606299213" header="0.31496062992125984" footer="0.31496062992125984"/>
  <pageSetup paperSize="9" scale="43" orientation="landscape" r:id="rId1"/>
  <rowBreaks count="1" manualBreakCount="1">
    <brk id="25" max="16383" man="1"/>
  </rowBreaks>
  <drawing r:id="rId2"/>
  <legacyDrawingHF r:id="rId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2"/>
  <dimension ref="A1:G49"/>
  <sheetViews>
    <sheetView topLeftCell="A1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RESUMEN!G149</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RESUMEN!B149</f>
        <v>D00235085</v>
      </c>
      <c r="C7" s="1265"/>
      <c r="D7" s="1177"/>
      <c r="E7" s="1266" t="s">
        <v>627</v>
      </c>
      <c r="F7" s="1267"/>
      <c r="G7" s="280" t="str">
        <f>RESUMEN!E149</f>
        <v>18-011</v>
      </c>
    </row>
    <row r="8" spans="1:7" x14ac:dyDescent="0.25">
      <c r="A8" s="271" t="s">
        <v>628</v>
      </c>
      <c r="B8" s="1264" t="str">
        <f>RESUMEN!C149</f>
        <v>D00235085000</v>
      </c>
      <c r="C8" s="1265"/>
      <c r="D8" s="1177"/>
      <c r="E8" s="1266" t="s">
        <v>629</v>
      </c>
      <c r="F8" s="1267"/>
      <c r="G8" s="280" t="str">
        <f>RESUMEN!U149</f>
        <v>Acta N° 1: Marzo</v>
      </c>
    </row>
    <row r="9" spans="1:7" x14ac:dyDescent="0.25">
      <c r="A9" s="271" t="s">
        <v>630</v>
      </c>
      <c r="B9" s="1283" t="s">
        <v>631</v>
      </c>
      <c r="C9" s="1265"/>
      <c r="D9" s="1177"/>
      <c r="E9" s="1266" t="s">
        <v>632</v>
      </c>
      <c r="F9" s="1267"/>
      <c r="G9" s="1178">
        <f>RESUMEN!H149</f>
        <v>1624950</v>
      </c>
    </row>
    <row r="10" spans="1:7" x14ac:dyDescent="0.25">
      <c r="A10" s="271" t="s">
        <v>633</v>
      </c>
      <c r="B10" s="1283" t="str">
        <f>RESUMEN!D149</f>
        <v xml:space="preserve"> SIBERIA</v>
      </c>
      <c r="C10" s="1265"/>
      <c r="D10" s="1177"/>
      <c r="E10" s="1266" t="s">
        <v>634</v>
      </c>
      <c r="F10" s="1267"/>
      <c r="G10" s="1178">
        <f>RESUMEN!R149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RESUMEN!V149,"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",RESUMEN!G149)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RESUMEN!N149</f>
        <v>0</v>
      </c>
      <c r="F19" s="1248"/>
      <c r="G19" s="1177"/>
    </row>
    <row r="20" spans="1:7" ht="27" customHeight="1" x14ac:dyDescent="0.25">
      <c r="A20" s="1177"/>
      <c r="B20" s="1244" t="s">
        <v>1498</v>
      </c>
      <c r="C20" s="1245"/>
      <c r="D20" s="1246"/>
      <c r="E20" s="1247">
        <f>RESUMEN!P149</f>
        <v>0</v>
      </c>
      <c r="F20" s="1248"/>
      <c r="G20" s="1177"/>
    </row>
    <row r="21" spans="1:7" ht="27" customHeight="1" x14ac:dyDescent="0.25">
      <c r="A21" s="1177"/>
      <c r="B21" s="1244" t="s">
        <v>1499</v>
      </c>
      <c r="C21" s="1245"/>
      <c r="D21" s="1246"/>
      <c r="E21" s="1247">
        <f>RESUMEN!Q149</f>
        <v>0</v>
      </c>
      <c r="F21" s="1248"/>
      <c r="G21" s="1177"/>
    </row>
    <row r="22" spans="1:7" x14ac:dyDescent="0.25">
      <c r="A22" s="1177"/>
      <c r="B22" s="1254" t="s">
        <v>64</v>
      </c>
      <c r="C22" s="1254"/>
      <c r="D22" s="1254"/>
      <c r="E22" s="1255">
        <f>RESUMEN!R149</f>
        <v>0</v>
      </c>
      <c r="F22" s="1255"/>
      <c r="G22" s="1177"/>
    </row>
    <row r="23" spans="1:7" x14ac:dyDescent="0.25">
      <c r="A23" s="1177"/>
      <c r="B23" s="1256" t="s">
        <v>66</v>
      </c>
      <c r="C23" s="1256"/>
      <c r="D23" s="1256"/>
      <c r="E23" s="1257">
        <f>RESUMEN!S149</f>
        <v>0</v>
      </c>
      <c r="F23" s="1257"/>
      <c r="G23" s="1177"/>
    </row>
    <row r="24" spans="1:7" x14ac:dyDescent="0.25">
      <c r="A24" s="1177"/>
      <c r="B24" s="1258" t="s">
        <v>1</v>
      </c>
      <c r="C24" s="1258"/>
      <c r="D24" s="1258"/>
      <c r="E24" s="1259">
        <f>RESUMEN!T149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+'OT18-011 SIBERIA'!I31</f>
        <v>ACTA 1</v>
      </c>
      <c r="C28" s="1253">
        <f>+'OT18-011 SIBERIA'!J31</f>
        <v>0</v>
      </c>
      <c r="D28" s="1253"/>
      <c r="E28" s="267">
        <f>+'OT18-011 SIBERIA'!K31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RESUMEN!V149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2"/>
  <dimension ref="A1:N38"/>
  <sheetViews>
    <sheetView topLeftCell="A7" zoomScale="55" zoomScaleNormal="55" workbookViewId="0">
      <selection activeCell="D18" sqref="D18"/>
    </sheetView>
  </sheetViews>
  <sheetFormatPr baseColWidth="10" defaultColWidth="9.109375" defaultRowHeight="14.4" x14ac:dyDescent="0.3"/>
  <cols>
    <col min="1" max="1" width="15.109375" style="795" customWidth="1"/>
    <col min="2" max="2" width="31.88671875" style="795" customWidth="1"/>
    <col min="3" max="3" width="33.109375" style="795" customWidth="1"/>
    <col min="4" max="4" width="23.33203125" style="795" customWidth="1"/>
    <col min="5" max="5" width="13" style="795" customWidth="1"/>
    <col min="6" max="6" width="17.6640625" style="795" customWidth="1"/>
    <col min="7" max="7" width="15.109375" style="795" customWidth="1"/>
    <col min="8" max="8" width="49.109375" style="795" customWidth="1"/>
    <col min="9" max="9" width="17" style="795" customWidth="1"/>
    <col min="10" max="10" width="16.6640625" style="795" customWidth="1"/>
    <col min="11" max="11" width="12.33203125" style="795" customWidth="1"/>
    <col min="12" max="12" width="15.6640625" style="795" customWidth="1"/>
    <col min="13" max="13" width="17" style="795" customWidth="1"/>
    <col min="14" max="14" width="13" style="795" customWidth="1"/>
    <col min="15" max="16384" width="9.109375" style="795"/>
  </cols>
  <sheetData>
    <row r="1" spans="1:14" s="804" customFormat="1" ht="30.75" customHeight="1" x14ac:dyDescent="0.3">
      <c r="A1" s="169"/>
      <c r="B1" s="188"/>
      <c r="C1" s="1307" t="s">
        <v>40</v>
      </c>
      <c r="D1" s="1308"/>
      <c r="E1" s="1308"/>
      <c r="F1" s="1308"/>
      <c r="G1" s="1308"/>
      <c r="H1" s="1308"/>
      <c r="I1" s="1308"/>
      <c r="J1" s="1308"/>
      <c r="K1" s="1532" t="s">
        <v>2137</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1745</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2136</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94.5" customHeight="1" x14ac:dyDescent="0.3">
      <c r="A14" s="1289" t="s">
        <v>1816</v>
      </c>
      <c r="B14" s="1289" t="s">
        <v>170</v>
      </c>
      <c r="C14" s="803" t="s">
        <v>83</v>
      </c>
      <c r="D14" s="803" t="s">
        <v>123</v>
      </c>
      <c r="E14" s="803">
        <v>0</v>
      </c>
      <c r="F14" s="32">
        <v>1097936</v>
      </c>
      <c r="G14" s="32">
        <f>ROUND((E14*F14),0)</f>
        <v>0</v>
      </c>
      <c r="H14" s="1290" t="s">
        <v>2057</v>
      </c>
      <c r="I14" s="799">
        <v>0</v>
      </c>
      <c r="J14" s="685">
        <f>ROUND(I14*F14,0)</f>
        <v>0</v>
      </c>
      <c r="K14" s="684">
        <v>0</v>
      </c>
      <c r="L14" s="799">
        <f>I14</f>
        <v>0</v>
      </c>
      <c r="M14" s="685">
        <f>J14</f>
        <v>0</v>
      </c>
      <c r="N14" s="684">
        <v>0</v>
      </c>
    </row>
    <row r="15" spans="1:14" ht="61.5" customHeight="1" x14ac:dyDescent="0.3">
      <c r="A15" s="1289"/>
      <c r="B15" s="1289"/>
      <c r="C15" s="803" t="s">
        <v>61</v>
      </c>
      <c r="D15" s="803" t="s">
        <v>125</v>
      </c>
      <c r="E15" s="803">
        <v>0.7</v>
      </c>
      <c r="F15" s="32">
        <v>1061338</v>
      </c>
      <c r="G15" s="32">
        <f>ROUND((E15*F15),0)</f>
        <v>742937</v>
      </c>
      <c r="H15" s="1289"/>
      <c r="I15" s="799">
        <v>0</v>
      </c>
      <c r="J15" s="685">
        <f>ROUND(I15*F15,0)</f>
        <v>0</v>
      </c>
      <c r="K15" s="684">
        <f t="shared" ref="K15:K21" si="0">J15/G15</f>
        <v>0</v>
      </c>
      <c r="L15" s="799">
        <f>I15</f>
        <v>0</v>
      </c>
      <c r="M15" s="685">
        <f>J15</f>
        <v>0</v>
      </c>
      <c r="N15" s="684">
        <f t="shared" ref="N15" si="1">+M15/G15</f>
        <v>0</v>
      </c>
    </row>
    <row r="16" spans="1:14" x14ac:dyDescent="0.3">
      <c r="A16" s="1289"/>
      <c r="B16" s="1289"/>
      <c r="C16" s="39"/>
      <c r="D16" s="39" t="s">
        <v>126</v>
      </c>
      <c r="E16" s="41"/>
      <c r="F16" s="41"/>
      <c r="G16" s="42">
        <f>SUM(G14:G15)</f>
        <v>742937</v>
      </c>
      <c r="H16" s="1289"/>
      <c r="I16" s="40"/>
      <c r="J16" s="683">
        <f>SUM(J14:J15)</f>
        <v>0</v>
      </c>
      <c r="K16" s="519">
        <f t="shared" si="0"/>
        <v>0</v>
      </c>
      <c r="L16" s="40"/>
      <c r="M16" s="683">
        <f>SUM(M15:M15)</f>
        <v>0</v>
      </c>
      <c r="N16" s="519">
        <f t="shared" ref="N16" si="2">M16/G16</f>
        <v>0</v>
      </c>
    </row>
    <row r="17" spans="1:14" ht="73.5" customHeight="1" x14ac:dyDescent="0.3">
      <c r="A17" s="1289" t="s">
        <v>283</v>
      </c>
      <c r="B17" s="1289" t="s">
        <v>282</v>
      </c>
      <c r="C17" s="803" t="s">
        <v>81</v>
      </c>
      <c r="D17" s="803" t="s">
        <v>105</v>
      </c>
      <c r="E17" s="803">
        <v>0.7</v>
      </c>
      <c r="F17" s="32">
        <v>439174</v>
      </c>
      <c r="G17" s="32">
        <f>ROUND((E17*F17),0)</f>
        <v>307422</v>
      </c>
      <c r="H17" s="1289" t="s">
        <v>2058</v>
      </c>
      <c r="I17" s="799">
        <v>0</v>
      </c>
      <c r="J17" s="685">
        <f>ROUND(I17*F17,0)</f>
        <v>0</v>
      </c>
      <c r="K17" s="684">
        <f t="shared" si="0"/>
        <v>0</v>
      </c>
      <c r="L17" s="799">
        <f>I17</f>
        <v>0</v>
      </c>
      <c r="M17" s="685">
        <f>J17</f>
        <v>0</v>
      </c>
      <c r="N17" s="684">
        <f t="shared" ref="N17:N18" si="3">+M17/G17</f>
        <v>0</v>
      </c>
    </row>
    <row r="18" spans="1:14" ht="81" customHeight="1" x14ac:dyDescent="0.3">
      <c r="A18" s="1289"/>
      <c r="B18" s="1289"/>
      <c r="C18" s="803" t="s">
        <v>83</v>
      </c>
      <c r="D18" s="803" t="s">
        <v>107</v>
      </c>
      <c r="E18" s="803">
        <v>8.4000000000000005E-2</v>
      </c>
      <c r="F18" s="32">
        <v>1939687</v>
      </c>
      <c r="G18" s="32">
        <f>ROUND((E18*F18),0)</f>
        <v>162934</v>
      </c>
      <c r="H18" s="1289"/>
      <c r="I18" s="799">
        <v>0</v>
      </c>
      <c r="J18" s="685">
        <f>ROUND(I18*F18,0)</f>
        <v>0</v>
      </c>
      <c r="K18" s="684">
        <f t="shared" si="0"/>
        <v>0</v>
      </c>
      <c r="L18" s="799">
        <f>I18</f>
        <v>0</v>
      </c>
      <c r="M18" s="685">
        <f>J18</f>
        <v>0</v>
      </c>
      <c r="N18" s="684">
        <f t="shared" si="3"/>
        <v>0</v>
      </c>
    </row>
    <row r="19" spans="1:14" x14ac:dyDescent="0.3">
      <c r="A19" s="1289"/>
      <c r="B19" s="1289"/>
      <c r="C19" s="39"/>
      <c r="D19" s="39" t="s">
        <v>108</v>
      </c>
      <c r="E19" s="41"/>
      <c r="F19" s="41"/>
      <c r="G19" s="42">
        <f>SUM(G17:G18)</f>
        <v>470356</v>
      </c>
      <c r="H19" s="1289"/>
      <c r="I19" s="40"/>
      <c r="J19" s="683">
        <f>SUM(J17:J18)</f>
        <v>0</v>
      </c>
      <c r="K19" s="519">
        <f t="shared" si="0"/>
        <v>0</v>
      </c>
      <c r="L19" s="40"/>
      <c r="M19" s="683">
        <f>SUM(M18:M18)</f>
        <v>0</v>
      </c>
      <c r="N19" s="519">
        <f t="shared" ref="N19" si="4">M19/G19</f>
        <v>0</v>
      </c>
    </row>
    <row r="20" spans="1:14" ht="83.25" customHeight="1" x14ac:dyDescent="0.3">
      <c r="A20" s="1289" t="s">
        <v>283</v>
      </c>
      <c r="B20" s="1289" t="s">
        <v>194</v>
      </c>
      <c r="C20" s="803" t="s">
        <v>160</v>
      </c>
      <c r="D20" s="803" t="s">
        <v>161</v>
      </c>
      <c r="E20" s="803">
        <v>18</v>
      </c>
      <c r="F20" s="32">
        <v>73196</v>
      </c>
      <c r="G20" s="32">
        <f>ROUND((E20*F20),0)</f>
        <v>1317528</v>
      </c>
      <c r="H20" s="1290" t="s">
        <v>2059</v>
      </c>
      <c r="I20" s="799">
        <v>0</v>
      </c>
      <c r="J20" s="685">
        <f>ROUND(I20*F20,0)</f>
        <v>0</v>
      </c>
      <c r="K20" s="684">
        <f t="shared" si="0"/>
        <v>0</v>
      </c>
      <c r="L20" s="799">
        <f>I20</f>
        <v>0</v>
      </c>
      <c r="M20" s="685">
        <f>J20</f>
        <v>0</v>
      </c>
      <c r="N20" s="684">
        <f t="shared" ref="N20" si="5">+M20/G20</f>
        <v>0</v>
      </c>
    </row>
    <row r="21" spans="1:14" x14ac:dyDescent="0.3">
      <c r="A21" s="1289"/>
      <c r="B21" s="1289"/>
      <c r="C21" s="39"/>
      <c r="D21" s="39" t="s">
        <v>162</v>
      </c>
      <c r="E21" s="41"/>
      <c r="F21" s="41"/>
      <c r="G21" s="42">
        <f>G20</f>
        <v>1317528</v>
      </c>
      <c r="H21" s="1289"/>
      <c r="I21" s="40"/>
      <c r="J21" s="683">
        <f>SUM(J19:J20)</f>
        <v>0</v>
      </c>
      <c r="K21" s="519">
        <f t="shared" si="0"/>
        <v>0</v>
      </c>
      <c r="L21" s="40"/>
      <c r="M21" s="683">
        <f>SUM(M20:M20)</f>
        <v>0</v>
      </c>
      <c r="N21" s="519">
        <f t="shared" ref="N21" si="6">M21/G21</f>
        <v>0</v>
      </c>
    </row>
    <row r="22" spans="1:14" s="804" customFormat="1" x14ac:dyDescent="0.3">
      <c r="F22" s="836" t="s">
        <v>1740</v>
      </c>
      <c r="G22" s="837">
        <f>SUM(G21,G17,G14,G10,G7)</f>
        <v>1624950</v>
      </c>
      <c r="I22" s="547" t="s">
        <v>64</v>
      </c>
      <c r="J22" s="855">
        <f>SUM(J21)</f>
        <v>0</v>
      </c>
      <c r="L22" s="547" t="s">
        <v>64</v>
      </c>
      <c r="M22" s="835">
        <f>SUM(M21)</f>
        <v>0</v>
      </c>
    </row>
    <row r="23" spans="1:14" s="804" customFormat="1" x14ac:dyDescent="0.3">
      <c r="F23" s="548" t="s">
        <v>65</v>
      </c>
      <c r="G23" s="481">
        <v>0</v>
      </c>
      <c r="I23" s="548" t="s">
        <v>65</v>
      </c>
      <c r="J23" s="677">
        <v>0</v>
      </c>
      <c r="L23" s="548" t="s">
        <v>65</v>
      </c>
      <c r="M23" s="677">
        <v>0</v>
      </c>
    </row>
    <row r="24" spans="1:14" s="804" customFormat="1" x14ac:dyDescent="0.3">
      <c r="F24" s="549" t="s">
        <v>1740</v>
      </c>
      <c r="G24" s="340">
        <f>+G23+G22</f>
        <v>1624950</v>
      </c>
      <c r="I24" s="549" t="s">
        <v>64</v>
      </c>
      <c r="J24" s="481">
        <f>J22+J23</f>
        <v>0</v>
      </c>
      <c r="L24" s="549" t="s">
        <v>64</v>
      </c>
      <c r="M24" s="481">
        <f>M22+M23</f>
        <v>0</v>
      </c>
    </row>
    <row r="25" spans="1:14" s="804" customFormat="1" ht="18" customHeight="1" x14ac:dyDescent="0.3">
      <c r="F25" s="810"/>
      <c r="G25" s="810"/>
      <c r="I25" s="501" t="s">
        <v>1439</v>
      </c>
      <c r="J25" s="481">
        <f>ROUND(J24*0.015,0)</f>
        <v>0</v>
      </c>
      <c r="L25" s="501" t="s">
        <v>1439</v>
      </c>
      <c r="M25" s="481">
        <f>ROUND(M24*0.015,0)</f>
        <v>0</v>
      </c>
    </row>
    <row r="26" spans="1:14" s="804" customFormat="1" ht="27.75" customHeight="1" x14ac:dyDescent="0.3">
      <c r="F26" s="810"/>
      <c r="G26" s="810"/>
      <c r="I26" s="96" t="s">
        <v>1440</v>
      </c>
      <c r="J26" s="783">
        <f>J24+J25</f>
        <v>0</v>
      </c>
      <c r="K26" s="856">
        <f>J26/G22</f>
        <v>0</v>
      </c>
      <c r="L26" s="96" t="s">
        <v>1440</v>
      </c>
      <c r="M26" s="425">
        <f>M24+M25</f>
        <v>0</v>
      </c>
      <c r="N26" s="857">
        <f>M26/G22</f>
        <v>0</v>
      </c>
    </row>
    <row r="27" spans="1:14" s="804" customFormat="1" x14ac:dyDescent="0.3">
      <c r="F27" s="551" t="s">
        <v>66</v>
      </c>
      <c r="G27" s="481">
        <f>+G22*19%</f>
        <v>308740.5</v>
      </c>
      <c r="I27" s="551" t="s">
        <v>66</v>
      </c>
      <c r="J27" s="672">
        <f>J26*0.19</f>
        <v>0</v>
      </c>
      <c r="L27" s="551" t="s">
        <v>66</v>
      </c>
      <c r="M27" s="672">
        <f>M26*0.19</f>
        <v>0</v>
      </c>
    </row>
    <row r="28" spans="1:14" s="804" customFormat="1" x14ac:dyDescent="0.3">
      <c r="F28" s="552" t="s">
        <v>69</v>
      </c>
      <c r="G28" s="481">
        <f>+G22+G27</f>
        <v>1933690.5</v>
      </c>
      <c r="I28" s="552" t="s">
        <v>69</v>
      </c>
      <c r="J28" s="672">
        <f>J26+J27</f>
        <v>0</v>
      </c>
      <c r="L28" s="552" t="s">
        <v>69</v>
      </c>
      <c r="M28" s="672">
        <f>M26+M27</f>
        <v>0</v>
      </c>
    </row>
    <row r="29" spans="1:14" s="804" customFormat="1" x14ac:dyDescent="0.3"/>
    <row r="30" spans="1:14" s="804" customFormat="1" ht="38.25" customHeight="1" x14ac:dyDescent="0.3">
      <c r="A30" s="665" t="s">
        <v>67</v>
      </c>
      <c r="B30" s="184"/>
      <c r="C30" s="184"/>
      <c r="D30" s="185" t="s">
        <v>68</v>
      </c>
      <c r="I30" s="186" t="s">
        <v>70</v>
      </c>
      <c r="J30" s="187" t="s">
        <v>71</v>
      </c>
      <c r="K30" s="186" t="s">
        <v>58</v>
      </c>
    </row>
    <row r="31" spans="1:14" s="804" customFormat="1" x14ac:dyDescent="0.3">
      <c r="A31" s="665"/>
      <c r="B31" s="184"/>
      <c r="C31" s="184"/>
      <c r="D31" s="185"/>
      <c r="I31" s="69" t="s">
        <v>72</v>
      </c>
      <c r="J31" s="70">
        <f>J26</f>
        <v>0</v>
      </c>
      <c r="K31" s="360">
        <f>K26</f>
        <v>0</v>
      </c>
    </row>
    <row r="32" spans="1:14" s="804" customFormat="1" x14ac:dyDescent="0.3">
      <c r="A32" s="665"/>
      <c r="B32" s="184"/>
      <c r="C32" s="184"/>
      <c r="D32" s="185"/>
      <c r="I32" s="72" t="s">
        <v>1</v>
      </c>
      <c r="J32" s="105">
        <f>J31</f>
        <v>0</v>
      </c>
      <c r="K32" s="361">
        <f>K31</f>
        <v>0</v>
      </c>
    </row>
    <row r="33" spans="1:11" s="804" customFormat="1" x14ac:dyDescent="0.3">
      <c r="A33" s="665"/>
      <c r="B33" s="184"/>
      <c r="C33" s="184"/>
      <c r="D33" s="185"/>
      <c r="I33" s="72" t="s">
        <v>9</v>
      </c>
      <c r="J33" s="1423"/>
      <c r="K33" s="1424"/>
    </row>
    <row r="34" spans="1:11" s="804" customFormat="1" x14ac:dyDescent="0.3">
      <c r="A34" s="665"/>
      <c r="B34" s="184"/>
      <c r="C34" s="184"/>
      <c r="D34" s="185"/>
      <c r="I34" s="440" t="s">
        <v>78</v>
      </c>
      <c r="J34" s="1423" t="s">
        <v>485</v>
      </c>
      <c r="K34" s="1424"/>
    </row>
    <row r="35" spans="1:11" s="804" customFormat="1" x14ac:dyDescent="0.3">
      <c r="A35" s="665"/>
      <c r="B35" s="184"/>
      <c r="C35" s="184"/>
      <c r="D35" s="185"/>
      <c r="I35" s="439" t="s">
        <v>8</v>
      </c>
      <c r="J35" s="1425" t="s">
        <v>486</v>
      </c>
      <c r="K35" s="1426"/>
    </row>
    <row r="36" spans="1:11" s="804" customFormat="1" x14ac:dyDescent="0.3">
      <c r="A36" s="665"/>
      <c r="B36" s="184"/>
      <c r="C36" s="184"/>
      <c r="D36" s="185" t="s">
        <v>75</v>
      </c>
    </row>
    <row r="37" spans="1:11" s="804" customFormat="1" x14ac:dyDescent="0.3">
      <c r="A37" s="665" t="s">
        <v>76</v>
      </c>
      <c r="B37" s="180"/>
      <c r="C37" s="180"/>
      <c r="D37" s="185" t="s">
        <v>77</v>
      </c>
    </row>
    <row r="38" spans="1:11" s="804" customFormat="1" ht="26.4" x14ac:dyDescent="0.3">
      <c r="A38" s="665" t="s">
        <v>79</v>
      </c>
      <c r="B38" s="180"/>
      <c r="C38" s="180"/>
      <c r="D38" s="185" t="s">
        <v>80</v>
      </c>
    </row>
  </sheetData>
  <sheetProtection formatCells="0" formatColumns="0" formatRows="0" insertColumns="0" insertRows="0" insertHyperlinks="0" deleteColumns="0" deleteRows="0" sort="0" autoFilter="0" pivotTables="0"/>
  <mergeCells count="27">
    <mergeCell ref="J33:K33"/>
    <mergeCell ref="J34:K34"/>
    <mergeCell ref="J35:K35"/>
    <mergeCell ref="C1:J2"/>
    <mergeCell ref="K1:N1"/>
    <mergeCell ref="K2:N2"/>
    <mergeCell ref="A3:M3"/>
    <mergeCell ref="A4:M4"/>
    <mergeCell ref="A5:M5"/>
    <mergeCell ref="A6:M6"/>
    <mergeCell ref="A7:M7"/>
    <mergeCell ref="A8:M8"/>
    <mergeCell ref="A9:M9"/>
    <mergeCell ref="A10:M10"/>
    <mergeCell ref="B11:G11"/>
    <mergeCell ref="I11:K12"/>
    <mergeCell ref="L11:N12"/>
    <mergeCell ref="B12:G12"/>
    <mergeCell ref="A14:A16"/>
    <mergeCell ref="B14:B16"/>
    <mergeCell ref="H14:H16"/>
    <mergeCell ref="A17:A19"/>
    <mergeCell ref="B17:B19"/>
    <mergeCell ref="H17:H19"/>
    <mergeCell ref="A20:A21"/>
    <mergeCell ref="B20:B21"/>
    <mergeCell ref="H20:H21"/>
  </mergeCells>
  <pageMargins left="0.7" right="0.7" top="0.75" bottom="0.75" header="0.3" footer="0.3"/>
  <pageSetup scale="62" orientation="landscape" r:id="rId1"/>
  <drawing r:id="rId2"/>
  <legacyDrawingHF r:id="rId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3"/>
  <dimension ref="A1:G49"/>
  <sheetViews>
    <sheetView topLeftCell="A7"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RESUMEN!G150</f>
        <v>Proyecto: 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RESUMEN!B150</f>
        <v>D00235085</v>
      </c>
      <c r="C7" s="1265"/>
      <c r="D7" s="1177"/>
      <c r="E7" s="1266" t="s">
        <v>627</v>
      </c>
      <c r="F7" s="1267"/>
      <c r="G7" s="280" t="str">
        <f>RESUMEN!E150</f>
        <v xml:space="preserve">18-012 </v>
      </c>
    </row>
    <row r="8" spans="1:7" x14ac:dyDescent="0.25">
      <c r="A8" s="271" t="s">
        <v>628</v>
      </c>
      <c r="B8" s="1264" t="str">
        <f>RESUMEN!C150</f>
        <v>D00235085000</v>
      </c>
      <c r="C8" s="1265"/>
      <c r="D8" s="1177"/>
      <c r="E8" s="1266" t="s">
        <v>629</v>
      </c>
      <c r="F8" s="1267"/>
      <c r="G8" s="280" t="str">
        <f>RESUMEN!U150</f>
        <v>Acta N° 1: Marzo</v>
      </c>
    </row>
    <row r="9" spans="1:7" x14ac:dyDescent="0.25">
      <c r="A9" s="271" t="s">
        <v>630</v>
      </c>
      <c r="B9" s="1283" t="s">
        <v>631</v>
      </c>
      <c r="C9" s="1265"/>
      <c r="D9" s="1177"/>
      <c r="E9" s="1266" t="s">
        <v>632</v>
      </c>
      <c r="F9" s="1267"/>
      <c r="G9" s="1178">
        <f>RESUMEN!H150</f>
        <v>4830921</v>
      </c>
    </row>
    <row r="10" spans="1:7" x14ac:dyDescent="0.25">
      <c r="A10" s="271" t="s">
        <v>633</v>
      </c>
      <c r="B10" s="1283" t="str">
        <f>RESUMEN!D150</f>
        <v>SUBACHOQUE</v>
      </c>
      <c r="C10" s="1265"/>
      <c r="D10" s="1177"/>
      <c r="E10" s="1266" t="s">
        <v>634</v>
      </c>
      <c r="F10" s="1267"/>
      <c r="G10" s="1178">
        <f>RESUMEN!R150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RESUMEN!N150</f>
        <v>0</v>
      </c>
      <c r="F19" s="1248"/>
      <c r="G19" s="1177"/>
    </row>
    <row r="20" spans="1:7" ht="27" customHeight="1" x14ac:dyDescent="0.25">
      <c r="A20" s="1177"/>
      <c r="B20" s="1244" t="s">
        <v>1498</v>
      </c>
      <c r="C20" s="1245"/>
      <c r="D20" s="1246"/>
      <c r="E20" s="1247">
        <f>RESUMEN!P150</f>
        <v>0</v>
      </c>
      <c r="F20" s="1248"/>
      <c r="G20" s="1177"/>
    </row>
    <row r="21" spans="1:7" ht="27" customHeight="1" x14ac:dyDescent="0.25">
      <c r="A21" s="1177"/>
      <c r="B21" s="1244" t="s">
        <v>1499</v>
      </c>
      <c r="C21" s="1245"/>
      <c r="D21" s="1246"/>
      <c r="E21" s="1247">
        <f>RESUMEN!Q150</f>
        <v>0</v>
      </c>
      <c r="F21" s="1248"/>
      <c r="G21" s="1177"/>
    </row>
    <row r="22" spans="1:7" x14ac:dyDescent="0.25">
      <c r="A22" s="1177"/>
      <c r="B22" s="1254" t="s">
        <v>64</v>
      </c>
      <c r="C22" s="1254"/>
      <c r="D22" s="1254"/>
      <c r="E22" s="1255">
        <f>RESUMEN!R150</f>
        <v>0</v>
      </c>
      <c r="F22" s="1255"/>
      <c r="G22" s="1177"/>
    </row>
    <row r="23" spans="1:7" x14ac:dyDescent="0.25">
      <c r="A23" s="1177"/>
      <c r="B23" s="1256" t="s">
        <v>66</v>
      </c>
      <c r="C23" s="1256"/>
      <c r="D23" s="1256"/>
      <c r="E23" s="1257">
        <f>RESUMEN!S150</f>
        <v>0</v>
      </c>
      <c r="F23" s="1257"/>
      <c r="G23" s="1177"/>
    </row>
    <row r="24" spans="1:7" x14ac:dyDescent="0.25">
      <c r="A24" s="1177"/>
      <c r="B24" s="1258" t="s">
        <v>1</v>
      </c>
      <c r="C24" s="1258"/>
      <c r="D24" s="1258"/>
      <c r="E24" s="1259">
        <f>RESUMEN!T150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+'OT18-012 SUBACHOQUE'!I35</f>
        <v>ACTA 1</v>
      </c>
      <c r="C28" s="1253">
        <f>+'OT18-012 SUBACHOQUE'!J35</f>
        <v>0</v>
      </c>
      <c r="D28" s="1253"/>
      <c r="E28" s="267">
        <f>+'OT18-012 SUBACHOQUE'!K35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RESUMEN!V150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3"/>
  <dimension ref="A1:N42"/>
  <sheetViews>
    <sheetView topLeftCell="A13" zoomScale="55" zoomScaleNormal="55" workbookViewId="0">
      <selection activeCell="F14" sqref="F14"/>
    </sheetView>
  </sheetViews>
  <sheetFormatPr baseColWidth="10" defaultColWidth="9.109375" defaultRowHeight="14.4" x14ac:dyDescent="0.3"/>
  <cols>
    <col min="1" max="1" width="13" style="795" customWidth="1"/>
    <col min="2" max="2" width="23.6640625" style="795" customWidth="1"/>
    <col min="3" max="3" width="34.88671875" style="795" customWidth="1"/>
    <col min="4" max="4" width="23.44140625" style="795" customWidth="1"/>
    <col min="5" max="5" width="13" style="795" customWidth="1"/>
    <col min="6" max="6" width="12.6640625" style="795" customWidth="1"/>
    <col min="7" max="7" width="19.109375" style="795" customWidth="1"/>
    <col min="8" max="8" width="50.5546875" style="795" customWidth="1"/>
    <col min="9" max="9" width="19.33203125" style="795" customWidth="1"/>
    <col min="10" max="10" width="15.6640625" style="795" customWidth="1"/>
    <col min="11" max="11" width="9.109375" style="795"/>
    <col min="12" max="12" width="11.88671875" style="795" customWidth="1"/>
    <col min="13" max="13" width="15.554687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2134</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1766</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2138</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121.5" customHeight="1" x14ac:dyDescent="0.3">
      <c r="A14" s="1289" t="s">
        <v>1622</v>
      </c>
      <c r="B14" s="1289" t="s">
        <v>240</v>
      </c>
      <c r="C14" s="803" t="s">
        <v>59</v>
      </c>
      <c r="D14" s="803" t="s">
        <v>241</v>
      </c>
      <c r="E14" s="803">
        <v>1.3</v>
      </c>
      <c r="F14" s="32">
        <v>2561850</v>
      </c>
      <c r="G14" s="32">
        <f>ROUND((E14*F14),0)</f>
        <v>3330405</v>
      </c>
      <c r="H14" s="1290" t="s">
        <v>2060</v>
      </c>
      <c r="I14" s="799">
        <v>0</v>
      </c>
      <c r="J14" s="685">
        <f>ROUND(I14*F14,0)</f>
        <v>0</v>
      </c>
      <c r="K14" s="684">
        <f>J14/G14</f>
        <v>0</v>
      </c>
      <c r="L14" s="799">
        <f>I14</f>
        <v>0</v>
      </c>
      <c r="M14" s="685">
        <f>J14</f>
        <v>0</v>
      </c>
      <c r="N14" s="684">
        <f t="shared" ref="N14" si="0">+M14/G14</f>
        <v>0</v>
      </c>
    </row>
    <row r="15" spans="1:14" x14ac:dyDescent="0.3">
      <c r="A15" s="1289"/>
      <c r="B15" s="1289"/>
      <c r="C15" s="39"/>
      <c r="D15" s="39" t="s">
        <v>242</v>
      </c>
      <c r="E15" s="41"/>
      <c r="F15" s="41"/>
      <c r="G15" s="42">
        <f>G14</f>
        <v>3330405</v>
      </c>
      <c r="H15" s="1289"/>
      <c r="I15" s="40"/>
      <c r="J15" s="683">
        <f>SUM(J13:J14)</f>
        <v>0</v>
      </c>
      <c r="K15" s="519">
        <f>J15/G15</f>
        <v>0</v>
      </c>
      <c r="L15" s="40"/>
      <c r="M15" s="683">
        <f>SUM(M14:M14)</f>
        <v>0</v>
      </c>
      <c r="N15" s="519">
        <f t="shared" ref="N15" si="1">M15/G15</f>
        <v>0</v>
      </c>
    </row>
    <row r="16" spans="1:14" ht="42.75" customHeight="1" x14ac:dyDescent="0.3">
      <c r="A16" s="1289" t="s">
        <v>1622</v>
      </c>
      <c r="B16" s="1289" t="s">
        <v>244</v>
      </c>
      <c r="C16" s="803" t="s">
        <v>245</v>
      </c>
      <c r="D16" s="803" t="s">
        <v>246</v>
      </c>
      <c r="E16" s="803">
        <v>1</v>
      </c>
      <c r="F16" s="32">
        <v>1939687</v>
      </c>
      <c r="G16" s="32">
        <f>ROUND((E16*F16),0)</f>
        <v>1939687</v>
      </c>
      <c r="H16" s="1289" t="s">
        <v>2061</v>
      </c>
      <c r="I16" s="799">
        <v>0</v>
      </c>
      <c r="J16" s="685">
        <f>ROUND(I16*F16,0)</f>
        <v>0</v>
      </c>
      <c r="K16" s="684">
        <f>J16/G16</f>
        <v>0</v>
      </c>
      <c r="L16" s="799">
        <f>I16</f>
        <v>0</v>
      </c>
      <c r="M16" s="685">
        <f>J16</f>
        <v>0</v>
      </c>
      <c r="N16" s="684">
        <f t="shared" ref="N16" si="2">+M16/G16</f>
        <v>0</v>
      </c>
    </row>
    <row r="17" spans="1:14" x14ac:dyDescent="0.3">
      <c r="A17" s="1289"/>
      <c r="B17" s="1289"/>
      <c r="C17" s="39"/>
      <c r="D17" s="39" t="s">
        <v>247</v>
      </c>
      <c r="E17" s="41"/>
      <c r="F17" s="41"/>
      <c r="G17" s="42">
        <f>G16</f>
        <v>1939687</v>
      </c>
      <c r="H17" s="1289"/>
      <c r="I17" s="40"/>
      <c r="J17" s="683">
        <f>SUM(J15:J16)</f>
        <v>0</v>
      </c>
      <c r="K17" s="519">
        <f>J17/G17</f>
        <v>0</v>
      </c>
      <c r="L17" s="40"/>
      <c r="M17" s="683">
        <f>SUM(M16:M16)</f>
        <v>0</v>
      </c>
      <c r="N17" s="519">
        <f t="shared" ref="N17" si="3">M17/G17</f>
        <v>0</v>
      </c>
    </row>
    <row r="18" spans="1:14" ht="49.5" customHeight="1" x14ac:dyDescent="0.3">
      <c r="A18" s="1289" t="s">
        <v>1865</v>
      </c>
      <c r="B18" s="1289" t="s">
        <v>251</v>
      </c>
      <c r="C18" s="803" t="s">
        <v>59</v>
      </c>
      <c r="D18" s="803" t="s">
        <v>145</v>
      </c>
      <c r="E18" s="803">
        <v>0</v>
      </c>
      <c r="F18" s="32">
        <v>988142</v>
      </c>
      <c r="G18" s="32">
        <f>ROUND((E18*F18),0)</f>
        <v>0</v>
      </c>
      <c r="H18" s="1290" t="s">
        <v>2053</v>
      </c>
      <c r="I18" s="799">
        <v>0</v>
      </c>
      <c r="J18" s="685">
        <f>ROUND(I18*F18,0)</f>
        <v>0</v>
      </c>
      <c r="K18" s="684">
        <v>0</v>
      </c>
      <c r="L18" s="799">
        <f>I18</f>
        <v>0</v>
      </c>
      <c r="M18" s="685">
        <f>J18</f>
        <v>0</v>
      </c>
      <c r="N18" s="684">
        <v>0</v>
      </c>
    </row>
    <row r="19" spans="1:14" ht="42" customHeight="1" x14ac:dyDescent="0.3">
      <c r="A19" s="1289"/>
      <c r="B19" s="1289"/>
      <c r="C19" s="803" t="s">
        <v>61</v>
      </c>
      <c r="D19" s="803" t="s">
        <v>146</v>
      </c>
      <c r="E19" s="803">
        <v>0.65</v>
      </c>
      <c r="F19" s="32">
        <v>5453081</v>
      </c>
      <c r="G19" s="32">
        <f>ROUND((E19*F19),0)</f>
        <v>3544503</v>
      </c>
      <c r="H19" s="1289"/>
      <c r="I19" s="799">
        <v>0</v>
      </c>
      <c r="J19" s="685">
        <f>ROUND(I19*F19,0)</f>
        <v>0</v>
      </c>
      <c r="K19" s="684">
        <f t="shared" ref="K19:K25" si="4">J19/G19</f>
        <v>0</v>
      </c>
      <c r="L19" s="799">
        <f>I19</f>
        <v>0</v>
      </c>
      <c r="M19" s="685">
        <f>J19</f>
        <v>0</v>
      </c>
      <c r="N19" s="684">
        <f t="shared" ref="N19" si="5">+M19/G19</f>
        <v>0</v>
      </c>
    </row>
    <row r="20" spans="1:14" x14ac:dyDescent="0.3">
      <c r="A20" s="1289"/>
      <c r="B20" s="1289"/>
      <c r="C20" s="39"/>
      <c r="D20" s="39" t="s">
        <v>147</v>
      </c>
      <c r="E20" s="41"/>
      <c r="F20" s="41"/>
      <c r="G20" s="42">
        <f>SUM(G18:G19)</f>
        <v>3544503</v>
      </c>
      <c r="H20" s="1289"/>
      <c r="I20" s="40"/>
      <c r="J20" s="683">
        <f>SUM(J18:J19)</f>
        <v>0</v>
      </c>
      <c r="K20" s="519">
        <f t="shared" si="4"/>
        <v>0</v>
      </c>
      <c r="L20" s="40"/>
      <c r="M20" s="683">
        <f>SUM(M19:M19)</f>
        <v>0</v>
      </c>
      <c r="N20" s="519">
        <f t="shared" ref="N20" si="6">M20/G20</f>
        <v>0</v>
      </c>
    </row>
    <row r="21" spans="1:14" ht="37.5" customHeight="1" x14ac:dyDescent="0.3">
      <c r="A21" s="1289" t="s">
        <v>1865</v>
      </c>
      <c r="B21" s="1289" t="s">
        <v>248</v>
      </c>
      <c r="C21" s="803" t="s">
        <v>152</v>
      </c>
      <c r="D21" s="803" t="s">
        <v>249</v>
      </c>
      <c r="E21" s="803">
        <v>1</v>
      </c>
      <c r="F21" s="32">
        <v>329380</v>
      </c>
      <c r="G21" s="32">
        <f>ROUND((E21*F21),0)</f>
        <v>329380</v>
      </c>
      <c r="H21" s="1289" t="s">
        <v>2062</v>
      </c>
      <c r="I21" s="799">
        <v>0</v>
      </c>
      <c r="J21" s="685">
        <f>ROUND(I21*F21,0)</f>
        <v>0</v>
      </c>
      <c r="K21" s="684">
        <f t="shared" si="4"/>
        <v>0</v>
      </c>
      <c r="L21" s="799">
        <f>I21</f>
        <v>0</v>
      </c>
      <c r="M21" s="685">
        <f>J21</f>
        <v>0</v>
      </c>
      <c r="N21" s="684">
        <f t="shared" ref="N21:N22" si="7">+M21/G21</f>
        <v>0</v>
      </c>
    </row>
    <row r="22" spans="1:14" ht="51.75" customHeight="1" x14ac:dyDescent="0.3">
      <c r="A22" s="1289"/>
      <c r="B22" s="1289"/>
      <c r="C22" s="803" t="s">
        <v>61</v>
      </c>
      <c r="D22" s="803" t="s">
        <v>250</v>
      </c>
      <c r="E22" s="803">
        <v>1</v>
      </c>
      <c r="F22" s="32">
        <v>1683501</v>
      </c>
      <c r="G22" s="32">
        <f>ROUND((E22*F22),0)</f>
        <v>1683501</v>
      </c>
      <c r="H22" s="1289"/>
      <c r="I22" s="799">
        <v>0</v>
      </c>
      <c r="J22" s="685">
        <f>ROUND(I22*F22,0)</f>
        <v>0</v>
      </c>
      <c r="K22" s="684">
        <f t="shared" si="4"/>
        <v>0</v>
      </c>
      <c r="L22" s="799">
        <f>I22</f>
        <v>0</v>
      </c>
      <c r="M22" s="685">
        <f>J22</f>
        <v>0</v>
      </c>
      <c r="N22" s="684">
        <f t="shared" si="7"/>
        <v>0</v>
      </c>
    </row>
    <row r="23" spans="1:14" x14ac:dyDescent="0.3">
      <c r="A23" s="1289"/>
      <c r="B23" s="1289"/>
      <c r="C23" s="39"/>
      <c r="D23" s="39" t="s">
        <v>102</v>
      </c>
      <c r="E23" s="41"/>
      <c r="F23" s="41"/>
      <c r="G23" s="42">
        <f>SUM(G21:G22)</f>
        <v>2012881</v>
      </c>
      <c r="H23" s="1289"/>
      <c r="I23" s="40"/>
      <c r="J23" s="683">
        <f>SUM(J21:J22)</f>
        <v>0</v>
      </c>
      <c r="K23" s="519">
        <f t="shared" si="4"/>
        <v>0</v>
      </c>
      <c r="L23" s="40"/>
      <c r="M23" s="683">
        <f>SUM(M22:M22)</f>
        <v>0</v>
      </c>
      <c r="N23" s="519">
        <f t="shared" ref="N23" si="8">M23/G23</f>
        <v>0</v>
      </c>
    </row>
    <row r="24" spans="1:14" ht="72.75" customHeight="1" x14ac:dyDescent="0.3">
      <c r="A24" s="1289" t="s">
        <v>1865</v>
      </c>
      <c r="B24" s="1289" t="s">
        <v>194</v>
      </c>
      <c r="C24" s="803" t="s">
        <v>160</v>
      </c>
      <c r="D24" s="803" t="s">
        <v>161</v>
      </c>
      <c r="E24" s="803">
        <v>16</v>
      </c>
      <c r="F24" s="32">
        <v>73196</v>
      </c>
      <c r="G24" s="32">
        <f>ROUND((E24*F24),0)</f>
        <v>1171136</v>
      </c>
      <c r="H24" s="1289" t="s">
        <v>2063</v>
      </c>
      <c r="I24" s="799">
        <v>0</v>
      </c>
      <c r="J24" s="685">
        <f>ROUND(I24*F24,0)</f>
        <v>0</v>
      </c>
      <c r="K24" s="684">
        <f t="shared" si="4"/>
        <v>0</v>
      </c>
      <c r="L24" s="799">
        <f>I24</f>
        <v>0</v>
      </c>
      <c r="M24" s="685">
        <f>J24</f>
        <v>0</v>
      </c>
      <c r="N24" s="684">
        <f t="shared" ref="N24" si="9">+M24/G24</f>
        <v>0</v>
      </c>
    </row>
    <row r="25" spans="1:14" x14ac:dyDescent="0.3">
      <c r="A25" s="1289"/>
      <c r="B25" s="1289"/>
      <c r="C25" s="39"/>
      <c r="D25" s="39" t="s">
        <v>162</v>
      </c>
      <c r="E25" s="41"/>
      <c r="F25" s="41"/>
      <c r="G25" s="42">
        <f>G24</f>
        <v>1171136</v>
      </c>
      <c r="H25" s="1289"/>
      <c r="I25" s="40"/>
      <c r="J25" s="683">
        <f>SUM(J23:J24)</f>
        <v>0</v>
      </c>
      <c r="K25" s="519">
        <f t="shared" si="4"/>
        <v>0</v>
      </c>
      <c r="L25" s="40"/>
      <c r="M25" s="683">
        <f>SUM(M24:M24)</f>
        <v>0</v>
      </c>
      <c r="N25" s="519">
        <f t="shared" ref="N25" si="10">M25/G25</f>
        <v>0</v>
      </c>
    </row>
    <row r="26" spans="1:14" s="804" customFormat="1" x14ac:dyDescent="0.3">
      <c r="F26" s="836" t="s">
        <v>1740</v>
      </c>
      <c r="G26" s="837">
        <f>SUM(G25,G21,G18,G14,G11)</f>
        <v>4830921</v>
      </c>
      <c r="I26" s="547" t="s">
        <v>64</v>
      </c>
      <c r="J26" s="855">
        <f>SUM(J25)</f>
        <v>0</v>
      </c>
      <c r="L26" s="547" t="s">
        <v>64</v>
      </c>
      <c r="M26" s="835">
        <f>SUM(M25)</f>
        <v>0</v>
      </c>
    </row>
    <row r="27" spans="1:14" s="804" customFormat="1" ht="26.4" x14ac:dyDescent="0.3">
      <c r="F27" s="548" t="s">
        <v>65</v>
      </c>
      <c r="G27" s="481">
        <v>0</v>
      </c>
      <c r="I27" s="548" t="s">
        <v>65</v>
      </c>
      <c r="J27" s="677">
        <v>0</v>
      </c>
      <c r="L27" s="548" t="s">
        <v>65</v>
      </c>
      <c r="M27" s="677">
        <v>0</v>
      </c>
    </row>
    <row r="28" spans="1:14" s="804" customFormat="1" x14ac:dyDescent="0.3">
      <c r="F28" s="549" t="s">
        <v>1740</v>
      </c>
      <c r="G28" s="340">
        <f>+G27+G26</f>
        <v>4830921</v>
      </c>
      <c r="I28" s="549" t="s">
        <v>64</v>
      </c>
      <c r="J28" s="481">
        <f>J26+J27</f>
        <v>0</v>
      </c>
      <c r="L28" s="549" t="s">
        <v>64</v>
      </c>
      <c r="M28" s="481">
        <f>M26+M27</f>
        <v>0</v>
      </c>
    </row>
    <row r="29" spans="1:14" s="804" customFormat="1" ht="18" customHeight="1" x14ac:dyDescent="0.3">
      <c r="F29" s="810"/>
      <c r="G29" s="810"/>
      <c r="I29" s="501" t="s">
        <v>1439</v>
      </c>
      <c r="J29" s="481">
        <f>ROUND(J28*0.015,0)</f>
        <v>0</v>
      </c>
      <c r="L29" s="501" t="s">
        <v>1439</v>
      </c>
      <c r="M29" s="481">
        <f>ROUND(M28*0.015,0)</f>
        <v>0</v>
      </c>
    </row>
    <row r="30" spans="1:14" s="804" customFormat="1" ht="27.75" customHeight="1" x14ac:dyDescent="0.3">
      <c r="F30" s="810"/>
      <c r="G30" s="810"/>
      <c r="I30" s="96" t="s">
        <v>1440</v>
      </c>
      <c r="J30" s="783">
        <f>J28+J29</f>
        <v>0</v>
      </c>
      <c r="K30" s="856">
        <f>J30/G26</f>
        <v>0</v>
      </c>
      <c r="L30" s="96" t="s">
        <v>1440</v>
      </c>
      <c r="M30" s="425">
        <f>M28+M29</f>
        <v>0</v>
      </c>
      <c r="N30" s="857">
        <f>M30/G26</f>
        <v>0</v>
      </c>
    </row>
    <row r="31" spans="1:14" s="804" customFormat="1" x14ac:dyDescent="0.3">
      <c r="F31" s="551" t="s">
        <v>66</v>
      </c>
      <c r="G31" s="481">
        <f>+G26*19%</f>
        <v>917874.99</v>
      </c>
      <c r="I31" s="551" t="s">
        <v>66</v>
      </c>
      <c r="J31" s="672">
        <f>J30*0.19</f>
        <v>0</v>
      </c>
      <c r="L31" s="551" t="s">
        <v>66</v>
      </c>
      <c r="M31" s="672">
        <f>M30*0.19</f>
        <v>0</v>
      </c>
    </row>
    <row r="32" spans="1:14" s="804" customFormat="1" x14ac:dyDescent="0.3">
      <c r="F32" s="552" t="s">
        <v>69</v>
      </c>
      <c r="G32" s="481">
        <f>+G26+G31</f>
        <v>5748795.9900000002</v>
      </c>
      <c r="I32" s="552" t="s">
        <v>69</v>
      </c>
      <c r="J32" s="672">
        <f>J30+J31</f>
        <v>0</v>
      </c>
      <c r="L32" s="552" t="s">
        <v>69</v>
      </c>
      <c r="M32" s="672">
        <f>M30+M31</f>
        <v>0</v>
      </c>
    </row>
    <row r="33" spans="1:11" s="804" customFormat="1" x14ac:dyDescent="0.3"/>
    <row r="34" spans="1:11" s="804" customFormat="1" ht="38.25" customHeight="1" x14ac:dyDescent="0.3">
      <c r="A34" s="665" t="s">
        <v>67</v>
      </c>
      <c r="B34" s="184"/>
      <c r="C34" s="184"/>
      <c r="D34" s="185" t="s">
        <v>68</v>
      </c>
      <c r="I34" s="186" t="s">
        <v>70</v>
      </c>
      <c r="J34" s="187" t="s">
        <v>71</v>
      </c>
      <c r="K34" s="186" t="s">
        <v>58</v>
      </c>
    </row>
    <row r="35" spans="1:11" s="804" customFormat="1" x14ac:dyDescent="0.3">
      <c r="A35" s="665"/>
      <c r="B35" s="184"/>
      <c r="C35" s="184"/>
      <c r="D35" s="185"/>
      <c r="I35" s="69" t="s">
        <v>72</v>
      </c>
      <c r="J35" s="70">
        <f>J30</f>
        <v>0</v>
      </c>
      <c r="K35" s="360">
        <f>K30</f>
        <v>0</v>
      </c>
    </row>
    <row r="36" spans="1:11" s="804" customFormat="1" x14ac:dyDescent="0.3">
      <c r="A36" s="665"/>
      <c r="B36" s="184"/>
      <c r="C36" s="184"/>
      <c r="D36" s="185"/>
      <c r="I36" s="72" t="s">
        <v>1</v>
      </c>
      <c r="J36" s="105">
        <f>J35</f>
        <v>0</v>
      </c>
      <c r="K36" s="361">
        <f>K35</f>
        <v>0</v>
      </c>
    </row>
    <row r="37" spans="1:11" s="804" customFormat="1" x14ac:dyDescent="0.3">
      <c r="A37" s="665"/>
      <c r="B37" s="184"/>
      <c r="C37" s="184"/>
      <c r="D37" s="185"/>
      <c r="I37" s="72" t="s">
        <v>9</v>
      </c>
      <c r="J37" s="1423"/>
      <c r="K37" s="1424"/>
    </row>
    <row r="38" spans="1:11" s="804" customFormat="1" x14ac:dyDescent="0.3">
      <c r="A38" s="665"/>
      <c r="B38" s="184"/>
      <c r="C38" s="184"/>
      <c r="D38" s="185"/>
      <c r="I38" s="440" t="s">
        <v>78</v>
      </c>
      <c r="J38" s="1423" t="s">
        <v>485</v>
      </c>
      <c r="K38" s="1424"/>
    </row>
    <row r="39" spans="1:11" s="804" customFormat="1" x14ac:dyDescent="0.3">
      <c r="A39" s="665"/>
      <c r="B39" s="184"/>
      <c r="C39" s="184"/>
      <c r="D39" s="185"/>
      <c r="I39" s="439" t="s">
        <v>8</v>
      </c>
      <c r="J39" s="1425" t="s">
        <v>486</v>
      </c>
      <c r="K39" s="1426"/>
    </row>
    <row r="40" spans="1:11" s="804" customFormat="1" x14ac:dyDescent="0.3">
      <c r="A40" s="665"/>
      <c r="B40" s="184"/>
      <c r="C40" s="184"/>
      <c r="D40" s="185" t="s">
        <v>75</v>
      </c>
    </row>
    <row r="41" spans="1:11" s="804" customFormat="1" x14ac:dyDescent="0.3">
      <c r="A41" s="665" t="s">
        <v>76</v>
      </c>
      <c r="B41" s="180"/>
      <c r="C41" s="180"/>
      <c r="D41" s="185" t="s">
        <v>77</v>
      </c>
    </row>
    <row r="42" spans="1:11" s="804" customFormat="1" ht="26.4" x14ac:dyDescent="0.3">
      <c r="A42" s="665" t="s">
        <v>79</v>
      </c>
      <c r="B42" s="180"/>
      <c r="C42" s="180"/>
      <c r="D42" s="185" t="s">
        <v>80</v>
      </c>
    </row>
  </sheetData>
  <sheetProtection formatCells="0" formatColumns="0" formatRows="0" insertColumns="0" insertRows="0" insertHyperlinks="0" deleteColumns="0" deleteRows="0" sort="0" autoFilter="0" pivotTables="0"/>
  <mergeCells count="33">
    <mergeCell ref="J37:K37"/>
    <mergeCell ref="J38:K38"/>
    <mergeCell ref="J39:K39"/>
    <mergeCell ref="C1:J2"/>
    <mergeCell ref="K1:N1"/>
    <mergeCell ref="K2:N2"/>
    <mergeCell ref="A3:M3"/>
    <mergeCell ref="A4:M4"/>
    <mergeCell ref="A5:M5"/>
    <mergeCell ref="A6:M6"/>
    <mergeCell ref="A7:M7"/>
    <mergeCell ref="A8:M8"/>
    <mergeCell ref="A9:M9"/>
    <mergeCell ref="A10:M10"/>
    <mergeCell ref="B11:G11"/>
    <mergeCell ref="I11:K12"/>
    <mergeCell ref="L11:N12"/>
    <mergeCell ref="B12:G12"/>
    <mergeCell ref="A14:A15"/>
    <mergeCell ref="B14:B15"/>
    <mergeCell ref="H14:H15"/>
    <mergeCell ref="A16:A17"/>
    <mergeCell ref="B16:B17"/>
    <mergeCell ref="H16:H17"/>
    <mergeCell ref="A18:A20"/>
    <mergeCell ref="B18:B20"/>
    <mergeCell ref="H18:H20"/>
    <mergeCell ref="A21:A23"/>
    <mergeCell ref="B21:B23"/>
    <mergeCell ref="H21:H23"/>
    <mergeCell ref="A24:A25"/>
    <mergeCell ref="B24:B25"/>
    <mergeCell ref="H24:H25"/>
  </mergeCells>
  <pageMargins left="0.7" right="0.7" top="0.75" bottom="0.75" header="0.3" footer="0.3"/>
  <pageSetup scale="55" orientation="landscape" r:id="rId1"/>
  <drawing r:id="rId2"/>
  <legacyDrawingHF r:id="rId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4"/>
  <dimension ref="A1:G49"/>
  <sheetViews>
    <sheetView topLeftCell="A1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f>RESUMEN!B151</f>
        <v>0</v>
      </c>
      <c r="C7" s="1265"/>
      <c r="D7" s="1177"/>
      <c r="E7" s="1266" t="s">
        <v>627</v>
      </c>
      <c r="F7" s="1267"/>
      <c r="G7" s="280" t="str">
        <f>RESUMEN!E151</f>
        <v xml:space="preserve">18-013 </v>
      </c>
    </row>
    <row r="8" spans="1:7" x14ac:dyDescent="0.25">
      <c r="A8" s="271" t="s">
        <v>628</v>
      </c>
      <c r="B8" s="1264">
        <f>RESUMEN!C151</f>
        <v>0</v>
      </c>
      <c r="C8" s="1265"/>
      <c r="D8" s="1177"/>
      <c r="E8" s="1266" t="s">
        <v>629</v>
      </c>
      <c r="F8" s="1267"/>
      <c r="G8" s="280" t="str">
        <f>RESUMEN!U151</f>
        <v>Acta N° 1: Marzo</v>
      </c>
    </row>
    <row r="9" spans="1:7" x14ac:dyDescent="0.25">
      <c r="A9" s="271" t="s">
        <v>630</v>
      </c>
      <c r="B9" s="1283" t="s">
        <v>631</v>
      </c>
      <c r="C9" s="1265"/>
      <c r="D9" s="1177"/>
      <c r="E9" s="1266" t="s">
        <v>632</v>
      </c>
      <c r="F9" s="1267"/>
      <c r="G9" s="1178">
        <f>RESUMEN!H151</f>
        <v>1624950</v>
      </c>
    </row>
    <row r="10" spans="1:7" x14ac:dyDescent="0.25">
      <c r="A10" s="271" t="s">
        <v>633</v>
      </c>
      <c r="B10" s="1283" t="str">
        <f>RESUMEN!D151</f>
        <v>SUBACHOQUE</v>
      </c>
      <c r="C10" s="1265"/>
      <c r="D10" s="1177"/>
      <c r="E10" s="1266" t="s">
        <v>634</v>
      </c>
      <c r="F10" s="1267"/>
      <c r="G10" s="1178">
        <f>RESUMEN!R151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RESUMEN!N151</f>
        <v>0</v>
      </c>
      <c r="F19" s="1248"/>
      <c r="G19" s="1177"/>
    </row>
    <row r="20" spans="1:7" ht="27" customHeight="1" x14ac:dyDescent="0.25">
      <c r="A20" s="1177"/>
      <c r="B20" s="1244" t="s">
        <v>1498</v>
      </c>
      <c r="C20" s="1245"/>
      <c r="D20" s="1246"/>
      <c r="E20" s="1247">
        <f>RESUMEN!P151</f>
        <v>0</v>
      </c>
      <c r="F20" s="1248"/>
      <c r="G20" s="1177"/>
    </row>
    <row r="21" spans="1:7" ht="27" customHeight="1" x14ac:dyDescent="0.25">
      <c r="A21" s="1177"/>
      <c r="B21" s="1244" t="s">
        <v>1499</v>
      </c>
      <c r="C21" s="1245"/>
      <c r="D21" s="1246"/>
      <c r="E21" s="1247">
        <f>RESUMEN!Q151</f>
        <v>0</v>
      </c>
      <c r="F21" s="1248"/>
      <c r="G21" s="1177"/>
    </row>
    <row r="22" spans="1:7" x14ac:dyDescent="0.25">
      <c r="A22" s="1177"/>
      <c r="B22" s="1254" t="s">
        <v>64</v>
      </c>
      <c r="C22" s="1254"/>
      <c r="D22" s="1254"/>
      <c r="E22" s="1255">
        <f>RESUMEN!R151</f>
        <v>0</v>
      </c>
      <c r="F22" s="1255"/>
      <c r="G22" s="1177"/>
    </row>
    <row r="23" spans="1:7" x14ac:dyDescent="0.25">
      <c r="A23" s="1177"/>
      <c r="B23" s="1256" t="s">
        <v>66</v>
      </c>
      <c r="C23" s="1256"/>
      <c r="D23" s="1256"/>
      <c r="E23" s="1257">
        <f>RESUMEN!S151</f>
        <v>0</v>
      </c>
      <c r="F23" s="1257"/>
      <c r="G23" s="1177"/>
    </row>
    <row r="24" spans="1:7" x14ac:dyDescent="0.25">
      <c r="A24" s="1177"/>
      <c r="B24" s="1258" t="s">
        <v>1</v>
      </c>
      <c r="C24" s="1258"/>
      <c r="D24" s="1258"/>
      <c r="E24" s="1259">
        <f>RESUMEN!T151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+'OT18-013 SUBACHOQUE'!I31</f>
        <v>ACTA 1</v>
      </c>
      <c r="C28" s="1253">
        <f>+'OT18-013 SUBACHOQUE'!J31</f>
        <v>0</v>
      </c>
      <c r="D28" s="1253"/>
      <c r="E28" s="267">
        <f>+'OT18-013 SUBACHOQUE'!K31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RESUMEN!V151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4"/>
  <dimension ref="A1:N38"/>
  <sheetViews>
    <sheetView topLeftCell="A16" zoomScale="55" zoomScaleNormal="55" workbookViewId="0">
      <selection activeCell="G22" sqref="G22"/>
    </sheetView>
  </sheetViews>
  <sheetFormatPr baseColWidth="10" defaultColWidth="9.109375" defaultRowHeight="14.4" x14ac:dyDescent="0.3"/>
  <cols>
    <col min="1" max="1" width="15.109375" style="795" customWidth="1"/>
    <col min="2" max="2" width="31.88671875" style="795" customWidth="1"/>
    <col min="3" max="3" width="33.109375" style="795" customWidth="1"/>
    <col min="4" max="4" width="24.44140625" style="795" customWidth="1"/>
    <col min="5" max="5" width="13" style="795" customWidth="1"/>
    <col min="6" max="6" width="14.6640625" style="795" customWidth="1"/>
    <col min="7" max="7" width="16.44140625" style="795" customWidth="1"/>
    <col min="8" max="8" width="51" style="795" customWidth="1"/>
    <col min="9" max="9" width="22.6640625" style="795" customWidth="1"/>
    <col min="10" max="10" width="15.44140625" style="795" customWidth="1"/>
    <col min="11" max="11" width="9.109375" style="795"/>
    <col min="12" max="12" width="12.5546875" style="795" customWidth="1"/>
    <col min="13" max="13" width="14.10937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2137</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1745</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2139</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858" t="s">
        <v>2007</v>
      </c>
      <c r="G13" s="661" t="s">
        <v>56</v>
      </c>
      <c r="H13" s="660" t="s">
        <v>57</v>
      </c>
      <c r="I13" s="502" t="s">
        <v>54</v>
      </c>
      <c r="J13" s="502" t="s">
        <v>56</v>
      </c>
      <c r="K13" s="502" t="s">
        <v>58</v>
      </c>
      <c r="L13" s="502" t="s">
        <v>54</v>
      </c>
      <c r="M13" s="502" t="s">
        <v>56</v>
      </c>
      <c r="N13" s="502" t="s">
        <v>58</v>
      </c>
    </row>
    <row r="14" spans="1:14" ht="115.5" customHeight="1" x14ac:dyDescent="0.3">
      <c r="A14" s="1289" t="s">
        <v>1816</v>
      </c>
      <c r="B14" s="1289" t="s">
        <v>170</v>
      </c>
      <c r="C14" s="803" t="s">
        <v>83</v>
      </c>
      <c r="D14" s="803" t="s">
        <v>123</v>
      </c>
      <c r="E14" s="803">
        <v>0</v>
      </c>
      <c r="F14" s="32">
        <v>1097936</v>
      </c>
      <c r="G14" s="32">
        <f>ROUND((E14*F14),0)</f>
        <v>0</v>
      </c>
      <c r="H14" s="1289" t="s">
        <v>1379</v>
      </c>
      <c r="I14" s="799">
        <v>0</v>
      </c>
      <c r="J14" s="685">
        <f>ROUND(I14*F14,0)</f>
        <v>0</v>
      </c>
      <c r="K14" s="684">
        <v>0</v>
      </c>
      <c r="L14" s="799">
        <f>I14</f>
        <v>0</v>
      </c>
      <c r="M14" s="685">
        <f>J14</f>
        <v>0</v>
      </c>
      <c r="N14" s="684">
        <v>0</v>
      </c>
    </row>
    <row r="15" spans="1:14" ht="76.5" customHeight="1" x14ac:dyDescent="0.3">
      <c r="A15" s="1289"/>
      <c r="B15" s="1289"/>
      <c r="C15" s="803" t="s">
        <v>61</v>
      </c>
      <c r="D15" s="803" t="s">
        <v>125</v>
      </c>
      <c r="E15" s="803">
        <v>0.7</v>
      </c>
      <c r="F15" s="32">
        <v>1061338</v>
      </c>
      <c r="G15" s="32">
        <f>ROUND((E15*F15),0)</f>
        <v>742937</v>
      </c>
      <c r="H15" s="1289"/>
      <c r="I15" s="799">
        <v>0</v>
      </c>
      <c r="J15" s="685">
        <f>ROUND(I15*F15,0)</f>
        <v>0</v>
      </c>
      <c r="K15" s="684">
        <f t="shared" ref="K15:K21" si="0">J15/G15</f>
        <v>0</v>
      </c>
      <c r="L15" s="799">
        <f>I15</f>
        <v>0</v>
      </c>
      <c r="M15" s="685">
        <f>J15</f>
        <v>0</v>
      </c>
      <c r="N15" s="684">
        <f t="shared" ref="N15" si="1">+M15/G15</f>
        <v>0</v>
      </c>
    </row>
    <row r="16" spans="1:14" x14ac:dyDescent="0.3">
      <c r="A16" s="1289"/>
      <c r="B16" s="1289"/>
      <c r="C16" s="39"/>
      <c r="D16" s="39" t="s">
        <v>126</v>
      </c>
      <c r="E16" s="41"/>
      <c r="F16" s="854"/>
      <c r="G16" s="42">
        <f>SUM(G14:G15)</f>
        <v>742937</v>
      </c>
      <c r="H16" s="1289"/>
      <c r="I16" s="40"/>
      <c r="J16" s="683">
        <f>SUM(J14:J15)</f>
        <v>0</v>
      </c>
      <c r="K16" s="519">
        <f t="shared" si="0"/>
        <v>0</v>
      </c>
      <c r="L16" s="40"/>
      <c r="M16" s="683">
        <f>SUM(M15:M15)</f>
        <v>0</v>
      </c>
      <c r="N16" s="519">
        <f t="shared" ref="N16" si="2">M16/G16</f>
        <v>0</v>
      </c>
    </row>
    <row r="17" spans="1:14" ht="80.25" customHeight="1" x14ac:dyDescent="0.3">
      <c r="A17" s="1289" t="s">
        <v>283</v>
      </c>
      <c r="B17" s="1289" t="s">
        <v>282</v>
      </c>
      <c r="C17" s="803" t="s">
        <v>81</v>
      </c>
      <c r="D17" s="803" t="s">
        <v>105</v>
      </c>
      <c r="E17" s="803">
        <v>0.7</v>
      </c>
      <c r="F17" s="32">
        <v>439174</v>
      </c>
      <c r="G17" s="32">
        <f>ROUND((E17*F17),0)</f>
        <v>307422</v>
      </c>
      <c r="H17" s="1289" t="s">
        <v>2058</v>
      </c>
      <c r="I17" s="799">
        <v>0</v>
      </c>
      <c r="J17" s="685">
        <f>ROUND(I17*F17,0)</f>
        <v>0</v>
      </c>
      <c r="K17" s="684">
        <f t="shared" si="0"/>
        <v>0</v>
      </c>
      <c r="L17" s="799">
        <f>I17</f>
        <v>0</v>
      </c>
      <c r="M17" s="685">
        <f>J17</f>
        <v>0</v>
      </c>
      <c r="N17" s="684">
        <f t="shared" ref="N17:N18" si="3">+M17/G17</f>
        <v>0</v>
      </c>
    </row>
    <row r="18" spans="1:14" ht="104.25" customHeight="1" x14ac:dyDescent="0.3">
      <c r="A18" s="1289"/>
      <c r="B18" s="1289"/>
      <c r="C18" s="803" t="s">
        <v>83</v>
      </c>
      <c r="D18" s="803" t="s">
        <v>107</v>
      </c>
      <c r="E18" s="803">
        <v>8.4000000000000005E-2</v>
      </c>
      <c r="F18" s="32">
        <v>1939687</v>
      </c>
      <c r="G18" s="32">
        <f>ROUND((E18*F18),0)</f>
        <v>162934</v>
      </c>
      <c r="H18" s="1289"/>
      <c r="I18" s="799">
        <v>0</v>
      </c>
      <c r="J18" s="685">
        <f>ROUND(I18*F18,0)</f>
        <v>0</v>
      </c>
      <c r="K18" s="684">
        <f t="shared" si="0"/>
        <v>0</v>
      </c>
      <c r="L18" s="799">
        <f>I18</f>
        <v>0</v>
      </c>
      <c r="M18" s="685">
        <f>J18</f>
        <v>0</v>
      </c>
      <c r="N18" s="684">
        <f t="shared" si="3"/>
        <v>0</v>
      </c>
    </row>
    <row r="19" spans="1:14" x14ac:dyDescent="0.3">
      <c r="A19" s="1289"/>
      <c r="B19" s="1289"/>
      <c r="C19" s="39"/>
      <c r="D19" s="39" t="s">
        <v>108</v>
      </c>
      <c r="E19" s="41"/>
      <c r="F19" s="854"/>
      <c r="G19" s="42">
        <f>SUM(G17:G18)</f>
        <v>470356</v>
      </c>
      <c r="H19" s="1289"/>
      <c r="I19" s="40"/>
      <c r="J19" s="683">
        <f>SUM(J17:J18)</f>
        <v>0</v>
      </c>
      <c r="K19" s="519">
        <f t="shared" si="0"/>
        <v>0</v>
      </c>
      <c r="L19" s="40"/>
      <c r="M19" s="683">
        <f>SUM(M18:M18)</f>
        <v>0</v>
      </c>
      <c r="N19" s="519">
        <f t="shared" ref="N19" si="4">M19/G19</f>
        <v>0</v>
      </c>
    </row>
    <row r="20" spans="1:14" ht="83.25" customHeight="1" x14ac:dyDescent="0.3">
      <c r="A20" s="1289" t="s">
        <v>283</v>
      </c>
      <c r="B20" s="1289" t="s">
        <v>194</v>
      </c>
      <c r="C20" s="803" t="s">
        <v>160</v>
      </c>
      <c r="D20" s="803" t="s">
        <v>161</v>
      </c>
      <c r="E20" s="803">
        <v>18</v>
      </c>
      <c r="F20" s="32">
        <v>73196</v>
      </c>
      <c r="G20" s="32">
        <f>ROUND((E20*F20),0)</f>
        <v>1317528</v>
      </c>
      <c r="H20" s="1289" t="s">
        <v>2059</v>
      </c>
      <c r="I20" s="799">
        <v>0</v>
      </c>
      <c r="J20" s="685">
        <f>ROUND(I20*F20,0)</f>
        <v>0</v>
      </c>
      <c r="K20" s="684">
        <f t="shared" si="0"/>
        <v>0</v>
      </c>
      <c r="L20" s="799">
        <f>I20</f>
        <v>0</v>
      </c>
      <c r="M20" s="685">
        <f>J20</f>
        <v>0</v>
      </c>
      <c r="N20" s="684">
        <f t="shared" ref="N20" si="5">+M20/G20</f>
        <v>0</v>
      </c>
    </row>
    <row r="21" spans="1:14" x14ac:dyDescent="0.3">
      <c r="A21" s="1289"/>
      <c r="B21" s="1289"/>
      <c r="C21" s="39"/>
      <c r="D21" s="39" t="s">
        <v>162</v>
      </c>
      <c r="E21" s="41"/>
      <c r="F21" s="854"/>
      <c r="G21" s="42">
        <f>G20</f>
        <v>1317528</v>
      </c>
      <c r="H21" s="1289"/>
      <c r="I21" s="40"/>
      <c r="J21" s="683">
        <f>SUM(J19:J20)</f>
        <v>0</v>
      </c>
      <c r="K21" s="519">
        <f t="shared" si="0"/>
        <v>0</v>
      </c>
      <c r="L21" s="40"/>
      <c r="M21" s="683">
        <f>SUM(M20:M20)</f>
        <v>0</v>
      </c>
      <c r="N21" s="519">
        <f t="shared" ref="N21" si="6">M21/G21</f>
        <v>0</v>
      </c>
    </row>
    <row r="22" spans="1:14" s="804" customFormat="1" x14ac:dyDescent="0.3">
      <c r="F22" s="836" t="s">
        <v>1740</v>
      </c>
      <c r="G22" s="837">
        <f>SUM(G21,G17,G14,G10,G7)</f>
        <v>1624950</v>
      </c>
      <c r="I22" s="547" t="s">
        <v>64</v>
      </c>
      <c r="J22" s="855">
        <f>SUM(J21)</f>
        <v>0</v>
      </c>
      <c r="L22" s="547" t="s">
        <v>64</v>
      </c>
      <c r="M22" s="835">
        <f>SUM(M21)</f>
        <v>0</v>
      </c>
    </row>
    <row r="23" spans="1:14" s="804" customFormat="1" ht="26.4" x14ac:dyDescent="0.3">
      <c r="F23" s="548" t="s">
        <v>65</v>
      </c>
      <c r="G23" s="481">
        <v>0</v>
      </c>
      <c r="I23" s="548" t="s">
        <v>65</v>
      </c>
      <c r="J23" s="677">
        <v>0</v>
      </c>
      <c r="L23" s="548" t="s">
        <v>65</v>
      </c>
      <c r="M23" s="677">
        <v>0</v>
      </c>
    </row>
    <row r="24" spans="1:14" s="804" customFormat="1" x14ac:dyDescent="0.3">
      <c r="F24" s="549" t="s">
        <v>1740</v>
      </c>
      <c r="G24" s="340">
        <f>+G23+G22</f>
        <v>1624950</v>
      </c>
      <c r="I24" s="549" t="s">
        <v>64</v>
      </c>
      <c r="J24" s="481">
        <f>J22+J23</f>
        <v>0</v>
      </c>
      <c r="L24" s="549" t="s">
        <v>64</v>
      </c>
      <c r="M24" s="481">
        <f>M22+M23</f>
        <v>0</v>
      </c>
    </row>
    <row r="25" spans="1:14" s="804" customFormat="1" ht="18" customHeight="1" x14ac:dyDescent="0.3">
      <c r="F25" s="810"/>
      <c r="G25" s="810"/>
      <c r="I25" s="501" t="s">
        <v>1439</v>
      </c>
      <c r="J25" s="481">
        <f>ROUND(J24*0.015,0)</f>
        <v>0</v>
      </c>
      <c r="L25" s="501" t="s">
        <v>1439</v>
      </c>
      <c r="M25" s="481">
        <f>ROUND(M24*0.015,0)</f>
        <v>0</v>
      </c>
    </row>
    <row r="26" spans="1:14" s="804" customFormat="1" ht="27.75" customHeight="1" x14ac:dyDescent="0.3">
      <c r="F26" s="810"/>
      <c r="G26" s="810"/>
      <c r="I26" s="96" t="s">
        <v>1440</v>
      </c>
      <c r="J26" s="783">
        <f>J24+J25</f>
        <v>0</v>
      </c>
      <c r="K26" s="856">
        <f>J26/G22</f>
        <v>0</v>
      </c>
      <c r="L26" s="96" t="s">
        <v>1440</v>
      </c>
      <c r="M26" s="425">
        <f>M24+M25</f>
        <v>0</v>
      </c>
      <c r="N26" s="857">
        <f>M26/G22</f>
        <v>0</v>
      </c>
    </row>
    <row r="27" spans="1:14" s="804" customFormat="1" x14ac:dyDescent="0.3">
      <c r="F27" s="551" t="s">
        <v>66</v>
      </c>
      <c r="G27" s="481">
        <f>+G22*19%</f>
        <v>308740.5</v>
      </c>
      <c r="I27" s="551" t="s">
        <v>66</v>
      </c>
      <c r="J27" s="672">
        <f>J26*0.19</f>
        <v>0</v>
      </c>
      <c r="L27" s="551" t="s">
        <v>66</v>
      </c>
      <c r="M27" s="672">
        <f>M26*0.19</f>
        <v>0</v>
      </c>
    </row>
    <row r="28" spans="1:14" s="804" customFormat="1" x14ac:dyDescent="0.3">
      <c r="F28" s="552" t="s">
        <v>69</v>
      </c>
      <c r="G28" s="481">
        <f>+G22+G27</f>
        <v>1933690.5</v>
      </c>
      <c r="I28" s="552" t="s">
        <v>69</v>
      </c>
      <c r="J28" s="672">
        <f>J26+J27</f>
        <v>0</v>
      </c>
      <c r="L28" s="552" t="s">
        <v>69</v>
      </c>
      <c r="M28" s="672">
        <f>M26+M27</f>
        <v>0</v>
      </c>
    </row>
    <row r="29" spans="1:14" s="804" customFormat="1" x14ac:dyDescent="0.3"/>
    <row r="30" spans="1:14" s="804" customFormat="1" ht="38.25" customHeight="1" x14ac:dyDescent="0.3">
      <c r="A30" s="665" t="s">
        <v>67</v>
      </c>
      <c r="B30" s="184"/>
      <c r="C30" s="184"/>
      <c r="D30" s="185" t="s">
        <v>68</v>
      </c>
      <c r="I30" s="186" t="s">
        <v>70</v>
      </c>
      <c r="J30" s="187" t="s">
        <v>71</v>
      </c>
      <c r="K30" s="186" t="s">
        <v>58</v>
      </c>
    </row>
    <row r="31" spans="1:14" s="804" customFormat="1" x14ac:dyDescent="0.3">
      <c r="A31" s="665"/>
      <c r="B31" s="184"/>
      <c r="C31" s="184"/>
      <c r="D31" s="185"/>
      <c r="I31" s="69" t="s">
        <v>72</v>
      </c>
      <c r="J31" s="70">
        <f>J26</f>
        <v>0</v>
      </c>
      <c r="K31" s="360">
        <f>K26</f>
        <v>0</v>
      </c>
    </row>
    <row r="32" spans="1:14" s="804" customFormat="1" x14ac:dyDescent="0.3">
      <c r="A32" s="665"/>
      <c r="B32" s="184"/>
      <c r="C32" s="184"/>
      <c r="D32" s="185"/>
      <c r="I32" s="72" t="s">
        <v>1</v>
      </c>
      <c r="J32" s="105">
        <f>J31</f>
        <v>0</v>
      </c>
      <c r="K32" s="361">
        <f>K31</f>
        <v>0</v>
      </c>
    </row>
    <row r="33" spans="1:11" s="804" customFormat="1" x14ac:dyDescent="0.3">
      <c r="A33" s="665"/>
      <c r="B33" s="184"/>
      <c r="C33" s="184"/>
      <c r="D33" s="185"/>
      <c r="I33" s="72" t="s">
        <v>9</v>
      </c>
      <c r="J33" s="1423"/>
      <c r="K33" s="1424"/>
    </row>
    <row r="34" spans="1:11" s="804" customFormat="1" x14ac:dyDescent="0.3">
      <c r="A34" s="665"/>
      <c r="B34" s="184"/>
      <c r="C34" s="184"/>
      <c r="D34" s="185"/>
      <c r="I34" s="440" t="s">
        <v>78</v>
      </c>
      <c r="J34" s="1423"/>
      <c r="K34" s="1424"/>
    </row>
    <row r="35" spans="1:11" s="804" customFormat="1" x14ac:dyDescent="0.3">
      <c r="A35" s="665"/>
      <c r="B35" s="184"/>
      <c r="C35" s="184"/>
      <c r="D35" s="185"/>
      <c r="I35" s="439" t="s">
        <v>8</v>
      </c>
      <c r="J35" s="1425"/>
      <c r="K35" s="1426"/>
    </row>
    <row r="36" spans="1:11" s="804" customFormat="1" x14ac:dyDescent="0.3">
      <c r="A36" s="665"/>
      <c r="B36" s="184"/>
      <c r="C36" s="184"/>
      <c r="D36" s="185" t="s">
        <v>75</v>
      </c>
    </row>
    <row r="37" spans="1:11" s="804" customFormat="1" x14ac:dyDescent="0.3">
      <c r="A37" s="665" t="s">
        <v>76</v>
      </c>
      <c r="B37" s="180"/>
      <c r="C37" s="180"/>
      <c r="D37" s="185" t="s">
        <v>77</v>
      </c>
    </row>
    <row r="38" spans="1:11" s="804" customFormat="1" ht="26.4" x14ac:dyDescent="0.3">
      <c r="A38" s="665" t="s">
        <v>79</v>
      </c>
      <c r="B38" s="180"/>
      <c r="C38" s="180"/>
      <c r="D38" s="185" t="s">
        <v>80</v>
      </c>
    </row>
  </sheetData>
  <sheetProtection formatCells="0" formatColumns="0" formatRows="0" insertColumns="0" insertRows="0" insertHyperlinks="0" deleteColumns="0" deleteRows="0" sort="0" autoFilter="0" pivotTables="0"/>
  <mergeCells count="27">
    <mergeCell ref="J33:K33"/>
    <mergeCell ref="J34:K34"/>
    <mergeCell ref="J35:K35"/>
    <mergeCell ref="C1:J2"/>
    <mergeCell ref="K1:N1"/>
    <mergeCell ref="K2:N2"/>
    <mergeCell ref="A3:M3"/>
    <mergeCell ref="A4:M4"/>
    <mergeCell ref="A5:M5"/>
    <mergeCell ref="A6:M6"/>
    <mergeCell ref="A7:M7"/>
    <mergeCell ref="A8:M8"/>
    <mergeCell ref="A9:M9"/>
    <mergeCell ref="A10:M10"/>
    <mergeCell ref="B11:G11"/>
    <mergeCell ref="I11:K12"/>
    <mergeCell ref="L11:N12"/>
    <mergeCell ref="B12:G12"/>
    <mergeCell ref="A14:A16"/>
    <mergeCell ref="B14:B16"/>
    <mergeCell ref="H14:H16"/>
    <mergeCell ref="A17:A19"/>
    <mergeCell ref="B17:B19"/>
    <mergeCell ref="H17:H19"/>
    <mergeCell ref="A20:A21"/>
    <mergeCell ref="B20:B21"/>
    <mergeCell ref="H20:H21"/>
  </mergeCells>
  <pageMargins left="0.7" right="0.7" top="0.75" bottom="0.75" header="0.3" footer="0.3"/>
  <pageSetup scale="58" orientation="landscape" r:id="rId1"/>
  <drawing r:id="rId2"/>
  <legacyDrawingHF r:id="rId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5"/>
  <dimension ref="A1:G49"/>
  <sheetViews>
    <sheetView topLeftCell="A10" workbookViewId="0">
      <selection activeCell="H25" sqref="H2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RESUMEN!G152</f>
        <v>Proyecto: CDIM_CADCAA_R0179 REPOSICIÓN DE LÍNEAS 115KV</v>
      </c>
      <c r="C5" s="1281"/>
      <c r="D5" s="1281"/>
      <c r="E5" s="1281"/>
      <c r="F5" s="1281"/>
      <c r="G5" s="1282"/>
    </row>
    <row r="6" spans="1:7" x14ac:dyDescent="0.25">
      <c r="A6" s="1177"/>
      <c r="B6" s="1177"/>
      <c r="C6" s="1177"/>
      <c r="D6" s="1177"/>
      <c r="E6" s="1177"/>
      <c r="F6" s="1177"/>
      <c r="G6" s="1177"/>
    </row>
    <row r="7" spans="1:7" x14ac:dyDescent="0.25">
      <c r="A7" s="271" t="s">
        <v>0</v>
      </c>
      <c r="B7" s="1264" t="str">
        <f>RESUMEN!B152</f>
        <v>D00243028</v>
      </c>
      <c r="C7" s="1265"/>
      <c r="D7" s="1177"/>
      <c r="E7" s="1266" t="s">
        <v>627</v>
      </c>
      <c r="F7" s="1267"/>
      <c r="G7" s="280" t="str">
        <f>RESUMEN!E152</f>
        <v>18-014</v>
      </c>
    </row>
    <row r="8" spans="1:7" x14ac:dyDescent="0.25">
      <c r="A8" s="271" t="s">
        <v>628</v>
      </c>
      <c r="B8" s="1264" t="str">
        <f>RESUMEN!C152</f>
        <v>D00243028000</v>
      </c>
      <c r="C8" s="1265"/>
      <c r="D8" s="1177"/>
      <c r="E8" s="1266" t="s">
        <v>629</v>
      </c>
      <c r="F8" s="1267"/>
      <c r="G8" s="280" t="str">
        <f>RESUMEN!U152</f>
        <v>Acta N° 1: Marzo</v>
      </c>
    </row>
    <row r="9" spans="1:7" x14ac:dyDescent="0.25">
      <c r="A9" s="271" t="s">
        <v>630</v>
      </c>
      <c r="B9" s="1283" t="s">
        <v>631</v>
      </c>
      <c r="C9" s="1265"/>
      <c r="D9" s="1177"/>
      <c r="E9" s="1266" t="s">
        <v>632</v>
      </c>
      <c r="F9" s="1267"/>
      <c r="G9" s="1178">
        <f>RESUMEN!H152</f>
        <v>770385</v>
      </c>
    </row>
    <row r="10" spans="1:7" x14ac:dyDescent="0.25">
      <c r="A10" s="271" t="s">
        <v>633</v>
      </c>
      <c r="B10" s="1283" t="str">
        <f>RESUMEN!D152</f>
        <v xml:space="preserve"> BALSILLAS</v>
      </c>
      <c r="C10" s="1265"/>
      <c r="D10" s="1177"/>
      <c r="E10" s="1266" t="s">
        <v>634</v>
      </c>
      <c r="F10" s="1267"/>
      <c r="G10" s="1178">
        <f>RESUMEN!R152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CDIM_CADCAA_R0179 REPOSICIÓN DE LÍNEAS 115KV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RESUMEN!N152</f>
        <v>0</v>
      </c>
      <c r="F19" s="1248"/>
      <c r="G19" s="1177"/>
    </row>
    <row r="20" spans="1:7" ht="27" customHeight="1" x14ac:dyDescent="0.25">
      <c r="A20" s="1177"/>
      <c r="B20" s="1244" t="s">
        <v>1498</v>
      </c>
      <c r="C20" s="1245"/>
      <c r="D20" s="1246"/>
      <c r="E20" s="1247">
        <f>RESUMEN!P152</f>
        <v>0</v>
      </c>
      <c r="F20" s="1248"/>
      <c r="G20" s="1177"/>
    </row>
    <row r="21" spans="1:7" ht="27" customHeight="1" x14ac:dyDescent="0.25">
      <c r="A21" s="1177"/>
      <c r="B21" s="1244" t="s">
        <v>1499</v>
      </c>
      <c r="C21" s="1245"/>
      <c r="D21" s="1246"/>
      <c r="E21" s="1247">
        <f>RESUMEN!Q152</f>
        <v>0</v>
      </c>
      <c r="F21" s="1248"/>
      <c r="G21" s="1177"/>
    </row>
    <row r="22" spans="1:7" x14ac:dyDescent="0.25">
      <c r="A22" s="1177"/>
      <c r="B22" s="1254" t="s">
        <v>64</v>
      </c>
      <c r="C22" s="1254"/>
      <c r="D22" s="1254"/>
      <c r="E22" s="1255">
        <f>RESUMEN!R152</f>
        <v>0</v>
      </c>
      <c r="F22" s="1255"/>
      <c r="G22" s="1177"/>
    </row>
    <row r="23" spans="1:7" x14ac:dyDescent="0.25">
      <c r="A23" s="1177"/>
      <c r="B23" s="1256" t="s">
        <v>66</v>
      </c>
      <c r="C23" s="1256"/>
      <c r="D23" s="1256"/>
      <c r="E23" s="1257">
        <f>RESUMEN!S152</f>
        <v>0</v>
      </c>
      <c r="F23" s="1257"/>
      <c r="G23" s="1177"/>
    </row>
    <row r="24" spans="1:7" x14ac:dyDescent="0.25">
      <c r="A24" s="1177"/>
      <c r="B24" s="1258" t="s">
        <v>1</v>
      </c>
      <c r="C24" s="1258"/>
      <c r="D24" s="1258"/>
      <c r="E24" s="1259">
        <f>RESUMEN!T152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+'OT18-014 BALSILLAS'!I30</f>
        <v>ACTA 1</v>
      </c>
      <c r="C28" s="1253">
        <f>+'OT18-014 BALSILLAS'!J30</f>
        <v>0</v>
      </c>
      <c r="D28" s="1253"/>
      <c r="E28" s="267">
        <f>+'OT18-014 BALSILLAS'!K30</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RESUMEN!V152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5"/>
  <dimension ref="A1:N38"/>
  <sheetViews>
    <sheetView topLeftCell="A6" zoomScale="55" zoomScaleNormal="55" workbookViewId="0">
      <selection activeCell="C35" sqref="C35"/>
    </sheetView>
  </sheetViews>
  <sheetFormatPr baseColWidth="10" defaultColWidth="9.109375" defaultRowHeight="14.4" x14ac:dyDescent="0.3"/>
  <cols>
    <col min="1" max="1" width="16" style="795" customWidth="1"/>
    <col min="2" max="2" width="22" style="795" customWidth="1"/>
    <col min="3" max="3" width="31.44140625" style="795" customWidth="1"/>
    <col min="4" max="4" width="35.5546875" style="795" customWidth="1"/>
    <col min="5" max="5" width="13" style="795" customWidth="1"/>
    <col min="6" max="6" width="12.5546875" style="795" customWidth="1"/>
    <col min="7" max="7" width="12" style="795" customWidth="1"/>
    <col min="8" max="8" width="45.6640625" style="795" customWidth="1"/>
    <col min="9" max="9" width="18.44140625" style="795" customWidth="1"/>
    <col min="10" max="10" width="16.109375" style="795" customWidth="1"/>
    <col min="11" max="11" width="9.109375" style="795"/>
    <col min="12" max="12" width="11.5546875" style="795" customWidth="1"/>
    <col min="13" max="13" width="15.4414062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2141</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2140</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2142</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G11" s="1313"/>
      <c r="I11" s="1470" t="s">
        <v>2313</v>
      </c>
      <c r="J11" s="1471"/>
      <c r="K11" s="1472"/>
      <c r="L11" s="1299" t="s">
        <v>49</v>
      </c>
      <c r="M11" s="1299"/>
      <c r="N11" s="1299"/>
    </row>
    <row r="12" spans="1:14" s="804" customFormat="1" ht="18" customHeight="1" x14ac:dyDescent="0.3">
      <c r="A12" s="171"/>
      <c r="B12" s="1301"/>
      <c r="C12" s="1302"/>
      <c r="D12" s="1302"/>
      <c r="E12" s="1302"/>
      <c r="F12" s="1302"/>
      <c r="G12" s="1302"/>
      <c r="H12" s="831"/>
      <c r="I12" s="1523"/>
      <c r="J12" s="1524"/>
      <c r="K12" s="1525"/>
      <c r="L12" s="1300"/>
      <c r="M12" s="1300"/>
      <c r="N12" s="1300"/>
    </row>
    <row r="13" spans="1:14" ht="28.8" x14ac:dyDescent="0.3">
      <c r="A13" s="660" t="s">
        <v>50</v>
      </c>
      <c r="B13" s="660" t="s">
        <v>51</v>
      </c>
      <c r="C13" s="660" t="s">
        <v>52</v>
      </c>
      <c r="D13" s="660" t="s">
        <v>164</v>
      </c>
      <c r="E13" s="661" t="s">
        <v>54</v>
      </c>
      <c r="F13" s="858" t="s">
        <v>2007</v>
      </c>
      <c r="G13" s="661" t="s">
        <v>56</v>
      </c>
      <c r="H13" s="660" t="s">
        <v>57</v>
      </c>
      <c r="I13" s="502" t="s">
        <v>54</v>
      </c>
      <c r="J13" s="502" t="s">
        <v>56</v>
      </c>
      <c r="K13" s="502" t="s">
        <v>58</v>
      </c>
      <c r="L13" s="502" t="s">
        <v>54</v>
      </c>
      <c r="M13" s="502" t="s">
        <v>56</v>
      </c>
      <c r="N13" s="502" t="s">
        <v>58</v>
      </c>
    </row>
    <row r="14" spans="1:14" ht="28.5" customHeight="1" x14ac:dyDescent="0.3">
      <c r="A14" s="1289" t="s">
        <v>2064</v>
      </c>
      <c r="B14" s="1289" t="s">
        <v>216</v>
      </c>
      <c r="C14" s="803" t="s">
        <v>81</v>
      </c>
      <c r="D14" s="803" t="s">
        <v>82</v>
      </c>
      <c r="E14" s="803">
        <v>0</v>
      </c>
      <c r="F14" s="32">
        <v>1976285</v>
      </c>
      <c r="G14" s="32">
        <f>ROUND((E14*F14),0)</f>
        <v>0</v>
      </c>
      <c r="H14" s="1290" t="s">
        <v>2065</v>
      </c>
      <c r="I14" s="799">
        <v>0</v>
      </c>
      <c r="J14" s="685">
        <f t="shared" ref="J14:J15" si="0">ROUND(I14*F14,0)</f>
        <v>0</v>
      </c>
      <c r="K14" s="684">
        <v>0</v>
      </c>
      <c r="L14" s="799">
        <f t="shared" ref="L14:L15" si="1">I14</f>
        <v>0</v>
      </c>
      <c r="M14" s="685">
        <f t="shared" ref="M14:M15" si="2">J14</f>
        <v>0</v>
      </c>
      <c r="N14" s="684">
        <v>0</v>
      </c>
    </row>
    <row r="15" spans="1:14" ht="30" customHeight="1" x14ac:dyDescent="0.3">
      <c r="A15" s="1289"/>
      <c r="B15" s="1289"/>
      <c r="C15" s="803" t="s">
        <v>83</v>
      </c>
      <c r="D15" s="803" t="s">
        <v>84</v>
      </c>
      <c r="E15" s="803">
        <v>0</v>
      </c>
      <c r="F15" s="32">
        <v>1939687</v>
      </c>
      <c r="G15" s="32">
        <f>ROUND((E15*F15),0)</f>
        <v>0</v>
      </c>
      <c r="H15" s="1289"/>
      <c r="I15" s="799">
        <v>0</v>
      </c>
      <c r="J15" s="685">
        <f t="shared" si="0"/>
        <v>0</v>
      </c>
      <c r="K15" s="684">
        <v>0</v>
      </c>
      <c r="L15" s="799">
        <f t="shared" si="1"/>
        <v>0</v>
      </c>
      <c r="M15" s="685">
        <f t="shared" si="2"/>
        <v>0</v>
      </c>
      <c r="N15" s="684">
        <v>0</v>
      </c>
    </row>
    <row r="16" spans="1:14" ht="28.8" x14ac:dyDescent="0.3">
      <c r="A16" s="1289"/>
      <c r="B16" s="1289"/>
      <c r="C16" s="803" t="s">
        <v>61</v>
      </c>
      <c r="D16" s="803" t="s">
        <v>85</v>
      </c>
      <c r="E16" s="803">
        <v>0.05</v>
      </c>
      <c r="F16" s="32">
        <v>7685550</v>
      </c>
      <c r="G16" s="32">
        <f>ROUND((E16*F16),0)</f>
        <v>384278</v>
      </c>
      <c r="H16" s="1289"/>
      <c r="I16" s="799">
        <v>0</v>
      </c>
      <c r="J16" s="685">
        <f>ROUND(I16*F16,0)</f>
        <v>0</v>
      </c>
      <c r="K16" s="684">
        <f>J16/G16</f>
        <v>0</v>
      </c>
      <c r="L16" s="799">
        <f>I16</f>
        <v>0</v>
      </c>
      <c r="M16" s="685">
        <f>J16</f>
        <v>0</v>
      </c>
      <c r="N16" s="684">
        <f t="shared" ref="N16" si="3">+M16/G16</f>
        <v>0</v>
      </c>
    </row>
    <row r="17" spans="1:14" x14ac:dyDescent="0.3">
      <c r="A17" s="1289"/>
      <c r="B17" s="1289"/>
      <c r="C17" s="39"/>
      <c r="D17" s="39" t="s">
        <v>86</v>
      </c>
      <c r="E17" s="41"/>
      <c r="F17" s="854"/>
      <c r="G17" s="42">
        <f>SUM(G14:G16)</f>
        <v>384278</v>
      </c>
      <c r="H17" s="1289"/>
      <c r="I17" s="40"/>
      <c r="J17" s="683">
        <f>SUM(J15:J16)</f>
        <v>0</v>
      </c>
      <c r="K17" s="519">
        <f>J17/G17</f>
        <v>0</v>
      </c>
      <c r="L17" s="40"/>
      <c r="M17" s="683">
        <f>SUM(M14:M16)</f>
        <v>0</v>
      </c>
      <c r="N17" s="519">
        <f t="shared" ref="N17" si="4">M17/G17</f>
        <v>0</v>
      </c>
    </row>
    <row r="18" spans="1:14" ht="33" customHeight="1" x14ac:dyDescent="0.3">
      <c r="A18" s="1289" t="s">
        <v>2064</v>
      </c>
      <c r="B18" s="1289" t="s">
        <v>700</v>
      </c>
      <c r="C18" s="803" t="s">
        <v>83</v>
      </c>
      <c r="D18" s="803" t="s">
        <v>701</v>
      </c>
      <c r="E18" s="803">
        <v>0</v>
      </c>
      <c r="F18" s="32">
        <v>1390718</v>
      </c>
      <c r="G18" s="32">
        <f>ROUND((E18*F18),0)</f>
        <v>0</v>
      </c>
      <c r="H18" s="1290" t="s">
        <v>2066</v>
      </c>
      <c r="I18" s="799">
        <v>0</v>
      </c>
      <c r="J18" s="685">
        <f t="shared" ref="J18" si="5">ROUND(I18*F18,0)</f>
        <v>0</v>
      </c>
      <c r="K18" s="684" t="e">
        <f t="shared" ref="K18" si="6">J18/G18</f>
        <v>#DIV/0!</v>
      </c>
      <c r="L18" s="799">
        <f t="shared" ref="L18" si="7">I18</f>
        <v>0</v>
      </c>
      <c r="M18" s="685">
        <f t="shared" ref="M18" si="8">J18</f>
        <v>0</v>
      </c>
      <c r="N18" s="684" t="e">
        <f t="shared" ref="N18:N19" si="9">+M18/G18</f>
        <v>#DIV/0!</v>
      </c>
    </row>
    <row r="19" spans="1:14" ht="42" customHeight="1" x14ac:dyDescent="0.3">
      <c r="A19" s="1289"/>
      <c r="B19" s="1289"/>
      <c r="C19" s="803" t="s">
        <v>61</v>
      </c>
      <c r="D19" s="803" t="s">
        <v>703</v>
      </c>
      <c r="E19" s="803">
        <v>0.05</v>
      </c>
      <c r="F19" s="32">
        <v>7722148</v>
      </c>
      <c r="G19" s="32">
        <f>ROUND((E19*F19),0)</f>
        <v>386107</v>
      </c>
      <c r="H19" s="1289"/>
      <c r="I19" s="799">
        <v>0</v>
      </c>
      <c r="J19" s="685">
        <f>ROUND(I19*F19,0)</f>
        <v>0</v>
      </c>
      <c r="K19" s="684">
        <f>J19/G19</f>
        <v>0</v>
      </c>
      <c r="L19" s="799">
        <f>I19</f>
        <v>0</v>
      </c>
      <c r="M19" s="685">
        <f>J19</f>
        <v>0</v>
      </c>
      <c r="N19" s="684">
        <f t="shared" si="9"/>
        <v>0</v>
      </c>
    </row>
    <row r="20" spans="1:14" ht="18" customHeight="1" x14ac:dyDescent="0.3">
      <c r="A20" s="1289"/>
      <c r="B20" s="1289"/>
      <c r="C20" s="39"/>
      <c r="D20" s="39" t="s">
        <v>704</v>
      </c>
      <c r="E20" s="41"/>
      <c r="F20" s="854"/>
      <c r="G20" s="42">
        <f>SUM(G18:G19)</f>
        <v>386107</v>
      </c>
      <c r="H20" s="1289"/>
      <c r="I20" s="40"/>
      <c r="J20" s="683">
        <f>SUM(J18:J19)</f>
        <v>0</v>
      </c>
      <c r="K20" s="519">
        <f>J20/G20</f>
        <v>0</v>
      </c>
      <c r="L20" s="40"/>
      <c r="M20" s="683">
        <f>SUM(M18:M19)</f>
        <v>0</v>
      </c>
      <c r="N20" s="519">
        <f t="shared" ref="N20" si="10">M20/G20</f>
        <v>0</v>
      </c>
    </row>
    <row r="21" spans="1:14" s="804" customFormat="1" x14ac:dyDescent="0.3">
      <c r="F21" s="836" t="s">
        <v>1740</v>
      </c>
      <c r="G21" s="837">
        <f>SUM(G20,G16,G13,G9,G6)</f>
        <v>770385</v>
      </c>
      <c r="I21" s="547" t="s">
        <v>64</v>
      </c>
      <c r="J21" s="855">
        <f>SUM(J20)</f>
        <v>0</v>
      </c>
      <c r="L21" s="547" t="s">
        <v>64</v>
      </c>
      <c r="M21" s="835">
        <f>SUM(M20)</f>
        <v>0</v>
      </c>
    </row>
    <row r="22" spans="1:14" s="804" customFormat="1" ht="26.4" x14ac:dyDescent="0.3">
      <c r="F22" s="548" t="s">
        <v>65</v>
      </c>
      <c r="G22" s="481">
        <v>0</v>
      </c>
      <c r="I22" s="548" t="s">
        <v>65</v>
      </c>
      <c r="J22" s="677">
        <v>0</v>
      </c>
      <c r="L22" s="548" t="s">
        <v>65</v>
      </c>
      <c r="M22" s="677">
        <v>0</v>
      </c>
    </row>
    <row r="23" spans="1:14" s="804" customFormat="1" x14ac:dyDescent="0.3">
      <c r="F23" s="549" t="s">
        <v>1740</v>
      </c>
      <c r="G23" s="340">
        <f>+G22+G21</f>
        <v>770385</v>
      </c>
      <c r="I23" s="549" t="s">
        <v>64</v>
      </c>
      <c r="J23" s="481">
        <f>J21+J22</f>
        <v>0</v>
      </c>
      <c r="L23" s="549" t="s">
        <v>64</v>
      </c>
      <c r="M23" s="481">
        <f>M21+M22</f>
        <v>0</v>
      </c>
    </row>
    <row r="24" spans="1:14" s="804" customFormat="1" ht="18" customHeight="1" x14ac:dyDescent="0.3">
      <c r="F24" s="810"/>
      <c r="G24" s="810"/>
      <c r="I24" s="501" t="s">
        <v>1439</v>
      </c>
      <c r="J24" s="481">
        <f>ROUND(J23*0.015,0)</f>
        <v>0</v>
      </c>
      <c r="L24" s="501" t="s">
        <v>1439</v>
      </c>
      <c r="M24" s="481">
        <f>ROUND(M23*0.015,0)</f>
        <v>0</v>
      </c>
    </row>
    <row r="25" spans="1:14" s="804" customFormat="1" ht="27.75" customHeight="1" x14ac:dyDescent="0.3">
      <c r="F25" s="810"/>
      <c r="G25" s="810"/>
      <c r="I25" s="96" t="s">
        <v>1440</v>
      </c>
      <c r="J25" s="783">
        <f>J23+J24</f>
        <v>0</v>
      </c>
      <c r="K25" s="856">
        <f>J25/G21</f>
        <v>0</v>
      </c>
      <c r="L25" s="96" t="s">
        <v>1440</v>
      </c>
      <c r="M25" s="425">
        <f>M23+M24</f>
        <v>0</v>
      </c>
      <c r="N25" s="857">
        <f>M25/G21</f>
        <v>0</v>
      </c>
    </row>
    <row r="26" spans="1:14" s="804" customFormat="1" x14ac:dyDescent="0.3">
      <c r="F26" s="551" t="s">
        <v>66</v>
      </c>
      <c r="G26" s="481">
        <f>+G21*19%</f>
        <v>146373.15</v>
      </c>
      <c r="I26" s="551" t="s">
        <v>66</v>
      </c>
      <c r="J26" s="672">
        <f>J25*0.19</f>
        <v>0</v>
      </c>
      <c r="L26" s="551" t="s">
        <v>66</v>
      </c>
      <c r="M26" s="672">
        <f>M25*0.19</f>
        <v>0</v>
      </c>
    </row>
    <row r="27" spans="1:14" s="804" customFormat="1" x14ac:dyDescent="0.3">
      <c r="F27" s="552" t="s">
        <v>69</v>
      </c>
      <c r="G27" s="481">
        <f>+G21+G26</f>
        <v>916758.15</v>
      </c>
      <c r="I27" s="552" t="s">
        <v>69</v>
      </c>
      <c r="J27" s="672">
        <f>J25+J26</f>
        <v>0</v>
      </c>
      <c r="L27" s="552" t="s">
        <v>69</v>
      </c>
      <c r="M27" s="672">
        <f>M25+M26</f>
        <v>0</v>
      </c>
    </row>
    <row r="28" spans="1:14" s="804" customFormat="1" x14ac:dyDescent="0.3"/>
    <row r="29" spans="1:14" s="804" customFormat="1" ht="38.25" customHeight="1" x14ac:dyDescent="0.3">
      <c r="A29" s="665" t="s">
        <v>67</v>
      </c>
      <c r="B29" s="184"/>
      <c r="C29" s="184"/>
      <c r="D29" s="185" t="s">
        <v>68</v>
      </c>
      <c r="I29" s="186" t="s">
        <v>70</v>
      </c>
      <c r="J29" s="187" t="s">
        <v>71</v>
      </c>
      <c r="K29" s="186" t="s">
        <v>58</v>
      </c>
    </row>
    <row r="30" spans="1:14" s="804" customFormat="1" x14ac:dyDescent="0.3">
      <c r="A30" s="665"/>
      <c r="B30" s="184"/>
      <c r="C30" s="184"/>
      <c r="D30" s="185"/>
      <c r="I30" s="69" t="s">
        <v>72</v>
      </c>
      <c r="J30" s="70">
        <f>J25</f>
        <v>0</v>
      </c>
      <c r="K30" s="360">
        <f>K25</f>
        <v>0</v>
      </c>
    </row>
    <row r="31" spans="1:14" s="804" customFormat="1" x14ac:dyDescent="0.3">
      <c r="A31" s="665"/>
      <c r="B31" s="184"/>
      <c r="C31" s="184"/>
      <c r="D31" s="185"/>
      <c r="I31" s="72" t="s">
        <v>1</v>
      </c>
      <c r="J31" s="105">
        <f>J30</f>
        <v>0</v>
      </c>
      <c r="K31" s="361">
        <f>K30</f>
        <v>0</v>
      </c>
    </row>
    <row r="32" spans="1:14" s="804" customFormat="1" x14ac:dyDescent="0.3">
      <c r="A32" s="665"/>
      <c r="B32" s="184"/>
      <c r="C32" s="184"/>
      <c r="D32" s="185"/>
      <c r="I32" s="72" t="s">
        <v>9</v>
      </c>
      <c r="J32" s="1423"/>
      <c r="K32" s="1424"/>
    </row>
    <row r="33" spans="1:11" s="804" customFormat="1" x14ac:dyDescent="0.3">
      <c r="A33" s="665"/>
      <c r="B33" s="184"/>
      <c r="C33" s="184"/>
      <c r="D33" s="185"/>
      <c r="I33" s="440" t="s">
        <v>78</v>
      </c>
      <c r="J33" s="1423" t="s">
        <v>2067</v>
      </c>
      <c r="K33" s="1424"/>
    </row>
    <row r="34" spans="1:11" s="804" customFormat="1" x14ac:dyDescent="0.3">
      <c r="A34" s="665"/>
      <c r="B34" s="184"/>
      <c r="C34" s="184"/>
      <c r="D34" s="185"/>
      <c r="I34" s="439" t="s">
        <v>8</v>
      </c>
      <c r="J34" s="1425" t="s">
        <v>2068</v>
      </c>
      <c r="K34" s="1426"/>
    </row>
    <row r="35" spans="1:11" s="804" customFormat="1" x14ac:dyDescent="0.3">
      <c r="A35" s="665"/>
      <c r="B35" s="184"/>
      <c r="C35" s="184"/>
      <c r="D35" s="185" t="s">
        <v>75</v>
      </c>
    </row>
    <row r="36" spans="1:11" s="804" customFormat="1" x14ac:dyDescent="0.3">
      <c r="A36" s="665" t="s">
        <v>76</v>
      </c>
      <c r="B36" s="180"/>
      <c r="C36" s="180"/>
      <c r="D36" s="185" t="s">
        <v>77</v>
      </c>
    </row>
    <row r="37" spans="1:11" s="804" customFormat="1" ht="26.4" x14ac:dyDescent="0.3">
      <c r="A37" s="665" t="s">
        <v>79</v>
      </c>
      <c r="B37" s="180"/>
      <c r="C37" s="180"/>
      <c r="D37" s="185" t="s">
        <v>80</v>
      </c>
    </row>
    <row r="38" spans="1:11" x14ac:dyDescent="0.3">
      <c r="G38" s="650"/>
    </row>
  </sheetData>
  <sheetProtection formatCells="0" formatColumns="0" formatRows="0" insertColumns="0" insertRows="0" insertHyperlinks="0" deleteColumns="0" deleteRows="0" sort="0" autoFilter="0" pivotTables="0"/>
  <mergeCells count="24">
    <mergeCell ref="J32:K32"/>
    <mergeCell ref="J33:K33"/>
    <mergeCell ref="J34:K34"/>
    <mergeCell ref="C1:J2"/>
    <mergeCell ref="K1:N1"/>
    <mergeCell ref="K2:N2"/>
    <mergeCell ref="A3:M3"/>
    <mergeCell ref="A4:M4"/>
    <mergeCell ref="A5:M5"/>
    <mergeCell ref="A6:M6"/>
    <mergeCell ref="A7:M7"/>
    <mergeCell ref="A8:M8"/>
    <mergeCell ref="A9:M9"/>
    <mergeCell ref="A10:M10"/>
    <mergeCell ref="B11:G11"/>
    <mergeCell ref="I11:K12"/>
    <mergeCell ref="A18:A20"/>
    <mergeCell ref="B18:B20"/>
    <mergeCell ref="H18:H20"/>
    <mergeCell ref="L11:N12"/>
    <mergeCell ref="B12:G12"/>
    <mergeCell ref="A14:A17"/>
    <mergeCell ref="B14:B17"/>
    <mergeCell ref="H14:H17"/>
  </mergeCells>
  <pageMargins left="0.7" right="0.7" top="0.75" bottom="0.75" header="0.3" footer="0.3"/>
  <pageSetup orientation="portrait" r:id="rId1"/>
  <drawing r:id="rId2"/>
  <legacyDrawingHF r:id="rId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6">
    <tabColor theme="1"/>
  </sheetPr>
  <dimension ref="A1:G49"/>
  <sheetViews>
    <sheetView topLeftCell="A16" zoomScaleNormal="100" zoomScaleSheetLayoutView="80" workbookViewId="0">
      <selection activeCell="J38" sqref="J3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RESUMEN!G153</f>
        <v>Proyecto: CDIM_CBSGSM_R0160 - NORMALIZACIÓN Y REPOSICIÓN SE SAN CARLOS.</v>
      </c>
      <c r="C5" s="1281"/>
      <c r="D5" s="1281"/>
      <c r="E5" s="1281"/>
      <c r="F5" s="1281"/>
      <c r="G5" s="1282"/>
    </row>
    <row r="6" spans="1:7" x14ac:dyDescent="0.25">
      <c r="A6" s="1177"/>
      <c r="B6" s="1177"/>
      <c r="C6" s="1177"/>
      <c r="D6" s="1177"/>
      <c r="E6" s="1177"/>
      <c r="F6" s="1177"/>
      <c r="G6" s="1177"/>
    </row>
    <row r="7" spans="1:7" x14ac:dyDescent="0.25">
      <c r="A7" s="271" t="s">
        <v>0</v>
      </c>
      <c r="B7" s="1264" t="str">
        <f>RESUMEN!B153</f>
        <v>D00249507</v>
      </c>
      <c r="C7" s="1265"/>
      <c r="D7" s="1177"/>
      <c r="E7" s="1266" t="s">
        <v>627</v>
      </c>
      <c r="F7" s="1267"/>
      <c r="G7" s="280" t="str">
        <f>RESUMEN!E153</f>
        <v>18-015</v>
      </c>
    </row>
    <row r="8" spans="1:7" x14ac:dyDescent="0.25">
      <c r="A8" s="271" t="s">
        <v>628</v>
      </c>
      <c r="B8" s="1264" t="str">
        <f>RESUMEN!C153</f>
        <v>D00249507000</v>
      </c>
      <c r="C8" s="1265"/>
      <c r="D8" s="1177"/>
      <c r="E8" s="1266" t="s">
        <v>629</v>
      </c>
      <c r="F8" s="1267"/>
      <c r="G8" s="280" t="str">
        <f>RESUMEN!U153</f>
        <v>Acta N° 1: Febrero</v>
      </c>
    </row>
    <row r="9" spans="1:7" x14ac:dyDescent="0.25">
      <c r="A9" s="271" t="s">
        <v>630</v>
      </c>
      <c r="B9" s="1283" t="s">
        <v>631</v>
      </c>
      <c r="C9" s="1265"/>
      <c r="D9" s="1177"/>
      <c r="E9" s="1266" t="s">
        <v>632</v>
      </c>
      <c r="F9" s="1267"/>
      <c r="G9" s="1178">
        <f>RESUMEN!H153</f>
        <v>2927840</v>
      </c>
    </row>
    <row r="10" spans="1:7" x14ac:dyDescent="0.25">
      <c r="A10" s="271" t="s">
        <v>633</v>
      </c>
      <c r="B10" s="1283" t="str">
        <f>RESUMEN!D153</f>
        <v>SAN CARLOS</v>
      </c>
      <c r="C10" s="1265"/>
      <c r="D10" s="1177"/>
      <c r="E10" s="1266" t="s">
        <v>634</v>
      </c>
      <c r="F10" s="1267"/>
      <c r="G10" s="1178">
        <f>RESUMEN!R153</f>
        <v>2971758</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",RESUMEN!G153)</f>
        <v>A los 14 días del mes de Marzo se reunieron en las instalaciones de CODENSA S.A. E.S.P., los ingenieros Ing. Diana García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CDIM_CBSGSM_R0160 - NORMALIZACIÓN Y REPOSICIÓN SE SAN CARLOS.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RESUMEN!N153</f>
        <v>2927840</v>
      </c>
      <c r="F19" s="1248"/>
      <c r="G19" s="1177"/>
    </row>
    <row r="20" spans="1:7" ht="27" customHeight="1" x14ac:dyDescent="0.25">
      <c r="A20" s="1177"/>
      <c r="B20" s="1244" t="s">
        <v>1498</v>
      </c>
      <c r="C20" s="1245"/>
      <c r="D20" s="1246"/>
      <c r="E20" s="1247">
        <f>RESUMEN!P153</f>
        <v>0</v>
      </c>
      <c r="F20" s="1248"/>
      <c r="G20" s="1177"/>
    </row>
    <row r="21" spans="1:7" ht="27" customHeight="1" x14ac:dyDescent="0.25">
      <c r="A21" s="1177"/>
      <c r="B21" s="1244" t="s">
        <v>1499</v>
      </c>
      <c r="C21" s="1245"/>
      <c r="D21" s="1246"/>
      <c r="E21" s="1247">
        <f>RESUMEN!Q153</f>
        <v>43918</v>
      </c>
      <c r="F21" s="1248"/>
      <c r="G21" s="1177"/>
    </row>
    <row r="22" spans="1:7" x14ac:dyDescent="0.25">
      <c r="A22" s="1177"/>
      <c r="B22" s="1254" t="s">
        <v>64</v>
      </c>
      <c r="C22" s="1254"/>
      <c r="D22" s="1254"/>
      <c r="E22" s="1255">
        <f>RESUMEN!R153</f>
        <v>2971758</v>
      </c>
      <c r="F22" s="1255"/>
      <c r="G22" s="1177"/>
    </row>
    <row r="23" spans="1:7" x14ac:dyDescent="0.25">
      <c r="A23" s="1177"/>
      <c r="B23" s="1256" t="s">
        <v>66</v>
      </c>
      <c r="C23" s="1256"/>
      <c r="D23" s="1256"/>
      <c r="E23" s="1257">
        <f>RESUMEN!S153</f>
        <v>564634.02</v>
      </c>
      <c r="F23" s="1257"/>
      <c r="G23" s="1177"/>
    </row>
    <row r="24" spans="1:7" x14ac:dyDescent="0.25">
      <c r="A24" s="1177"/>
      <c r="B24" s="1258" t="s">
        <v>1</v>
      </c>
      <c r="C24" s="1258"/>
      <c r="D24" s="1258"/>
      <c r="E24" s="1259">
        <f>RESUMEN!T153</f>
        <v>3536392.02</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+'OT18-015 SAN CARLOS'!I25</f>
        <v>ACTA 1</v>
      </c>
      <c r="C28" s="1253">
        <f>+'OT18-015 SAN CARLOS'!J25</f>
        <v>2971758</v>
      </c>
      <c r="D28" s="1253"/>
      <c r="E28" s="267">
        <f>+'OT18-015 SAN CARLOS'!K25</f>
        <v>1.0150001366194874</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2971758</v>
      </c>
      <c r="D34" s="1251"/>
      <c r="E34" s="264">
        <f>SUM(E28:E33)</f>
        <v>1.0150001366194874</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RESUMEN!V153</f>
        <v>Ing. Diana García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7">
    <tabColor rgb="FF72104A"/>
  </sheetPr>
  <dimension ref="A1:N32"/>
  <sheetViews>
    <sheetView zoomScale="70" zoomScaleNormal="70" workbookViewId="0">
      <selection activeCell="E14" sqref="E14"/>
    </sheetView>
  </sheetViews>
  <sheetFormatPr baseColWidth="10" defaultColWidth="9.109375" defaultRowHeight="14.4" x14ac:dyDescent="0.3"/>
  <cols>
    <col min="1" max="1" width="20" style="795" customWidth="1"/>
    <col min="2" max="3" width="30" style="795" customWidth="1"/>
    <col min="4" max="4" width="23.6640625" style="795" customWidth="1"/>
    <col min="5" max="5" width="9.109375" style="795" customWidth="1"/>
    <col min="6" max="7" width="20" style="795" customWidth="1"/>
    <col min="8" max="8" width="36.109375" style="795" customWidth="1"/>
    <col min="9" max="9" width="21.44140625" style="804" customWidth="1"/>
    <col min="10" max="10" width="16.33203125" style="795" customWidth="1"/>
    <col min="11" max="11" width="9.109375" style="795"/>
    <col min="12" max="12" width="21" style="795" customWidth="1"/>
    <col min="13" max="13" width="24.4414062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2145</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2144</v>
      </c>
      <c r="B7" s="1292"/>
      <c r="C7" s="1292"/>
      <c r="D7" s="1292"/>
      <c r="E7" s="1292"/>
      <c r="F7" s="1292"/>
      <c r="G7" s="1292"/>
      <c r="H7" s="1292"/>
      <c r="I7" s="1292"/>
      <c r="J7" s="1292"/>
      <c r="K7" s="1292"/>
      <c r="L7" s="1292"/>
      <c r="M7" s="1292"/>
      <c r="N7" s="831"/>
    </row>
    <row r="8" spans="1:14" s="804" customFormat="1" x14ac:dyDescent="0.3">
      <c r="A8" s="1292" t="s">
        <v>2103</v>
      </c>
      <c r="B8" s="1292"/>
      <c r="C8" s="1292"/>
      <c r="D8" s="1292"/>
      <c r="E8" s="1292"/>
      <c r="F8" s="1292"/>
      <c r="G8" s="1292"/>
      <c r="H8" s="1292"/>
      <c r="I8" s="1292"/>
      <c r="J8" s="1292"/>
      <c r="K8" s="1292"/>
      <c r="L8" s="1292"/>
      <c r="M8" s="1292"/>
      <c r="N8" s="831"/>
    </row>
    <row r="9" spans="1:14" s="804" customFormat="1" x14ac:dyDescent="0.3">
      <c r="A9" s="1292" t="s">
        <v>2087</v>
      </c>
      <c r="B9" s="1292"/>
      <c r="C9" s="1292"/>
      <c r="D9" s="1292"/>
      <c r="E9" s="1292"/>
      <c r="F9" s="1292"/>
      <c r="G9" s="1292"/>
      <c r="H9" s="1292"/>
      <c r="I9" s="1292"/>
      <c r="J9" s="1292"/>
      <c r="K9" s="1292"/>
      <c r="L9" s="1292"/>
      <c r="M9" s="1292"/>
      <c r="N9" s="831"/>
    </row>
    <row r="10" spans="1:14" s="804" customFormat="1" x14ac:dyDescent="0.3">
      <c r="A10" s="1292" t="s">
        <v>2143</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H11" s="831"/>
      <c r="I11" s="1470" t="s">
        <v>1982</v>
      </c>
      <c r="J11" s="1471"/>
      <c r="K11" s="1472"/>
      <c r="L11" s="1299" t="s">
        <v>49</v>
      </c>
      <c r="M11" s="1299"/>
      <c r="N11" s="1299"/>
    </row>
    <row r="12" spans="1:14" s="804" customFormat="1"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83.25" customHeight="1" x14ac:dyDescent="0.3">
      <c r="A14" s="1290" t="s">
        <v>1093</v>
      </c>
      <c r="B14" s="1290" t="s">
        <v>2069</v>
      </c>
      <c r="C14" s="803" t="s">
        <v>160</v>
      </c>
      <c r="D14" s="834" t="s">
        <v>161</v>
      </c>
      <c r="E14" s="834">
        <v>40</v>
      </c>
      <c r="F14" s="32">
        <v>73196</v>
      </c>
      <c r="G14" s="859">
        <f>ROUND((E14*F14),0)</f>
        <v>2927840</v>
      </c>
      <c r="H14" s="807" t="s">
        <v>2070</v>
      </c>
      <c r="I14" s="537">
        <v>40</v>
      </c>
      <c r="J14" s="752">
        <f>ROUND(I14*F14,0)</f>
        <v>2927840</v>
      </c>
      <c r="K14" s="753">
        <f>J14/G14</f>
        <v>1</v>
      </c>
      <c r="L14" s="799">
        <f>I14</f>
        <v>40</v>
      </c>
      <c r="M14" s="685">
        <f>J14</f>
        <v>2927840</v>
      </c>
      <c r="N14" s="684">
        <f t="shared" ref="N14" si="0">+M14/G14</f>
        <v>1</v>
      </c>
    </row>
    <row r="15" spans="1:14" x14ac:dyDescent="0.3">
      <c r="A15" s="1529"/>
      <c r="B15" s="1529"/>
      <c r="C15" s="1537" t="s">
        <v>2071</v>
      </c>
      <c r="D15" s="1537"/>
      <c r="E15" s="860"/>
      <c r="F15" s="860"/>
      <c r="G15" s="860">
        <f>G14</f>
        <v>2927840</v>
      </c>
      <c r="H15" s="659"/>
      <c r="I15" s="40"/>
      <c r="J15" s="683">
        <f>SUM(J13:J14)</f>
        <v>2927840</v>
      </c>
      <c r="K15" s="519">
        <f>J15/G15</f>
        <v>1</v>
      </c>
      <c r="L15" s="40"/>
      <c r="M15" s="683">
        <f>SUM(M14:M14)</f>
        <v>2927840</v>
      </c>
      <c r="N15" s="519">
        <f>M15/G15</f>
        <v>1</v>
      </c>
    </row>
    <row r="16" spans="1:14" s="804" customFormat="1" x14ac:dyDescent="0.3">
      <c r="F16" s="836" t="s">
        <v>1740</v>
      </c>
      <c r="G16" s="837">
        <f>SUM(G14:G15)/2</f>
        <v>2927840</v>
      </c>
      <c r="I16" s="547" t="s">
        <v>64</v>
      </c>
      <c r="J16" s="855">
        <f>SUM(J15)</f>
        <v>2927840</v>
      </c>
      <c r="L16" s="547" t="s">
        <v>64</v>
      </c>
      <c r="M16" s="835">
        <f>SUM(M15)</f>
        <v>2927840</v>
      </c>
    </row>
    <row r="17" spans="1:14" s="804" customFormat="1" x14ac:dyDescent="0.3">
      <c r="F17" s="548" t="s">
        <v>65</v>
      </c>
      <c r="G17" s="481">
        <v>0</v>
      </c>
      <c r="I17" s="548" t="s">
        <v>65</v>
      </c>
      <c r="J17" s="677">
        <v>0</v>
      </c>
      <c r="L17" s="548" t="s">
        <v>65</v>
      </c>
      <c r="M17" s="677">
        <v>0</v>
      </c>
    </row>
    <row r="18" spans="1:14" s="804" customFormat="1" x14ac:dyDescent="0.3">
      <c r="F18" s="549" t="s">
        <v>1740</v>
      </c>
      <c r="G18" s="340">
        <f>+G17+G16</f>
        <v>2927840</v>
      </c>
      <c r="I18" s="549" t="s">
        <v>64</v>
      </c>
      <c r="J18" s="481">
        <f>J16+J17</f>
        <v>2927840</v>
      </c>
      <c r="L18" s="549" t="s">
        <v>64</v>
      </c>
      <c r="M18" s="481">
        <f>M16+M17</f>
        <v>2927840</v>
      </c>
    </row>
    <row r="19" spans="1:14" s="804" customFormat="1" ht="18" customHeight="1" x14ac:dyDescent="0.3">
      <c r="F19" s="810"/>
      <c r="G19" s="810"/>
      <c r="I19" s="501" t="s">
        <v>1439</v>
      </c>
      <c r="J19" s="481">
        <f>ROUND(J18*0.015,0)</f>
        <v>43918</v>
      </c>
      <c r="L19" s="501" t="s">
        <v>1439</v>
      </c>
      <c r="M19" s="481">
        <f>+J19</f>
        <v>43918</v>
      </c>
    </row>
    <row r="20" spans="1:14" s="804" customFormat="1" ht="27.75" customHeight="1" x14ac:dyDescent="0.3">
      <c r="F20" s="810"/>
      <c r="G20" s="810"/>
      <c r="I20" s="96" t="s">
        <v>1440</v>
      </c>
      <c r="J20" s="783">
        <f>J18+J19</f>
        <v>2971758</v>
      </c>
      <c r="K20" s="856">
        <f>J20/G16</f>
        <v>1.0150001366194874</v>
      </c>
      <c r="L20" s="96" t="s">
        <v>1440</v>
      </c>
      <c r="M20" s="425">
        <f>M18+M19</f>
        <v>2971758</v>
      </c>
      <c r="N20" s="857">
        <f>M20/G16</f>
        <v>1.0150001366194874</v>
      </c>
    </row>
    <row r="21" spans="1:14" s="804" customFormat="1" x14ac:dyDescent="0.3">
      <c r="F21" s="551" t="s">
        <v>66</v>
      </c>
      <c r="G21" s="481">
        <f>+G16*19%</f>
        <v>556289.6</v>
      </c>
      <c r="I21" s="551" t="s">
        <v>66</v>
      </c>
      <c r="J21" s="672">
        <f>J20*0.19</f>
        <v>564634.02</v>
      </c>
      <c r="L21" s="551" t="s">
        <v>66</v>
      </c>
      <c r="M21" s="672">
        <f>M20*0.19</f>
        <v>564634.02</v>
      </c>
    </row>
    <row r="22" spans="1:14" s="804" customFormat="1" x14ac:dyDescent="0.3">
      <c r="F22" s="552" t="s">
        <v>69</v>
      </c>
      <c r="G22" s="481">
        <f>+G16+G21</f>
        <v>3484129.6</v>
      </c>
      <c r="I22" s="552" t="s">
        <v>69</v>
      </c>
      <c r="J22" s="672">
        <f>J20+J21</f>
        <v>3536392.02</v>
      </c>
      <c r="L22" s="552" t="s">
        <v>69</v>
      </c>
      <c r="M22" s="672">
        <f>M20+M21</f>
        <v>3536392.02</v>
      </c>
    </row>
    <row r="23" spans="1:14" s="804" customFormat="1" x14ac:dyDescent="0.3"/>
    <row r="24" spans="1:14" s="804" customFormat="1" ht="38.25" customHeight="1" x14ac:dyDescent="0.3">
      <c r="A24" s="665" t="s">
        <v>67</v>
      </c>
      <c r="B24" s="184"/>
      <c r="C24" s="184"/>
      <c r="D24" s="185" t="s">
        <v>68</v>
      </c>
      <c r="I24" s="186" t="s">
        <v>70</v>
      </c>
      <c r="J24" s="187" t="s">
        <v>71</v>
      </c>
      <c r="K24" s="186" t="s">
        <v>58</v>
      </c>
    </row>
    <row r="25" spans="1:14" s="804" customFormat="1" x14ac:dyDescent="0.3">
      <c r="A25" s="665"/>
      <c r="B25" s="184"/>
      <c r="C25" s="184"/>
      <c r="D25" s="185"/>
      <c r="I25" s="69" t="s">
        <v>72</v>
      </c>
      <c r="J25" s="70">
        <f>J20</f>
        <v>2971758</v>
      </c>
      <c r="K25" s="360">
        <f>K20</f>
        <v>1.0150001366194874</v>
      </c>
    </row>
    <row r="26" spans="1:14" s="804" customFormat="1" x14ac:dyDescent="0.3">
      <c r="A26" s="665"/>
      <c r="B26" s="184"/>
      <c r="C26" s="184"/>
      <c r="D26" s="185"/>
      <c r="I26" s="72" t="s">
        <v>1</v>
      </c>
      <c r="J26" s="105">
        <f>J25</f>
        <v>2971758</v>
      </c>
      <c r="K26" s="361">
        <f>K25</f>
        <v>1.0150001366194874</v>
      </c>
    </row>
    <row r="27" spans="1:14" s="804" customFormat="1" x14ac:dyDescent="0.3">
      <c r="A27" s="665"/>
      <c r="B27" s="184"/>
      <c r="C27" s="184"/>
      <c r="D27" s="185"/>
      <c r="I27" s="72" t="s">
        <v>9</v>
      </c>
      <c r="J27" s="1423"/>
      <c r="K27" s="1424"/>
    </row>
    <row r="28" spans="1:14" s="804" customFormat="1" x14ac:dyDescent="0.3">
      <c r="A28" s="665"/>
      <c r="B28" s="184"/>
      <c r="C28" s="184"/>
      <c r="D28" s="185"/>
      <c r="I28" s="440" t="s">
        <v>78</v>
      </c>
      <c r="J28" s="1423" t="s">
        <v>2072</v>
      </c>
      <c r="K28" s="1424"/>
    </row>
    <row r="29" spans="1:14" s="804" customFormat="1" x14ac:dyDescent="0.3">
      <c r="A29" s="665"/>
      <c r="B29" s="184"/>
      <c r="C29" s="184"/>
      <c r="D29" s="185"/>
      <c r="I29" s="439" t="s">
        <v>8</v>
      </c>
      <c r="J29" s="1425" t="s">
        <v>2073</v>
      </c>
      <c r="K29" s="1426"/>
    </row>
    <row r="30" spans="1:14" s="804" customFormat="1" x14ac:dyDescent="0.3">
      <c r="A30" s="665"/>
      <c r="B30" s="184"/>
      <c r="C30" s="184"/>
      <c r="D30" s="185" t="s">
        <v>75</v>
      </c>
    </row>
    <row r="31" spans="1:14" s="804" customFormat="1" x14ac:dyDescent="0.3">
      <c r="A31" s="665" t="s">
        <v>76</v>
      </c>
      <c r="B31" s="180"/>
      <c r="C31" s="180"/>
      <c r="D31" s="185" t="s">
        <v>77</v>
      </c>
    </row>
    <row r="32" spans="1:14" s="804" customFormat="1" x14ac:dyDescent="0.3">
      <c r="A32" s="665" t="s">
        <v>79</v>
      </c>
      <c r="B32" s="180"/>
      <c r="C32" s="180"/>
      <c r="D32" s="185" t="s">
        <v>80</v>
      </c>
    </row>
  </sheetData>
  <sheetProtection formatCells="0" formatColumns="0" formatRows="0" insertColumns="0" insertRows="0" insertHyperlinks="0" deleteColumns="0" deleteRows="0" sort="0" autoFilter="0" pivotTables="0"/>
  <mergeCells count="21">
    <mergeCell ref="J27:K27"/>
    <mergeCell ref="J28:K28"/>
    <mergeCell ref="J29:K29"/>
    <mergeCell ref="A10:M10"/>
    <mergeCell ref="B11:F11"/>
    <mergeCell ref="I11:K12"/>
    <mergeCell ref="L11:N12"/>
    <mergeCell ref="B12:F12"/>
    <mergeCell ref="A14:A15"/>
    <mergeCell ref="B14:B15"/>
    <mergeCell ref="C15:D15"/>
    <mergeCell ref="A5:M5"/>
    <mergeCell ref="A6:M6"/>
    <mergeCell ref="A7:M7"/>
    <mergeCell ref="A8:M8"/>
    <mergeCell ref="A9:M9"/>
    <mergeCell ref="C1:J2"/>
    <mergeCell ref="K1:N1"/>
    <mergeCell ref="K2:N2"/>
    <mergeCell ref="A3:M3"/>
    <mergeCell ref="A4:M4"/>
  </mergeCells>
  <pageMargins left="0.7" right="0.7" top="0.75" bottom="0.75" header="0.3" footer="0.3"/>
  <drawing r:id="rId1"/>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8">
    <tabColor theme="1"/>
  </sheetPr>
  <dimension ref="A1:G48"/>
  <sheetViews>
    <sheetView zoomScaleNormal="100" zoomScaleSheetLayoutView="80" workbookViewId="0">
      <selection activeCell="B8" sqref="B8:C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866"/>
      <c r="B4" s="866"/>
      <c r="C4" s="866"/>
      <c r="D4" s="866"/>
      <c r="E4" s="866"/>
      <c r="F4" s="866"/>
      <c r="G4" s="866"/>
    </row>
    <row r="5" spans="1:7" ht="42" customHeight="1" x14ac:dyDescent="0.25">
      <c r="A5" s="280" t="s">
        <v>626</v>
      </c>
      <c r="B5" s="1280" t="str">
        <f>RESUMEN!G154</f>
        <v>Proyecto: CDIM_CAOLIG_R0078 - RES. CREG 038-14 CÓDIGO DE MEDIDA.</v>
      </c>
      <c r="C5" s="1281"/>
      <c r="D5" s="1281"/>
      <c r="E5" s="1281"/>
      <c r="F5" s="1281"/>
      <c r="G5" s="1282"/>
    </row>
    <row r="6" spans="1:7" x14ac:dyDescent="0.25">
      <c r="A6" s="866"/>
      <c r="B6" s="866"/>
      <c r="C6" s="866"/>
      <c r="D6" s="866"/>
      <c r="E6" s="866"/>
      <c r="F6" s="866"/>
      <c r="G6" s="866"/>
    </row>
    <row r="7" spans="1:7" x14ac:dyDescent="0.25">
      <c r="A7" s="271" t="s">
        <v>0</v>
      </c>
      <c r="B7" s="1264" t="str">
        <f>RESUMEN!B154</f>
        <v>D00249389</v>
      </c>
      <c r="C7" s="1265"/>
      <c r="D7" s="866"/>
      <c r="E7" s="1266" t="s">
        <v>627</v>
      </c>
      <c r="F7" s="1267"/>
      <c r="G7" s="280" t="str">
        <f>RESUMEN!E154</f>
        <v>18-016</v>
      </c>
    </row>
    <row r="8" spans="1:7" x14ac:dyDescent="0.25">
      <c r="A8" s="271" t="s">
        <v>628</v>
      </c>
      <c r="B8" s="1264" t="str">
        <f>RESUMEN!C154</f>
        <v>D00249389000</v>
      </c>
      <c r="C8" s="1265"/>
      <c r="D8" s="866"/>
      <c r="E8" s="1266" t="s">
        <v>629</v>
      </c>
      <c r="F8" s="1267"/>
      <c r="G8" s="280" t="str">
        <f>RESUMEN!U154</f>
        <v>Acta N° 1: Febrero</v>
      </c>
    </row>
    <row r="9" spans="1:7" x14ac:dyDescent="0.25">
      <c r="A9" s="271" t="s">
        <v>630</v>
      </c>
      <c r="B9" s="1283" t="s">
        <v>631</v>
      </c>
      <c r="C9" s="1265"/>
      <c r="D9" s="866"/>
      <c r="E9" s="1266" t="s">
        <v>632</v>
      </c>
      <c r="F9" s="1267"/>
      <c r="G9" s="864">
        <f>RESUMEN!H154</f>
        <v>1268115</v>
      </c>
    </row>
    <row r="10" spans="1:7" x14ac:dyDescent="0.25">
      <c r="A10" s="271" t="s">
        <v>633</v>
      </c>
      <c r="B10" s="1283" t="str">
        <f>RESUMEN!D154</f>
        <v>TUNAL</v>
      </c>
      <c r="C10" s="1265"/>
      <c r="D10" s="866"/>
      <c r="E10" s="1266" t="s">
        <v>634</v>
      </c>
      <c r="F10" s="1267"/>
      <c r="G10" s="864">
        <f>RESUMEN!R154</f>
        <v>1287137</v>
      </c>
    </row>
    <row r="11" spans="1:7" x14ac:dyDescent="0.25">
      <c r="A11" s="866"/>
      <c r="B11" s="866"/>
      <c r="C11" s="866"/>
      <c r="D11" s="866"/>
      <c r="E11" s="866"/>
      <c r="F11" s="866"/>
      <c r="G11" s="866"/>
    </row>
    <row r="12" spans="1:7" ht="76.5" customHeight="1" x14ac:dyDescent="0.25">
      <c r="A12" s="1539" t="str">
        <f>CONCATENATE("A los 15 días del mes de Febrero se reunieron en las instalaciones"," de CODENSA S.A. E.S.P., los ingenieros ", RESUMEN!V154,"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y el 5 de Febrero  de 2018 para el ",RESUMEN!G154)</f>
        <v>A los 15 días del mes de Febrero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y el 5 de Febrero  de 2018 para el Proyecto: CDIM_CAOLIG_R0078 - RES. CREG 038-14 CÓDIGO DE MEDIDA.</v>
      </c>
      <c r="B12" s="1539"/>
      <c r="C12" s="1539"/>
      <c r="D12" s="1539"/>
      <c r="E12" s="1539"/>
      <c r="F12" s="1539"/>
      <c r="G12" s="1539"/>
    </row>
    <row r="13" spans="1:7" x14ac:dyDescent="0.25">
      <c r="A13" s="866"/>
      <c r="B13" s="866"/>
      <c r="C13" s="866"/>
      <c r="D13" s="866"/>
      <c r="E13" s="866"/>
      <c r="F13" s="866"/>
      <c r="G13" s="866"/>
    </row>
    <row r="14" spans="1:7" ht="30" customHeight="1" x14ac:dyDescent="0.25">
      <c r="A14" s="1261" t="s">
        <v>2164</v>
      </c>
      <c r="B14" s="1261"/>
      <c r="C14" s="1261"/>
      <c r="D14" s="1261"/>
      <c r="E14" s="1261"/>
      <c r="F14" s="1261"/>
      <c r="G14" s="1261"/>
    </row>
    <row r="15" spans="1:7" x14ac:dyDescent="0.25">
      <c r="A15" s="866"/>
      <c r="B15" s="866"/>
      <c r="C15" s="866"/>
      <c r="D15" s="866"/>
      <c r="E15" s="866"/>
      <c r="F15" s="866"/>
      <c r="G15" s="866"/>
    </row>
    <row r="16" spans="1:7" x14ac:dyDescent="0.25">
      <c r="A16" s="1261" t="s">
        <v>635</v>
      </c>
      <c r="B16" s="1261"/>
      <c r="C16" s="1261"/>
      <c r="D16" s="1261"/>
      <c r="E16" s="1261"/>
      <c r="F16" s="1261"/>
      <c r="G16" s="1261"/>
    </row>
    <row r="17" spans="1:7" x14ac:dyDescent="0.25">
      <c r="A17" s="866"/>
      <c r="B17" s="866"/>
      <c r="C17" s="866"/>
      <c r="D17" s="866"/>
      <c r="E17" s="866"/>
      <c r="F17" s="866"/>
      <c r="G17" s="866"/>
    </row>
    <row r="18" spans="1:7" x14ac:dyDescent="0.25">
      <c r="A18" s="866"/>
      <c r="B18" s="1262" t="s">
        <v>636</v>
      </c>
      <c r="C18" s="1262"/>
      <c r="D18" s="1262"/>
      <c r="E18" s="1262" t="s">
        <v>31</v>
      </c>
      <c r="F18" s="1262"/>
      <c r="G18" s="866"/>
    </row>
    <row r="19" spans="1:7" x14ac:dyDescent="0.25">
      <c r="A19" s="866"/>
      <c r="B19" s="1263" t="s">
        <v>637</v>
      </c>
      <c r="C19" s="1263"/>
      <c r="D19" s="1263"/>
      <c r="E19" s="1538">
        <f>RESUMEN!N154</f>
        <v>1268115</v>
      </c>
      <c r="F19" s="1248"/>
      <c r="G19" s="866"/>
    </row>
    <row r="20" spans="1:7" ht="27" customHeight="1" x14ac:dyDescent="0.25">
      <c r="A20" s="866"/>
      <c r="B20" s="1244" t="s">
        <v>1498</v>
      </c>
      <c r="C20" s="1245"/>
      <c r="D20" s="1246"/>
      <c r="E20" s="1538">
        <f>RESUMEN!P154</f>
        <v>0</v>
      </c>
      <c r="F20" s="1248"/>
      <c r="G20" s="866"/>
    </row>
    <row r="21" spans="1:7" ht="27" customHeight="1" x14ac:dyDescent="0.25">
      <c r="A21" s="866"/>
      <c r="B21" s="1244" t="s">
        <v>1499</v>
      </c>
      <c r="C21" s="1245"/>
      <c r="D21" s="1246"/>
      <c r="E21" s="1538">
        <f>RESUMEN!Q154</f>
        <v>19022</v>
      </c>
      <c r="F21" s="1248"/>
      <c r="G21" s="866"/>
    </row>
    <row r="22" spans="1:7" x14ac:dyDescent="0.25">
      <c r="A22" s="866"/>
      <c r="B22" s="1254" t="s">
        <v>64</v>
      </c>
      <c r="C22" s="1254"/>
      <c r="D22" s="1254"/>
      <c r="E22" s="1255">
        <f>RESUMEN!R154</f>
        <v>1287137</v>
      </c>
      <c r="F22" s="1255"/>
      <c r="G22" s="866"/>
    </row>
    <row r="23" spans="1:7" x14ac:dyDescent="0.25">
      <c r="A23" s="866"/>
      <c r="B23" s="1256" t="s">
        <v>66</v>
      </c>
      <c r="C23" s="1256"/>
      <c r="D23" s="1256"/>
      <c r="E23" s="1257">
        <f>RESUMEN!S154</f>
        <v>244556.03</v>
      </c>
      <c r="F23" s="1257"/>
      <c r="G23" s="866"/>
    </row>
    <row r="24" spans="1:7" x14ac:dyDescent="0.25">
      <c r="A24" s="866"/>
      <c r="B24" s="1258" t="s">
        <v>1</v>
      </c>
      <c r="C24" s="1258"/>
      <c r="D24" s="1258"/>
      <c r="E24" s="1259">
        <f>RESUMEN!T154</f>
        <v>1509056.85</v>
      </c>
      <c r="F24" s="1259"/>
      <c r="G24" s="866"/>
    </row>
    <row r="25" spans="1:7" x14ac:dyDescent="0.25">
      <c r="A25" s="866"/>
      <c r="B25" s="866"/>
      <c r="C25" s="866"/>
      <c r="D25" s="866"/>
      <c r="E25" s="866"/>
      <c r="F25" s="866"/>
      <c r="G25" s="866"/>
    </row>
    <row r="26" spans="1:7" x14ac:dyDescent="0.25">
      <c r="A26" s="260" t="s">
        <v>638</v>
      </c>
      <c r="B26" s="260"/>
      <c r="C26" s="866"/>
      <c r="D26" s="866"/>
      <c r="E26" s="866"/>
      <c r="F26" s="866"/>
      <c r="G26" s="866"/>
    </row>
    <row r="27" spans="1:7" x14ac:dyDescent="0.25">
      <c r="A27" s="866"/>
      <c r="B27" s="865" t="s">
        <v>639</v>
      </c>
      <c r="C27" s="1260" t="s">
        <v>640</v>
      </c>
      <c r="D27" s="1260"/>
      <c r="E27" s="865" t="s">
        <v>641</v>
      </c>
      <c r="F27" s="866"/>
      <c r="G27" s="866"/>
    </row>
    <row r="28" spans="1:7" x14ac:dyDescent="0.25">
      <c r="A28" s="866"/>
      <c r="B28" s="280" t="str">
        <f>'OT18-016 TUNAL'!I25</f>
        <v>ACTA 1</v>
      </c>
      <c r="C28" s="1253">
        <f>'OT18-016 TUNAL'!J25</f>
        <v>1287137</v>
      </c>
      <c r="D28" s="1253"/>
      <c r="E28" s="622">
        <f>'OT18-016 TUNAL'!K25</f>
        <v>1.015000216857304</v>
      </c>
      <c r="F28" s="866"/>
      <c r="G28" s="866"/>
    </row>
    <row r="29" spans="1:7" x14ac:dyDescent="0.25">
      <c r="A29" s="866"/>
      <c r="B29" s="280"/>
      <c r="C29" s="1253"/>
      <c r="D29" s="1253"/>
      <c r="E29" s="622"/>
      <c r="F29" s="866"/>
      <c r="G29" s="866"/>
    </row>
    <row r="30" spans="1:7" x14ac:dyDescent="0.25">
      <c r="A30" s="866"/>
      <c r="B30" s="280"/>
      <c r="C30" s="1253"/>
      <c r="D30" s="1253"/>
      <c r="E30" s="267"/>
      <c r="F30" s="866"/>
      <c r="G30" s="866"/>
    </row>
    <row r="31" spans="1:7" x14ac:dyDescent="0.25">
      <c r="A31" s="866"/>
      <c r="B31" s="280"/>
      <c r="C31" s="1253"/>
      <c r="D31" s="1253"/>
      <c r="E31" s="267"/>
      <c r="F31" s="866"/>
      <c r="G31" s="866"/>
    </row>
    <row r="32" spans="1:7" x14ac:dyDescent="0.25">
      <c r="A32" s="866"/>
      <c r="B32" s="280"/>
      <c r="C32" s="1253"/>
      <c r="D32" s="1253"/>
      <c r="E32" s="267"/>
      <c r="F32" s="866"/>
      <c r="G32" s="866"/>
    </row>
    <row r="33" spans="1:7" x14ac:dyDescent="0.25">
      <c r="A33" s="866"/>
      <c r="B33" s="263" t="s">
        <v>1</v>
      </c>
      <c r="C33" s="1251">
        <f>SUM(C28:D32)</f>
        <v>1287137</v>
      </c>
      <c r="D33" s="1251"/>
      <c r="E33" s="623">
        <f>SUM(E28:E32)</f>
        <v>1.015000216857304</v>
      </c>
      <c r="F33" s="866"/>
      <c r="G33" s="866"/>
    </row>
    <row r="34" spans="1:7" x14ac:dyDescent="0.25">
      <c r="A34" s="866"/>
      <c r="B34" s="866"/>
      <c r="C34" s="866"/>
      <c r="D34" s="866"/>
      <c r="E34" s="866"/>
      <c r="F34" s="866"/>
      <c r="G34" s="260"/>
    </row>
    <row r="35" spans="1:7" x14ac:dyDescent="0.25">
      <c r="A35" s="1252" t="s">
        <v>2165</v>
      </c>
      <c r="B35" s="1252"/>
      <c r="C35" s="1252"/>
      <c r="D35" s="1252"/>
      <c r="E35" s="1252"/>
      <c r="F35" s="1252"/>
      <c r="G35" s="1252"/>
    </row>
    <row r="36" spans="1:7" x14ac:dyDescent="0.25">
      <c r="A36" s="866"/>
      <c r="B36" s="866"/>
      <c r="C36" s="866"/>
      <c r="D36" s="866"/>
      <c r="E36" s="866"/>
      <c r="F36" s="866"/>
      <c r="G36" s="866"/>
    </row>
    <row r="37" spans="1:7" x14ac:dyDescent="0.25">
      <c r="A37" s="866"/>
      <c r="B37" s="866"/>
      <c r="C37" s="866"/>
      <c r="D37" s="866"/>
      <c r="E37" s="866"/>
      <c r="F37" s="866"/>
      <c r="G37" s="866"/>
    </row>
    <row r="38" spans="1:7" x14ac:dyDescent="0.25">
      <c r="A38" s="266"/>
      <c r="B38" s="266"/>
      <c r="C38" s="266"/>
      <c r="D38" s="866"/>
      <c r="E38" s="266"/>
      <c r="F38" s="266"/>
      <c r="G38" s="266"/>
    </row>
    <row r="39" spans="1:7" x14ac:dyDescent="0.25">
      <c r="A39" s="1250" t="str">
        <f>RESUMEN!V154</f>
        <v>Ing. Hernán Giraldo</v>
      </c>
      <c r="B39" s="1250"/>
      <c r="C39" s="1250"/>
      <c r="D39" s="866"/>
      <c r="E39" s="1250" t="s">
        <v>642</v>
      </c>
      <c r="F39" s="1250"/>
      <c r="G39" s="1250"/>
    </row>
    <row r="40" spans="1:7" x14ac:dyDescent="0.25">
      <c r="A40" s="1249" t="s">
        <v>643</v>
      </c>
      <c r="B40" s="1249"/>
      <c r="C40" s="1249"/>
      <c r="D40" s="866"/>
      <c r="E40" s="1249" t="s">
        <v>644</v>
      </c>
      <c r="F40" s="1249"/>
      <c r="G40" s="1249"/>
    </row>
    <row r="41" spans="1:7" x14ac:dyDescent="0.25">
      <c r="A41" s="1249" t="s">
        <v>645</v>
      </c>
      <c r="B41" s="1249"/>
      <c r="C41" s="1249"/>
      <c r="D41" s="866"/>
      <c r="E41" s="1249" t="s">
        <v>645</v>
      </c>
      <c r="F41" s="1249"/>
      <c r="G41" s="1249"/>
    </row>
    <row r="42" spans="1:7" x14ac:dyDescent="0.25">
      <c r="A42" s="866"/>
      <c r="B42" s="866"/>
      <c r="C42" s="866"/>
      <c r="D42" s="866"/>
      <c r="E42" s="866"/>
      <c r="F42" s="866"/>
      <c r="G42" s="866"/>
    </row>
    <row r="43" spans="1:7" x14ac:dyDescent="0.25">
      <c r="A43" s="866"/>
      <c r="B43" s="866"/>
      <c r="C43" s="866"/>
      <c r="D43" s="866"/>
      <c r="E43" s="866"/>
      <c r="F43" s="866"/>
      <c r="G43" s="866"/>
    </row>
    <row r="44" spans="1:7" x14ac:dyDescent="0.25">
      <c r="A44" s="866"/>
      <c r="B44" s="866"/>
      <c r="C44" s="866"/>
      <c r="D44" s="866"/>
      <c r="E44" s="866"/>
      <c r="F44" s="866"/>
      <c r="G44" s="866"/>
    </row>
    <row r="45" spans="1:7" x14ac:dyDescent="0.25">
      <c r="A45" s="266"/>
      <c r="B45" s="266"/>
      <c r="C45" s="266"/>
      <c r="D45" s="866"/>
      <c r="E45" s="266"/>
      <c r="F45" s="266"/>
      <c r="G45" s="266"/>
    </row>
    <row r="46" spans="1:7" x14ac:dyDescent="0.25">
      <c r="A46" s="1250" t="s">
        <v>646</v>
      </c>
      <c r="B46" s="1250"/>
      <c r="C46" s="1250"/>
      <c r="D46" s="866"/>
      <c r="E46" s="1250" t="s">
        <v>647</v>
      </c>
      <c r="F46" s="1250"/>
      <c r="G46" s="1250"/>
    </row>
    <row r="47" spans="1:7" x14ac:dyDescent="0.25">
      <c r="A47" s="1249" t="s">
        <v>648</v>
      </c>
      <c r="B47" s="1249"/>
      <c r="C47" s="1249"/>
      <c r="D47" s="866"/>
      <c r="E47" s="1249" t="s">
        <v>763</v>
      </c>
      <c r="F47" s="1249"/>
      <c r="G47" s="1249"/>
    </row>
    <row r="48" spans="1:7" x14ac:dyDescent="0.25">
      <c r="A48" s="1249" t="s">
        <v>645</v>
      </c>
      <c r="B48" s="1249"/>
      <c r="C48" s="1249"/>
      <c r="D48" s="866"/>
      <c r="E48" s="1249" t="s">
        <v>764</v>
      </c>
      <c r="F48" s="1249"/>
      <c r="G48" s="1249"/>
    </row>
  </sheetData>
  <mergeCells count="48">
    <mergeCell ref="A47:C47"/>
    <mergeCell ref="E47:G47"/>
    <mergeCell ref="A48:C48"/>
    <mergeCell ref="E48:G48"/>
    <mergeCell ref="A40:C40"/>
    <mergeCell ref="E40:G40"/>
    <mergeCell ref="A41:C41"/>
    <mergeCell ref="E41:G41"/>
    <mergeCell ref="A46:C46"/>
    <mergeCell ref="E46:G46"/>
    <mergeCell ref="C31:D31"/>
    <mergeCell ref="C32:D32"/>
    <mergeCell ref="C33:D33"/>
    <mergeCell ref="A35:G35"/>
    <mergeCell ref="A39:C39"/>
    <mergeCell ref="E39:G39"/>
    <mergeCell ref="C30:D30"/>
    <mergeCell ref="B21:D21"/>
    <mergeCell ref="E21:F21"/>
    <mergeCell ref="B22:D22"/>
    <mergeCell ref="E22:F22"/>
    <mergeCell ref="B23:D23"/>
    <mergeCell ref="E23:F23"/>
    <mergeCell ref="B24:D24"/>
    <mergeCell ref="E24:F24"/>
    <mergeCell ref="C27:D27"/>
    <mergeCell ref="C28:D28"/>
    <mergeCell ref="C29:D29"/>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4" orientation="portrait" r:id="rId1"/>
  <drawing r:id="rId2"/>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9">
    <tabColor rgb="FF72104A"/>
  </sheetPr>
  <dimension ref="A1:N40"/>
  <sheetViews>
    <sheetView zoomScale="55" zoomScaleNormal="55" workbookViewId="0">
      <selection activeCell="G14" sqref="G14"/>
    </sheetView>
  </sheetViews>
  <sheetFormatPr baseColWidth="10" defaultColWidth="9.109375" defaultRowHeight="14.4" x14ac:dyDescent="0.3"/>
  <cols>
    <col min="1" max="1" width="13" style="795" customWidth="1"/>
    <col min="2" max="2" width="23.109375" style="795" customWidth="1"/>
    <col min="3" max="3" width="38.6640625" style="795" customWidth="1"/>
    <col min="4" max="4" width="25" style="795" customWidth="1"/>
    <col min="5" max="5" width="13" style="795" customWidth="1"/>
    <col min="6" max="6" width="15.109375" style="795" customWidth="1"/>
    <col min="7" max="7" width="17.44140625" style="795" customWidth="1"/>
    <col min="8" max="8" width="51.88671875" style="795" customWidth="1"/>
    <col min="9" max="9" width="18.5546875" style="795" customWidth="1"/>
    <col min="10" max="10" width="22.88671875" style="795" customWidth="1"/>
    <col min="11" max="11" width="9.109375" style="795"/>
    <col min="12" max="12" width="15.5546875" style="795" customWidth="1"/>
    <col min="13" max="13" width="23.664062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2137</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1745</v>
      </c>
      <c r="B7" s="1292"/>
      <c r="C7" s="1292"/>
      <c r="D7" s="1292"/>
      <c r="E7" s="1292"/>
      <c r="F7" s="1292"/>
      <c r="G7" s="1292"/>
      <c r="H7" s="1292"/>
      <c r="I7" s="1292"/>
      <c r="J7" s="1292"/>
      <c r="K7" s="1292"/>
      <c r="L7" s="1292"/>
      <c r="M7" s="1292"/>
      <c r="N7" s="831"/>
    </row>
    <row r="8" spans="1:14" s="804" customFormat="1" x14ac:dyDescent="0.3">
      <c r="A8" s="1292" t="s">
        <v>2103</v>
      </c>
      <c r="B8" s="1292"/>
      <c r="C8" s="1292"/>
      <c r="D8" s="1292"/>
      <c r="E8" s="1292"/>
      <c r="F8" s="1292"/>
      <c r="G8" s="1292"/>
      <c r="H8" s="1292"/>
      <c r="I8" s="1292"/>
      <c r="J8" s="1292"/>
      <c r="K8" s="1292"/>
      <c r="L8" s="1292"/>
      <c r="M8" s="1292"/>
      <c r="N8" s="831"/>
    </row>
    <row r="9" spans="1:14" s="804" customFormat="1" x14ac:dyDescent="0.3">
      <c r="A9" s="1292" t="s">
        <v>2087</v>
      </c>
      <c r="B9" s="1292"/>
      <c r="C9" s="1292"/>
      <c r="D9" s="1292"/>
      <c r="E9" s="1292"/>
      <c r="F9" s="1292"/>
      <c r="G9" s="1292"/>
      <c r="H9" s="1292"/>
      <c r="I9" s="1292"/>
      <c r="J9" s="1292"/>
      <c r="K9" s="1292"/>
      <c r="L9" s="1292"/>
      <c r="M9" s="1292"/>
      <c r="N9" s="831"/>
    </row>
    <row r="10" spans="1:14" s="804" customFormat="1" x14ac:dyDescent="0.3">
      <c r="A10" s="1292" t="s">
        <v>2146</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H11" s="831"/>
      <c r="I11" s="1470" t="s">
        <v>1982</v>
      </c>
      <c r="J11" s="1471"/>
      <c r="K11" s="1472"/>
      <c r="L11" s="1299" t="s">
        <v>49</v>
      </c>
      <c r="M11" s="1299"/>
      <c r="N11" s="1299"/>
    </row>
    <row r="12" spans="1:14" s="804" customFormat="1"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164</v>
      </c>
      <c r="E13" s="661" t="s">
        <v>54</v>
      </c>
      <c r="F13" s="662" t="s">
        <v>55</v>
      </c>
      <c r="G13" s="661" t="s">
        <v>56</v>
      </c>
      <c r="H13" s="660" t="s">
        <v>57</v>
      </c>
      <c r="I13" s="502" t="s">
        <v>54</v>
      </c>
      <c r="J13" s="502" t="s">
        <v>56</v>
      </c>
      <c r="K13" s="502" t="s">
        <v>58</v>
      </c>
      <c r="L13" s="502" t="s">
        <v>54</v>
      </c>
      <c r="M13" s="502" t="s">
        <v>56</v>
      </c>
      <c r="N13" s="502" t="s">
        <v>58</v>
      </c>
    </row>
    <row r="14" spans="1:14" ht="140.25" customHeight="1" x14ac:dyDescent="0.3">
      <c r="A14" s="1290" t="s">
        <v>109</v>
      </c>
      <c r="B14" s="1289" t="s">
        <v>234</v>
      </c>
      <c r="C14" s="803" t="s">
        <v>59</v>
      </c>
      <c r="D14" s="803" t="s">
        <v>235</v>
      </c>
      <c r="E14" s="803">
        <v>0.52500000000000002</v>
      </c>
      <c r="F14" s="32">
        <v>2415458</v>
      </c>
      <c r="G14" s="32">
        <f>ROUND((E14*F14),0)</f>
        <v>1268115</v>
      </c>
      <c r="H14" s="1290" t="s">
        <v>2074</v>
      </c>
      <c r="I14" s="537">
        <v>0.52500000000000002</v>
      </c>
      <c r="J14" s="752">
        <f>ROUND(I14*F14,0)</f>
        <v>1268115</v>
      </c>
      <c r="K14" s="753">
        <f>J14/G14</f>
        <v>1</v>
      </c>
      <c r="L14" s="799">
        <f>I14</f>
        <v>0.52500000000000002</v>
      </c>
      <c r="M14" s="685">
        <f>J14</f>
        <v>1268115</v>
      </c>
      <c r="N14" s="684">
        <f t="shared" ref="N14" si="0">+M14/G14</f>
        <v>1</v>
      </c>
    </row>
    <row r="15" spans="1:14" ht="18" customHeight="1" x14ac:dyDescent="0.3">
      <c r="A15" s="1289"/>
      <c r="B15" s="1289"/>
      <c r="C15" s="39"/>
      <c r="D15" s="39" t="s">
        <v>236</v>
      </c>
      <c r="E15" s="41"/>
      <c r="F15" s="41"/>
      <c r="G15" s="42">
        <f>G14</f>
        <v>1268115</v>
      </c>
      <c r="H15" s="1289"/>
      <c r="I15" s="40"/>
      <c r="J15" s="683">
        <f>SUM(J13:J14)</f>
        <v>1268115</v>
      </c>
      <c r="K15" s="519">
        <f>J15/G15</f>
        <v>1</v>
      </c>
      <c r="L15" s="40"/>
      <c r="M15" s="683">
        <f>SUM(M14:M14)</f>
        <v>1268115</v>
      </c>
      <c r="N15" s="519">
        <f>M15/G15</f>
        <v>1</v>
      </c>
    </row>
    <row r="16" spans="1:14" s="804" customFormat="1" x14ac:dyDescent="0.3">
      <c r="F16" s="836" t="s">
        <v>1740</v>
      </c>
      <c r="G16" s="837">
        <f>SUM(G14:G15)/2</f>
        <v>1268115</v>
      </c>
      <c r="I16" s="547" t="s">
        <v>64</v>
      </c>
      <c r="J16" s="855">
        <f>SUM(J15)</f>
        <v>1268115</v>
      </c>
      <c r="L16" s="547" t="s">
        <v>64</v>
      </c>
      <c r="M16" s="835">
        <f>SUM(M15)</f>
        <v>1268115</v>
      </c>
    </row>
    <row r="17" spans="1:14" s="804" customFormat="1" x14ac:dyDescent="0.3">
      <c r="F17" s="548" t="s">
        <v>65</v>
      </c>
      <c r="G17" s="481">
        <v>0</v>
      </c>
      <c r="I17" s="548" t="s">
        <v>65</v>
      </c>
      <c r="J17" s="677">
        <v>0</v>
      </c>
      <c r="L17" s="548" t="s">
        <v>65</v>
      </c>
      <c r="M17" s="677">
        <v>0</v>
      </c>
    </row>
    <row r="18" spans="1:14" s="804" customFormat="1" x14ac:dyDescent="0.3">
      <c r="F18" s="549" t="s">
        <v>1740</v>
      </c>
      <c r="G18" s="340">
        <f>+G17+G16</f>
        <v>1268115</v>
      </c>
      <c r="I18" s="549" t="s">
        <v>64</v>
      </c>
      <c r="J18" s="481">
        <f>J16+J17</f>
        <v>1268115</v>
      </c>
      <c r="L18" s="549" t="s">
        <v>64</v>
      </c>
      <c r="M18" s="481">
        <f>M16+M17</f>
        <v>1268115</v>
      </c>
    </row>
    <row r="19" spans="1:14" s="804" customFormat="1" ht="18" customHeight="1" x14ac:dyDescent="0.3">
      <c r="F19" s="810"/>
      <c r="G19" s="810"/>
      <c r="I19" s="501" t="s">
        <v>1439</v>
      </c>
      <c r="J19" s="481">
        <f>ROUND(J18*0.015,0)</f>
        <v>19022</v>
      </c>
      <c r="L19" s="501" t="s">
        <v>1439</v>
      </c>
      <c r="M19" s="481">
        <f>ROUND(M18*0.015,0)</f>
        <v>19022</v>
      </c>
    </row>
    <row r="20" spans="1:14" s="804" customFormat="1" ht="27.75" customHeight="1" x14ac:dyDescent="0.3">
      <c r="F20" s="810"/>
      <c r="G20" s="810"/>
      <c r="I20" s="96" t="s">
        <v>1440</v>
      </c>
      <c r="J20" s="783">
        <f>J18+J19</f>
        <v>1287137</v>
      </c>
      <c r="K20" s="856">
        <f>J20/G16</f>
        <v>1.015000216857304</v>
      </c>
      <c r="L20" s="96" t="s">
        <v>1440</v>
      </c>
      <c r="M20" s="425">
        <f>M18+M19</f>
        <v>1287137</v>
      </c>
      <c r="N20" s="857">
        <f>M20/G16</f>
        <v>1.015000216857304</v>
      </c>
    </row>
    <row r="21" spans="1:14" s="804" customFormat="1" x14ac:dyDescent="0.3">
      <c r="F21" s="551" t="s">
        <v>66</v>
      </c>
      <c r="G21" s="481">
        <f>+G16*19%</f>
        <v>240941.85</v>
      </c>
      <c r="I21" s="551" t="s">
        <v>66</v>
      </c>
      <c r="J21" s="672">
        <f>J20*0.19</f>
        <v>244556.03</v>
      </c>
      <c r="L21" s="551" t="s">
        <v>66</v>
      </c>
      <c r="M21" s="672">
        <f>M20*0.19</f>
        <v>244556.03</v>
      </c>
    </row>
    <row r="22" spans="1:14" s="804" customFormat="1" x14ac:dyDescent="0.3">
      <c r="F22" s="552" t="s">
        <v>69</v>
      </c>
      <c r="G22" s="481">
        <f>+G16+G21</f>
        <v>1509056.85</v>
      </c>
      <c r="I22" s="552" t="s">
        <v>69</v>
      </c>
      <c r="J22" s="672">
        <f>J20+J21</f>
        <v>1531693.03</v>
      </c>
      <c r="L22" s="552" t="s">
        <v>69</v>
      </c>
      <c r="M22" s="672">
        <f>M20+M21</f>
        <v>1531693.03</v>
      </c>
    </row>
    <row r="23" spans="1:14" s="804" customFormat="1" x14ac:dyDescent="0.3"/>
    <row r="24" spans="1:14" s="804" customFormat="1" ht="38.25" customHeight="1" x14ac:dyDescent="0.3">
      <c r="A24" s="665" t="s">
        <v>67</v>
      </c>
      <c r="B24" s="184"/>
      <c r="C24" s="184"/>
      <c r="D24" s="185" t="s">
        <v>68</v>
      </c>
      <c r="I24" s="186" t="s">
        <v>70</v>
      </c>
      <c r="J24" s="187" t="s">
        <v>71</v>
      </c>
      <c r="K24" s="186" t="s">
        <v>58</v>
      </c>
    </row>
    <row r="25" spans="1:14" s="804" customFormat="1" x14ac:dyDescent="0.3">
      <c r="A25" s="665"/>
      <c r="B25" s="184"/>
      <c r="C25" s="184"/>
      <c r="D25" s="185"/>
      <c r="I25" s="69" t="s">
        <v>72</v>
      </c>
      <c r="J25" s="70">
        <f>J20</f>
        <v>1287137</v>
      </c>
      <c r="K25" s="360">
        <f>K20</f>
        <v>1.015000216857304</v>
      </c>
    </row>
    <row r="26" spans="1:14" s="804" customFormat="1" x14ac:dyDescent="0.3">
      <c r="A26" s="665"/>
      <c r="B26" s="184"/>
      <c r="C26" s="184"/>
      <c r="D26" s="185"/>
      <c r="I26" s="72" t="s">
        <v>1</v>
      </c>
      <c r="J26" s="105">
        <f>J25</f>
        <v>1287137</v>
      </c>
      <c r="K26" s="361">
        <f>K25</f>
        <v>1.015000216857304</v>
      </c>
    </row>
    <row r="27" spans="1:14" s="804" customFormat="1" x14ac:dyDescent="0.3">
      <c r="A27" s="665"/>
      <c r="B27" s="184"/>
      <c r="C27" s="184"/>
      <c r="D27" s="185"/>
      <c r="I27" s="72" t="s">
        <v>9</v>
      </c>
      <c r="J27" s="1423"/>
      <c r="K27" s="1424"/>
    </row>
    <row r="28" spans="1:14" s="804" customFormat="1" x14ac:dyDescent="0.3">
      <c r="A28" s="665"/>
      <c r="B28" s="184"/>
      <c r="C28" s="184"/>
      <c r="D28" s="185"/>
      <c r="I28" s="440" t="s">
        <v>78</v>
      </c>
      <c r="J28" s="1423" t="s">
        <v>1986</v>
      </c>
      <c r="K28" s="1424"/>
    </row>
    <row r="29" spans="1:14" s="804" customFormat="1" x14ac:dyDescent="0.3">
      <c r="A29" s="665"/>
      <c r="B29" s="184"/>
      <c r="C29" s="184"/>
      <c r="D29" s="185"/>
      <c r="I29" s="439" t="s">
        <v>8</v>
      </c>
      <c r="J29" s="1425" t="s">
        <v>1987</v>
      </c>
      <c r="K29" s="1426"/>
    </row>
    <row r="30" spans="1:14" s="804" customFormat="1" x14ac:dyDescent="0.3">
      <c r="A30" s="665"/>
      <c r="B30" s="184"/>
      <c r="C30" s="184"/>
      <c r="D30" s="185" t="s">
        <v>75</v>
      </c>
    </row>
    <row r="31" spans="1:14" s="804" customFormat="1" x14ac:dyDescent="0.3">
      <c r="A31" s="665" t="s">
        <v>76</v>
      </c>
      <c r="B31" s="180"/>
      <c r="C31" s="180"/>
      <c r="D31" s="185" t="s">
        <v>77</v>
      </c>
    </row>
    <row r="32" spans="1:14" s="804" customFormat="1" ht="26.4" x14ac:dyDescent="0.3">
      <c r="A32" s="665" t="s">
        <v>79</v>
      </c>
      <c r="B32" s="180"/>
      <c r="C32" s="180"/>
      <c r="D32" s="185" t="s">
        <v>80</v>
      </c>
    </row>
    <row r="33" spans="10:13" x14ac:dyDescent="0.3">
      <c r="J33" s="804"/>
      <c r="K33" s="804"/>
      <c r="L33" s="804"/>
      <c r="M33" s="804"/>
    </row>
    <row r="34" spans="10:13" x14ac:dyDescent="0.3">
      <c r="J34" s="804"/>
      <c r="K34" s="804"/>
      <c r="L34" s="804"/>
      <c r="M34" s="804"/>
    </row>
    <row r="35" spans="10:13" x14ac:dyDescent="0.3">
      <c r="J35" s="804"/>
      <c r="K35" s="804"/>
      <c r="L35" s="804"/>
      <c r="M35" s="804"/>
    </row>
    <row r="36" spans="10:13" x14ac:dyDescent="0.3">
      <c r="J36" s="804"/>
      <c r="K36" s="804"/>
      <c r="L36" s="804"/>
      <c r="M36" s="804"/>
    </row>
    <row r="37" spans="10:13" x14ac:dyDescent="0.3">
      <c r="J37" s="804"/>
      <c r="K37" s="804"/>
      <c r="L37" s="804"/>
      <c r="M37" s="804"/>
    </row>
    <row r="38" spans="10:13" x14ac:dyDescent="0.3">
      <c r="J38" s="804"/>
      <c r="K38" s="804"/>
      <c r="L38" s="804"/>
      <c r="M38" s="804"/>
    </row>
    <row r="39" spans="10:13" x14ac:dyDescent="0.3">
      <c r="J39" s="804"/>
      <c r="K39" s="804"/>
      <c r="L39" s="804"/>
      <c r="M39" s="804"/>
    </row>
    <row r="40" spans="10:13" x14ac:dyDescent="0.3">
      <c r="J40" s="804"/>
      <c r="K40" s="804"/>
      <c r="L40" s="804"/>
      <c r="M40" s="804"/>
    </row>
  </sheetData>
  <sheetProtection formatCells="0" formatColumns="0" formatRows="0" insertColumns="0" insertRows="0" insertHyperlinks="0" deleteColumns="0" deleteRows="0" sort="0" autoFilter="0" pivotTables="0"/>
  <mergeCells count="21">
    <mergeCell ref="J27:K27"/>
    <mergeCell ref="J28:K28"/>
    <mergeCell ref="J29:K29"/>
    <mergeCell ref="C1:J2"/>
    <mergeCell ref="K1:N1"/>
    <mergeCell ref="K2:N2"/>
    <mergeCell ref="A3:M3"/>
    <mergeCell ref="A4:M4"/>
    <mergeCell ref="A5:M5"/>
    <mergeCell ref="A6:M6"/>
    <mergeCell ref="A7:M7"/>
    <mergeCell ref="A8:M8"/>
    <mergeCell ref="A9:M9"/>
    <mergeCell ref="A10:M10"/>
    <mergeCell ref="B11:F11"/>
    <mergeCell ref="I11:K12"/>
    <mergeCell ref="L11:N12"/>
    <mergeCell ref="B12:F12"/>
    <mergeCell ref="A14:A15"/>
    <mergeCell ref="B14:B15"/>
    <mergeCell ref="H14:H15"/>
  </mergeCells>
  <pageMargins left="0.7" right="0.7" top="0.75" bottom="0.75" header="0.3" footer="0.3"/>
  <pageSetup scale="40" orientation="landscape" r:id="rId1"/>
  <drawing r:id="rId2"/>
  <legacyDrawingHF r:id="rId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0">
    <tabColor theme="1"/>
  </sheetPr>
  <dimension ref="A1:G48"/>
  <sheetViews>
    <sheetView view="pageBreakPreview" topLeftCell="A13" zoomScale="80" zoomScaleNormal="100" zoomScaleSheetLayoutView="80" workbookViewId="0">
      <selection activeCell="K39" sqref="K3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866"/>
      <c r="B4" s="866"/>
      <c r="C4" s="866"/>
      <c r="D4" s="866"/>
      <c r="E4" s="866"/>
      <c r="F4" s="866"/>
      <c r="G4" s="866"/>
    </row>
    <row r="5" spans="1:7" ht="42" customHeight="1" x14ac:dyDescent="0.25">
      <c r="A5" s="280" t="s">
        <v>626</v>
      </c>
      <c r="B5" s="1280" t="str">
        <f>RESUMEN!G155</f>
        <v>Proyecto: Actualización Terminal 578 LT DO-GU</v>
      </c>
      <c r="C5" s="1281"/>
      <c r="D5" s="1281"/>
      <c r="E5" s="1281"/>
      <c r="F5" s="1281"/>
      <c r="G5" s="1282"/>
    </row>
    <row r="6" spans="1:7" x14ac:dyDescent="0.25">
      <c r="A6" s="866"/>
      <c r="B6" s="866"/>
      <c r="C6" s="866"/>
      <c r="D6" s="866"/>
      <c r="E6" s="866"/>
      <c r="F6" s="866"/>
      <c r="G6" s="866"/>
    </row>
    <row r="7" spans="1:7" x14ac:dyDescent="0.25">
      <c r="A7" s="271" t="s">
        <v>0</v>
      </c>
      <c r="B7" s="1264" t="str">
        <f>RESUMEN!B155</f>
        <v>D00242975</v>
      </c>
      <c r="C7" s="1265"/>
      <c r="D7" s="866"/>
      <c r="E7" s="1266" t="s">
        <v>627</v>
      </c>
      <c r="F7" s="1267"/>
      <c r="G7" s="280" t="str">
        <f>RESUMEN!E155</f>
        <v>18-017</v>
      </c>
    </row>
    <row r="8" spans="1:7" x14ac:dyDescent="0.25">
      <c r="A8" s="271" t="s">
        <v>628</v>
      </c>
      <c r="B8" s="1264">
        <f>RESUMEN!C155</f>
        <v>500000739787</v>
      </c>
      <c r="C8" s="1265"/>
      <c r="D8" s="866"/>
      <c r="E8" s="1266" t="s">
        <v>629</v>
      </c>
      <c r="F8" s="1267"/>
      <c r="G8" s="280" t="str">
        <f>RESUMEN!U155</f>
        <v>Acta N° 1: Febrero</v>
      </c>
    </row>
    <row r="9" spans="1:7" x14ac:dyDescent="0.25">
      <c r="A9" s="271" t="s">
        <v>630</v>
      </c>
      <c r="B9" s="1283" t="s">
        <v>631</v>
      </c>
      <c r="C9" s="1265"/>
      <c r="D9" s="866"/>
      <c r="E9" s="1266" t="s">
        <v>632</v>
      </c>
      <c r="F9" s="1267"/>
      <c r="G9" s="864">
        <f>RESUMEN!H155</f>
        <v>2869271.93</v>
      </c>
    </row>
    <row r="10" spans="1:7" x14ac:dyDescent="0.25">
      <c r="A10" s="271" t="s">
        <v>633</v>
      </c>
      <c r="B10" s="1283" t="str">
        <f>RESUMEN!D155</f>
        <v>LLTT GUADUERO</v>
      </c>
      <c r="C10" s="1265"/>
      <c r="D10" s="866"/>
      <c r="E10" s="1266" t="s">
        <v>634</v>
      </c>
      <c r="F10" s="1267"/>
      <c r="G10" s="864">
        <f>RESUMEN!R155</f>
        <v>2912311</v>
      </c>
    </row>
    <row r="11" spans="1:7" x14ac:dyDescent="0.25">
      <c r="A11" s="866"/>
      <c r="B11" s="866"/>
      <c r="C11" s="866"/>
      <c r="D11" s="866"/>
      <c r="E11" s="866"/>
      <c r="F11" s="866"/>
      <c r="G11" s="866"/>
    </row>
    <row r="12" spans="1:7" ht="76.5" customHeight="1" x14ac:dyDescent="0.25">
      <c r="A12" s="1539" t="str">
        <f>CONCATENATE("A los 15 días del mes de Febrero se reunieron en las instalaciones"," de CODENSA S.A. E.S.P., los ingenieros ", RESUMEN!V155,"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y el 5 de Febrero  de 2018 para el ",RESUMEN!G155)</f>
        <v>A los 15 días del mes de Febrero se reunieron en las instalaciones de CODENSA S.A. E.S.P., los ingenieros Ing. Andrés Patarroyo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y el 5 de Febrero  de 2018 para el Proyecto: Actualización Terminal 578 LT DO-GU</v>
      </c>
      <c r="B12" s="1539"/>
      <c r="C12" s="1539"/>
      <c r="D12" s="1539"/>
      <c r="E12" s="1539"/>
      <c r="F12" s="1539"/>
      <c r="G12" s="1539"/>
    </row>
    <row r="13" spans="1:7" x14ac:dyDescent="0.25">
      <c r="A13" s="866"/>
      <c r="B13" s="866"/>
      <c r="C13" s="866"/>
      <c r="D13" s="866"/>
      <c r="E13" s="866"/>
      <c r="F13" s="866"/>
      <c r="G13" s="866"/>
    </row>
    <row r="14" spans="1:7" ht="30" customHeight="1" x14ac:dyDescent="0.25">
      <c r="A14" s="1261" t="s">
        <v>2164</v>
      </c>
      <c r="B14" s="1261"/>
      <c r="C14" s="1261"/>
      <c r="D14" s="1261"/>
      <c r="E14" s="1261"/>
      <c r="F14" s="1261"/>
      <c r="G14" s="1261"/>
    </row>
    <row r="15" spans="1:7" x14ac:dyDescent="0.25">
      <c r="A15" s="866"/>
      <c r="B15" s="866"/>
      <c r="C15" s="866"/>
      <c r="D15" s="866"/>
      <c r="E15" s="866"/>
      <c r="F15" s="866"/>
      <c r="G15" s="866"/>
    </row>
    <row r="16" spans="1:7" x14ac:dyDescent="0.25">
      <c r="A16" s="1261" t="s">
        <v>635</v>
      </c>
      <c r="B16" s="1261"/>
      <c r="C16" s="1261"/>
      <c r="D16" s="1261"/>
      <c r="E16" s="1261"/>
      <c r="F16" s="1261"/>
      <c r="G16" s="1261"/>
    </row>
    <row r="17" spans="1:7" x14ac:dyDescent="0.25">
      <c r="A17" s="866"/>
      <c r="B17" s="866"/>
      <c r="C17" s="866"/>
      <c r="D17" s="866"/>
      <c r="E17" s="866"/>
      <c r="F17" s="866"/>
      <c r="G17" s="866"/>
    </row>
    <row r="18" spans="1:7" x14ac:dyDescent="0.25">
      <c r="A18" s="866"/>
      <c r="B18" s="1262" t="s">
        <v>636</v>
      </c>
      <c r="C18" s="1262"/>
      <c r="D18" s="1262"/>
      <c r="E18" s="1262" t="s">
        <v>31</v>
      </c>
      <c r="F18" s="1262"/>
      <c r="G18" s="866"/>
    </row>
    <row r="19" spans="1:7" x14ac:dyDescent="0.25">
      <c r="A19" s="866"/>
      <c r="B19" s="1263" t="s">
        <v>637</v>
      </c>
      <c r="C19" s="1263"/>
      <c r="D19" s="1263"/>
      <c r="E19" s="1538">
        <f>RESUMEN!N155</f>
        <v>2869272</v>
      </c>
      <c r="F19" s="1248"/>
      <c r="G19" s="866"/>
    </row>
    <row r="20" spans="1:7" ht="27" customHeight="1" x14ac:dyDescent="0.25">
      <c r="A20" s="866"/>
      <c r="B20" s="1244" t="s">
        <v>1498</v>
      </c>
      <c r="C20" s="1245"/>
      <c r="D20" s="1246"/>
      <c r="E20" s="1538">
        <f>RESUMEN!P155</f>
        <v>0</v>
      </c>
      <c r="F20" s="1248"/>
      <c r="G20" s="866"/>
    </row>
    <row r="21" spans="1:7" ht="27" customHeight="1" x14ac:dyDescent="0.25">
      <c r="A21" s="866"/>
      <c r="B21" s="1244" t="s">
        <v>1499</v>
      </c>
      <c r="C21" s="1245"/>
      <c r="D21" s="1246"/>
      <c r="E21" s="1538">
        <f>RESUMEN!Q155</f>
        <v>43039</v>
      </c>
      <c r="F21" s="1248"/>
      <c r="G21" s="866"/>
    </row>
    <row r="22" spans="1:7" x14ac:dyDescent="0.25">
      <c r="A22" s="866"/>
      <c r="B22" s="1254" t="s">
        <v>64</v>
      </c>
      <c r="C22" s="1254"/>
      <c r="D22" s="1254"/>
      <c r="E22" s="1255">
        <f>RESUMEN!R155</f>
        <v>2912311</v>
      </c>
      <c r="F22" s="1255"/>
      <c r="G22" s="866"/>
    </row>
    <row r="23" spans="1:7" x14ac:dyDescent="0.25">
      <c r="A23" s="866"/>
      <c r="B23" s="1256" t="s">
        <v>66</v>
      </c>
      <c r="C23" s="1256"/>
      <c r="D23" s="1256"/>
      <c r="E23" s="1257">
        <f>RESUMEN!S155</f>
        <v>553339.09</v>
      </c>
      <c r="F23" s="1257"/>
      <c r="G23" s="866"/>
    </row>
    <row r="24" spans="1:7" x14ac:dyDescent="0.25">
      <c r="A24" s="866"/>
      <c r="B24" s="1258" t="s">
        <v>1</v>
      </c>
      <c r="C24" s="1258"/>
      <c r="D24" s="1258"/>
      <c r="E24" s="1259">
        <f>RESUMEN!T155</f>
        <v>3465650.09</v>
      </c>
      <c r="F24" s="1259"/>
      <c r="G24" s="866"/>
    </row>
    <row r="25" spans="1:7" x14ac:dyDescent="0.25">
      <c r="A25" s="866"/>
      <c r="B25" s="866"/>
      <c r="C25" s="866"/>
      <c r="D25" s="866"/>
      <c r="E25" s="866"/>
      <c r="F25" s="866"/>
      <c r="G25" s="866"/>
    </row>
    <row r="26" spans="1:7" x14ac:dyDescent="0.25">
      <c r="A26" s="260" t="s">
        <v>638</v>
      </c>
      <c r="B26" s="260"/>
      <c r="C26" s="866"/>
      <c r="D26" s="866"/>
      <c r="E26" s="866"/>
      <c r="F26" s="866"/>
      <c r="G26" s="866"/>
    </row>
    <row r="27" spans="1:7" x14ac:dyDescent="0.25">
      <c r="A27" s="866"/>
      <c r="B27" s="865" t="s">
        <v>639</v>
      </c>
      <c r="C27" s="1260" t="s">
        <v>640</v>
      </c>
      <c r="D27" s="1260"/>
      <c r="E27" s="865" t="s">
        <v>641</v>
      </c>
      <c r="F27" s="866"/>
      <c r="G27" s="866"/>
    </row>
    <row r="28" spans="1:7" x14ac:dyDescent="0.25">
      <c r="A28" s="866"/>
      <c r="B28" s="280" t="str">
        <f>'OT18-017 LLTT GUADUERO'!I25</f>
        <v>ACTA 1</v>
      </c>
      <c r="C28" s="1253">
        <f>'OT18-017 LLTT GUADUERO'!J25</f>
        <v>2912311</v>
      </c>
      <c r="D28" s="1253"/>
      <c r="E28" s="622">
        <f>'OT18-017 LLTT GUADUERO'!K25</f>
        <v>1.0149999968807417</v>
      </c>
      <c r="F28" s="866"/>
      <c r="G28" s="866"/>
    </row>
    <row r="29" spans="1:7" x14ac:dyDescent="0.25">
      <c r="A29" s="866"/>
      <c r="B29" s="280"/>
      <c r="C29" s="1253"/>
      <c r="D29" s="1253"/>
      <c r="E29" s="622"/>
      <c r="F29" s="866"/>
      <c r="G29" s="866"/>
    </row>
    <row r="30" spans="1:7" x14ac:dyDescent="0.25">
      <c r="A30" s="866"/>
      <c r="B30" s="280"/>
      <c r="C30" s="1253"/>
      <c r="D30" s="1253"/>
      <c r="E30" s="267"/>
      <c r="F30" s="866"/>
      <c r="G30" s="866"/>
    </row>
    <row r="31" spans="1:7" x14ac:dyDescent="0.25">
      <c r="A31" s="866"/>
      <c r="B31" s="280"/>
      <c r="C31" s="1253"/>
      <c r="D31" s="1253"/>
      <c r="E31" s="267"/>
      <c r="F31" s="866"/>
      <c r="G31" s="866"/>
    </row>
    <row r="32" spans="1:7" x14ac:dyDescent="0.25">
      <c r="A32" s="866"/>
      <c r="B32" s="280"/>
      <c r="C32" s="1253"/>
      <c r="D32" s="1253"/>
      <c r="E32" s="267"/>
      <c r="F32" s="866"/>
      <c r="G32" s="866"/>
    </row>
    <row r="33" spans="1:7" x14ac:dyDescent="0.25">
      <c r="A33" s="866"/>
      <c r="B33" s="263" t="s">
        <v>1</v>
      </c>
      <c r="C33" s="1251">
        <f>SUM(C28:D32)</f>
        <v>2912311</v>
      </c>
      <c r="D33" s="1251"/>
      <c r="E33" s="623">
        <f>SUM(E28:E32)</f>
        <v>1.0149999968807417</v>
      </c>
      <c r="F33" s="866"/>
      <c r="G33" s="866"/>
    </row>
    <row r="34" spans="1:7" x14ac:dyDescent="0.25">
      <c r="A34" s="866"/>
      <c r="B34" s="866"/>
      <c r="C34" s="866"/>
      <c r="D34" s="866"/>
      <c r="E34" s="866"/>
      <c r="F34" s="866"/>
      <c r="G34" s="260"/>
    </row>
    <row r="35" spans="1:7" x14ac:dyDescent="0.25">
      <c r="A35" s="1252" t="s">
        <v>2165</v>
      </c>
      <c r="B35" s="1252"/>
      <c r="C35" s="1252"/>
      <c r="D35" s="1252"/>
      <c r="E35" s="1252"/>
      <c r="F35" s="1252"/>
      <c r="G35" s="1252"/>
    </row>
    <row r="36" spans="1:7" x14ac:dyDescent="0.25">
      <c r="A36" s="866"/>
      <c r="B36" s="866"/>
      <c r="C36" s="866"/>
      <c r="D36" s="866"/>
      <c r="E36" s="866"/>
      <c r="F36" s="866"/>
      <c r="G36" s="866"/>
    </row>
    <row r="37" spans="1:7" x14ac:dyDescent="0.25">
      <c r="A37" s="866"/>
      <c r="B37" s="866"/>
      <c r="C37" s="866"/>
      <c r="D37" s="866"/>
      <c r="E37" s="866"/>
      <c r="F37" s="866"/>
      <c r="G37" s="866"/>
    </row>
    <row r="38" spans="1:7" x14ac:dyDescent="0.25">
      <c r="A38" s="266"/>
      <c r="B38" s="266"/>
      <c r="C38" s="266"/>
      <c r="D38" s="866"/>
      <c r="E38" s="266"/>
      <c r="F38" s="266"/>
      <c r="G38" s="266"/>
    </row>
    <row r="39" spans="1:7" x14ac:dyDescent="0.25">
      <c r="A39" s="1250" t="str">
        <f>RESUMEN!V155</f>
        <v>Ing. Andrés Patarroyo</v>
      </c>
      <c r="B39" s="1250"/>
      <c r="C39" s="1250"/>
      <c r="D39" s="866"/>
      <c r="E39" s="1250" t="s">
        <v>642</v>
      </c>
      <c r="F39" s="1250"/>
      <c r="G39" s="1250"/>
    </row>
    <row r="40" spans="1:7" x14ac:dyDescent="0.25">
      <c r="A40" s="1249" t="s">
        <v>643</v>
      </c>
      <c r="B40" s="1249"/>
      <c r="C40" s="1249"/>
      <c r="D40" s="866"/>
      <c r="E40" s="1249" t="s">
        <v>644</v>
      </c>
      <c r="F40" s="1249"/>
      <c r="G40" s="1249"/>
    </row>
    <row r="41" spans="1:7" x14ac:dyDescent="0.25">
      <c r="A41" s="1249" t="s">
        <v>645</v>
      </c>
      <c r="B41" s="1249"/>
      <c r="C41" s="1249"/>
      <c r="D41" s="866"/>
      <c r="E41" s="1249" t="s">
        <v>645</v>
      </c>
      <c r="F41" s="1249"/>
      <c r="G41" s="1249"/>
    </row>
    <row r="42" spans="1:7" x14ac:dyDescent="0.25">
      <c r="A42" s="866"/>
      <c r="B42" s="866"/>
      <c r="C42" s="866"/>
      <c r="D42" s="866"/>
      <c r="E42" s="866"/>
      <c r="F42" s="866"/>
      <c r="G42" s="866"/>
    </row>
    <row r="43" spans="1:7" x14ac:dyDescent="0.25">
      <c r="A43" s="866"/>
      <c r="B43" s="866"/>
      <c r="C43" s="866"/>
      <c r="D43" s="866"/>
      <c r="E43" s="866"/>
      <c r="F43" s="866"/>
      <c r="G43" s="866"/>
    </row>
    <row r="44" spans="1:7" x14ac:dyDescent="0.25">
      <c r="A44" s="866"/>
      <c r="B44" s="866"/>
      <c r="C44" s="866"/>
      <c r="D44" s="866"/>
      <c r="E44" s="866"/>
      <c r="F44" s="866"/>
      <c r="G44" s="866"/>
    </row>
    <row r="45" spans="1:7" x14ac:dyDescent="0.25">
      <c r="A45" s="266"/>
      <c r="B45" s="266"/>
      <c r="C45" s="266"/>
      <c r="D45" s="866"/>
      <c r="E45" s="266"/>
      <c r="F45" s="266"/>
      <c r="G45" s="266"/>
    </row>
    <row r="46" spans="1:7" x14ac:dyDescent="0.25">
      <c r="A46" s="1250" t="s">
        <v>646</v>
      </c>
      <c r="B46" s="1250"/>
      <c r="C46" s="1250"/>
      <c r="D46" s="866"/>
      <c r="E46" s="1250" t="s">
        <v>647</v>
      </c>
      <c r="F46" s="1250"/>
      <c r="G46" s="1250"/>
    </row>
    <row r="47" spans="1:7" x14ac:dyDescent="0.25">
      <c r="A47" s="1249" t="s">
        <v>648</v>
      </c>
      <c r="B47" s="1249"/>
      <c r="C47" s="1249"/>
      <c r="D47" s="866"/>
      <c r="E47" s="1249" t="s">
        <v>763</v>
      </c>
      <c r="F47" s="1249"/>
      <c r="G47" s="1249"/>
    </row>
    <row r="48" spans="1:7" x14ac:dyDescent="0.25">
      <c r="A48" s="1249" t="s">
        <v>645</v>
      </c>
      <c r="B48" s="1249"/>
      <c r="C48" s="1249"/>
      <c r="D48" s="866"/>
      <c r="E48" s="1249" t="s">
        <v>764</v>
      </c>
      <c r="F48" s="1249"/>
      <c r="G48" s="1249"/>
    </row>
  </sheetData>
  <mergeCells count="48">
    <mergeCell ref="A47:C47"/>
    <mergeCell ref="E47:G47"/>
    <mergeCell ref="A48:C48"/>
    <mergeCell ref="E48:G48"/>
    <mergeCell ref="A40:C40"/>
    <mergeCell ref="E40:G40"/>
    <mergeCell ref="A41:C41"/>
    <mergeCell ref="E41:G41"/>
    <mergeCell ref="A46:C46"/>
    <mergeCell ref="E46:G46"/>
    <mergeCell ref="C31:D31"/>
    <mergeCell ref="C32:D32"/>
    <mergeCell ref="C33:D33"/>
    <mergeCell ref="A35:G35"/>
    <mergeCell ref="A39:C39"/>
    <mergeCell ref="E39:G39"/>
    <mergeCell ref="C30:D30"/>
    <mergeCell ref="B21:D21"/>
    <mergeCell ref="E21:F21"/>
    <mergeCell ref="B22:D22"/>
    <mergeCell ref="E22:F22"/>
    <mergeCell ref="B23:D23"/>
    <mergeCell ref="E23:F23"/>
    <mergeCell ref="B24:D24"/>
    <mergeCell ref="E24:F24"/>
    <mergeCell ref="C27:D27"/>
    <mergeCell ref="C28:D28"/>
    <mergeCell ref="C29:D29"/>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4" orientation="portrait" r:id="rId1"/>
  <drawing r:id="rId2"/>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1">
    <tabColor rgb="FF72104A"/>
  </sheetPr>
  <dimension ref="A1:N32"/>
  <sheetViews>
    <sheetView view="pageBreakPreview" topLeftCell="B4" zoomScale="60" zoomScaleNormal="55" workbookViewId="0">
      <selection activeCell="B14" sqref="B14:B15"/>
    </sheetView>
  </sheetViews>
  <sheetFormatPr baseColWidth="10" defaultColWidth="11.44140625" defaultRowHeight="14.4" x14ac:dyDescent="0.3"/>
  <cols>
    <col min="1" max="1" width="14.5546875" style="795" customWidth="1"/>
    <col min="2" max="2" width="23.6640625" style="795" customWidth="1"/>
    <col min="3" max="3" width="35.88671875" style="795" customWidth="1"/>
    <col min="4" max="4" width="22.5546875" style="795" customWidth="1"/>
    <col min="5" max="5" width="13.5546875" style="795" customWidth="1"/>
    <col min="6" max="6" width="16.33203125" style="795" bestFit="1" customWidth="1"/>
    <col min="7" max="7" width="16.6640625" style="795" bestFit="1" customWidth="1"/>
    <col min="8" max="8" width="47.109375" style="795" customWidth="1"/>
    <col min="9" max="9" width="22.44140625" style="795" customWidth="1"/>
    <col min="10" max="10" width="19" style="795" customWidth="1"/>
    <col min="11" max="11" width="11.44140625" style="795"/>
    <col min="12" max="12" width="25.6640625" style="795" customWidth="1"/>
    <col min="13" max="13" width="16.5546875" style="795" bestFit="1" customWidth="1"/>
    <col min="14" max="16384" width="11.44140625" style="795"/>
  </cols>
  <sheetData>
    <row r="1" spans="1:14" s="804" customFormat="1" ht="30.75" customHeight="1" x14ac:dyDescent="0.3">
      <c r="A1" s="169"/>
      <c r="B1" s="188"/>
      <c r="C1" s="1307" t="s">
        <v>40</v>
      </c>
      <c r="D1" s="1308"/>
      <c r="E1" s="1308"/>
      <c r="F1" s="1308"/>
      <c r="G1" s="1308"/>
      <c r="H1" s="1308"/>
      <c r="I1" s="1308"/>
      <c r="J1" s="1308"/>
      <c r="K1" s="1532" t="s">
        <v>2149</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2148</v>
      </c>
      <c r="B7" s="1292"/>
      <c r="C7" s="1292"/>
      <c r="D7" s="1292"/>
      <c r="E7" s="1292"/>
      <c r="F7" s="1292"/>
      <c r="G7" s="1292"/>
      <c r="H7" s="1292"/>
      <c r="I7" s="1292"/>
      <c r="J7" s="1292"/>
      <c r="K7" s="1292"/>
      <c r="L7" s="1292"/>
      <c r="M7" s="1292"/>
      <c r="N7" s="831"/>
    </row>
    <row r="8" spans="1:14" s="804" customFormat="1" x14ac:dyDescent="0.3">
      <c r="A8" s="1292" t="s">
        <v>2103</v>
      </c>
      <c r="B8" s="1292"/>
      <c r="C8" s="1292"/>
      <c r="D8" s="1292"/>
      <c r="E8" s="1292"/>
      <c r="F8" s="1292"/>
      <c r="G8" s="1292"/>
      <c r="H8" s="1292"/>
      <c r="I8" s="1292"/>
      <c r="J8" s="1292"/>
      <c r="K8" s="1292"/>
      <c r="L8" s="1292"/>
      <c r="M8" s="1292"/>
      <c r="N8" s="831"/>
    </row>
    <row r="9" spans="1:14" s="804" customFormat="1" x14ac:dyDescent="0.3">
      <c r="A9" s="1292" t="s">
        <v>2087</v>
      </c>
      <c r="B9" s="1292"/>
      <c r="C9" s="1292"/>
      <c r="D9" s="1292"/>
      <c r="E9" s="1292"/>
      <c r="F9" s="1292"/>
      <c r="G9" s="1292"/>
      <c r="H9" s="1292"/>
      <c r="I9" s="1292"/>
      <c r="J9" s="1292"/>
      <c r="K9" s="1292"/>
      <c r="L9" s="1292"/>
      <c r="M9" s="1292"/>
      <c r="N9" s="831"/>
    </row>
    <row r="10" spans="1:14" s="804" customFormat="1" x14ac:dyDescent="0.3">
      <c r="A10" s="1292" t="s">
        <v>2147</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H11" s="831"/>
      <c r="I11" s="1470" t="s">
        <v>1982</v>
      </c>
      <c r="J11" s="1471"/>
      <c r="K11" s="1472"/>
      <c r="L11" s="1299" t="s">
        <v>49</v>
      </c>
      <c r="M11" s="1299"/>
      <c r="N11" s="1299"/>
    </row>
    <row r="12" spans="1:14" s="804" customFormat="1"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82.5" customHeight="1" x14ac:dyDescent="0.3">
      <c r="A14" s="1540" t="s">
        <v>1858</v>
      </c>
      <c r="B14" s="1542" t="s">
        <v>1859</v>
      </c>
      <c r="C14" s="798" t="s">
        <v>270</v>
      </c>
      <c r="D14" s="798" t="s">
        <v>271</v>
      </c>
      <c r="E14" s="811">
        <v>0.49</v>
      </c>
      <c r="F14" s="32">
        <v>5855657</v>
      </c>
      <c r="G14" s="812">
        <f>E14*F14</f>
        <v>2869271.93</v>
      </c>
      <c r="H14" s="1542" t="s">
        <v>2075</v>
      </c>
      <c r="I14" s="537">
        <v>0.49</v>
      </c>
      <c r="J14" s="752">
        <f>ROUND(I14*F14,0)</f>
        <v>2869272</v>
      </c>
      <c r="K14" s="753">
        <f>J14/G14</f>
        <v>1.0000000243964329</v>
      </c>
      <c r="L14" s="799">
        <f>I14</f>
        <v>0.49</v>
      </c>
      <c r="M14" s="685">
        <f>J14</f>
        <v>2869272</v>
      </c>
      <c r="N14" s="684">
        <f t="shared" ref="N14" si="0">+M14/G14</f>
        <v>1.0000000243964329</v>
      </c>
    </row>
    <row r="15" spans="1:14" ht="12.75" customHeight="1" x14ac:dyDescent="0.3">
      <c r="A15" s="1541"/>
      <c r="B15" s="1543"/>
      <c r="C15" s="694"/>
      <c r="D15" s="694" t="s">
        <v>215</v>
      </c>
      <c r="E15" s="813"/>
      <c r="F15" s="648"/>
      <c r="G15" s="814">
        <f>G14</f>
        <v>2869271.93</v>
      </c>
      <c r="H15" s="1543"/>
      <c r="I15" s="40"/>
      <c r="J15" s="683">
        <f>SUM(J13:J14)</f>
        <v>2869272</v>
      </c>
      <c r="K15" s="519">
        <f>J15/G15</f>
        <v>1.0000000243964329</v>
      </c>
      <c r="L15" s="40"/>
      <c r="M15" s="683">
        <f>SUM(M14:M14)</f>
        <v>2869272</v>
      </c>
      <c r="N15" s="519">
        <f>M15/G15</f>
        <v>1.0000000243964329</v>
      </c>
    </row>
    <row r="16" spans="1:14" s="804" customFormat="1" x14ac:dyDescent="0.3">
      <c r="F16" s="836" t="s">
        <v>1740</v>
      </c>
      <c r="G16" s="837">
        <f>SUM(G14:G15)/2</f>
        <v>2869271.93</v>
      </c>
      <c r="I16" s="547" t="s">
        <v>64</v>
      </c>
      <c r="J16" s="855">
        <f>SUM(J15)</f>
        <v>2869272</v>
      </c>
      <c r="L16" s="547" t="s">
        <v>64</v>
      </c>
      <c r="M16" s="835">
        <f>SUM(M15)</f>
        <v>2869272</v>
      </c>
    </row>
    <row r="17" spans="1:14" s="804" customFormat="1" x14ac:dyDescent="0.3">
      <c r="F17" s="548" t="s">
        <v>65</v>
      </c>
      <c r="G17" s="481">
        <v>0</v>
      </c>
      <c r="I17" s="548" t="s">
        <v>65</v>
      </c>
      <c r="J17" s="677">
        <v>0</v>
      </c>
      <c r="L17" s="548" t="s">
        <v>65</v>
      </c>
      <c r="M17" s="677">
        <v>0</v>
      </c>
    </row>
    <row r="18" spans="1:14" s="804" customFormat="1" x14ac:dyDescent="0.3">
      <c r="F18" s="549" t="s">
        <v>1740</v>
      </c>
      <c r="G18" s="340">
        <f>+G17+G16</f>
        <v>2869271.93</v>
      </c>
      <c r="I18" s="549" t="s">
        <v>64</v>
      </c>
      <c r="J18" s="481">
        <f>J16+J17</f>
        <v>2869272</v>
      </c>
      <c r="L18" s="549" t="s">
        <v>64</v>
      </c>
      <c r="M18" s="481">
        <f>M16+M17</f>
        <v>2869272</v>
      </c>
    </row>
    <row r="19" spans="1:14" s="804" customFormat="1" ht="18" customHeight="1" x14ac:dyDescent="0.3">
      <c r="F19" s="810"/>
      <c r="G19" s="810"/>
      <c r="I19" s="501" t="s">
        <v>1439</v>
      </c>
      <c r="J19" s="481">
        <f>ROUND(J18*0.015,0)</f>
        <v>43039</v>
      </c>
      <c r="L19" s="501" t="s">
        <v>1439</v>
      </c>
      <c r="M19" s="481">
        <f>ROUND(M18*0.015,0)</f>
        <v>43039</v>
      </c>
    </row>
    <row r="20" spans="1:14" s="804" customFormat="1" ht="27.75" customHeight="1" x14ac:dyDescent="0.3">
      <c r="F20" s="810"/>
      <c r="G20" s="810"/>
      <c r="I20" s="96" t="s">
        <v>1440</v>
      </c>
      <c r="J20" s="783">
        <f>J18+J19</f>
        <v>2912311</v>
      </c>
      <c r="K20" s="856">
        <f>J20/G16</f>
        <v>1.0149999968807417</v>
      </c>
      <c r="L20" s="96" t="s">
        <v>1440</v>
      </c>
      <c r="M20" s="425">
        <f>M18+M19</f>
        <v>2912311</v>
      </c>
      <c r="N20" s="857">
        <f>M20/G16</f>
        <v>1.0149999968807417</v>
      </c>
    </row>
    <row r="21" spans="1:14" s="804" customFormat="1" x14ac:dyDescent="0.3">
      <c r="F21" s="551" t="s">
        <v>66</v>
      </c>
      <c r="G21" s="481">
        <f>+G16*19%</f>
        <v>545161.66670000006</v>
      </c>
      <c r="I21" s="551" t="s">
        <v>66</v>
      </c>
      <c r="J21" s="672">
        <f>J20*0.19</f>
        <v>553339.09</v>
      </c>
      <c r="L21" s="551" t="s">
        <v>66</v>
      </c>
      <c r="M21" s="672">
        <f>M20*0.19</f>
        <v>553339.09</v>
      </c>
    </row>
    <row r="22" spans="1:14" s="804" customFormat="1" x14ac:dyDescent="0.3">
      <c r="F22" s="552" t="s">
        <v>69</v>
      </c>
      <c r="G22" s="481">
        <f>+G16+G21</f>
        <v>3414433.5967000001</v>
      </c>
      <c r="I22" s="552" t="s">
        <v>69</v>
      </c>
      <c r="J22" s="672">
        <f>J20+J21</f>
        <v>3465650.09</v>
      </c>
      <c r="L22" s="552" t="s">
        <v>69</v>
      </c>
      <c r="M22" s="672">
        <f>M20+M21</f>
        <v>3465650.09</v>
      </c>
    </row>
    <row r="23" spans="1:14" s="804" customFormat="1" x14ac:dyDescent="0.3"/>
    <row r="24" spans="1:14" s="804" customFormat="1" ht="38.25" customHeight="1" x14ac:dyDescent="0.3">
      <c r="A24" s="665" t="s">
        <v>67</v>
      </c>
      <c r="B24" s="184"/>
      <c r="C24" s="184"/>
      <c r="D24" s="185" t="s">
        <v>68</v>
      </c>
      <c r="I24" s="186" t="s">
        <v>70</v>
      </c>
      <c r="J24" s="187" t="s">
        <v>71</v>
      </c>
      <c r="K24" s="186" t="s">
        <v>58</v>
      </c>
    </row>
    <row r="25" spans="1:14" s="804" customFormat="1" x14ac:dyDescent="0.3">
      <c r="A25" s="665"/>
      <c r="B25" s="184"/>
      <c r="C25" s="184"/>
      <c r="D25" s="185"/>
      <c r="I25" s="69" t="s">
        <v>72</v>
      </c>
      <c r="J25" s="70">
        <f>J20</f>
        <v>2912311</v>
      </c>
      <c r="K25" s="360">
        <f>K20</f>
        <v>1.0149999968807417</v>
      </c>
    </row>
    <row r="26" spans="1:14" s="804" customFormat="1" x14ac:dyDescent="0.3">
      <c r="A26" s="665"/>
      <c r="B26" s="184"/>
      <c r="C26" s="184"/>
      <c r="D26" s="185"/>
      <c r="I26" s="72" t="s">
        <v>1</v>
      </c>
      <c r="J26" s="105">
        <f>J25</f>
        <v>2912311</v>
      </c>
      <c r="K26" s="361">
        <f>K25</f>
        <v>1.0149999968807417</v>
      </c>
    </row>
    <row r="27" spans="1:14" s="804" customFormat="1" x14ac:dyDescent="0.3">
      <c r="A27" s="665"/>
      <c r="B27" s="184"/>
      <c r="C27" s="184"/>
      <c r="D27" s="185"/>
      <c r="I27" s="72" t="s">
        <v>9</v>
      </c>
      <c r="J27" s="1423"/>
      <c r="K27" s="1424"/>
    </row>
    <row r="28" spans="1:14" s="804" customFormat="1" x14ac:dyDescent="0.3">
      <c r="A28" s="665"/>
      <c r="B28" s="184"/>
      <c r="C28" s="184"/>
      <c r="D28" s="185"/>
      <c r="I28" s="440" t="s">
        <v>78</v>
      </c>
      <c r="J28" s="1423" t="s">
        <v>852</v>
      </c>
      <c r="K28" s="1424"/>
    </row>
    <row r="29" spans="1:14" s="804" customFormat="1" x14ac:dyDescent="0.3">
      <c r="A29" s="665"/>
      <c r="B29" s="184"/>
      <c r="C29" s="184"/>
      <c r="D29" s="185"/>
      <c r="I29" s="439" t="s">
        <v>8</v>
      </c>
      <c r="J29" s="1425">
        <v>500000739787</v>
      </c>
      <c r="K29" s="1426"/>
    </row>
    <row r="30" spans="1:14" s="804" customFormat="1" x14ac:dyDescent="0.3">
      <c r="A30" s="665"/>
      <c r="B30" s="184"/>
      <c r="C30" s="184"/>
      <c r="D30" s="185" t="s">
        <v>75</v>
      </c>
    </row>
    <row r="31" spans="1:14" s="804" customFormat="1" x14ac:dyDescent="0.3">
      <c r="A31" s="665" t="s">
        <v>76</v>
      </c>
      <c r="B31" s="180"/>
      <c r="C31" s="180"/>
      <c r="D31" s="185" t="s">
        <v>77</v>
      </c>
    </row>
    <row r="32" spans="1:14" s="804" customFormat="1" ht="26.4" x14ac:dyDescent="0.3">
      <c r="A32" s="665" t="s">
        <v>79</v>
      </c>
      <c r="B32" s="180"/>
      <c r="C32" s="180"/>
      <c r="D32" s="185" t="s">
        <v>80</v>
      </c>
    </row>
  </sheetData>
  <mergeCells count="21">
    <mergeCell ref="J27:K27"/>
    <mergeCell ref="J28:K28"/>
    <mergeCell ref="J29:K29"/>
    <mergeCell ref="C1:J2"/>
    <mergeCell ref="K1:N1"/>
    <mergeCell ref="K2:N2"/>
    <mergeCell ref="A3:M3"/>
    <mergeCell ref="A4:M4"/>
    <mergeCell ref="A5:M5"/>
    <mergeCell ref="A6:M6"/>
    <mergeCell ref="A7:M7"/>
    <mergeCell ref="A8:M8"/>
    <mergeCell ref="A9:M9"/>
    <mergeCell ref="A10:M10"/>
    <mergeCell ref="B11:F11"/>
    <mergeCell ref="I11:K12"/>
    <mergeCell ref="L11:N12"/>
    <mergeCell ref="B12:F12"/>
    <mergeCell ref="A14:A15"/>
    <mergeCell ref="B14:B15"/>
    <mergeCell ref="H14:H15"/>
  </mergeCells>
  <pageMargins left="0.7" right="0.7" top="0.75" bottom="0.75" header="0.3" footer="0.3"/>
  <pageSetup scale="39" orientation="landscape" r:id="rId1"/>
  <drawing r:id="rId2"/>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2">
    <tabColor theme="1"/>
  </sheetPr>
  <dimension ref="A1:G48"/>
  <sheetViews>
    <sheetView view="pageBreakPreview" topLeftCell="A4" zoomScale="80" zoomScaleNormal="100" zoomScaleSheetLayoutView="80" workbookViewId="0">
      <selection activeCell="E23" sqref="E23:F2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624</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866"/>
      <c r="B4" s="866"/>
      <c r="C4" s="866"/>
      <c r="D4" s="866"/>
      <c r="E4" s="866"/>
      <c r="F4" s="866"/>
      <c r="G4" s="866"/>
    </row>
    <row r="5" spans="1:7" ht="42" customHeight="1" x14ac:dyDescent="0.25">
      <c r="A5" s="280" t="s">
        <v>626</v>
      </c>
      <c r="B5" s="1280" t="str">
        <f>RESUMEN!G154</f>
        <v>Proyecto: CDIM_CAOLIG_R0078 - RES. CREG 038-14 CÓDIGO DE MEDIDA.</v>
      </c>
      <c r="C5" s="1281"/>
      <c r="D5" s="1281"/>
      <c r="E5" s="1281"/>
      <c r="F5" s="1281"/>
      <c r="G5" s="1282"/>
    </row>
    <row r="6" spans="1:7" x14ac:dyDescent="0.25">
      <c r="A6" s="866"/>
      <c r="B6" s="866"/>
      <c r="C6" s="866"/>
      <c r="D6" s="866"/>
      <c r="E6" s="866"/>
      <c r="F6" s="866"/>
      <c r="G6" s="866"/>
    </row>
    <row r="7" spans="1:7" x14ac:dyDescent="0.25">
      <c r="A7" s="271" t="s">
        <v>0</v>
      </c>
      <c r="B7" s="1264" t="str">
        <f>RESUMEN!B154</f>
        <v>D00249389</v>
      </c>
      <c r="C7" s="1265"/>
      <c r="D7" s="866"/>
      <c r="E7" s="1266" t="s">
        <v>627</v>
      </c>
      <c r="F7" s="1267"/>
      <c r="G7" s="280" t="str">
        <f>RESUMEN!E154</f>
        <v>18-016</v>
      </c>
    </row>
    <row r="8" spans="1:7" x14ac:dyDescent="0.25">
      <c r="A8" s="271" t="s">
        <v>628</v>
      </c>
      <c r="B8" s="1264" t="str">
        <f>RESUMEN!C154</f>
        <v>D00249389000</v>
      </c>
      <c r="C8" s="1265"/>
      <c r="D8" s="866"/>
      <c r="E8" s="1266" t="s">
        <v>629</v>
      </c>
      <c r="F8" s="1267"/>
      <c r="G8" s="280" t="str">
        <f>RESUMEN!U154</f>
        <v>Acta N° 1: Febrero</v>
      </c>
    </row>
    <row r="9" spans="1:7" x14ac:dyDescent="0.25">
      <c r="A9" s="271" t="s">
        <v>630</v>
      </c>
      <c r="B9" s="1283" t="s">
        <v>631</v>
      </c>
      <c r="C9" s="1265"/>
      <c r="D9" s="866"/>
      <c r="E9" s="1266" t="s">
        <v>632</v>
      </c>
      <c r="F9" s="1267"/>
      <c r="G9" s="864">
        <f>RESUMEN!H154</f>
        <v>1268115</v>
      </c>
    </row>
    <row r="10" spans="1:7" x14ac:dyDescent="0.25">
      <c r="A10" s="271" t="s">
        <v>633</v>
      </c>
      <c r="B10" s="1283" t="str">
        <f>RESUMEN!D154</f>
        <v>TUNAL</v>
      </c>
      <c r="C10" s="1265"/>
      <c r="D10" s="866"/>
      <c r="E10" s="1266" t="s">
        <v>634</v>
      </c>
      <c r="F10" s="1267"/>
      <c r="G10" s="864">
        <f>RESUMEN!R154</f>
        <v>1287137</v>
      </c>
    </row>
    <row r="11" spans="1:7" x14ac:dyDescent="0.25">
      <c r="A11" s="866"/>
      <c r="B11" s="866"/>
      <c r="C11" s="866"/>
      <c r="D11" s="866"/>
      <c r="E11" s="866"/>
      <c r="F11" s="866"/>
      <c r="G11" s="866"/>
    </row>
    <row r="12" spans="1:7" ht="76.5" customHeight="1" x14ac:dyDescent="0.25">
      <c r="A12" s="1539" t="str">
        <f>CONCATENATE("A los 15 días del mes de Febrero se reunieron en las instalaciones"," de CODENSA S.A. E.S.P., los ingenieros ", RESUMEN!V154,"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y el 5 de Febrero  de 2018 para el ",RESUMEN!G154)</f>
        <v>A los 15 días del mes de Febrero se reunieron en las instalaciones de CODENSA S.A. E.S.P., los ingenieros Ing. Hernán Giraldo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Enero y el 5 de Febrero  de 2018 para el Proyecto: CDIM_CAOLIG_R0078 - RES. CREG 038-14 CÓDIGO DE MEDIDA.</v>
      </c>
      <c r="B12" s="1539"/>
      <c r="C12" s="1539"/>
      <c r="D12" s="1539"/>
      <c r="E12" s="1539"/>
      <c r="F12" s="1539"/>
      <c r="G12" s="1539"/>
    </row>
    <row r="13" spans="1:7" x14ac:dyDescent="0.25">
      <c r="A13" s="866"/>
      <c r="B13" s="866"/>
      <c r="C13" s="866"/>
      <c r="D13" s="866"/>
      <c r="E13" s="866"/>
      <c r="F13" s="866"/>
      <c r="G13" s="866"/>
    </row>
    <row r="14" spans="1:7" ht="30" customHeight="1" x14ac:dyDescent="0.25">
      <c r="A14" s="1261" t="s">
        <v>2164</v>
      </c>
      <c r="B14" s="1261"/>
      <c r="C14" s="1261"/>
      <c r="D14" s="1261"/>
      <c r="E14" s="1261"/>
      <c r="F14" s="1261"/>
      <c r="G14" s="1261"/>
    </row>
    <row r="15" spans="1:7" x14ac:dyDescent="0.25">
      <c r="A15" s="866"/>
      <c r="B15" s="866"/>
      <c r="C15" s="866"/>
      <c r="D15" s="866"/>
      <c r="E15" s="866"/>
      <c r="F15" s="866"/>
      <c r="G15" s="866"/>
    </row>
    <row r="16" spans="1:7" x14ac:dyDescent="0.25">
      <c r="A16" s="1261" t="s">
        <v>635</v>
      </c>
      <c r="B16" s="1261"/>
      <c r="C16" s="1261"/>
      <c r="D16" s="1261"/>
      <c r="E16" s="1261"/>
      <c r="F16" s="1261"/>
      <c r="G16" s="1261"/>
    </row>
    <row r="17" spans="1:7" x14ac:dyDescent="0.25">
      <c r="A17" s="866"/>
      <c r="B17" s="866"/>
      <c r="C17" s="866"/>
      <c r="D17" s="866"/>
      <c r="E17" s="866"/>
      <c r="F17" s="866"/>
      <c r="G17" s="866"/>
    </row>
    <row r="18" spans="1:7" x14ac:dyDescent="0.25">
      <c r="A18" s="866"/>
      <c r="B18" s="1262" t="s">
        <v>636</v>
      </c>
      <c r="C18" s="1262"/>
      <c r="D18" s="1262"/>
      <c r="E18" s="1262" t="s">
        <v>31</v>
      </c>
      <c r="F18" s="1262"/>
      <c r="G18" s="866"/>
    </row>
    <row r="19" spans="1:7" x14ac:dyDescent="0.25">
      <c r="A19" s="866"/>
      <c r="B19" s="1263" t="s">
        <v>637</v>
      </c>
      <c r="C19" s="1263"/>
      <c r="D19" s="1263"/>
      <c r="E19" s="1538">
        <f>RESUMEN!N154</f>
        <v>1268115</v>
      </c>
      <c r="F19" s="1248"/>
      <c r="G19" s="866"/>
    </row>
    <row r="20" spans="1:7" ht="27" customHeight="1" x14ac:dyDescent="0.25">
      <c r="A20" s="866"/>
      <c r="B20" s="1244" t="s">
        <v>1498</v>
      </c>
      <c r="C20" s="1245"/>
      <c r="D20" s="1246"/>
      <c r="E20" s="1538">
        <f>RESUMEN!P154</f>
        <v>0</v>
      </c>
      <c r="F20" s="1248"/>
      <c r="G20" s="866"/>
    </row>
    <row r="21" spans="1:7" ht="27" customHeight="1" x14ac:dyDescent="0.25">
      <c r="A21" s="866"/>
      <c r="B21" s="1244" t="s">
        <v>1499</v>
      </c>
      <c r="C21" s="1245"/>
      <c r="D21" s="1246"/>
      <c r="E21" s="1538">
        <f>RESUMEN!Q154</f>
        <v>19022</v>
      </c>
      <c r="F21" s="1248"/>
      <c r="G21" s="866"/>
    </row>
    <row r="22" spans="1:7" x14ac:dyDescent="0.25">
      <c r="A22" s="866"/>
      <c r="B22" s="1254" t="s">
        <v>64</v>
      </c>
      <c r="C22" s="1254"/>
      <c r="D22" s="1254"/>
      <c r="E22" s="1255">
        <f>RESUMEN!R154</f>
        <v>1287137</v>
      </c>
      <c r="F22" s="1255"/>
      <c r="G22" s="866"/>
    </row>
    <row r="23" spans="1:7" x14ac:dyDescent="0.25">
      <c r="A23" s="866"/>
      <c r="B23" s="1256" t="s">
        <v>66</v>
      </c>
      <c r="C23" s="1256"/>
      <c r="D23" s="1256"/>
      <c r="E23" s="1257">
        <f>RESUMEN!S154</f>
        <v>244556.03</v>
      </c>
      <c r="F23" s="1257"/>
      <c r="G23" s="866"/>
    </row>
    <row r="24" spans="1:7" x14ac:dyDescent="0.25">
      <c r="A24" s="866"/>
      <c r="B24" s="1258" t="s">
        <v>1</v>
      </c>
      <c r="C24" s="1258"/>
      <c r="D24" s="1258"/>
      <c r="E24" s="1259">
        <f>RESUMEN!T154</f>
        <v>1509056.85</v>
      </c>
      <c r="F24" s="1259"/>
      <c r="G24" s="866"/>
    </row>
    <row r="25" spans="1:7" x14ac:dyDescent="0.25">
      <c r="A25" s="866"/>
      <c r="B25" s="866"/>
      <c r="C25" s="866"/>
      <c r="D25" s="866"/>
      <c r="E25" s="866"/>
      <c r="F25" s="866"/>
      <c r="G25" s="866"/>
    </row>
    <row r="26" spans="1:7" x14ac:dyDescent="0.25">
      <c r="A26" s="260" t="s">
        <v>638</v>
      </c>
      <c r="B26" s="260"/>
      <c r="C26" s="866"/>
      <c r="D26" s="866"/>
      <c r="E26" s="866"/>
      <c r="F26" s="866"/>
      <c r="G26" s="866"/>
    </row>
    <row r="27" spans="1:7" x14ac:dyDescent="0.25">
      <c r="A27" s="866"/>
      <c r="B27" s="865" t="s">
        <v>639</v>
      </c>
      <c r="C27" s="1260" t="s">
        <v>640</v>
      </c>
      <c r="D27" s="1260"/>
      <c r="E27" s="865" t="s">
        <v>641</v>
      </c>
      <c r="F27" s="866"/>
      <c r="G27" s="866"/>
    </row>
    <row r="28" spans="1:7" x14ac:dyDescent="0.25">
      <c r="A28" s="866"/>
      <c r="B28" s="280" t="str">
        <f>'OT18-018 TUNAL'!I25</f>
        <v>ACTA 1</v>
      </c>
      <c r="C28" s="1253">
        <f>+'OT18-018 TUNAL'!J25</f>
        <v>770556</v>
      </c>
      <c r="D28" s="1253"/>
      <c r="E28" s="622">
        <f>'OT18-018 TUNAL'!K25</f>
        <v>1.0150006322711178</v>
      </c>
      <c r="F28" s="866"/>
      <c r="G28" s="866"/>
    </row>
    <row r="29" spans="1:7" x14ac:dyDescent="0.25">
      <c r="A29" s="866"/>
      <c r="B29" s="280"/>
      <c r="C29" s="1253"/>
      <c r="D29" s="1253"/>
      <c r="E29" s="622"/>
      <c r="F29" s="866"/>
      <c r="G29" s="866"/>
    </row>
    <row r="30" spans="1:7" x14ac:dyDescent="0.25">
      <c r="A30" s="866"/>
      <c r="B30" s="280"/>
      <c r="C30" s="1253"/>
      <c r="D30" s="1253"/>
      <c r="E30" s="267"/>
      <c r="F30" s="866"/>
      <c r="G30" s="866"/>
    </row>
    <row r="31" spans="1:7" x14ac:dyDescent="0.25">
      <c r="A31" s="866"/>
      <c r="B31" s="280"/>
      <c r="C31" s="1253"/>
      <c r="D31" s="1253"/>
      <c r="E31" s="267"/>
      <c r="F31" s="866"/>
      <c r="G31" s="866"/>
    </row>
    <row r="32" spans="1:7" x14ac:dyDescent="0.25">
      <c r="A32" s="866"/>
      <c r="B32" s="280"/>
      <c r="C32" s="1253"/>
      <c r="D32" s="1253"/>
      <c r="E32" s="267"/>
      <c r="F32" s="866"/>
      <c r="G32" s="866"/>
    </row>
    <row r="33" spans="1:7" x14ac:dyDescent="0.25">
      <c r="A33" s="866"/>
      <c r="B33" s="263" t="s">
        <v>1</v>
      </c>
      <c r="C33" s="1251">
        <f>SUM(C28:D32)</f>
        <v>770556</v>
      </c>
      <c r="D33" s="1251"/>
      <c r="E33" s="623">
        <f>SUM(E28:E32)</f>
        <v>1.0150006322711178</v>
      </c>
      <c r="F33" s="866"/>
      <c r="G33" s="866"/>
    </row>
    <row r="34" spans="1:7" x14ac:dyDescent="0.25">
      <c r="A34" s="866"/>
      <c r="B34" s="866"/>
      <c r="C34" s="866"/>
      <c r="D34" s="866"/>
      <c r="E34" s="866"/>
      <c r="F34" s="866"/>
      <c r="G34" s="260"/>
    </row>
    <row r="35" spans="1:7" x14ac:dyDescent="0.25">
      <c r="A35" s="1252" t="s">
        <v>2165</v>
      </c>
      <c r="B35" s="1252"/>
      <c r="C35" s="1252"/>
      <c r="D35" s="1252"/>
      <c r="E35" s="1252"/>
      <c r="F35" s="1252"/>
      <c r="G35" s="1252"/>
    </row>
    <row r="36" spans="1:7" x14ac:dyDescent="0.25">
      <c r="A36" s="866"/>
      <c r="B36" s="866"/>
      <c r="C36" s="866"/>
      <c r="D36" s="866"/>
      <c r="E36" s="866"/>
      <c r="F36" s="866"/>
      <c r="G36" s="866"/>
    </row>
    <row r="37" spans="1:7" x14ac:dyDescent="0.25">
      <c r="A37" s="866"/>
      <c r="B37" s="866"/>
      <c r="C37" s="866"/>
      <c r="D37" s="866"/>
      <c r="E37" s="866"/>
      <c r="F37" s="866"/>
      <c r="G37" s="866"/>
    </row>
    <row r="38" spans="1:7" x14ac:dyDescent="0.25">
      <c r="A38" s="266"/>
      <c r="B38" s="266"/>
      <c r="C38" s="266"/>
      <c r="D38" s="866"/>
      <c r="E38" s="266"/>
      <c r="F38" s="266"/>
      <c r="G38" s="266"/>
    </row>
    <row r="39" spans="1:7" x14ac:dyDescent="0.25">
      <c r="A39" s="1250" t="str">
        <f>RESUMEN!V154</f>
        <v>Ing. Hernán Giraldo</v>
      </c>
      <c r="B39" s="1250"/>
      <c r="C39" s="1250"/>
      <c r="D39" s="866"/>
      <c r="E39" s="1250" t="s">
        <v>642</v>
      </c>
      <c r="F39" s="1250"/>
      <c r="G39" s="1250"/>
    </row>
    <row r="40" spans="1:7" x14ac:dyDescent="0.25">
      <c r="A40" s="1249" t="s">
        <v>643</v>
      </c>
      <c r="B40" s="1249"/>
      <c r="C40" s="1249"/>
      <c r="D40" s="866"/>
      <c r="E40" s="1249" t="s">
        <v>644</v>
      </c>
      <c r="F40" s="1249"/>
      <c r="G40" s="1249"/>
    </row>
    <row r="41" spans="1:7" x14ac:dyDescent="0.25">
      <c r="A41" s="1249" t="s">
        <v>645</v>
      </c>
      <c r="B41" s="1249"/>
      <c r="C41" s="1249"/>
      <c r="D41" s="866"/>
      <c r="E41" s="1249" t="s">
        <v>645</v>
      </c>
      <c r="F41" s="1249"/>
      <c r="G41" s="1249"/>
    </row>
    <row r="42" spans="1:7" x14ac:dyDescent="0.25">
      <c r="A42" s="866"/>
      <c r="B42" s="866"/>
      <c r="C42" s="866"/>
      <c r="D42" s="866"/>
      <c r="E42" s="866"/>
      <c r="F42" s="866"/>
      <c r="G42" s="866"/>
    </row>
    <row r="43" spans="1:7" x14ac:dyDescent="0.25">
      <c r="A43" s="866"/>
      <c r="B43" s="866"/>
      <c r="C43" s="866"/>
      <c r="D43" s="866"/>
      <c r="E43" s="866"/>
      <c r="F43" s="866"/>
      <c r="G43" s="866"/>
    </row>
    <row r="44" spans="1:7" x14ac:dyDescent="0.25">
      <c r="A44" s="866"/>
      <c r="B44" s="866"/>
      <c r="C44" s="866"/>
      <c r="D44" s="866"/>
      <c r="E44" s="866"/>
      <c r="F44" s="866"/>
      <c r="G44" s="866"/>
    </row>
    <row r="45" spans="1:7" x14ac:dyDescent="0.25">
      <c r="A45" s="266"/>
      <c r="B45" s="266"/>
      <c r="C45" s="266"/>
      <c r="D45" s="866"/>
      <c r="E45" s="266"/>
      <c r="F45" s="266"/>
      <c r="G45" s="266"/>
    </row>
    <row r="46" spans="1:7" x14ac:dyDescent="0.25">
      <c r="A46" s="1250" t="s">
        <v>646</v>
      </c>
      <c r="B46" s="1250"/>
      <c r="C46" s="1250"/>
      <c r="D46" s="866"/>
      <c r="E46" s="1250" t="s">
        <v>647</v>
      </c>
      <c r="F46" s="1250"/>
      <c r="G46" s="1250"/>
    </row>
    <row r="47" spans="1:7" x14ac:dyDescent="0.25">
      <c r="A47" s="1249" t="s">
        <v>648</v>
      </c>
      <c r="B47" s="1249"/>
      <c r="C47" s="1249"/>
      <c r="D47" s="866"/>
      <c r="E47" s="1249" t="s">
        <v>763</v>
      </c>
      <c r="F47" s="1249"/>
      <c r="G47" s="1249"/>
    </row>
    <row r="48" spans="1:7" x14ac:dyDescent="0.25">
      <c r="A48" s="1249" t="s">
        <v>645</v>
      </c>
      <c r="B48" s="1249"/>
      <c r="C48" s="1249"/>
      <c r="D48" s="866"/>
      <c r="E48" s="1249" t="s">
        <v>764</v>
      </c>
      <c r="F48" s="1249"/>
      <c r="G48" s="1249"/>
    </row>
  </sheetData>
  <mergeCells count="48">
    <mergeCell ref="A47:C47"/>
    <mergeCell ref="E47:G47"/>
    <mergeCell ref="A48:C48"/>
    <mergeCell ref="E48:G48"/>
    <mergeCell ref="A40:C40"/>
    <mergeCell ref="E40:G40"/>
    <mergeCell ref="A41:C41"/>
    <mergeCell ref="E41:G41"/>
    <mergeCell ref="A46:C46"/>
    <mergeCell ref="E46:G46"/>
    <mergeCell ref="C31:D31"/>
    <mergeCell ref="C32:D32"/>
    <mergeCell ref="C33:D33"/>
    <mergeCell ref="A35:G35"/>
    <mergeCell ref="A39:C39"/>
    <mergeCell ref="E39:G39"/>
    <mergeCell ref="C30:D30"/>
    <mergeCell ref="B21:D21"/>
    <mergeCell ref="E21:F21"/>
    <mergeCell ref="B22:D22"/>
    <mergeCell ref="E22:F22"/>
    <mergeCell ref="B23:D23"/>
    <mergeCell ref="E23:F23"/>
    <mergeCell ref="B24:D24"/>
    <mergeCell ref="E24:F24"/>
    <mergeCell ref="C27:D27"/>
    <mergeCell ref="C28:D28"/>
    <mergeCell ref="C29:D29"/>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4" orientation="portrait" r:id="rId1"/>
  <drawing r:id="rId2"/>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3">
    <tabColor rgb="FF72104A"/>
  </sheetPr>
  <dimension ref="A1:N32"/>
  <sheetViews>
    <sheetView view="pageBreakPreview" topLeftCell="B1" zoomScale="60" zoomScaleNormal="55" workbookViewId="0">
      <selection activeCell="E14" sqref="E14"/>
    </sheetView>
  </sheetViews>
  <sheetFormatPr baseColWidth="10" defaultColWidth="9.109375" defaultRowHeight="14.4" x14ac:dyDescent="0.3"/>
  <cols>
    <col min="1" max="1" width="15.109375" style="795" customWidth="1"/>
    <col min="2" max="2" width="25.109375" style="795" customWidth="1"/>
    <col min="3" max="3" width="48.6640625" style="795" customWidth="1"/>
    <col min="4" max="4" width="22.33203125" style="795" bestFit="1" customWidth="1"/>
    <col min="5" max="5" width="13" style="795" customWidth="1"/>
    <col min="6" max="6" width="11.33203125" style="795" customWidth="1"/>
    <col min="7" max="7" width="15.6640625" style="795" customWidth="1"/>
    <col min="8" max="8" width="40.33203125" style="795" customWidth="1"/>
    <col min="9" max="9" width="23.6640625" style="795" customWidth="1"/>
    <col min="10" max="10" width="18.33203125" style="795" customWidth="1"/>
    <col min="11" max="11" width="9.109375" style="795"/>
    <col min="12" max="12" width="22.44140625" style="795" customWidth="1"/>
    <col min="13" max="13" width="13.33203125" style="795" customWidth="1"/>
    <col min="14" max="16384" width="9.109375" style="795"/>
  </cols>
  <sheetData>
    <row r="1" spans="1:14" s="804" customFormat="1" ht="30.75" customHeight="1" x14ac:dyDescent="0.3">
      <c r="A1" s="169"/>
      <c r="B1" s="188"/>
      <c r="C1" s="1307" t="s">
        <v>40</v>
      </c>
      <c r="D1" s="1308"/>
      <c r="E1" s="1308"/>
      <c r="F1" s="1308"/>
      <c r="G1" s="1308"/>
      <c r="H1" s="1308"/>
      <c r="I1" s="1308"/>
      <c r="J1" s="1308"/>
      <c r="K1" s="1532" t="s">
        <v>2152</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2151</v>
      </c>
      <c r="B7" s="1292"/>
      <c r="C7" s="1292"/>
      <c r="D7" s="1292"/>
      <c r="E7" s="1292"/>
      <c r="F7" s="1292"/>
      <c r="G7" s="1292"/>
      <c r="H7" s="1292"/>
      <c r="I7" s="1292"/>
      <c r="J7" s="1292"/>
      <c r="K7" s="1292"/>
      <c r="L7" s="1292"/>
      <c r="M7" s="1292"/>
      <c r="N7" s="831"/>
    </row>
    <row r="8" spans="1:14" s="804" customFormat="1" x14ac:dyDescent="0.3">
      <c r="A8" s="1292" t="s">
        <v>2103</v>
      </c>
      <c r="B8" s="1292"/>
      <c r="C8" s="1292"/>
      <c r="D8" s="1292"/>
      <c r="E8" s="1292"/>
      <c r="F8" s="1292"/>
      <c r="G8" s="1292"/>
      <c r="H8" s="1292"/>
      <c r="I8" s="1292"/>
      <c r="J8" s="1292"/>
      <c r="K8" s="1292"/>
      <c r="L8" s="1292"/>
      <c r="M8" s="1292"/>
      <c r="N8" s="831"/>
    </row>
    <row r="9" spans="1:14" s="804" customFormat="1" x14ac:dyDescent="0.3">
      <c r="A9" s="1292" t="s">
        <v>2087</v>
      </c>
      <c r="B9" s="1292"/>
      <c r="C9" s="1292"/>
      <c r="D9" s="1292"/>
      <c r="E9" s="1292"/>
      <c r="F9" s="1292"/>
      <c r="G9" s="1292"/>
      <c r="H9" s="1292"/>
      <c r="I9" s="1292"/>
      <c r="J9" s="1292"/>
      <c r="K9" s="1292"/>
      <c r="L9" s="1292"/>
      <c r="M9" s="1292"/>
      <c r="N9" s="831"/>
    </row>
    <row r="10" spans="1:14" s="804" customFormat="1" x14ac:dyDescent="0.3">
      <c r="A10" s="1292" t="s">
        <v>2150</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H11" s="831"/>
      <c r="I11" s="1470" t="s">
        <v>1982</v>
      </c>
      <c r="J11" s="1471"/>
      <c r="K11" s="1472"/>
      <c r="L11" s="1299" t="s">
        <v>49</v>
      </c>
      <c r="M11" s="1299"/>
      <c r="N11" s="1299"/>
    </row>
    <row r="12" spans="1:14" s="804" customFormat="1"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74.25" customHeight="1" x14ac:dyDescent="0.3">
      <c r="A14" s="1289" t="s">
        <v>1208</v>
      </c>
      <c r="B14" s="1289" t="s">
        <v>1209</v>
      </c>
      <c r="C14" s="803" t="s">
        <v>1210</v>
      </c>
      <c r="D14" s="803" t="s">
        <v>1211</v>
      </c>
      <c r="E14" s="803">
        <v>9</v>
      </c>
      <c r="F14" s="32">
        <v>84352</v>
      </c>
      <c r="G14" s="32">
        <f>ROUND((E14*F14),0)</f>
        <v>759168</v>
      </c>
      <c r="H14" s="1290" t="s">
        <v>2076</v>
      </c>
      <c r="I14" s="537">
        <v>9</v>
      </c>
      <c r="J14" s="752">
        <f>ROUND(I14*F14,0)</f>
        <v>759168</v>
      </c>
      <c r="K14" s="753">
        <f>J14/G14</f>
        <v>1</v>
      </c>
      <c r="L14" s="799">
        <f>I14</f>
        <v>9</v>
      </c>
      <c r="M14" s="685">
        <f>J14</f>
        <v>759168</v>
      </c>
      <c r="N14" s="684">
        <f t="shared" ref="N14" si="0">+M14/G14</f>
        <v>1</v>
      </c>
    </row>
    <row r="15" spans="1:14" x14ac:dyDescent="0.3">
      <c r="A15" s="1289"/>
      <c r="B15" s="1289"/>
      <c r="C15" s="39"/>
      <c r="D15" s="39" t="s">
        <v>1212</v>
      </c>
      <c r="E15" s="41"/>
      <c r="F15" s="41"/>
      <c r="G15" s="42">
        <f>G14</f>
        <v>759168</v>
      </c>
      <c r="H15" s="1289"/>
      <c r="I15" s="40"/>
      <c r="J15" s="683">
        <f>SUM(J13:J14)</f>
        <v>759168</v>
      </c>
      <c r="K15" s="519">
        <f>J15/G15</f>
        <v>1</v>
      </c>
      <c r="L15" s="40"/>
      <c r="M15" s="683">
        <f>SUM(M14:M14)</f>
        <v>759168</v>
      </c>
      <c r="N15" s="519">
        <f>M15/G15</f>
        <v>1</v>
      </c>
    </row>
    <row r="16" spans="1:14" s="804" customFormat="1" x14ac:dyDescent="0.3">
      <c r="F16" s="836" t="s">
        <v>1740</v>
      </c>
      <c r="G16" s="837">
        <f>SUM(G14:G15)/2</f>
        <v>759168</v>
      </c>
      <c r="I16" s="547" t="s">
        <v>64</v>
      </c>
      <c r="J16" s="855">
        <f>SUM(J15)</f>
        <v>759168</v>
      </c>
      <c r="L16" s="547" t="s">
        <v>64</v>
      </c>
      <c r="M16" s="835">
        <f>SUM(M15)</f>
        <v>759168</v>
      </c>
    </row>
    <row r="17" spans="1:14" s="804" customFormat="1" ht="26.4" x14ac:dyDescent="0.3">
      <c r="F17" s="548" t="s">
        <v>65</v>
      </c>
      <c r="G17" s="481">
        <v>0</v>
      </c>
      <c r="I17" s="548" t="s">
        <v>65</v>
      </c>
      <c r="J17" s="677">
        <v>0</v>
      </c>
      <c r="L17" s="548" t="s">
        <v>65</v>
      </c>
      <c r="M17" s="677">
        <v>0</v>
      </c>
    </row>
    <row r="18" spans="1:14" s="804" customFormat="1" x14ac:dyDescent="0.3">
      <c r="F18" s="549" t="s">
        <v>1740</v>
      </c>
      <c r="G18" s="340">
        <f>+G17+G16</f>
        <v>759168</v>
      </c>
      <c r="I18" s="549" t="s">
        <v>64</v>
      </c>
      <c r="J18" s="481">
        <f>J16+J17</f>
        <v>759168</v>
      </c>
      <c r="L18" s="549" t="s">
        <v>64</v>
      </c>
      <c r="M18" s="481">
        <f>M16+M17</f>
        <v>759168</v>
      </c>
    </row>
    <row r="19" spans="1:14" s="804" customFormat="1" ht="18" customHeight="1" x14ac:dyDescent="0.3">
      <c r="F19" s="810"/>
      <c r="G19" s="810"/>
      <c r="I19" s="501" t="s">
        <v>1439</v>
      </c>
      <c r="J19" s="481">
        <f>ROUND(J18*0.015,0)</f>
        <v>11388</v>
      </c>
      <c r="L19" s="501" t="s">
        <v>1439</v>
      </c>
      <c r="M19" s="481">
        <f>ROUND(M18*0.015,0)</f>
        <v>11388</v>
      </c>
    </row>
    <row r="20" spans="1:14" s="804" customFormat="1" ht="27.75" customHeight="1" x14ac:dyDescent="0.3">
      <c r="F20" s="810"/>
      <c r="G20" s="810"/>
      <c r="I20" s="96" t="s">
        <v>1440</v>
      </c>
      <c r="J20" s="783">
        <f>J18+J19</f>
        <v>770556</v>
      </c>
      <c r="K20" s="856">
        <f>J20/G16</f>
        <v>1.0150006322711178</v>
      </c>
      <c r="L20" s="96" t="s">
        <v>1440</v>
      </c>
      <c r="M20" s="425">
        <f>M18+M19</f>
        <v>770556</v>
      </c>
      <c r="N20" s="857">
        <f>M20/G16</f>
        <v>1.0150006322711178</v>
      </c>
    </row>
    <row r="21" spans="1:14" s="804" customFormat="1" x14ac:dyDescent="0.3">
      <c r="F21" s="551" t="s">
        <v>66</v>
      </c>
      <c r="G21" s="481">
        <f>+G16*19%</f>
        <v>144241.92000000001</v>
      </c>
      <c r="I21" s="551" t="s">
        <v>66</v>
      </c>
      <c r="J21" s="672">
        <f>J20*0.19</f>
        <v>146405.64000000001</v>
      </c>
      <c r="L21" s="551" t="s">
        <v>66</v>
      </c>
      <c r="M21" s="672">
        <f>M20*0.19</f>
        <v>146405.64000000001</v>
      </c>
    </row>
    <row r="22" spans="1:14" s="804" customFormat="1" x14ac:dyDescent="0.3">
      <c r="F22" s="552" t="s">
        <v>69</v>
      </c>
      <c r="G22" s="481">
        <f>+G16+G21</f>
        <v>903409.92</v>
      </c>
      <c r="I22" s="552" t="s">
        <v>69</v>
      </c>
      <c r="J22" s="672">
        <f>J20+J21</f>
        <v>916961.64</v>
      </c>
      <c r="L22" s="552" t="s">
        <v>69</v>
      </c>
      <c r="M22" s="672">
        <f>M20+M21</f>
        <v>916961.64</v>
      </c>
    </row>
    <row r="23" spans="1:14" s="804" customFormat="1" x14ac:dyDescent="0.3"/>
    <row r="24" spans="1:14" s="804" customFormat="1" ht="38.25" customHeight="1" x14ac:dyDescent="0.3">
      <c r="A24" s="665" t="s">
        <v>67</v>
      </c>
      <c r="B24" s="184"/>
      <c r="C24" s="184"/>
      <c r="D24" s="185" t="s">
        <v>68</v>
      </c>
      <c r="I24" s="186" t="s">
        <v>70</v>
      </c>
      <c r="J24" s="187" t="s">
        <v>71</v>
      </c>
      <c r="K24" s="186" t="s">
        <v>58</v>
      </c>
    </row>
    <row r="25" spans="1:14" s="804" customFormat="1" x14ac:dyDescent="0.3">
      <c r="A25" s="665"/>
      <c r="B25" s="184"/>
      <c r="C25" s="184"/>
      <c r="D25" s="185"/>
      <c r="I25" s="69" t="s">
        <v>72</v>
      </c>
      <c r="J25" s="70">
        <f>J20</f>
        <v>770556</v>
      </c>
      <c r="K25" s="360">
        <f>K20</f>
        <v>1.0150006322711178</v>
      </c>
    </row>
    <row r="26" spans="1:14" s="804" customFormat="1" x14ac:dyDescent="0.3">
      <c r="A26" s="665"/>
      <c r="B26" s="184"/>
      <c r="C26" s="184"/>
      <c r="D26" s="185"/>
      <c r="I26" s="72" t="s">
        <v>1</v>
      </c>
      <c r="J26" s="105">
        <f>J25</f>
        <v>770556</v>
      </c>
      <c r="K26" s="361">
        <f>K25</f>
        <v>1.0150006322711178</v>
      </c>
    </row>
    <row r="27" spans="1:14" s="804" customFormat="1" x14ac:dyDescent="0.3">
      <c r="A27" s="665"/>
      <c r="B27" s="184"/>
      <c r="C27" s="184"/>
      <c r="D27" s="185"/>
      <c r="I27" s="72" t="s">
        <v>9</v>
      </c>
      <c r="J27" s="1423"/>
      <c r="K27" s="1424"/>
    </row>
    <row r="28" spans="1:14" s="804" customFormat="1" x14ac:dyDescent="0.3">
      <c r="A28" s="665"/>
      <c r="B28" s="184"/>
      <c r="C28" s="980">
        <f>+'OT18-018 TUNAL'!J25</f>
        <v>770556</v>
      </c>
      <c r="D28" s="185"/>
      <c r="I28" s="440" t="s">
        <v>78</v>
      </c>
      <c r="J28" s="1423" t="s">
        <v>2077</v>
      </c>
      <c r="K28" s="1424"/>
    </row>
    <row r="29" spans="1:14" s="804" customFormat="1" x14ac:dyDescent="0.3">
      <c r="A29" s="665"/>
      <c r="B29" s="184"/>
      <c r="C29" s="184"/>
      <c r="D29" s="185"/>
      <c r="I29" s="439" t="s">
        <v>8</v>
      </c>
      <c r="J29" s="1425"/>
      <c r="K29" s="1426"/>
    </row>
    <row r="30" spans="1:14" s="804" customFormat="1" x14ac:dyDescent="0.3">
      <c r="A30" s="665"/>
      <c r="B30" s="184"/>
      <c r="C30" s="184"/>
      <c r="D30" s="185" t="s">
        <v>75</v>
      </c>
    </row>
    <row r="31" spans="1:14" s="804" customFormat="1" x14ac:dyDescent="0.3">
      <c r="A31" s="665" t="s">
        <v>76</v>
      </c>
      <c r="B31" s="180"/>
      <c r="C31" s="180"/>
      <c r="D31" s="185" t="s">
        <v>77</v>
      </c>
    </row>
    <row r="32" spans="1:14" s="804" customFormat="1" ht="26.4" x14ac:dyDescent="0.3">
      <c r="A32" s="665" t="s">
        <v>79</v>
      </c>
      <c r="B32" s="180"/>
      <c r="C32" s="180"/>
      <c r="D32" s="185" t="s">
        <v>80</v>
      </c>
    </row>
  </sheetData>
  <sheetProtection formatCells="0" formatColumns="0" formatRows="0" insertColumns="0" insertRows="0" insertHyperlinks="0" deleteColumns="0" deleteRows="0" sort="0" autoFilter="0" pivotTables="0"/>
  <mergeCells count="21">
    <mergeCell ref="J27:K27"/>
    <mergeCell ref="J28:K28"/>
    <mergeCell ref="J29:K29"/>
    <mergeCell ref="C1:J2"/>
    <mergeCell ref="K1:N1"/>
    <mergeCell ref="K2:N2"/>
    <mergeCell ref="A3:M3"/>
    <mergeCell ref="A4:M4"/>
    <mergeCell ref="A5:M5"/>
    <mergeCell ref="A6:M6"/>
    <mergeCell ref="A7:M7"/>
    <mergeCell ref="A8:M8"/>
    <mergeCell ref="A9:M9"/>
    <mergeCell ref="A10:M10"/>
    <mergeCell ref="B11:F11"/>
    <mergeCell ref="I11:K12"/>
    <mergeCell ref="L11:N12"/>
    <mergeCell ref="B12:F12"/>
    <mergeCell ref="A14:A15"/>
    <mergeCell ref="B14:B15"/>
    <mergeCell ref="H14:H15"/>
  </mergeCells>
  <pageMargins left="0.7" right="0.7" top="0.75" bottom="0.75" header="0.3" footer="0.3"/>
  <pageSetup scale="42" orientation="landscape" r:id="rId1"/>
  <drawing r:id="rId2"/>
  <legacyDrawingHF r:id="rId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6"/>
  <dimension ref="A1:G49"/>
  <sheetViews>
    <sheetView topLeftCell="A7" workbookViewId="0">
      <selection activeCell="H32" sqref="H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RESUMEN!G157</f>
        <v>Proyecto: CDIM_CBSGSM_R0160 - NORMALIZACIÓN Y REPOSICIÓN SE SAN CARLOS NORMALIZACIÓN Y REPOSICIÓN SE SAN CARLOS</v>
      </c>
      <c r="C5" s="1281"/>
      <c r="D5" s="1281"/>
      <c r="E5" s="1281"/>
      <c r="F5" s="1281"/>
      <c r="G5" s="1282"/>
    </row>
    <row r="6" spans="1:7" x14ac:dyDescent="0.25">
      <c r="A6" s="1177"/>
      <c r="B6" s="1177"/>
      <c r="C6" s="1177"/>
      <c r="D6" s="1177"/>
      <c r="E6" s="1177"/>
      <c r="F6" s="1177"/>
      <c r="G6" s="1177"/>
    </row>
    <row r="7" spans="1:7" x14ac:dyDescent="0.25">
      <c r="A7" s="271" t="s">
        <v>0</v>
      </c>
      <c r="B7" s="1264" t="str">
        <f>RESUMEN!B157</f>
        <v>D00249507</v>
      </c>
      <c r="C7" s="1265"/>
      <c r="D7" s="1177"/>
      <c r="E7" s="1266" t="s">
        <v>627</v>
      </c>
      <c r="F7" s="1267"/>
      <c r="G7" s="280" t="str">
        <f>RESUMEN!E157</f>
        <v>18-019</v>
      </c>
    </row>
    <row r="8" spans="1:7" x14ac:dyDescent="0.25">
      <c r="A8" s="271" t="s">
        <v>628</v>
      </c>
      <c r="B8" s="1264" t="str">
        <f>RESUMEN!C157</f>
        <v>D00249507000</v>
      </c>
      <c r="C8" s="1265"/>
      <c r="D8" s="1177"/>
      <c r="E8" s="1266" t="s">
        <v>629</v>
      </c>
      <c r="F8" s="1267"/>
      <c r="G8" s="280" t="str">
        <f>RESUMEN!U157</f>
        <v>Acta N° 1: Marzo</v>
      </c>
    </row>
    <row r="9" spans="1:7" x14ac:dyDescent="0.25">
      <c r="A9" s="271" t="s">
        <v>630</v>
      </c>
      <c r="B9" s="1283" t="s">
        <v>631</v>
      </c>
      <c r="C9" s="1265"/>
      <c r="D9" s="1177"/>
      <c r="E9" s="1266" t="s">
        <v>632</v>
      </c>
      <c r="F9" s="1267"/>
      <c r="G9" s="1178">
        <f>RESUMEN!H157</f>
        <v>258930</v>
      </c>
    </row>
    <row r="10" spans="1:7" x14ac:dyDescent="0.25">
      <c r="A10" s="271" t="s">
        <v>633</v>
      </c>
      <c r="B10" s="1283" t="str">
        <f>RESUMEN!D157</f>
        <v xml:space="preserve">SAN CARLOS AS BUILT  </v>
      </c>
      <c r="C10" s="1265"/>
      <c r="D10" s="1177"/>
      <c r="E10" s="1266" t="s">
        <v>634</v>
      </c>
      <c r="F10" s="1267"/>
      <c r="G10" s="1178">
        <f>RESUMEN!R157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CDIM_CBSGSM_R0160 - NORMALIZACIÓN Y REPOSICIÓN SE SAN CARLOS NORMALIZACIÓN Y REPOSICIÓN SE SAN CARLOS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RESUMEN!N157</f>
        <v>0</v>
      </c>
      <c r="F19" s="1248"/>
      <c r="G19" s="1177"/>
    </row>
    <row r="20" spans="1:7" ht="27" customHeight="1" x14ac:dyDescent="0.25">
      <c r="A20" s="1177"/>
      <c r="B20" s="1244" t="s">
        <v>1498</v>
      </c>
      <c r="C20" s="1245"/>
      <c r="D20" s="1246"/>
      <c r="E20" s="1247">
        <f>RESUMEN!P157</f>
        <v>0</v>
      </c>
      <c r="F20" s="1248"/>
      <c r="G20" s="1177"/>
    </row>
    <row r="21" spans="1:7" ht="27" customHeight="1" x14ac:dyDescent="0.25">
      <c r="A21" s="1177"/>
      <c r="B21" s="1244" t="s">
        <v>1499</v>
      </c>
      <c r="C21" s="1245"/>
      <c r="D21" s="1246"/>
      <c r="E21" s="1247">
        <f>RESUMEN!Q157</f>
        <v>0</v>
      </c>
      <c r="F21" s="1248"/>
      <c r="G21" s="1177"/>
    </row>
    <row r="22" spans="1:7" x14ac:dyDescent="0.25">
      <c r="A22" s="1177"/>
      <c r="B22" s="1254" t="s">
        <v>64</v>
      </c>
      <c r="C22" s="1254"/>
      <c r="D22" s="1254"/>
      <c r="E22" s="1255">
        <f>RESUMEN!R157</f>
        <v>0</v>
      </c>
      <c r="F22" s="1255"/>
      <c r="G22" s="1177"/>
    </row>
    <row r="23" spans="1:7" x14ac:dyDescent="0.25">
      <c r="A23" s="1177"/>
      <c r="B23" s="1256" t="s">
        <v>66</v>
      </c>
      <c r="C23" s="1256"/>
      <c r="D23" s="1256"/>
      <c r="E23" s="1257">
        <f>RESUMEN!S157</f>
        <v>0</v>
      </c>
      <c r="F23" s="1257"/>
      <c r="G23" s="1177"/>
    </row>
    <row r="24" spans="1:7" x14ac:dyDescent="0.25">
      <c r="A24" s="1177"/>
      <c r="B24" s="1258" t="s">
        <v>1</v>
      </c>
      <c r="C24" s="1258"/>
      <c r="D24" s="1258"/>
      <c r="E24" s="1259">
        <f>RESUMEN!T157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+'OT18-019 SAN CARLOS AS BUILT  '!I25</f>
        <v>ACTA 1</v>
      </c>
      <c r="C28" s="1253">
        <f>+'OT18-019 SAN CARLOS AS BUILT  '!J25</f>
        <v>0</v>
      </c>
      <c r="D28" s="1253"/>
      <c r="E28" s="267">
        <f>+'OT18-019 SAN CARLOS AS BUILT  '!K25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RESUMEN!V157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4"/>
  <dimension ref="A1:N35"/>
  <sheetViews>
    <sheetView zoomScale="55" zoomScaleNormal="55" workbookViewId="0">
      <selection activeCell="G14" sqref="G14"/>
    </sheetView>
  </sheetViews>
  <sheetFormatPr baseColWidth="10" defaultColWidth="9.109375" defaultRowHeight="14.4" x14ac:dyDescent="0.3"/>
  <cols>
    <col min="1" max="1" width="20" style="795" customWidth="1"/>
    <col min="2" max="3" width="30" style="795" customWidth="1"/>
    <col min="4" max="4" width="24.33203125" style="795" customWidth="1"/>
    <col min="5" max="7" width="20" style="795" customWidth="1"/>
    <col min="8" max="8" width="45" style="795" customWidth="1"/>
    <col min="9" max="9" width="12" style="795" customWidth="1"/>
    <col min="10" max="10" width="15.88671875" style="795" customWidth="1"/>
    <col min="11" max="11" width="13.33203125" style="795" customWidth="1"/>
    <col min="12" max="12" width="12" style="795" customWidth="1"/>
    <col min="13" max="13" width="19" style="795" customWidth="1"/>
    <col min="14" max="14" width="14.5546875" style="795" customWidth="1"/>
    <col min="15" max="16384" width="9.109375" style="795"/>
  </cols>
  <sheetData>
    <row r="1" spans="1:14" s="804" customFormat="1" ht="30.75" customHeight="1" x14ac:dyDescent="0.3">
      <c r="A1" s="169"/>
      <c r="B1" s="188"/>
      <c r="C1" s="1307" t="s">
        <v>40</v>
      </c>
      <c r="D1" s="1308"/>
      <c r="E1" s="1308"/>
      <c r="F1" s="1308"/>
      <c r="G1" s="1308"/>
      <c r="H1" s="1308"/>
      <c r="I1" s="1308"/>
      <c r="J1" s="1308"/>
      <c r="K1" s="1532" t="s">
        <v>2155</v>
      </c>
      <c r="L1" s="1532"/>
      <c r="M1" s="1532"/>
      <c r="N1" s="1532"/>
    </row>
    <row r="2" spans="1:14" s="804" customFormat="1" ht="15" thickBot="1" x14ac:dyDescent="0.35">
      <c r="A2" s="170"/>
      <c r="B2" s="190"/>
      <c r="C2" s="1310"/>
      <c r="D2" s="1311"/>
      <c r="E2" s="1311"/>
      <c r="F2" s="1311"/>
      <c r="G2" s="1311"/>
      <c r="H2" s="1311"/>
      <c r="I2" s="1311"/>
      <c r="J2" s="1311"/>
      <c r="K2" s="1459" t="s">
        <v>41</v>
      </c>
      <c r="L2" s="1459"/>
      <c r="M2" s="1459"/>
      <c r="N2" s="1459"/>
    </row>
    <row r="3" spans="1:14" s="804" customFormat="1" x14ac:dyDescent="0.3">
      <c r="A3" s="1292" t="s">
        <v>42</v>
      </c>
      <c r="B3" s="1292"/>
      <c r="C3" s="1292"/>
      <c r="D3" s="1292"/>
      <c r="E3" s="1292"/>
      <c r="F3" s="1292"/>
      <c r="G3" s="1292"/>
      <c r="H3" s="1292"/>
      <c r="I3" s="1292"/>
      <c r="J3" s="1292"/>
      <c r="K3" s="1292"/>
      <c r="L3" s="1292"/>
      <c r="M3" s="1292"/>
      <c r="N3" s="831"/>
    </row>
    <row r="4" spans="1:14" s="804" customFormat="1" x14ac:dyDescent="0.3">
      <c r="A4" s="1292" t="s">
        <v>43</v>
      </c>
      <c r="B4" s="1292"/>
      <c r="C4" s="1292"/>
      <c r="D4" s="1292"/>
      <c r="E4" s="1292"/>
      <c r="F4" s="1292"/>
      <c r="G4" s="1292"/>
      <c r="H4" s="1292"/>
      <c r="I4" s="1292"/>
      <c r="J4" s="1292"/>
      <c r="K4" s="1292"/>
      <c r="L4" s="1292"/>
      <c r="M4" s="1292"/>
      <c r="N4" s="831"/>
    </row>
    <row r="5" spans="1:14" s="804" customFormat="1" x14ac:dyDescent="0.3">
      <c r="A5" s="1292" t="s">
        <v>44</v>
      </c>
      <c r="B5" s="1292"/>
      <c r="C5" s="1292"/>
      <c r="D5" s="1292"/>
      <c r="E5" s="1292"/>
      <c r="F5" s="1292"/>
      <c r="G5" s="1292"/>
      <c r="H5" s="1292"/>
      <c r="I5" s="1292"/>
      <c r="J5" s="1292"/>
      <c r="K5" s="1292"/>
      <c r="L5" s="1292"/>
      <c r="M5" s="1292"/>
      <c r="N5" s="831"/>
    </row>
    <row r="6" spans="1:14" s="804" customFormat="1" x14ac:dyDescent="0.3">
      <c r="A6" s="1292" t="s">
        <v>45</v>
      </c>
      <c r="B6" s="1292"/>
      <c r="C6" s="1292"/>
      <c r="D6" s="1292"/>
      <c r="E6" s="1292"/>
      <c r="F6" s="1292"/>
      <c r="G6" s="1292"/>
      <c r="H6" s="1292"/>
      <c r="I6" s="1292"/>
      <c r="J6" s="1292"/>
      <c r="K6" s="1292"/>
      <c r="L6" s="1292"/>
      <c r="M6" s="1292"/>
      <c r="N6" s="831"/>
    </row>
    <row r="7" spans="1:14" s="804" customFormat="1" ht="16.5" customHeight="1" x14ac:dyDescent="0.3">
      <c r="A7" s="1291" t="s">
        <v>2154</v>
      </c>
      <c r="B7" s="1292"/>
      <c r="C7" s="1292"/>
      <c r="D7" s="1292"/>
      <c r="E7" s="1292"/>
      <c r="F7" s="1292"/>
      <c r="G7" s="1292"/>
      <c r="H7" s="1292"/>
      <c r="I7" s="1292"/>
      <c r="J7" s="1292"/>
      <c r="K7" s="1292"/>
      <c r="L7" s="1292"/>
      <c r="M7" s="1292"/>
      <c r="N7" s="831"/>
    </row>
    <row r="8" spans="1:14" s="804" customFormat="1" x14ac:dyDescent="0.3">
      <c r="A8" s="1292" t="s">
        <v>2312</v>
      </c>
      <c r="B8" s="1292"/>
      <c r="C8" s="1292"/>
      <c r="D8" s="1292"/>
      <c r="E8" s="1292"/>
      <c r="F8" s="1292"/>
      <c r="G8" s="1292"/>
      <c r="H8" s="1292"/>
      <c r="I8" s="1292"/>
      <c r="J8" s="1292"/>
      <c r="K8" s="1292"/>
      <c r="L8" s="1292"/>
      <c r="M8" s="1292"/>
      <c r="N8" s="831"/>
    </row>
    <row r="9" spans="1:14" s="804" customFormat="1" x14ac:dyDescent="0.3">
      <c r="A9" s="1292" t="s">
        <v>2305</v>
      </c>
      <c r="B9" s="1292"/>
      <c r="C9" s="1292"/>
      <c r="D9" s="1292"/>
      <c r="E9" s="1292"/>
      <c r="F9" s="1292"/>
      <c r="G9" s="1292"/>
      <c r="H9" s="1292"/>
      <c r="I9" s="1292"/>
      <c r="J9" s="1292"/>
      <c r="K9" s="1292"/>
      <c r="L9" s="1292"/>
      <c r="M9" s="1292"/>
      <c r="N9" s="831"/>
    </row>
    <row r="10" spans="1:14" s="804" customFormat="1" x14ac:dyDescent="0.3">
      <c r="A10" s="1292" t="s">
        <v>2153</v>
      </c>
      <c r="B10" s="1292"/>
      <c r="C10" s="1292"/>
      <c r="D10" s="1292"/>
      <c r="E10" s="1292"/>
      <c r="F10" s="1292"/>
      <c r="G10" s="1292"/>
      <c r="H10" s="1292"/>
      <c r="I10" s="1292"/>
      <c r="J10" s="1292"/>
      <c r="K10" s="1292"/>
      <c r="L10" s="1292"/>
      <c r="M10" s="1292"/>
      <c r="N10" s="831"/>
    </row>
    <row r="11" spans="1:14" s="804" customFormat="1" x14ac:dyDescent="0.3">
      <c r="A11" s="802"/>
      <c r="B11" s="1301"/>
      <c r="C11" s="1313"/>
      <c r="D11" s="1313"/>
      <c r="E11" s="1313"/>
      <c r="F11" s="1313"/>
      <c r="H11" s="831"/>
      <c r="I11" s="1470" t="s">
        <v>2313</v>
      </c>
      <c r="J11" s="1471"/>
      <c r="K11" s="1472"/>
      <c r="L11" s="1299" t="s">
        <v>49</v>
      </c>
      <c r="M11" s="1299"/>
      <c r="N11" s="1299"/>
    </row>
    <row r="12" spans="1:14" s="804" customFormat="1"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4" ht="144.75" customHeight="1" x14ac:dyDescent="0.3">
      <c r="A14" s="1513" t="s">
        <v>1093</v>
      </c>
      <c r="B14" s="1513" t="s">
        <v>2078</v>
      </c>
      <c r="C14" s="809" t="s">
        <v>148</v>
      </c>
      <c r="D14" s="861" t="s">
        <v>149</v>
      </c>
      <c r="E14" s="861">
        <v>0.05</v>
      </c>
      <c r="F14" s="32">
        <v>10357193</v>
      </c>
      <c r="G14" s="862">
        <f>ROUND((E14*F14),0)</f>
        <v>517860</v>
      </c>
      <c r="H14" s="806" t="s">
        <v>2079</v>
      </c>
      <c r="I14" s="799">
        <v>0</v>
      </c>
      <c r="J14" s="685">
        <f>ROUND(I14*F14,0)</f>
        <v>0</v>
      </c>
      <c r="K14" s="684">
        <f>J14/G14</f>
        <v>0</v>
      </c>
      <c r="L14" s="799">
        <f>I14</f>
        <v>0</v>
      </c>
      <c r="M14" s="685">
        <f>J14</f>
        <v>0</v>
      </c>
      <c r="N14" s="684">
        <f t="shared" ref="N14" si="0">+M14/G14</f>
        <v>0</v>
      </c>
    </row>
    <row r="15" spans="1:14" x14ac:dyDescent="0.3">
      <c r="A15" s="1544"/>
      <c r="B15" s="1544"/>
      <c r="C15" s="1545" t="s">
        <v>2080</v>
      </c>
      <c r="D15" s="1545"/>
      <c r="E15" s="1546">
        <f>SUM(G14:G14)</f>
        <v>517860</v>
      </c>
      <c r="F15" s="1547"/>
      <c r="G15" s="1547"/>
      <c r="H15" s="808"/>
      <c r="I15" s="40"/>
      <c r="J15" s="683">
        <f>SUM(J13:J14)</f>
        <v>0</v>
      </c>
      <c r="K15" s="519" t="e">
        <f>J15/G15</f>
        <v>#DIV/0!</v>
      </c>
      <c r="L15" s="40"/>
      <c r="M15" s="683">
        <f>SUM(M14:M14)</f>
        <v>0</v>
      </c>
      <c r="N15" s="519" t="e">
        <f>M15/G15</f>
        <v>#DIV/0!</v>
      </c>
    </row>
    <row r="16" spans="1:14" s="804" customFormat="1" x14ac:dyDescent="0.3">
      <c r="F16" s="836" t="s">
        <v>1740</v>
      </c>
      <c r="G16" s="837">
        <f>SUM(G14:G15)/2</f>
        <v>258930</v>
      </c>
      <c r="I16" s="547" t="s">
        <v>64</v>
      </c>
      <c r="J16" s="855">
        <f>SUM(J15)</f>
        <v>0</v>
      </c>
      <c r="L16" s="547" t="s">
        <v>64</v>
      </c>
      <c r="M16" s="835">
        <f>SUM(M15)</f>
        <v>0</v>
      </c>
    </row>
    <row r="17" spans="1:14" s="804" customFormat="1" ht="26.4" x14ac:dyDescent="0.3">
      <c r="F17" s="548" t="s">
        <v>65</v>
      </c>
      <c r="G17" s="481">
        <v>0</v>
      </c>
      <c r="I17" s="548" t="s">
        <v>65</v>
      </c>
      <c r="J17" s="677">
        <v>0</v>
      </c>
      <c r="L17" s="548" t="s">
        <v>65</v>
      </c>
      <c r="M17" s="677">
        <v>0</v>
      </c>
    </row>
    <row r="18" spans="1:14" s="804" customFormat="1" x14ac:dyDescent="0.3">
      <c r="F18" s="549" t="s">
        <v>1740</v>
      </c>
      <c r="G18" s="340">
        <f>+G17+G16</f>
        <v>258930</v>
      </c>
      <c r="I18" s="549" t="s">
        <v>64</v>
      </c>
      <c r="J18" s="481">
        <f>J16+J17</f>
        <v>0</v>
      </c>
      <c r="L18" s="549" t="s">
        <v>64</v>
      </c>
      <c r="M18" s="481">
        <f>M16+M17</f>
        <v>0</v>
      </c>
    </row>
    <row r="19" spans="1:14" s="804" customFormat="1" ht="18" customHeight="1" x14ac:dyDescent="0.3">
      <c r="F19" s="810"/>
      <c r="G19" s="810"/>
      <c r="I19" s="501" t="s">
        <v>1439</v>
      </c>
      <c r="J19" s="481">
        <f>ROUND(J18*0.015,0)</f>
        <v>0</v>
      </c>
      <c r="L19" s="501" t="s">
        <v>1439</v>
      </c>
      <c r="M19" s="481">
        <f>ROUND(M18*0.015,0)</f>
        <v>0</v>
      </c>
    </row>
    <row r="20" spans="1:14" s="804" customFormat="1" ht="27.75" customHeight="1" x14ac:dyDescent="0.3">
      <c r="F20" s="810"/>
      <c r="G20" s="810"/>
      <c r="I20" s="96" t="s">
        <v>1440</v>
      </c>
      <c r="J20" s="783">
        <f>J18+J19</f>
        <v>0</v>
      </c>
      <c r="K20" s="856">
        <f>J20/G16</f>
        <v>0</v>
      </c>
      <c r="L20" s="96" t="s">
        <v>1440</v>
      </c>
      <c r="M20" s="425">
        <f>M18+M19</f>
        <v>0</v>
      </c>
      <c r="N20" s="857">
        <f>M20/G16</f>
        <v>0</v>
      </c>
    </row>
    <row r="21" spans="1:14" s="804" customFormat="1" x14ac:dyDescent="0.3">
      <c r="F21" s="551" t="s">
        <v>66</v>
      </c>
      <c r="G21" s="481">
        <f>+G16*19%</f>
        <v>49196.7</v>
      </c>
      <c r="I21" s="551" t="s">
        <v>66</v>
      </c>
      <c r="J21" s="672">
        <f>J20*0.19</f>
        <v>0</v>
      </c>
      <c r="L21" s="551" t="s">
        <v>66</v>
      </c>
      <c r="M21" s="672">
        <f>M20*0.19</f>
        <v>0</v>
      </c>
    </row>
    <row r="22" spans="1:14" s="804" customFormat="1" x14ac:dyDescent="0.3">
      <c r="F22" s="552" t="s">
        <v>69</v>
      </c>
      <c r="G22" s="481">
        <f>+G16+G21</f>
        <v>308126.7</v>
      </c>
      <c r="I22" s="552" t="s">
        <v>69</v>
      </c>
      <c r="J22" s="672">
        <f>J20+J21</f>
        <v>0</v>
      </c>
      <c r="L22" s="552" t="s">
        <v>69</v>
      </c>
      <c r="M22" s="672">
        <f>M20+M21</f>
        <v>0</v>
      </c>
    </row>
    <row r="23" spans="1:14" s="804" customFormat="1" x14ac:dyDescent="0.3"/>
    <row r="24" spans="1:14" s="804" customFormat="1" ht="38.25" customHeight="1" x14ac:dyDescent="0.3">
      <c r="A24" s="665" t="s">
        <v>67</v>
      </c>
      <c r="B24" s="184"/>
      <c r="C24" s="184"/>
      <c r="D24" s="185" t="s">
        <v>68</v>
      </c>
      <c r="I24" s="186" t="s">
        <v>70</v>
      </c>
      <c r="J24" s="187" t="s">
        <v>71</v>
      </c>
      <c r="K24" s="186" t="s">
        <v>58</v>
      </c>
    </row>
    <row r="25" spans="1:14" s="804" customFormat="1" x14ac:dyDescent="0.3">
      <c r="A25" s="665"/>
      <c r="B25" s="184"/>
      <c r="C25" s="184"/>
      <c r="D25" s="185"/>
      <c r="I25" s="69" t="s">
        <v>72</v>
      </c>
      <c r="J25" s="70">
        <f>J20</f>
        <v>0</v>
      </c>
      <c r="K25" s="360">
        <f>K20</f>
        <v>0</v>
      </c>
    </row>
    <row r="26" spans="1:14" s="804" customFormat="1" x14ac:dyDescent="0.3">
      <c r="A26" s="665"/>
      <c r="B26" s="184"/>
      <c r="C26" s="184"/>
      <c r="D26" s="185"/>
      <c r="I26" s="72" t="s">
        <v>1</v>
      </c>
      <c r="J26" s="105">
        <f>J25</f>
        <v>0</v>
      </c>
      <c r="K26" s="361">
        <f>K25</f>
        <v>0</v>
      </c>
    </row>
    <row r="27" spans="1:14" s="804" customFormat="1" x14ac:dyDescent="0.3">
      <c r="A27" s="665"/>
      <c r="B27" s="184"/>
      <c r="C27" s="184"/>
      <c r="D27" s="185"/>
      <c r="I27" s="72" t="s">
        <v>9</v>
      </c>
      <c r="J27" s="1423"/>
      <c r="K27" s="1424"/>
    </row>
    <row r="28" spans="1:14" s="804" customFormat="1" x14ac:dyDescent="0.3">
      <c r="A28" s="665"/>
      <c r="B28" s="184"/>
      <c r="C28" s="184"/>
      <c r="D28" s="185"/>
      <c r="I28" s="440" t="s">
        <v>78</v>
      </c>
      <c r="J28" s="1423" t="s">
        <v>2072</v>
      </c>
      <c r="K28" s="1424"/>
    </row>
    <row r="29" spans="1:14" s="804" customFormat="1" x14ac:dyDescent="0.3">
      <c r="A29" s="665"/>
      <c r="B29" s="184"/>
      <c r="C29" s="184"/>
      <c r="D29" s="185"/>
      <c r="I29" s="439" t="s">
        <v>8</v>
      </c>
      <c r="J29" s="1425" t="s">
        <v>2073</v>
      </c>
      <c r="K29" s="1426"/>
    </row>
    <row r="30" spans="1:14" s="804" customFormat="1" x14ac:dyDescent="0.3">
      <c r="A30" s="665"/>
      <c r="B30" s="184"/>
      <c r="C30" s="184"/>
      <c r="D30" s="185" t="s">
        <v>75</v>
      </c>
    </row>
    <row r="31" spans="1:14" s="804" customFormat="1" x14ac:dyDescent="0.3">
      <c r="A31" s="665" t="s">
        <v>76</v>
      </c>
      <c r="B31" s="180"/>
      <c r="C31" s="180"/>
      <c r="D31" s="185" t="s">
        <v>77</v>
      </c>
    </row>
    <row r="32" spans="1:14" s="804" customFormat="1" x14ac:dyDescent="0.3">
      <c r="A32" s="665" t="s">
        <v>79</v>
      </c>
      <c r="B32" s="180"/>
      <c r="C32" s="180"/>
      <c r="D32" s="185" t="s">
        <v>80</v>
      </c>
    </row>
    <row r="33" spans="1:8" x14ac:dyDescent="0.3">
      <c r="A33" s="788"/>
      <c r="B33" s="788"/>
      <c r="C33" s="788"/>
      <c r="D33" s="788"/>
      <c r="E33" s="788"/>
      <c r="F33" s="788"/>
      <c r="G33" s="788"/>
      <c r="H33" s="788"/>
    </row>
    <row r="34" spans="1:8" x14ac:dyDescent="0.3">
      <c r="A34" s="788"/>
      <c r="B34" s="788"/>
      <c r="C34" s="788"/>
      <c r="D34" s="788"/>
      <c r="E34" s="788"/>
      <c r="F34" s="788"/>
      <c r="G34" s="788"/>
      <c r="H34" s="788"/>
    </row>
    <row r="35" spans="1:8" x14ac:dyDescent="0.3">
      <c r="A35" s="788"/>
      <c r="B35" s="788"/>
      <c r="C35" s="788"/>
      <c r="D35" s="788"/>
      <c r="E35" s="788"/>
      <c r="F35" s="788"/>
      <c r="G35" s="788"/>
      <c r="H35" s="788"/>
    </row>
  </sheetData>
  <sheetProtection formatCells="0" formatColumns="0" formatRows="0" insertColumns="0" insertRows="0" insertHyperlinks="0" deleteColumns="0" deleteRows="0" sort="0" autoFilter="0" pivotTables="0"/>
  <mergeCells count="22">
    <mergeCell ref="J27:K27"/>
    <mergeCell ref="J28:K28"/>
    <mergeCell ref="J29:K29"/>
    <mergeCell ref="A10:M10"/>
    <mergeCell ref="B11:F11"/>
    <mergeCell ref="I11:K12"/>
    <mergeCell ref="L11:N12"/>
    <mergeCell ref="B12:F12"/>
    <mergeCell ref="A14:A15"/>
    <mergeCell ref="B14:B15"/>
    <mergeCell ref="C15:D15"/>
    <mergeCell ref="E15:G15"/>
    <mergeCell ref="A5:M5"/>
    <mergeCell ref="A6:M6"/>
    <mergeCell ref="A7:M7"/>
    <mergeCell ref="A8:M8"/>
    <mergeCell ref="A9:M9"/>
    <mergeCell ref="C1:J2"/>
    <mergeCell ref="K1:N1"/>
    <mergeCell ref="K2:N2"/>
    <mergeCell ref="A3:M3"/>
    <mergeCell ref="A4:M4"/>
  </mergeCells>
  <pageMargins left="0.7" right="0.7" top="0.75" bottom="0.75" header="0.3" footer="0.3"/>
  <pageSetup scale="54" orientation="landscape" r:id="rId1"/>
  <drawing r:id="rId2"/>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5">
    <tabColor theme="1"/>
  </sheetPr>
  <dimension ref="A1:G49"/>
  <sheetViews>
    <sheetView topLeftCell="A25" zoomScaleNormal="100" zoomScaleSheetLayoutView="80" workbookViewId="0">
      <selection activeCell="G30" sqref="G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RESUMEN!G158</f>
        <v>Proyecto: LT Veraguas - Laguneta y la LT Conexión Nueva Esperanza - Compartir - Bosa a 115 kV.</v>
      </c>
      <c r="C5" s="1281"/>
      <c r="D5" s="1281"/>
      <c r="E5" s="1281"/>
      <c r="F5" s="1281"/>
      <c r="G5" s="1282"/>
    </row>
    <row r="6" spans="1:7" x14ac:dyDescent="0.25">
      <c r="A6" s="1177"/>
      <c r="B6" s="1177"/>
      <c r="C6" s="1177"/>
      <c r="D6" s="1177"/>
      <c r="E6" s="1177"/>
      <c r="F6" s="1177"/>
      <c r="G6" s="1177"/>
    </row>
    <row r="7" spans="1:7" x14ac:dyDescent="0.25">
      <c r="A7" s="271" t="s">
        <v>0</v>
      </c>
      <c r="B7" s="1264" t="str">
        <f>RESUMEN!B158</f>
        <v>D00249507</v>
      </c>
      <c r="C7" s="1265"/>
      <c r="D7" s="1177"/>
      <c r="E7" s="1266" t="s">
        <v>627</v>
      </c>
      <c r="F7" s="1267"/>
      <c r="G7" s="280" t="str">
        <f>RESUMEN!E158</f>
        <v>18-020</v>
      </c>
    </row>
    <row r="8" spans="1:7" x14ac:dyDescent="0.25">
      <c r="A8" s="271" t="s">
        <v>628</v>
      </c>
      <c r="B8" s="1264" t="str">
        <f>RESUMEN!C158</f>
        <v>D00249507000</v>
      </c>
      <c r="C8" s="1265"/>
      <c r="D8" s="1177"/>
      <c r="E8" s="1266" t="s">
        <v>629</v>
      </c>
      <c r="F8" s="1267"/>
      <c r="G8" s="280" t="str">
        <f>RESUMEN!U158</f>
        <v>Acta N° 2: Marzo</v>
      </c>
    </row>
    <row r="9" spans="1:7" x14ac:dyDescent="0.25">
      <c r="A9" s="271" t="s">
        <v>630</v>
      </c>
      <c r="B9" s="1283" t="s">
        <v>631</v>
      </c>
      <c r="C9" s="1265"/>
      <c r="D9" s="1177"/>
      <c r="E9" s="1266" t="s">
        <v>632</v>
      </c>
      <c r="F9" s="1267"/>
      <c r="G9" s="1178">
        <f>RESUMEN!H158</f>
        <v>8951871</v>
      </c>
    </row>
    <row r="10" spans="1:7" x14ac:dyDescent="0.25">
      <c r="A10" s="271" t="s">
        <v>633</v>
      </c>
      <c r="B10" s="1283" t="str">
        <f>RESUMEN!D158</f>
        <v>LLTT COMPARTIR</v>
      </c>
      <c r="C10" s="1265"/>
      <c r="D10" s="1177"/>
      <c r="E10" s="1266" t="s">
        <v>634</v>
      </c>
      <c r="F10" s="1267"/>
      <c r="G10" s="1178">
        <f>RESUMEN!R158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",RESUMEN!G158)</f>
        <v>A los 14 días del mes de Marzo se reunieron en las instalaciones de CODENSA S.A. E.S.P., los ingenieros Ing. Jhon Casanova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LT Veraguas - Laguneta y la LT Conexión Nueva Esperanza - Compartir - Bosa a 115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RESUMEN!N158</f>
        <v>0</v>
      </c>
      <c r="F19" s="1248"/>
      <c r="G19" s="1177"/>
    </row>
    <row r="20" spans="1:7" ht="27" customHeight="1" x14ac:dyDescent="0.25">
      <c r="A20" s="1177"/>
      <c r="B20" s="1244" t="s">
        <v>1498</v>
      </c>
      <c r="C20" s="1245"/>
      <c r="D20" s="1246"/>
      <c r="E20" s="1247">
        <f>RESUMEN!P158</f>
        <v>0</v>
      </c>
      <c r="F20" s="1248"/>
      <c r="G20" s="1177"/>
    </row>
    <row r="21" spans="1:7" ht="27" customHeight="1" x14ac:dyDescent="0.25">
      <c r="A21" s="1177"/>
      <c r="B21" s="1244" t="s">
        <v>1499</v>
      </c>
      <c r="C21" s="1245"/>
      <c r="D21" s="1246"/>
      <c r="E21" s="1247">
        <f>RESUMEN!Q158</f>
        <v>0</v>
      </c>
      <c r="F21" s="1248"/>
      <c r="G21" s="1177"/>
    </row>
    <row r="22" spans="1:7" x14ac:dyDescent="0.25">
      <c r="A22" s="1177"/>
      <c r="B22" s="1254" t="s">
        <v>64</v>
      </c>
      <c r="C22" s="1254"/>
      <c r="D22" s="1254"/>
      <c r="E22" s="1255">
        <f>RESUMEN!R158</f>
        <v>0</v>
      </c>
      <c r="F22" s="1255"/>
      <c r="G22" s="1177"/>
    </row>
    <row r="23" spans="1:7" x14ac:dyDescent="0.25">
      <c r="A23" s="1177"/>
      <c r="B23" s="1256" t="s">
        <v>66</v>
      </c>
      <c r="C23" s="1256"/>
      <c r="D23" s="1256"/>
      <c r="E23" s="1257">
        <f>RESUMEN!S158</f>
        <v>0</v>
      </c>
      <c r="F23" s="1257"/>
      <c r="G23" s="1177"/>
    </row>
    <row r="24" spans="1:7" x14ac:dyDescent="0.25">
      <c r="A24" s="1177"/>
      <c r="B24" s="1258" t="s">
        <v>1</v>
      </c>
      <c r="C24" s="1258"/>
      <c r="D24" s="1258"/>
      <c r="E24" s="1259">
        <f>RESUMEN!T158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+'OT18-020 LT COMPARTIR'!L31</f>
        <v>ACTA 1</v>
      </c>
      <c r="C28" s="1253">
        <f>+'OT18-020 LT COMPARTIR'!M31</f>
        <v>4847660</v>
      </c>
      <c r="D28" s="1253"/>
      <c r="E28" s="267">
        <f>+'OT18-020 LT COMPARTIR'!N31</f>
        <v>0.54152478291968242</v>
      </c>
      <c r="F28" s="1177"/>
      <c r="G28" s="1177"/>
    </row>
    <row r="29" spans="1:7" x14ac:dyDescent="0.25">
      <c r="A29" s="1177"/>
      <c r="B29" s="280" t="str">
        <f>+'OT18-020 LT COMPARTIR'!L32</f>
        <v>ACTA 2</v>
      </c>
      <c r="C29" s="1253">
        <f>+'OT18-020 LT COMPARTIR'!M32</f>
        <v>0</v>
      </c>
      <c r="D29" s="1253"/>
      <c r="E29" s="267">
        <f>+'OT18-020 LT COMPARTIR'!N32</f>
        <v>0</v>
      </c>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4847660</v>
      </c>
      <c r="D34" s="1251"/>
      <c r="E34" s="264">
        <f>SUM(E28:E33)</f>
        <v>0.54152478291968242</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t="str">
        <f>RESUMEN!V158</f>
        <v>Ing. Jhon Casanova</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7:C47"/>
    <mergeCell ref="E47:G47"/>
    <mergeCell ref="A48:C48"/>
    <mergeCell ref="E48:G48"/>
    <mergeCell ref="A40:C40"/>
    <mergeCell ref="E40:G40"/>
    <mergeCell ref="A41:C41"/>
    <mergeCell ref="E41:G41"/>
    <mergeCell ref="A42:C42"/>
    <mergeCell ref="E42:G42"/>
    <mergeCell ref="C31:D31"/>
    <mergeCell ref="C32:D32"/>
    <mergeCell ref="C33:D33"/>
    <mergeCell ref="C34:D34"/>
    <mergeCell ref="A36:G36"/>
    <mergeCell ref="C30:D30"/>
    <mergeCell ref="B21:D21"/>
    <mergeCell ref="E21:F21"/>
    <mergeCell ref="B22:D22"/>
    <mergeCell ref="E22:F22"/>
    <mergeCell ref="B23:D23"/>
    <mergeCell ref="E23:F23"/>
    <mergeCell ref="B24:D24"/>
    <mergeCell ref="E24:F24"/>
    <mergeCell ref="C27:D27"/>
    <mergeCell ref="C28:D28"/>
    <mergeCell ref="C29:D29"/>
    <mergeCell ref="A14:G14"/>
    <mergeCell ref="A16:G16"/>
    <mergeCell ref="B18:D18"/>
    <mergeCell ref="E18:F18"/>
    <mergeCell ref="B19:D19"/>
    <mergeCell ref="E19:F19"/>
    <mergeCell ref="A49:C49"/>
    <mergeCell ref="E49:G49"/>
    <mergeCell ref="B8:C8"/>
    <mergeCell ref="E8:F8"/>
    <mergeCell ref="A1:A3"/>
    <mergeCell ref="B1:F3"/>
    <mergeCell ref="B5:G5"/>
    <mergeCell ref="B7:C7"/>
    <mergeCell ref="E7:F7"/>
    <mergeCell ref="B20:D20"/>
    <mergeCell ref="E20:F20"/>
    <mergeCell ref="B9:C9"/>
    <mergeCell ref="E9:F9"/>
    <mergeCell ref="B10:C10"/>
    <mergeCell ref="E10:F10"/>
    <mergeCell ref="A12:G12"/>
  </mergeCells>
  <pageMargins left="0.70866141732283472" right="0.70866141732283472" top="0.74803149606299213" bottom="0.74803149606299213" header="0.31496062992125984" footer="0.31496062992125984"/>
  <pageSetup scale="84" orientation="portrait"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6">
    <tabColor rgb="FF72104A"/>
  </sheetPr>
  <dimension ref="A1:Q38"/>
  <sheetViews>
    <sheetView topLeftCell="B1" zoomScale="70" zoomScaleNormal="70" workbookViewId="0">
      <selection activeCell="B20" sqref="B20:B21"/>
    </sheetView>
  </sheetViews>
  <sheetFormatPr baseColWidth="10" defaultColWidth="11.44140625" defaultRowHeight="14.4" x14ac:dyDescent="0.3"/>
  <cols>
    <col min="1" max="1" width="15.5546875" style="795" customWidth="1"/>
    <col min="2" max="2" width="30.109375" style="795" customWidth="1"/>
    <col min="3" max="3" width="26.5546875" style="795" customWidth="1"/>
    <col min="4" max="4" width="24.44140625" style="795" customWidth="1"/>
    <col min="5" max="5" width="16" style="80" customWidth="1"/>
    <col min="6" max="6" width="12" style="795" customWidth="1"/>
    <col min="7" max="7" width="21.88671875" style="795" customWidth="1"/>
    <col min="8" max="8" width="44.44140625" style="795" customWidth="1"/>
    <col min="9" max="9" width="22.88671875" style="795" customWidth="1"/>
    <col min="10" max="10" width="19.109375" style="795" customWidth="1"/>
    <col min="11" max="11" width="11.44140625" style="795"/>
    <col min="12" max="14" width="20.6640625" style="1054" customWidth="1"/>
    <col min="15" max="15" width="21.33203125" style="795" customWidth="1"/>
    <col min="16" max="16" width="16.6640625" style="795" bestFit="1" customWidth="1"/>
    <col min="17" max="16384" width="11.44140625" style="795"/>
  </cols>
  <sheetData>
    <row r="1" spans="1:17" s="804" customFormat="1" ht="30.75" customHeight="1" x14ac:dyDescent="0.3">
      <c r="A1" s="169"/>
      <c r="B1" s="188"/>
      <c r="C1" s="1307" t="s">
        <v>40</v>
      </c>
      <c r="D1" s="1308"/>
      <c r="E1" s="1308"/>
      <c r="F1" s="1308"/>
      <c r="G1" s="1308"/>
      <c r="H1" s="1308"/>
      <c r="I1" s="1308"/>
      <c r="J1" s="1308"/>
      <c r="K1" s="1532" t="s">
        <v>2081</v>
      </c>
      <c r="L1" s="1532"/>
      <c r="M1" s="1532"/>
      <c r="N1" s="1532"/>
      <c r="O1" s="1532"/>
      <c r="P1" s="1532"/>
      <c r="Q1" s="1532"/>
    </row>
    <row r="2" spans="1:17" s="804" customFormat="1" ht="15" thickBot="1" x14ac:dyDescent="0.35">
      <c r="A2" s="170"/>
      <c r="B2" s="190"/>
      <c r="C2" s="1310"/>
      <c r="D2" s="1311"/>
      <c r="E2" s="1311"/>
      <c r="F2" s="1311"/>
      <c r="G2" s="1311"/>
      <c r="H2" s="1311"/>
      <c r="I2" s="1311"/>
      <c r="J2" s="1311"/>
      <c r="K2" s="1459" t="s">
        <v>41</v>
      </c>
      <c r="L2" s="1459"/>
      <c r="M2" s="1459"/>
      <c r="N2" s="1459"/>
      <c r="O2" s="1459"/>
      <c r="P2" s="1459"/>
      <c r="Q2" s="1459"/>
    </row>
    <row r="3" spans="1:17" s="804" customFormat="1" x14ac:dyDescent="0.3">
      <c r="A3" s="1292" t="s">
        <v>42</v>
      </c>
      <c r="B3" s="1292"/>
      <c r="C3" s="1292"/>
      <c r="D3" s="1292"/>
      <c r="E3" s="1292"/>
      <c r="F3" s="1292"/>
      <c r="G3" s="1292"/>
      <c r="H3" s="1292"/>
      <c r="I3" s="1292"/>
      <c r="J3" s="1292"/>
      <c r="K3" s="1292"/>
      <c r="L3" s="1292"/>
      <c r="M3" s="1292"/>
      <c r="N3" s="1292"/>
      <c r="O3" s="1292"/>
      <c r="P3" s="1292"/>
      <c r="Q3" s="831"/>
    </row>
    <row r="4" spans="1:17" s="804" customFormat="1" x14ac:dyDescent="0.3">
      <c r="A4" s="1292" t="s">
        <v>43</v>
      </c>
      <c r="B4" s="1292"/>
      <c r="C4" s="1292"/>
      <c r="D4" s="1292"/>
      <c r="E4" s="1292"/>
      <c r="F4" s="1292"/>
      <c r="G4" s="1292"/>
      <c r="H4" s="1292"/>
      <c r="I4" s="1292"/>
      <c r="J4" s="1292"/>
      <c r="K4" s="1292"/>
      <c r="L4" s="1292"/>
      <c r="M4" s="1292"/>
      <c r="N4" s="1292"/>
      <c r="O4" s="1292"/>
      <c r="P4" s="1292"/>
      <c r="Q4" s="831"/>
    </row>
    <row r="5" spans="1:17" s="804" customFormat="1" x14ac:dyDescent="0.3">
      <c r="A5" s="1292" t="s">
        <v>44</v>
      </c>
      <c r="B5" s="1292"/>
      <c r="C5" s="1292"/>
      <c r="D5" s="1292"/>
      <c r="E5" s="1292"/>
      <c r="F5" s="1292"/>
      <c r="G5" s="1292"/>
      <c r="H5" s="1292"/>
      <c r="I5" s="1292"/>
      <c r="J5" s="1292"/>
      <c r="K5" s="1292"/>
      <c r="L5" s="1292"/>
      <c r="M5" s="1292"/>
      <c r="N5" s="1292"/>
      <c r="O5" s="1292"/>
      <c r="P5" s="1292"/>
      <c r="Q5" s="831"/>
    </row>
    <row r="6" spans="1:17" s="804" customFormat="1" x14ac:dyDescent="0.3">
      <c r="A6" s="1292" t="s">
        <v>45</v>
      </c>
      <c r="B6" s="1292"/>
      <c r="C6" s="1292"/>
      <c r="D6" s="1292"/>
      <c r="E6" s="1292"/>
      <c r="F6" s="1292"/>
      <c r="G6" s="1292"/>
      <c r="H6" s="1292"/>
      <c r="I6" s="1292"/>
      <c r="J6" s="1292"/>
      <c r="K6" s="1292"/>
      <c r="L6" s="1292"/>
      <c r="M6" s="1292"/>
      <c r="N6" s="1292"/>
      <c r="O6" s="1292"/>
      <c r="P6" s="1292"/>
      <c r="Q6" s="831"/>
    </row>
    <row r="7" spans="1:17" s="804" customFormat="1" ht="16.5" customHeight="1" x14ac:dyDescent="0.3">
      <c r="A7" s="1291" t="s">
        <v>2156</v>
      </c>
      <c r="B7" s="1292"/>
      <c r="C7" s="1292"/>
      <c r="D7" s="1292"/>
      <c r="E7" s="1292"/>
      <c r="F7" s="1292"/>
      <c r="G7" s="1292"/>
      <c r="H7" s="1292"/>
      <c r="I7" s="1292"/>
      <c r="J7" s="1292"/>
      <c r="K7" s="1292"/>
      <c r="L7" s="1292"/>
      <c r="M7" s="1292"/>
      <c r="N7" s="1292"/>
      <c r="O7" s="1292"/>
      <c r="P7" s="1292"/>
      <c r="Q7" s="831"/>
    </row>
    <row r="8" spans="1:17" s="804" customFormat="1" x14ac:dyDescent="0.3">
      <c r="A8" s="1292" t="s">
        <v>2323</v>
      </c>
      <c r="B8" s="1292"/>
      <c r="C8" s="1292"/>
      <c r="D8" s="1292"/>
      <c r="E8" s="1292"/>
      <c r="F8" s="1292"/>
      <c r="G8" s="1292"/>
      <c r="H8" s="1292"/>
      <c r="I8" s="1292"/>
      <c r="J8" s="1292"/>
      <c r="K8" s="1292"/>
      <c r="L8" s="1292"/>
      <c r="M8" s="1292"/>
      <c r="N8" s="1292"/>
      <c r="O8" s="1292"/>
      <c r="P8" s="1292"/>
      <c r="Q8" s="831"/>
    </row>
    <row r="9" spans="1:17" s="804" customFormat="1" x14ac:dyDescent="0.3">
      <c r="A9" s="1292" t="s">
        <v>2305</v>
      </c>
      <c r="B9" s="1292"/>
      <c r="C9" s="1292"/>
      <c r="D9" s="1292"/>
      <c r="E9" s="1292"/>
      <c r="F9" s="1292"/>
      <c r="G9" s="1292"/>
      <c r="H9" s="1292"/>
      <c r="I9" s="1292"/>
      <c r="J9" s="1292"/>
      <c r="K9" s="1292"/>
      <c r="L9" s="1292"/>
      <c r="M9" s="1292"/>
      <c r="N9" s="1292"/>
      <c r="O9" s="1292"/>
      <c r="P9" s="1292"/>
      <c r="Q9" s="831"/>
    </row>
    <row r="10" spans="1:17" s="804" customFormat="1" x14ac:dyDescent="0.3">
      <c r="A10" s="1292" t="s">
        <v>2153</v>
      </c>
      <c r="B10" s="1292"/>
      <c r="C10" s="1292"/>
      <c r="D10" s="1292"/>
      <c r="E10" s="1292"/>
      <c r="F10" s="1292"/>
      <c r="G10" s="1292"/>
      <c r="H10" s="1292"/>
      <c r="I10" s="1292"/>
      <c r="J10" s="1292"/>
      <c r="K10" s="1292"/>
      <c r="L10" s="1292"/>
      <c r="M10" s="1292"/>
      <c r="N10" s="1292"/>
      <c r="O10" s="1292"/>
      <c r="P10" s="1292"/>
      <c r="Q10" s="831"/>
    </row>
    <row r="11" spans="1:17" s="804" customFormat="1" x14ac:dyDescent="0.3">
      <c r="A11" s="802"/>
      <c r="B11" s="1301"/>
      <c r="C11" s="1313"/>
      <c r="D11" s="1313"/>
      <c r="E11" s="1313"/>
      <c r="F11" s="1313"/>
      <c r="H11" s="831"/>
      <c r="I11" s="1470" t="s">
        <v>1982</v>
      </c>
      <c r="J11" s="1471"/>
      <c r="K11" s="1472"/>
      <c r="L11" s="1470" t="s">
        <v>2324</v>
      </c>
      <c r="M11" s="1471"/>
      <c r="N11" s="1472"/>
      <c r="O11" s="1299" t="s">
        <v>49</v>
      </c>
      <c r="P11" s="1299"/>
      <c r="Q11" s="1299"/>
    </row>
    <row r="12" spans="1:17" s="804" customFormat="1" ht="18" customHeight="1" x14ac:dyDescent="0.3">
      <c r="A12" s="171"/>
      <c r="B12" s="1301"/>
      <c r="C12" s="1302"/>
      <c r="D12" s="1302"/>
      <c r="E12" s="1302"/>
      <c r="F12" s="1302"/>
      <c r="G12" s="831"/>
      <c r="H12" s="831"/>
      <c r="I12" s="1523"/>
      <c r="J12" s="1524"/>
      <c r="K12" s="1525"/>
      <c r="L12" s="1523"/>
      <c r="M12" s="1524"/>
      <c r="N12" s="1525"/>
      <c r="O12" s="1300"/>
      <c r="P12" s="1300"/>
      <c r="Q12" s="1300"/>
    </row>
    <row r="13" spans="1:17" ht="28.8" x14ac:dyDescent="0.3">
      <c r="A13" s="660" t="s">
        <v>50</v>
      </c>
      <c r="B13" s="660" t="s">
        <v>51</v>
      </c>
      <c r="C13" s="660" t="s">
        <v>52</v>
      </c>
      <c r="D13" s="660" t="s">
        <v>53</v>
      </c>
      <c r="E13" s="661" t="s">
        <v>54</v>
      </c>
      <c r="F13" s="858" t="s">
        <v>2007</v>
      </c>
      <c r="G13" s="661" t="s">
        <v>56</v>
      </c>
      <c r="H13" s="660" t="s">
        <v>57</v>
      </c>
      <c r="I13" s="502" t="s">
        <v>54</v>
      </c>
      <c r="J13" s="502" t="s">
        <v>56</v>
      </c>
      <c r="K13" s="502" t="s">
        <v>58</v>
      </c>
      <c r="L13" s="502" t="s">
        <v>54</v>
      </c>
      <c r="M13" s="502" t="s">
        <v>56</v>
      </c>
      <c r="N13" s="502" t="s">
        <v>58</v>
      </c>
      <c r="O13" s="502" t="s">
        <v>54</v>
      </c>
      <c r="P13" s="502" t="s">
        <v>56</v>
      </c>
      <c r="Q13" s="502" t="s">
        <v>58</v>
      </c>
    </row>
    <row r="14" spans="1:17" ht="60" customHeight="1" x14ac:dyDescent="0.3">
      <c r="A14" s="1290" t="s">
        <v>1330</v>
      </c>
      <c r="B14" s="1290" t="s">
        <v>1334</v>
      </c>
      <c r="C14" s="790" t="s">
        <v>343</v>
      </c>
      <c r="D14" s="803" t="s">
        <v>344</v>
      </c>
      <c r="E14" s="815">
        <v>4</v>
      </c>
      <c r="F14" s="32">
        <v>988142</v>
      </c>
      <c r="G14" s="32">
        <f>ROUND((E14*F14),0)</f>
        <v>3952568</v>
      </c>
      <c r="H14" s="1513" t="s">
        <v>2082</v>
      </c>
      <c r="I14" s="537">
        <f>4*75%</f>
        <v>3</v>
      </c>
      <c r="J14" s="752">
        <f>ROUND(I14*F14,0)</f>
        <v>2964426</v>
      </c>
      <c r="K14" s="753">
        <f t="shared" ref="K14:K21" si="0">J14/G14</f>
        <v>0.75</v>
      </c>
      <c r="L14" s="891">
        <v>0</v>
      </c>
      <c r="M14" s="892">
        <f>ROUND(L14*F14,0)</f>
        <v>0</v>
      </c>
      <c r="N14" s="893">
        <f>M14/G14</f>
        <v>0</v>
      </c>
      <c r="O14" s="799">
        <f>I14+L14</f>
        <v>3</v>
      </c>
      <c r="P14" s="685">
        <f>J14+M14</f>
        <v>2964426</v>
      </c>
      <c r="Q14" s="684">
        <f t="shared" ref="Q14" si="1">+P14/G14</f>
        <v>0.75</v>
      </c>
    </row>
    <row r="15" spans="1:17" x14ac:dyDescent="0.3">
      <c r="A15" s="1289"/>
      <c r="B15" s="1289"/>
      <c r="C15" s="39"/>
      <c r="D15" s="39" t="s">
        <v>346</v>
      </c>
      <c r="E15" s="40"/>
      <c r="F15" s="854"/>
      <c r="G15" s="42">
        <f>G14</f>
        <v>3952568</v>
      </c>
      <c r="H15" s="1513"/>
      <c r="I15" s="40"/>
      <c r="J15" s="683">
        <f>SUM(J13:J14)</f>
        <v>2964426</v>
      </c>
      <c r="K15" s="519">
        <f t="shared" si="0"/>
        <v>0.75</v>
      </c>
      <c r="L15" s="40"/>
      <c r="M15" s="683">
        <f>SUM(M13:M14)</f>
        <v>0</v>
      </c>
      <c r="N15" s="1100">
        <f t="shared" ref="N15:N21" si="2">M15/G15</f>
        <v>0</v>
      </c>
      <c r="O15" s="1106"/>
      <c r="P15" s="1107">
        <f t="shared" ref="P15:P21" si="3">J15+M15</f>
        <v>2964426</v>
      </c>
      <c r="Q15" s="1113">
        <f>P15/G15</f>
        <v>0.75</v>
      </c>
    </row>
    <row r="16" spans="1:17" ht="55.5" customHeight="1" x14ac:dyDescent="0.3">
      <c r="A16" s="1290" t="s">
        <v>1330</v>
      </c>
      <c r="B16" s="1289" t="s">
        <v>266</v>
      </c>
      <c r="C16" s="790" t="s">
        <v>267</v>
      </c>
      <c r="D16" s="803" t="s">
        <v>268</v>
      </c>
      <c r="E16" s="815">
        <v>2</v>
      </c>
      <c r="F16" s="32">
        <v>1207729</v>
      </c>
      <c r="G16" s="32">
        <f>ROUND((E16*F16),0)</f>
        <v>2415458</v>
      </c>
      <c r="H16" s="1513" t="s">
        <v>2083</v>
      </c>
      <c r="I16" s="537">
        <f>2*75%</f>
        <v>1.5</v>
      </c>
      <c r="J16" s="752">
        <f>ROUND(I16*F16,0)</f>
        <v>1811594</v>
      </c>
      <c r="K16" s="753">
        <f t="shared" si="0"/>
        <v>0.7500002070000803</v>
      </c>
      <c r="L16" s="891">
        <v>0</v>
      </c>
      <c r="M16" s="892">
        <f>ROUND(L16*F16,0)</f>
        <v>0</v>
      </c>
      <c r="N16" s="893">
        <f t="shared" si="2"/>
        <v>0</v>
      </c>
      <c r="O16" s="799">
        <f t="shared" ref="O16:O20" si="4">I16+L16</f>
        <v>1.5</v>
      </c>
      <c r="P16" s="685">
        <f t="shared" si="3"/>
        <v>1811594</v>
      </c>
      <c r="Q16" s="684">
        <f t="shared" ref="Q16" si="5">+P16/G16</f>
        <v>0.7500002070000803</v>
      </c>
    </row>
    <row r="17" spans="1:17" x14ac:dyDescent="0.3">
      <c r="A17" s="1289"/>
      <c r="B17" s="1289"/>
      <c r="C17" s="39"/>
      <c r="D17" s="39" t="s">
        <v>229</v>
      </c>
      <c r="E17" s="41"/>
      <c r="F17" s="854"/>
      <c r="G17" s="42">
        <f>G16</f>
        <v>2415458</v>
      </c>
      <c r="H17" s="1513"/>
      <c r="I17" s="40"/>
      <c r="J17" s="683">
        <f>SUM(J15:J16)</f>
        <v>4776020</v>
      </c>
      <c r="K17" s="519">
        <f t="shared" si="0"/>
        <v>1.9772730471819424</v>
      </c>
      <c r="L17" s="40"/>
      <c r="M17" s="683">
        <f>SUM(M15:M16)</f>
        <v>0</v>
      </c>
      <c r="N17" s="1100">
        <f t="shared" si="2"/>
        <v>0</v>
      </c>
      <c r="O17" s="1106"/>
      <c r="P17" s="1107">
        <f t="shared" si="3"/>
        <v>4776020</v>
      </c>
      <c r="Q17" s="519">
        <f>P17/G17</f>
        <v>1.9772730471819424</v>
      </c>
    </row>
    <row r="18" spans="1:17" ht="60" customHeight="1" x14ac:dyDescent="0.3">
      <c r="A18" s="1290" t="s">
        <v>1330</v>
      </c>
      <c r="B18" s="1289" t="s">
        <v>269</v>
      </c>
      <c r="C18" s="790" t="s">
        <v>270</v>
      </c>
      <c r="D18" s="803" t="s">
        <v>271</v>
      </c>
      <c r="E18" s="31">
        <f>0.1*9</f>
        <v>0.9</v>
      </c>
      <c r="F18" s="32">
        <v>5855657</v>
      </c>
      <c r="G18" s="32">
        <f>ROUND((E18*F18),0)</f>
        <v>5270091</v>
      </c>
      <c r="H18" s="1290" t="s">
        <v>2084</v>
      </c>
      <c r="I18" s="891">
        <v>0</v>
      </c>
      <c r="J18" s="892">
        <f>ROUND(I18*F18,0)</f>
        <v>0</v>
      </c>
      <c r="K18" s="893">
        <f t="shared" si="0"/>
        <v>0</v>
      </c>
      <c r="L18" s="891">
        <v>0</v>
      </c>
      <c r="M18" s="892">
        <f>ROUND(L18*F18,0)</f>
        <v>0</v>
      </c>
      <c r="N18" s="893">
        <f t="shared" si="2"/>
        <v>0</v>
      </c>
      <c r="O18" s="799">
        <f t="shared" si="4"/>
        <v>0</v>
      </c>
      <c r="P18" s="685">
        <f t="shared" si="3"/>
        <v>0</v>
      </c>
      <c r="Q18" s="684">
        <f t="shared" ref="Q18" si="6">+P18/G18</f>
        <v>0</v>
      </c>
    </row>
    <row r="19" spans="1:17" x14ac:dyDescent="0.3">
      <c r="A19" s="1289"/>
      <c r="B19" s="1289"/>
      <c r="C19" s="39"/>
      <c r="D19" s="39" t="s">
        <v>215</v>
      </c>
      <c r="E19" s="40"/>
      <c r="F19" s="854"/>
      <c r="G19" s="42">
        <f>G18</f>
        <v>5270091</v>
      </c>
      <c r="H19" s="1289"/>
      <c r="I19" s="40"/>
      <c r="J19" s="683">
        <f>SUM(J17:J18)</f>
        <v>4776020</v>
      </c>
      <c r="K19" s="519">
        <f t="shared" si="0"/>
        <v>0.90625000592968885</v>
      </c>
      <c r="L19" s="40"/>
      <c r="M19" s="683">
        <f>SUM(M17:M18)</f>
        <v>0</v>
      </c>
      <c r="N19" s="1100">
        <f t="shared" si="2"/>
        <v>0</v>
      </c>
      <c r="O19" s="1106"/>
      <c r="P19" s="1107">
        <f t="shared" si="3"/>
        <v>4776020</v>
      </c>
      <c r="Q19" s="519">
        <f>P19/G19</f>
        <v>0.90625000592968885</v>
      </c>
    </row>
    <row r="20" spans="1:17" ht="66" customHeight="1" x14ac:dyDescent="0.3">
      <c r="A20" s="1290" t="s">
        <v>1330</v>
      </c>
      <c r="B20" s="1289" t="s">
        <v>275</v>
      </c>
      <c r="C20" s="790" t="s">
        <v>276</v>
      </c>
      <c r="D20" s="803" t="s">
        <v>277</v>
      </c>
      <c r="E20" s="31">
        <f>12.23*10</f>
        <v>122.30000000000001</v>
      </c>
      <c r="F20" s="32">
        <v>73196</v>
      </c>
      <c r="G20" s="32">
        <f>ROUND((E20*F20),0)</f>
        <v>8951871</v>
      </c>
      <c r="H20" s="1513" t="s">
        <v>2085</v>
      </c>
      <c r="I20" s="799">
        <v>0</v>
      </c>
      <c r="J20" s="685">
        <f>ROUND(I20*F20,0)</f>
        <v>0</v>
      </c>
      <c r="K20" s="684">
        <f t="shared" si="0"/>
        <v>0</v>
      </c>
      <c r="L20" s="799">
        <v>0</v>
      </c>
      <c r="M20" s="685">
        <f>ROUND(L20*F20,0)</f>
        <v>0</v>
      </c>
      <c r="N20" s="893">
        <f t="shared" si="2"/>
        <v>0</v>
      </c>
      <c r="O20" s="799">
        <f t="shared" si="4"/>
        <v>0</v>
      </c>
      <c r="P20" s="685">
        <f t="shared" si="3"/>
        <v>0</v>
      </c>
      <c r="Q20" s="684">
        <f t="shared" ref="Q20" si="7">+P20/G20</f>
        <v>0</v>
      </c>
    </row>
    <row r="21" spans="1:17" x14ac:dyDescent="0.3">
      <c r="A21" s="1289"/>
      <c r="B21" s="1289"/>
      <c r="C21" s="39"/>
      <c r="D21" s="39" t="s">
        <v>278</v>
      </c>
      <c r="E21" s="40"/>
      <c r="F21" s="854"/>
      <c r="G21" s="42">
        <f>G20</f>
        <v>8951871</v>
      </c>
      <c r="H21" s="1513"/>
      <c r="I21" s="40"/>
      <c r="J21" s="683">
        <f>SUM(J19:J20)</f>
        <v>4776020</v>
      </c>
      <c r="K21" s="519">
        <f t="shared" si="0"/>
        <v>0.53352198663273853</v>
      </c>
      <c r="L21" s="40"/>
      <c r="M21" s="683">
        <f>SUM(M19:M20)</f>
        <v>0</v>
      </c>
      <c r="N21" s="1100">
        <f t="shared" si="2"/>
        <v>0</v>
      </c>
      <c r="O21" s="1108"/>
      <c r="P21" s="1107">
        <f t="shared" si="3"/>
        <v>4776020</v>
      </c>
      <c r="Q21" s="519">
        <f>P21/G21</f>
        <v>0.53352198663273853</v>
      </c>
    </row>
    <row r="22" spans="1:17" s="804" customFormat="1" x14ac:dyDescent="0.3">
      <c r="F22" s="836" t="s">
        <v>1740</v>
      </c>
      <c r="G22" s="837">
        <f>SUM(G20:G21)/2</f>
        <v>8951871</v>
      </c>
      <c r="I22" s="547" t="s">
        <v>64</v>
      </c>
      <c r="J22" s="855">
        <f>SUM(J21)</f>
        <v>4776020</v>
      </c>
      <c r="L22" s="547" t="s">
        <v>64</v>
      </c>
      <c r="M22" s="855">
        <f>SUM(M21)</f>
        <v>0</v>
      </c>
      <c r="N22" s="1054"/>
      <c r="O22" s="547" t="s">
        <v>64</v>
      </c>
      <c r="P22" s="835">
        <f>SUM(P21)</f>
        <v>4776020</v>
      </c>
    </row>
    <row r="23" spans="1:17" s="804" customFormat="1" ht="26.4" x14ac:dyDescent="0.3">
      <c r="F23" s="548" t="s">
        <v>65</v>
      </c>
      <c r="G23" s="481">
        <v>0</v>
      </c>
      <c r="I23" s="548" t="s">
        <v>65</v>
      </c>
      <c r="J23" s="677">
        <v>0</v>
      </c>
      <c r="L23" s="548" t="s">
        <v>65</v>
      </c>
      <c r="M23" s="677">
        <v>0</v>
      </c>
      <c r="N23" s="1054"/>
      <c r="O23" s="548" t="s">
        <v>65</v>
      </c>
      <c r="P23" s="677">
        <v>0</v>
      </c>
    </row>
    <row r="24" spans="1:17" s="804" customFormat="1" x14ac:dyDescent="0.3">
      <c r="F24" s="549" t="s">
        <v>1740</v>
      </c>
      <c r="G24" s="340">
        <f>+G23+G22</f>
        <v>8951871</v>
      </c>
      <c r="I24" s="549" t="s">
        <v>64</v>
      </c>
      <c r="J24" s="481">
        <f>J22+J23</f>
        <v>4776020</v>
      </c>
      <c r="L24" s="549" t="s">
        <v>64</v>
      </c>
      <c r="M24" s="481">
        <f>M22+M23</f>
        <v>0</v>
      </c>
      <c r="N24" s="1054"/>
      <c r="O24" s="549" t="s">
        <v>64</v>
      </c>
      <c r="P24" s="481">
        <f>P22+P23</f>
        <v>4776020</v>
      </c>
    </row>
    <row r="25" spans="1:17" s="804" customFormat="1" ht="18" customHeight="1" x14ac:dyDescent="0.3">
      <c r="F25" s="810"/>
      <c r="G25" s="810"/>
      <c r="I25" s="501" t="s">
        <v>1439</v>
      </c>
      <c r="J25" s="481">
        <f>ROUND(J24*0.015,0)</f>
        <v>71640</v>
      </c>
      <c r="L25" s="501" t="s">
        <v>1439</v>
      </c>
      <c r="M25" s="481">
        <f>ROUND(M24*0.015,0)</f>
        <v>0</v>
      </c>
      <c r="N25" s="1054"/>
      <c r="O25" s="501" t="s">
        <v>1439</v>
      </c>
      <c r="P25" s="481">
        <f>ROUND(P24*0.015,0)</f>
        <v>71640</v>
      </c>
    </row>
    <row r="26" spans="1:17" s="804" customFormat="1" ht="27.75" customHeight="1" x14ac:dyDescent="0.3">
      <c r="F26" s="810"/>
      <c r="G26" s="810"/>
      <c r="I26" s="96" t="s">
        <v>1440</v>
      </c>
      <c r="J26" s="783">
        <f>J24+J25</f>
        <v>4847660</v>
      </c>
      <c r="K26" s="856">
        <f>J26/G22</f>
        <v>0.54152478291968242</v>
      </c>
      <c r="L26" s="96" t="s">
        <v>1440</v>
      </c>
      <c r="M26" s="783">
        <f>M24+M25</f>
        <v>0</v>
      </c>
      <c r="N26" s="856">
        <f>M26/G22</f>
        <v>0</v>
      </c>
      <c r="O26" s="96" t="s">
        <v>1440</v>
      </c>
      <c r="P26" s="425">
        <f>P24+P25</f>
        <v>4847660</v>
      </c>
      <c r="Q26" s="857">
        <f>P26/G22</f>
        <v>0.54152478291968242</v>
      </c>
    </row>
    <row r="27" spans="1:17" s="804" customFormat="1" x14ac:dyDescent="0.3">
      <c r="F27" s="551" t="s">
        <v>66</v>
      </c>
      <c r="G27" s="481">
        <f>+G22*19%</f>
        <v>1700855.49</v>
      </c>
      <c r="I27" s="551" t="s">
        <v>66</v>
      </c>
      <c r="J27" s="672">
        <f>J26*0.19</f>
        <v>921055.4</v>
      </c>
      <c r="L27" s="551" t="s">
        <v>66</v>
      </c>
      <c r="M27" s="672">
        <f>M26*0.19</f>
        <v>0</v>
      </c>
      <c r="N27" s="1054"/>
      <c r="O27" s="551" t="s">
        <v>66</v>
      </c>
      <c r="P27" s="672">
        <f>P26*0.19</f>
        <v>921055.4</v>
      </c>
    </row>
    <row r="28" spans="1:17" s="804" customFormat="1" x14ac:dyDescent="0.3">
      <c r="F28" s="552" t="s">
        <v>69</v>
      </c>
      <c r="G28" s="481">
        <f>+G22+G27</f>
        <v>10652726.49</v>
      </c>
      <c r="I28" s="552" t="s">
        <v>69</v>
      </c>
      <c r="J28" s="672">
        <f>J26+J27</f>
        <v>5768715.4000000004</v>
      </c>
      <c r="L28" s="552" t="s">
        <v>69</v>
      </c>
      <c r="M28" s="672">
        <f>M26+M27</f>
        <v>0</v>
      </c>
      <c r="N28" s="1054"/>
      <c r="O28" s="552" t="s">
        <v>69</v>
      </c>
      <c r="P28" s="672">
        <f>P26+P27</f>
        <v>5768715.4000000004</v>
      </c>
    </row>
    <row r="29" spans="1:17" s="804" customFormat="1" x14ac:dyDescent="0.3">
      <c r="L29" s="1054"/>
      <c r="M29" s="1054"/>
      <c r="N29" s="1054"/>
    </row>
    <row r="30" spans="1:17" s="804" customFormat="1" ht="38.25" customHeight="1" x14ac:dyDescent="0.3">
      <c r="A30" s="665" t="s">
        <v>67</v>
      </c>
      <c r="B30" s="184"/>
      <c r="C30" s="184"/>
      <c r="D30" s="185" t="s">
        <v>68</v>
      </c>
      <c r="I30" s="186" t="s">
        <v>70</v>
      </c>
      <c r="J30" s="187" t="s">
        <v>71</v>
      </c>
      <c r="K30" s="186" t="s">
        <v>58</v>
      </c>
      <c r="L30" s="186" t="s">
        <v>70</v>
      </c>
      <c r="M30" s="187" t="s">
        <v>71</v>
      </c>
      <c r="N30" s="186" t="s">
        <v>58</v>
      </c>
    </row>
    <row r="31" spans="1:17" s="804" customFormat="1" x14ac:dyDescent="0.3">
      <c r="A31" s="665"/>
      <c r="B31" s="184"/>
      <c r="C31" s="184"/>
      <c r="D31" s="185"/>
      <c r="I31" s="69" t="s">
        <v>72</v>
      </c>
      <c r="J31" s="70">
        <f>J26</f>
        <v>4847660</v>
      </c>
      <c r="K31" s="360">
        <f>K26</f>
        <v>0.54152478291968242</v>
      </c>
      <c r="L31" s="69" t="s">
        <v>72</v>
      </c>
      <c r="M31" s="70">
        <f>$J$26</f>
        <v>4847660</v>
      </c>
      <c r="N31" s="360">
        <f>$K$26</f>
        <v>0.54152478291968242</v>
      </c>
    </row>
    <row r="32" spans="1:17" s="804" customFormat="1" x14ac:dyDescent="0.3">
      <c r="A32" s="665"/>
      <c r="B32" s="184"/>
      <c r="C32" s="184"/>
      <c r="D32" s="185"/>
      <c r="I32" s="72" t="s">
        <v>1</v>
      </c>
      <c r="J32" s="105">
        <f>J31</f>
        <v>4847660</v>
      </c>
      <c r="K32" s="361">
        <f>K31</f>
        <v>0.54152478291968242</v>
      </c>
      <c r="L32" s="69" t="s">
        <v>73</v>
      </c>
      <c r="M32" s="70">
        <f>$M$26</f>
        <v>0</v>
      </c>
      <c r="N32" s="360">
        <f>$N$26</f>
        <v>0</v>
      </c>
    </row>
    <row r="33" spans="1:14" s="804" customFormat="1" x14ac:dyDescent="0.3">
      <c r="A33" s="665"/>
      <c r="B33" s="184"/>
      <c r="C33" s="184"/>
      <c r="D33" s="185"/>
      <c r="I33" s="72" t="s">
        <v>9</v>
      </c>
      <c r="J33" s="1423"/>
      <c r="K33" s="1424"/>
      <c r="L33" s="72" t="s">
        <v>1</v>
      </c>
      <c r="M33" s="105">
        <f>SUM(M31:M32)</f>
        <v>4847660</v>
      </c>
      <c r="N33" s="361">
        <f>SUM(N31:N32)</f>
        <v>0.54152478291968242</v>
      </c>
    </row>
    <row r="34" spans="1:14" s="804" customFormat="1" x14ac:dyDescent="0.3">
      <c r="A34" s="665"/>
      <c r="B34" s="184"/>
      <c r="C34" s="184"/>
      <c r="D34" s="185"/>
      <c r="I34" s="440" t="s">
        <v>78</v>
      </c>
      <c r="J34" s="1423" t="s">
        <v>2072</v>
      </c>
      <c r="K34" s="1424"/>
      <c r="L34" s="72" t="s">
        <v>9</v>
      </c>
      <c r="M34" s="1423"/>
      <c r="N34" s="1424"/>
    </row>
    <row r="35" spans="1:14" s="804" customFormat="1" x14ac:dyDescent="0.3">
      <c r="A35" s="665"/>
      <c r="B35" s="184"/>
      <c r="C35" s="184"/>
      <c r="D35" s="185"/>
      <c r="I35" s="439" t="s">
        <v>8</v>
      </c>
      <c r="J35" s="1425" t="s">
        <v>2073</v>
      </c>
      <c r="K35" s="1426"/>
      <c r="L35" s="440" t="s">
        <v>78</v>
      </c>
      <c r="M35" s="1423" t="s">
        <v>2072</v>
      </c>
      <c r="N35" s="1424"/>
    </row>
    <row r="36" spans="1:14" s="804" customFormat="1" x14ac:dyDescent="0.3">
      <c r="A36" s="665"/>
      <c r="B36" s="184"/>
      <c r="C36" s="184"/>
      <c r="D36" s="185" t="s">
        <v>75</v>
      </c>
      <c r="L36" s="439" t="s">
        <v>8</v>
      </c>
      <c r="M36" s="1425" t="s">
        <v>2073</v>
      </c>
      <c r="N36" s="1426"/>
    </row>
    <row r="37" spans="1:14" s="804" customFormat="1" x14ac:dyDescent="0.3">
      <c r="A37" s="665" t="s">
        <v>76</v>
      </c>
      <c r="B37" s="180"/>
      <c r="C37" s="180"/>
      <c r="D37" s="185" t="s">
        <v>77</v>
      </c>
      <c r="L37" s="1054"/>
      <c r="M37" s="1054"/>
      <c r="N37" s="1054"/>
    </row>
    <row r="38" spans="1:14" s="804" customFormat="1" ht="26.4" x14ac:dyDescent="0.3">
      <c r="A38" s="665" t="s">
        <v>79</v>
      </c>
      <c r="B38" s="180"/>
      <c r="C38" s="180"/>
      <c r="D38" s="185" t="s">
        <v>80</v>
      </c>
      <c r="L38" s="1054"/>
      <c r="M38" s="1054"/>
      <c r="N38" s="1054"/>
    </row>
  </sheetData>
  <sheetProtection formatCells="0" formatColumns="0" formatRows="0" insertColumns="0" insertRows="0" insertHyperlinks="0" deleteColumns="0" deleteRows="0" sort="0" autoFilter="0" pivotTables="0"/>
  <mergeCells count="34">
    <mergeCell ref="A10:P10"/>
    <mergeCell ref="B11:F11"/>
    <mergeCell ref="I11:K12"/>
    <mergeCell ref="A5:P5"/>
    <mergeCell ref="A6:P6"/>
    <mergeCell ref="A7:P7"/>
    <mergeCell ref="A8:P8"/>
    <mergeCell ref="A9:P9"/>
    <mergeCell ref="C1:J2"/>
    <mergeCell ref="K1:Q1"/>
    <mergeCell ref="K2:Q2"/>
    <mergeCell ref="A3:P3"/>
    <mergeCell ref="A4:P4"/>
    <mergeCell ref="A20:A21"/>
    <mergeCell ref="B20:B21"/>
    <mergeCell ref="H20:H21"/>
    <mergeCell ref="A14:A15"/>
    <mergeCell ref="B14:B15"/>
    <mergeCell ref="H14:H15"/>
    <mergeCell ref="A16:A17"/>
    <mergeCell ref="B16:B17"/>
    <mergeCell ref="H16:H17"/>
    <mergeCell ref="A18:A19"/>
    <mergeCell ref="B18:B19"/>
    <mergeCell ref="M34:N34"/>
    <mergeCell ref="M35:N35"/>
    <mergeCell ref="M36:N36"/>
    <mergeCell ref="O11:Q12"/>
    <mergeCell ref="B12:F12"/>
    <mergeCell ref="H18:H19"/>
    <mergeCell ref="L11:N12"/>
    <mergeCell ref="J33:K33"/>
    <mergeCell ref="J34:K34"/>
    <mergeCell ref="J35:K35"/>
  </mergeCells>
  <pageMargins left="0.7" right="0.7" top="0.75" bottom="0.75" header="0.3" footer="0.3"/>
  <pageSetup scale="61" orientation="landscape" r:id="rId1"/>
  <drawing r:id="rId2"/>
  <legacyDrawingHF r:id="rId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7">
    <tabColor theme="1"/>
  </sheetPr>
  <dimension ref="A1:G49"/>
  <sheetViews>
    <sheetView topLeftCell="A16" zoomScaleNormal="10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RESUMEN!G159</f>
        <v>Proyecto: CDIM_CBSGSM_R0208.</v>
      </c>
      <c r="C5" s="1281"/>
      <c r="D5" s="1281"/>
      <c r="E5" s="1281"/>
      <c r="F5" s="1281"/>
      <c r="G5" s="1282"/>
    </row>
    <row r="6" spans="1:7" x14ac:dyDescent="0.25">
      <c r="A6" s="1177"/>
      <c r="B6" s="1177"/>
      <c r="C6" s="1177"/>
      <c r="D6" s="1177"/>
      <c r="E6" s="1177"/>
      <c r="F6" s="1177"/>
      <c r="G6" s="1177"/>
    </row>
    <row r="7" spans="1:7" x14ac:dyDescent="0.25">
      <c r="A7" s="271" t="s">
        <v>0</v>
      </c>
      <c r="B7" s="1264">
        <f>RESUMEN!B159</f>
        <v>0</v>
      </c>
      <c r="C7" s="1265"/>
      <c r="D7" s="1177"/>
      <c r="E7" s="1266" t="s">
        <v>627</v>
      </c>
      <c r="F7" s="1267"/>
      <c r="G7" s="280" t="str">
        <f>RESUMEN!E159</f>
        <v xml:space="preserve">18-024 </v>
      </c>
    </row>
    <row r="8" spans="1:7" x14ac:dyDescent="0.25">
      <c r="A8" s="271" t="s">
        <v>628</v>
      </c>
      <c r="B8" s="1264">
        <f>RESUMEN!C159</f>
        <v>0</v>
      </c>
      <c r="C8" s="1265"/>
      <c r="D8" s="1177"/>
      <c r="E8" s="1266" t="s">
        <v>629</v>
      </c>
      <c r="F8" s="1267"/>
      <c r="G8" s="280" t="str">
        <f>RESUMEN!U159</f>
        <v>Acta N° 1: Marzo</v>
      </c>
    </row>
    <row r="9" spans="1:7" x14ac:dyDescent="0.25">
      <c r="A9" s="271" t="s">
        <v>630</v>
      </c>
      <c r="B9" s="1283" t="s">
        <v>631</v>
      </c>
      <c r="C9" s="1265"/>
      <c r="D9" s="1177"/>
      <c r="E9" s="1266" t="s">
        <v>632</v>
      </c>
      <c r="F9" s="1267"/>
      <c r="G9" s="1178">
        <f>RESUMEN!H159</f>
        <v>4969989</v>
      </c>
    </row>
    <row r="10" spans="1:7" x14ac:dyDescent="0.25">
      <c r="A10" s="271" t="s">
        <v>633</v>
      </c>
      <c r="B10" s="1283" t="str">
        <f>RESUMEN!D159</f>
        <v>CENTRO CHÍA</v>
      </c>
      <c r="C10" s="1265"/>
      <c r="D10" s="1177"/>
      <c r="E10" s="1266" t="s">
        <v>634</v>
      </c>
      <c r="F10" s="1267"/>
      <c r="G10" s="1178">
        <f>RESUMEN!R159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RESUMEN!V159,"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",RESUMEN!G159)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CDIM_CBSGSM_R0208.</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RESUMEN!N159</f>
        <v>0</v>
      </c>
      <c r="F19" s="1248"/>
      <c r="G19" s="1177"/>
    </row>
    <row r="20" spans="1:7" ht="27" customHeight="1" x14ac:dyDescent="0.25">
      <c r="A20" s="1177"/>
      <c r="B20" s="1244" t="s">
        <v>1498</v>
      </c>
      <c r="C20" s="1245"/>
      <c r="D20" s="1246"/>
      <c r="E20" s="1247">
        <f>RESUMEN!P159</f>
        <v>0</v>
      </c>
      <c r="F20" s="1248"/>
      <c r="G20" s="1177"/>
    </row>
    <row r="21" spans="1:7" ht="27" customHeight="1" x14ac:dyDescent="0.25">
      <c r="A21" s="1177"/>
      <c r="B21" s="1244" t="s">
        <v>1499</v>
      </c>
      <c r="C21" s="1245"/>
      <c r="D21" s="1246"/>
      <c r="E21" s="1247">
        <f>RESUMEN!Q159</f>
        <v>0</v>
      </c>
      <c r="F21" s="1248"/>
      <c r="G21" s="1177"/>
    </row>
    <row r="22" spans="1:7" x14ac:dyDescent="0.25">
      <c r="A22" s="1177"/>
      <c r="B22" s="1254" t="s">
        <v>64</v>
      </c>
      <c r="C22" s="1254"/>
      <c r="D22" s="1254"/>
      <c r="E22" s="1255">
        <f>RESUMEN!R159</f>
        <v>0</v>
      </c>
      <c r="F22" s="1255"/>
      <c r="G22" s="1177"/>
    </row>
    <row r="23" spans="1:7" x14ac:dyDescent="0.25">
      <c r="A23" s="1177"/>
      <c r="B23" s="1256" t="s">
        <v>66</v>
      </c>
      <c r="C23" s="1256"/>
      <c r="D23" s="1256"/>
      <c r="E23" s="1257">
        <f>RESUMEN!S159</f>
        <v>0</v>
      </c>
      <c r="F23" s="1257"/>
      <c r="G23" s="1177"/>
    </row>
    <row r="24" spans="1:7" x14ac:dyDescent="0.25">
      <c r="A24" s="1177"/>
      <c r="B24" s="1258" t="s">
        <v>1</v>
      </c>
      <c r="C24" s="1258"/>
      <c r="D24" s="1258"/>
      <c r="E24" s="1259">
        <f>RESUMEN!T159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+'OT18-024 CENTRO CHÍA'!I27</f>
        <v>ACTA 1</v>
      </c>
      <c r="C28" s="1253">
        <f>+'OT18-024 CENTRO CHÍA'!J27</f>
        <v>0</v>
      </c>
      <c r="D28" s="1253"/>
      <c r="E28" s="267">
        <f>+'OT18-024 CENTRO CHÍA'!K27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RESUMEN!V159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A48:C48"/>
    <mergeCell ref="E48:G48"/>
    <mergeCell ref="A49:C49"/>
    <mergeCell ref="E49:G49"/>
    <mergeCell ref="A41:C41"/>
    <mergeCell ref="E41:G41"/>
    <mergeCell ref="A42:C42"/>
    <mergeCell ref="E42:G42"/>
    <mergeCell ref="A47:C47"/>
    <mergeCell ref="E47:G47"/>
    <mergeCell ref="A40:C40"/>
    <mergeCell ref="E40:G40"/>
    <mergeCell ref="B24:D24"/>
    <mergeCell ref="E24:F24"/>
    <mergeCell ref="C27:D27"/>
    <mergeCell ref="C28:D28"/>
    <mergeCell ref="C29:D29"/>
    <mergeCell ref="C30:D30"/>
    <mergeCell ref="C31:D31"/>
    <mergeCell ref="C32:D32"/>
    <mergeCell ref="C33:D33"/>
    <mergeCell ref="C34:D34"/>
    <mergeCell ref="A36:G36"/>
    <mergeCell ref="B21:D21"/>
    <mergeCell ref="E21:F21"/>
    <mergeCell ref="B22:D22"/>
    <mergeCell ref="E22:F22"/>
    <mergeCell ref="B23:D23"/>
    <mergeCell ref="E23:F23"/>
    <mergeCell ref="B20:D20"/>
    <mergeCell ref="E20:F20"/>
    <mergeCell ref="B9:C9"/>
    <mergeCell ref="E9:F9"/>
    <mergeCell ref="B10:C10"/>
    <mergeCell ref="E10:F10"/>
    <mergeCell ref="A12:G12"/>
    <mergeCell ref="A14:G14"/>
    <mergeCell ref="A16:G16"/>
    <mergeCell ref="B18:D18"/>
    <mergeCell ref="E18:F18"/>
    <mergeCell ref="B19:D19"/>
    <mergeCell ref="E19:F19"/>
    <mergeCell ref="B8:C8"/>
    <mergeCell ref="E8:F8"/>
    <mergeCell ref="A1:A3"/>
    <mergeCell ref="B1:F3"/>
    <mergeCell ref="B5:G5"/>
    <mergeCell ref="B7:C7"/>
    <mergeCell ref="E7:F7"/>
  </mergeCells>
  <pageMargins left="0.70866141732283472" right="0.70866141732283472" top="0.74803149606299213" bottom="0.74803149606299213" header="0.31496062992125984" footer="0.31496062992125984"/>
  <pageSetup scale="84" orientation="portrait" r:id="rId1"/>
  <drawing r:id="rId2"/>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8"/>
  <dimension ref="A1:N34"/>
  <sheetViews>
    <sheetView zoomScale="70" zoomScaleNormal="70" workbookViewId="0">
      <selection activeCell="A14" sqref="A14:A17"/>
    </sheetView>
  </sheetViews>
  <sheetFormatPr baseColWidth="10" defaultColWidth="9.109375" defaultRowHeight="14.4" x14ac:dyDescent="0.3"/>
  <cols>
    <col min="1" max="1" width="15.109375" style="1044" customWidth="1"/>
    <col min="2" max="2" width="23" style="1044" customWidth="1"/>
    <col min="3" max="3" width="34.88671875" style="1044" customWidth="1"/>
    <col min="4" max="4" width="24.88671875" style="1044" bestFit="1" customWidth="1"/>
    <col min="5" max="5" width="15.5546875" style="1044" customWidth="1"/>
    <col min="6" max="6" width="15.88671875" style="1044" customWidth="1"/>
    <col min="7" max="7" width="18.109375" style="1044" customWidth="1"/>
    <col min="8" max="8" width="44.33203125" style="1044" customWidth="1"/>
    <col min="9" max="9" width="21.109375" style="1044" customWidth="1"/>
    <col min="10" max="10" width="15" style="1044" bestFit="1" customWidth="1"/>
    <col min="11" max="11" width="15.6640625" style="1044" customWidth="1"/>
    <col min="12" max="12" width="9.109375" style="1044"/>
    <col min="13" max="13" width="15" style="1044" bestFit="1" customWidth="1"/>
    <col min="14" max="16384" width="9.109375" style="1044"/>
  </cols>
  <sheetData>
    <row r="1" spans="1:14" ht="30.75" customHeight="1" x14ac:dyDescent="0.3">
      <c r="A1" s="169"/>
      <c r="B1" s="188"/>
      <c r="C1" s="1307" t="s">
        <v>40</v>
      </c>
      <c r="D1" s="1308"/>
      <c r="E1" s="1308"/>
      <c r="F1" s="1308"/>
      <c r="G1" s="1308"/>
      <c r="H1" s="1308"/>
      <c r="I1" s="1308"/>
      <c r="J1" s="1308"/>
      <c r="K1" s="1532" t="s">
        <v>2310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ht="16.5" customHeight="1" x14ac:dyDescent="0.3">
      <c r="A7" s="1291" t="s">
        <v>2311</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2316</v>
      </c>
      <c r="B10" s="1292"/>
      <c r="C10" s="1292"/>
      <c r="D10" s="1292"/>
      <c r="E10" s="1292"/>
      <c r="F10" s="1292"/>
      <c r="G10" s="1292"/>
      <c r="H10" s="1292"/>
      <c r="I10" s="1292"/>
      <c r="J10" s="1292"/>
      <c r="K10" s="1292"/>
      <c r="L10" s="1292"/>
      <c r="M10" s="1292"/>
      <c r="N10" s="831"/>
    </row>
    <row r="11" spans="1:14" x14ac:dyDescent="0.3">
      <c r="A11" s="1041"/>
      <c r="B11" s="1301"/>
      <c r="C11" s="1313"/>
      <c r="D11" s="1313"/>
      <c r="E11" s="1313"/>
      <c r="F11" s="1313"/>
      <c r="H11" s="831"/>
      <c r="I11" s="1470" t="s">
        <v>2313</v>
      </c>
      <c r="J11" s="1471"/>
      <c r="K11" s="1472"/>
      <c r="L11" s="1299" t="s">
        <v>49</v>
      </c>
      <c r="M11" s="1299"/>
      <c r="N11" s="1299"/>
    </row>
    <row r="12" spans="1:14"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53</v>
      </c>
      <c r="E13" s="661" t="s">
        <v>54</v>
      </c>
      <c r="F13" s="858" t="s">
        <v>2007</v>
      </c>
      <c r="G13" s="661" t="s">
        <v>56</v>
      </c>
      <c r="H13" s="660" t="s">
        <v>57</v>
      </c>
      <c r="I13" s="502" t="s">
        <v>54</v>
      </c>
      <c r="J13" s="502" t="s">
        <v>56</v>
      </c>
      <c r="K13" s="502" t="s">
        <v>58</v>
      </c>
      <c r="L13" s="502" t="s">
        <v>54</v>
      </c>
      <c r="M13" s="502" t="s">
        <v>56</v>
      </c>
      <c r="N13" s="502" t="s">
        <v>58</v>
      </c>
    </row>
    <row r="14" spans="1:14" ht="28.8" x14ac:dyDescent="0.3">
      <c r="A14" s="1510" t="s">
        <v>203</v>
      </c>
      <c r="B14" s="1510" t="s">
        <v>324</v>
      </c>
      <c r="C14" s="1046" t="s">
        <v>81</v>
      </c>
      <c r="D14" s="1046" t="s">
        <v>325</v>
      </c>
      <c r="E14" s="1046">
        <v>0.7</v>
      </c>
      <c r="F14" s="646">
        <v>7099984</v>
      </c>
      <c r="G14" s="646">
        <f>ROUND((E14*F14),0)</f>
        <v>4969989</v>
      </c>
      <c r="H14" s="1514" t="s">
        <v>2309</v>
      </c>
      <c r="I14" s="891">
        <v>0</v>
      </c>
      <c r="J14" s="892">
        <f>ROUND(I14*F14,0)</f>
        <v>0</v>
      </c>
      <c r="K14" s="893">
        <f t="shared" ref="K14" si="0">J14/G14</f>
        <v>0</v>
      </c>
      <c r="L14" s="799">
        <f t="shared" ref="L14:M16" si="1">I14</f>
        <v>0</v>
      </c>
      <c r="M14" s="685">
        <f t="shared" si="1"/>
        <v>0</v>
      </c>
      <c r="N14" s="684">
        <f t="shared" ref="N14:N15" si="2">+M14/G14</f>
        <v>0</v>
      </c>
    </row>
    <row r="15" spans="1:14" ht="28.8" x14ac:dyDescent="0.3">
      <c r="A15" s="1510"/>
      <c r="B15" s="1510"/>
      <c r="C15" s="1046" t="s">
        <v>83</v>
      </c>
      <c r="D15" s="1046" t="s">
        <v>326</v>
      </c>
      <c r="E15" s="1046">
        <v>0</v>
      </c>
      <c r="F15" s="646">
        <v>4245352</v>
      </c>
      <c r="G15" s="646">
        <f>ROUND((E15*F15),0)</f>
        <v>0</v>
      </c>
      <c r="H15" s="1510"/>
      <c r="I15" s="891">
        <v>0</v>
      </c>
      <c r="J15" s="892">
        <f>ROUND(I15*F15,0)</f>
        <v>0</v>
      </c>
      <c r="K15" s="893" t="e">
        <f>J15/G15</f>
        <v>#DIV/0!</v>
      </c>
      <c r="L15" s="799">
        <f t="shared" si="1"/>
        <v>0</v>
      </c>
      <c r="M15" s="685">
        <f t="shared" si="1"/>
        <v>0</v>
      </c>
      <c r="N15" s="684" t="e">
        <f t="shared" si="2"/>
        <v>#DIV/0!</v>
      </c>
    </row>
    <row r="16" spans="1:14" ht="28.8" x14ac:dyDescent="0.3">
      <c r="A16" s="1510"/>
      <c r="B16" s="1510"/>
      <c r="C16" s="1046" t="s">
        <v>61</v>
      </c>
      <c r="D16" s="1046" t="s">
        <v>327</v>
      </c>
      <c r="E16" s="1046">
        <v>0</v>
      </c>
      <c r="F16" s="646">
        <v>2708241</v>
      </c>
      <c r="G16" s="646">
        <f>ROUND((E16*F16),0)</f>
        <v>0</v>
      </c>
      <c r="H16" s="1510"/>
      <c r="I16" s="891">
        <v>0</v>
      </c>
      <c r="J16" s="892">
        <f>ROUND(I16*F16,0)</f>
        <v>0</v>
      </c>
      <c r="K16" s="893" t="e">
        <f t="shared" ref="K16:K17" si="3">J16/G16</f>
        <v>#DIV/0!</v>
      </c>
      <c r="L16" s="799">
        <f t="shared" si="1"/>
        <v>0</v>
      </c>
      <c r="M16" s="685">
        <f t="shared" si="1"/>
        <v>0</v>
      </c>
      <c r="N16" s="684" t="e">
        <f t="shared" ref="N16" si="4">+M16/G16</f>
        <v>#DIV/0!</v>
      </c>
    </row>
    <row r="17" spans="1:14" x14ac:dyDescent="0.3">
      <c r="A17" s="1510"/>
      <c r="B17" s="1510"/>
      <c r="C17" s="647"/>
      <c r="D17" s="647" t="s">
        <v>328</v>
      </c>
      <c r="E17" s="648"/>
      <c r="F17" s="648"/>
      <c r="G17" s="649">
        <f>SUM(G14:G16)</f>
        <v>4969989</v>
      </c>
      <c r="H17" s="1510"/>
      <c r="I17" s="40"/>
      <c r="J17" s="683">
        <f>SUM(J14:J16)</f>
        <v>0</v>
      </c>
      <c r="K17" s="519">
        <f t="shared" si="3"/>
        <v>0</v>
      </c>
      <c r="L17" s="40"/>
      <c r="M17" s="683">
        <f>SUM(M14:M16)</f>
        <v>0</v>
      </c>
      <c r="N17" s="519">
        <f>M17/G17</f>
        <v>0</v>
      </c>
    </row>
    <row r="18" spans="1:14" ht="26.4" x14ac:dyDescent="0.3">
      <c r="F18" s="547" t="s">
        <v>64</v>
      </c>
      <c r="G18" s="855">
        <f>SUM(G17)</f>
        <v>4969989</v>
      </c>
      <c r="I18" s="547" t="s">
        <v>64</v>
      </c>
      <c r="J18" s="855">
        <f>SUM(J17)</f>
        <v>0</v>
      </c>
      <c r="L18" s="547" t="s">
        <v>64</v>
      </c>
      <c r="M18" s="835">
        <f>SUM(M17)</f>
        <v>0</v>
      </c>
    </row>
    <row r="19" spans="1:14" ht="26.4" x14ac:dyDescent="0.3">
      <c r="F19" s="548" t="s">
        <v>65</v>
      </c>
      <c r="G19" s="677">
        <v>0</v>
      </c>
      <c r="I19" s="548" t="s">
        <v>65</v>
      </c>
      <c r="J19" s="677">
        <v>0</v>
      </c>
      <c r="L19" s="548" t="s">
        <v>65</v>
      </c>
      <c r="M19" s="677">
        <v>0</v>
      </c>
    </row>
    <row r="20" spans="1:14" ht="26.4" x14ac:dyDescent="0.3">
      <c r="F20" s="549" t="s">
        <v>64</v>
      </c>
      <c r="G20" s="481">
        <f>G18+G19</f>
        <v>4969989</v>
      </c>
      <c r="I20" s="549" t="s">
        <v>64</v>
      </c>
      <c r="J20" s="481">
        <f>J18+J19</f>
        <v>0</v>
      </c>
      <c r="L20" s="549" t="s">
        <v>64</v>
      </c>
      <c r="M20" s="481">
        <f>M18+M19</f>
        <v>0</v>
      </c>
    </row>
    <row r="21" spans="1:14" ht="18" customHeight="1" x14ac:dyDescent="0.3">
      <c r="F21" s="501" t="s">
        <v>1439</v>
      </c>
      <c r="G21" s="481">
        <f>ROUND(G20*0.015,0)</f>
        <v>74550</v>
      </c>
      <c r="I21" s="501" t="s">
        <v>1439</v>
      </c>
      <c r="J21" s="481">
        <f>ROUND(J20*0.015,0)</f>
        <v>0</v>
      </c>
      <c r="L21" s="501" t="s">
        <v>1439</v>
      </c>
      <c r="M21" s="481">
        <f>ROUND(M20*0.015,0)</f>
        <v>0</v>
      </c>
    </row>
    <row r="22" spans="1:14" ht="27.75" customHeight="1" x14ac:dyDescent="0.3">
      <c r="F22" s="96" t="s">
        <v>1440</v>
      </c>
      <c r="G22" s="783">
        <f>G20+G21</f>
        <v>5044539</v>
      </c>
      <c r="I22" s="96" t="s">
        <v>1440</v>
      </c>
      <c r="J22" s="783">
        <f>J20+J21</f>
        <v>0</v>
      </c>
      <c r="K22" s="856">
        <f>J22/G18</f>
        <v>0</v>
      </c>
      <c r="L22" s="96" t="s">
        <v>1440</v>
      </c>
      <c r="M22" s="425">
        <f>M20+M21</f>
        <v>0</v>
      </c>
      <c r="N22" s="857">
        <f>M22/G18</f>
        <v>0</v>
      </c>
    </row>
    <row r="23" spans="1:14" x14ac:dyDescent="0.3">
      <c r="F23" s="551" t="s">
        <v>66</v>
      </c>
      <c r="G23" s="672">
        <f>G22*0.19</f>
        <v>958462.41</v>
      </c>
      <c r="I23" s="551" t="s">
        <v>66</v>
      </c>
      <c r="J23" s="672">
        <f>J22*0.19</f>
        <v>0</v>
      </c>
      <c r="L23" s="551" t="s">
        <v>66</v>
      </c>
      <c r="M23" s="672">
        <f>M22*0.19</f>
        <v>0</v>
      </c>
    </row>
    <row r="24" spans="1:14" x14ac:dyDescent="0.3">
      <c r="F24" s="552" t="s">
        <v>69</v>
      </c>
      <c r="G24" s="672">
        <f>G22+G23</f>
        <v>6003001.4100000001</v>
      </c>
      <c r="I24" s="552" t="s">
        <v>69</v>
      </c>
      <c r="J24" s="672">
        <f>J22+J23</f>
        <v>0</v>
      </c>
      <c r="L24" s="552" t="s">
        <v>69</v>
      </c>
      <c r="M24" s="672">
        <f>M22+M23</f>
        <v>0</v>
      </c>
    </row>
    <row r="26" spans="1:14" ht="38.25" customHeight="1" x14ac:dyDescent="0.3">
      <c r="A26" s="665" t="s">
        <v>67</v>
      </c>
      <c r="B26" s="184"/>
      <c r="C26" s="184"/>
      <c r="D26" s="185" t="s">
        <v>68</v>
      </c>
      <c r="I26" s="186" t="s">
        <v>70</v>
      </c>
      <c r="J26" s="187" t="s">
        <v>71</v>
      </c>
      <c r="K26" s="186" t="s">
        <v>58</v>
      </c>
    </row>
    <row r="27" spans="1:14" x14ac:dyDescent="0.3">
      <c r="A27" s="665"/>
      <c r="B27" s="184"/>
      <c r="C27" s="184"/>
      <c r="D27" s="185"/>
      <c r="I27" s="69" t="s">
        <v>72</v>
      </c>
      <c r="J27" s="70">
        <f>J22</f>
        <v>0</v>
      </c>
      <c r="K27" s="360">
        <f>K22</f>
        <v>0</v>
      </c>
    </row>
    <row r="28" spans="1:14" x14ac:dyDescent="0.3">
      <c r="A28" s="665"/>
      <c r="B28" s="184"/>
      <c r="C28" s="184"/>
      <c r="D28" s="185"/>
      <c r="I28" s="72" t="s">
        <v>1</v>
      </c>
      <c r="J28" s="105">
        <f>J27</f>
        <v>0</v>
      </c>
      <c r="K28" s="361">
        <f>K27</f>
        <v>0</v>
      </c>
    </row>
    <row r="29" spans="1:14" x14ac:dyDescent="0.3">
      <c r="A29" s="665"/>
      <c r="B29" s="184"/>
      <c r="C29" s="184"/>
      <c r="D29" s="185"/>
      <c r="I29" s="72" t="s">
        <v>9</v>
      </c>
      <c r="J29" s="1423"/>
      <c r="K29" s="1424"/>
    </row>
    <row r="30" spans="1:14" x14ac:dyDescent="0.3">
      <c r="A30" s="665"/>
      <c r="B30" s="184"/>
      <c r="C30" s="184"/>
      <c r="D30" s="185"/>
      <c r="I30" s="440" t="s">
        <v>78</v>
      </c>
      <c r="J30" s="1423"/>
      <c r="K30" s="1424"/>
    </row>
    <row r="31" spans="1:14" x14ac:dyDescent="0.3">
      <c r="A31" s="665"/>
      <c r="B31" s="184"/>
      <c r="C31" s="184"/>
      <c r="D31" s="185"/>
      <c r="I31" s="439" t="s">
        <v>8</v>
      </c>
      <c r="J31" s="1425"/>
      <c r="K31" s="1426"/>
    </row>
    <row r="32" spans="1:14" x14ac:dyDescent="0.3">
      <c r="A32" s="665"/>
      <c r="B32" s="184"/>
      <c r="C32" s="184"/>
      <c r="D32" s="185" t="s">
        <v>75</v>
      </c>
    </row>
    <row r="33" spans="1:4" x14ac:dyDescent="0.3">
      <c r="A33" s="665" t="s">
        <v>76</v>
      </c>
      <c r="B33" s="180"/>
      <c r="C33" s="180"/>
      <c r="D33" s="185" t="s">
        <v>77</v>
      </c>
    </row>
    <row r="34" spans="1:4" ht="26.4" x14ac:dyDescent="0.3">
      <c r="A34" s="665" t="s">
        <v>79</v>
      </c>
      <c r="B34" s="180"/>
      <c r="C34" s="180"/>
      <c r="D34" s="185" t="s">
        <v>80</v>
      </c>
    </row>
  </sheetData>
  <sheetProtection formatCells="0" formatColumns="0" formatRows="0" insertColumns="0" insertRows="0" insertHyperlinks="0" deleteColumns="0" deleteRows="0" sort="0" autoFilter="0" pivotTables="0"/>
  <mergeCells count="21">
    <mergeCell ref="J29:K29"/>
    <mergeCell ref="J30:K30"/>
    <mergeCell ref="J31:K31"/>
    <mergeCell ref="A6:M6"/>
    <mergeCell ref="A7:M7"/>
    <mergeCell ref="A8:M8"/>
    <mergeCell ref="A9:M9"/>
    <mergeCell ref="A10:M10"/>
    <mergeCell ref="B11:F11"/>
    <mergeCell ref="I11:K12"/>
    <mergeCell ref="L11:N12"/>
    <mergeCell ref="B12:F12"/>
    <mergeCell ref="A5:M5"/>
    <mergeCell ref="A14:A17"/>
    <mergeCell ref="B14:B17"/>
    <mergeCell ref="H14:H17"/>
    <mergeCell ref="C1:J2"/>
    <mergeCell ref="K1:N1"/>
    <mergeCell ref="K2:N2"/>
    <mergeCell ref="A3:M3"/>
    <mergeCell ref="A4:M4"/>
  </mergeCells>
  <pageMargins left="0.7" right="0.7" top="0.75" bottom="0.75" header="0.3" footer="0.3"/>
  <pageSetup paperSize="9" scale="66" orientation="landscape" r:id="rId1"/>
  <drawing r:id="rId2"/>
  <legacyDrawingHF r:id="rId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1"/>
  <dimension ref="A1:G49"/>
  <sheetViews>
    <sheetView topLeftCell="A16" workbookViewId="0">
      <selection activeCell="H37" sqref="H36:H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RESUMEN!G160</f>
        <v xml:space="preserve">Proyecto: CDIM_CAOLIG_R0078 - RES. CREG 038-14 </v>
      </c>
      <c r="C5" s="1281"/>
      <c r="D5" s="1281"/>
      <c r="E5" s="1281"/>
      <c r="F5" s="1281"/>
      <c r="G5" s="1282"/>
    </row>
    <row r="6" spans="1:7" x14ac:dyDescent="0.25">
      <c r="A6" s="1177"/>
      <c r="B6" s="1177"/>
      <c r="C6" s="1177"/>
      <c r="D6" s="1177"/>
      <c r="E6" s="1177"/>
      <c r="F6" s="1177"/>
      <c r="G6" s="1177"/>
    </row>
    <row r="7" spans="1:7" x14ac:dyDescent="0.25">
      <c r="A7" s="271" t="s">
        <v>0</v>
      </c>
      <c r="B7" s="1264">
        <f>RESUMEN!B160</f>
        <v>0</v>
      </c>
      <c r="C7" s="1265"/>
      <c r="D7" s="1177"/>
      <c r="E7" s="1266" t="s">
        <v>627</v>
      </c>
      <c r="F7" s="1267"/>
      <c r="G7" s="280" t="str">
        <f>RESUMEN!E160</f>
        <v xml:space="preserve">18-025 </v>
      </c>
    </row>
    <row r="8" spans="1:7" x14ac:dyDescent="0.25">
      <c r="A8" s="271" t="s">
        <v>628</v>
      </c>
      <c r="B8" s="1264">
        <f>RESUMEN!C160</f>
        <v>0</v>
      </c>
      <c r="C8" s="1265"/>
      <c r="D8" s="1177"/>
      <c r="E8" s="1266" t="s">
        <v>629</v>
      </c>
      <c r="F8" s="1267"/>
      <c r="G8" s="280" t="str">
        <f>RESUMEN!U160</f>
        <v>Acta N° 1: Marzo</v>
      </c>
    </row>
    <row r="9" spans="1:7" x14ac:dyDescent="0.25">
      <c r="A9" s="271" t="s">
        <v>630</v>
      </c>
      <c r="B9" s="1283" t="s">
        <v>631</v>
      </c>
      <c r="C9" s="1265"/>
      <c r="D9" s="1177"/>
      <c r="E9" s="1266" t="s">
        <v>632</v>
      </c>
      <c r="F9" s="1267"/>
      <c r="G9" s="1178">
        <f>RESUMEN!H160</f>
        <v>2320304</v>
      </c>
    </row>
    <row r="10" spans="1:7" x14ac:dyDescent="0.25">
      <c r="A10" s="271" t="s">
        <v>633</v>
      </c>
      <c r="B10" s="1283" t="str">
        <f>RESUMEN!D160</f>
        <v xml:space="preserve">NAMAY </v>
      </c>
      <c r="C10" s="1265"/>
      <c r="D10" s="1177"/>
      <c r="E10" s="1266" t="s">
        <v>634</v>
      </c>
      <c r="F10" s="1267"/>
      <c r="G10" s="1178">
        <f>RESUMEN!R160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",RESUMEN!G160)</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RESUMEN!N160</f>
        <v>0</v>
      </c>
      <c r="F19" s="1248"/>
      <c r="G19" s="1177"/>
    </row>
    <row r="20" spans="1:7" ht="27" customHeight="1" x14ac:dyDescent="0.25">
      <c r="A20" s="1177"/>
      <c r="B20" s="1244" t="s">
        <v>1498</v>
      </c>
      <c r="C20" s="1245"/>
      <c r="D20" s="1246"/>
      <c r="E20" s="1247">
        <f>RESUMEN!P160</f>
        <v>0</v>
      </c>
      <c r="F20" s="1248"/>
      <c r="G20" s="1177"/>
    </row>
    <row r="21" spans="1:7" ht="27" customHeight="1" x14ac:dyDescent="0.25">
      <c r="A21" s="1177"/>
      <c r="B21" s="1244" t="s">
        <v>1499</v>
      </c>
      <c r="C21" s="1245"/>
      <c r="D21" s="1246"/>
      <c r="E21" s="1247">
        <f>RESUMEN!Q160</f>
        <v>0</v>
      </c>
      <c r="F21" s="1248"/>
      <c r="G21" s="1177"/>
    </row>
    <row r="22" spans="1:7" x14ac:dyDescent="0.25">
      <c r="A22" s="1177"/>
      <c r="B22" s="1254" t="s">
        <v>64</v>
      </c>
      <c r="C22" s="1254"/>
      <c r="D22" s="1254"/>
      <c r="E22" s="1255">
        <f>RESUMEN!R160</f>
        <v>0</v>
      </c>
      <c r="F22" s="1255"/>
      <c r="G22" s="1177"/>
    </row>
    <row r="23" spans="1:7" x14ac:dyDescent="0.25">
      <c r="A23" s="1177"/>
      <c r="B23" s="1256" t="s">
        <v>66</v>
      </c>
      <c r="C23" s="1256"/>
      <c r="D23" s="1256"/>
      <c r="E23" s="1257">
        <f>RESUMEN!S160</f>
        <v>0</v>
      </c>
      <c r="F23" s="1257"/>
      <c r="G23" s="1177"/>
    </row>
    <row r="24" spans="1:7" x14ac:dyDescent="0.25">
      <c r="A24" s="1177"/>
      <c r="B24" s="1258" t="s">
        <v>1</v>
      </c>
      <c r="C24" s="1258"/>
      <c r="D24" s="1258"/>
      <c r="E24" s="1259">
        <f>RESUMEN!T160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+'OT18-025 NAMAY '!I27</f>
        <v>ACTA 1</v>
      </c>
      <c r="C28" s="1253">
        <f>+'OT18-025 NAMAY '!J27</f>
        <v>0</v>
      </c>
      <c r="D28" s="1253"/>
      <c r="E28" s="267">
        <f>+'OT18-025 NAMAY '!K27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2"/>
  <dimension ref="A1:N34"/>
  <sheetViews>
    <sheetView zoomScale="60" zoomScaleNormal="60" workbookViewId="0">
      <selection activeCell="G19" sqref="G19"/>
    </sheetView>
  </sheetViews>
  <sheetFormatPr baseColWidth="10" defaultColWidth="9.109375" defaultRowHeight="14.4" x14ac:dyDescent="0.3"/>
  <cols>
    <col min="1" max="1" width="15.109375" style="1054" customWidth="1"/>
    <col min="2" max="2" width="23" style="1054" customWidth="1"/>
    <col min="3" max="3" width="34.88671875" style="1054" customWidth="1"/>
    <col min="4" max="4" width="24.88671875" style="1054" bestFit="1" customWidth="1"/>
    <col min="5" max="5" width="15.5546875" style="1054" customWidth="1"/>
    <col min="6" max="6" width="15.88671875" style="1054" customWidth="1"/>
    <col min="7" max="7" width="18.109375" style="1054" customWidth="1"/>
    <col min="8" max="8" width="44.33203125" style="1054" customWidth="1"/>
    <col min="9" max="9" width="21.109375" style="1054" customWidth="1"/>
    <col min="10" max="10" width="15" style="1054" bestFit="1" customWidth="1"/>
    <col min="11" max="11" width="15.6640625" style="1054" customWidth="1"/>
    <col min="12" max="12" width="24.6640625" style="1054" customWidth="1"/>
    <col min="13" max="13" width="15" style="1054" bestFit="1" customWidth="1"/>
    <col min="14" max="16384" width="9.109375" style="1054"/>
  </cols>
  <sheetData>
    <row r="1" spans="1:14" ht="30.75" customHeight="1" x14ac:dyDescent="0.3">
      <c r="A1" s="169"/>
      <c r="B1" s="188"/>
      <c r="C1" s="1307" t="s">
        <v>40</v>
      </c>
      <c r="D1" s="1308"/>
      <c r="E1" s="1308"/>
      <c r="F1" s="1308"/>
      <c r="G1" s="1308"/>
      <c r="H1" s="1308"/>
      <c r="I1" s="1308"/>
      <c r="J1" s="1308"/>
      <c r="K1" s="1532" t="s">
        <v>2342</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ht="16.5" customHeight="1" x14ac:dyDescent="0.3">
      <c r="A7" s="1291" t="s">
        <v>2343</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2344</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H11" s="831"/>
      <c r="I11" s="1470" t="s">
        <v>2313</v>
      </c>
      <c r="J11" s="1471"/>
      <c r="K11" s="1472"/>
      <c r="L11" s="1299" t="s">
        <v>49</v>
      </c>
      <c r="M11" s="1299"/>
      <c r="N11" s="1299"/>
    </row>
    <row r="12" spans="1:14"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53</v>
      </c>
      <c r="E13" s="661" t="s">
        <v>54</v>
      </c>
      <c r="F13" s="858" t="s">
        <v>2007</v>
      </c>
      <c r="G13" s="661" t="s">
        <v>56</v>
      </c>
      <c r="H13" s="660" t="s">
        <v>57</v>
      </c>
      <c r="I13" s="502" t="s">
        <v>54</v>
      </c>
      <c r="J13" s="502" t="s">
        <v>56</v>
      </c>
      <c r="K13" s="502" t="s">
        <v>58</v>
      </c>
      <c r="L13" s="502" t="s">
        <v>54</v>
      </c>
      <c r="M13" s="502" t="s">
        <v>56</v>
      </c>
      <c r="N13" s="502" t="s">
        <v>58</v>
      </c>
    </row>
    <row r="14" spans="1:14" ht="28.8" customHeight="1" x14ac:dyDescent="0.3">
      <c r="A14" s="1510" t="s">
        <v>285</v>
      </c>
      <c r="B14" s="1510" t="s">
        <v>210</v>
      </c>
      <c r="C14" s="1062" t="s">
        <v>81</v>
      </c>
      <c r="D14" s="1062" t="s">
        <v>207</v>
      </c>
      <c r="E14" s="1062">
        <v>0</v>
      </c>
      <c r="F14" s="646">
        <v>841751</v>
      </c>
      <c r="G14" s="646">
        <f>ROUND((E14*F14),0)</f>
        <v>0</v>
      </c>
      <c r="H14" s="1514" t="s">
        <v>2309</v>
      </c>
      <c r="I14" s="891">
        <v>0</v>
      </c>
      <c r="J14" s="892">
        <f>ROUND(I14*F14,0)</f>
        <v>0</v>
      </c>
      <c r="K14" s="893">
        <v>0</v>
      </c>
      <c r="L14" s="799">
        <f t="shared" ref="L14:M16" si="0">I14</f>
        <v>0</v>
      </c>
      <c r="M14" s="685">
        <f t="shared" si="0"/>
        <v>0</v>
      </c>
      <c r="N14" s="684">
        <v>0</v>
      </c>
    </row>
    <row r="15" spans="1:14" ht="28.8" x14ac:dyDescent="0.3">
      <c r="A15" s="1510"/>
      <c r="B15" s="1510"/>
      <c r="C15" s="1062" t="s">
        <v>83</v>
      </c>
      <c r="D15" s="1062" t="s">
        <v>208</v>
      </c>
      <c r="E15" s="1062">
        <v>0.7</v>
      </c>
      <c r="F15" s="646">
        <v>2781437</v>
      </c>
      <c r="G15" s="646">
        <f>ROUND((E15*F15),0)</f>
        <v>1947006</v>
      </c>
      <c r="H15" s="1510"/>
      <c r="I15" s="891">
        <v>0</v>
      </c>
      <c r="J15" s="892">
        <f>ROUND(I15*F15,0)</f>
        <v>0</v>
      </c>
      <c r="K15" s="893">
        <f>J15/G15</f>
        <v>0</v>
      </c>
      <c r="L15" s="799">
        <f t="shared" si="0"/>
        <v>0</v>
      </c>
      <c r="M15" s="685">
        <f t="shared" si="0"/>
        <v>0</v>
      </c>
      <c r="N15" s="684">
        <f t="shared" ref="N15:N16" si="1">+M15/G15</f>
        <v>0</v>
      </c>
    </row>
    <row r="16" spans="1:14" ht="28.8" x14ac:dyDescent="0.3">
      <c r="A16" s="1510"/>
      <c r="B16" s="1510"/>
      <c r="C16" s="1062" t="s">
        <v>61</v>
      </c>
      <c r="D16" s="1062" t="s">
        <v>209</v>
      </c>
      <c r="E16" s="1062">
        <v>0.2</v>
      </c>
      <c r="F16" s="646">
        <v>1866491</v>
      </c>
      <c r="G16" s="646">
        <f>ROUND((E16*F16),0)</f>
        <v>373298</v>
      </c>
      <c r="H16" s="1510"/>
      <c r="I16" s="891">
        <v>0</v>
      </c>
      <c r="J16" s="892">
        <f>ROUND(I16*F16,0)</f>
        <v>0</v>
      </c>
      <c r="K16" s="893">
        <f t="shared" ref="K16:K17" si="2">J16/G16</f>
        <v>0</v>
      </c>
      <c r="L16" s="799">
        <f t="shared" si="0"/>
        <v>0</v>
      </c>
      <c r="M16" s="685">
        <f t="shared" si="0"/>
        <v>0</v>
      </c>
      <c r="N16" s="684">
        <f t="shared" si="1"/>
        <v>0</v>
      </c>
    </row>
    <row r="17" spans="1:14" x14ac:dyDescent="0.3">
      <c r="A17" s="1510"/>
      <c r="B17" s="1510"/>
      <c r="C17" s="647"/>
      <c r="D17" s="647" t="s">
        <v>136</v>
      </c>
      <c r="E17" s="648"/>
      <c r="F17" s="648"/>
      <c r="G17" s="649">
        <f>SUM(G14:G16)</f>
        <v>2320304</v>
      </c>
      <c r="H17" s="1510"/>
      <c r="I17" s="40"/>
      <c r="J17" s="683">
        <f>SUM(J14:J16)</f>
        <v>0</v>
      </c>
      <c r="K17" s="519">
        <f t="shared" si="2"/>
        <v>0</v>
      </c>
      <c r="L17" s="40"/>
      <c r="M17" s="683">
        <f>SUM(M14:M16)</f>
        <v>0</v>
      </c>
      <c r="N17" s="519">
        <f>M17/G17</f>
        <v>0</v>
      </c>
    </row>
    <row r="18" spans="1:14" x14ac:dyDescent="0.3">
      <c r="F18" s="547" t="s">
        <v>64</v>
      </c>
      <c r="G18" s="855">
        <f>SUM(G17)</f>
        <v>2320304</v>
      </c>
      <c r="I18" s="547" t="s">
        <v>64</v>
      </c>
      <c r="J18" s="855">
        <f>SUM(J17)</f>
        <v>0</v>
      </c>
      <c r="L18" s="547" t="s">
        <v>64</v>
      </c>
      <c r="M18" s="835">
        <f>SUM(M17)</f>
        <v>0</v>
      </c>
    </row>
    <row r="19" spans="1:14" x14ac:dyDescent="0.3">
      <c r="F19" s="548" t="s">
        <v>65</v>
      </c>
      <c r="G19" s="677">
        <v>0</v>
      </c>
      <c r="I19" s="548" t="s">
        <v>65</v>
      </c>
      <c r="J19" s="677">
        <v>0</v>
      </c>
      <c r="L19" s="548" t="s">
        <v>65</v>
      </c>
      <c r="M19" s="677">
        <v>0</v>
      </c>
    </row>
    <row r="20" spans="1:14" x14ac:dyDescent="0.3">
      <c r="F20" s="549" t="s">
        <v>64</v>
      </c>
      <c r="G20" s="481">
        <f>G18+G19</f>
        <v>2320304</v>
      </c>
      <c r="I20" s="549" t="s">
        <v>64</v>
      </c>
      <c r="J20" s="481">
        <f>J18+J19</f>
        <v>0</v>
      </c>
      <c r="L20" s="549" t="s">
        <v>64</v>
      </c>
      <c r="M20" s="481">
        <f>M18+M19</f>
        <v>0</v>
      </c>
    </row>
    <row r="21" spans="1:14" ht="18" customHeight="1" x14ac:dyDescent="0.3">
      <c r="F21" s="501" t="s">
        <v>1439</v>
      </c>
      <c r="G21" s="481">
        <f>ROUND(G20*0.015,0)</f>
        <v>34805</v>
      </c>
      <c r="I21" s="501" t="s">
        <v>1439</v>
      </c>
      <c r="J21" s="481">
        <f>ROUND(J20*0.015,0)</f>
        <v>0</v>
      </c>
      <c r="L21" s="501" t="s">
        <v>1439</v>
      </c>
      <c r="M21" s="481">
        <f>ROUND(M20*0.015,0)</f>
        <v>0</v>
      </c>
    </row>
    <row r="22" spans="1:14" ht="27.75" customHeight="1" x14ac:dyDescent="0.3">
      <c r="F22" s="96" t="s">
        <v>1440</v>
      </c>
      <c r="G22" s="783">
        <f>G20+G21</f>
        <v>2355109</v>
      </c>
      <c r="I22" s="96" t="s">
        <v>1440</v>
      </c>
      <c r="J22" s="783">
        <f>J20+J21</f>
        <v>0</v>
      </c>
      <c r="K22" s="856">
        <f>J22/G18</f>
        <v>0</v>
      </c>
      <c r="L22" s="96" t="s">
        <v>1440</v>
      </c>
      <c r="M22" s="425">
        <f>M20+M21</f>
        <v>0</v>
      </c>
      <c r="N22" s="857">
        <f>M22/G18</f>
        <v>0</v>
      </c>
    </row>
    <row r="23" spans="1:14" x14ac:dyDescent="0.3">
      <c r="F23" s="551" t="s">
        <v>66</v>
      </c>
      <c r="G23" s="672">
        <f>G22*0.19</f>
        <v>447470.71</v>
      </c>
      <c r="I23" s="551" t="s">
        <v>66</v>
      </c>
      <c r="J23" s="672">
        <f>J22*0.19</f>
        <v>0</v>
      </c>
      <c r="L23" s="551" t="s">
        <v>66</v>
      </c>
      <c r="M23" s="672">
        <f>M22*0.19</f>
        <v>0</v>
      </c>
    </row>
    <row r="24" spans="1:14" x14ac:dyDescent="0.3">
      <c r="F24" s="552" t="s">
        <v>69</v>
      </c>
      <c r="G24" s="672">
        <f>G22+G23</f>
        <v>2802579.71</v>
      </c>
      <c r="I24" s="552" t="s">
        <v>69</v>
      </c>
      <c r="J24" s="672">
        <f>J22+J23</f>
        <v>0</v>
      </c>
      <c r="L24" s="552" t="s">
        <v>69</v>
      </c>
      <c r="M24" s="672">
        <f>M22+M23</f>
        <v>0</v>
      </c>
    </row>
    <row r="26" spans="1:14" ht="38.25" customHeight="1" x14ac:dyDescent="0.3">
      <c r="A26" s="665" t="s">
        <v>67</v>
      </c>
      <c r="B26" s="184"/>
      <c r="C26" s="184"/>
      <c r="D26" s="185" t="s">
        <v>68</v>
      </c>
      <c r="I26" s="186" t="s">
        <v>70</v>
      </c>
      <c r="J26" s="187" t="s">
        <v>71</v>
      </c>
      <c r="K26" s="186" t="s">
        <v>58</v>
      </c>
    </row>
    <row r="27" spans="1:14" x14ac:dyDescent="0.3">
      <c r="A27" s="665"/>
      <c r="B27" s="184"/>
      <c r="C27" s="184"/>
      <c r="D27" s="185"/>
      <c r="I27" s="69" t="s">
        <v>72</v>
      </c>
      <c r="J27" s="70">
        <f>J22</f>
        <v>0</v>
      </c>
      <c r="K27" s="360">
        <f>K22</f>
        <v>0</v>
      </c>
    </row>
    <row r="28" spans="1:14" x14ac:dyDescent="0.3">
      <c r="A28" s="665"/>
      <c r="B28" s="184"/>
      <c r="C28" s="184"/>
      <c r="D28" s="185"/>
      <c r="I28" s="72" t="s">
        <v>1</v>
      </c>
      <c r="J28" s="105">
        <f>J27</f>
        <v>0</v>
      </c>
      <c r="K28" s="361">
        <f>K27</f>
        <v>0</v>
      </c>
    </row>
    <row r="29" spans="1:14" x14ac:dyDescent="0.3">
      <c r="A29" s="665"/>
      <c r="B29" s="184"/>
      <c r="C29" s="184"/>
      <c r="D29" s="185"/>
      <c r="I29" s="72" t="s">
        <v>9</v>
      </c>
      <c r="J29" s="1423"/>
      <c r="K29" s="1424"/>
    </row>
    <row r="30" spans="1:14" x14ac:dyDescent="0.3">
      <c r="A30" s="665"/>
      <c r="B30" s="184"/>
      <c r="C30" s="184"/>
      <c r="D30" s="185"/>
      <c r="I30" s="440" t="s">
        <v>78</v>
      </c>
      <c r="J30" s="1423"/>
      <c r="K30" s="1424"/>
    </row>
    <row r="31" spans="1:14" x14ac:dyDescent="0.3">
      <c r="A31" s="665"/>
      <c r="B31" s="184"/>
      <c r="C31" s="184"/>
      <c r="D31" s="185"/>
      <c r="I31" s="439" t="s">
        <v>8</v>
      </c>
      <c r="J31" s="1425"/>
      <c r="K31" s="1426"/>
    </row>
    <row r="32" spans="1:14" x14ac:dyDescent="0.3">
      <c r="A32" s="665"/>
      <c r="B32" s="184"/>
      <c r="C32" s="184"/>
      <c r="D32" s="185" t="s">
        <v>75</v>
      </c>
    </row>
    <row r="33" spans="1:4" x14ac:dyDescent="0.3">
      <c r="A33" s="665" t="s">
        <v>76</v>
      </c>
      <c r="B33" s="180"/>
      <c r="C33" s="180"/>
      <c r="D33" s="185" t="s">
        <v>77</v>
      </c>
    </row>
    <row r="34" spans="1:4" ht="26.4" x14ac:dyDescent="0.3">
      <c r="A34" s="665" t="s">
        <v>79</v>
      </c>
      <c r="B34" s="180"/>
      <c r="C34" s="180"/>
      <c r="D34" s="185" t="s">
        <v>80</v>
      </c>
    </row>
  </sheetData>
  <mergeCells count="21">
    <mergeCell ref="A5:M5"/>
    <mergeCell ref="C1:J2"/>
    <mergeCell ref="K1:N1"/>
    <mergeCell ref="K2:N2"/>
    <mergeCell ref="A3:M3"/>
    <mergeCell ref="A4:M4"/>
    <mergeCell ref="J31:K31"/>
    <mergeCell ref="A6:M6"/>
    <mergeCell ref="A7:M7"/>
    <mergeCell ref="A8:M8"/>
    <mergeCell ref="A9:M9"/>
    <mergeCell ref="A10:M10"/>
    <mergeCell ref="B11:F11"/>
    <mergeCell ref="I11:K12"/>
    <mergeCell ref="L11:N12"/>
    <mergeCell ref="B12:F12"/>
    <mergeCell ref="A14:A17"/>
    <mergeCell ref="B14:B17"/>
    <mergeCell ref="H14:H17"/>
    <mergeCell ref="J29:K29"/>
    <mergeCell ref="J30:K30"/>
  </mergeCells>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3"/>
  <dimension ref="A1:G49"/>
  <sheetViews>
    <sheetView topLeftCell="A13" workbookViewId="0">
      <selection activeCell="I27" sqref="I2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RESUMEN!G161</f>
        <v>Proyecto:CDIM_CBSGSM_R0149, N3_NORMALIZACION_TABLEROS_SE_SESQUILE.</v>
      </c>
      <c r="C5" s="1281"/>
      <c r="D5" s="1281"/>
      <c r="E5" s="1281"/>
      <c r="F5" s="1281"/>
      <c r="G5" s="1282"/>
    </row>
    <row r="6" spans="1:7" x14ac:dyDescent="0.25">
      <c r="A6" s="1177"/>
      <c r="B6" s="1177"/>
      <c r="C6" s="1177"/>
      <c r="D6" s="1177"/>
      <c r="E6" s="1177"/>
      <c r="F6" s="1177"/>
      <c r="G6" s="1177"/>
    </row>
    <row r="7" spans="1:7" x14ac:dyDescent="0.25">
      <c r="A7" s="271" t="s">
        <v>0</v>
      </c>
      <c r="B7" s="1264" t="str">
        <f>RESUMEN!B161</f>
        <v>D00249539</v>
      </c>
      <c r="C7" s="1265"/>
      <c r="D7" s="1177"/>
      <c r="E7" s="1266" t="s">
        <v>627</v>
      </c>
      <c r="F7" s="1267"/>
      <c r="G7" s="280" t="str">
        <f>RESUMEN!E161</f>
        <v xml:space="preserve">18-026 </v>
      </c>
    </row>
    <row r="8" spans="1:7" x14ac:dyDescent="0.25">
      <c r="A8" s="271" t="s">
        <v>628</v>
      </c>
      <c r="B8" s="1264" t="str">
        <f>RESUMEN!C161</f>
        <v>D00249539000</v>
      </c>
      <c r="C8" s="1265"/>
      <c r="D8" s="1177"/>
      <c r="E8" s="1266" t="s">
        <v>629</v>
      </c>
      <c r="F8" s="1267"/>
      <c r="G8" s="280" t="str">
        <f>RESUMEN!U161</f>
        <v>Acta N° 1: Marzo</v>
      </c>
    </row>
    <row r="9" spans="1:7" x14ac:dyDescent="0.25">
      <c r="A9" s="271" t="s">
        <v>630</v>
      </c>
      <c r="B9" s="1283" t="s">
        <v>631</v>
      </c>
      <c r="C9" s="1265"/>
      <c r="D9" s="1177"/>
      <c r="E9" s="1266" t="s">
        <v>632</v>
      </c>
      <c r="F9" s="1267"/>
      <c r="G9" s="1178">
        <f>RESUMEN!H161</f>
        <v>6177901</v>
      </c>
    </row>
    <row r="10" spans="1:7" x14ac:dyDescent="0.25">
      <c r="A10" s="271" t="s">
        <v>633</v>
      </c>
      <c r="B10" s="1283" t="str">
        <f>RESUMEN!D161</f>
        <v>SESQUILE</v>
      </c>
      <c r="C10" s="1265"/>
      <c r="D10" s="1177"/>
      <c r="E10" s="1266" t="s">
        <v>634</v>
      </c>
      <c r="F10" s="1267"/>
      <c r="G10" s="1178">
        <f>RESUMEN!R161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Proyecto:CDIM_CBSGSM_R0149, N3_NORMALIZACION_TABLEROS_SE_SESQUILE.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RESUMEN!N161</f>
        <v>0</v>
      </c>
      <c r="F19" s="1248"/>
      <c r="G19" s="1177"/>
    </row>
    <row r="20" spans="1:7" ht="27" customHeight="1" x14ac:dyDescent="0.25">
      <c r="A20" s="1177"/>
      <c r="B20" s="1244" t="s">
        <v>1498</v>
      </c>
      <c r="C20" s="1245"/>
      <c r="D20" s="1246"/>
      <c r="E20" s="1247">
        <f>RESUMEN!P161</f>
        <v>0</v>
      </c>
      <c r="F20" s="1248"/>
      <c r="G20" s="1177"/>
    </row>
    <row r="21" spans="1:7" ht="27" customHeight="1" x14ac:dyDescent="0.25">
      <c r="A21" s="1177"/>
      <c r="B21" s="1244" t="s">
        <v>1499</v>
      </c>
      <c r="C21" s="1245"/>
      <c r="D21" s="1246"/>
      <c r="E21" s="1247">
        <f>RESUMEN!Q161</f>
        <v>0</v>
      </c>
      <c r="F21" s="1248"/>
      <c r="G21" s="1177"/>
    </row>
    <row r="22" spans="1:7" x14ac:dyDescent="0.25">
      <c r="A22" s="1177"/>
      <c r="B22" s="1254" t="s">
        <v>64</v>
      </c>
      <c r="C22" s="1254"/>
      <c r="D22" s="1254"/>
      <c r="E22" s="1255">
        <f>RESUMEN!R161</f>
        <v>0</v>
      </c>
      <c r="F22" s="1255"/>
      <c r="G22" s="1177"/>
    </row>
    <row r="23" spans="1:7" x14ac:dyDescent="0.25">
      <c r="A23" s="1177"/>
      <c r="B23" s="1256" t="s">
        <v>66</v>
      </c>
      <c r="C23" s="1256"/>
      <c r="D23" s="1256"/>
      <c r="E23" s="1257">
        <f>RESUMEN!S161</f>
        <v>0</v>
      </c>
      <c r="F23" s="1257"/>
      <c r="G23" s="1177"/>
    </row>
    <row r="24" spans="1:7" x14ac:dyDescent="0.25">
      <c r="A24" s="1177"/>
      <c r="B24" s="1258" t="s">
        <v>1</v>
      </c>
      <c r="C24" s="1258"/>
      <c r="D24" s="1258"/>
      <c r="E24" s="1259">
        <f>RESUMEN!T161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+'OT18-026 SESQUILE'!I45</f>
        <v>ACTA 1</v>
      </c>
      <c r="C28" s="1253">
        <f>+'OT18-026 SESQUILE'!J45</f>
        <v>0</v>
      </c>
      <c r="D28" s="1253"/>
      <c r="E28" s="267">
        <f>+'OT18-026 SESQUILE'!K45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4"/>
  <dimension ref="A1:N49"/>
  <sheetViews>
    <sheetView topLeftCell="A22" zoomScale="70" zoomScaleNormal="70" workbookViewId="0">
      <selection activeCell="J32" sqref="J32"/>
    </sheetView>
  </sheetViews>
  <sheetFormatPr baseColWidth="10" defaultColWidth="9.109375" defaultRowHeight="14.4" x14ac:dyDescent="0.3"/>
  <cols>
    <col min="1" max="1" width="15.109375" style="1054" customWidth="1"/>
    <col min="2" max="2" width="23" style="1054" customWidth="1"/>
    <col min="3" max="3" width="34.88671875" style="1054" customWidth="1"/>
    <col min="4" max="4" width="24.88671875" style="1054" bestFit="1" customWidth="1"/>
    <col min="5" max="5" width="15.5546875" style="1054" customWidth="1"/>
    <col min="6" max="6" width="23.77734375" style="1054" customWidth="1"/>
    <col min="7" max="7" width="18.109375" style="1054" customWidth="1"/>
    <col min="8" max="8" width="44.33203125" style="1054" customWidth="1"/>
    <col min="9" max="9" width="21.109375" style="1054" customWidth="1"/>
    <col min="10" max="10" width="15" style="1054" bestFit="1" customWidth="1"/>
    <col min="11" max="11" width="15.6640625" style="1054" customWidth="1"/>
    <col min="12" max="12" width="19.33203125" style="1054" customWidth="1"/>
    <col min="13" max="13" width="15" style="1054" bestFit="1" customWidth="1"/>
    <col min="14" max="16384" width="9.109375" style="1054"/>
  </cols>
  <sheetData>
    <row r="1" spans="1:14" ht="30.75" customHeight="1" x14ac:dyDescent="0.3">
      <c r="A1" s="169"/>
      <c r="B1" s="188"/>
      <c r="C1" s="1307" t="s">
        <v>40</v>
      </c>
      <c r="D1" s="1308"/>
      <c r="E1" s="1308"/>
      <c r="F1" s="1308"/>
      <c r="G1" s="1308"/>
      <c r="H1" s="1308"/>
      <c r="I1" s="1308"/>
      <c r="J1" s="1308"/>
      <c r="K1" s="1532" t="s">
        <v>2352</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ht="16.5" customHeight="1" x14ac:dyDescent="0.3">
      <c r="A7" s="1291" t="s">
        <v>2353</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2345</v>
      </c>
      <c r="B10" s="1292"/>
      <c r="C10" s="1292"/>
      <c r="D10" s="1292"/>
      <c r="E10" s="1292"/>
      <c r="F10" s="1292"/>
      <c r="G10" s="1292"/>
      <c r="H10" s="1292"/>
      <c r="I10" s="1292"/>
      <c r="J10" s="1292"/>
      <c r="K10" s="1292"/>
      <c r="L10" s="1292"/>
      <c r="M10" s="1292"/>
      <c r="N10" s="831"/>
    </row>
    <row r="11" spans="1:14" ht="14.4" customHeight="1" x14ac:dyDescent="0.3">
      <c r="A11" s="1051"/>
      <c r="B11" s="1301"/>
      <c r="C11" s="1313"/>
      <c r="D11" s="1313"/>
      <c r="E11" s="1313"/>
      <c r="F11" s="1313"/>
      <c r="H11" s="831"/>
      <c r="I11" s="1470" t="s">
        <v>2313</v>
      </c>
      <c r="J11" s="1471"/>
      <c r="K11" s="1472"/>
      <c r="L11" s="1344" t="s">
        <v>49</v>
      </c>
      <c r="M11" s="1345"/>
      <c r="N11" s="1346"/>
    </row>
    <row r="12" spans="1:14" ht="18" customHeight="1" x14ac:dyDescent="0.3">
      <c r="A12" s="171"/>
      <c r="B12" s="1301"/>
      <c r="C12" s="1302"/>
      <c r="D12" s="1302"/>
      <c r="E12" s="1302"/>
      <c r="F12" s="1302"/>
      <c r="G12" s="831"/>
      <c r="H12" s="831"/>
      <c r="I12" s="1473"/>
      <c r="J12" s="1474"/>
      <c r="K12" s="1475"/>
      <c r="L12" s="1347"/>
      <c r="M12" s="1348"/>
      <c r="N12" s="1349"/>
    </row>
    <row r="13" spans="1:14" ht="28.8" x14ac:dyDescent="0.3">
      <c r="A13" s="660" t="s">
        <v>50</v>
      </c>
      <c r="B13" s="660" t="s">
        <v>51</v>
      </c>
      <c r="C13" s="660" t="s">
        <v>52</v>
      </c>
      <c r="D13" s="660" t="s">
        <v>53</v>
      </c>
      <c r="E13" s="661" t="s">
        <v>54</v>
      </c>
      <c r="F13" s="858" t="s">
        <v>2007</v>
      </c>
      <c r="G13" s="661" t="s">
        <v>56</v>
      </c>
      <c r="H13" s="660" t="s">
        <v>57</v>
      </c>
      <c r="I13" s="502" t="s">
        <v>54</v>
      </c>
      <c r="J13" s="502" t="s">
        <v>56</v>
      </c>
      <c r="K13" s="502" t="s">
        <v>58</v>
      </c>
      <c r="L13" s="502" t="s">
        <v>54</v>
      </c>
      <c r="M13" s="502" t="s">
        <v>56</v>
      </c>
      <c r="N13" s="502" t="s">
        <v>58</v>
      </c>
    </row>
    <row r="14" spans="1:14" ht="28.8" customHeight="1" x14ac:dyDescent="0.3">
      <c r="A14" s="1510" t="s">
        <v>201</v>
      </c>
      <c r="B14" s="1510" t="s">
        <v>165</v>
      </c>
      <c r="C14" s="1062" t="s">
        <v>81</v>
      </c>
      <c r="D14" s="1062" t="s">
        <v>166</v>
      </c>
      <c r="E14" s="1062">
        <v>0</v>
      </c>
      <c r="F14" s="646">
        <v>1207729</v>
      </c>
      <c r="G14" s="646">
        <f>ROUND((E14*F14),0)</f>
        <v>0</v>
      </c>
      <c r="H14" s="1514" t="s">
        <v>2346</v>
      </c>
      <c r="I14" s="799">
        <v>0</v>
      </c>
      <c r="J14" s="1132">
        <f>ROUND(I14*F14,0)</f>
        <v>0</v>
      </c>
      <c r="K14" s="1133">
        <v>0</v>
      </c>
      <c r="L14" s="1134">
        <f>I14</f>
        <v>0</v>
      </c>
      <c r="M14" s="1124">
        <f>J14</f>
        <v>0</v>
      </c>
      <c r="N14" s="1133">
        <v>0</v>
      </c>
    </row>
    <row r="15" spans="1:14" ht="28.8" x14ac:dyDescent="0.3">
      <c r="A15" s="1510"/>
      <c r="B15" s="1510"/>
      <c r="C15" s="1062" t="s">
        <v>83</v>
      </c>
      <c r="D15" s="1062" t="s">
        <v>167</v>
      </c>
      <c r="E15" s="1062">
        <v>0</v>
      </c>
      <c r="F15" s="646">
        <v>2781438</v>
      </c>
      <c r="G15" s="646">
        <f>ROUND((E15*F15),0)</f>
        <v>0</v>
      </c>
      <c r="H15" s="1510"/>
      <c r="I15" s="799">
        <v>0</v>
      </c>
      <c r="J15" s="1132">
        <f t="shared" ref="J15:J34" si="0">ROUND(I15*F15,0)</f>
        <v>0</v>
      </c>
      <c r="K15" s="1133">
        <v>0</v>
      </c>
      <c r="L15" s="1134">
        <f t="shared" ref="L15:L34" si="1">I15</f>
        <v>0</v>
      </c>
      <c r="M15" s="1124">
        <f t="shared" ref="M15:M35" si="2">J15</f>
        <v>0</v>
      </c>
      <c r="N15" s="1133">
        <v>0</v>
      </c>
    </row>
    <row r="16" spans="1:14" ht="28.8" x14ac:dyDescent="0.3">
      <c r="A16" s="1510"/>
      <c r="B16" s="1510"/>
      <c r="C16" s="1062" t="s">
        <v>61</v>
      </c>
      <c r="D16" s="1062" t="s">
        <v>168</v>
      </c>
      <c r="E16" s="1062">
        <v>0.35</v>
      </c>
      <c r="F16" s="646">
        <v>2671643</v>
      </c>
      <c r="G16" s="646">
        <f>ROUND((E16*F16),0)</f>
        <v>935075</v>
      </c>
      <c r="H16" s="1510"/>
      <c r="I16" s="799">
        <v>0</v>
      </c>
      <c r="J16" s="1132">
        <f t="shared" si="0"/>
        <v>0</v>
      </c>
      <c r="K16" s="1133">
        <f t="shared" ref="K16:K35" si="3">J16/G16</f>
        <v>0</v>
      </c>
      <c r="L16" s="1134">
        <f t="shared" si="1"/>
        <v>0</v>
      </c>
      <c r="M16" s="1124">
        <f t="shared" si="2"/>
        <v>0</v>
      </c>
      <c r="N16" s="1133">
        <f t="shared" ref="N16:N35" si="4">M16/G16</f>
        <v>0</v>
      </c>
    </row>
    <row r="17" spans="1:14" x14ac:dyDescent="0.3">
      <c r="A17" s="1510"/>
      <c r="B17" s="1510"/>
      <c r="C17" s="647"/>
      <c r="D17" s="647" t="s">
        <v>169</v>
      </c>
      <c r="E17" s="648"/>
      <c r="F17" s="648"/>
      <c r="G17" s="649">
        <f>SUM(G14:G16)</f>
        <v>935075</v>
      </c>
      <c r="H17" s="1510"/>
      <c r="I17" s="40"/>
      <c r="J17" s="1135">
        <f>SUM(J14:J16)</f>
        <v>0</v>
      </c>
      <c r="K17" s="1136">
        <f t="shared" si="3"/>
        <v>0</v>
      </c>
      <c r="L17" s="1137"/>
      <c r="M17" s="1138">
        <f t="shared" si="2"/>
        <v>0</v>
      </c>
      <c r="N17" s="1136">
        <f t="shared" si="4"/>
        <v>0</v>
      </c>
    </row>
    <row r="18" spans="1:14" ht="28.8" x14ac:dyDescent="0.3">
      <c r="A18" s="1510" t="s">
        <v>201</v>
      </c>
      <c r="B18" s="1510" t="s">
        <v>170</v>
      </c>
      <c r="C18" s="1062" t="s">
        <v>83</v>
      </c>
      <c r="D18" s="1062" t="s">
        <v>123</v>
      </c>
      <c r="E18" s="1062">
        <v>0</v>
      </c>
      <c r="F18" s="646">
        <v>1097936</v>
      </c>
      <c r="G18" s="646">
        <f>ROUND((E18*F18),0)</f>
        <v>0</v>
      </c>
      <c r="H18" s="1514" t="s">
        <v>2347</v>
      </c>
      <c r="I18" s="799">
        <v>0</v>
      </c>
      <c r="J18" s="1132">
        <f t="shared" si="0"/>
        <v>0</v>
      </c>
      <c r="K18" s="1133">
        <v>0</v>
      </c>
      <c r="L18" s="1134">
        <f t="shared" si="1"/>
        <v>0</v>
      </c>
      <c r="M18" s="1124">
        <f t="shared" si="2"/>
        <v>0</v>
      </c>
      <c r="N18" s="1133">
        <v>0</v>
      </c>
    </row>
    <row r="19" spans="1:14" ht="28.8" x14ac:dyDescent="0.3">
      <c r="A19" s="1510"/>
      <c r="B19" s="1510"/>
      <c r="C19" s="1062" t="s">
        <v>61</v>
      </c>
      <c r="D19" s="1062" t="s">
        <v>125</v>
      </c>
      <c r="E19" s="1062">
        <v>0.7</v>
      </c>
      <c r="F19" s="646">
        <v>1061338</v>
      </c>
      <c r="G19" s="1114">
        <v>0</v>
      </c>
      <c r="H19" s="1510"/>
      <c r="I19" s="799">
        <v>0</v>
      </c>
      <c r="J19" s="1132">
        <f t="shared" si="0"/>
        <v>0</v>
      </c>
      <c r="K19" s="1133">
        <v>0</v>
      </c>
      <c r="L19" s="1134">
        <f t="shared" si="1"/>
        <v>0</v>
      </c>
      <c r="M19" s="1124">
        <f t="shared" si="2"/>
        <v>0</v>
      </c>
      <c r="N19" s="1133">
        <v>0</v>
      </c>
    </row>
    <row r="20" spans="1:14" x14ac:dyDescent="0.3">
      <c r="A20" s="1510"/>
      <c r="B20" s="1510"/>
      <c r="C20" s="647"/>
      <c r="D20" s="647" t="s">
        <v>126</v>
      </c>
      <c r="E20" s="648"/>
      <c r="F20" s="648"/>
      <c r="G20" s="649">
        <f>SUM(G18:G19)</f>
        <v>0</v>
      </c>
      <c r="H20" s="1510"/>
      <c r="I20" s="40"/>
      <c r="J20" s="1135">
        <f>SUM(J18:J19)</f>
        <v>0</v>
      </c>
      <c r="K20" s="1136">
        <v>0</v>
      </c>
      <c r="L20" s="1137"/>
      <c r="M20" s="1138">
        <f t="shared" si="2"/>
        <v>0</v>
      </c>
      <c r="N20" s="1136">
        <v>0</v>
      </c>
    </row>
    <row r="21" spans="1:14" ht="18" customHeight="1" x14ac:dyDescent="0.3">
      <c r="A21" s="1510" t="s">
        <v>1657</v>
      </c>
      <c r="B21" s="1510" t="s">
        <v>415</v>
      </c>
      <c r="C21" s="1062" t="s">
        <v>118</v>
      </c>
      <c r="D21" s="1062" t="s">
        <v>119</v>
      </c>
      <c r="E21" s="1062">
        <v>0</v>
      </c>
      <c r="F21" s="646">
        <v>8307713</v>
      </c>
      <c r="G21" s="646">
        <f>ROUND((E21*F21),0)</f>
        <v>0</v>
      </c>
      <c r="H21" s="1514" t="s">
        <v>2348</v>
      </c>
      <c r="I21" s="799">
        <v>0</v>
      </c>
      <c r="J21" s="1132">
        <f t="shared" si="0"/>
        <v>0</v>
      </c>
      <c r="K21" s="1133">
        <v>0</v>
      </c>
      <c r="L21" s="1134">
        <f t="shared" si="1"/>
        <v>0</v>
      </c>
      <c r="M21" s="1124">
        <f t="shared" si="2"/>
        <v>0</v>
      </c>
      <c r="N21" s="1133">
        <v>0</v>
      </c>
    </row>
    <row r="22" spans="1:14" ht="27.75" customHeight="1" x14ac:dyDescent="0.3">
      <c r="A22" s="1510"/>
      <c r="B22" s="1510"/>
      <c r="C22" s="1062" t="s">
        <v>83</v>
      </c>
      <c r="D22" s="1062" t="s">
        <v>120</v>
      </c>
      <c r="E22" s="1062">
        <v>0</v>
      </c>
      <c r="F22" s="646">
        <v>5270092</v>
      </c>
      <c r="G22" s="646">
        <f>ROUND((E22*F22),0)</f>
        <v>0</v>
      </c>
      <c r="H22" s="1510"/>
      <c r="I22" s="799">
        <v>0</v>
      </c>
      <c r="J22" s="1132">
        <f t="shared" si="0"/>
        <v>0</v>
      </c>
      <c r="K22" s="1133">
        <v>0</v>
      </c>
      <c r="L22" s="1134">
        <f t="shared" si="1"/>
        <v>0</v>
      </c>
      <c r="M22" s="1124">
        <f t="shared" si="2"/>
        <v>0</v>
      </c>
      <c r="N22" s="1133">
        <v>0</v>
      </c>
    </row>
    <row r="23" spans="1:14" ht="28.8" x14ac:dyDescent="0.3">
      <c r="A23" s="1510"/>
      <c r="B23" s="1510"/>
      <c r="C23" s="1062" t="s">
        <v>61</v>
      </c>
      <c r="D23" s="1062" t="s">
        <v>121</v>
      </c>
      <c r="E23" s="1062">
        <v>0.245</v>
      </c>
      <c r="F23" s="646">
        <v>4501536</v>
      </c>
      <c r="G23" s="646">
        <f>ROUND((E23*F23),0)</f>
        <v>1102876</v>
      </c>
      <c r="H23" s="1510"/>
      <c r="I23" s="799">
        <v>0</v>
      </c>
      <c r="J23" s="1132">
        <f t="shared" si="0"/>
        <v>0</v>
      </c>
      <c r="K23" s="1133">
        <f t="shared" si="3"/>
        <v>0</v>
      </c>
      <c r="L23" s="1134">
        <f t="shared" si="1"/>
        <v>0</v>
      </c>
      <c r="M23" s="1124">
        <f t="shared" si="2"/>
        <v>0</v>
      </c>
      <c r="N23" s="1133">
        <f t="shared" si="4"/>
        <v>0</v>
      </c>
    </row>
    <row r="24" spans="1:14" x14ac:dyDescent="0.3">
      <c r="A24" s="1510"/>
      <c r="B24" s="1510"/>
      <c r="C24" s="647"/>
      <c r="D24" s="647" t="s">
        <v>116</v>
      </c>
      <c r="E24" s="648"/>
      <c r="F24" s="648"/>
      <c r="G24" s="649">
        <f>SUM(G21:G23)</f>
        <v>1102876</v>
      </c>
      <c r="H24" s="1510"/>
      <c r="I24" s="40"/>
      <c r="J24" s="1135">
        <f>SUM(J21:J23)</f>
        <v>0</v>
      </c>
      <c r="K24" s="1136">
        <f t="shared" si="3"/>
        <v>0</v>
      </c>
      <c r="L24" s="1137"/>
      <c r="M24" s="1138">
        <f t="shared" si="2"/>
        <v>0</v>
      </c>
      <c r="N24" s="1136">
        <f t="shared" si="4"/>
        <v>0</v>
      </c>
    </row>
    <row r="25" spans="1:14" ht="28.8" x14ac:dyDescent="0.3">
      <c r="A25" s="1510" t="s">
        <v>1657</v>
      </c>
      <c r="B25" s="1510" t="s">
        <v>217</v>
      </c>
      <c r="C25" s="1062" t="s">
        <v>81</v>
      </c>
      <c r="D25" s="1062" t="s">
        <v>218</v>
      </c>
      <c r="E25" s="1062">
        <v>0</v>
      </c>
      <c r="F25" s="646">
        <v>1207729</v>
      </c>
      <c r="G25" s="646">
        <f>ROUND((E25*F25),0)</f>
        <v>0</v>
      </c>
      <c r="H25" s="1514" t="s">
        <v>898</v>
      </c>
      <c r="I25" s="799">
        <v>0</v>
      </c>
      <c r="J25" s="1132">
        <f t="shared" si="0"/>
        <v>0</v>
      </c>
      <c r="K25" s="1133">
        <v>0</v>
      </c>
      <c r="L25" s="1134">
        <f t="shared" si="1"/>
        <v>0</v>
      </c>
      <c r="M25" s="1124">
        <f t="shared" si="2"/>
        <v>0</v>
      </c>
      <c r="N25" s="1133">
        <v>0</v>
      </c>
    </row>
    <row r="26" spans="1:14" ht="38.25" customHeight="1" x14ac:dyDescent="0.3">
      <c r="A26" s="1510"/>
      <c r="B26" s="1510"/>
      <c r="C26" s="1062" t="s">
        <v>83</v>
      </c>
      <c r="D26" s="1062" t="s">
        <v>219</v>
      </c>
      <c r="E26" s="1062">
        <v>0</v>
      </c>
      <c r="F26" s="646">
        <v>2781438</v>
      </c>
      <c r="G26" s="646">
        <f>ROUND((E26*F26),0)</f>
        <v>0</v>
      </c>
      <c r="H26" s="1510"/>
      <c r="I26" s="799">
        <v>0</v>
      </c>
      <c r="J26" s="1132">
        <f t="shared" si="0"/>
        <v>0</v>
      </c>
      <c r="K26" s="1133">
        <v>0</v>
      </c>
      <c r="L26" s="1134">
        <f t="shared" si="1"/>
        <v>0</v>
      </c>
      <c r="M26" s="1124">
        <f t="shared" si="2"/>
        <v>0</v>
      </c>
      <c r="N26" s="1133">
        <v>0</v>
      </c>
    </row>
    <row r="27" spans="1:14" ht="28.8" x14ac:dyDescent="0.3">
      <c r="A27" s="1510"/>
      <c r="B27" s="1510"/>
      <c r="C27" s="1062" t="s">
        <v>61</v>
      </c>
      <c r="D27" s="1062" t="s">
        <v>220</v>
      </c>
      <c r="E27" s="1062">
        <v>0.28000000000000003</v>
      </c>
      <c r="F27" s="646">
        <v>3367003</v>
      </c>
      <c r="G27" s="646">
        <f>ROUND((E27*F27),0)</f>
        <v>942761</v>
      </c>
      <c r="H27" s="1510"/>
      <c r="I27" s="799">
        <v>0</v>
      </c>
      <c r="J27" s="1132">
        <f t="shared" si="0"/>
        <v>0</v>
      </c>
      <c r="K27" s="1133">
        <f t="shared" si="3"/>
        <v>0</v>
      </c>
      <c r="L27" s="1134">
        <f t="shared" si="1"/>
        <v>0</v>
      </c>
      <c r="M27" s="1124">
        <f t="shared" si="2"/>
        <v>0</v>
      </c>
      <c r="N27" s="1133">
        <f t="shared" si="4"/>
        <v>0</v>
      </c>
    </row>
    <row r="28" spans="1:14" x14ac:dyDescent="0.3">
      <c r="A28" s="1510"/>
      <c r="B28" s="1510"/>
      <c r="C28" s="647"/>
      <c r="D28" s="647" t="s">
        <v>221</v>
      </c>
      <c r="E28" s="648"/>
      <c r="F28" s="648"/>
      <c r="G28" s="649">
        <f>SUM(G25:G27)</f>
        <v>942761</v>
      </c>
      <c r="H28" s="1510"/>
      <c r="I28" s="40"/>
      <c r="J28" s="1135">
        <f>SUM(J25:J27)</f>
        <v>0</v>
      </c>
      <c r="K28" s="1136">
        <f t="shared" si="3"/>
        <v>0</v>
      </c>
      <c r="L28" s="1137"/>
      <c r="M28" s="1138">
        <f t="shared" si="2"/>
        <v>0</v>
      </c>
      <c r="N28" s="1136">
        <f t="shared" si="4"/>
        <v>0</v>
      </c>
    </row>
    <row r="29" spans="1:14" ht="28.8" x14ac:dyDescent="0.3">
      <c r="A29" s="1510" t="s">
        <v>1581</v>
      </c>
      <c r="B29" s="1510" t="s">
        <v>217</v>
      </c>
      <c r="C29" s="1062" t="s">
        <v>81</v>
      </c>
      <c r="D29" s="1062" t="s">
        <v>218</v>
      </c>
      <c r="E29" s="1062">
        <v>0</v>
      </c>
      <c r="F29" s="646">
        <v>1207729</v>
      </c>
      <c r="G29" s="646">
        <f>ROUND((E29*F29),0)</f>
        <v>0</v>
      </c>
      <c r="H29" s="1514" t="s">
        <v>2349</v>
      </c>
      <c r="I29" s="799">
        <v>0</v>
      </c>
      <c r="J29" s="1132">
        <f t="shared" si="0"/>
        <v>0</v>
      </c>
      <c r="K29" s="1133">
        <v>0</v>
      </c>
      <c r="L29" s="1134">
        <f t="shared" si="1"/>
        <v>0</v>
      </c>
      <c r="M29" s="1124">
        <f t="shared" si="2"/>
        <v>0</v>
      </c>
      <c r="N29" s="1133">
        <v>0</v>
      </c>
    </row>
    <row r="30" spans="1:14" ht="28.8" x14ac:dyDescent="0.3">
      <c r="A30" s="1510"/>
      <c r="B30" s="1510"/>
      <c r="C30" s="1062" t="s">
        <v>83</v>
      </c>
      <c r="D30" s="1062" t="s">
        <v>219</v>
      </c>
      <c r="E30" s="1062">
        <v>0</v>
      </c>
      <c r="F30" s="646">
        <v>2781438</v>
      </c>
      <c r="G30" s="646">
        <f>ROUND((E30*F30),0)</f>
        <v>0</v>
      </c>
      <c r="H30" s="1510"/>
      <c r="I30" s="799">
        <v>0</v>
      </c>
      <c r="J30" s="1132">
        <f t="shared" si="0"/>
        <v>0</v>
      </c>
      <c r="K30" s="1133">
        <v>0</v>
      </c>
      <c r="L30" s="1134">
        <f t="shared" si="1"/>
        <v>0</v>
      </c>
      <c r="M30" s="1124">
        <f t="shared" si="2"/>
        <v>0</v>
      </c>
      <c r="N30" s="1133">
        <v>0</v>
      </c>
    </row>
    <row r="31" spans="1:14" ht="28.8" x14ac:dyDescent="0.3">
      <c r="A31" s="1510"/>
      <c r="B31" s="1510"/>
      <c r="C31" s="1062" t="s">
        <v>61</v>
      </c>
      <c r="D31" s="1062" t="s">
        <v>220</v>
      </c>
      <c r="E31" s="1062">
        <v>0.28000000000000003</v>
      </c>
      <c r="F31" s="646">
        <v>3367003</v>
      </c>
      <c r="G31" s="646">
        <f>ROUND((E31*F31),0)</f>
        <v>942761</v>
      </c>
      <c r="H31" s="1510"/>
      <c r="I31" s="799">
        <v>0</v>
      </c>
      <c r="J31" s="1132">
        <f t="shared" si="0"/>
        <v>0</v>
      </c>
      <c r="K31" s="1133">
        <f t="shared" si="3"/>
        <v>0</v>
      </c>
      <c r="L31" s="1134">
        <f t="shared" si="1"/>
        <v>0</v>
      </c>
      <c r="M31" s="1124">
        <f t="shared" si="2"/>
        <v>0</v>
      </c>
      <c r="N31" s="1133">
        <f t="shared" si="4"/>
        <v>0</v>
      </c>
    </row>
    <row r="32" spans="1:14" x14ac:dyDescent="0.3">
      <c r="A32" s="1510"/>
      <c r="B32" s="1510"/>
      <c r="C32" s="647"/>
      <c r="D32" s="647" t="s">
        <v>221</v>
      </c>
      <c r="E32" s="648"/>
      <c r="F32" s="648"/>
      <c r="G32" s="649">
        <f>SUM(G29:G31)</f>
        <v>942761</v>
      </c>
      <c r="H32" s="1510"/>
      <c r="I32" s="40"/>
      <c r="J32" s="1135">
        <f>SUM(J29:J31)</f>
        <v>0</v>
      </c>
      <c r="K32" s="1136">
        <f t="shared" si="3"/>
        <v>0</v>
      </c>
      <c r="L32" s="1137"/>
      <c r="M32" s="1138">
        <f t="shared" si="2"/>
        <v>0</v>
      </c>
      <c r="N32" s="1136">
        <f t="shared" si="4"/>
        <v>0</v>
      </c>
    </row>
    <row r="33" spans="1:14" ht="28.8" x14ac:dyDescent="0.3">
      <c r="A33" s="1514" t="s">
        <v>1581</v>
      </c>
      <c r="B33" s="1510" t="s">
        <v>170</v>
      </c>
      <c r="C33" s="1062" t="s">
        <v>83</v>
      </c>
      <c r="D33" s="1062" t="s">
        <v>123</v>
      </c>
      <c r="E33" s="1062">
        <v>0.7</v>
      </c>
      <c r="F33" s="646">
        <v>1097936</v>
      </c>
      <c r="G33" s="646">
        <f>ROUND((E33*F33),0)</f>
        <v>768555</v>
      </c>
      <c r="H33" s="1514" t="s">
        <v>2350</v>
      </c>
      <c r="I33" s="799">
        <v>0</v>
      </c>
      <c r="J33" s="1132">
        <f t="shared" si="0"/>
        <v>0</v>
      </c>
      <c r="K33" s="1133">
        <f t="shared" si="3"/>
        <v>0</v>
      </c>
      <c r="L33" s="1134">
        <f t="shared" si="1"/>
        <v>0</v>
      </c>
      <c r="M33" s="1124">
        <f t="shared" si="2"/>
        <v>0</v>
      </c>
      <c r="N33" s="1133">
        <f t="shared" si="4"/>
        <v>0</v>
      </c>
    </row>
    <row r="34" spans="1:14" ht="28.8" x14ac:dyDescent="0.3">
      <c r="A34" s="1510"/>
      <c r="B34" s="1510"/>
      <c r="C34" s="1062" t="s">
        <v>61</v>
      </c>
      <c r="D34" s="1062" t="s">
        <v>125</v>
      </c>
      <c r="E34" s="1062">
        <v>1.4</v>
      </c>
      <c r="F34" s="646">
        <v>1061338</v>
      </c>
      <c r="G34" s="646">
        <f>ROUND((E34*F34),0)</f>
        <v>1485873</v>
      </c>
      <c r="H34" s="1510"/>
      <c r="I34" s="799">
        <v>0</v>
      </c>
      <c r="J34" s="1132">
        <f t="shared" si="0"/>
        <v>0</v>
      </c>
      <c r="K34" s="1133">
        <f t="shared" si="3"/>
        <v>0</v>
      </c>
      <c r="L34" s="1134">
        <f t="shared" si="1"/>
        <v>0</v>
      </c>
      <c r="M34" s="1124">
        <f t="shared" si="2"/>
        <v>0</v>
      </c>
      <c r="N34" s="1133">
        <f t="shared" si="4"/>
        <v>0</v>
      </c>
    </row>
    <row r="35" spans="1:14" x14ac:dyDescent="0.3">
      <c r="A35" s="1510"/>
      <c r="B35" s="1510"/>
      <c r="C35" s="647"/>
      <c r="D35" s="647" t="s">
        <v>126</v>
      </c>
      <c r="E35" s="648"/>
      <c r="F35" s="648"/>
      <c r="G35" s="649">
        <f>SUM(G33:G34)</f>
        <v>2254428</v>
      </c>
      <c r="H35" s="1510"/>
      <c r="I35" s="40"/>
      <c r="J35" s="683">
        <f>SUM(J33:J34)</f>
        <v>0</v>
      </c>
      <c r="K35" s="1136">
        <f t="shared" si="3"/>
        <v>0</v>
      </c>
      <c r="L35" s="1108"/>
      <c r="M35" s="1138">
        <f t="shared" si="2"/>
        <v>0</v>
      </c>
      <c r="N35" s="1136">
        <f t="shared" si="4"/>
        <v>0</v>
      </c>
    </row>
    <row r="36" spans="1:14" x14ac:dyDescent="0.3">
      <c r="D36" s="1139"/>
      <c r="E36" s="1120"/>
      <c r="F36" s="836" t="s">
        <v>1740</v>
      </c>
      <c r="G36" s="650">
        <f>G28+G24+G20+G17+G32+G35</f>
        <v>6177901</v>
      </c>
      <c r="I36" s="1125" t="s">
        <v>64</v>
      </c>
      <c r="J36" s="1126">
        <f>SUM(J14:J35)/2</f>
        <v>0</v>
      </c>
      <c r="L36" s="1125" t="s">
        <v>64</v>
      </c>
      <c r="M36" s="1127">
        <f>SUM(M14:M35)/2</f>
        <v>0</v>
      </c>
    </row>
    <row r="37" spans="1:14" x14ac:dyDescent="0.3">
      <c r="D37" s="1140"/>
      <c r="F37" s="1118" t="s">
        <v>65</v>
      </c>
      <c r="G37" s="1115">
        <v>0</v>
      </c>
      <c r="I37" s="1118" t="s">
        <v>65</v>
      </c>
      <c r="J37" s="1128">
        <v>0</v>
      </c>
      <c r="L37" s="1118" t="s">
        <v>65</v>
      </c>
      <c r="M37" s="1128">
        <v>0</v>
      </c>
    </row>
    <row r="38" spans="1:14" x14ac:dyDescent="0.3">
      <c r="D38" s="1141"/>
      <c r="F38" s="1119" t="s">
        <v>64</v>
      </c>
      <c r="G38" s="1115">
        <f>G36+G37</f>
        <v>6177901</v>
      </c>
      <c r="I38" s="1119" t="s">
        <v>64</v>
      </c>
      <c r="J38" s="481">
        <f>J36+J37</f>
        <v>0</v>
      </c>
      <c r="L38" s="1119" t="s">
        <v>64</v>
      </c>
      <c r="M38" s="481">
        <f>M36+M37</f>
        <v>0</v>
      </c>
    </row>
    <row r="39" spans="1:14" ht="26.4" customHeight="1" x14ac:dyDescent="0.3">
      <c r="D39" s="1142"/>
      <c r="F39" s="501" t="s">
        <v>1439</v>
      </c>
      <c r="G39" s="1116">
        <f>ROUND(G38*0.015,0)</f>
        <v>92669</v>
      </c>
      <c r="I39" s="501" t="s">
        <v>1439</v>
      </c>
      <c r="J39" s="481">
        <f>ROUND(J38*0.015,0)</f>
        <v>0</v>
      </c>
      <c r="L39" s="501" t="s">
        <v>1439</v>
      </c>
      <c r="M39" s="481">
        <f>ROUND(M38*0.015,0)</f>
        <v>0</v>
      </c>
    </row>
    <row r="40" spans="1:14" ht="26.4" x14ac:dyDescent="0.3">
      <c r="D40" s="657"/>
      <c r="E40" s="1121"/>
      <c r="F40" s="96" t="s">
        <v>1440</v>
      </c>
      <c r="G40" s="1117">
        <f>G38+G39</f>
        <v>6270570</v>
      </c>
      <c r="I40" s="96" t="s">
        <v>1440</v>
      </c>
      <c r="J40" s="783">
        <f>J38+J39</f>
        <v>0</v>
      </c>
      <c r="K40" s="1129">
        <f>J40/G36</f>
        <v>0</v>
      </c>
      <c r="L40" s="96" t="s">
        <v>1440</v>
      </c>
      <c r="M40" s="783">
        <f>+M39+M38</f>
        <v>0</v>
      </c>
      <c r="N40" s="1129">
        <f>M40/G36</f>
        <v>0</v>
      </c>
    </row>
    <row r="41" spans="1:14" x14ac:dyDescent="0.3">
      <c r="F41" s="1122" t="s">
        <v>66</v>
      </c>
      <c r="G41" s="783">
        <f>G40*0.19</f>
        <v>1191408.3</v>
      </c>
      <c r="I41" s="1122" t="s">
        <v>66</v>
      </c>
      <c r="J41" s="672">
        <f>J40*0.19</f>
        <v>0</v>
      </c>
      <c r="L41" s="1122" t="s">
        <v>66</v>
      </c>
      <c r="M41" s="672">
        <f>M40*0.19</f>
        <v>0</v>
      </c>
    </row>
    <row r="42" spans="1:14" x14ac:dyDescent="0.3">
      <c r="F42" s="1123" t="s">
        <v>69</v>
      </c>
      <c r="G42" s="672">
        <f>G40+G41</f>
        <v>7461978.2999999998</v>
      </c>
      <c r="I42" s="1123" t="s">
        <v>69</v>
      </c>
      <c r="J42" s="672">
        <f>J40+J41</f>
        <v>0</v>
      </c>
      <c r="L42" s="1123" t="s">
        <v>69</v>
      </c>
      <c r="M42" s="672">
        <f>M40+M41</f>
        <v>0</v>
      </c>
    </row>
    <row r="43" spans="1:14" x14ac:dyDescent="0.3">
      <c r="F43" s="552"/>
      <c r="G43" s="672"/>
    </row>
    <row r="44" spans="1:14" x14ac:dyDescent="0.3">
      <c r="I44" s="186" t="s">
        <v>70</v>
      </c>
      <c r="J44" s="187" t="s">
        <v>71</v>
      </c>
      <c r="K44" s="186" t="s">
        <v>58</v>
      </c>
    </row>
    <row r="45" spans="1:14" x14ac:dyDescent="0.3">
      <c r="I45" s="69" t="s">
        <v>72</v>
      </c>
      <c r="J45" s="70">
        <f>$J$40</f>
        <v>0</v>
      </c>
      <c r="K45" s="360">
        <f>$K$40</f>
        <v>0</v>
      </c>
    </row>
    <row r="46" spans="1:14" x14ac:dyDescent="0.3">
      <c r="I46" s="72" t="s">
        <v>1</v>
      </c>
      <c r="J46" s="105">
        <f>J45</f>
        <v>0</v>
      </c>
      <c r="K46" s="361">
        <f>K45</f>
        <v>0</v>
      </c>
    </row>
    <row r="47" spans="1:14" x14ac:dyDescent="0.3">
      <c r="I47" s="72" t="s">
        <v>9</v>
      </c>
      <c r="J47" s="1548"/>
      <c r="K47" s="1549"/>
    </row>
    <row r="48" spans="1:14" x14ac:dyDescent="0.3">
      <c r="I48" s="1130" t="s">
        <v>78</v>
      </c>
      <c r="J48" s="1548" t="s">
        <v>2233</v>
      </c>
      <c r="K48" s="1549"/>
    </row>
    <row r="49" spans="9:11" x14ac:dyDescent="0.3">
      <c r="I49" s="1131" t="s">
        <v>8</v>
      </c>
      <c r="J49" s="1548" t="s">
        <v>2234</v>
      </c>
      <c r="K49" s="1549"/>
    </row>
  </sheetData>
  <mergeCells count="36">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29:A32"/>
    <mergeCell ref="B29:B32"/>
    <mergeCell ref="H29:H32"/>
    <mergeCell ref="A14:A17"/>
    <mergeCell ref="B14:B17"/>
    <mergeCell ref="H14:H17"/>
    <mergeCell ref="A18:A20"/>
    <mergeCell ref="B18:B20"/>
    <mergeCell ref="H18:H20"/>
    <mergeCell ref="A21:A24"/>
    <mergeCell ref="B21:B24"/>
    <mergeCell ref="H21:H24"/>
    <mergeCell ref="A25:A28"/>
    <mergeCell ref="B25:B28"/>
    <mergeCell ref="H25:H28"/>
    <mergeCell ref="J47:K47"/>
    <mergeCell ref="J48:K48"/>
    <mergeCell ref="J49:K49"/>
    <mergeCell ref="A33:A35"/>
    <mergeCell ref="B33:B35"/>
    <mergeCell ref="H33:H35"/>
  </mergeCells>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5"/>
  <dimension ref="A1:G49"/>
  <sheetViews>
    <sheetView topLeftCell="A7" workbookViewId="0">
      <selection activeCell="K28" sqref="K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RESUMEN!G162</f>
        <v>Proyecto: CDIE_CBCCSM_R0191, PC2 - REDISEÑO ACOPLE BARRAS SE MT-MT.</v>
      </c>
      <c r="C5" s="1281"/>
      <c r="D5" s="1281"/>
      <c r="E5" s="1281"/>
      <c r="F5" s="1281"/>
      <c r="G5" s="1282"/>
    </row>
    <row r="6" spans="1:7" x14ac:dyDescent="0.25">
      <c r="A6" s="1177"/>
      <c r="B6" s="1177"/>
      <c r="C6" s="1177"/>
      <c r="D6" s="1177"/>
      <c r="E6" s="1177"/>
      <c r="F6" s="1177"/>
      <c r="G6" s="1177"/>
    </row>
    <row r="7" spans="1:7" x14ac:dyDescent="0.25">
      <c r="A7" s="271" t="s">
        <v>0</v>
      </c>
      <c r="B7" s="1264">
        <f>RESUMEN!B162</f>
        <v>0</v>
      </c>
      <c r="C7" s="1265"/>
      <c r="D7" s="1177"/>
      <c r="E7" s="1266" t="s">
        <v>627</v>
      </c>
      <c r="F7" s="1267"/>
      <c r="G7" s="280" t="str">
        <f>RESUMEN!E162</f>
        <v xml:space="preserve">18-027 </v>
      </c>
    </row>
    <row r="8" spans="1:7" x14ac:dyDescent="0.25">
      <c r="A8" s="271" t="s">
        <v>628</v>
      </c>
      <c r="B8" s="1264">
        <f>RESUMEN!C162</f>
        <v>0</v>
      </c>
      <c r="C8" s="1265"/>
      <c r="D8" s="1177"/>
      <c r="E8" s="1266" t="s">
        <v>629</v>
      </c>
      <c r="F8" s="1267"/>
      <c r="G8" s="280" t="str">
        <f>RESUMEN!U162</f>
        <v>Acta N° 1: Marzo</v>
      </c>
    </row>
    <row r="9" spans="1:7" x14ac:dyDescent="0.25">
      <c r="A9" s="271" t="s">
        <v>630</v>
      </c>
      <c r="B9" s="1283" t="s">
        <v>631</v>
      </c>
      <c r="C9" s="1265"/>
      <c r="D9" s="1177"/>
      <c r="E9" s="1266" t="s">
        <v>632</v>
      </c>
      <c r="F9" s="1267"/>
      <c r="G9" s="1178">
        <f>RESUMEN!H162</f>
        <v>10027813</v>
      </c>
    </row>
    <row r="10" spans="1:7" x14ac:dyDescent="0.25">
      <c r="A10" s="271" t="s">
        <v>633</v>
      </c>
      <c r="B10" s="1283" t="str">
        <f>RESUMEN!D162</f>
        <v>CHINAUTA</v>
      </c>
      <c r="C10" s="1265"/>
      <c r="D10" s="1177"/>
      <c r="E10" s="1266" t="s">
        <v>634</v>
      </c>
      <c r="F10" s="1267"/>
      <c r="G10" s="1178">
        <f>RESUMEN!R162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CDIE_CBCCSM_R0191, PC2 - REDISEÑO ACOPLE BARRAS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RESUMEN!N162</f>
        <v>0</v>
      </c>
      <c r="F19" s="1248"/>
      <c r="G19" s="1177"/>
    </row>
    <row r="20" spans="1:7" ht="27" customHeight="1" x14ac:dyDescent="0.25">
      <c r="A20" s="1177"/>
      <c r="B20" s="1244" t="s">
        <v>1498</v>
      </c>
      <c r="C20" s="1245"/>
      <c r="D20" s="1246"/>
      <c r="E20" s="1247">
        <f>RESUMEN!P162</f>
        <v>0</v>
      </c>
      <c r="F20" s="1248"/>
      <c r="G20" s="1177"/>
    </row>
    <row r="21" spans="1:7" ht="27" customHeight="1" x14ac:dyDescent="0.25">
      <c r="A21" s="1177"/>
      <c r="B21" s="1244" t="s">
        <v>1499</v>
      </c>
      <c r="C21" s="1245"/>
      <c r="D21" s="1246"/>
      <c r="E21" s="1247">
        <f>RESUMEN!Q162</f>
        <v>0</v>
      </c>
      <c r="F21" s="1248"/>
      <c r="G21" s="1177"/>
    </row>
    <row r="22" spans="1:7" x14ac:dyDescent="0.25">
      <c r="A22" s="1177"/>
      <c r="B22" s="1254" t="s">
        <v>64</v>
      </c>
      <c r="C22" s="1254"/>
      <c r="D22" s="1254"/>
      <c r="E22" s="1255">
        <f>RESUMEN!R162</f>
        <v>0</v>
      </c>
      <c r="F22" s="1255"/>
      <c r="G22" s="1177"/>
    </row>
    <row r="23" spans="1:7" x14ac:dyDescent="0.25">
      <c r="A23" s="1177"/>
      <c r="B23" s="1256" t="s">
        <v>66</v>
      </c>
      <c r="C23" s="1256"/>
      <c r="D23" s="1256"/>
      <c r="E23" s="1257">
        <f>RESUMEN!S162</f>
        <v>0</v>
      </c>
      <c r="F23" s="1257"/>
      <c r="G23" s="1177"/>
    </row>
    <row r="24" spans="1:7" x14ac:dyDescent="0.25">
      <c r="A24" s="1177"/>
      <c r="B24" s="1258" t="s">
        <v>1</v>
      </c>
      <c r="C24" s="1258"/>
      <c r="D24" s="1258"/>
      <c r="E24" s="1259">
        <f>RESUMEN!T162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+'OT18-027 CHINAUTA'!I26</f>
        <v>ACTA 1</v>
      </c>
      <c r="C28" s="1253">
        <f>+'OT18-027 CHINAUTA'!J26</f>
        <v>0</v>
      </c>
      <c r="D28" s="1253"/>
      <c r="E28" s="267">
        <f>+'OT18-027 CHINAUTA'!K26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6"/>
  <dimension ref="A1:N34"/>
  <sheetViews>
    <sheetView zoomScale="70" zoomScaleNormal="70" workbookViewId="0">
      <selection activeCell="G18" sqref="G18"/>
    </sheetView>
  </sheetViews>
  <sheetFormatPr baseColWidth="10" defaultColWidth="9.109375" defaultRowHeight="14.4" x14ac:dyDescent="0.3"/>
  <cols>
    <col min="1" max="1" width="15.109375" style="1054" customWidth="1"/>
    <col min="2" max="2" width="23" style="1054" customWidth="1"/>
    <col min="3" max="3" width="34.88671875" style="1054" customWidth="1"/>
    <col min="4" max="4" width="24.88671875" style="1054" bestFit="1" customWidth="1"/>
    <col min="5" max="5" width="15.5546875" style="1054" customWidth="1"/>
    <col min="6" max="6" width="15.88671875" style="1054" customWidth="1"/>
    <col min="7" max="7" width="18.109375" style="1054" customWidth="1"/>
    <col min="8" max="8" width="44.33203125" style="1054" customWidth="1"/>
    <col min="9" max="9" width="21.109375" style="1054" customWidth="1"/>
    <col min="10" max="10" width="15" style="1054" bestFit="1" customWidth="1"/>
    <col min="11" max="11" width="15.6640625" style="1054" customWidth="1"/>
    <col min="12" max="12" width="24.6640625" style="1054" customWidth="1"/>
    <col min="13" max="13" width="15" style="1054" bestFit="1" customWidth="1"/>
    <col min="14" max="16384" width="9.109375" style="1054"/>
  </cols>
  <sheetData>
    <row r="1" spans="1:14" ht="30.75" customHeight="1" x14ac:dyDescent="0.3">
      <c r="A1" s="169"/>
      <c r="B1" s="188"/>
      <c r="C1" s="1307" t="s">
        <v>40</v>
      </c>
      <c r="D1" s="1308"/>
      <c r="E1" s="1308"/>
      <c r="F1" s="1308"/>
      <c r="G1" s="1308"/>
      <c r="H1" s="1308"/>
      <c r="I1" s="1308"/>
      <c r="J1" s="1308"/>
      <c r="K1" s="1532" t="s">
        <v>2360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ht="16.5" customHeight="1" x14ac:dyDescent="0.3">
      <c r="A7" s="1291" t="s">
        <v>2361</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2362</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H11" s="831"/>
      <c r="I11" s="1470" t="s">
        <v>2313</v>
      </c>
      <c r="J11" s="1471"/>
      <c r="K11" s="1472"/>
      <c r="L11" s="1299" t="s">
        <v>49</v>
      </c>
      <c r="M11" s="1299"/>
      <c r="N11" s="1299"/>
    </row>
    <row r="12" spans="1:14"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53</v>
      </c>
      <c r="E13" s="661" t="s">
        <v>54</v>
      </c>
      <c r="F13" s="858" t="s">
        <v>2007</v>
      </c>
      <c r="G13" s="661" t="s">
        <v>56</v>
      </c>
      <c r="H13" s="660" t="s">
        <v>57</v>
      </c>
      <c r="I13" s="502" t="s">
        <v>54</v>
      </c>
      <c r="J13" s="502" t="s">
        <v>56</v>
      </c>
      <c r="K13" s="502" t="s">
        <v>58</v>
      </c>
      <c r="L13" s="502" t="s">
        <v>54</v>
      </c>
      <c r="M13" s="502" t="s">
        <v>56</v>
      </c>
      <c r="N13" s="502" t="s">
        <v>58</v>
      </c>
    </row>
    <row r="14" spans="1:14" ht="28.8" customHeight="1" x14ac:dyDescent="0.3">
      <c r="A14" s="1510" t="s">
        <v>2354</v>
      </c>
      <c r="B14" s="1510" t="s">
        <v>2355</v>
      </c>
      <c r="C14" s="1062" t="s">
        <v>59</v>
      </c>
      <c r="D14" s="1062" t="s">
        <v>2356</v>
      </c>
      <c r="E14" s="1062">
        <v>1</v>
      </c>
      <c r="F14" s="646">
        <v>4428341</v>
      </c>
      <c r="G14" s="646">
        <f>ROUND((E14*F14),0)</f>
        <v>4428341</v>
      </c>
      <c r="H14" s="1514" t="s">
        <v>2357</v>
      </c>
      <c r="I14" s="891">
        <v>0</v>
      </c>
      <c r="J14" s="892">
        <f>ROUND(I14*F14,0)</f>
        <v>0</v>
      </c>
      <c r="K14" s="893">
        <f>J14/G14</f>
        <v>0</v>
      </c>
      <c r="L14" s="799">
        <f>I14</f>
        <v>0</v>
      </c>
      <c r="M14" s="685">
        <f t="shared" ref="M14:M15" si="0">J14</f>
        <v>0</v>
      </c>
      <c r="N14" s="684">
        <f>M14/G14</f>
        <v>0</v>
      </c>
    </row>
    <row r="15" spans="1:14" ht="28.8" x14ac:dyDescent="0.3">
      <c r="A15" s="1510"/>
      <c r="B15" s="1510"/>
      <c r="C15" s="1062" t="s">
        <v>61</v>
      </c>
      <c r="D15" s="1062" t="s">
        <v>2358</v>
      </c>
      <c r="E15" s="1062">
        <v>1</v>
      </c>
      <c r="F15" s="646">
        <v>5599472</v>
      </c>
      <c r="G15" s="646">
        <f>ROUND((E15*F15),0)</f>
        <v>5599472</v>
      </c>
      <c r="H15" s="1510"/>
      <c r="I15" s="891">
        <v>0</v>
      </c>
      <c r="J15" s="892">
        <f>ROUND(I15*F15,0)</f>
        <v>0</v>
      </c>
      <c r="K15" s="893">
        <f t="shared" ref="K15:K16" si="1">J15/G15</f>
        <v>0</v>
      </c>
      <c r="L15" s="799">
        <f>I15</f>
        <v>0</v>
      </c>
      <c r="M15" s="685">
        <f t="shared" si="0"/>
        <v>0</v>
      </c>
      <c r="N15" s="684">
        <f t="shared" ref="N15:N16" si="2">M15/G15</f>
        <v>0</v>
      </c>
    </row>
    <row r="16" spans="1:14" x14ac:dyDescent="0.3">
      <c r="A16" s="1510"/>
      <c r="B16" s="1510"/>
      <c r="C16" s="647"/>
      <c r="D16" s="647" t="s">
        <v>2359</v>
      </c>
      <c r="E16" s="648"/>
      <c r="F16" s="648"/>
      <c r="G16" s="649">
        <f>SUM(G14:G15)</f>
        <v>10027813</v>
      </c>
      <c r="H16" s="1510"/>
      <c r="I16" s="40"/>
      <c r="J16" s="683">
        <f>SUM(J14:J15)</f>
        <v>0</v>
      </c>
      <c r="K16" s="893">
        <f t="shared" si="1"/>
        <v>0</v>
      </c>
      <c r="L16" s="40"/>
      <c r="M16" s="683">
        <f>SUM(M14:M15)</f>
        <v>0</v>
      </c>
      <c r="N16" s="684">
        <f t="shared" si="2"/>
        <v>0</v>
      </c>
    </row>
    <row r="17" spans="1:14" x14ac:dyDescent="0.3">
      <c r="A17" s="1062"/>
      <c r="B17" s="1062"/>
      <c r="F17" s="547" t="s">
        <v>64</v>
      </c>
      <c r="G17" s="855">
        <f>SUM(G16)</f>
        <v>10027813</v>
      </c>
      <c r="H17" s="1062"/>
      <c r="I17" s="547" t="s">
        <v>64</v>
      </c>
      <c r="J17" s="855">
        <f>SUM(J16)</f>
        <v>0</v>
      </c>
      <c r="L17" s="547" t="s">
        <v>64</v>
      </c>
      <c r="M17" s="835">
        <f>SUM(M16)</f>
        <v>0</v>
      </c>
    </row>
    <row r="18" spans="1:14" x14ac:dyDescent="0.3">
      <c r="E18" s="967" t="s">
        <v>2351</v>
      </c>
      <c r="F18" s="322">
        <v>0.03</v>
      </c>
      <c r="G18" s="650">
        <f>(((G16)*0.3))*F18</f>
        <v>90250.316999999995</v>
      </c>
      <c r="I18" s="548" t="s">
        <v>65</v>
      </c>
      <c r="J18" s="677">
        <f>(J14*0.03)</f>
        <v>0</v>
      </c>
      <c r="L18" s="548" t="s">
        <v>65</v>
      </c>
      <c r="M18" s="677">
        <f>(M14*0.03)</f>
        <v>0</v>
      </c>
    </row>
    <row r="19" spans="1:14" x14ac:dyDescent="0.3">
      <c r="F19" s="549" t="s">
        <v>64</v>
      </c>
      <c r="G19" s="481">
        <f>G17+G18</f>
        <v>10118063.317</v>
      </c>
      <c r="I19" s="549" t="s">
        <v>64</v>
      </c>
      <c r="J19" s="481">
        <f>J17+J18</f>
        <v>0</v>
      </c>
      <c r="L19" s="549" t="s">
        <v>64</v>
      </c>
      <c r="M19" s="481">
        <f>M17+M18</f>
        <v>0</v>
      </c>
    </row>
    <row r="20" spans="1:14" ht="26.4" x14ac:dyDescent="0.3">
      <c r="F20" s="501" t="s">
        <v>1439</v>
      </c>
      <c r="G20" s="481">
        <f>ROUND(G19*0.015,0)</f>
        <v>151771</v>
      </c>
      <c r="I20" s="501" t="s">
        <v>1439</v>
      </c>
      <c r="J20" s="481">
        <f>ROUND(J19*0.015,0)</f>
        <v>0</v>
      </c>
      <c r="L20" s="501" t="s">
        <v>1439</v>
      </c>
      <c r="M20" s="481">
        <f>ROUND(M19*0.015,0)</f>
        <v>0</v>
      </c>
    </row>
    <row r="21" spans="1:14" ht="18" customHeight="1" x14ac:dyDescent="0.3">
      <c r="F21" s="96" t="s">
        <v>1440</v>
      </c>
      <c r="G21" s="783">
        <f>G19+G20</f>
        <v>10269834.317</v>
      </c>
      <c r="I21" s="96" t="s">
        <v>1440</v>
      </c>
      <c r="J21" s="783">
        <f>J19+J20</f>
        <v>0</v>
      </c>
      <c r="K21" s="856">
        <f>J21/G17</f>
        <v>0</v>
      </c>
      <c r="L21" s="96" t="s">
        <v>1440</v>
      </c>
      <c r="M21" s="425">
        <f>M19+M20</f>
        <v>0</v>
      </c>
      <c r="N21" s="857">
        <f>M21/G17</f>
        <v>0</v>
      </c>
    </row>
    <row r="22" spans="1:14" ht="27.75" customHeight="1" x14ac:dyDescent="0.3">
      <c r="F22" s="551" t="s">
        <v>66</v>
      </c>
      <c r="G22" s="672">
        <f>G21*0.19</f>
        <v>1951268.5202299999</v>
      </c>
      <c r="I22" s="551" t="s">
        <v>66</v>
      </c>
      <c r="J22" s="672">
        <f>J21*0.19</f>
        <v>0</v>
      </c>
      <c r="L22" s="551" t="s">
        <v>66</v>
      </c>
      <c r="M22" s="672">
        <f>M21*0.19</f>
        <v>0</v>
      </c>
    </row>
    <row r="23" spans="1:14" x14ac:dyDescent="0.3">
      <c r="F23" s="552" t="s">
        <v>69</v>
      </c>
      <c r="G23" s="672">
        <f>G21+G22</f>
        <v>12221102.837230001</v>
      </c>
      <c r="I23" s="552" t="s">
        <v>69</v>
      </c>
      <c r="J23" s="672">
        <f>J21+J22</f>
        <v>0</v>
      </c>
      <c r="L23" s="552" t="s">
        <v>69</v>
      </c>
      <c r="M23" s="672">
        <f>M21+M22</f>
        <v>0</v>
      </c>
    </row>
    <row r="25" spans="1:14" x14ac:dyDescent="0.3">
      <c r="C25" s="184"/>
      <c r="D25" s="185" t="s">
        <v>68</v>
      </c>
      <c r="I25" s="186" t="s">
        <v>70</v>
      </c>
      <c r="J25" s="187" t="s">
        <v>71</v>
      </c>
      <c r="K25" s="186" t="s">
        <v>58</v>
      </c>
    </row>
    <row r="26" spans="1:14" ht="38.25" customHeight="1" x14ac:dyDescent="0.3">
      <c r="A26" s="665" t="s">
        <v>67</v>
      </c>
      <c r="B26" s="184"/>
      <c r="C26" s="184"/>
      <c r="D26" s="185"/>
      <c r="I26" s="69" t="s">
        <v>72</v>
      </c>
      <c r="J26" s="70">
        <f>J21</f>
        <v>0</v>
      </c>
      <c r="K26" s="360">
        <f>K21</f>
        <v>0</v>
      </c>
    </row>
    <row r="27" spans="1:14" x14ac:dyDescent="0.3">
      <c r="A27" s="665"/>
      <c r="B27" s="184"/>
      <c r="C27" s="184"/>
      <c r="D27" s="185"/>
      <c r="I27" s="72" t="s">
        <v>1</v>
      </c>
      <c r="J27" s="105">
        <f>J26</f>
        <v>0</v>
      </c>
      <c r="K27" s="361">
        <f>K26</f>
        <v>0</v>
      </c>
    </row>
    <row r="28" spans="1:14" x14ac:dyDescent="0.3">
      <c r="A28" s="665"/>
      <c r="B28" s="184"/>
      <c r="C28" s="184"/>
      <c r="D28" s="185"/>
      <c r="I28" s="72" t="s">
        <v>9</v>
      </c>
      <c r="J28" s="1423"/>
      <c r="K28" s="1424"/>
    </row>
    <row r="29" spans="1:14" x14ac:dyDescent="0.3">
      <c r="A29" s="665"/>
      <c r="B29" s="184"/>
      <c r="C29" s="184"/>
      <c r="D29" s="185"/>
      <c r="I29" s="440" t="s">
        <v>78</v>
      </c>
      <c r="J29" s="1423"/>
      <c r="K29" s="1424"/>
    </row>
    <row r="30" spans="1:14" x14ac:dyDescent="0.3">
      <c r="A30" s="665"/>
      <c r="B30" s="184"/>
      <c r="C30" s="184"/>
      <c r="D30" s="185"/>
      <c r="I30" s="439" t="s">
        <v>8</v>
      </c>
      <c r="J30" s="1425"/>
      <c r="K30" s="1426"/>
    </row>
    <row r="31" spans="1:14" x14ac:dyDescent="0.3">
      <c r="A31" s="665"/>
      <c r="B31" s="184"/>
      <c r="C31" s="184"/>
      <c r="D31" s="185" t="s">
        <v>75</v>
      </c>
    </row>
    <row r="32" spans="1:14" x14ac:dyDescent="0.3">
      <c r="A32" s="665"/>
      <c r="B32" s="184"/>
      <c r="C32" s="180"/>
      <c r="D32" s="185" t="s">
        <v>77</v>
      </c>
    </row>
    <row r="33" spans="1:4" x14ac:dyDescent="0.3">
      <c r="A33" s="665" t="s">
        <v>76</v>
      </c>
      <c r="B33" s="180"/>
      <c r="C33" s="180"/>
      <c r="D33" s="185" t="s">
        <v>80</v>
      </c>
    </row>
    <row r="34" spans="1:4" ht="26.4" x14ac:dyDescent="0.3">
      <c r="A34" s="665" t="s">
        <v>79</v>
      </c>
      <c r="B34" s="180"/>
    </row>
  </sheetData>
  <mergeCells count="21">
    <mergeCell ref="A5:M5"/>
    <mergeCell ref="C1:J2"/>
    <mergeCell ref="K1:N1"/>
    <mergeCell ref="K2:N2"/>
    <mergeCell ref="A3:M3"/>
    <mergeCell ref="A4:M4"/>
    <mergeCell ref="J28:K28"/>
    <mergeCell ref="J29:K29"/>
    <mergeCell ref="J30:K30"/>
    <mergeCell ref="A14:A16"/>
    <mergeCell ref="A6:M6"/>
    <mergeCell ref="A7:M7"/>
    <mergeCell ref="A8:M8"/>
    <mergeCell ref="A9:M9"/>
    <mergeCell ref="A10:M10"/>
    <mergeCell ref="B11:F11"/>
    <mergeCell ref="I11:K12"/>
    <mergeCell ref="L11:N12"/>
    <mergeCell ref="B12:F12"/>
    <mergeCell ref="B14:B16"/>
    <mergeCell ref="H14:H16"/>
  </mergeCells>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7"/>
  <dimension ref="A1:G49"/>
  <sheetViews>
    <sheetView topLeftCell="A10"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RESUMEN!G163</f>
        <v>Proyecto: CDIE_CBCCSM_R0191, PC2 - REDISEÑO ACOPLE BARRAS SE MT-MT.</v>
      </c>
      <c r="C5" s="1281"/>
      <c r="D5" s="1281"/>
      <c r="E5" s="1281"/>
      <c r="F5" s="1281"/>
      <c r="G5" s="1282"/>
    </row>
    <row r="6" spans="1:7" x14ac:dyDescent="0.25">
      <c r="A6" s="1177"/>
      <c r="B6" s="1177"/>
      <c r="C6" s="1177"/>
      <c r="D6" s="1177"/>
      <c r="E6" s="1177"/>
      <c r="F6" s="1177"/>
      <c r="G6" s="1177"/>
    </row>
    <row r="7" spans="1:7" x14ac:dyDescent="0.25">
      <c r="A7" s="271" t="s">
        <v>0</v>
      </c>
      <c r="B7" s="1264">
        <f>RESUMEN!B163</f>
        <v>0</v>
      </c>
      <c r="C7" s="1265"/>
      <c r="D7" s="1177"/>
      <c r="E7" s="1266" t="s">
        <v>627</v>
      </c>
      <c r="F7" s="1267"/>
      <c r="G7" s="280" t="str">
        <f>RESUMEN!E163</f>
        <v xml:space="preserve">18-028 </v>
      </c>
    </row>
    <row r="8" spans="1:7" x14ac:dyDescent="0.25">
      <c r="A8" s="271" t="s">
        <v>628</v>
      </c>
      <c r="B8" s="1264">
        <f>RESUMEN!C163</f>
        <v>0</v>
      </c>
      <c r="C8" s="1265"/>
      <c r="D8" s="1177"/>
      <c r="E8" s="1266" t="s">
        <v>629</v>
      </c>
      <c r="F8" s="1267"/>
      <c r="G8" s="280" t="str">
        <f>RESUMEN!U163</f>
        <v>Acta N° 1: Marzo</v>
      </c>
    </row>
    <row r="9" spans="1:7" x14ac:dyDescent="0.25">
      <c r="A9" s="271" t="s">
        <v>630</v>
      </c>
      <c r="B9" s="1283" t="s">
        <v>631</v>
      </c>
      <c r="C9" s="1265"/>
      <c r="D9" s="1177"/>
      <c r="E9" s="1266" t="s">
        <v>632</v>
      </c>
      <c r="F9" s="1267"/>
      <c r="G9" s="1178">
        <f>RESUMEN!H163</f>
        <v>10027813</v>
      </c>
    </row>
    <row r="10" spans="1:7" x14ac:dyDescent="0.25">
      <c r="A10" s="271" t="s">
        <v>633</v>
      </c>
      <c r="B10" s="1283" t="str">
        <f>RESUMEN!D163</f>
        <v>EL HOBAL</v>
      </c>
      <c r="C10" s="1265"/>
      <c r="D10" s="1177"/>
      <c r="E10" s="1266" t="s">
        <v>634</v>
      </c>
      <c r="F10" s="1267"/>
      <c r="G10" s="1178">
        <f>RESUMEN!R163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CDIE_CBCCSM_R0191, PC2 - REDISEÑO ACOPLE BARRAS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RESUMEN!N163</f>
        <v>0</v>
      </c>
      <c r="F19" s="1248"/>
      <c r="G19" s="1177"/>
    </row>
    <row r="20" spans="1:7" ht="27" customHeight="1" x14ac:dyDescent="0.25">
      <c r="A20" s="1177"/>
      <c r="B20" s="1244" t="s">
        <v>1498</v>
      </c>
      <c r="C20" s="1245"/>
      <c r="D20" s="1246"/>
      <c r="E20" s="1247">
        <f>RESUMEN!P163</f>
        <v>0</v>
      </c>
      <c r="F20" s="1248"/>
      <c r="G20" s="1177"/>
    </row>
    <row r="21" spans="1:7" ht="27" customHeight="1" x14ac:dyDescent="0.25">
      <c r="A21" s="1177"/>
      <c r="B21" s="1244" t="s">
        <v>1499</v>
      </c>
      <c r="C21" s="1245"/>
      <c r="D21" s="1246"/>
      <c r="E21" s="1247">
        <f>RESUMEN!Q163</f>
        <v>0</v>
      </c>
      <c r="F21" s="1248"/>
      <c r="G21" s="1177"/>
    </row>
    <row r="22" spans="1:7" x14ac:dyDescent="0.25">
      <c r="A22" s="1177"/>
      <c r="B22" s="1254" t="s">
        <v>64</v>
      </c>
      <c r="C22" s="1254"/>
      <c r="D22" s="1254"/>
      <c r="E22" s="1255">
        <f>RESUMEN!R163</f>
        <v>0</v>
      </c>
      <c r="F22" s="1255"/>
      <c r="G22" s="1177"/>
    </row>
    <row r="23" spans="1:7" x14ac:dyDescent="0.25">
      <c r="A23" s="1177"/>
      <c r="B23" s="1256" t="s">
        <v>66</v>
      </c>
      <c r="C23" s="1256"/>
      <c r="D23" s="1256"/>
      <c r="E23" s="1257">
        <f>RESUMEN!S163</f>
        <v>0</v>
      </c>
      <c r="F23" s="1257"/>
      <c r="G23" s="1177"/>
    </row>
    <row r="24" spans="1:7" x14ac:dyDescent="0.25">
      <c r="A24" s="1177"/>
      <c r="B24" s="1258" t="s">
        <v>1</v>
      </c>
      <c r="C24" s="1258"/>
      <c r="D24" s="1258"/>
      <c r="E24" s="1259">
        <f>RESUMEN!T163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+'OT18-028 EL HOBAL'!I26</f>
        <v>ACTA 1</v>
      </c>
      <c r="C28" s="1253">
        <f>+'OT18-028 EL HOBAL'!J26</f>
        <v>0</v>
      </c>
      <c r="D28" s="1253"/>
      <c r="E28" s="267">
        <f>+'OT18-028 EL HOBAL'!K26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8"/>
  <dimension ref="A1:N34"/>
  <sheetViews>
    <sheetView topLeftCell="C4" zoomScale="80" zoomScaleNormal="80" workbookViewId="0">
      <selection activeCell="J16" sqref="J16"/>
    </sheetView>
  </sheetViews>
  <sheetFormatPr baseColWidth="10" defaultColWidth="9.109375" defaultRowHeight="14.4" x14ac:dyDescent="0.3"/>
  <cols>
    <col min="1" max="1" width="15.109375" style="1054" customWidth="1"/>
    <col min="2" max="2" width="23" style="1054" customWidth="1"/>
    <col min="3" max="3" width="34.88671875" style="1054" customWidth="1"/>
    <col min="4" max="4" width="24.88671875" style="1054" bestFit="1" customWidth="1"/>
    <col min="5" max="5" width="15.5546875" style="1054" customWidth="1"/>
    <col min="6" max="6" width="15.88671875" style="1054" customWidth="1"/>
    <col min="7" max="7" width="18.109375" style="1054" customWidth="1"/>
    <col min="8" max="8" width="44.33203125" style="1054" customWidth="1"/>
    <col min="9" max="9" width="21.109375" style="1054" customWidth="1"/>
    <col min="10" max="10" width="15" style="1054" bestFit="1" customWidth="1"/>
    <col min="11" max="11" width="15.6640625" style="1054" customWidth="1"/>
    <col min="12" max="12" width="24.6640625" style="1054" customWidth="1"/>
    <col min="13" max="13" width="15" style="1054" bestFit="1" customWidth="1"/>
    <col min="14" max="16384" width="9.109375" style="1054"/>
  </cols>
  <sheetData>
    <row r="1" spans="1:14" ht="30.75" customHeight="1" x14ac:dyDescent="0.3">
      <c r="A1" s="169"/>
      <c r="B1" s="188"/>
      <c r="C1" s="1307" t="s">
        <v>40</v>
      </c>
      <c r="D1" s="1308"/>
      <c r="E1" s="1308"/>
      <c r="F1" s="1308"/>
      <c r="G1" s="1308"/>
      <c r="H1" s="1308"/>
      <c r="I1" s="1308"/>
      <c r="J1" s="1308"/>
      <c r="K1" s="1532" t="s">
        <v>2360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ht="16.5" customHeight="1" x14ac:dyDescent="0.3">
      <c r="A7" s="1291" t="s">
        <v>2361</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2363</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H11" s="831"/>
      <c r="I11" s="1470" t="s">
        <v>2313</v>
      </c>
      <c r="J11" s="1471"/>
      <c r="K11" s="1472"/>
      <c r="L11" s="1299" t="s">
        <v>49</v>
      </c>
      <c r="M11" s="1299"/>
      <c r="N11" s="1299"/>
    </row>
    <row r="12" spans="1:14" ht="18" customHeight="1" x14ac:dyDescent="0.3">
      <c r="A12" s="171"/>
      <c r="B12" s="1301"/>
      <c r="C12" s="1302"/>
      <c r="D12" s="1302"/>
      <c r="E12" s="1302"/>
      <c r="F12" s="1302"/>
      <c r="G12" s="831"/>
      <c r="H12" s="831"/>
      <c r="I12" s="1523"/>
      <c r="J12" s="1524"/>
      <c r="K12" s="1525"/>
      <c r="L12" s="1300"/>
      <c r="M12" s="1300"/>
      <c r="N12" s="1300"/>
    </row>
    <row r="13" spans="1:14" ht="28.8" x14ac:dyDescent="0.3">
      <c r="A13" s="660" t="s">
        <v>50</v>
      </c>
      <c r="B13" s="660" t="s">
        <v>51</v>
      </c>
      <c r="C13" s="660" t="s">
        <v>52</v>
      </c>
      <c r="D13" s="660" t="s">
        <v>53</v>
      </c>
      <c r="E13" s="661" t="s">
        <v>54</v>
      </c>
      <c r="F13" s="858" t="s">
        <v>2007</v>
      </c>
      <c r="G13" s="661" t="s">
        <v>56</v>
      </c>
      <c r="H13" s="660" t="s">
        <v>57</v>
      </c>
      <c r="I13" s="502" t="s">
        <v>54</v>
      </c>
      <c r="J13" s="502" t="s">
        <v>56</v>
      </c>
      <c r="K13" s="502" t="s">
        <v>58</v>
      </c>
      <c r="L13" s="502" t="s">
        <v>54</v>
      </c>
      <c r="M13" s="502" t="s">
        <v>56</v>
      </c>
      <c r="N13" s="502" t="s">
        <v>58</v>
      </c>
    </row>
    <row r="14" spans="1:14" ht="28.8" customHeight="1" x14ac:dyDescent="0.3">
      <c r="A14" s="1510" t="s">
        <v>2354</v>
      </c>
      <c r="B14" s="1510" t="s">
        <v>2355</v>
      </c>
      <c r="C14" s="1062" t="s">
        <v>59</v>
      </c>
      <c r="D14" s="1062" t="s">
        <v>2356</v>
      </c>
      <c r="E14" s="1062">
        <v>1</v>
      </c>
      <c r="F14" s="646">
        <v>4428341</v>
      </c>
      <c r="G14" s="646">
        <f>ROUND((E14*F14),0)</f>
        <v>4428341</v>
      </c>
      <c r="H14" s="1514" t="s">
        <v>2364</v>
      </c>
      <c r="I14" s="891">
        <v>0</v>
      </c>
      <c r="J14" s="892">
        <f>ROUND(I14*F14,0)</f>
        <v>0</v>
      </c>
      <c r="K14" s="893">
        <f>J14/G14</f>
        <v>0</v>
      </c>
      <c r="L14" s="799">
        <f>I14</f>
        <v>0</v>
      </c>
      <c r="M14" s="685">
        <f t="shared" ref="M14:M15" si="0">J14</f>
        <v>0</v>
      </c>
      <c r="N14" s="684">
        <f>M14/G14</f>
        <v>0</v>
      </c>
    </row>
    <row r="15" spans="1:14" ht="28.8" x14ac:dyDescent="0.3">
      <c r="A15" s="1510"/>
      <c r="B15" s="1510"/>
      <c r="C15" s="1062" t="s">
        <v>61</v>
      </c>
      <c r="D15" s="1062" t="s">
        <v>2358</v>
      </c>
      <c r="E15" s="1062">
        <v>1</v>
      </c>
      <c r="F15" s="646">
        <v>5599472</v>
      </c>
      <c r="G15" s="646">
        <f>ROUND((E15*F15),0)</f>
        <v>5599472</v>
      </c>
      <c r="H15" s="1510"/>
      <c r="I15" s="891">
        <v>0</v>
      </c>
      <c r="J15" s="892">
        <f>ROUND(I15*F15,0)</f>
        <v>0</v>
      </c>
      <c r="K15" s="893">
        <f t="shared" ref="K15:K16" si="1">J15/G15</f>
        <v>0</v>
      </c>
      <c r="L15" s="799">
        <f>I15</f>
        <v>0</v>
      </c>
      <c r="M15" s="685">
        <f t="shared" si="0"/>
        <v>0</v>
      </c>
      <c r="N15" s="684">
        <f t="shared" ref="N15:N16" si="2">M15/G15</f>
        <v>0</v>
      </c>
    </row>
    <row r="16" spans="1:14" x14ac:dyDescent="0.3">
      <c r="A16" s="1510"/>
      <c r="B16" s="1510"/>
      <c r="C16" s="647"/>
      <c r="D16" s="647" t="s">
        <v>2359</v>
      </c>
      <c r="E16" s="648"/>
      <c r="F16" s="648"/>
      <c r="G16" s="649">
        <f>SUM(G14:G15)</f>
        <v>10027813</v>
      </c>
      <c r="H16" s="1510"/>
      <c r="I16" s="40"/>
      <c r="J16" s="683">
        <f>SUM(J14:J15)</f>
        <v>0</v>
      </c>
      <c r="K16" s="893">
        <f t="shared" si="1"/>
        <v>0</v>
      </c>
      <c r="L16" s="40"/>
      <c r="M16" s="683">
        <f>SUM(M14:M15)</f>
        <v>0</v>
      </c>
      <c r="N16" s="684">
        <f t="shared" si="2"/>
        <v>0</v>
      </c>
    </row>
    <row r="17" spans="1:14" x14ac:dyDescent="0.3">
      <c r="A17" s="1062"/>
      <c r="B17" s="1062"/>
      <c r="F17" s="547" t="s">
        <v>64</v>
      </c>
      <c r="G17" s="855">
        <f>SUM(G16)</f>
        <v>10027813</v>
      </c>
      <c r="H17" s="1062"/>
      <c r="I17" s="547" t="s">
        <v>64</v>
      </c>
      <c r="J17" s="855">
        <f>SUM(J16)</f>
        <v>0</v>
      </c>
      <c r="L17" s="547" t="s">
        <v>64</v>
      </c>
      <c r="M17" s="835">
        <f>SUM(M16)</f>
        <v>0</v>
      </c>
    </row>
    <row r="18" spans="1:14" x14ac:dyDescent="0.3">
      <c r="E18" s="967" t="s">
        <v>2351</v>
      </c>
      <c r="F18" s="322">
        <v>0.03</v>
      </c>
      <c r="G18" s="650">
        <f>(((G16)*0.3))*F18</f>
        <v>90250.316999999995</v>
      </c>
      <c r="I18" s="548" t="s">
        <v>65</v>
      </c>
      <c r="J18" s="677">
        <f>(J14*0.03)</f>
        <v>0</v>
      </c>
      <c r="L18" s="548" t="s">
        <v>65</v>
      </c>
      <c r="M18" s="677">
        <f>(M14*0.03)</f>
        <v>0</v>
      </c>
    </row>
    <row r="19" spans="1:14" x14ac:dyDescent="0.3">
      <c r="F19" s="549" t="s">
        <v>64</v>
      </c>
      <c r="G19" s="481">
        <f>G17+G18</f>
        <v>10118063.317</v>
      </c>
      <c r="I19" s="549" t="s">
        <v>64</v>
      </c>
      <c r="J19" s="481">
        <f>J17+J18</f>
        <v>0</v>
      </c>
      <c r="L19" s="549" t="s">
        <v>64</v>
      </c>
      <c r="M19" s="481">
        <f>M17+M18</f>
        <v>0</v>
      </c>
    </row>
    <row r="20" spans="1:14" ht="26.4" x14ac:dyDescent="0.3">
      <c r="F20" s="501" t="s">
        <v>1439</v>
      </c>
      <c r="G20" s="481">
        <f>ROUND(G19*0.015,0)</f>
        <v>151771</v>
      </c>
      <c r="I20" s="501" t="s">
        <v>1439</v>
      </c>
      <c r="J20" s="481">
        <f>ROUND(J19*0.015,0)</f>
        <v>0</v>
      </c>
      <c r="L20" s="501" t="s">
        <v>1439</v>
      </c>
      <c r="M20" s="481">
        <f>ROUND(M19*0.015,0)</f>
        <v>0</v>
      </c>
    </row>
    <row r="21" spans="1:14" ht="18" customHeight="1" x14ac:dyDescent="0.3">
      <c r="F21" s="96" t="s">
        <v>1440</v>
      </c>
      <c r="G21" s="783">
        <f>G19+G20</f>
        <v>10269834.317</v>
      </c>
      <c r="I21" s="96" t="s">
        <v>1440</v>
      </c>
      <c r="J21" s="783">
        <f>J19+J20</f>
        <v>0</v>
      </c>
      <c r="K21" s="856">
        <f>J21/G17</f>
        <v>0</v>
      </c>
      <c r="L21" s="96" t="s">
        <v>1440</v>
      </c>
      <c r="M21" s="425">
        <f>M19+M20</f>
        <v>0</v>
      </c>
      <c r="N21" s="857">
        <f>M21/G17</f>
        <v>0</v>
      </c>
    </row>
    <row r="22" spans="1:14" ht="27.75" customHeight="1" x14ac:dyDescent="0.3">
      <c r="F22" s="551" t="s">
        <v>66</v>
      </c>
      <c r="G22" s="672">
        <f>G21*0.19</f>
        <v>1951268.5202299999</v>
      </c>
      <c r="I22" s="551" t="s">
        <v>66</v>
      </c>
      <c r="J22" s="672">
        <f>J21*0.19</f>
        <v>0</v>
      </c>
      <c r="L22" s="551" t="s">
        <v>66</v>
      </c>
      <c r="M22" s="672">
        <f>M21*0.19</f>
        <v>0</v>
      </c>
    </row>
    <row r="23" spans="1:14" x14ac:dyDescent="0.3">
      <c r="F23" s="552" t="s">
        <v>69</v>
      </c>
      <c r="G23" s="672">
        <f>G21+G22</f>
        <v>12221102.837230001</v>
      </c>
      <c r="I23" s="552" t="s">
        <v>69</v>
      </c>
      <c r="J23" s="672">
        <f>J21+J22</f>
        <v>0</v>
      </c>
      <c r="L23" s="552" t="s">
        <v>69</v>
      </c>
      <c r="M23" s="672">
        <f>M21+M22</f>
        <v>0</v>
      </c>
    </row>
    <row r="25" spans="1:14" x14ac:dyDescent="0.3">
      <c r="C25" s="184"/>
      <c r="D25" s="185" t="s">
        <v>68</v>
      </c>
      <c r="I25" s="186" t="s">
        <v>70</v>
      </c>
      <c r="J25" s="187" t="s">
        <v>71</v>
      </c>
      <c r="K25" s="186" t="s">
        <v>58</v>
      </c>
    </row>
    <row r="26" spans="1:14" ht="38.25" customHeight="1" x14ac:dyDescent="0.3">
      <c r="A26" s="665" t="s">
        <v>67</v>
      </c>
      <c r="B26" s="184"/>
      <c r="C26" s="184"/>
      <c r="D26" s="185"/>
      <c r="I26" s="69" t="s">
        <v>72</v>
      </c>
      <c r="J26" s="70">
        <f>J21</f>
        <v>0</v>
      </c>
      <c r="K26" s="360">
        <f>K21</f>
        <v>0</v>
      </c>
    </row>
    <row r="27" spans="1:14" x14ac:dyDescent="0.3">
      <c r="A27" s="665"/>
      <c r="B27" s="184"/>
      <c r="C27" s="184"/>
      <c r="D27" s="185"/>
      <c r="I27" s="72" t="s">
        <v>1</v>
      </c>
      <c r="J27" s="105">
        <f>J26</f>
        <v>0</v>
      </c>
      <c r="K27" s="361">
        <f>K26</f>
        <v>0</v>
      </c>
    </row>
    <row r="28" spans="1:14" x14ac:dyDescent="0.3">
      <c r="A28" s="665"/>
      <c r="B28" s="184"/>
      <c r="C28" s="184"/>
      <c r="D28" s="185"/>
      <c r="I28" s="72" t="s">
        <v>9</v>
      </c>
      <c r="J28" s="1423"/>
      <c r="K28" s="1424"/>
    </row>
    <row r="29" spans="1:14" x14ac:dyDescent="0.3">
      <c r="A29" s="665"/>
      <c r="B29" s="184"/>
      <c r="C29" s="184"/>
      <c r="D29" s="185"/>
      <c r="I29" s="440" t="s">
        <v>78</v>
      </c>
      <c r="J29" s="1423"/>
      <c r="K29" s="1424"/>
    </row>
    <row r="30" spans="1:14" x14ac:dyDescent="0.3">
      <c r="A30" s="665"/>
      <c r="B30" s="184"/>
      <c r="C30" s="184"/>
      <c r="D30" s="185"/>
      <c r="I30" s="439" t="s">
        <v>8</v>
      </c>
      <c r="J30" s="1425"/>
      <c r="K30" s="1426"/>
    </row>
    <row r="31" spans="1:14" x14ac:dyDescent="0.3">
      <c r="A31" s="665"/>
      <c r="B31" s="184"/>
      <c r="C31" s="184"/>
      <c r="D31" s="185" t="s">
        <v>75</v>
      </c>
    </row>
    <row r="32" spans="1:14" x14ac:dyDescent="0.3">
      <c r="A32" s="665"/>
      <c r="B32" s="184"/>
      <c r="C32" s="180"/>
      <c r="D32" s="185" t="s">
        <v>77</v>
      </c>
    </row>
    <row r="33" spans="1:4" x14ac:dyDescent="0.3">
      <c r="A33" s="665" t="s">
        <v>76</v>
      </c>
      <c r="B33" s="180"/>
      <c r="C33" s="180"/>
      <c r="D33" s="185" t="s">
        <v>80</v>
      </c>
    </row>
    <row r="34" spans="1:4" ht="26.4" x14ac:dyDescent="0.3">
      <c r="A34" s="665" t="s">
        <v>79</v>
      </c>
      <c r="B34" s="180"/>
    </row>
  </sheetData>
  <mergeCells count="21">
    <mergeCell ref="A5:M5"/>
    <mergeCell ref="C1:J2"/>
    <mergeCell ref="K1:N1"/>
    <mergeCell ref="K2:N2"/>
    <mergeCell ref="A3:M3"/>
    <mergeCell ref="A4:M4"/>
    <mergeCell ref="J30:K30"/>
    <mergeCell ref="A6:M6"/>
    <mergeCell ref="A7:M7"/>
    <mergeCell ref="A8:M8"/>
    <mergeCell ref="A9:M9"/>
    <mergeCell ref="A10:M10"/>
    <mergeCell ref="B11:F11"/>
    <mergeCell ref="I11:K12"/>
    <mergeCell ref="L11:N12"/>
    <mergeCell ref="B12:F12"/>
    <mergeCell ref="A14:A16"/>
    <mergeCell ref="B14:B16"/>
    <mergeCell ref="H14:H16"/>
    <mergeCell ref="J28:K28"/>
    <mergeCell ref="J29:K29"/>
  </mergeCells>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9"/>
  <dimension ref="A1:G49"/>
  <sheetViews>
    <sheetView topLeftCell="A10" workbookViewId="0">
      <selection activeCell="H26" sqref="H2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RESUMEN!G164</f>
        <v>Proyecto: CDIE_CBCCSM_R0183 - NORMALIZACIÓN SE MT-MT.</v>
      </c>
      <c r="C5" s="1281"/>
      <c r="D5" s="1281"/>
      <c r="E5" s="1281"/>
      <c r="F5" s="1281"/>
      <c r="G5" s="1282"/>
    </row>
    <row r="6" spans="1:7" x14ac:dyDescent="0.25">
      <c r="A6" s="1177"/>
      <c r="B6" s="1177"/>
      <c r="C6" s="1177"/>
      <c r="D6" s="1177"/>
      <c r="E6" s="1177"/>
      <c r="F6" s="1177"/>
      <c r="G6" s="1177"/>
    </row>
    <row r="7" spans="1:7" x14ac:dyDescent="0.25">
      <c r="A7" s="271" t="s">
        <v>0</v>
      </c>
      <c r="B7" s="1264">
        <f>RESUMEN!B164</f>
        <v>0</v>
      </c>
      <c r="C7" s="1265"/>
      <c r="D7" s="1177"/>
      <c r="E7" s="1266" t="s">
        <v>627</v>
      </c>
      <c r="F7" s="1267"/>
      <c r="G7" s="280" t="str">
        <f>RESUMEN!E164</f>
        <v>18-029</v>
      </c>
    </row>
    <row r="8" spans="1:7" x14ac:dyDescent="0.25">
      <c r="A8" s="271" t="s">
        <v>628</v>
      </c>
      <c r="B8" s="1264">
        <f>RESUMEN!C164</f>
        <v>0</v>
      </c>
      <c r="C8" s="1265"/>
      <c r="D8" s="1177"/>
      <c r="E8" s="1266" t="s">
        <v>629</v>
      </c>
      <c r="F8" s="1267"/>
      <c r="G8" s="280" t="str">
        <f>RESUMEN!U164</f>
        <v>Acta N° 1: Marzo</v>
      </c>
    </row>
    <row r="9" spans="1:7" x14ac:dyDescent="0.25">
      <c r="A9" s="271" t="s">
        <v>630</v>
      </c>
      <c r="B9" s="1283" t="s">
        <v>631</v>
      </c>
      <c r="C9" s="1265"/>
      <c r="D9" s="1177"/>
      <c r="E9" s="1266" t="s">
        <v>632</v>
      </c>
      <c r="F9" s="1267"/>
      <c r="G9" s="1178">
        <f>RESUMEN!H164</f>
        <v>1829895</v>
      </c>
    </row>
    <row r="10" spans="1:7" x14ac:dyDescent="0.25">
      <c r="A10" s="271" t="s">
        <v>633</v>
      </c>
      <c r="B10" s="1283" t="str">
        <f>RESUMEN!D164</f>
        <v>TAUSA</v>
      </c>
      <c r="C10" s="1265"/>
      <c r="D10" s="1177"/>
      <c r="E10" s="1266" t="s">
        <v>634</v>
      </c>
      <c r="F10" s="1267"/>
      <c r="G10" s="1178">
        <f>RESUMEN!R164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CDIE_CBCCSM_R0183 -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RESUMEN!N164</f>
        <v>0</v>
      </c>
      <c r="F19" s="1248"/>
      <c r="G19" s="1177"/>
    </row>
    <row r="20" spans="1:7" ht="27" customHeight="1" x14ac:dyDescent="0.25">
      <c r="A20" s="1177"/>
      <c r="B20" s="1244" t="s">
        <v>1498</v>
      </c>
      <c r="C20" s="1245"/>
      <c r="D20" s="1246"/>
      <c r="E20" s="1247">
        <f>RESUMEN!P164</f>
        <v>0</v>
      </c>
      <c r="F20" s="1248"/>
      <c r="G20" s="1177"/>
    </row>
    <row r="21" spans="1:7" ht="27" customHeight="1" x14ac:dyDescent="0.25">
      <c r="A21" s="1177"/>
      <c r="B21" s="1244" t="s">
        <v>1499</v>
      </c>
      <c r="C21" s="1245"/>
      <c r="D21" s="1246"/>
      <c r="E21" s="1247">
        <f>RESUMEN!Q164</f>
        <v>0</v>
      </c>
      <c r="F21" s="1248"/>
      <c r="G21" s="1177"/>
    </row>
    <row r="22" spans="1:7" x14ac:dyDescent="0.25">
      <c r="A22" s="1177"/>
      <c r="B22" s="1254" t="s">
        <v>64</v>
      </c>
      <c r="C22" s="1254"/>
      <c r="D22" s="1254"/>
      <c r="E22" s="1255">
        <f>RESUMEN!R164</f>
        <v>0</v>
      </c>
      <c r="F22" s="1255"/>
      <c r="G22" s="1177"/>
    </row>
    <row r="23" spans="1:7" x14ac:dyDescent="0.25">
      <c r="A23" s="1177"/>
      <c r="B23" s="1256" t="s">
        <v>66</v>
      </c>
      <c r="C23" s="1256"/>
      <c r="D23" s="1256"/>
      <c r="E23" s="1257">
        <f>RESUMEN!S164</f>
        <v>0</v>
      </c>
      <c r="F23" s="1257"/>
      <c r="G23" s="1177"/>
    </row>
    <row r="24" spans="1:7" x14ac:dyDescent="0.25">
      <c r="A24" s="1177"/>
      <c r="B24" s="1258" t="s">
        <v>1</v>
      </c>
      <c r="C24" s="1258"/>
      <c r="D24" s="1258"/>
      <c r="E24" s="1259">
        <f>RESUMEN!T164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+'OT18-029 TAUSA'!I63</f>
        <v>ACTA 1</v>
      </c>
      <c r="C28" s="1253">
        <f>+'OT18-029 TAUSA'!J63</f>
        <v>0</v>
      </c>
      <c r="D28" s="1253"/>
      <c r="E28" s="267">
        <f>+'OT18-029 TAUSA'!K63</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0"/>
  <dimension ref="A1:N67"/>
  <sheetViews>
    <sheetView topLeftCell="A46" zoomScale="80" zoomScaleNormal="80" workbookViewId="0">
      <selection activeCell="D64" sqref="D64"/>
    </sheetView>
  </sheetViews>
  <sheetFormatPr baseColWidth="10" defaultRowHeight="14.4" x14ac:dyDescent="0.3"/>
  <cols>
    <col min="2" max="2" width="18.44140625" customWidth="1"/>
    <col min="3" max="3" width="18" customWidth="1"/>
    <col min="4" max="4" width="23.77734375" customWidth="1"/>
    <col min="6" max="6" width="15.6640625" customWidth="1"/>
    <col min="7" max="7" width="15.109375" customWidth="1"/>
    <col min="8" max="8" width="25.5546875" customWidth="1"/>
    <col min="9" max="9" width="16.77734375" customWidth="1"/>
    <col min="10" max="10" width="14.6640625" customWidth="1"/>
    <col min="12" max="12" width="16.21875" customWidth="1"/>
    <col min="13" max="13" width="13.88671875" customWidth="1"/>
  </cols>
  <sheetData>
    <row r="1" spans="1:14" x14ac:dyDescent="0.3">
      <c r="A1" s="169"/>
      <c r="B1" s="188"/>
      <c r="C1" s="1307" t="s">
        <v>40</v>
      </c>
      <c r="D1" s="1308"/>
      <c r="E1" s="1308"/>
      <c r="F1" s="1308"/>
      <c r="G1" s="1308"/>
      <c r="H1" s="1308"/>
      <c r="I1" s="1308"/>
      <c r="J1" s="1308"/>
      <c r="K1" s="1532" t="s">
        <v>2383</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2384</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2385</v>
      </c>
      <c r="B10" s="1292"/>
      <c r="C10" s="1292"/>
      <c r="D10" s="1292"/>
      <c r="E10" s="1292"/>
      <c r="F10" s="1292"/>
      <c r="G10" s="1292"/>
      <c r="H10" s="1292"/>
      <c r="I10" s="1292"/>
      <c r="J10" s="1292"/>
      <c r="K10" s="1292"/>
      <c r="L10" s="1292"/>
      <c r="M10" s="1292"/>
      <c r="N10" s="831"/>
    </row>
    <row r="11" spans="1:14" ht="14.4" customHeight="1"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x14ac:dyDescent="0.3">
      <c r="A13" s="1144" t="s">
        <v>50</v>
      </c>
      <c r="B13" s="1144" t="s">
        <v>51</v>
      </c>
      <c r="C13" s="1144" t="s">
        <v>52</v>
      </c>
      <c r="D13" s="1144" t="s">
        <v>164</v>
      </c>
      <c r="E13" s="1145" t="s">
        <v>54</v>
      </c>
      <c r="F13" s="1145" t="s">
        <v>2007</v>
      </c>
      <c r="G13" s="1145" t="s">
        <v>56</v>
      </c>
      <c r="H13" s="1144" t="s">
        <v>57</v>
      </c>
      <c r="I13" s="502" t="s">
        <v>54</v>
      </c>
      <c r="J13" s="502" t="s">
        <v>56</v>
      </c>
      <c r="K13" s="502" t="s">
        <v>58</v>
      </c>
      <c r="L13" s="502" t="s">
        <v>54</v>
      </c>
      <c r="M13" s="502" t="s">
        <v>56</v>
      </c>
      <c r="N13" s="502" t="s">
        <v>58</v>
      </c>
    </row>
    <row r="14" spans="1:14" ht="43.2" x14ac:dyDescent="0.3">
      <c r="A14" s="1510" t="s">
        <v>2365</v>
      </c>
      <c r="B14" s="1510" t="s">
        <v>210</v>
      </c>
      <c r="C14" s="1062" t="s">
        <v>81</v>
      </c>
      <c r="D14" s="1062" t="s">
        <v>207</v>
      </c>
      <c r="E14" s="1062">
        <v>0</v>
      </c>
      <c r="F14" s="646">
        <v>841751</v>
      </c>
      <c r="G14" s="646">
        <f>ROUND((E14*F14),0)</f>
        <v>0</v>
      </c>
      <c r="H14" s="1510" t="s">
        <v>2366</v>
      </c>
      <c r="I14" s="799">
        <v>0</v>
      </c>
      <c r="J14" s="1132">
        <f>ROUND(I14*F14,0)</f>
        <v>0</v>
      </c>
      <c r="K14" s="1133">
        <v>0</v>
      </c>
      <c r="L14" s="1134">
        <f t="shared" ref="L14:L29" si="0">I14</f>
        <v>0</v>
      </c>
      <c r="M14" s="1124">
        <f>J14</f>
        <v>0</v>
      </c>
      <c r="N14" s="1133">
        <v>0</v>
      </c>
    </row>
    <row r="15" spans="1:14" ht="43.2" x14ac:dyDescent="0.3">
      <c r="A15" s="1510"/>
      <c r="B15" s="1510"/>
      <c r="C15" s="1062" t="s">
        <v>83</v>
      </c>
      <c r="D15" s="1062" t="s">
        <v>208</v>
      </c>
      <c r="E15" s="1062">
        <v>0.05</v>
      </c>
      <c r="F15" s="646">
        <v>2781437</v>
      </c>
      <c r="G15" s="646">
        <f>ROUND((E15*F15),0)</f>
        <v>139072</v>
      </c>
      <c r="H15" s="1510"/>
      <c r="I15" s="799">
        <v>0</v>
      </c>
      <c r="J15" s="1132">
        <f t="shared" ref="J15:J52" si="1">ROUND(I15*F15,0)</f>
        <v>0</v>
      </c>
      <c r="K15" s="1133">
        <f t="shared" ref="K15:K53" si="2">J15/G15</f>
        <v>0</v>
      </c>
      <c r="L15" s="1134">
        <f t="shared" si="0"/>
        <v>0</v>
      </c>
      <c r="M15" s="1124">
        <f t="shared" ref="M15:M53" si="3">J15</f>
        <v>0</v>
      </c>
      <c r="N15" s="1133">
        <f t="shared" ref="N15:N53" si="4">M15/G15</f>
        <v>0</v>
      </c>
    </row>
    <row r="16" spans="1:14" ht="43.2" x14ac:dyDescent="0.3">
      <c r="A16" s="1510"/>
      <c r="B16" s="1510"/>
      <c r="C16" s="1062" t="s">
        <v>61</v>
      </c>
      <c r="D16" s="1062" t="s">
        <v>209</v>
      </c>
      <c r="E16" s="1062">
        <v>0.05</v>
      </c>
      <c r="F16" s="646">
        <v>1866491</v>
      </c>
      <c r="G16" s="646">
        <f>ROUND((E16*F16),0)</f>
        <v>93325</v>
      </c>
      <c r="H16" s="1510"/>
      <c r="I16" s="799">
        <v>0</v>
      </c>
      <c r="J16" s="1132">
        <f t="shared" si="1"/>
        <v>0</v>
      </c>
      <c r="K16" s="1133">
        <f t="shared" si="2"/>
        <v>0</v>
      </c>
      <c r="L16" s="1134">
        <f t="shared" si="0"/>
        <v>0</v>
      </c>
      <c r="M16" s="1124">
        <f t="shared" si="3"/>
        <v>0</v>
      </c>
      <c r="N16" s="1133">
        <f t="shared" si="4"/>
        <v>0</v>
      </c>
    </row>
    <row r="17" spans="1:14" x14ac:dyDescent="0.3">
      <c r="A17" s="1510"/>
      <c r="B17" s="1510"/>
      <c r="C17" s="647"/>
      <c r="D17" s="647" t="s">
        <v>136</v>
      </c>
      <c r="E17" s="648"/>
      <c r="F17" s="648"/>
      <c r="G17" s="649">
        <f>SUM(G14:G16)</f>
        <v>232397</v>
      </c>
      <c r="H17" s="1510"/>
      <c r="I17" s="40"/>
      <c r="J17" s="1146">
        <f>SUM(J14:J16)</f>
        <v>0</v>
      </c>
      <c r="K17" s="1136">
        <f t="shared" si="2"/>
        <v>0</v>
      </c>
      <c r="L17" s="1137"/>
      <c r="M17" s="1138">
        <f t="shared" si="3"/>
        <v>0</v>
      </c>
      <c r="N17" s="1136">
        <f t="shared" si="4"/>
        <v>0</v>
      </c>
    </row>
    <row r="18" spans="1:14" ht="43.2" x14ac:dyDescent="0.3">
      <c r="A18" s="1510" t="s">
        <v>2365</v>
      </c>
      <c r="B18" s="1510" t="s">
        <v>170</v>
      </c>
      <c r="C18" s="1062" t="s">
        <v>83</v>
      </c>
      <c r="D18" s="1062" t="s">
        <v>123</v>
      </c>
      <c r="E18" s="1062">
        <v>0</v>
      </c>
      <c r="F18" s="646">
        <v>1097936</v>
      </c>
      <c r="G18" s="646">
        <f>ROUND((E18*F18),0)</f>
        <v>0</v>
      </c>
      <c r="H18" s="1510" t="s">
        <v>2367</v>
      </c>
      <c r="I18" s="799">
        <v>0</v>
      </c>
      <c r="J18" s="1132">
        <f t="shared" si="1"/>
        <v>0</v>
      </c>
      <c r="K18" s="1133">
        <v>0</v>
      </c>
      <c r="L18" s="1134">
        <f t="shared" si="0"/>
        <v>0</v>
      </c>
      <c r="M18" s="1124">
        <f t="shared" si="3"/>
        <v>0</v>
      </c>
      <c r="N18" s="1133">
        <v>0</v>
      </c>
    </row>
    <row r="19" spans="1:14" ht="43.2" x14ac:dyDescent="0.3">
      <c r="A19" s="1510"/>
      <c r="B19" s="1510"/>
      <c r="C19" s="1062" t="s">
        <v>61</v>
      </c>
      <c r="D19" s="1062" t="s">
        <v>125</v>
      </c>
      <c r="E19" s="1062">
        <v>0.05</v>
      </c>
      <c r="F19" s="646">
        <v>1061338</v>
      </c>
      <c r="G19" s="646">
        <f>ROUND((E19*F19),0)</f>
        <v>53067</v>
      </c>
      <c r="H19" s="1510"/>
      <c r="I19" s="799">
        <v>0</v>
      </c>
      <c r="J19" s="1132">
        <f t="shared" si="1"/>
        <v>0</v>
      </c>
      <c r="K19" s="1133">
        <f t="shared" si="2"/>
        <v>0</v>
      </c>
      <c r="L19" s="1134">
        <f t="shared" si="0"/>
        <v>0</v>
      </c>
      <c r="M19" s="1124">
        <f t="shared" si="3"/>
        <v>0</v>
      </c>
      <c r="N19" s="1133">
        <f t="shared" si="4"/>
        <v>0</v>
      </c>
    </row>
    <row r="20" spans="1:14" x14ac:dyDescent="0.3">
      <c r="A20" s="1510"/>
      <c r="B20" s="1510"/>
      <c r="C20" s="647"/>
      <c r="D20" s="647" t="s">
        <v>126</v>
      </c>
      <c r="E20" s="648"/>
      <c r="F20" s="648"/>
      <c r="G20" s="649">
        <f>SUM(G18:G19)</f>
        <v>53067</v>
      </c>
      <c r="H20" s="1510"/>
      <c r="I20" s="40"/>
      <c r="J20" s="1146">
        <f>SUM(J18:J19)</f>
        <v>0</v>
      </c>
      <c r="K20" s="1136">
        <f t="shared" si="2"/>
        <v>0</v>
      </c>
      <c r="L20" s="1137"/>
      <c r="M20" s="1138">
        <f t="shared" si="3"/>
        <v>0</v>
      </c>
      <c r="N20" s="1136">
        <f t="shared" si="4"/>
        <v>0</v>
      </c>
    </row>
    <row r="21" spans="1:14" ht="43.2" x14ac:dyDescent="0.3">
      <c r="A21" s="1510" t="s">
        <v>2368</v>
      </c>
      <c r="B21" s="1510" t="s">
        <v>170</v>
      </c>
      <c r="C21" s="1062" t="s">
        <v>83</v>
      </c>
      <c r="D21" s="1062" t="s">
        <v>123</v>
      </c>
      <c r="E21" s="1062">
        <v>0</v>
      </c>
      <c r="F21" s="646">
        <v>1097936</v>
      </c>
      <c r="G21" s="646">
        <f>ROUND((E21*F21),0)</f>
        <v>0</v>
      </c>
      <c r="H21" s="1510" t="s">
        <v>2367</v>
      </c>
      <c r="I21" s="799">
        <v>0</v>
      </c>
      <c r="J21" s="1132">
        <f t="shared" si="1"/>
        <v>0</v>
      </c>
      <c r="K21" s="1133">
        <v>0</v>
      </c>
      <c r="L21" s="1134">
        <f t="shared" si="0"/>
        <v>0</v>
      </c>
      <c r="M21" s="1124">
        <f t="shared" si="3"/>
        <v>0</v>
      </c>
      <c r="N21" s="1133">
        <v>0</v>
      </c>
    </row>
    <row r="22" spans="1:14" ht="43.2" x14ac:dyDescent="0.3">
      <c r="A22" s="1510"/>
      <c r="B22" s="1510"/>
      <c r="C22" s="1062" t="s">
        <v>61</v>
      </c>
      <c r="D22" s="1062" t="s">
        <v>125</v>
      </c>
      <c r="E22" s="1062">
        <v>0.05</v>
      </c>
      <c r="F22" s="646">
        <v>1061338</v>
      </c>
      <c r="G22" s="646">
        <f>ROUND((E22*F22),0)</f>
        <v>53067</v>
      </c>
      <c r="H22" s="1510"/>
      <c r="I22" s="799">
        <v>0</v>
      </c>
      <c r="J22" s="1132">
        <f t="shared" si="1"/>
        <v>0</v>
      </c>
      <c r="K22" s="1133">
        <f t="shared" si="2"/>
        <v>0</v>
      </c>
      <c r="L22" s="1134">
        <f t="shared" si="0"/>
        <v>0</v>
      </c>
      <c r="M22" s="1124">
        <f t="shared" si="3"/>
        <v>0</v>
      </c>
      <c r="N22" s="1133">
        <f t="shared" si="4"/>
        <v>0</v>
      </c>
    </row>
    <row r="23" spans="1:14" x14ac:dyDescent="0.3">
      <c r="A23" s="1510"/>
      <c r="B23" s="1510"/>
      <c r="C23" s="647"/>
      <c r="D23" s="647" t="s">
        <v>126</v>
      </c>
      <c r="E23" s="648"/>
      <c r="F23" s="648"/>
      <c r="G23" s="649">
        <f>SUM(G21:G22)</f>
        <v>53067</v>
      </c>
      <c r="H23" s="1510"/>
      <c r="I23" s="40"/>
      <c r="J23" s="1146">
        <f>SUM(J21:J22)</f>
        <v>0</v>
      </c>
      <c r="K23" s="1136">
        <f t="shared" si="2"/>
        <v>0</v>
      </c>
      <c r="L23" s="1137"/>
      <c r="M23" s="1138">
        <f t="shared" si="3"/>
        <v>0</v>
      </c>
      <c r="N23" s="1136">
        <f t="shared" si="4"/>
        <v>0</v>
      </c>
    </row>
    <row r="24" spans="1:14" ht="43.2" x14ac:dyDescent="0.3">
      <c r="A24" s="1510" t="s">
        <v>2369</v>
      </c>
      <c r="B24" s="1510" t="s">
        <v>170</v>
      </c>
      <c r="C24" s="1062" t="s">
        <v>83</v>
      </c>
      <c r="D24" s="1062" t="s">
        <v>123</v>
      </c>
      <c r="E24" s="1062">
        <v>0</v>
      </c>
      <c r="F24" s="646">
        <v>1097936</v>
      </c>
      <c r="G24" s="646">
        <f>ROUND((E24*F24),0)</f>
        <v>0</v>
      </c>
      <c r="H24" s="1514" t="s">
        <v>2370</v>
      </c>
      <c r="I24" s="799">
        <v>0</v>
      </c>
      <c r="J24" s="1132">
        <f t="shared" si="1"/>
        <v>0</v>
      </c>
      <c r="K24" s="1133">
        <v>0</v>
      </c>
      <c r="L24" s="1134">
        <f t="shared" si="0"/>
        <v>0</v>
      </c>
      <c r="M24" s="1124">
        <f t="shared" si="3"/>
        <v>0</v>
      </c>
      <c r="N24" s="1133">
        <v>0</v>
      </c>
    </row>
    <row r="25" spans="1:14" ht="43.2" x14ac:dyDescent="0.3">
      <c r="A25" s="1510"/>
      <c r="B25" s="1510"/>
      <c r="C25" s="1062" t="s">
        <v>61</v>
      </c>
      <c r="D25" s="1062" t="s">
        <v>125</v>
      </c>
      <c r="E25" s="1062">
        <v>0.05</v>
      </c>
      <c r="F25" s="646">
        <v>1061338</v>
      </c>
      <c r="G25" s="646">
        <f>ROUND((E25*F25),0)</f>
        <v>53067</v>
      </c>
      <c r="H25" s="1510"/>
      <c r="I25" s="799">
        <v>0</v>
      </c>
      <c r="J25" s="1132">
        <f t="shared" si="1"/>
        <v>0</v>
      </c>
      <c r="K25" s="1133">
        <f t="shared" si="2"/>
        <v>0</v>
      </c>
      <c r="L25" s="1134">
        <f t="shared" si="0"/>
        <v>0</v>
      </c>
      <c r="M25" s="1124">
        <f t="shared" si="3"/>
        <v>0</v>
      </c>
      <c r="N25" s="1133">
        <f t="shared" si="4"/>
        <v>0</v>
      </c>
    </row>
    <row r="26" spans="1:14" x14ac:dyDescent="0.3">
      <c r="A26" s="1510"/>
      <c r="B26" s="1510"/>
      <c r="C26" s="647"/>
      <c r="D26" s="647" t="s">
        <v>126</v>
      </c>
      <c r="E26" s="648"/>
      <c r="F26" s="648"/>
      <c r="G26" s="649">
        <f>SUM(G24:G25)</f>
        <v>53067</v>
      </c>
      <c r="H26" s="1510"/>
      <c r="I26" s="40"/>
      <c r="J26" s="1146">
        <f>SUM(J24:J25)</f>
        <v>0</v>
      </c>
      <c r="K26" s="1136">
        <f t="shared" si="2"/>
        <v>0</v>
      </c>
      <c r="L26" s="1137"/>
      <c r="M26" s="1138">
        <f t="shared" si="3"/>
        <v>0</v>
      </c>
      <c r="N26" s="1136">
        <f t="shared" si="4"/>
        <v>0</v>
      </c>
    </row>
    <row r="27" spans="1:14" ht="43.2" x14ac:dyDescent="0.3">
      <c r="A27" s="1510" t="s">
        <v>2371</v>
      </c>
      <c r="B27" s="1510" t="s">
        <v>170</v>
      </c>
      <c r="C27" s="1062" t="s">
        <v>83</v>
      </c>
      <c r="D27" s="1062" t="s">
        <v>123</v>
      </c>
      <c r="E27" s="1062">
        <v>0</v>
      </c>
      <c r="F27" s="646">
        <v>1097936</v>
      </c>
      <c r="G27" s="646">
        <f>ROUND((E27*F27),0)</f>
        <v>0</v>
      </c>
      <c r="H27" s="1510" t="s">
        <v>2370</v>
      </c>
      <c r="I27" s="799">
        <v>0</v>
      </c>
      <c r="J27" s="1132">
        <f t="shared" si="1"/>
        <v>0</v>
      </c>
      <c r="K27" s="1133">
        <v>0</v>
      </c>
      <c r="L27" s="1134">
        <f t="shared" si="0"/>
        <v>0</v>
      </c>
      <c r="M27" s="1124">
        <f t="shared" si="3"/>
        <v>0</v>
      </c>
      <c r="N27" s="1133">
        <v>0</v>
      </c>
    </row>
    <row r="28" spans="1:14" ht="43.2" x14ac:dyDescent="0.3">
      <c r="A28" s="1510"/>
      <c r="B28" s="1510"/>
      <c r="C28" s="1062" t="s">
        <v>61</v>
      </c>
      <c r="D28" s="1062" t="s">
        <v>125</v>
      </c>
      <c r="E28" s="1062">
        <v>0.05</v>
      </c>
      <c r="F28" s="646">
        <v>1061338</v>
      </c>
      <c r="G28" s="646">
        <f>ROUND((E28*F28),0)</f>
        <v>53067</v>
      </c>
      <c r="H28" s="1510"/>
      <c r="I28" s="799">
        <v>0</v>
      </c>
      <c r="J28" s="1132">
        <f t="shared" si="1"/>
        <v>0</v>
      </c>
      <c r="K28" s="1133">
        <f t="shared" si="2"/>
        <v>0</v>
      </c>
      <c r="L28" s="1134">
        <f t="shared" si="0"/>
        <v>0</v>
      </c>
      <c r="M28" s="1124">
        <f t="shared" si="3"/>
        <v>0</v>
      </c>
      <c r="N28" s="1133">
        <f t="shared" si="4"/>
        <v>0</v>
      </c>
    </row>
    <row r="29" spans="1:14" x14ac:dyDescent="0.3">
      <c r="A29" s="1510"/>
      <c r="B29" s="1510"/>
      <c r="C29" s="647"/>
      <c r="D29" s="647" t="s">
        <v>126</v>
      </c>
      <c r="E29" s="648"/>
      <c r="F29" s="648"/>
      <c r="G29" s="649">
        <f>SUM(G27:G28)</f>
        <v>53067</v>
      </c>
      <c r="H29" s="1510"/>
      <c r="I29" s="40"/>
      <c r="J29" s="1146">
        <f t="shared" si="1"/>
        <v>0</v>
      </c>
      <c r="K29" s="1136">
        <f t="shared" si="2"/>
        <v>0</v>
      </c>
      <c r="L29" s="1137">
        <f t="shared" si="0"/>
        <v>0</v>
      </c>
      <c r="M29" s="1138">
        <f t="shared" si="3"/>
        <v>0</v>
      </c>
      <c r="N29" s="1136">
        <f t="shared" si="4"/>
        <v>0</v>
      </c>
    </row>
    <row r="30" spans="1:14" ht="43.2" x14ac:dyDescent="0.3">
      <c r="A30" s="1510" t="s">
        <v>2372</v>
      </c>
      <c r="B30" s="1510" t="s">
        <v>170</v>
      </c>
      <c r="C30" s="1062" t="s">
        <v>83</v>
      </c>
      <c r="D30" s="1062" t="s">
        <v>123</v>
      </c>
      <c r="E30" s="1062">
        <v>0</v>
      </c>
      <c r="F30" s="646">
        <v>1097936</v>
      </c>
      <c r="G30" s="646">
        <f>ROUND((E30*F30),0)</f>
        <v>0</v>
      </c>
      <c r="H30" s="1510" t="s">
        <v>2370</v>
      </c>
      <c r="I30" s="799">
        <v>0</v>
      </c>
      <c r="J30" s="1132">
        <f t="shared" si="1"/>
        <v>0</v>
      </c>
      <c r="K30" s="1133">
        <v>0</v>
      </c>
      <c r="L30" s="1134">
        <f t="shared" ref="L30:L52" si="5">I30</f>
        <v>0</v>
      </c>
      <c r="M30" s="1124">
        <f t="shared" si="3"/>
        <v>0</v>
      </c>
      <c r="N30" s="1133">
        <v>0</v>
      </c>
    </row>
    <row r="31" spans="1:14" ht="43.2" x14ac:dyDescent="0.3">
      <c r="A31" s="1510"/>
      <c r="B31" s="1510"/>
      <c r="C31" s="1062" t="s">
        <v>61</v>
      </c>
      <c r="D31" s="1062" t="s">
        <v>125</v>
      </c>
      <c r="E31" s="1062">
        <v>0.05</v>
      </c>
      <c r="F31" s="646">
        <v>1061338</v>
      </c>
      <c r="G31" s="646">
        <f>ROUND((E31*F31),0)</f>
        <v>53067</v>
      </c>
      <c r="H31" s="1510"/>
      <c r="I31" s="799">
        <v>0</v>
      </c>
      <c r="J31" s="1132">
        <f t="shared" si="1"/>
        <v>0</v>
      </c>
      <c r="K31" s="1133">
        <f t="shared" si="2"/>
        <v>0</v>
      </c>
      <c r="L31" s="1134">
        <f t="shared" si="5"/>
        <v>0</v>
      </c>
      <c r="M31" s="1124">
        <f t="shared" si="3"/>
        <v>0</v>
      </c>
      <c r="N31" s="1133">
        <f t="shared" si="4"/>
        <v>0</v>
      </c>
    </row>
    <row r="32" spans="1:14" x14ac:dyDescent="0.3">
      <c r="A32" s="1510"/>
      <c r="B32" s="1510"/>
      <c r="C32" s="647"/>
      <c r="D32" s="647" t="s">
        <v>126</v>
      </c>
      <c r="E32" s="648"/>
      <c r="F32" s="648"/>
      <c r="G32" s="649">
        <f>SUM(G30:G31)</f>
        <v>53067</v>
      </c>
      <c r="H32" s="1510"/>
      <c r="I32" s="40"/>
      <c r="J32" s="1146">
        <f>SUM(J30:J31)</f>
        <v>0</v>
      </c>
      <c r="K32" s="1136">
        <f t="shared" si="2"/>
        <v>0</v>
      </c>
      <c r="L32" s="1137"/>
      <c r="M32" s="1138">
        <f t="shared" si="3"/>
        <v>0</v>
      </c>
      <c r="N32" s="1136">
        <f t="shared" si="4"/>
        <v>0</v>
      </c>
    </row>
    <row r="33" spans="1:14" ht="43.2" x14ac:dyDescent="0.3">
      <c r="A33" s="1510" t="s">
        <v>280</v>
      </c>
      <c r="B33" s="1510" t="s">
        <v>170</v>
      </c>
      <c r="C33" s="1062" t="s">
        <v>83</v>
      </c>
      <c r="D33" s="1062" t="s">
        <v>123</v>
      </c>
      <c r="E33" s="1062">
        <v>0</v>
      </c>
      <c r="F33" s="646">
        <v>1097936</v>
      </c>
      <c r="G33" s="646">
        <f>ROUND((E33*F33),0)</f>
        <v>0</v>
      </c>
      <c r="H33" s="1510" t="s">
        <v>2373</v>
      </c>
      <c r="I33" s="799">
        <v>0</v>
      </c>
      <c r="J33" s="1132">
        <f t="shared" si="1"/>
        <v>0</v>
      </c>
      <c r="K33" s="1133">
        <v>0</v>
      </c>
      <c r="L33" s="1134">
        <f t="shared" si="5"/>
        <v>0</v>
      </c>
      <c r="M33" s="1124">
        <f t="shared" si="3"/>
        <v>0</v>
      </c>
      <c r="N33" s="1133">
        <v>0</v>
      </c>
    </row>
    <row r="34" spans="1:14" ht="43.2" x14ac:dyDescent="0.3">
      <c r="A34" s="1510"/>
      <c r="B34" s="1510"/>
      <c r="C34" s="1062" t="s">
        <v>61</v>
      </c>
      <c r="D34" s="1062" t="s">
        <v>125</v>
      </c>
      <c r="E34" s="1062">
        <v>0.05</v>
      </c>
      <c r="F34" s="646">
        <v>1061338</v>
      </c>
      <c r="G34" s="646">
        <f>ROUND((E34*F34),0)</f>
        <v>53067</v>
      </c>
      <c r="H34" s="1510"/>
      <c r="I34" s="799">
        <v>0</v>
      </c>
      <c r="J34" s="1132">
        <f t="shared" si="1"/>
        <v>0</v>
      </c>
      <c r="K34" s="1133">
        <f t="shared" si="2"/>
        <v>0</v>
      </c>
      <c r="L34" s="1134">
        <f t="shared" si="5"/>
        <v>0</v>
      </c>
      <c r="M34" s="1124">
        <f t="shared" si="3"/>
        <v>0</v>
      </c>
      <c r="N34" s="1133">
        <f t="shared" si="4"/>
        <v>0</v>
      </c>
    </row>
    <row r="35" spans="1:14" x14ac:dyDescent="0.3">
      <c r="A35" s="1510"/>
      <c r="B35" s="1510"/>
      <c r="C35" s="647"/>
      <c r="D35" s="647" t="s">
        <v>126</v>
      </c>
      <c r="E35" s="648"/>
      <c r="F35" s="648"/>
      <c r="G35" s="649">
        <f>SUM(G33:G34)</f>
        <v>53067</v>
      </c>
      <c r="H35" s="1510"/>
      <c r="I35" s="40"/>
      <c r="J35" s="1146">
        <f>SUM(J33:J34)</f>
        <v>0</v>
      </c>
      <c r="K35" s="1136">
        <f t="shared" si="2"/>
        <v>0</v>
      </c>
      <c r="L35" s="1137"/>
      <c r="M35" s="1138">
        <f t="shared" si="3"/>
        <v>0</v>
      </c>
      <c r="N35" s="1136">
        <f t="shared" si="4"/>
        <v>0</v>
      </c>
    </row>
    <row r="36" spans="1:14" ht="57.6" x14ac:dyDescent="0.3">
      <c r="A36" s="1510" t="s">
        <v>1186</v>
      </c>
      <c r="B36" s="1510" t="s">
        <v>1641</v>
      </c>
      <c r="C36" s="1062" t="s">
        <v>1640</v>
      </c>
      <c r="D36" s="1062" t="s">
        <v>1639</v>
      </c>
      <c r="E36" s="1062">
        <v>0.05</v>
      </c>
      <c r="F36" s="646">
        <v>4574732</v>
      </c>
      <c r="G36" s="646">
        <f>ROUND((E36*F36),0)</f>
        <v>228737</v>
      </c>
      <c r="H36" s="1510" t="s">
        <v>2374</v>
      </c>
      <c r="I36" s="799">
        <v>0</v>
      </c>
      <c r="J36" s="1132">
        <f t="shared" si="1"/>
        <v>0</v>
      </c>
      <c r="K36" s="1133">
        <f t="shared" si="2"/>
        <v>0</v>
      </c>
      <c r="L36" s="1134">
        <f t="shared" si="5"/>
        <v>0</v>
      </c>
      <c r="M36" s="1124">
        <f t="shared" si="3"/>
        <v>0</v>
      </c>
      <c r="N36" s="1133">
        <f t="shared" si="4"/>
        <v>0</v>
      </c>
    </row>
    <row r="37" spans="1:14" x14ac:dyDescent="0.3">
      <c r="A37" s="1510"/>
      <c r="B37" s="1510"/>
      <c r="C37" s="647"/>
      <c r="D37" s="647" t="s">
        <v>1637</v>
      </c>
      <c r="E37" s="648"/>
      <c r="F37" s="648"/>
      <c r="G37" s="649">
        <f>G36</f>
        <v>228737</v>
      </c>
      <c r="H37" s="1510"/>
      <c r="I37" s="40"/>
      <c r="J37" s="1146">
        <f>SUM(J36)</f>
        <v>0</v>
      </c>
      <c r="K37" s="1136">
        <f t="shared" si="2"/>
        <v>0</v>
      </c>
      <c r="L37" s="1137"/>
      <c r="M37" s="1138">
        <f t="shared" si="3"/>
        <v>0</v>
      </c>
      <c r="N37" s="1136">
        <f t="shared" si="4"/>
        <v>0</v>
      </c>
    </row>
    <row r="38" spans="1:14" ht="57.6" x14ac:dyDescent="0.3">
      <c r="A38" s="1510" t="s">
        <v>1186</v>
      </c>
      <c r="B38" s="1510" t="s">
        <v>2375</v>
      </c>
      <c r="C38" s="1062" t="s">
        <v>1640</v>
      </c>
      <c r="D38" s="1062" t="s">
        <v>2376</v>
      </c>
      <c r="E38" s="1062">
        <v>0.05</v>
      </c>
      <c r="F38" s="646">
        <v>8637095</v>
      </c>
      <c r="G38" s="646">
        <f>ROUND((E38*F38),0)</f>
        <v>431855</v>
      </c>
      <c r="H38" s="1510" t="s">
        <v>2377</v>
      </c>
      <c r="I38" s="799">
        <v>0</v>
      </c>
      <c r="J38" s="1132">
        <f t="shared" si="1"/>
        <v>0</v>
      </c>
      <c r="K38" s="1133">
        <f t="shared" si="2"/>
        <v>0</v>
      </c>
      <c r="L38" s="1134">
        <f t="shared" si="5"/>
        <v>0</v>
      </c>
      <c r="M38" s="1124">
        <f t="shared" si="3"/>
        <v>0</v>
      </c>
      <c r="N38" s="1133">
        <f t="shared" si="4"/>
        <v>0</v>
      </c>
    </row>
    <row r="39" spans="1:14" x14ac:dyDescent="0.3">
      <c r="A39" s="1510"/>
      <c r="B39" s="1510"/>
      <c r="C39" s="647"/>
      <c r="D39" s="647" t="s">
        <v>2378</v>
      </c>
      <c r="E39" s="648"/>
      <c r="F39" s="648"/>
      <c r="G39" s="649">
        <f>G38</f>
        <v>431855</v>
      </c>
      <c r="H39" s="1510"/>
      <c r="I39" s="40"/>
      <c r="J39" s="1146">
        <f>SUM(J38)</f>
        <v>0</v>
      </c>
      <c r="K39" s="1136">
        <f t="shared" si="2"/>
        <v>0</v>
      </c>
      <c r="L39" s="1137"/>
      <c r="M39" s="1138">
        <f t="shared" si="3"/>
        <v>0</v>
      </c>
      <c r="N39" s="1136">
        <f t="shared" si="4"/>
        <v>0</v>
      </c>
    </row>
    <row r="40" spans="1:14" ht="43.2" x14ac:dyDescent="0.3">
      <c r="A40" s="1510" t="s">
        <v>285</v>
      </c>
      <c r="B40" s="1510" t="s">
        <v>211</v>
      </c>
      <c r="C40" s="1062" t="s">
        <v>81</v>
      </c>
      <c r="D40" s="1062" t="s">
        <v>212</v>
      </c>
      <c r="E40" s="1062">
        <v>0</v>
      </c>
      <c r="F40" s="646">
        <v>841751</v>
      </c>
      <c r="G40" s="646">
        <f>ROUND((E40*F40),0)</f>
        <v>0</v>
      </c>
      <c r="H40" s="1510" t="s">
        <v>2379</v>
      </c>
      <c r="I40" s="799">
        <v>0</v>
      </c>
      <c r="J40" s="1132">
        <f t="shared" si="1"/>
        <v>0</v>
      </c>
      <c r="K40" s="1133">
        <v>0</v>
      </c>
      <c r="L40" s="1134">
        <f t="shared" si="5"/>
        <v>0</v>
      </c>
      <c r="M40" s="1124">
        <f t="shared" si="3"/>
        <v>0</v>
      </c>
      <c r="N40" s="1133">
        <v>0</v>
      </c>
    </row>
    <row r="41" spans="1:14" ht="43.2" x14ac:dyDescent="0.3">
      <c r="A41" s="1510"/>
      <c r="B41" s="1510"/>
      <c r="C41" s="1062" t="s">
        <v>83</v>
      </c>
      <c r="D41" s="1062" t="s">
        <v>213</v>
      </c>
      <c r="E41" s="1062">
        <v>0.05</v>
      </c>
      <c r="F41" s="646">
        <v>2781437</v>
      </c>
      <c r="G41" s="646">
        <f>ROUND((E41*F41),0)</f>
        <v>139072</v>
      </c>
      <c r="H41" s="1510"/>
      <c r="I41" s="799">
        <v>0</v>
      </c>
      <c r="J41" s="1132">
        <f t="shared" si="1"/>
        <v>0</v>
      </c>
      <c r="K41" s="1133">
        <f t="shared" si="2"/>
        <v>0</v>
      </c>
      <c r="L41" s="1134">
        <f t="shared" si="5"/>
        <v>0</v>
      </c>
      <c r="M41" s="1124">
        <f t="shared" si="3"/>
        <v>0</v>
      </c>
      <c r="N41" s="1133">
        <f t="shared" si="4"/>
        <v>0</v>
      </c>
    </row>
    <row r="42" spans="1:14" ht="43.2" x14ac:dyDescent="0.3">
      <c r="A42" s="1510"/>
      <c r="B42" s="1510"/>
      <c r="C42" s="1062" t="s">
        <v>61</v>
      </c>
      <c r="D42" s="1062" t="s">
        <v>214</v>
      </c>
      <c r="E42" s="1062">
        <v>0.05</v>
      </c>
      <c r="F42" s="646">
        <v>2342263</v>
      </c>
      <c r="G42" s="646">
        <f>ROUND((E42*F42),0)</f>
        <v>117113</v>
      </c>
      <c r="H42" s="1510"/>
      <c r="I42" s="799">
        <v>0</v>
      </c>
      <c r="J42" s="1132">
        <f t="shared" si="1"/>
        <v>0</v>
      </c>
      <c r="K42" s="1133">
        <f t="shared" si="2"/>
        <v>0</v>
      </c>
      <c r="L42" s="1134">
        <f t="shared" si="5"/>
        <v>0</v>
      </c>
      <c r="M42" s="1124">
        <f t="shared" si="3"/>
        <v>0</v>
      </c>
      <c r="N42" s="1133">
        <f t="shared" si="4"/>
        <v>0</v>
      </c>
    </row>
    <row r="43" spans="1:14" x14ac:dyDescent="0.3">
      <c r="A43" s="1510"/>
      <c r="B43" s="1510"/>
      <c r="C43" s="647"/>
      <c r="D43" s="647" t="s">
        <v>215</v>
      </c>
      <c r="E43" s="648"/>
      <c r="F43" s="648"/>
      <c r="G43" s="649">
        <f>SUM(G40:G42)</f>
        <v>256185</v>
      </c>
      <c r="H43" s="1510"/>
      <c r="I43" s="40"/>
      <c r="J43" s="1146">
        <f>SUM(J40:J42)</f>
        <v>0</v>
      </c>
      <c r="K43" s="1136">
        <f t="shared" si="2"/>
        <v>0</v>
      </c>
      <c r="L43" s="1137"/>
      <c r="M43" s="1138">
        <f t="shared" si="3"/>
        <v>0</v>
      </c>
      <c r="N43" s="1136">
        <f t="shared" si="4"/>
        <v>0</v>
      </c>
    </row>
    <row r="44" spans="1:14" ht="43.2" x14ac:dyDescent="0.3">
      <c r="A44" s="1510" t="s">
        <v>285</v>
      </c>
      <c r="B44" s="1510" t="s">
        <v>170</v>
      </c>
      <c r="C44" s="1062" t="s">
        <v>83</v>
      </c>
      <c r="D44" s="1062" t="s">
        <v>123</v>
      </c>
      <c r="E44" s="1062">
        <v>0</v>
      </c>
      <c r="F44" s="646">
        <v>1097936</v>
      </c>
      <c r="G44" s="646">
        <f>ROUND((E44*F44),0)</f>
        <v>0</v>
      </c>
      <c r="H44" s="1510" t="s">
        <v>2380</v>
      </c>
      <c r="I44" s="799">
        <v>0</v>
      </c>
      <c r="J44" s="1132">
        <f t="shared" si="1"/>
        <v>0</v>
      </c>
      <c r="K44" s="1133">
        <v>0</v>
      </c>
      <c r="L44" s="1134">
        <f t="shared" si="5"/>
        <v>0</v>
      </c>
      <c r="M44" s="1124">
        <f t="shared" si="3"/>
        <v>0</v>
      </c>
      <c r="N44" s="1133">
        <v>0</v>
      </c>
    </row>
    <row r="45" spans="1:14" ht="43.2" x14ac:dyDescent="0.3">
      <c r="A45" s="1510"/>
      <c r="B45" s="1510"/>
      <c r="C45" s="1062" t="s">
        <v>61</v>
      </c>
      <c r="D45" s="1062" t="s">
        <v>125</v>
      </c>
      <c r="E45" s="1062">
        <v>0.05</v>
      </c>
      <c r="F45" s="646">
        <v>1061338</v>
      </c>
      <c r="G45" s="646">
        <f>ROUND((E45*F45),0)</f>
        <v>53067</v>
      </c>
      <c r="H45" s="1510"/>
      <c r="I45" s="799">
        <v>0</v>
      </c>
      <c r="J45" s="1132">
        <f t="shared" si="1"/>
        <v>0</v>
      </c>
      <c r="K45" s="1133">
        <f t="shared" si="2"/>
        <v>0</v>
      </c>
      <c r="L45" s="1134">
        <f t="shared" si="5"/>
        <v>0</v>
      </c>
      <c r="M45" s="1124">
        <f t="shared" si="3"/>
        <v>0</v>
      </c>
      <c r="N45" s="1133">
        <f t="shared" si="4"/>
        <v>0</v>
      </c>
    </row>
    <row r="46" spans="1:14" x14ac:dyDescent="0.3">
      <c r="A46" s="1510"/>
      <c r="B46" s="1510"/>
      <c r="C46" s="647"/>
      <c r="D46" s="647" t="s">
        <v>126</v>
      </c>
      <c r="E46" s="648"/>
      <c r="F46" s="648"/>
      <c r="G46" s="649">
        <f>SUM(G44:G45)</f>
        <v>53067</v>
      </c>
      <c r="H46" s="1510"/>
      <c r="I46" s="40"/>
      <c r="J46" s="1146">
        <f>SUM(J44:J45)</f>
        <v>0</v>
      </c>
      <c r="K46" s="1136">
        <f t="shared" si="2"/>
        <v>0</v>
      </c>
      <c r="L46" s="1137"/>
      <c r="M46" s="1138">
        <f t="shared" si="3"/>
        <v>0</v>
      </c>
      <c r="N46" s="1136">
        <f t="shared" si="4"/>
        <v>0</v>
      </c>
    </row>
    <row r="47" spans="1:14" ht="43.2" x14ac:dyDescent="0.3">
      <c r="A47" s="1510" t="s">
        <v>2381</v>
      </c>
      <c r="B47" s="1510" t="s">
        <v>211</v>
      </c>
      <c r="C47" s="1062" t="s">
        <v>81</v>
      </c>
      <c r="D47" s="1062" t="s">
        <v>212</v>
      </c>
      <c r="E47" s="1062">
        <v>0</v>
      </c>
      <c r="F47" s="646">
        <v>841751</v>
      </c>
      <c r="G47" s="646">
        <f>ROUND((E47*F47),0)</f>
        <v>0</v>
      </c>
      <c r="H47" s="1510" t="s">
        <v>2379</v>
      </c>
      <c r="I47" s="799">
        <v>0</v>
      </c>
      <c r="J47" s="1132">
        <f t="shared" si="1"/>
        <v>0</v>
      </c>
      <c r="K47" s="1133">
        <v>0</v>
      </c>
      <c r="L47" s="1134">
        <f t="shared" si="5"/>
        <v>0</v>
      </c>
      <c r="M47" s="1124">
        <f t="shared" si="3"/>
        <v>0</v>
      </c>
      <c r="N47" s="1133">
        <v>0</v>
      </c>
    </row>
    <row r="48" spans="1:14" ht="43.2" x14ac:dyDescent="0.3">
      <c r="A48" s="1510"/>
      <c r="B48" s="1510"/>
      <c r="C48" s="1062" t="s">
        <v>83</v>
      </c>
      <c r="D48" s="1062" t="s">
        <v>213</v>
      </c>
      <c r="E48" s="1062">
        <v>0.05</v>
      </c>
      <c r="F48" s="646">
        <v>2781437</v>
      </c>
      <c r="G48" s="646">
        <f>ROUND((E48*F48),0)</f>
        <v>139072</v>
      </c>
      <c r="H48" s="1510"/>
      <c r="I48" s="799">
        <v>0</v>
      </c>
      <c r="J48" s="1132">
        <f t="shared" si="1"/>
        <v>0</v>
      </c>
      <c r="K48" s="1133">
        <f t="shared" si="2"/>
        <v>0</v>
      </c>
      <c r="L48" s="1134">
        <f t="shared" si="5"/>
        <v>0</v>
      </c>
      <c r="M48" s="1124">
        <f t="shared" si="3"/>
        <v>0</v>
      </c>
      <c r="N48" s="1133">
        <f t="shared" si="4"/>
        <v>0</v>
      </c>
    </row>
    <row r="49" spans="1:14" ht="43.2" x14ac:dyDescent="0.3">
      <c r="A49" s="1510"/>
      <c r="B49" s="1510"/>
      <c r="C49" s="1062" t="s">
        <v>61</v>
      </c>
      <c r="D49" s="1062" t="s">
        <v>214</v>
      </c>
      <c r="E49" s="1062">
        <v>0.05</v>
      </c>
      <c r="F49" s="646">
        <v>2342263</v>
      </c>
      <c r="G49" s="646">
        <f>ROUND((E49*F49),0)</f>
        <v>117113</v>
      </c>
      <c r="H49" s="1510"/>
      <c r="I49" s="799">
        <v>0</v>
      </c>
      <c r="J49" s="1132">
        <f t="shared" si="1"/>
        <v>0</v>
      </c>
      <c r="K49" s="1133">
        <f t="shared" si="2"/>
        <v>0</v>
      </c>
      <c r="L49" s="1134">
        <f t="shared" si="5"/>
        <v>0</v>
      </c>
      <c r="M49" s="1124">
        <f t="shared" si="3"/>
        <v>0</v>
      </c>
      <c r="N49" s="1133">
        <f t="shared" si="4"/>
        <v>0</v>
      </c>
    </row>
    <row r="50" spans="1:14" x14ac:dyDescent="0.3">
      <c r="A50" s="1510"/>
      <c r="B50" s="1510"/>
      <c r="C50" s="647"/>
      <c r="D50" s="647" t="s">
        <v>215</v>
      </c>
      <c r="E50" s="648"/>
      <c r="F50" s="648"/>
      <c r="G50" s="649">
        <f>SUM(G47:G49)</f>
        <v>256185</v>
      </c>
      <c r="H50" s="1510"/>
      <c r="I50" s="1108"/>
      <c r="J50" s="1146">
        <f>SUM(J47:J49)</f>
        <v>0</v>
      </c>
      <c r="K50" s="1136">
        <f t="shared" si="2"/>
        <v>0</v>
      </c>
      <c r="L50" s="1137"/>
      <c r="M50" s="1138">
        <f t="shared" si="3"/>
        <v>0</v>
      </c>
      <c r="N50" s="1136">
        <f t="shared" si="4"/>
        <v>0</v>
      </c>
    </row>
    <row r="51" spans="1:14" ht="43.2" x14ac:dyDescent="0.3">
      <c r="A51" s="1510" t="s">
        <v>2381</v>
      </c>
      <c r="B51" s="1510" t="s">
        <v>170</v>
      </c>
      <c r="C51" s="1062" t="s">
        <v>83</v>
      </c>
      <c r="D51" s="1062" t="s">
        <v>123</v>
      </c>
      <c r="E51" s="1062">
        <v>0</v>
      </c>
      <c r="F51" s="646">
        <v>1097936</v>
      </c>
      <c r="G51" s="646">
        <f>ROUND((E51*F51),0)</f>
        <v>0</v>
      </c>
      <c r="H51" s="1510" t="s">
        <v>2382</v>
      </c>
      <c r="I51" s="799">
        <v>0</v>
      </c>
      <c r="J51" s="1132">
        <f t="shared" si="1"/>
        <v>0</v>
      </c>
      <c r="K51" s="1133">
        <v>0</v>
      </c>
      <c r="L51" s="1134">
        <f t="shared" si="5"/>
        <v>0</v>
      </c>
      <c r="M51" s="1124">
        <f t="shared" si="3"/>
        <v>0</v>
      </c>
      <c r="N51" s="1133">
        <v>0</v>
      </c>
    </row>
    <row r="52" spans="1:14" ht="43.2" x14ac:dyDescent="0.3">
      <c r="A52" s="1510"/>
      <c r="B52" s="1510"/>
      <c r="C52" s="1062" t="s">
        <v>61</v>
      </c>
      <c r="D52" s="1062" t="s">
        <v>125</v>
      </c>
      <c r="E52" s="1062">
        <v>0.05</v>
      </c>
      <c r="F52" s="646">
        <v>1061338</v>
      </c>
      <c r="G52" s="646">
        <f>ROUND((E52*F52),0)</f>
        <v>53067</v>
      </c>
      <c r="H52" s="1510"/>
      <c r="I52" s="799">
        <v>0</v>
      </c>
      <c r="J52" s="1132">
        <f t="shared" si="1"/>
        <v>0</v>
      </c>
      <c r="K52" s="1133">
        <f t="shared" si="2"/>
        <v>0</v>
      </c>
      <c r="L52" s="1134">
        <f t="shared" si="5"/>
        <v>0</v>
      </c>
      <c r="M52" s="1124">
        <f t="shared" si="3"/>
        <v>0</v>
      </c>
      <c r="N52" s="1133">
        <f t="shared" si="4"/>
        <v>0</v>
      </c>
    </row>
    <row r="53" spans="1:14" x14ac:dyDescent="0.3">
      <c r="A53" s="1510"/>
      <c r="B53" s="1510"/>
      <c r="C53" s="647"/>
      <c r="D53" s="647" t="s">
        <v>126</v>
      </c>
      <c r="E53" s="648"/>
      <c r="F53" s="648"/>
      <c r="G53" s="649">
        <f>SUM(G51:G52)</f>
        <v>53067</v>
      </c>
      <c r="H53" s="1510"/>
      <c r="I53" s="1108"/>
      <c r="J53" s="1146">
        <f>SUM(J51:J52)</f>
        <v>0</v>
      </c>
      <c r="K53" s="1136">
        <f t="shared" si="2"/>
        <v>0</v>
      </c>
      <c r="L53" s="1137"/>
      <c r="M53" s="1138">
        <f t="shared" si="3"/>
        <v>0</v>
      </c>
      <c r="N53" s="1136">
        <f t="shared" si="4"/>
        <v>0</v>
      </c>
    </row>
    <row r="54" spans="1:14" x14ac:dyDescent="0.3">
      <c r="F54" s="836" t="s">
        <v>1740</v>
      </c>
      <c r="G54" s="650">
        <f>SUM(G14:G53)/2</f>
        <v>1829895</v>
      </c>
      <c r="I54" s="547" t="s">
        <v>64</v>
      </c>
      <c r="J54" s="855">
        <f>SUM(J14:J53)/2</f>
        <v>0</v>
      </c>
      <c r="K54" s="1054"/>
      <c r="L54" s="547" t="s">
        <v>64</v>
      </c>
      <c r="M54" s="835">
        <f>SUM(M14:M53)/2</f>
        <v>0</v>
      </c>
      <c r="N54" s="1054"/>
    </row>
    <row r="55" spans="1:14" x14ac:dyDescent="0.3">
      <c r="F55" s="1118" t="s">
        <v>65</v>
      </c>
      <c r="G55" s="1115">
        <v>0</v>
      </c>
      <c r="I55" s="548" t="s">
        <v>65</v>
      </c>
      <c r="J55" s="677">
        <v>0</v>
      </c>
      <c r="K55" s="1054"/>
      <c r="L55" s="548" t="s">
        <v>65</v>
      </c>
      <c r="M55" s="677">
        <v>0</v>
      </c>
      <c r="N55" s="1054"/>
    </row>
    <row r="56" spans="1:14" x14ac:dyDescent="0.3">
      <c r="F56" s="1119" t="s">
        <v>64</v>
      </c>
      <c r="G56" s="1115">
        <f>G54+G55</f>
        <v>1829895</v>
      </c>
      <c r="I56" s="549" t="s">
        <v>64</v>
      </c>
      <c r="J56" s="481">
        <f>J54+J55</f>
        <v>0</v>
      </c>
      <c r="K56" s="1054"/>
      <c r="L56" s="549" t="s">
        <v>64</v>
      </c>
      <c r="M56" s="481">
        <f>M54+M55</f>
        <v>0</v>
      </c>
      <c r="N56" s="1054"/>
    </row>
    <row r="57" spans="1:14" ht="26.4" x14ac:dyDescent="0.3">
      <c r="F57" s="501" t="s">
        <v>1439</v>
      </c>
      <c r="G57" s="1116">
        <f>ROUND(G56*0.015,0)</f>
        <v>27448</v>
      </c>
      <c r="I57" s="501" t="s">
        <v>1439</v>
      </c>
      <c r="J57" s="481">
        <f>ROUND(J56*0.015,0)</f>
        <v>0</v>
      </c>
      <c r="K57" s="1054"/>
      <c r="L57" s="501" t="s">
        <v>1439</v>
      </c>
      <c r="M57" s="481">
        <f>ROUND(M56*0.015,0)</f>
        <v>0</v>
      </c>
      <c r="N57" s="1054"/>
    </row>
    <row r="58" spans="1:14" ht="26.4" x14ac:dyDescent="0.3">
      <c r="F58" s="96" t="s">
        <v>1440</v>
      </c>
      <c r="G58" s="1117">
        <f>G56+G57</f>
        <v>1857343</v>
      </c>
      <c r="I58" s="96" t="s">
        <v>1440</v>
      </c>
      <c r="J58" s="783">
        <f>J56+J57</f>
        <v>0</v>
      </c>
      <c r="K58" s="856">
        <f>J58/G54</f>
        <v>0</v>
      </c>
      <c r="L58" s="96" t="s">
        <v>1440</v>
      </c>
      <c r="M58" s="425">
        <f>M56+M57</f>
        <v>0</v>
      </c>
      <c r="N58" s="857">
        <f>M58/G54</f>
        <v>0</v>
      </c>
    </row>
    <row r="59" spans="1:14" x14ac:dyDescent="0.3">
      <c r="F59" s="1122" t="s">
        <v>66</v>
      </c>
      <c r="G59" s="783">
        <f>G58*0.19</f>
        <v>352895.17</v>
      </c>
      <c r="I59" s="551" t="s">
        <v>66</v>
      </c>
      <c r="J59" s="672">
        <f>J58*0.19</f>
        <v>0</v>
      </c>
      <c r="K59" s="1054"/>
      <c r="L59" s="551" t="s">
        <v>66</v>
      </c>
      <c r="M59" s="672">
        <f>M58*0.19</f>
        <v>0</v>
      </c>
      <c r="N59" s="1054"/>
    </row>
    <row r="60" spans="1:14" x14ac:dyDescent="0.3">
      <c r="F60" s="1123" t="s">
        <v>69</v>
      </c>
      <c r="G60" s="672">
        <f>G58+G59</f>
        <v>2210238.17</v>
      </c>
      <c r="I60" s="552" t="s">
        <v>69</v>
      </c>
      <c r="J60" s="672">
        <f>J58+J59</f>
        <v>0</v>
      </c>
      <c r="K60" s="1054"/>
      <c r="L60" s="552" t="s">
        <v>69</v>
      </c>
      <c r="M60" s="672">
        <f>M58+M59</f>
        <v>0</v>
      </c>
      <c r="N60" s="1054"/>
    </row>
    <row r="61" spans="1:14" x14ac:dyDescent="0.3">
      <c r="I61" s="1054"/>
      <c r="J61" s="1054"/>
      <c r="K61" s="1054"/>
      <c r="L61" s="1054"/>
      <c r="M61" s="1054"/>
      <c r="N61" s="1054"/>
    </row>
    <row r="62" spans="1:14" x14ac:dyDescent="0.3">
      <c r="I62" s="186" t="s">
        <v>70</v>
      </c>
      <c r="J62" s="187" t="s">
        <v>71</v>
      </c>
      <c r="K62" s="186" t="s">
        <v>58</v>
      </c>
      <c r="L62" s="1054"/>
      <c r="M62" s="1054"/>
      <c r="N62" s="1054"/>
    </row>
    <row r="63" spans="1:14" x14ac:dyDescent="0.3">
      <c r="I63" s="69" t="s">
        <v>72</v>
      </c>
      <c r="J63" s="70">
        <f>J58</f>
        <v>0</v>
      </c>
      <c r="K63" s="360">
        <f>K58</f>
        <v>0</v>
      </c>
      <c r="L63" s="1054"/>
      <c r="M63" s="1054"/>
      <c r="N63" s="1054"/>
    </row>
    <row r="64" spans="1:14" x14ac:dyDescent="0.3">
      <c r="I64" s="72" t="s">
        <v>1</v>
      </c>
      <c r="J64" s="105">
        <f>J63</f>
        <v>0</v>
      </c>
      <c r="K64" s="361">
        <f>K63</f>
        <v>0</v>
      </c>
      <c r="L64" s="1054"/>
      <c r="M64" s="1054"/>
      <c r="N64" s="1054"/>
    </row>
    <row r="65" spans="9:14" x14ac:dyDescent="0.3">
      <c r="I65" s="72" t="s">
        <v>9</v>
      </c>
      <c r="J65" s="1423"/>
      <c r="K65" s="1424"/>
      <c r="L65" s="1054"/>
      <c r="M65" s="1054"/>
      <c r="N65" s="1054"/>
    </row>
    <row r="66" spans="9:14" x14ac:dyDescent="0.3">
      <c r="I66" s="440" t="s">
        <v>78</v>
      </c>
      <c r="J66" s="1423"/>
      <c r="K66" s="1424"/>
      <c r="L66" s="1054"/>
      <c r="M66" s="1054"/>
      <c r="N66" s="1054"/>
    </row>
    <row r="67" spans="9:14" x14ac:dyDescent="0.3">
      <c r="I67" s="439" t="s">
        <v>8</v>
      </c>
      <c r="J67" s="1425"/>
      <c r="K67" s="1426"/>
      <c r="L67" s="1054"/>
      <c r="M67" s="1054"/>
      <c r="N67" s="1054"/>
    </row>
  </sheetData>
  <mergeCells count="5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7"/>
    <mergeCell ref="B14:B17"/>
    <mergeCell ref="H14:H17"/>
    <mergeCell ref="A18:A20"/>
    <mergeCell ref="B18:B20"/>
    <mergeCell ref="H18:H20"/>
    <mergeCell ref="A21:A23"/>
    <mergeCell ref="B21:B23"/>
    <mergeCell ref="H21:H23"/>
    <mergeCell ref="A24:A26"/>
    <mergeCell ref="B24:B26"/>
    <mergeCell ref="H24:H26"/>
    <mergeCell ref="A27:A29"/>
    <mergeCell ref="B27:B29"/>
    <mergeCell ref="H27:H29"/>
    <mergeCell ref="A30:A32"/>
    <mergeCell ref="B30:B32"/>
    <mergeCell ref="H30:H32"/>
    <mergeCell ref="A33:A35"/>
    <mergeCell ref="B33:B35"/>
    <mergeCell ref="H33:H35"/>
    <mergeCell ref="A36:A37"/>
    <mergeCell ref="B36:B37"/>
    <mergeCell ref="H36:H37"/>
    <mergeCell ref="A38:A39"/>
    <mergeCell ref="B38:B39"/>
    <mergeCell ref="H38:H39"/>
    <mergeCell ref="A40:A43"/>
    <mergeCell ref="B40:B43"/>
    <mergeCell ref="H40:H43"/>
    <mergeCell ref="J67:K67"/>
    <mergeCell ref="A44:A46"/>
    <mergeCell ref="B44:B46"/>
    <mergeCell ref="H44:H46"/>
    <mergeCell ref="A47:A50"/>
    <mergeCell ref="B47:B50"/>
    <mergeCell ref="H47:H50"/>
    <mergeCell ref="A51:A53"/>
    <mergeCell ref="B51:B53"/>
    <mergeCell ref="H51:H53"/>
    <mergeCell ref="J65:K65"/>
    <mergeCell ref="J66:K66"/>
  </mergeCells>
  <pageMargins left="0.7" right="0.7" top="0.75" bottom="0.75" header="0.3" footer="0.3"/>
  <drawing r:id="rId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1"/>
  <dimension ref="A1:G49"/>
  <sheetViews>
    <sheetView topLeftCell="A7" workbookViewId="0">
      <selection activeCell="J32" sqref="J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RESUMEN!G165</f>
        <v>Proyecto: CDIE_CBCCSM_R0184, PC1 - REPOSICIÓN INTERRUPTORES AT.</v>
      </c>
      <c r="C5" s="1281"/>
      <c r="D5" s="1281"/>
      <c r="E5" s="1281"/>
      <c r="F5" s="1281"/>
      <c r="G5" s="1282"/>
    </row>
    <row r="6" spans="1:7" x14ac:dyDescent="0.25">
      <c r="A6" s="1177"/>
      <c r="B6" s="1177"/>
      <c r="C6" s="1177"/>
      <c r="D6" s="1177"/>
      <c r="E6" s="1177"/>
      <c r="F6" s="1177"/>
      <c r="G6" s="1177"/>
    </row>
    <row r="7" spans="1:7" x14ac:dyDescent="0.25">
      <c r="A7" s="271" t="s">
        <v>0</v>
      </c>
      <c r="B7" s="1264" t="str">
        <f>RESUMEN!B165</f>
        <v>D00249271</v>
      </c>
      <c r="C7" s="1265"/>
      <c r="D7" s="1177"/>
      <c r="E7" s="1266" t="s">
        <v>627</v>
      </c>
      <c r="F7" s="1267"/>
      <c r="G7" s="280" t="str">
        <f>RESUMEN!E165</f>
        <v xml:space="preserve">18-030 </v>
      </c>
    </row>
    <row r="8" spans="1:7" x14ac:dyDescent="0.25">
      <c r="A8" s="271" t="s">
        <v>628</v>
      </c>
      <c r="B8" s="1264" t="str">
        <f>RESUMEN!C165</f>
        <v>D00249271000</v>
      </c>
      <c r="C8" s="1265"/>
      <c r="D8" s="1177"/>
      <c r="E8" s="1266" t="s">
        <v>629</v>
      </c>
      <c r="F8" s="1267"/>
      <c r="G8" s="280" t="str">
        <f>RESUMEN!U165</f>
        <v>Acta N° 1: Marzo</v>
      </c>
    </row>
    <row r="9" spans="1:7" x14ac:dyDescent="0.25">
      <c r="A9" s="271" t="s">
        <v>630</v>
      </c>
      <c r="B9" s="1283" t="s">
        <v>631</v>
      </c>
      <c r="C9" s="1265"/>
      <c r="D9" s="1177"/>
      <c r="E9" s="1266" t="s">
        <v>632</v>
      </c>
      <c r="F9" s="1267"/>
      <c r="G9" s="1178">
        <f>RESUMEN!H165</f>
        <v>653272</v>
      </c>
    </row>
    <row r="10" spans="1:7" x14ac:dyDescent="0.25">
      <c r="A10" s="271" t="s">
        <v>633</v>
      </c>
      <c r="B10" s="1283" t="str">
        <f>RESUMEN!D165</f>
        <v>CONCORDIA</v>
      </c>
      <c r="C10" s="1265"/>
      <c r="D10" s="1177"/>
      <c r="E10" s="1266" t="s">
        <v>634</v>
      </c>
      <c r="F10" s="1267"/>
      <c r="G10" s="1178">
        <f>RESUMEN!R165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 PC1 - REPOSICIÓN INTERRUPTORES AT.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RESUMEN!N165</f>
        <v>0</v>
      </c>
      <c r="F19" s="1248"/>
      <c r="G19" s="1177"/>
    </row>
    <row r="20" spans="1:7" ht="27" customHeight="1" x14ac:dyDescent="0.25">
      <c r="A20" s="1177"/>
      <c r="B20" s="1244" t="s">
        <v>1498</v>
      </c>
      <c r="C20" s="1245"/>
      <c r="D20" s="1246"/>
      <c r="E20" s="1247">
        <f>RESUMEN!P165</f>
        <v>0</v>
      </c>
      <c r="F20" s="1248"/>
      <c r="G20" s="1177"/>
    </row>
    <row r="21" spans="1:7" ht="27" customHeight="1" x14ac:dyDescent="0.25">
      <c r="A21" s="1177"/>
      <c r="B21" s="1244" t="s">
        <v>1499</v>
      </c>
      <c r="C21" s="1245"/>
      <c r="D21" s="1246"/>
      <c r="E21" s="1247">
        <f>RESUMEN!Q165</f>
        <v>0</v>
      </c>
      <c r="F21" s="1248"/>
      <c r="G21" s="1177"/>
    </row>
    <row r="22" spans="1:7" x14ac:dyDescent="0.25">
      <c r="A22" s="1177"/>
      <c r="B22" s="1254" t="s">
        <v>64</v>
      </c>
      <c r="C22" s="1254"/>
      <c r="D22" s="1254"/>
      <c r="E22" s="1255">
        <f>RESUMEN!R165</f>
        <v>0</v>
      </c>
      <c r="F22" s="1255"/>
      <c r="G22" s="1177"/>
    </row>
    <row r="23" spans="1:7" x14ac:dyDescent="0.25">
      <c r="A23" s="1177"/>
      <c r="B23" s="1256" t="s">
        <v>66</v>
      </c>
      <c r="C23" s="1256"/>
      <c r="D23" s="1256"/>
      <c r="E23" s="1257">
        <f>RESUMEN!S165</f>
        <v>0</v>
      </c>
      <c r="F23" s="1257"/>
      <c r="G23" s="1177"/>
    </row>
    <row r="24" spans="1:7" x14ac:dyDescent="0.25">
      <c r="A24" s="1177"/>
      <c r="B24" s="1258" t="s">
        <v>1</v>
      </c>
      <c r="C24" s="1258"/>
      <c r="D24" s="1258"/>
      <c r="E24" s="1259">
        <f>RESUMEN!T165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+'OT18-030 CONCORDIA'!I25</f>
        <v>ACTA 1</v>
      </c>
      <c r="C28" s="1253">
        <f>+'OT18-030 CONCORDIA'!J25</f>
        <v>0</v>
      </c>
      <c r="D28" s="1253"/>
      <c r="E28" s="267">
        <f>+'OT18-030 CONCORDIA'!K25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2"/>
  <dimension ref="A1:N29"/>
  <sheetViews>
    <sheetView topLeftCell="A13" workbookViewId="0">
      <selection activeCell="I16" sqref="I16:N29"/>
    </sheetView>
  </sheetViews>
  <sheetFormatPr baseColWidth="10" defaultRowHeight="14.4" x14ac:dyDescent="0.3"/>
  <cols>
    <col min="1" max="1" width="18.5546875" customWidth="1"/>
    <col min="2" max="2" width="16.33203125" customWidth="1"/>
    <col min="3" max="3" width="17.21875" customWidth="1"/>
    <col min="4" max="4" width="23.109375" customWidth="1"/>
    <col min="6" max="6" width="15.77734375" customWidth="1"/>
    <col min="7" max="7" width="14.77734375" customWidth="1"/>
    <col min="8" max="8" width="18.77734375" customWidth="1"/>
  </cols>
  <sheetData>
    <row r="1" spans="1:14" x14ac:dyDescent="0.3">
      <c r="A1" s="169"/>
      <c r="B1" s="188"/>
      <c r="C1" s="1307" t="s">
        <v>40</v>
      </c>
      <c r="D1" s="1308"/>
      <c r="E1" s="1308"/>
      <c r="F1" s="1308"/>
      <c r="G1" s="1308"/>
      <c r="H1" s="1308"/>
      <c r="I1" s="1308"/>
      <c r="J1" s="1308"/>
      <c r="K1" s="1532" t="s">
        <v>2390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2389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2388</v>
      </c>
      <c r="B10" s="1292"/>
      <c r="C10" s="1292"/>
      <c r="D10" s="1292"/>
      <c r="E10" s="1292"/>
      <c r="F10" s="1292"/>
      <c r="G10" s="1292"/>
      <c r="H10" s="1292"/>
      <c r="I10" s="1292"/>
      <c r="J10" s="1292"/>
      <c r="K10" s="1292"/>
      <c r="L10" s="1292"/>
      <c r="M10" s="1292"/>
      <c r="N10" s="831"/>
    </row>
    <row r="11" spans="1:14" ht="14.4" customHeight="1"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57.6" x14ac:dyDescent="0.3">
      <c r="A14" s="1510" t="s">
        <v>2386</v>
      </c>
      <c r="B14" s="1510" t="s">
        <v>773</v>
      </c>
      <c r="C14" s="1062" t="s">
        <v>61</v>
      </c>
      <c r="D14" s="1062" t="s">
        <v>774</v>
      </c>
      <c r="E14" s="1062">
        <v>0.05</v>
      </c>
      <c r="F14" s="646">
        <v>13065435</v>
      </c>
      <c r="G14" s="646">
        <f>ROUND((E14*F14),0)</f>
        <v>653272</v>
      </c>
      <c r="H14" s="1514" t="s">
        <v>2387</v>
      </c>
      <c r="I14" s="799">
        <v>0</v>
      </c>
      <c r="J14" s="1132">
        <f>ROUND(I14*F14,0)</f>
        <v>0</v>
      </c>
      <c r="K14" s="1133">
        <f>J14/G14</f>
        <v>0</v>
      </c>
      <c r="L14" s="1134">
        <f t="shared" ref="L14" si="0">I14</f>
        <v>0</v>
      </c>
      <c r="M14" s="1124">
        <f>J14</f>
        <v>0</v>
      </c>
      <c r="N14" s="1133">
        <f>M14/G14</f>
        <v>0</v>
      </c>
    </row>
    <row r="15" spans="1:14" x14ac:dyDescent="0.3">
      <c r="A15" s="1510"/>
      <c r="B15" s="1510"/>
      <c r="C15" s="647"/>
      <c r="D15" s="647" t="s">
        <v>776</v>
      </c>
      <c r="E15" s="648"/>
      <c r="F15" s="648"/>
      <c r="G15" s="649">
        <f>G14</f>
        <v>653272</v>
      </c>
      <c r="H15" s="1510"/>
      <c r="I15" s="40"/>
      <c r="J15" s="1146">
        <f>J14</f>
        <v>0</v>
      </c>
      <c r="K15" s="1136">
        <f t="shared" ref="K15" si="1">J15/G15</f>
        <v>0</v>
      </c>
      <c r="L15" s="1137"/>
      <c r="M15" s="1138">
        <f t="shared" ref="M15" si="2">J15</f>
        <v>0</v>
      </c>
      <c r="N15" s="1136">
        <f t="shared" ref="N15" si="3">M15/G15</f>
        <v>0</v>
      </c>
    </row>
    <row r="16" spans="1:14" x14ac:dyDescent="0.3">
      <c r="F16" s="836" t="s">
        <v>1740</v>
      </c>
      <c r="G16" s="650">
        <f>SUM(G14:G15)/2</f>
        <v>653272</v>
      </c>
      <c r="I16" s="547" t="s">
        <v>64</v>
      </c>
      <c r="J16" s="855">
        <f>SUM(J14:J15)/2</f>
        <v>0</v>
      </c>
      <c r="K16" s="1054"/>
      <c r="L16" s="547" t="s">
        <v>64</v>
      </c>
      <c r="M16" s="835">
        <f>SUM(M14:M15)/2</f>
        <v>0</v>
      </c>
      <c r="N16" s="1054"/>
    </row>
    <row r="17" spans="6:14" ht="26.4" x14ac:dyDescent="0.3">
      <c r="F17" s="1118" t="s">
        <v>65</v>
      </c>
      <c r="G17" s="1115">
        <v>0</v>
      </c>
      <c r="I17" s="548" t="s">
        <v>65</v>
      </c>
      <c r="J17" s="677">
        <v>0</v>
      </c>
      <c r="K17" s="1054"/>
      <c r="L17" s="548" t="s">
        <v>65</v>
      </c>
      <c r="M17" s="677">
        <v>0</v>
      </c>
      <c r="N17" s="1054"/>
    </row>
    <row r="18" spans="6:14" x14ac:dyDescent="0.3">
      <c r="F18" s="1119" t="s">
        <v>64</v>
      </c>
      <c r="G18" s="1115">
        <f>G16+G17</f>
        <v>653272</v>
      </c>
      <c r="I18" s="549" t="s">
        <v>64</v>
      </c>
      <c r="J18" s="481">
        <f>J16+J17</f>
        <v>0</v>
      </c>
      <c r="K18" s="1054"/>
      <c r="L18" s="549" t="s">
        <v>64</v>
      </c>
      <c r="M18" s="481">
        <f>M16+M17</f>
        <v>0</v>
      </c>
      <c r="N18" s="1054"/>
    </row>
    <row r="19" spans="6:14" ht="26.4" x14ac:dyDescent="0.3">
      <c r="F19" s="501" t="s">
        <v>1439</v>
      </c>
      <c r="G19" s="1116">
        <f>ROUND(G18*0.015,0)</f>
        <v>9799</v>
      </c>
      <c r="I19" s="501" t="s">
        <v>1439</v>
      </c>
      <c r="J19" s="481">
        <f>ROUND(J18*0.015,0)</f>
        <v>0</v>
      </c>
      <c r="K19" s="1054"/>
      <c r="L19" s="501" t="s">
        <v>1439</v>
      </c>
      <c r="M19" s="481">
        <f>ROUND(M18*0.015,0)</f>
        <v>0</v>
      </c>
      <c r="N19" s="1054"/>
    </row>
    <row r="20" spans="6:14" ht="39.6" x14ac:dyDescent="0.3">
      <c r="F20" s="96" t="s">
        <v>1440</v>
      </c>
      <c r="G20" s="1117">
        <f>G18+G19</f>
        <v>663071</v>
      </c>
      <c r="I20" s="96" t="s">
        <v>1440</v>
      </c>
      <c r="J20" s="783">
        <f>J18+J19</f>
        <v>0</v>
      </c>
      <c r="K20" s="856">
        <f>J20/G16</f>
        <v>0</v>
      </c>
      <c r="L20" s="96" t="s">
        <v>1440</v>
      </c>
      <c r="M20" s="425">
        <f>M18+M19</f>
        <v>0</v>
      </c>
      <c r="N20" s="857">
        <f>M20/G16</f>
        <v>0</v>
      </c>
    </row>
    <row r="21" spans="6:14" x14ac:dyDescent="0.3">
      <c r="F21" s="1122" t="s">
        <v>66</v>
      </c>
      <c r="G21" s="783">
        <f>G20*0.19</f>
        <v>125983.49</v>
      </c>
      <c r="I21" s="551" t="s">
        <v>66</v>
      </c>
      <c r="J21" s="672">
        <f>J20*0.19</f>
        <v>0</v>
      </c>
      <c r="K21" s="1054"/>
      <c r="L21" s="551" t="s">
        <v>66</v>
      </c>
      <c r="M21" s="672">
        <f>M20*0.19</f>
        <v>0</v>
      </c>
      <c r="N21" s="1054"/>
    </row>
    <row r="22" spans="6:14" x14ac:dyDescent="0.3">
      <c r="F22" s="1123" t="s">
        <v>69</v>
      </c>
      <c r="G22" s="672">
        <f>G20+G21</f>
        <v>789054.49</v>
      </c>
      <c r="I22" s="552" t="s">
        <v>69</v>
      </c>
      <c r="J22" s="672">
        <f>J20+J21</f>
        <v>0</v>
      </c>
      <c r="K22" s="1054"/>
      <c r="L22" s="552" t="s">
        <v>69</v>
      </c>
      <c r="M22" s="672">
        <f>M20+M21</f>
        <v>0</v>
      </c>
      <c r="N22" s="1054"/>
    </row>
    <row r="23" spans="6:14" x14ac:dyDescent="0.3">
      <c r="I23" s="1054"/>
      <c r="J23" s="1054"/>
      <c r="K23" s="1054"/>
      <c r="L23" s="1054"/>
      <c r="M23" s="1054"/>
      <c r="N23" s="1054"/>
    </row>
    <row r="24" spans="6:14" ht="26.4" x14ac:dyDescent="0.3">
      <c r="I24" s="186" t="s">
        <v>70</v>
      </c>
      <c r="J24" s="187" t="s">
        <v>71</v>
      </c>
      <c r="K24" s="186" t="s">
        <v>58</v>
      </c>
      <c r="L24" s="1054"/>
      <c r="M24" s="1054"/>
      <c r="N24" s="1054"/>
    </row>
    <row r="25" spans="6:14" x14ac:dyDescent="0.3">
      <c r="I25" s="69" t="s">
        <v>72</v>
      </c>
      <c r="J25" s="70">
        <f>J20</f>
        <v>0</v>
      </c>
      <c r="K25" s="360">
        <f>K20</f>
        <v>0</v>
      </c>
      <c r="L25" s="1054"/>
      <c r="M25" s="1054"/>
      <c r="N25" s="1054"/>
    </row>
    <row r="26" spans="6:14" x14ac:dyDescent="0.3">
      <c r="I26" s="72" t="s">
        <v>1</v>
      </c>
      <c r="J26" s="105">
        <f>J25</f>
        <v>0</v>
      </c>
      <c r="K26" s="361">
        <f>K25</f>
        <v>0</v>
      </c>
      <c r="L26" s="1054"/>
      <c r="M26" s="1054"/>
      <c r="N26" s="1054"/>
    </row>
    <row r="27" spans="6:14" x14ac:dyDescent="0.3">
      <c r="I27" s="72" t="s">
        <v>9</v>
      </c>
      <c r="J27" s="1423"/>
      <c r="K27" s="1424"/>
      <c r="L27" s="1054"/>
      <c r="M27" s="1054"/>
      <c r="N27" s="1054"/>
    </row>
    <row r="28" spans="6:14" x14ac:dyDescent="0.3">
      <c r="I28" s="440" t="s">
        <v>78</v>
      </c>
      <c r="J28" s="1423" t="s">
        <v>2391</v>
      </c>
      <c r="K28" s="1424"/>
      <c r="L28" s="1054"/>
      <c r="M28" s="1054"/>
      <c r="N28" s="1054"/>
    </row>
    <row r="29" spans="6:14" x14ac:dyDescent="0.3">
      <c r="I29" s="439" t="s">
        <v>8</v>
      </c>
      <c r="J29" s="1425" t="s">
        <v>2392</v>
      </c>
      <c r="K29" s="1426"/>
      <c r="L29" s="1054"/>
      <c r="M29" s="1054"/>
      <c r="N29" s="1054"/>
    </row>
  </sheetData>
  <mergeCells count="21">
    <mergeCell ref="A5:M5"/>
    <mergeCell ref="C1:J2"/>
    <mergeCell ref="K1:N1"/>
    <mergeCell ref="K2:N2"/>
    <mergeCell ref="A3:M3"/>
    <mergeCell ref="A4:M4"/>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s>
  <pageMargins left="0.7" right="0.7" top="0.75" bottom="0.75" header="0.3" footer="0.3"/>
  <drawing r:id="rId1"/>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3"/>
  <dimension ref="A1:G49"/>
  <sheetViews>
    <sheetView topLeftCell="A7" workbookViewId="0">
      <selection activeCell="G25" sqref="G2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RESUMEN!G166</f>
        <v>Proyecto: CDIE_CBCCSM_R0184, PC1 - REPOSICIÓN INTERRUPTORES AT.</v>
      </c>
      <c r="C5" s="1281"/>
      <c r="D5" s="1281"/>
      <c r="E5" s="1281"/>
      <c r="F5" s="1281"/>
      <c r="G5" s="1282"/>
    </row>
    <row r="6" spans="1:7" x14ac:dyDescent="0.25">
      <c r="A6" s="1177"/>
      <c r="B6" s="1177"/>
      <c r="C6" s="1177"/>
      <c r="D6" s="1177"/>
      <c r="E6" s="1177"/>
      <c r="F6" s="1177"/>
      <c r="G6" s="1177"/>
    </row>
    <row r="7" spans="1:7" x14ac:dyDescent="0.25">
      <c r="A7" s="271" t="s">
        <v>0</v>
      </c>
      <c r="B7" s="1264" t="str">
        <f>RESUMEN!B166</f>
        <v>D00249271</v>
      </c>
      <c r="C7" s="1265"/>
      <c r="D7" s="1177"/>
      <c r="E7" s="1266" t="s">
        <v>627</v>
      </c>
      <c r="F7" s="1267"/>
      <c r="G7" s="280" t="str">
        <f>RESUMEN!E166</f>
        <v>18-031</v>
      </c>
    </row>
    <row r="8" spans="1:7" x14ac:dyDescent="0.25">
      <c r="A8" s="271" t="s">
        <v>628</v>
      </c>
      <c r="B8" s="1264" t="str">
        <f>RESUMEN!C166</f>
        <v>D00249271000</v>
      </c>
      <c r="C8" s="1265"/>
      <c r="D8" s="1177"/>
      <c r="E8" s="1266" t="s">
        <v>629</v>
      </c>
      <c r="F8" s="1267"/>
      <c r="G8" s="280" t="str">
        <f>RESUMEN!U166</f>
        <v>Acta N° 1: Marzo</v>
      </c>
    </row>
    <row r="9" spans="1:7" x14ac:dyDescent="0.25">
      <c r="A9" s="271" t="s">
        <v>630</v>
      </c>
      <c r="B9" s="1283" t="s">
        <v>631</v>
      </c>
      <c r="C9" s="1265"/>
      <c r="D9" s="1177"/>
      <c r="E9" s="1266" t="s">
        <v>632</v>
      </c>
      <c r="F9" s="1267"/>
      <c r="G9" s="1178">
        <f>RESUMEN!H166</f>
        <v>865540</v>
      </c>
    </row>
    <row r="10" spans="1:7" x14ac:dyDescent="0.25">
      <c r="A10" s="271" t="s">
        <v>633</v>
      </c>
      <c r="B10" s="1283" t="str">
        <f>RESUMEN!D166</f>
        <v xml:space="preserve"> LA PAZ</v>
      </c>
      <c r="C10" s="1265"/>
      <c r="D10" s="1177"/>
      <c r="E10" s="1266" t="s">
        <v>634</v>
      </c>
      <c r="F10" s="1267"/>
      <c r="G10" s="1178">
        <f>RESUMEN!R166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 PC1 - REPOSICIÓN INTERRUPTORES AT.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RESUMEN!N166</f>
        <v>0</v>
      </c>
      <c r="F19" s="1248"/>
      <c r="G19" s="1177"/>
    </row>
    <row r="20" spans="1:7" ht="27" customHeight="1" x14ac:dyDescent="0.25">
      <c r="A20" s="1177"/>
      <c r="B20" s="1244" t="s">
        <v>1498</v>
      </c>
      <c r="C20" s="1245"/>
      <c r="D20" s="1246"/>
      <c r="E20" s="1247">
        <f>RESUMEN!P166</f>
        <v>0</v>
      </c>
      <c r="F20" s="1248"/>
      <c r="G20" s="1177"/>
    </row>
    <row r="21" spans="1:7" ht="27" customHeight="1" x14ac:dyDescent="0.25">
      <c r="A21" s="1177"/>
      <c r="B21" s="1244" t="s">
        <v>1499</v>
      </c>
      <c r="C21" s="1245"/>
      <c r="D21" s="1246"/>
      <c r="E21" s="1247">
        <f>RESUMEN!Q166</f>
        <v>0</v>
      </c>
      <c r="F21" s="1248"/>
      <c r="G21" s="1177"/>
    </row>
    <row r="22" spans="1:7" x14ac:dyDescent="0.25">
      <c r="A22" s="1177"/>
      <c r="B22" s="1254" t="s">
        <v>64</v>
      </c>
      <c r="C22" s="1254"/>
      <c r="D22" s="1254"/>
      <c r="E22" s="1255">
        <f>RESUMEN!R166</f>
        <v>0</v>
      </c>
      <c r="F22" s="1255"/>
      <c r="G22" s="1177"/>
    </row>
    <row r="23" spans="1:7" x14ac:dyDescent="0.25">
      <c r="A23" s="1177"/>
      <c r="B23" s="1256" t="s">
        <v>66</v>
      </c>
      <c r="C23" s="1256"/>
      <c r="D23" s="1256"/>
      <c r="E23" s="1257">
        <f>RESUMEN!S166</f>
        <v>0</v>
      </c>
      <c r="F23" s="1257"/>
      <c r="G23" s="1177"/>
    </row>
    <row r="24" spans="1:7" x14ac:dyDescent="0.25">
      <c r="A24" s="1177"/>
      <c r="B24" s="1258" t="s">
        <v>1</v>
      </c>
      <c r="C24" s="1258"/>
      <c r="D24" s="1258"/>
      <c r="E24" s="1259">
        <f>RESUMEN!T166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+'OT18-031 LA PAZ'!I31</f>
        <v>ACTA 1</v>
      </c>
      <c r="C28" s="1253">
        <f>+'OT18-031 LA PAZ'!J31</f>
        <v>0</v>
      </c>
      <c r="D28" s="1253"/>
      <c r="E28" s="267">
        <f>+'OT18-031 LA PAZ'!K31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4"/>
  <dimension ref="A1:N35"/>
  <sheetViews>
    <sheetView topLeftCell="A4" zoomScale="60" zoomScaleNormal="60" workbookViewId="0">
      <selection activeCell="I19" sqref="I19:N21"/>
    </sheetView>
  </sheetViews>
  <sheetFormatPr baseColWidth="10" defaultRowHeight="14.4" x14ac:dyDescent="0.3"/>
  <cols>
    <col min="1" max="3" width="19.77734375" customWidth="1"/>
    <col min="4" max="4" width="30.5546875" customWidth="1"/>
    <col min="5" max="7" width="19.77734375" customWidth="1"/>
    <col min="8" max="8" width="35.21875" customWidth="1"/>
    <col min="9" max="16" width="19.77734375" customWidth="1"/>
  </cols>
  <sheetData>
    <row r="1" spans="1:14" x14ac:dyDescent="0.3">
      <c r="A1" s="169"/>
      <c r="B1" s="188"/>
      <c r="C1" s="1307" t="s">
        <v>40</v>
      </c>
      <c r="D1" s="1308"/>
      <c r="E1" s="1308"/>
      <c r="F1" s="1308"/>
      <c r="G1" s="1308"/>
      <c r="H1" s="1308"/>
      <c r="I1" s="1308"/>
      <c r="J1" s="1308"/>
      <c r="K1" s="1532" t="s">
        <v>2390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2389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2396</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2393</v>
      </c>
      <c r="B14" s="1510" t="s">
        <v>216</v>
      </c>
      <c r="C14" s="1062" t="s">
        <v>81</v>
      </c>
      <c r="D14" s="1062" t="s">
        <v>82</v>
      </c>
      <c r="E14" s="1062">
        <v>0</v>
      </c>
      <c r="F14" s="646">
        <v>1976285</v>
      </c>
      <c r="G14" s="646">
        <f>ROUND((E14*F14),0)</f>
        <v>0</v>
      </c>
      <c r="H14" s="1514" t="s">
        <v>2394</v>
      </c>
      <c r="I14" s="799">
        <v>0</v>
      </c>
      <c r="J14" s="1132">
        <f>ROUND(I14*F14,0)</f>
        <v>0</v>
      </c>
      <c r="K14" s="1133">
        <v>0</v>
      </c>
      <c r="L14" s="1134">
        <f t="shared" ref="L14:M21" si="0">I14</f>
        <v>0</v>
      </c>
      <c r="M14" s="1124">
        <f t="shared" si="0"/>
        <v>0</v>
      </c>
      <c r="N14" s="1133">
        <v>0</v>
      </c>
    </row>
    <row r="15" spans="1:14" ht="43.2" x14ac:dyDescent="0.3">
      <c r="A15" s="1510"/>
      <c r="B15" s="1510"/>
      <c r="C15" s="1150" t="s">
        <v>83</v>
      </c>
      <c r="D15" s="1062" t="s">
        <v>84</v>
      </c>
      <c r="E15" s="1062">
        <v>0.05</v>
      </c>
      <c r="F15" s="646">
        <v>1939687</v>
      </c>
      <c r="G15" s="646">
        <f>ROUND((E15*F15),0)</f>
        <v>96984</v>
      </c>
      <c r="H15" s="1510"/>
      <c r="I15" s="799">
        <v>0</v>
      </c>
      <c r="J15" s="1132">
        <f t="shared" ref="J15:J16" si="1">ROUND(I15*F15,0)</f>
        <v>0</v>
      </c>
      <c r="K15" s="1133">
        <f t="shared" ref="K15:K21" si="2">J15/G15</f>
        <v>0</v>
      </c>
      <c r="L15" s="1134">
        <f t="shared" si="0"/>
        <v>0</v>
      </c>
      <c r="M15" s="1124">
        <f t="shared" si="0"/>
        <v>0</v>
      </c>
      <c r="N15" s="1133">
        <f t="shared" ref="N15:N21" si="3">M15/G15</f>
        <v>0</v>
      </c>
    </row>
    <row r="16" spans="1:14" ht="43.2" x14ac:dyDescent="0.3">
      <c r="A16" s="1510"/>
      <c r="B16" s="1510"/>
      <c r="C16" s="1062" t="s">
        <v>61</v>
      </c>
      <c r="D16" s="1062" t="s">
        <v>85</v>
      </c>
      <c r="E16" s="1062">
        <v>0.05</v>
      </c>
      <c r="F16" s="646">
        <v>7685550</v>
      </c>
      <c r="G16" s="646">
        <f>ROUND((E16*F16),0)</f>
        <v>384278</v>
      </c>
      <c r="H16" s="1510"/>
      <c r="I16" s="799">
        <v>0</v>
      </c>
      <c r="J16" s="1132">
        <f t="shared" si="1"/>
        <v>0</v>
      </c>
      <c r="K16" s="1133">
        <f t="shared" si="2"/>
        <v>0</v>
      </c>
      <c r="L16" s="1134">
        <f t="shared" si="0"/>
        <v>0</v>
      </c>
      <c r="M16" s="1124">
        <f t="shared" si="0"/>
        <v>0</v>
      </c>
      <c r="N16" s="1133">
        <f t="shared" si="3"/>
        <v>0</v>
      </c>
    </row>
    <row r="17" spans="1:14" x14ac:dyDescent="0.3">
      <c r="A17" s="1510"/>
      <c r="B17" s="1510"/>
      <c r="C17" s="647"/>
      <c r="D17" s="647" t="s">
        <v>86</v>
      </c>
      <c r="E17" s="648"/>
      <c r="F17" s="648"/>
      <c r="G17" s="649">
        <f>SUM(G14:G16)</f>
        <v>481262</v>
      </c>
      <c r="H17" s="1510"/>
      <c r="I17" s="1108"/>
      <c r="J17" s="1146">
        <f>SUM(J14:J16)</f>
        <v>0</v>
      </c>
      <c r="K17" s="1136">
        <f t="shared" si="2"/>
        <v>0</v>
      </c>
      <c r="L17" s="1137"/>
      <c r="M17" s="1138">
        <f t="shared" si="0"/>
        <v>0</v>
      </c>
      <c r="N17" s="1136">
        <f t="shared" si="3"/>
        <v>0</v>
      </c>
    </row>
    <row r="18" spans="1:14" ht="43.2" x14ac:dyDescent="0.3">
      <c r="A18" s="1510" t="s">
        <v>109</v>
      </c>
      <c r="B18" s="1510" t="s">
        <v>216</v>
      </c>
      <c r="C18" s="1062" t="s">
        <v>81</v>
      </c>
      <c r="D18" s="1062" t="s">
        <v>82</v>
      </c>
      <c r="E18" s="1062">
        <v>0</v>
      </c>
      <c r="F18" s="646">
        <v>1976285</v>
      </c>
      <c r="G18" s="646">
        <f>ROUND((E18*F18),0)</f>
        <v>0</v>
      </c>
      <c r="H18" s="1514" t="s">
        <v>2395</v>
      </c>
      <c r="I18" s="799">
        <v>0</v>
      </c>
      <c r="J18" s="1132">
        <f t="shared" ref="J18:J20" si="4">ROUND(I18*F18,0)</f>
        <v>0</v>
      </c>
      <c r="K18" s="1133">
        <v>0</v>
      </c>
      <c r="L18" s="1134">
        <f t="shared" ref="L18:L20" si="5">I18</f>
        <v>0</v>
      </c>
      <c r="M18" s="1124">
        <f t="shared" si="0"/>
        <v>0</v>
      </c>
      <c r="N18" s="1133">
        <v>0</v>
      </c>
    </row>
    <row r="19" spans="1:14" ht="43.2" x14ac:dyDescent="0.3">
      <c r="A19" s="1510"/>
      <c r="B19" s="1510"/>
      <c r="C19" s="1062" t="s">
        <v>83</v>
      </c>
      <c r="D19" s="1062" t="s">
        <v>84</v>
      </c>
      <c r="E19" s="1062">
        <v>0</v>
      </c>
      <c r="F19" s="646">
        <v>1939687</v>
      </c>
      <c r="G19" s="646">
        <f>ROUND((E19*F19),0)</f>
        <v>0</v>
      </c>
      <c r="H19" s="1510"/>
      <c r="I19" s="799">
        <v>0</v>
      </c>
      <c r="J19" s="1132">
        <f t="shared" si="4"/>
        <v>0</v>
      </c>
      <c r="K19" s="1133">
        <v>0</v>
      </c>
      <c r="L19" s="1134">
        <f t="shared" si="5"/>
        <v>0</v>
      </c>
      <c r="M19" s="1124">
        <f t="shared" si="0"/>
        <v>0</v>
      </c>
      <c r="N19" s="1133">
        <v>0</v>
      </c>
    </row>
    <row r="20" spans="1:14" ht="43.2" x14ac:dyDescent="0.3">
      <c r="A20" s="1510"/>
      <c r="B20" s="1510"/>
      <c r="C20" s="1062" t="s">
        <v>61</v>
      </c>
      <c r="D20" s="1062" t="s">
        <v>85</v>
      </c>
      <c r="E20" s="1062">
        <v>0.05</v>
      </c>
      <c r="F20" s="646">
        <v>7685550</v>
      </c>
      <c r="G20" s="646">
        <f>ROUND((E20*F20),0)</f>
        <v>384278</v>
      </c>
      <c r="H20" s="1510"/>
      <c r="I20" s="799">
        <v>0</v>
      </c>
      <c r="J20" s="1132">
        <f t="shared" si="4"/>
        <v>0</v>
      </c>
      <c r="K20" s="1133">
        <f t="shared" si="2"/>
        <v>0</v>
      </c>
      <c r="L20" s="1134">
        <f t="shared" si="5"/>
        <v>0</v>
      </c>
      <c r="M20" s="1124">
        <f t="shared" si="0"/>
        <v>0</v>
      </c>
      <c r="N20" s="1133">
        <f t="shared" si="3"/>
        <v>0</v>
      </c>
    </row>
    <row r="21" spans="1:14" x14ac:dyDescent="0.3">
      <c r="A21" s="1510"/>
      <c r="B21" s="1510"/>
      <c r="C21" s="647"/>
      <c r="D21" s="647" t="s">
        <v>86</v>
      </c>
      <c r="E21" s="648"/>
      <c r="F21" s="648"/>
      <c r="G21" s="649">
        <f>SUM(G18:G20)</f>
        <v>384278</v>
      </c>
      <c r="H21" s="1510"/>
      <c r="I21" s="1108"/>
      <c r="J21" s="1146">
        <f>SUM(J18:J20)</f>
        <v>0</v>
      </c>
      <c r="K21" s="1136">
        <f t="shared" si="2"/>
        <v>0</v>
      </c>
      <c r="L21" s="1137"/>
      <c r="M21" s="1138">
        <f t="shared" si="0"/>
        <v>0</v>
      </c>
      <c r="N21" s="1136">
        <f t="shared" si="3"/>
        <v>0</v>
      </c>
    </row>
    <row r="22" spans="1:14" x14ac:dyDescent="0.3">
      <c r="F22" s="836" t="s">
        <v>1740</v>
      </c>
      <c r="G22" s="650">
        <f>SUM(G14:G21)/2</f>
        <v>865540</v>
      </c>
      <c r="I22" s="547" t="s">
        <v>64</v>
      </c>
      <c r="J22" s="855">
        <f>SUM(J14:J21)/2</f>
        <v>0</v>
      </c>
      <c r="K22" s="1054"/>
      <c r="L22" s="547" t="s">
        <v>64</v>
      </c>
      <c r="M22" s="835">
        <f>SUM(M14:M21)/2</f>
        <v>0</v>
      </c>
      <c r="N22" s="1054"/>
    </row>
    <row r="23" spans="1:14" x14ac:dyDescent="0.3">
      <c r="F23" s="1118" t="s">
        <v>65</v>
      </c>
      <c r="G23" s="1115">
        <v>0</v>
      </c>
      <c r="I23" s="548" t="s">
        <v>65</v>
      </c>
      <c r="J23" s="677">
        <v>0</v>
      </c>
      <c r="K23" s="1054"/>
      <c r="L23" s="548" t="s">
        <v>65</v>
      </c>
      <c r="M23" s="677">
        <v>0</v>
      </c>
      <c r="N23" s="1054"/>
    </row>
    <row r="24" spans="1:14" x14ac:dyDescent="0.3">
      <c r="F24" s="1119" t="s">
        <v>64</v>
      </c>
      <c r="G24" s="1115">
        <f>G22+G23</f>
        <v>865540</v>
      </c>
      <c r="I24" s="549" t="s">
        <v>64</v>
      </c>
      <c r="J24" s="481">
        <f>J22+J23</f>
        <v>0</v>
      </c>
      <c r="K24" s="1054"/>
      <c r="L24" s="549" t="s">
        <v>64</v>
      </c>
      <c r="M24" s="481">
        <f>M22+M23</f>
        <v>0</v>
      </c>
      <c r="N24" s="1054"/>
    </row>
    <row r="25" spans="1:14" ht="26.4" x14ac:dyDescent="0.3">
      <c r="F25" s="501" t="s">
        <v>1439</v>
      </c>
      <c r="G25" s="1116">
        <f>ROUND(G24*0.015,0)</f>
        <v>12983</v>
      </c>
      <c r="I25" s="501" t="s">
        <v>1439</v>
      </c>
      <c r="J25" s="481">
        <f>ROUND(J24*0.015,0)</f>
        <v>0</v>
      </c>
      <c r="K25" s="1054"/>
      <c r="L25" s="501" t="s">
        <v>1439</v>
      </c>
      <c r="M25" s="481">
        <f>ROUND(M24*0.015,0)</f>
        <v>0</v>
      </c>
      <c r="N25" s="1054"/>
    </row>
    <row r="26" spans="1:14" ht="26.4" x14ac:dyDescent="0.3">
      <c r="F26" s="96" t="s">
        <v>1440</v>
      </c>
      <c r="G26" s="1117">
        <f>G24+G25</f>
        <v>878523</v>
      </c>
      <c r="I26" s="96" t="s">
        <v>1440</v>
      </c>
      <c r="J26" s="783">
        <f>J24+J25</f>
        <v>0</v>
      </c>
      <c r="K26" s="856">
        <f>J26/G22</f>
        <v>0</v>
      </c>
      <c r="L26" s="96" t="s">
        <v>1440</v>
      </c>
      <c r="M26" s="425">
        <f>M24+M25</f>
        <v>0</v>
      </c>
      <c r="N26" s="857">
        <f>M26/G22</f>
        <v>0</v>
      </c>
    </row>
    <row r="27" spans="1:14" x14ac:dyDescent="0.3">
      <c r="F27" s="1122" t="s">
        <v>66</v>
      </c>
      <c r="G27" s="783">
        <f>G26*0.19</f>
        <v>166919.37</v>
      </c>
      <c r="I27" s="551" t="s">
        <v>66</v>
      </c>
      <c r="J27" s="672">
        <f>J26*0.19</f>
        <v>0</v>
      </c>
      <c r="K27" s="1054"/>
      <c r="L27" s="551" t="s">
        <v>66</v>
      </c>
      <c r="M27" s="672">
        <f>M26*0.19</f>
        <v>0</v>
      </c>
      <c r="N27" s="1054"/>
    </row>
    <row r="28" spans="1:14" x14ac:dyDescent="0.3">
      <c r="F28" s="1123" t="s">
        <v>69</v>
      </c>
      <c r="G28" s="672">
        <f>G26+G27</f>
        <v>1045442.37</v>
      </c>
      <c r="I28" s="552" t="s">
        <v>69</v>
      </c>
      <c r="J28" s="672">
        <f>J26+J27</f>
        <v>0</v>
      </c>
      <c r="K28" s="1054"/>
      <c r="L28" s="552" t="s">
        <v>69</v>
      </c>
      <c r="M28" s="672">
        <f>M26+M27</f>
        <v>0</v>
      </c>
      <c r="N28" s="1054"/>
    </row>
    <row r="29" spans="1:14" x14ac:dyDescent="0.3">
      <c r="I29" s="1054"/>
      <c r="J29" s="1054"/>
      <c r="K29" s="1054"/>
      <c r="L29" s="1054"/>
      <c r="M29" s="1054"/>
      <c r="N29" s="1054"/>
    </row>
    <row r="30" spans="1:14" x14ac:dyDescent="0.3">
      <c r="I30" s="186" t="s">
        <v>70</v>
      </c>
      <c r="J30" s="187" t="s">
        <v>71</v>
      </c>
      <c r="K30" s="186" t="s">
        <v>58</v>
      </c>
      <c r="L30" s="1054"/>
      <c r="M30" s="1054"/>
      <c r="N30" s="1054"/>
    </row>
    <row r="31" spans="1:14" x14ac:dyDescent="0.3">
      <c r="I31" s="69" t="s">
        <v>72</v>
      </c>
      <c r="J31" s="70">
        <f>J26</f>
        <v>0</v>
      </c>
      <c r="K31" s="360">
        <f>K26</f>
        <v>0</v>
      </c>
      <c r="L31" s="1054"/>
      <c r="M31" s="1054"/>
      <c r="N31" s="1054"/>
    </row>
    <row r="32" spans="1:14" x14ac:dyDescent="0.3">
      <c r="I32" s="72" t="s">
        <v>1</v>
      </c>
      <c r="J32" s="105">
        <f>J31</f>
        <v>0</v>
      </c>
      <c r="K32" s="361">
        <f>K31</f>
        <v>0</v>
      </c>
      <c r="L32" s="1054"/>
      <c r="M32" s="1054"/>
      <c r="N32" s="1054"/>
    </row>
    <row r="33" spans="9:14" x14ac:dyDescent="0.3">
      <c r="I33" s="72" t="s">
        <v>9</v>
      </c>
      <c r="J33" s="1423"/>
      <c r="K33" s="1424"/>
      <c r="L33" s="1054"/>
      <c r="M33" s="1054"/>
      <c r="N33" s="1054"/>
    </row>
    <row r="34" spans="9:14" x14ac:dyDescent="0.3">
      <c r="I34" s="440" t="s">
        <v>78</v>
      </c>
      <c r="J34" s="1423" t="s">
        <v>2391</v>
      </c>
      <c r="K34" s="1424"/>
      <c r="L34" s="1054"/>
      <c r="M34" s="1054"/>
      <c r="N34" s="1054"/>
    </row>
    <row r="35" spans="9:14" x14ac:dyDescent="0.3">
      <c r="I35" s="439" t="s">
        <v>8</v>
      </c>
      <c r="J35" s="1425" t="s">
        <v>2392</v>
      </c>
      <c r="K35" s="1426"/>
      <c r="L35" s="1054"/>
      <c r="M35" s="1054"/>
      <c r="N35" s="1054"/>
    </row>
  </sheetData>
  <mergeCells count="24">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3:K33"/>
    <mergeCell ref="J34:K34"/>
    <mergeCell ref="J35:K35"/>
    <mergeCell ref="A14:A17"/>
    <mergeCell ref="B14:B17"/>
    <mergeCell ref="H14:H17"/>
    <mergeCell ref="A18:A21"/>
    <mergeCell ref="B18:B21"/>
    <mergeCell ref="H18:H21"/>
  </mergeCells>
  <pageMargins left="0.7" right="0.7" top="0.75" bottom="0.75" header="0.3" footer="0.3"/>
  <drawing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5"/>
  <dimension ref="A1:G49"/>
  <sheetViews>
    <sheetView topLeftCell="A10" workbookViewId="0">
      <selection activeCell="G29" sqref="G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RESUMEN!G167</f>
        <v>Proyecto: CDIE_CBCCSM_R0184, PC1 - REPOSICIÓN INTERRUPTORES AT.</v>
      </c>
      <c r="C5" s="1281"/>
      <c r="D5" s="1281"/>
      <c r="E5" s="1281"/>
      <c r="F5" s="1281"/>
      <c r="G5" s="1282"/>
    </row>
    <row r="6" spans="1:7" x14ac:dyDescent="0.25">
      <c r="A6" s="1177"/>
      <c r="B6" s="1177"/>
      <c r="C6" s="1177"/>
      <c r="D6" s="1177"/>
      <c r="E6" s="1177"/>
      <c r="F6" s="1177"/>
      <c r="G6" s="1177"/>
    </row>
    <row r="7" spans="1:7" x14ac:dyDescent="0.25">
      <c r="A7" s="271" t="s">
        <v>0</v>
      </c>
      <c r="B7" s="1264" t="str">
        <f>RESUMEN!B167</f>
        <v>D00249271</v>
      </c>
      <c r="C7" s="1265"/>
      <c r="D7" s="1177"/>
      <c r="E7" s="1266" t="s">
        <v>627</v>
      </c>
      <c r="F7" s="1267"/>
      <c r="G7" s="280" t="str">
        <f>RESUMEN!E167</f>
        <v xml:space="preserve">18-032 </v>
      </c>
    </row>
    <row r="8" spans="1:7" x14ac:dyDescent="0.25">
      <c r="A8" s="271" t="s">
        <v>628</v>
      </c>
      <c r="B8" s="1264" t="str">
        <f>RESUMEN!C167</f>
        <v>D00249271000</v>
      </c>
      <c r="C8" s="1265"/>
      <c r="D8" s="1177"/>
      <c r="E8" s="1266" t="s">
        <v>629</v>
      </c>
      <c r="F8" s="1267"/>
      <c r="G8" s="280" t="str">
        <f>RESUMEN!U167</f>
        <v>Acta N° 1: Marzo</v>
      </c>
    </row>
    <row r="9" spans="1:7" x14ac:dyDescent="0.25">
      <c r="A9" s="271" t="s">
        <v>630</v>
      </c>
      <c r="B9" s="1283" t="s">
        <v>631</v>
      </c>
      <c r="C9" s="1265"/>
      <c r="D9" s="1177"/>
      <c r="E9" s="1266" t="s">
        <v>632</v>
      </c>
      <c r="F9" s="1267"/>
      <c r="G9" s="1178">
        <f>RESUMEN!H167</f>
        <v>1037550</v>
      </c>
    </row>
    <row r="10" spans="1:7" x14ac:dyDescent="0.25">
      <c r="A10" s="271" t="s">
        <v>633</v>
      </c>
      <c r="B10" s="1283" t="str">
        <f>RESUMEN!D167</f>
        <v>SALITRE</v>
      </c>
      <c r="C10" s="1265"/>
      <c r="D10" s="1177"/>
      <c r="E10" s="1266" t="s">
        <v>634</v>
      </c>
      <c r="F10" s="1267"/>
      <c r="G10" s="1178">
        <f>RESUMEN!R167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 PC1 - REPOSICIÓN INTERRUPTORES AT.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RESUMEN!N167</f>
        <v>0</v>
      </c>
      <c r="F19" s="1248"/>
      <c r="G19" s="1177"/>
    </row>
    <row r="20" spans="1:7" ht="27" customHeight="1" x14ac:dyDescent="0.25">
      <c r="A20" s="1177"/>
      <c r="B20" s="1244" t="s">
        <v>1498</v>
      </c>
      <c r="C20" s="1245"/>
      <c r="D20" s="1246"/>
      <c r="E20" s="1247">
        <f>RESUMEN!P167</f>
        <v>0</v>
      </c>
      <c r="F20" s="1248"/>
      <c r="G20" s="1177"/>
    </row>
    <row r="21" spans="1:7" ht="27" customHeight="1" x14ac:dyDescent="0.25">
      <c r="A21" s="1177"/>
      <c r="B21" s="1244" t="s">
        <v>1499</v>
      </c>
      <c r="C21" s="1245"/>
      <c r="D21" s="1246"/>
      <c r="E21" s="1247">
        <f>RESUMEN!Q167</f>
        <v>0</v>
      </c>
      <c r="F21" s="1248"/>
      <c r="G21" s="1177"/>
    </row>
    <row r="22" spans="1:7" x14ac:dyDescent="0.25">
      <c r="A22" s="1177"/>
      <c r="B22" s="1254" t="s">
        <v>64</v>
      </c>
      <c r="C22" s="1254"/>
      <c r="D22" s="1254"/>
      <c r="E22" s="1255">
        <f>RESUMEN!R167</f>
        <v>0</v>
      </c>
      <c r="F22" s="1255"/>
      <c r="G22" s="1177"/>
    </row>
    <row r="23" spans="1:7" x14ac:dyDescent="0.25">
      <c r="A23" s="1177"/>
      <c r="B23" s="1256" t="s">
        <v>66</v>
      </c>
      <c r="C23" s="1256"/>
      <c r="D23" s="1256"/>
      <c r="E23" s="1257">
        <f>RESUMEN!S167</f>
        <v>0</v>
      </c>
      <c r="F23" s="1257"/>
      <c r="G23" s="1177"/>
    </row>
    <row r="24" spans="1:7" x14ac:dyDescent="0.25">
      <c r="A24" s="1177"/>
      <c r="B24" s="1258" t="s">
        <v>1</v>
      </c>
      <c r="C24" s="1258"/>
      <c r="D24" s="1258"/>
      <c r="E24" s="1259">
        <f>RESUMEN!T167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+'OT18-032 SALITRE'!I29</f>
        <v>ACTA 1</v>
      </c>
      <c r="C28" s="1253">
        <f>+'OT18-032 SALITRE'!J29</f>
        <v>0</v>
      </c>
      <c r="D28" s="1253"/>
      <c r="E28" s="267">
        <f>+'OT18-032 SALITRE'!K29</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6"/>
  <dimension ref="A1:N34"/>
  <sheetViews>
    <sheetView topLeftCell="A14" zoomScale="75" zoomScaleNormal="75" workbookViewId="0">
      <selection activeCell="C34" sqref="C34"/>
    </sheetView>
  </sheetViews>
  <sheetFormatPr baseColWidth="10" defaultRowHeight="14.4" x14ac:dyDescent="0.3"/>
  <cols>
    <col min="2" max="2" width="23.33203125" customWidth="1"/>
    <col min="3" max="3" width="16.33203125" customWidth="1"/>
    <col min="4" max="4" width="22.88671875" customWidth="1"/>
    <col min="6" max="6" width="13.6640625" customWidth="1"/>
    <col min="7" max="7" width="14.6640625" customWidth="1"/>
    <col min="8" max="8" width="23.6640625" customWidth="1"/>
    <col min="9" max="9" width="19.109375" customWidth="1"/>
    <col min="12" max="12" width="17.77734375" customWidth="1"/>
  </cols>
  <sheetData>
    <row r="1" spans="1:14" x14ac:dyDescent="0.3">
      <c r="A1" s="169"/>
      <c r="B1" s="188"/>
      <c r="C1" s="1307" t="s">
        <v>40</v>
      </c>
      <c r="D1" s="1308"/>
      <c r="E1" s="1308"/>
      <c r="F1" s="1308"/>
      <c r="G1" s="1308"/>
      <c r="H1" s="1308"/>
      <c r="I1" s="1308"/>
      <c r="J1" s="1308"/>
      <c r="K1" s="1532" t="s">
        <v>2390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2389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2397</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57.6" x14ac:dyDescent="0.3">
      <c r="A14" s="1510" t="s">
        <v>2398</v>
      </c>
      <c r="B14" s="1510" t="s">
        <v>216</v>
      </c>
      <c r="C14" s="1062" t="s">
        <v>81</v>
      </c>
      <c r="D14" s="1062" t="s">
        <v>82</v>
      </c>
      <c r="E14" s="1062">
        <v>0</v>
      </c>
      <c r="F14" s="646">
        <v>1976285</v>
      </c>
      <c r="G14" s="646">
        <f>ROUND((E14*F14),0)</f>
        <v>0</v>
      </c>
      <c r="H14" s="1514" t="s">
        <v>2399</v>
      </c>
      <c r="I14" s="799">
        <v>0</v>
      </c>
      <c r="J14" s="1132">
        <f>ROUND(I14*F14,0)</f>
        <v>0</v>
      </c>
      <c r="K14" s="1133">
        <v>0</v>
      </c>
      <c r="L14" s="1134">
        <f t="shared" ref="L14:M19" si="0">I14</f>
        <v>0</v>
      </c>
      <c r="M14" s="1124">
        <f t="shared" si="0"/>
        <v>0</v>
      </c>
      <c r="N14" s="1133">
        <v>0</v>
      </c>
    </row>
    <row r="15" spans="1:14" ht="72" x14ac:dyDescent="0.3">
      <c r="A15" s="1510"/>
      <c r="B15" s="1510"/>
      <c r="C15" s="1062" t="s">
        <v>83</v>
      </c>
      <c r="D15" s="1062" t="s">
        <v>84</v>
      </c>
      <c r="E15" s="1062">
        <v>0</v>
      </c>
      <c r="F15" s="646">
        <v>1939687</v>
      </c>
      <c r="G15" s="646">
        <f>ROUND((E15*F15),0)</f>
        <v>0</v>
      </c>
      <c r="H15" s="1510"/>
      <c r="I15" s="799">
        <v>0</v>
      </c>
      <c r="J15" s="1132">
        <f t="shared" ref="J15:J16" si="1">ROUND(I15*F15,0)</f>
        <v>0</v>
      </c>
      <c r="K15" s="1133">
        <v>0</v>
      </c>
      <c r="L15" s="1134">
        <f t="shared" si="0"/>
        <v>0</v>
      </c>
      <c r="M15" s="1124">
        <f t="shared" si="0"/>
        <v>0</v>
      </c>
      <c r="N15" s="1133">
        <v>0</v>
      </c>
    </row>
    <row r="16" spans="1:14" ht="72" x14ac:dyDescent="0.3">
      <c r="A16" s="1510"/>
      <c r="B16" s="1510"/>
      <c r="C16" s="1062" t="s">
        <v>61</v>
      </c>
      <c r="D16" s="1062" t="s">
        <v>85</v>
      </c>
      <c r="E16" s="1062">
        <v>0.05</v>
      </c>
      <c r="F16" s="646">
        <v>7685550</v>
      </c>
      <c r="G16" s="646">
        <f>ROUND((E16*F16),0)</f>
        <v>384278</v>
      </c>
      <c r="H16" s="1510"/>
      <c r="I16" s="799">
        <v>0</v>
      </c>
      <c r="J16" s="1132">
        <f t="shared" si="1"/>
        <v>0</v>
      </c>
      <c r="K16" s="1133">
        <f t="shared" ref="K16:K17" si="2">J16/G16</f>
        <v>0</v>
      </c>
      <c r="L16" s="1134">
        <f t="shared" si="0"/>
        <v>0</v>
      </c>
      <c r="M16" s="1124">
        <f t="shared" si="0"/>
        <v>0</v>
      </c>
      <c r="N16" s="1133">
        <f t="shared" ref="N16:N17" si="3">M16/G16</f>
        <v>0</v>
      </c>
    </row>
    <row r="17" spans="1:14" x14ac:dyDescent="0.3">
      <c r="A17" s="1510"/>
      <c r="B17" s="1510"/>
      <c r="C17" s="647"/>
      <c r="D17" s="647" t="s">
        <v>86</v>
      </c>
      <c r="E17" s="648"/>
      <c r="F17" s="648"/>
      <c r="G17" s="649">
        <f>SUM(G14:G16)</f>
        <v>384278</v>
      </c>
      <c r="H17" s="1510"/>
      <c r="I17" s="1108"/>
      <c r="J17" s="1146">
        <f>SUM(J14:J16)</f>
        <v>0</v>
      </c>
      <c r="K17" s="1136">
        <f t="shared" si="2"/>
        <v>0</v>
      </c>
      <c r="L17" s="1137"/>
      <c r="M17" s="1138">
        <f t="shared" si="0"/>
        <v>0</v>
      </c>
      <c r="N17" s="1136">
        <f t="shared" si="3"/>
        <v>0</v>
      </c>
    </row>
    <row r="18" spans="1:14" ht="72" x14ac:dyDescent="0.3">
      <c r="A18" s="1510" t="s">
        <v>2398</v>
      </c>
      <c r="B18" s="1510" t="s">
        <v>773</v>
      </c>
      <c r="C18" s="1062" t="s">
        <v>61</v>
      </c>
      <c r="D18" s="1062" t="s">
        <v>774</v>
      </c>
      <c r="E18" s="1062">
        <v>0.05</v>
      </c>
      <c r="F18" s="646">
        <v>13065435</v>
      </c>
      <c r="G18" s="646">
        <f>ROUND((E18*F18),0)</f>
        <v>653272</v>
      </c>
      <c r="H18" s="1514" t="s">
        <v>2400</v>
      </c>
      <c r="I18" s="799">
        <v>0</v>
      </c>
      <c r="J18" s="1132">
        <f t="shared" ref="J18" si="4">ROUND(I18*F18,0)</f>
        <v>0</v>
      </c>
      <c r="K18" s="1133">
        <v>0</v>
      </c>
      <c r="L18" s="1134">
        <f t="shared" ref="L18" si="5">I18</f>
        <v>0</v>
      </c>
      <c r="M18" s="1124">
        <f t="shared" si="0"/>
        <v>0</v>
      </c>
      <c r="N18" s="1133">
        <v>0</v>
      </c>
    </row>
    <row r="19" spans="1:14" x14ac:dyDescent="0.3">
      <c r="A19" s="1510"/>
      <c r="B19" s="1510"/>
      <c r="C19" s="647"/>
      <c r="D19" s="647" t="s">
        <v>776</v>
      </c>
      <c r="E19" s="648"/>
      <c r="F19" s="648"/>
      <c r="G19" s="649">
        <f>G18</f>
        <v>653272</v>
      </c>
      <c r="H19" s="1510"/>
      <c r="I19" s="1108"/>
      <c r="J19" s="1146">
        <f>SUM(J18)</f>
        <v>0</v>
      </c>
      <c r="K19" s="1136">
        <f t="shared" ref="K19" si="6">J19/G19</f>
        <v>0</v>
      </c>
      <c r="L19" s="1137"/>
      <c r="M19" s="1138">
        <f t="shared" si="0"/>
        <v>0</v>
      </c>
      <c r="N19" s="1136">
        <f t="shared" ref="N19" si="7">M19/G19</f>
        <v>0</v>
      </c>
    </row>
    <row r="20" spans="1:14" x14ac:dyDescent="0.3">
      <c r="F20" s="836" t="s">
        <v>1740</v>
      </c>
      <c r="G20" s="650">
        <f>SUM(G12:G19)/2</f>
        <v>1037550</v>
      </c>
      <c r="I20" s="547" t="s">
        <v>64</v>
      </c>
      <c r="J20" s="855">
        <f>SUM(J12:J19)/2</f>
        <v>0</v>
      </c>
      <c r="K20" s="1054"/>
      <c r="L20" s="547" t="s">
        <v>64</v>
      </c>
      <c r="M20" s="835">
        <f>SUM(M12:M19)/2</f>
        <v>0</v>
      </c>
      <c r="N20" s="1054"/>
    </row>
    <row r="21" spans="1:14" ht="26.4" x14ac:dyDescent="0.3">
      <c r="F21" s="1118" t="s">
        <v>65</v>
      </c>
      <c r="G21" s="1115">
        <v>0</v>
      </c>
      <c r="I21" s="548" t="s">
        <v>65</v>
      </c>
      <c r="J21" s="677">
        <v>0</v>
      </c>
      <c r="K21" s="1054"/>
      <c r="L21" s="548" t="s">
        <v>65</v>
      </c>
      <c r="M21" s="677">
        <v>0</v>
      </c>
      <c r="N21" s="1054"/>
    </row>
    <row r="22" spans="1:14" x14ac:dyDescent="0.3">
      <c r="F22" s="1119" t="s">
        <v>64</v>
      </c>
      <c r="G22" s="1151">
        <f>G20+G21</f>
        <v>1037550</v>
      </c>
      <c r="I22" s="549" t="s">
        <v>64</v>
      </c>
      <c r="J22" s="481">
        <f>J20+J21</f>
        <v>0</v>
      </c>
      <c r="K22" s="1054"/>
      <c r="L22" s="549" t="s">
        <v>64</v>
      </c>
      <c r="M22" s="481">
        <f>M20+M21</f>
        <v>0</v>
      </c>
      <c r="N22" s="1054"/>
    </row>
    <row r="23" spans="1:14" ht="26.4" x14ac:dyDescent="0.3">
      <c r="F23" s="501" t="s">
        <v>1439</v>
      </c>
      <c r="G23" s="1116">
        <f>ROUND(G22*0.015,0)</f>
        <v>15563</v>
      </c>
      <c r="I23" s="501" t="s">
        <v>1439</v>
      </c>
      <c r="J23" s="481">
        <f>ROUND(J22*0.015,0)</f>
        <v>0</v>
      </c>
      <c r="K23" s="1054"/>
      <c r="L23" s="501" t="s">
        <v>1439</v>
      </c>
      <c r="M23" s="481">
        <f>ROUND(M22*0.015,0)</f>
        <v>0</v>
      </c>
      <c r="N23" s="1054"/>
    </row>
    <row r="24" spans="1:14" ht="39.6" x14ac:dyDescent="0.3">
      <c r="F24" s="96" t="s">
        <v>1440</v>
      </c>
      <c r="G24" s="1117">
        <f>G22+G23</f>
        <v>1053113</v>
      </c>
      <c r="I24" s="96" t="s">
        <v>1440</v>
      </c>
      <c r="J24" s="783">
        <f>J22+J23</f>
        <v>0</v>
      </c>
      <c r="K24" s="856">
        <f>J24/G20</f>
        <v>0</v>
      </c>
      <c r="L24" s="96" t="s">
        <v>1440</v>
      </c>
      <c r="M24" s="425">
        <f>M22+M23</f>
        <v>0</v>
      </c>
      <c r="N24" s="857">
        <f>M24/G20</f>
        <v>0</v>
      </c>
    </row>
    <row r="25" spans="1:14" x14ac:dyDescent="0.3">
      <c r="F25" s="1122" t="s">
        <v>66</v>
      </c>
      <c r="G25" s="783">
        <f>G24*0.19</f>
        <v>200091.47</v>
      </c>
      <c r="I25" s="551" t="s">
        <v>66</v>
      </c>
      <c r="J25" s="672">
        <f>J24*0.19</f>
        <v>0</v>
      </c>
      <c r="K25" s="1054"/>
      <c r="L25" s="551" t="s">
        <v>66</v>
      </c>
      <c r="M25" s="672">
        <f>M24*0.19</f>
        <v>0</v>
      </c>
      <c r="N25" s="1054"/>
    </row>
    <row r="26" spans="1:14" x14ac:dyDescent="0.3">
      <c r="F26" s="1123" t="s">
        <v>69</v>
      </c>
      <c r="G26" s="672">
        <f>G24+G25</f>
        <v>1253204.47</v>
      </c>
      <c r="I26" s="552" t="s">
        <v>69</v>
      </c>
      <c r="J26" s="672">
        <f>J24+J25</f>
        <v>0</v>
      </c>
      <c r="K26" s="1054"/>
      <c r="L26" s="552" t="s">
        <v>69</v>
      </c>
      <c r="M26" s="672">
        <f>M24+M25</f>
        <v>0</v>
      </c>
      <c r="N26" s="1054"/>
    </row>
    <row r="27" spans="1:14" x14ac:dyDescent="0.3">
      <c r="I27" s="1054"/>
      <c r="J27" s="1054"/>
      <c r="K27" s="1054"/>
      <c r="L27" s="1054"/>
      <c r="M27" s="1054"/>
      <c r="N27" s="1054"/>
    </row>
    <row r="28" spans="1:14" ht="26.4" x14ac:dyDescent="0.3">
      <c r="I28" s="186" t="s">
        <v>70</v>
      </c>
      <c r="J28" s="187" t="s">
        <v>71</v>
      </c>
      <c r="K28" s="186" t="s">
        <v>58</v>
      </c>
      <c r="L28" s="1054"/>
      <c r="M28" s="1054"/>
      <c r="N28" s="1054"/>
    </row>
    <row r="29" spans="1:14" x14ac:dyDescent="0.3">
      <c r="I29" s="69" t="s">
        <v>72</v>
      </c>
      <c r="J29" s="70">
        <f>J24</f>
        <v>0</v>
      </c>
      <c r="K29" s="360">
        <f>K24</f>
        <v>0</v>
      </c>
      <c r="L29" s="1054"/>
      <c r="M29" s="1054"/>
      <c r="N29" s="1054"/>
    </row>
    <row r="30" spans="1:14" x14ac:dyDescent="0.3">
      <c r="I30" s="72" t="s">
        <v>1</v>
      </c>
      <c r="J30" s="105">
        <f>J29</f>
        <v>0</v>
      </c>
      <c r="K30" s="361">
        <f>K29</f>
        <v>0</v>
      </c>
      <c r="L30" s="1054"/>
      <c r="M30" s="1054"/>
      <c r="N30" s="1054"/>
    </row>
    <row r="31" spans="1:14" x14ac:dyDescent="0.3">
      <c r="I31" s="72" t="s">
        <v>9</v>
      </c>
      <c r="J31" s="1423"/>
      <c r="K31" s="1424"/>
      <c r="L31" s="1054"/>
      <c r="M31" s="1054"/>
      <c r="N31" s="1054"/>
    </row>
    <row r="32" spans="1:14" x14ac:dyDescent="0.3">
      <c r="I32" s="440" t="s">
        <v>78</v>
      </c>
      <c r="J32" s="1423" t="s">
        <v>2391</v>
      </c>
      <c r="K32" s="1424"/>
      <c r="L32" s="1054"/>
      <c r="M32" s="1054"/>
      <c r="N32" s="1054"/>
    </row>
    <row r="33" spans="9:14" x14ac:dyDescent="0.3">
      <c r="I33" s="439" t="s">
        <v>8</v>
      </c>
      <c r="J33" s="1425" t="s">
        <v>2392</v>
      </c>
      <c r="K33" s="1426"/>
      <c r="L33" s="1054"/>
      <c r="M33" s="1054"/>
      <c r="N33" s="1054"/>
    </row>
    <row r="34" spans="9:14" x14ac:dyDescent="0.3">
      <c r="I34" s="1054"/>
      <c r="J34" s="1054"/>
      <c r="K34" s="1054"/>
      <c r="L34" s="1054"/>
      <c r="M34" s="1054"/>
      <c r="N34" s="1054"/>
    </row>
  </sheetData>
  <mergeCells count="24">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1:K31"/>
    <mergeCell ref="J32:K32"/>
    <mergeCell ref="J33:K33"/>
    <mergeCell ref="A14:A17"/>
    <mergeCell ref="B14:B17"/>
    <mergeCell ref="A18:A19"/>
    <mergeCell ref="B18:B19"/>
    <mergeCell ref="H14:H17"/>
    <mergeCell ref="H18:H19"/>
  </mergeCells>
  <pageMargins left="0.7" right="0.7" top="0.75" bottom="0.75" header="0.3" footer="0.3"/>
  <drawing r:id="rId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7"/>
  <dimension ref="A1:G49"/>
  <sheetViews>
    <sheetView topLeftCell="A10" workbookViewId="0">
      <selection activeCell="I22" sqref="I2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RESUMEN!G168</f>
        <v>Proyecto: CDIE_CBCCSM_R0184, PC1 - REPOSICIÓN INTERRUPTORES AT.</v>
      </c>
      <c r="C5" s="1281"/>
      <c r="D5" s="1281"/>
      <c r="E5" s="1281"/>
      <c r="F5" s="1281"/>
      <c r="G5" s="1282"/>
    </row>
    <row r="6" spans="1:7" x14ac:dyDescent="0.25">
      <c r="A6" s="1177"/>
      <c r="B6" s="1177"/>
      <c r="C6" s="1177"/>
      <c r="D6" s="1177"/>
      <c r="E6" s="1177"/>
      <c r="F6" s="1177"/>
      <c r="G6" s="1177"/>
    </row>
    <row r="7" spans="1:7" x14ac:dyDescent="0.25">
      <c r="A7" s="271" t="s">
        <v>0</v>
      </c>
      <c r="B7" s="1264" t="str">
        <f>RESUMEN!B168</f>
        <v>D00249271</v>
      </c>
      <c r="C7" s="1265"/>
      <c r="D7" s="1177"/>
      <c r="E7" s="1266" t="s">
        <v>627</v>
      </c>
      <c r="F7" s="1267"/>
      <c r="G7" s="280" t="str">
        <f>RESUMEN!E168</f>
        <v xml:space="preserve">18-033 </v>
      </c>
    </row>
    <row r="8" spans="1:7" x14ac:dyDescent="0.25">
      <c r="A8" s="271" t="s">
        <v>628</v>
      </c>
      <c r="B8" s="1264" t="str">
        <f>RESUMEN!C168</f>
        <v>D00249271000</v>
      </c>
      <c r="C8" s="1265"/>
      <c r="D8" s="1177"/>
      <c r="E8" s="1266" t="s">
        <v>629</v>
      </c>
      <c r="F8" s="1267"/>
      <c r="G8" s="280" t="str">
        <f>RESUMEN!U168</f>
        <v>Acta N° 1: Marzo</v>
      </c>
    </row>
    <row r="9" spans="1:7" x14ac:dyDescent="0.25">
      <c r="A9" s="271" t="s">
        <v>630</v>
      </c>
      <c r="B9" s="1283" t="s">
        <v>631</v>
      </c>
      <c r="C9" s="1265"/>
      <c r="D9" s="1177"/>
      <c r="E9" s="1266" t="s">
        <v>632</v>
      </c>
      <c r="F9" s="1267"/>
      <c r="G9" s="1178">
        <f>RESUMEN!H168</f>
        <v>2135487</v>
      </c>
    </row>
    <row r="10" spans="1:7" x14ac:dyDescent="0.25">
      <c r="A10" s="271" t="s">
        <v>633</v>
      </c>
      <c r="B10" s="1283" t="str">
        <f>RESUMEN!D168</f>
        <v>SUBA</v>
      </c>
      <c r="C10" s="1265"/>
      <c r="D10" s="1177"/>
      <c r="E10" s="1266" t="s">
        <v>634</v>
      </c>
      <c r="F10" s="1267"/>
      <c r="G10" s="1178">
        <f>RESUMEN!R168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 PC1 - REPOSICIÓN INTERRUPTORES AT.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RESUMEN!N168</f>
        <v>0</v>
      </c>
      <c r="F19" s="1248"/>
      <c r="G19" s="1177"/>
    </row>
    <row r="20" spans="1:7" ht="27" customHeight="1" x14ac:dyDescent="0.25">
      <c r="A20" s="1177"/>
      <c r="B20" s="1244" t="s">
        <v>1498</v>
      </c>
      <c r="C20" s="1245"/>
      <c r="D20" s="1246"/>
      <c r="E20" s="1247">
        <f>RESUMEN!P168</f>
        <v>0</v>
      </c>
      <c r="F20" s="1248"/>
      <c r="G20" s="1177"/>
    </row>
    <row r="21" spans="1:7" ht="27" customHeight="1" x14ac:dyDescent="0.25">
      <c r="A21" s="1177"/>
      <c r="B21" s="1244" t="s">
        <v>1499</v>
      </c>
      <c r="C21" s="1245"/>
      <c r="D21" s="1246"/>
      <c r="E21" s="1247">
        <f>RESUMEN!Q168</f>
        <v>0</v>
      </c>
      <c r="F21" s="1248"/>
      <c r="G21" s="1177"/>
    </row>
    <row r="22" spans="1:7" x14ac:dyDescent="0.25">
      <c r="A22" s="1177"/>
      <c r="B22" s="1254" t="s">
        <v>64</v>
      </c>
      <c r="C22" s="1254"/>
      <c r="D22" s="1254"/>
      <c r="E22" s="1255">
        <f>RESUMEN!R168</f>
        <v>0</v>
      </c>
      <c r="F22" s="1255"/>
      <c r="G22" s="1177"/>
    </row>
    <row r="23" spans="1:7" x14ac:dyDescent="0.25">
      <c r="A23" s="1177"/>
      <c r="B23" s="1256" t="s">
        <v>66</v>
      </c>
      <c r="C23" s="1256"/>
      <c r="D23" s="1256"/>
      <c r="E23" s="1257">
        <f>RESUMEN!S168</f>
        <v>0</v>
      </c>
      <c r="F23" s="1257"/>
      <c r="G23" s="1177"/>
    </row>
    <row r="24" spans="1:7" x14ac:dyDescent="0.25">
      <c r="A24" s="1177"/>
      <c r="B24" s="1258" t="s">
        <v>1</v>
      </c>
      <c r="C24" s="1258"/>
      <c r="D24" s="1258"/>
      <c r="E24" s="1259">
        <f>RESUMEN!T168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+'OT18-033 SUBA'!I44</f>
        <v>ACTA 1</v>
      </c>
      <c r="C28" s="1253">
        <f>+'OT18-033 SUBA'!J44</f>
        <v>0</v>
      </c>
      <c r="D28" s="1253"/>
      <c r="E28" s="267">
        <f>+'OT18-033 SUBA'!K44</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8"/>
  <dimension ref="A1:N48"/>
  <sheetViews>
    <sheetView topLeftCell="A31" zoomScale="80" zoomScaleNormal="80" workbookViewId="0">
      <selection activeCell="D22" sqref="D22"/>
    </sheetView>
  </sheetViews>
  <sheetFormatPr baseColWidth="10" defaultRowHeight="14.4" x14ac:dyDescent="0.3"/>
  <cols>
    <col min="2" max="2" width="19" customWidth="1"/>
    <col min="3" max="3" width="22.109375" customWidth="1"/>
    <col min="4" max="4" width="23.44140625" customWidth="1"/>
    <col min="8" max="8" width="25.109375" customWidth="1"/>
    <col min="9" max="9" width="17.21875" customWidth="1"/>
  </cols>
  <sheetData>
    <row r="1" spans="1:14" x14ac:dyDescent="0.3">
      <c r="A1" s="169"/>
      <c r="B1" s="188"/>
      <c r="C1" s="1307" t="s">
        <v>40</v>
      </c>
      <c r="D1" s="1308"/>
      <c r="E1" s="1308"/>
      <c r="F1" s="1308"/>
      <c r="G1" s="1308"/>
      <c r="H1" s="1308"/>
      <c r="I1" s="1308"/>
      <c r="J1" s="1308"/>
      <c r="K1" s="1532" t="s">
        <v>2390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2389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2401</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2402</v>
      </c>
      <c r="B14" s="1510" t="s">
        <v>216</v>
      </c>
      <c r="C14" s="1062" t="s">
        <v>81</v>
      </c>
      <c r="D14" s="1062" t="s">
        <v>82</v>
      </c>
      <c r="E14" s="1062">
        <v>0</v>
      </c>
      <c r="F14" s="646">
        <v>1976285</v>
      </c>
      <c r="G14" s="646">
        <f>ROUND((E14*F14),0)</f>
        <v>0</v>
      </c>
      <c r="H14" s="1514" t="s">
        <v>2403</v>
      </c>
      <c r="I14" s="799">
        <v>0</v>
      </c>
      <c r="J14" s="1132">
        <f>ROUND(I14*F14,0)</f>
        <v>0</v>
      </c>
      <c r="K14" s="1133">
        <v>0</v>
      </c>
      <c r="L14" s="1134">
        <f t="shared" ref="L14:M20" si="0">I14</f>
        <v>0</v>
      </c>
      <c r="M14" s="1124">
        <f t="shared" si="0"/>
        <v>0</v>
      </c>
      <c r="N14" s="1133">
        <v>0</v>
      </c>
    </row>
    <row r="15" spans="1:14" ht="43.2" x14ac:dyDescent="0.3">
      <c r="A15" s="1510"/>
      <c r="B15" s="1510"/>
      <c r="C15" s="1062" t="s">
        <v>83</v>
      </c>
      <c r="D15" s="1062" t="s">
        <v>84</v>
      </c>
      <c r="E15" s="1062">
        <v>0</v>
      </c>
      <c r="F15" s="646">
        <v>1939687</v>
      </c>
      <c r="G15" s="646">
        <f>ROUND((E15*F15),0)</f>
        <v>0</v>
      </c>
      <c r="H15" s="1510"/>
      <c r="I15" s="799">
        <v>0</v>
      </c>
      <c r="J15" s="1132">
        <f t="shared" ref="J15:J16" si="1">ROUND(I15*F15,0)</f>
        <v>0</v>
      </c>
      <c r="K15" s="1133">
        <v>0</v>
      </c>
      <c r="L15" s="1134">
        <f t="shared" si="0"/>
        <v>0</v>
      </c>
      <c r="M15" s="1124">
        <f t="shared" si="0"/>
        <v>0</v>
      </c>
      <c r="N15" s="1133">
        <v>0</v>
      </c>
    </row>
    <row r="16" spans="1:14" ht="43.2" x14ac:dyDescent="0.3">
      <c r="A16" s="1510"/>
      <c r="B16" s="1510"/>
      <c r="C16" s="1062" t="s">
        <v>61</v>
      </c>
      <c r="D16" s="1062" t="s">
        <v>85</v>
      </c>
      <c r="E16" s="1062">
        <v>0.05</v>
      </c>
      <c r="F16" s="646">
        <v>7685550</v>
      </c>
      <c r="G16" s="646">
        <f>ROUND((E16*F16),0)</f>
        <v>384278</v>
      </c>
      <c r="H16" s="1510"/>
      <c r="I16" s="799">
        <v>0</v>
      </c>
      <c r="J16" s="1132">
        <f t="shared" si="1"/>
        <v>0</v>
      </c>
      <c r="K16" s="1133">
        <f t="shared" ref="K16:K17" si="2">J16/G16</f>
        <v>0</v>
      </c>
      <c r="L16" s="1134">
        <f t="shared" si="0"/>
        <v>0</v>
      </c>
      <c r="M16" s="1124">
        <f t="shared" si="0"/>
        <v>0</v>
      </c>
      <c r="N16" s="1133">
        <f t="shared" ref="N16:N17" si="3">M16/G16</f>
        <v>0</v>
      </c>
    </row>
    <row r="17" spans="1:14" x14ac:dyDescent="0.3">
      <c r="A17" s="1510"/>
      <c r="B17" s="1510"/>
      <c r="C17" s="647"/>
      <c r="D17" s="647" t="s">
        <v>86</v>
      </c>
      <c r="E17" s="648"/>
      <c r="F17" s="648"/>
      <c r="G17" s="649">
        <f>SUM(G14:G16)</f>
        <v>384278</v>
      </c>
      <c r="H17" s="1510"/>
      <c r="I17" s="1108"/>
      <c r="J17" s="1146">
        <f>SUM(J14:J16)</f>
        <v>0</v>
      </c>
      <c r="K17" s="1136">
        <f t="shared" si="2"/>
        <v>0</v>
      </c>
      <c r="L17" s="1137"/>
      <c r="M17" s="1138">
        <f t="shared" si="0"/>
        <v>0</v>
      </c>
      <c r="N17" s="1136">
        <f t="shared" si="3"/>
        <v>0</v>
      </c>
    </row>
    <row r="18" spans="1:14" ht="43.2" x14ac:dyDescent="0.3">
      <c r="A18" s="1510" t="s">
        <v>2402</v>
      </c>
      <c r="B18" s="1510" t="s">
        <v>195</v>
      </c>
      <c r="C18" s="1062" t="s">
        <v>83</v>
      </c>
      <c r="D18" s="1062" t="s">
        <v>91</v>
      </c>
      <c r="E18" s="1062">
        <v>0</v>
      </c>
      <c r="F18" s="646">
        <v>1756696</v>
      </c>
      <c r="G18" s="646">
        <f>ROUND((E18*F18),0)</f>
        <v>0</v>
      </c>
      <c r="H18" s="1514" t="s">
        <v>2404</v>
      </c>
      <c r="I18" s="799">
        <v>0</v>
      </c>
      <c r="J18" s="1132">
        <f>ROUND(I18*F18,0)</f>
        <v>0</v>
      </c>
      <c r="K18" s="1133">
        <v>0</v>
      </c>
      <c r="L18" s="1134">
        <f t="shared" ref="L18:L19" si="4">I18</f>
        <v>0</v>
      </c>
      <c r="M18" s="1124">
        <f t="shared" si="0"/>
        <v>0</v>
      </c>
      <c r="N18" s="1133">
        <v>0</v>
      </c>
    </row>
    <row r="19" spans="1:14" ht="43.2" x14ac:dyDescent="0.3">
      <c r="A19" s="1510"/>
      <c r="B19" s="1510"/>
      <c r="C19" s="1062" t="s">
        <v>61</v>
      </c>
      <c r="D19" s="1062" t="s">
        <v>92</v>
      </c>
      <c r="E19" s="1062">
        <v>0.05</v>
      </c>
      <c r="F19" s="646">
        <v>6551016</v>
      </c>
      <c r="G19" s="646">
        <f>ROUND((E19*F19),0)</f>
        <v>327551</v>
      </c>
      <c r="H19" s="1510"/>
      <c r="I19" s="799">
        <v>0</v>
      </c>
      <c r="J19" s="1132">
        <f>ROUND(I19*F19,0)</f>
        <v>0</v>
      </c>
      <c r="K19" s="1133">
        <f t="shared" ref="K19:K20" si="5">J19/G19</f>
        <v>0</v>
      </c>
      <c r="L19" s="1134">
        <f t="shared" si="4"/>
        <v>0</v>
      </c>
      <c r="M19" s="1124">
        <f t="shared" si="0"/>
        <v>0</v>
      </c>
      <c r="N19" s="1133">
        <f t="shared" ref="N19:N20" si="6">M19/G19</f>
        <v>0</v>
      </c>
    </row>
    <row r="20" spans="1:14" x14ac:dyDescent="0.3">
      <c r="A20" s="1510"/>
      <c r="B20" s="1510"/>
      <c r="C20" s="647"/>
      <c r="D20" s="647" t="s">
        <v>63</v>
      </c>
      <c r="E20" s="648"/>
      <c r="F20" s="648"/>
      <c r="G20" s="649">
        <f>SUM(G18:G19)</f>
        <v>327551</v>
      </c>
      <c r="H20" s="1510"/>
      <c r="I20" s="1108"/>
      <c r="J20" s="1146">
        <f>SUM(J18:J19)</f>
        <v>0</v>
      </c>
      <c r="K20" s="1136">
        <f t="shared" si="5"/>
        <v>0</v>
      </c>
      <c r="L20" s="1137"/>
      <c r="M20" s="1138">
        <f t="shared" si="0"/>
        <v>0</v>
      </c>
      <c r="N20" s="1136">
        <f t="shared" si="6"/>
        <v>0</v>
      </c>
    </row>
    <row r="21" spans="1:14" ht="43.2" x14ac:dyDescent="0.3">
      <c r="A21" s="1510" t="s">
        <v>2405</v>
      </c>
      <c r="B21" s="1510" t="s">
        <v>216</v>
      </c>
      <c r="C21" s="1062" t="s">
        <v>81</v>
      </c>
      <c r="D21" s="1062" t="s">
        <v>82</v>
      </c>
      <c r="E21" s="1062">
        <v>0</v>
      </c>
      <c r="F21" s="646">
        <v>1976285</v>
      </c>
      <c r="G21" s="646">
        <f>ROUND((E21*F21),0)</f>
        <v>0</v>
      </c>
      <c r="H21" s="1514" t="s">
        <v>2403</v>
      </c>
      <c r="I21" s="799">
        <v>0</v>
      </c>
      <c r="J21" s="1132">
        <f>ROUND(I21*F21,0)</f>
        <v>0</v>
      </c>
      <c r="K21" s="1133">
        <v>0</v>
      </c>
      <c r="L21" s="1134">
        <f t="shared" ref="L21:L23" si="7">I21</f>
        <v>0</v>
      </c>
      <c r="M21" s="1124">
        <f t="shared" ref="M21:M27" si="8">J21</f>
        <v>0</v>
      </c>
      <c r="N21" s="1133">
        <v>0</v>
      </c>
    </row>
    <row r="22" spans="1:14" ht="43.2" x14ac:dyDescent="0.3">
      <c r="A22" s="1510"/>
      <c r="B22" s="1510"/>
      <c r="C22" s="1062" t="s">
        <v>83</v>
      </c>
      <c r="D22" s="1062" t="s">
        <v>84</v>
      </c>
      <c r="E22" s="1062">
        <v>0</v>
      </c>
      <c r="F22" s="646">
        <v>1939687</v>
      </c>
      <c r="G22" s="646">
        <f>ROUND((E22*F22),0)</f>
        <v>0</v>
      </c>
      <c r="H22" s="1510"/>
      <c r="I22" s="799">
        <v>0</v>
      </c>
      <c r="J22" s="1132">
        <f t="shared" ref="J22" si="9">ROUND(I22*F22,0)</f>
        <v>0</v>
      </c>
      <c r="K22" s="1133">
        <v>0</v>
      </c>
      <c r="L22" s="1134">
        <f t="shared" si="7"/>
        <v>0</v>
      </c>
      <c r="M22" s="1124">
        <f t="shared" si="8"/>
        <v>0</v>
      </c>
      <c r="N22" s="1133">
        <v>0</v>
      </c>
    </row>
    <row r="23" spans="1:14" ht="43.2" x14ac:dyDescent="0.3">
      <c r="A23" s="1510"/>
      <c r="B23" s="1510"/>
      <c r="C23" s="1062" t="s">
        <v>61</v>
      </c>
      <c r="D23" s="1062" t="s">
        <v>85</v>
      </c>
      <c r="E23" s="1062">
        <v>0.05</v>
      </c>
      <c r="F23" s="646">
        <v>7685550</v>
      </c>
      <c r="G23" s="646">
        <f>ROUND((E23*F23),0)</f>
        <v>384278</v>
      </c>
      <c r="H23" s="1510"/>
      <c r="I23" s="799">
        <v>0</v>
      </c>
      <c r="J23" s="1132">
        <f>ROUND(I23*F23,0)</f>
        <v>0</v>
      </c>
      <c r="K23" s="1133">
        <f t="shared" ref="K23:K24" si="10">J23/G23</f>
        <v>0</v>
      </c>
      <c r="L23" s="1134">
        <f t="shared" si="7"/>
        <v>0</v>
      </c>
      <c r="M23" s="1124">
        <f t="shared" si="8"/>
        <v>0</v>
      </c>
      <c r="N23" s="1133">
        <f t="shared" ref="N23:N24" si="11">M23/G23</f>
        <v>0</v>
      </c>
    </row>
    <row r="24" spans="1:14" x14ac:dyDescent="0.3">
      <c r="A24" s="1510"/>
      <c r="B24" s="1510"/>
      <c r="C24" s="647"/>
      <c r="D24" s="647" t="s">
        <v>86</v>
      </c>
      <c r="E24" s="648"/>
      <c r="F24" s="648"/>
      <c r="G24" s="649">
        <f>SUM(G21:G23)</f>
        <v>384278</v>
      </c>
      <c r="H24" s="1510"/>
      <c r="I24" s="1108"/>
      <c r="J24" s="1146">
        <f>SUM(J21:J23)</f>
        <v>0</v>
      </c>
      <c r="K24" s="1136">
        <f t="shared" si="10"/>
        <v>0</v>
      </c>
      <c r="L24" s="1137"/>
      <c r="M24" s="1138">
        <f t="shared" si="8"/>
        <v>0</v>
      </c>
      <c r="N24" s="1136">
        <f t="shared" si="11"/>
        <v>0</v>
      </c>
    </row>
    <row r="25" spans="1:14" ht="43.2" x14ac:dyDescent="0.3">
      <c r="A25" s="1510" t="s">
        <v>2405</v>
      </c>
      <c r="B25" s="1510" t="s">
        <v>195</v>
      </c>
      <c r="C25" s="1062" t="s">
        <v>83</v>
      </c>
      <c r="D25" s="1062" t="s">
        <v>91</v>
      </c>
      <c r="E25" s="1062">
        <v>0</v>
      </c>
      <c r="F25" s="646">
        <v>1756696</v>
      </c>
      <c r="G25" s="646">
        <f>ROUND((E25*F25),0)</f>
        <v>0</v>
      </c>
      <c r="H25" s="1514" t="s">
        <v>2404</v>
      </c>
      <c r="I25" s="799">
        <v>0</v>
      </c>
      <c r="J25" s="1132">
        <f t="shared" ref="J25:J26" si="12">ROUND(I25*F25,0)</f>
        <v>0</v>
      </c>
      <c r="K25" s="1133">
        <v>0</v>
      </c>
      <c r="L25" s="1134">
        <f t="shared" ref="L25:L26" si="13">I25</f>
        <v>0</v>
      </c>
      <c r="M25" s="1124">
        <f t="shared" si="8"/>
        <v>0</v>
      </c>
      <c r="N25" s="1133">
        <v>0</v>
      </c>
    </row>
    <row r="26" spans="1:14" ht="43.2" x14ac:dyDescent="0.3">
      <c r="A26" s="1510"/>
      <c r="B26" s="1510"/>
      <c r="C26" s="1062" t="s">
        <v>61</v>
      </c>
      <c r="D26" s="1062" t="s">
        <v>92</v>
      </c>
      <c r="E26" s="1062">
        <v>0.05</v>
      </c>
      <c r="F26" s="646">
        <v>6551016</v>
      </c>
      <c r="G26" s="646">
        <f>ROUND((E26*F26),0)</f>
        <v>327551</v>
      </c>
      <c r="H26" s="1510"/>
      <c r="I26" s="799">
        <v>0</v>
      </c>
      <c r="J26" s="1132">
        <f t="shared" si="12"/>
        <v>0</v>
      </c>
      <c r="K26" s="1133">
        <f t="shared" ref="K26:K27" si="14">J26/G26</f>
        <v>0</v>
      </c>
      <c r="L26" s="1134">
        <f t="shared" si="13"/>
        <v>0</v>
      </c>
      <c r="M26" s="1124">
        <f t="shared" si="8"/>
        <v>0</v>
      </c>
      <c r="N26" s="1133">
        <f t="shared" ref="N26:N27" si="15">M26/G26</f>
        <v>0</v>
      </c>
    </row>
    <row r="27" spans="1:14" x14ac:dyDescent="0.3">
      <c r="A27" s="1510"/>
      <c r="B27" s="1510"/>
      <c r="C27" s="647"/>
      <c r="D27" s="647" t="s">
        <v>63</v>
      </c>
      <c r="E27" s="648"/>
      <c r="F27" s="648"/>
      <c r="G27" s="649">
        <f>SUM(G25:G26)</f>
        <v>327551</v>
      </c>
      <c r="H27" s="1510"/>
      <c r="I27" s="1108"/>
      <c r="J27" s="1146">
        <f>SUM(J25:J26)</f>
        <v>0</v>
      </c>
      <c r="K27" s="1136">
        <f t="shared" si="14"/>
        <v>0</v>
      </c>
      <c r="L27" s="1137"/>
      <c r="M27" s="1138">
        <f t="shared" si="8"/>
        <v>0</v>
      </c>
      <c r="N27" s="1136">
        <f t="shared" si="15"/>
        <v>0</v>
      </c>
    </row>
    <row r="28" spans="1:14" ht="43.2" x14ac:dyDescent="0.3">
      <c r="A28" s="1510" t="s">
        <v>1907</v>
      </c>
      <c r="B28" s="1510" t="s">
        <v>216</v>
      </c>
      <c r="C28" s="1062" t="s">
        <v>81</v>
      </c>
      <c r="D28" s="1062" t="s">
        <v>82</v>
      </c>
      <c r="E28" s="1062">
        <v>0</v>
      </c>
      <c r="F28" s="646">
        <v>1976285</v>
      </c>
      <c r="G28" s="646">
        <f>ROUND((E28*F28),0)</f>
        <v>0</v>
      </c>
      <c r="H28" s="1514" t="s">
        <v>2403</v>
      </c>
      <c r="I28" s="799">
        <v>0</v>
      </c>
      <c r="J28" s="1132">
        <f>ROUND(I28*F28,0)</f>
        <v>0</v>
      </c>
      <c r="K28" s="1133">
        <v>0</v>
      </c>
      <c r="L28" s="1134">
        <f t="shared" ref="L28:L30" si="16">I28</f>
        <v>0</v>
      </c>
      <c r="M28" s="1124">
        <f t="shared" ref="M28:M34" si="17">J28</f>
        <v>0</v>
      </c>
      <c r="N28" s="1133">
        <v>0</v>
      </c>
    </row>
    <row r="29" spans="1:14" ht="43.2" x14ac:dyDescent="0.3">
      <c r="A29" s="1510"/>
      <c r="B29" s="1510"/>
      <c r="C29" s="1062" t="s">
        <v>83</v>
      </c>
      <c r="D29" s="1062" t="s">
        <v>84</v>
      </c>
      <c r="E29" s="1062">
        <v>0</v>
      </c>
      <c r="F29" s="646">
        <v>1939687</v>
      </c>
      <c r="G29" s="646">
        <f>ROUND((E29*F29),0)</f>
        <v>0</v>
      </c>
      <c r="H29" s="1510"/>
      <c r="I29" s="799">
        <v>0</v>
      </c>
      <c r="J29" s="1132">
        <f t="shared" ref="J29:J30" si="18">ROUND(I29*F29,0)</f>
        <v>0</v>
      </c>
      <c r="K29" s="1133">
        <v>0</v>
      </c>
      <c r="L29" s="1134">
        <f t="shared" si="16"/>
        <v>0</v>
      </c>
      <c r="M29" s="1124">
        <f t="shared" si="17"/>
        <v>0</v>
      </c>
      <c r="N29" s="1133">
        <v>0</v>
      </c>
    </row>
    <row r="30" spans="1:14" ht="43.2" x14ac:dyDescent="0.3">
      <c r="A30" s="1510"/>
      <c r="B30" s="1510"/>
      <c r="C30" s="1062" t="s">
        <v>61</v>
      </c>
      <c r="D30" s="1062" t="s">
        <v>85</v>
      </c>
      <c r="E30" s="1062">
        <v>0.05</v>
      </c>
      <c r="F30" s="646">
        <v>7685550</v>
      </c>
      <c r="G30" s="646">
        <f>ROUND((E30*F30),0)</f>
        <v>384278</v>
      </c>
      <c r="H30" s="1510"/>
      <c r="I30" s="799">
        <v>0</v>
      </c>
      <c r="J30" s="1132">
        <f t="shared" si="18"/>
        <v>0</v>
      </c>
      <c r="K30" s="1133">
        <f t="shared" ref="K30:K31" si="19">J30/G30</f>
        <v>0</v>
      </c>
      <c r="L30" s="1134">
        <f t="shared" si="16"/>
        <v>0</v>
      </c>
      <c r="M30" s="1124">
        <f t="shared" si="17"/>
        <v>0</v>
      </c>
      <c r="N30" s="1133">
        <f t="shared" ref="N30:N31" si="20">M30/G30</f>
        <v>0</v>
      </c>
    </row>
    <row r="31" spans="1:14" x14ac:dyDescent="0.3">
      <c r="A31" s="1510"/>
      <c r="B31" s="1510"/>
      <c r="C31" s="647"/>
      <c r="D31" s="647" t="s">
        <v>86</v>
      </c>
      <c r="E31" s="648"/>
      <c r="F31" s="648"/>
      <c r="G31" s="649">
        <f>SUM(G28:G30)</f>
        <v>384278</v>
      </c>
      <c r="H31" s="1510"/>
      <c r="I31" s="1108"/>
      <c r="J31" s="1146">
        <f>SUM(J28:J30)</f>
        <v>0</v>
      </c>
      <c r="K31" s="1136">
        <f t="shared" si="19"/>
        <v>0</v>
      </c>
      <c r="L31" s="1137"/>
      <c r="M31" s="1138">
        <f t="shared" si="17"/>
        <v>0</v>
      </c>
      <c r="N31" s="1136">
        <f t="shared" si="20"/>
        <v>0</v>
      </c>
    </row>
    <row r="32" spans="1:14" ht="43.2" x14ac:dyDescent="0.3">
      <c r="A32" s="1510" t="s">
        <v>1907</v>
      </c>
      <c r="B32" s="1510" t="s">
        <v>195</v>
      </c>
      <c r="C32" s="1062" t="s">
        <v>83</v>
      </c>
      <c r="D32" s="1062" t="s">
        <v>91</v>
      </c>
      <c r="E32" s="1062">
        <v>0</v>
      </c>
      <c r="F32" s="646">
        <v>1756696</v>
      </c>
      <c r="G32" s="646">
        <f>ROUND((E32*F32),0)</f>
        <v>0</v>
      </c>
      <c r="H32" s="1514" t="s">
        <v>2404</v>
      </c>
      <c r="I32" s="799">
        <v>0</v>
      </c>
      <c r="J32" s="1132">
        <f t="shared" ref="J32" si="21">ROUND(I32*F32,0)</f>
        <v>0</v>
      </c>
      <c r="K32" s="1133">
        <v>0</v>
      </c>
      <c r="L32" s="1134">
        <f t="shared" ref="L32:L33" si="22">I32</f>
        <v>0</v>
      </c>
      <c r="M32" s="1124">
        <f t="shared" si="17"/>
        <v>0</v>
      </c>
      <c r="N32" s="1133">
        <v>0</v>
      </c>
    </row>
    <row r="33" spans="1:14" ht="43.2" x14ac:dyDescent="0.3">
      <c r="A33" s="1510"/>
      <c r="B33" s="1510"/>
      <c r="C33" s="1062" t="s">
        <v>61</v>
      </c>
      <c r="D33" s="1062" t="s">
        <v>92</v>
      </c>
      <c r="E33" s="1062">
        <v>0.05</v>
      </c>
      <c r="F33" s="646">
        <v>6551016</v>
      </c>
      <c r="G33" s="646">
        <f>ROUND((E33*F33),0)</f>
        <v>327551</v>
      </c>
      <c r="H33" s="1510"/>
      <c r="I33" s="799">
        <v>0</v>
      </c>
      <c r="J33" s="1132">
        <f>ROUND(I33*F33,0)</f>
        <v>0</v>
      </c>
      <c r="K33" s="1133">
        <f t="shared" ref="K33:K34" si="23">J33/G33</f>
        <v>0</v>
      </c>
      <c r="L33" s="1134">
        <f t="shared" si="22"/>
        <v>0</v>
      </c>
      <c r="M33" s="1124">
        <f t="shared" si="17"/>
        <v>0</v>
      </c>
      <c r="N33" s="1133">
        <f t="shared" ref="N33:N34" si="24">M33/G33</f>
        <v>0</v>
      </c>
    </row>
    <row r="34" spans="1:14" x14ac:dyDescent="0.3">
      <c r="A34" s="1510"/>
      <c r="B34" s="1510"/>
      <c r="C34" s="647"/>
      <c r="D34" s="647" t="s">
        <v>63</v>
      </c>
      <c r="E34" s="648"/>
      <c r="F34" s="648"/>
      <c r="G34" s="649">
        <f>SUM(G32:G33)</f>
        <v>327551</v>
      </c>
      <c r="H34" s="1510"/>
      <c r="I34" s="1108"/>
      <c r="J34" s="1146">
        <f>SUM(J32:J33)</f>
        <v>0</v>
      </c>
      <c r="K34" s="1136">
        <f t="shared" si="23"/>
        <v>0</v>
      </c>
      <c r="L34" s="1137"/>
      <c r="M34" s="1138">
        <f t="shared" si="17"/>
        <v>0</v>
      </c>
      <c r="N34" s="1136">
        <f t="shared" si="24"/>
        <v>0</v>
      </c>
    </row>
    <row r="35" spans="1:14" x14ac:dyDescent="0.3">
      <c r="F35" s="836" t="s">
        <v>1740</v>
      </c>
      <c r="G35" s="650">
        <f>SUM(G14:G34)/2</f>
        <v>2135487</v>
      </c>
      <c r="I35" s="547" t="s">
        <v>64</v>
      </c>
      <c r="J35" s="855">
        <f>SUM(J14:J34)/2</f>
        <v>0</v>
      </c>
      <c r="K35" s="1054"/>
      <c r="L35" s="547" t="s">
        <v>64</v>
      </c>
      <c r="M35" s="835">
        <f>SUM(M14:M34)/2</f>
        <v>0</v>
      </c>
      <c r="N35" s="1054"/>
    </row>
    <row r="36" spans="1:14" ht="26.4" x14ac:dyDescent="0.3">
      <c r="F36" s="1118" t="s">
        <v>65</v>
      </c>
      <c r="G36" s="1115">
        <v>0</v>
      </c>
      <c r="I36" s="548" t="s">
        <v>65</v>
      </c>
      <c r="J36" s="677">
        <v>0</v>
      </c>
      <c r="K36" s="1054"/>
      <c r="L36" s="548" t="s">
        <v>65</v>
      </c>
      <c r="M36" s="677">
        <v>0</v>
      </c>
      <c r="N36" s="1054"/>
    </row>
    <row r="37" spans="1:14" x14ac:dyDescent="0.3">
      <c r="F37" s="1119" t="s">
        <v>64</v>
      </c>
      <c r="G37" s="1151">
        <f>G35+G36</f>
        <v>2135487</v>
      </c>
      <c r="I37" s="549" t="s">
        <v>64</v>
      </c>
      <c r="J37" s="481">
        <f>J35+J36</f>
        <v>0</v>
      </c>
      <c r="K37" s="1054"/>
      <c r="L37" s="549" t="s">
        <v>64</v>
      </c>
      <c r="M37" s="481">
        <f>M35+M36</f>
        <v>0</v>
      </c>
      <c r="N37" s="1054"/>
    </row>
    <row r="38" spans="1:14" ht="26.4" x14ac:dyDescent="0.3">
      <c r="F38" s="501" t="s">
        <v>1439</v>
      </c>
      <c r="G38" s="1116">
        <f>ROUND(G37*0.015,0)</f>
        <v>32032</v>
      </c>
      <c r="I38" s="501" t="s">
        <v>1439</v>
      </c>
      <c r="J38" s="481">
        <f>ROUND(J37*0.015,0)</f>
        <v>0</v>
      </c>
      <c r="K38" s="1054"/>
      <c r="L38" s="501" t="s">
        <v>1439</v>
      </c>
      <c r="M38" s="481">
        <f>ROUND(M37*0.015,0)</f>
        <v>0</v>
      </c>
      <c r="N38" s="1054"/>
    </row>
    <row r="39" spans="1:14" ht="39.6" x14ac:dyDescent="0.3">
      <c r="F39" s="96" t="s">
        <v>1440</v>
      </c>
      <c r="G39" s="1117">
        <f>G37+G38</f>
        <v>2167519</v>
      </c>
      <c r="I39" s="96" t="s">
        <v>1440</v>
      </c>
      <c r="J39" s="783">
        <f>J37+J38</f>
        <v>0</v>
      </c>
      <c r="K39" s="856">
        <f>J39/G35</f>
        <v>0</v>
      </c>
      <c r="L39" s="96" t="s">
        <v>1440</v>
      </c>
      <c r="M39" s="425">
        <f>M37+M38</f>
        <v>0</v>
      </c>
      <c r="N39" s="857">
        <f>M39/G35</f>
        <v>0</v>
      </c>
    </row>
    <row r="40" spans="1:14" x14ac:dyDescent="0.3">
      <c r="F40" s="1122" t="s">
        <v>66</v>
      </c>
      <c r="G40" s="783">
        <f>G39*0.19</f>
        <v>411828.61</v>
      </c>
      <c r="I40" s="551" t="s">
        <v>66</v>
      </c>
      <c r="J40" s="672">
        <f>J39*0.19</f>
        <v>0</v>
      </c>
      <c r="K40" s="1054"/>
      <c r="L40" s="551" t="s">
        <v>66</v>
      </c>
      <c r="M40" s="672">
        <f>M39*0.19</f>
        <v>0</v>
      </c>
      <c r="N40" s="1054"/>
    </row>
    <row r="41" spans="1:14" x14ac:dyDescent="0.3">
      <c r="F41" s="1123" t="s">
        <v>69</v>
      </c>
      <c r="G41" s="672">
        <f>G39+G40</f>
        <v>2579347.61</v>
      </c>
      <c r="I41" s="552" t="s">
        <v>69</v>
      </c>
      <c r="J41" s="672">
        <f>J39+J40</f>
        <v>0</v>
      </c>
      <c r="K41" s="1054"/>
      <c r="L41" s="552" t="s">
        <v>69</v>
      </c>
      <c r="M41" s="672">
        <f>M39+M40</f>
        <v>0</v>
      </c>
      <c r="N41" s="1054"/>
    </row>
    <row r="42" spans="1:14" x14ac:dyDescent="0.3">
      <c r="I42" s="1054"/>
      <c r="J42" s="1054"/>
      <c r="K42" s="1054"/>
      <c r="L42" s="1054"/>
      <c r="M42" s="1054"/>
      <c r="N42" s="1054"/>
    </row>
    <row r="43" spans="1:14" ht="26.4" x14ac:dyDescent="0.3">
      <c r="I43" s="186" t="s">
        <v>70</v>
      </c>
      <c r="J43" s="187" t="s">
        <v>71</v>
      </c>
      <c r="K43" s="186" t="s">
        <v>58</v>
      </c>
      <c r="L43" s="1054"/>
      <c r="M43" s="1054"/>
      <c r="N43" s="1054"/>
    </row>
    <row r="44" spans="1:14" x14ac:dyDescent="0.3">
      <c r="I44" s="69" t="s">
        <v>72</v>
      </c>
      <c r="J44" s="70">
        <f>J39</f>
        <v>0</v>
      </c>
      <c r="K44" s="360">
        <f>K39</f>
        <v>0</v>
      </c>
      <c r="L44" s="1054"/>
      <c r="M44" s="1054"/>
      <c r="N44" s="1054"/>
    </row>
    <row r="45" spans="1:14" x14ac:dyDescent="0.3">
      <c r="I45" s="72" t="s">
        <v>1</v>
      </c>
      <c r="J45" s="105">
        <f>J44</f>
        <v>0</v>
      </c>
      <c r="K45" s="361">
        <f>K44</f>
        <v>0</v>
      </c>
      <c r="L45" s="1054"/>
      <c r="M45" s="1054"/>
      <c r="N45" s="1054"/>
    </row>
    <row r="46" spans="1:14" x14ac:dyDescent="0.3">
      <c r="I46" s="72" t="s">
        <v>9</v>
      </c>
      <c r="J46" s="1423"/>
      <c r="K46" s="1424"/>
      <c r="L46" s="1054"/>
      <c r="M46" s="1054"/>
      <c r="N46" s="1054"/>
    </row>
    <row r="47" spans="1:14" x14ac:dyDescent="0.3">
      <c r="I47" s="440" t="s">
        <v>78</v>
      </c>
      <c r="J47" s="1423" t="s">
        <v>2391</v>
      </c>
      <c r="K47" s="1424"/>
      <c r="L47" s="1054"/>
      <c r="M47" s="1054"/>
      <c r="N47" s="1054"/>
    </row>
    <row r="48" spans="1:14" x14ac:dyDescent="0.3">
      <c r="I48" s="439" t="s">
        <v>8</v>
      </c>
      <c r="J48" s="1425" t="s">
        <v>2392</v>
      </c>
      <c r="K48" s="1426"/>
      <c r="L48" s="1054"/>
      <c r="M48" s="1054"/>
      <c r="N48" s="1054"/>
    </row>
  </sheetData>
  <mergeCells count="36">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7"/>
    <mergeCell ref="B14:B17"/>
    <mergeCell ref="H14:H17"/>
    <mergeCell ref="A18:A20"/>
    <mergeCell ref="B18:B20"/>
    <mergeCell ref="H18:H20"/>
    <mergeCell ref="A21:A24"/>
    <mergeCell ref="B21:B24"/>
    <mergeCell ref="H21:H24"/>
    <mergeCell ref="A25:A27"/>
    <mergeCell ref="B25:B27"/>
    <mergeCell ref="H25:H27"/>
    <mergeCell ref="J46:K46"/>
    <mergeCell ref="J47:K47"/>
    <mergeCell ref="J48:K48"/>
    <mergeCell ref="A28:A31"/>
    <mergeCell ref="B28:B31"/>
    <mergeCell ref="H28:H31"/>
    <mergeCell ref="A32:A34"/>
    <mergeCell ref="B32:B34"/>
    <mergeCell ref="H32:H34"/>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9"/>
  <dimension ref="A1:G49"/>
  <sheetViews>
    <sheetView topLeftCell="A1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RESUMEN!G169</f>
        <v>Proyecto: CDIM_CBSGSM_R0146 - NORMALIZACIÓN Y REPOSICIÓN EL SOL</v>
      </c>
      <c r="C5" s="1281"/>
      <c r="D5" s="1281"/>
      <c r="E5" s="1281"/>
      <c r="F5" s="1281"/>
      <c r="G5" s="1282"/>
    </row>
    <row r="6" spans="1:7" x14ac:dyDescent="0.25">
      <c r="A6" s="1177"/>
      <c r="B6" s="1177"/>
      <c r="C6" s="1177"/>
      <c r="D6" s="1177"/>
      <c r="E6" s="1177"/>
      <c r="F6" s="1177"/>
      <c r="G6" s="1177"/>
    </row>
    <row r="7" spans="1:7" x14ac:dyDescent="0.25">
      <c r="A7" s="271" t="s">
        <v>0</v>
      </c>
      <c r="B7" s="1264" t="str">
        <f>RESUMEN!B169</f>
        <v>D00249503</v>
      </c>
      <c r="C7" s="1265"/>
      <c r="D7" s="1177"/>
      <c r="E7" s="1266" t="s">
        <v>627</v>
      </c>
      <c r="F7" s="1267"/>
      <c r="G7" s="280" t="str">
        <f>RESUMEN!E169</f>
        <v xml:space="preserve">18-034 </v>
      </c>
    </row>
    <row r="8" spans="1:7" x14ac:dyDescent="0.25">
      <c r="A8" s="271" t="s">
        <v>628</v>
      </c>
      <c r="B8" s="1264" t="str">
        <f>RESUMEN!C169</f>
        <v>D00249503000</v>
      </c>
      <c r="C8" s="1265"/>
      <c r="D8" s="1177"/>
      <c r="E8" s="1266" t="s">
        <v>629</v>
      </c>
      <c r="F8" s="1267"/>
      <c r="G8" s="280" t="str">
        <f>RESUMEN!U169</f>
        <v>Acta N° 1: Marzo</v>
      </c>
    </row>
    <row r="9" spans="1:7" x14ac:dyDescent="0.25">
      <c r="A9" s="271" t="s">
        <v>630</v>
      </c>
      <c r="B9" s="1283" t="s">
        <v>631</v>
      </c>
      <c r="C9" s="1265"/>
      <c r="D9" s="1177"/>
      <c r="E9" s="1266" t="s">
        <v>632</v>
      </c>
      <c r="F9" s="1267"/>
      <c r="G9" s="1178">
        <f>RESUMEN!H169</f>
        <v>10285829</v>
      </c>
    </row>
    <row r="10" spans="1:7" x14ac:dyDescent="0.25">
      <c r="A10" s="271" t="s">
        <v>633</v>
      </c>
      <c r="B10" s="1283" t="str">
        <f>RESUMEN!D169</f>
        <v>EL SOL</v>
      </c>
      <c r="C10" s="1265"/>
      <c r="D10" s="1177"/>
      <c r="E10" s="1266" t="s">
        <v>634</v>
      </c>
      <c r="F10" s="1267"/>
      <c r="G10" s="1178">
        <f>RESUMEN!R169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RESUMEN!V169,"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",RESUMEN!G169)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CDIM_CBSGSM_R0146 - NORMALIZACIÓN Y REPOSICIÓN EL SOL</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RESUMEN!N169</f>
        <v>0</v>
      </c>
      <c r="F19" s="1248"/>
      <c r="G19" s="1177"/>
    </row>
    <row r="20" spans="1:7" ht="27" customHeight="1" x14ac:dyDescent="0.25">
      <c r="A20" s="1177"/>
      <c r="B20" s="1244" t="s">
        <v>1498</v>
      </c>
      <c r="C20" s="1245"/>
      <c r="D20" s="1246"/>
      <c r="E20" s="1247">
        <f>RESUMEN!P169</f>
        <v>0</v>
      </c>
      <c r="F20" s="1248"/>
      <c r="G20" s="1177"/>
    </row>
    <row r="21" spans="1:7" ht="27" customHeight="1" x14ac:dyDescent="0.25">
      <c r="A21" s="1177"/>
      <c r="B21" s="1244" t="s">
        <v>1499</v>
      </c>
      <c r="C21" s="1245"/>
      <c r="D21" s="1246"/>
      <c r="E21" s="1247">
        <f>RESUMEN!Q169</f>
        <v>0</v>
      </c>
      <c r="F21" s="1248"/>
      <c r="G21" s="1177"/>
    </row>
    <row r="22" spans="1:7" x14ac:dyDescent="0.25">
      <c r="A22" s="1177"/>
      <c r="B22" s="1254" t="s">
        <v>64</v>
      </c>
      <c r="C22" s="1254"/>
      <c r="D22" s="1254"/>
      <c r="E22" s="1255">
        <f>RESUMEN!R169</f>
        <v>0</v>
      </c>
      <c r="F22" s="1255"/>
      <c r="G22" s="1177"/>
    </row>
    <row r="23" spans="1:7" x14ac:dyDescent="0.25">
      <c r="A23" s="1177"/>
      <c r="B23" s="1256" t="s">
        <v>66</v>
      </c>
      <c r="C23" s="1256"/>
      <c r="D23" s="1256"/>
      <c r="E23" s="1257">
        <f>RESUMEN!S169</f>
        <v>0</v>
      </c>
      <c r="F23" s="1257"/>
      <c r="G23" s="1177"/>
    </row>
    <row r="24" spans="1:7" x14ac:dyDescent="0.25">
      <c r="A24" s="1177"/>
      <c r="B24" s="1258" t="s">
        <v>1</v>
      </c>
      <c r="C24" s="1258"/>
      <c r="D24" s="1258"/>
      <c r="E24" s="1259">
        <f>RESUMEN!T169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+'OT18-034 EL SOL'!I35</f>
        <v>ACTA 1</v>
      </c>
      <c r="C28" s="1253">
        <f>+'OT18-034 EL SOL'!J35</f>
        <v>0</v>
      </c>
      <c r="D28" s="1253"/>
      <c r="E28" s="267">
        <f>+'OT18-034 EL SOL'!K35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RESUMEN!V169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0"/>
  <dimension ref="A1:N39"/>
  <sheetViews>
    <sheetView topLeftCell="A25" workbookViewId="0">
      <selection activeCell="J40" sqref="J40"/>
    </sheetView>
  </sheetViews>
  <sheetFormatPr baseColWidth="10" defaultRowHeight="14.4" x14ac:dyDescent="0.3"/>
  <cols>
    <col min="2" max="2" width="15.6640625" customWidth="1"/>
    <col min="3" max="3" width="21" customWidth="1"/>
    <col min="4" max="4" width="24.6640625" customWidth="1"/>
    <col min="7" max="7" width="14.88671875" customWidth="1"/>
    <col min="8" max="8" width="17.77734375" customWidth="1"/>
  </cols>
  <sheetData>
    <row r="1" spans="1:14" x14ac:dyDescent="0.3">
      <c r="A1" s="169"/>
      <c r="B1" s="188"/>
      <c r="C1" s="1307" t="s">
        <v>40</v>
      </c>
      <c r="D1" s="1308"/>
      <c r="E1" s="1308"/>
      <c r="F1" s="1308"/>
      <c r="G1" s="1308"/>
      <c r="H1" s="1308"/>
      <c r="I1" s="1308"/>
      <c r="J1" s="1308"/>
      <c r="K1" s="1532" t="s">
        <v>2407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1602</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2406</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313</v>
      </c>
      <c r="B14" s="1510" t="s">
        <v>2192</v>
      </c>
      <c r="C14" s="1062" t="s">
        <v>61</v>
      </c>
      <c r="D14" s="1062" t="s">
        <v>2193</v>
      </c>
      <c r="E14" s="1143">
        <v>0.35</v>
      </c>
      <c r="F14" s="1152">
        <v>10979357</v>
      </c>
      <c r="G14" s="1152">
        <f>ROUND((E14*F14),0)</f>
        <v>3842775</v>
      </c>
      <c r="H14" s="1514" t="s">
        <v>2408</v>
      </c>
      <c r="I14" s="799">
        <v>0</v>
      </c>
      <c r="J14" s="1132">
        <f>ROUND(I14*F14,0)</f>
        <v>0</v>
      </c>
      <c r="K14" s="1133">
        <f>J14/G14</f>
        <v>0</v>
      </c>
      <c r="L14" s="1134">
        <f t="shared" ref="L14:M22" si="0">I14</f>
        <v>0</v>
      </c>
      <c r="M14" s="1124">
        <f t="shared" si="0"/>
        <v>0</v>
      </c>
      <c r="N14" s="1133">
        <f t="shared" ref="N14:N25" si="1">M14/G14</f>
        <v>0</v>
      </c>
    </row>
    <row r="15" spans="1:14" x14ac:dyDescent="0.3">
      <c r="A15" s="1510"/>
      <c r="B15" s="1510"/>
      <c r="C15" s="647"/>
      <c r="D15" s="647" t="s">
        <v>2195</v>
      </c>
      <c r="E15" s="648"/>
      <c r="F15" s="648"/>
      <c r="G15" s="649">
        <f>G14</f>
        <v>3842775</v>
      </c>
      <c r="H15" s="1510"/>
      <c r="I15" s="1108"/>
      <c r="J15" s="1146">
        <f>SUM(J14)</f>
        <v>0</v>
      </c>
      <c r="K15" s="1136">
        <f t="shared" ref="K15:K25" si="2">J15/G15</f>
        <v>0</v>
      </c>
      <c r="L15" s="1137"/>
      <c r="M15" s="1138">
        <f t="shared" si="0"/>
        <v>0</v>
      </c>
      <c r="N15" s="1136">
        <f t="shared" si="1"/>
        <v>0</v>
      </c>
    </row>
    <row r="16" spans="1:14" ht="43.2" x14ac:dyDescent="0.3">
      <c r="A16" s="1510" t="s">
        <v>313</v>
      </c>
      <c r="B16" s="1510" t="s">
        <v>869</v>
      </c>
      <c r="C16" s="1062" t="s">
        <v>83</v>
      </c>
      <c r="D16" s="1062" t="s">
        <v>870</v>
      </c>
      <c r="E16" s="1153">
        <v>0.7</v>
      </c>
      <c r="F16" s="1154">
        <v>1171131</v>
      </c>
      <c r="G16" s="1154">
        <f>ROUND((E16*F16),0)</f>
        <v>819792</v>
      </c>
      <c r="H16" s="1550" t="s">
        <v>2409</v>
      </c>
      <c r="I16" s="799">
        <v>0</v>
      </c>
      <c r="J16" s="1132">
        <f>ROUND(I16*F16,0)</f>
        <v>0</v>
      </c>
      <c r="K16" s="1133">
        <f t="shared" si="2"/>
        <v>0</v>
      </c>
      <c r="L16" s="1134">
        <f t="shared" ref="L16:L17" si="3">I16</f>
        <v>0</v>
      </c>
      <c r="M16" s="1124">
        <f t="shared" si="0"/>
        <v>0</v>
      </c>
      <c r="N16" s="1133">
        <f t="shared" si="1"/>
        <v>0</v>
      </c>
    </row>
    <row r="17" spans="1:14" ht="43.2" x14ac:dyDescent="0.3">
      <c r="A17" s="1510"/>
      <c r="B17" s="1510"/>
      <c r="C17" s="1062" t="s">
        <v>61</v>
      </c>
      <c r="D17" s="1062" t="s">
        <v>871</v>
      </c>
      <c r="E17" s="1153">
        <v>1</v>
      </c>
      <c r="F17" s="1154">
        <v>2818036</v>
      </c>
      <c r="G17" s="1154">
        <f>ROUND((E17*F17),0)</f>
        <v>2818036</v>
      </c>
      <c r="H17" s="1550"/>
      <c r="I17" s="799">
        <v>0</v>
      </c>
      <c r="J17" s="1132">
        <f>ROUND(I17*F17,0)</f>
        <v>0</v>
      </c>
      <c r="K17" s="1133">
        <f t="shared" si="2"/>
        <v>0</v>
      </c>
      <c r="L17" s="1134">
        <f t="shared" si="3"/>
        <v>0</v>
      </c>
      <c r="M17" s="1124">
        <f t="shared" si="0"/>
        <v>0</v>
      </c>
      <c r="N17" s="1133">
        <f t="shared" si="1"/>
        <v>0</v>
      </c>
    </row>
    <row r="18" spans="1:14" x14ac:dyDescent="0.3">
      <c r="A18" s="1510"/>
      <c r="B18" s="1510"/>
      <c r="C18" s="647"/>
      <c r="D18" s="647" t="s">
        <v>872</v>
      </c>
      <c r="E18" s="648"/>
      <c r="F18" s="648"/>
      <c r="G18" s="649">
        <f>SUM(G16:G17)</f>
        <v>3637828</v>
      </c>
      <c r="H18" s="1550"/>
      <c r="I18" s="1108"/>
      <c r="J18" s="1146">
        <f>SUM(J16:J17)</f>
        <v>0</v>
      </c>
      <c r="K18" s="1136">
        <f t="shared" si="2"/>
        <v>0</v>
      </c>
      <c r="L18" s="1137"/>
      <c r="M18" s="1138">
        <f t="shared" si="0"/>
        <v>0</v>
      </c>
      <c r="N18" s="1136">
        <f t="shared" si="1"/>
        <v>0</v>
      </c>
    </row>
    <row r="19" spans="1:14" ht="43.2" x14ac:dyDescent="0.3">
      <c r="A19" s="1510" t="s">
        <v>200</v>
      </c>
      <c r="B19" s="1510" t="s">
        <v>415</v>
      </c>
      <c r="C19" s="1062" t="s">
        <v>118</v>
      </c>
      <c r="D19" s="1062" t="s">
        <v>119</v>
      </c>
      <c r="E19" s="1143">
        <v>0</v>
      </c>
      <c r="F19" s="646">
        <v>8307714</v>
      </c>
      <c r="G19" s="646">
        <f>ROUND((E19*F19),0)</f>
        <v>0</v>
      </c>
      <c r="H19" s="1514" t="s">
        <v>2410</v>
      </c>
      <c r="I19" s="799">
        <v>0</v>
      </c>
      <c r="J19" s="1132">
        <f>ROUND(I19*F19,0)</f>
        <v>0</v>
      </c>
      <c r="K19" s="1133">
        <v>0</v>
      </c>
      <c r="L19" s="1134">
        <f t="shared" ref="L19:L21" si="4">I19</f>
        <v>0</v>
      </c>
      <c r="M19" s="1124">
        <f t="shared" si="0"/>
        <v>0</v>
      </c>
      <c r="N19" s="1133">
        <v>0</v>
      </c>
    </row>
    <row r="20" spans="1:14" ht="43.2" x14ac:dyDescent="0.3">
      <c r="A20" s="1510"/>
      <c r="B20" s="1510"/>
      <c r="C20" s="1062" t="s">
        <v>83</v>
      </c>
      <c r="D20" s="1062" t="s">
        <v>120</v>
      </c>
      <c r="E20" s="1143">
        <v>0</v>
      </c>
      <c r="F20" s="646">
        <v>5270091</v>
      </c>
      <c r="G20" s="646">
        <f>ROUND((E20*F20),0)</f>
        <v>0</v>
      </c>
      <c r="H20" s="1510"/>
      <c r="I20" s="799">
        <v>0</v>
      </c>
      <c r="J20" s="1132">
        <f t="shared" ref="J20" si="5">ROUND(I20*F20,0)</f>
        <v>0</v>
      </c>
      <c r="K20" s="1133">
        <v>0</v>
      </c>
      <c r="L20" s="1134">
        <f t="shared" si="4"/>
        <v>0</v>
      </c>
      <c r="M20" s="1124">
        <f t="shared" si="0"/>
        <v>0</v>
      </c>
      <c r="N20" s="1133">
        <v>0</v>
      </c>
    </row>
    <row r="21" spans="1:14" ht="43.2" x14ac:dyDescent="0.3">
      <c r="A21" s="1510"/>
      <c r="B21" s="1510"/>
      <c r="C21" s="1062" t="s">
        <v>61</v>
      </c>
      <c r="D21" s="1062" t="s">
        <v>121</v>
      </c>
      <c r="E21" s="1143">
        <v>0.35</v>
      </c>
      <c r="F21" s="646">
        <v>4501536</v>
      </c>
      <c r="G21" s="646">
        <f>ROUND((E21*F21),0)</f>
        <v>1575538</v>
      </c>
      <c r="H21" s="1510"/>
      <c r="I21" s="799">
        <v>0</v>
      </c>
      <c r="J21" s="1132">
        <f>ROUND(I21*F21,0)</f>
        <v>0</v>
      </c>
      <c r="K21" s="1133">
        <f t="shared" si="2"/>
        <v>0</v>
      </c>
      <c r="L21" s="1134">
        <f t="shared" si="4"/>
        <v>0</v>
      </c>
      <c r="M21" s="1124">
        <f t="shared" si="0"/>
        <v>0</v>
      </c>
      <c r="N21" s="1133">
        <f t="shared" si="1"/>
        <v>0</v>
      </c>
    </row>
    <row r="22" spans="1:14" x14ac:dyDescent="0.3">
      <c r="A22" s="1510"/>
      <c r="B22" s="1510"/>
      <c r="C22" s="647"/>
      <c r="D22" s="647" t="s">
        <v>116</v>
      </c>
      <c r="E22" s="648"/>
      <c r="F22" s="648"/>
      <c r="G22" s="649">
        <f>SUM(G19:G21)</f>
        <v>1575538</v>
      </c>
      <c r="H22" s="1510"/>
      <c r="I22" s="1108"/>
      <c r="J22" s="1146">
        <f>SUM(J19:J21)</f>
        <v>0</v>
      </c>
      <c r="K22" s="1136">
        <f t="shared" si="2"/>
        <v>0</v>
      </c>
      <c r="L22" s="1137"/>
      <c r="M22" s="1138">
        <f t="shared" si="0"/>
        <v>0</v>
      </c>
      <c r="N22" s="1136">
        <f t="shared" si="1"/>
        <v>0</v>
      </c>
    </row>
    <row r="23" spans="1:14" ht="43.2" x14ac:dyDescent="0.3">
      <c r="A23" s="1510" t="s">
        <v>313</v>
      </c>
      <c r="B23" s="1510" t="s">
        <v>195</v>
      </c>
      <c r="C23" s="1062" t="s">
        <v>83</v>
      </c>
      <c r="D23" s="1062" t="s">
        <v>91</v>
      </c>
      <c r="E23" s="1143">
        <v>0.7</v>
      </c>
      <c r="F23" s="646">
        <v>1756697</v>
      </c>
      <c r="G23" s="646">
        <f>ROUND((E23*F23),0)</f>
        <v>1229688</v>
      </c>
      <c r="H23" s="1514" t="s">
        <v>2411</v>
      </c>
      <c r="I23" s="799">
        <v>0</v>
      </c>
      <c r="J23" s="1132">
        <f>ROUND(I23*F23,0)</f>
        <v>0</v>
      </c>
      <c r="K23" s="1133">
        <f t="shared" si="2"/>
        <v>0</v>
      </c>
      <c r="L23" s="1134">
        <f t="shared" ref="L23:M25" si="6">I23</f>
        <v>0</v>
      </c>
      <c r="M23" s="1124">
        <f t="shared" si="6"/>
        <v>0</v>
      </c>
      <c r="N23" s="1133">
        <f t="shared" si="1"/>
        <v>0</v>
      </c>
    </row>
    <row r="24" spans="1:14" ht="43.2" x14ac:dyDescent="0.3">
      <c r="A24" s="1510"/>
      <c r="B24" s="1510"/>
      <c r="C24" s="1062" t="s">
        <v>61</v>
      </c>
      <c r="D24" s="1062" t="s">
        <v>92</v>
      </c>
      <c r="E24" s="1143">
        <v>0</v>
      </c>
      <c r="F24" s="646">
        <v>6551016</v>
      </c>
      <c r="G24" s="646">
        <f>ROUND((E24*F24),0)</f>
        <v>0</v>
      </c>
      <c r="H24" s="1510"/>
      <c r="I24" s="799">
        <v>0</v>
      </c>
      <c r="J24" s="1132">
        <f>ROUND(I24*F24,0)</f>
        <v>0</v>
      </c>
      <c r="K24" s="1133">
        <v>0</v>
      </c>
      <c r="L24" s="1134">
        <f t="shared" si="6"/>
        <v>0</v>
      </c>
      <c r="M24" s="1124">
        <f t="shared" si="6"/>
        <v>0</v>
      </c>
      <c r="N24" s="1133">
        <v>0</v>
      </c>
    </row>
    <row r="25" spans="1:14" x14ac:dyDescent="0.3">
      <c r="A25" s="1510"/>
      <c r="B25" s="1510"/>
      <c r="C25" s="647"/>
      <c r="D25" s="647" t="s">
        <v>63</v>
      </c>
      <c r="E25" s="1155"/>
      <c r="F25" s="648"/>
      <c r="G25" s="649">
        <f>SUM(G23:G24)</f>
        <v>1229688</v>
      </c>
      <c r="H25" s="1510"/>
      <c r="I25" s="1108"/>
      <c r="J25" s="1146">
        <f>SUM(J23:J24)</f>
        <v>0</v>
      </c>
      <c r="K25" s="1136">
        <f t="shared" si="2"/>
        <v>0</v>
      </c>
      <c r="L25" s="1137"/>
      <c r="M25" s="1138">
        <f t="shared" si="6"/>
        <v>0</v>
      </c>
      <c r="N25" s="1136">
        <f t="shared" si="1"/>
        <v>0</v>
      </c>
    </row>
    <row r="26" spans="1:14" x14ac:dyDescent="0.3">
      <c r="F26" s="836" t="s">
        <v>1740</v>
      </c>
      <c r="G26" s="650">
        <f>SUM(G14:G25)/2</f>
        <v>10285829</v>
      </c>
      <c r="I26" s="547" t="s">
        <v>64</v>
      </c>
      <c r="J26" s="855">
        <f>SUM(J5:J25)/2</f>
        <v>0</v>
      </c>
      <c r="K26" s="1054"/>
      <c r="L26" s="547" t="s">
        <v>64</v>
      </c>
      <c r="M26" s="835">
        <f>SUM(M5:M25)/2</f>
        <v>0</v>
      </c>
      <c r="N26" s="1054"/>
    </row>
    <row r="27" spans="1:14" ht="26.4" x14ac:dyDescent="0.3">
      <c r="F27" s="1118" t="s">
        <v>65</v>
      </c>
      <c r="G27" s="1115">
        <v>0</v>
      </c>
      <c r="I27" s="548" t="s">
        <v>65</v>
      </c>
      <c r="J27" s="677">
        <v>0</v>
      </c>
      <c r="K27" s="1054"/>
      <c r="L27" s="548" t="s">
        <v>65</v>
      </c>
      <c r="M27" s="677">
        <v>0</v>
      </c>
      <c r="N27" s="1054"/>
    </row>
    <row r="28" spans="1:14" x14ac:dyDescent="0.3">
      <c r="F28" s="1119" t="s">
        <v>64</v>
      </c>
      <c r="G28" s="1151">
        <f>G26+G27</f>
        <v>10285829</v>
      </c>
      <c r="I28" s="549" t="s">
        <v>64</v>
      </c>
      <c r="J28" s="481">
        <f>J26+J27</f>
        <v>0</v>
      </c>
      <c r="K28" s="1054"/>
      <c r="L28" s="549" t="s">
        <v>64</v>
      </c>
      <c r="M28" s="481">
        <f>M26+M27</f>
        <v>0</v>
      </c>
      <c r="N28" s="1054"/>
    </row>
    <row r="29" spans="1:14" ht="26.4" x14ac:dyDescent="0.3">
      <c r="F29" s="501" t="s">
        <v>1439</v>
      </c>
      <c r="G29" s="1116">
        <f>ROUND(G28*0.015,0)</f>
        <v>154287</v>
      </c>
      <c r="I29" s="501" t="s">
        <v>1439</v>
      </c>
      <c r="J29" s="481">
        <f>ROUND(J28*0.015,0)</f>
        <v>0</v>
      </c>
      <c r="K29" s="1054"/>
      <c r="L29" s="501" t="s">
        <v>1439</v>
      </c>
      <c r="M29" s="481">
        <f>ROUND(M28*0.015,0)</f>
        <v>0</v>
      </c>
      <c r="N29" s="1054"/>
    </row>
    <row r="30" spans="1:14" ht="39.6" x14ac:dyDescent="0.3">
      <c r="F30" s="96" t="s">
        <v>1440</v>
      </c>
      <c r="G30" s="1117">
        <f>G28+G29</f>
        <v>10440116</v>
      </c>
      <c r="I30" s="96" t="s">
        <v>1440</v>
      </c>
      <c r="J30" s="783">
        <f>J28+J29</f>
        <v>0</v>
      </c>
      <c r="K30" s="856">
        <f>J30/G26</f>
        <v>0</v>
      </c>
      <c r="L30" s="96" t="s">
        <v>1440</v>
      </c>
      <c r="M30" s="425">
        <f>M28+M29</f>
        <v>0</v>
      </c>
      <c r="N30" s="857">
        <f>M30/G26</f>
        <v>0</v>
      </c>
    </row>
    <row r="31" spans="1:14" x14ac:dyDescent="0.3">
      <c r="F31" s="1122" t="s">
        <v>66</v>
      </c>
      <c r="G31" s="783">
        <f>G30*0.19</f>
        <v>1983622.04</v>
      </c>
      <c r="I31" s="551" t="s">
        <v>66</v>
      </c>
      <c r="J31" s="672">
        <f>J30*0.19</f>
        <v>0</v>
      </c>
      <c r="K31" s="1054"/>
      <c r="L31" s="551" t="s">
        <v>66</v>
      </c>
      <c r="M31" s="672">
        <f>M30*0.19</f>
        <v>0</v>
      </c>
      <c r="N31" s="1054"/>
    </row>
    <row r="32" spans="1:14" x14ac:dyDescent="0.3">
      <c r="F32" s="1123" t="s">
        <v>69</v>
      </c>
      <c r="G32" s="672">
        <f>G30+G31</f>
        <v>12423738.039999999</v>
      </c>
      <c r="I32" s="552" t="s">
        <v>69</v>
      </c>
      <c r="J32" s="672">
        <f>J30+J31</f>
        <v>0</v>
      </c>
      <c r="K32" s="1054"/>
      <c r="L32" s="552" t="s">
        <v>69</v>
      </c>
      <c r="M32" s="672">
        <f>M30+M31</f>
        <v>0</v>
      </c>
      <c r="N32" s="1054"/>
    </row>
    <row r="33" spans="9:14" x14ac:dyDescent="0.3">
      <c r="I33" s="1054"/>
      <c r="J33" s="1054"/>
      <c r="K33" s="1054"/>
      <c r="L33" s="1054"/>
      <c r="M33" s="1054"/>
      <c r="N33" s="1054"/>
    </row>
    <row r="34" spans="9:14" ht="26.4" x14ac:dyDescent="0.3">
      <c r="I34" s="186" t="s">
        <v>70</v>
      </c>
      <c r="J34" s="187" t="s">
        <v>71</v>
      </c>
      <c r="K34" s="186" t="s">
        <v>58</v>
      </c>
      <c r="L34" s="1054"/>
      <c r="M34" s="1054"/>
      <c r="N34" s="1054"/>
    </row>
    <row r="35" spans="9:14" x14ac:dyDescent="0.3">
      <c r="I35" s="69" t="s">
        <v>72</v>
      </c>
      <c r="J35" s="70">
        <f>J30</f>
        <v>0</v>
      </c>
      <c r="K35" s="360">
        <f>K30</f>
        <v>0</v>
      </c>
      <c r="L35" s="1054"/>
      <c r="M35" s="1054"/>
      <c r="N35" s="1054"/>
    </row>
    <row r="36" spans="9:14" x14ac:dyDescent="0.3">
      <c r="I36" s="72" t="s">
        <v>1</v>
      </c>
      <c r="J36" s="105">
        <f>J35</f>
        <v>0</v>
      </c>
      <c r="K36" s="361">
        <f>K35</f>
        <v>0</v>
      </c>
      <c r="L36" s="1054"/>
      <c r="M36" s="1054"/>
      <c r="N36" s="1054"/>
    </row>
    <row r="37" spans="9:14" x14ac:dyDescent="0.3">
      <c r="I37" s="72" t="s">
        <v>9</v>
      </c>
      <c r="J37" s="1423"/>
      <c r="K37" s="1424"/>
      <c r="L37" s="1054"/>
      <c r="M37" s="1054"/>
      <c r="N37" s="1054"/>
    </row>
    <row r="38" spans="9:14" x14ac:dyDescent="0.3">
      <c r="I38" s="440" t="s">
        <v>78</v>
      </c>
      <c r="J38" s="1423" t="s">
        <v>2426</v>
      </c>
      <c r="K38" s="1424"/>
      <c r="L38" s="1054"/>
      <c r="M38" s="1054"/>
      <c r="N38" s="1054"/>
    </row>
    <row r="39" spans="9:14" x14ac:dyDescent="0.3">
      <c r="I39" s="439" t="s">
        <v>8</v>
      </c>
      <c r="J39" s="1425" t="s">
        <v>2427</v>
      </c>
      <c r="K39" s="1426"/>
      <c r="L39" s="1054"/>
      <c r="M39" s="1054"/>
      <c r="N39" s="1054"/>
    </row>
  </sheetData>
  <mergeCells count="30">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5"/>
    <mergeCell ref="B14:B15"/>
    <mergeCell ref="H14:H15"/>
    <mergeCell ref="A16:A18"/>
    <mergeCell ref="B16:B18"/>
    <mergeCell ref="H16:H18"/>
    <mergeCell ref="J37:K37"/>
    <mergeCell ref="J38:K38"/>
    <mergeCell ref="J39:K39"/>
    <mergeCell ref="A19:A22"/>
    <mergeCell ref="B19:B22"/>
    <mergeCell ref="H19:H22"/>
    <mergeCell ref="A23:A25"/>
    <mergeCell ref="B23:B25"/>
    <mergeCell ref="H23:H25"/>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1"/>
  <dimension ref="A1:G49"/>
  <sheetViews>
    <sheetView topLeftCell="A13" workbookViewId="0">
      <selection activeCell="G22" sqref="G2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RESUMEN!G170</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RESUMEN!B170</f>
        <v>D00249389</v>
      </c>
      <c r="C7" s="1265"/>
      <c r="D7" s="1177"/>
      <c r="E7" s="1266" t="s">
        <v>627</v>
      </c>
      <c r="F7" s="1267"/>
      <c r="G7" s="280" t="str">
        <f>RESUMEN!E170</f>
        <v xml:space="preserve">18-035 </v>
      </c>
    </row>
    <row r="8" spans="1:7" x14ac:dyDescent="0.25">
      <c r="A8" s="271" t="s">
        <v>628</v>
      </c>
      <c r="B8" s="1264" t="str">
        <f>RESUMEN!C170</f>
        <v>D00249389000</v>
      </c>
      <c r="C8" s="1265"/>
      <c r="D8" s="1177"/>
      <c r="E8" s="1266" t="s">
        <v>629</v>
      </c>
      <c r="F8" s="1267"/>
      <c r="G8" s="280" t="str">
        <f>RESUMEN!U170</f>
        <v>Acta N° 1: Marzo</v>
      </c>
    </row>
    <row r="9" spans="1:7" x14ac:dyDescent="0.25">
      <c r="A9" s="271" t="s">
        <v>630</v>
      </c>
      <c r="B9" s="1283" t="s">
        <v>631</v>
      </c>
      <c r="C9" s="1265"/>
      <c r="D9" s="1177"/>
      <c r="E9" s="1266" t="s">
        <v>632</v>
      </c>
      <c r="F9" s="1267"/>
      <c r="G9" s="1178">
        <f>RESUMEN!H170</f>
        <v>10460482</v>
      </c>
    </row>
    <row r="10" spans="1:7" x14ac:dyDescent="0.25">
      <c r="A10" s="271" t="s">
        <v>633</v>
      </c>
      <c r="B10" s="1283" t="str">
        <f>RESUMEN!D170</f>
        <v>ZIPAQUIRA</v>
      </c>
      <c r="C10" s="1265"/>
      <c r="D10" s="1177"/>
      <c r="E10" s="1266" t="s">
        <v>634</v>
      </c>
      <c r="F10" s="1267"/>
      <c r="G10" s="1178">
        <f>RESUMEN!R170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RESUMEN!N170</f>
        <v>0</v>
      </c>
      <c r="F19" s="1248"/>
      <c r="G19" s="1177"/>
    </row>
    <row r="20" spans="1:7" ht="27" customHeight="1" x14ac:dyDescent="0.25">
      <c r="A20" s="1177"/>
      <c r="B20" s="1244" t="s">
        <v>1498</v>
      </c>
      <c r="C20" s="1245"/>
      <c r="D20" s="1246"/>
      <c r="E20" s="1247">
        <f>RESUMEN!P170</f>
        <v>0</v>
      </c>
      <c r="F20" s="1248"/>
      <c r="G20" s="1177"/>
    </row>
    <row r="21" spans="1:7" ht="27" customHeight="1" x14ac:dyDescent="0.25">
      <c r="A21" s="1177"/>
      <c r="B21" s="1244" t="s">
        <v>1499</v>
      </c>
      <c r="C21" s="1245"/>
      <c r="D21" s="1246"/>
      <c r="E21" s="1247">
        <f>RESUMEN!Q170</f>
        <v>0</v>
      </c>
      <c r="F21" s="1248"/>
      <c r="G21" s="1177"/>
    </row>
    <row r="22" spans="1:7" x14ac:dyDescent="0.25">
      <c r="A22" s="1177"/>
      <c r="B22" s="1254" t="s">
        <v>64</v>
      </c>
      <c r="C22" s="1254"/>
      <c r="D22" s="1254"/>
      <c r="E22" s="1255">
        <f>RESUMEN!R170</f>
        <v>0</v>
      </c>
      <c r="F22" s="1255"/>
      <c r="G22" s="1177"/>
    </row>
    <row r="23" spans="1:7" x14ac:dyDescent="0.25">
      <c r="A23" s="1177"/>
      <c r="B23" s="1256" t="s">
        <v>66</v>
      </c>
      <c r="C23" s="1256"/>
      <c r="D23" s="1256"/>
      <c r="E23" s="1257">
        <f>RESUMEN!S170</f>
        <v>0</v>
      </c>
      <c r="F23" s="1257"/>
      <c r="G23" s="1177"/>
    </row>
    <row r="24" spans="1:7" x14ac:dyDescent="0.25">
      <c r="A24" s="1177"/>
      <c r="B24" s="1258" t="s">
        <v>1</v>
      </c>
      <c r="C24" s="1258"/>
      <c r="D24" s="1258"/>
      <c r="E24" s="1259">
        <f>RESUMEN!T170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+'OT18-035 ZIPAQUIRA'!I54</f>
        <v>ACTA 1</v>
      </c>
      <c r="C28" s="1253">
        <f>+'OT18-035 ZIPAQUIRA'!J54</f>
        <v>0</v>
      </c>
      <c r="D28" s="1253"/>
      <c r="E28" s="267">
        <f>+'OT18-035 ZIPAQUIRA'!K54</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2"/>
  <dimension ref="A1:N59"/>
  <sheetViews>
    <sheetView topLeftCell="A40" zoomScale="80" zoomScaleNormal="80" workbookViewId="0">
      <selection activeCell="I18" sqref="I18:N20"/>
    </sheetView>
  </sheetViews>
  <sheetFormatPr baseColWidth="10" defaultRowHeight="14.4" x14ac:dyDescent="0.3"/>
  <cols>
    <col min="2" max="2" width="20.88671875" customWidth="1"/>
    <col min="3" max="3" width="23" customWidth="1"/>
    <col min="4" max="4" width="24.33203125" customWidth="1"/>
    <col min="7" max="7" width="14.33203125" customWidth="1"/>
    <col min="8" max="8" width="34.109375" customWidth="1"/>
  </cols>
  <sheetData>
    <row r="1" spans="1:14" x14ac:dyDescent="0.3">
      <c r="A1" s="169"/>
      <c r="B1" s="188"/>
      <c r="C1" s="1307" t="s">
        <v>40</v>
      </c>
      <c r="D1" s="1308"/>
      <c r="E1" s="1308"/>
      <c r="F1" s="1308"/>
      <c r="G1" s="1308"/>
      <c r="H1" s="1308"/>
      <c r="I1" s="1308"/>
      <c r="J1" s="1308"/>
      <c r="K1" s="1532" t="s">
        <v>2137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1745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2412</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55</v>
      </c>
      <c r="G13" s="1148" t="s">
        <v>56</v>
      </c>
      <c r="H13" s="1147" t="s">
        <v>57</v>
      </c>
      <c r="I13" s="502" t="s">
        <v>54</v>
      </c>
      <c r="J13" s="502" t="s">
        <v>56</v>
      </c>
      <c r="K13" s="502" t="s">
        <v>58</v>
      </c>
      <c r="L13" s="502" t="s">
        <v>54</v>
      </c>
      <c r="M13" s="502" t="s">
        <v>56</v>
      </c>
      <c r="N13" s="502" t="s">
        <v>58</v>
      </c>
    </row>
    <row r="14" spans="1:14" ht="43.2" x14ac:dyDescent="0.3">
      <c r="A14" s="1510" t="s">
        <v>201</v>
      </c>
      <c r="B14" s="1510" t="s">
        <v>165</v>
      </c>
      <c r="C14" s="1062" t="s">
        <v>81</v>
      </c>
      <c r="D14" s="1062" t="s">
        <v>166</v>
      </c>
      <c r="E14" s="1062">
        <v>0</v>
      </c>
      <c r="F14" s="646">
        <v>1207729</v>
      </c>
      <c r="G14" s="646">
        <f>ROUND((E14*F14),0)</f>
        <v>0</v>
      </c>
      <c r="H14" s="1510" t="s">
        <v>2413</v>
      </c>
      <c r="I14" s="799">
        <v>0</v>
      </c>
      <c r="J14" s="1132">
        <f>ROUND(I14*F14,0)</f>
        <v>0</v>
      </c>
      <c r="K14" s="1133">
        <v>0</v>
      </c>
      <c r="L14" s="1134">
        <f t="shared" ref="L14:M17" si="0">I14</f>
        <v>0</v>
      </c>
      <c r="M14" s="1124">
        <f t="shared" si="0"/>
        <v>0</v>
      </c>
      <c r="N14" s="1133">
        <v>0</v>
      </c>
    </row>
    <row r="15" spans="1:14" ht="43.2" x14ac:dyDescent="0.3">
      <c r="A15" s="1510"/>
      <c r="B15" s="1510"/>
      <c r="C15" s="1062" t="s">
        <v>83</v>
      </c>
      <c r="D15" s="1062" t="s">
        <v>167</v>
      </c>
      <c r="E15" s="1062">
        <v>0</v>
      </c>
      <c r="F15" s="646">
        <v>2781437</v>
      </c>
      <c r="G15" s="646">
        <f>ROUND((E15*F15),0)</f>
        <v>0</v>
      </c>
      <c r="H15" s="1510"/>
      <c r="I15" s="799">
        <v>0</v>
      </c>
      <c r="J15" s="1132">
        <f t="shared" ref="J15:J16" si="1">ROUND(I15*F15,0)</f>
        <v>0</v>
      </c>
      <c r="K15" s="1133">
        <v>0</v>
      </c>
      <c r="L15" s="1134">
        <f t="shared" si="0"/>
        <v>0</v>
      </c>
      <c r="M15" s="1124">
        <f t="shared" si="0"/>
        <v>0</v>
      </c>
      <c r="N15" s="1133">
        <v>0</v>
      </c>
    </row>
    <row r="16" spans="1:14" ht="43.2" x14ac:dyDescent="0.3">
      <c r="A16" s="1510"/>
      <c r="B16" s="1510"/>
      <c r="C16" s="1062" t="s">
        <v>61</v>
      </c>
      <c r="D16" s="1062" t="s">
        <v>168</v>
      </c>
      <c r="E16" s="1062">
        <v>0.35</v>
      </c>
      <c r="F16" s="646">
        <v>2671643</v>
      </c>
      <c r="G16" s="646">
        <f>ROUND((E16*F16),0)</f>
        <v>935075</v>
      </c>
      <c r="H16" s="1510"/>
      <c r="I16" s="799">
        <v>0</v>
      </c>
      <c r="J16" s="1132">
        <f t="shared" si="1"/>
        <v>0</v>
      </c>
      <c r="K16" s="1133">
        <f>J16/G16</f>
        <v>0</v>
      </c>
      <c r="L16" s="1134">
        <f t="shared" si="0"/>
        <v>0</v>
      </c>
      <c r="M16" s="1124">
        <f t="shared" si="0"/>
        <v>0</v>
      </c>
      <c r="N16" s="1133">
        <f t="shared" ref="N16:N20" si="2">M16/G16</f>
        <v>0</v>
      </c>
    </row>
    <row r="17" spans="1:14" x14ac:dyDescent="0.3">
      <c r="A17" s="1510"/>
      <c r="B17" s="1510"/>
      <c r="C17" s="647"/>
      <c r="D17" s="647" t="s">
        <v>169</v>
      </c>
      <c r="E17" s="648"/>
      <c r="F17" s="648"/>
      <c r="G17" s="649">
        <f>SUM(G14:G16)</f>
        <v>935075</v>
      </c>
      <c r="H17" s="1510"/>
      <c r="I17" s="1108"/>
      <c r="J17" s="1146">
        <f>SUM(J14:J16)</f>
        <v>0</v>
      </c>
      <c r="K17" s="1136">
        <f t="shared" ref="K17:K20" si="3">J17/G17</f>
        <v>0</v>
      </c>
      <c r="L17" s="1137"/>
      <c r="M17" s="1138">
        <f t="shared" si="0"/>
        <v>0</v>
      </c>
      <c r="N17" s="1136">
        <f t="shared" si="2"/>
        <v>0</v>
      </c>
    </row>
    <row r="18" spans="1:14" ht="43.2" x14ac:dyDescent="0.3">
      <c r="A18" s="1510" t="s">
        <v>201</v>
      </c>
      <c r="B18" s="1510" t="s">
        <v>195</v>
      </c>
      <c r="C18" s="1062" t="s">
        <v>83</v>
      </c>
      <c r="D18" s="1062" t="s">
        <v>91</v>
      </c>
      <c r="E18" s="1062">
        <v>0.3</v>
      </c>
      <c r="F18" s="646">
        <v>1756696</v>
      </c>
      <c r="G18" s="646">
        <f>ROUND((E18*F18),0)</f>
        <v>527009</v>
      </c>
      <c r="H18" s="1514" t="s">
        <v>2414</v>
      </c>
      <c r="I18" s="799">
        <v>0</v>
      </c>
      <c r="J18" s="1132">
        <f>ROUND(I18*F18,0)</f>
        <v>0</v>
      </c>
      <c r="K18" s="1133">
        <f>J18/G18</f>
        <v>0</v>
      </c>
      <c r="L18" s="1134">
        <f t="shared" ref="L18:M20" si="4">I18</f>
        <v>0</v>
      </c>
      <c r="M18" s="1124">
        <f t="shared" si="4"/>
        <v>0</v>
      </c>
      <c r="N18" s="1133">
        <f t="shared" si="2"/>
        <v>0</v>
      </c>
    </row>
    <row r="19" spans="1:14" ht="43.2" x14ac:dyDescent="0.3">
      <c r="A19" s="1510"/>
      <c r="B19" s="1510"/>
      <c r="C19" s="1062" t="s">
        <v>61</v>
      </c>
      <c r="D19" s="1062" t="s">
        <v>92</v>
      </c>
      <c r="E19" s="1062">
        <v>0</v>
      </c>
      <c r="F19" s="646">
        <v>6551016</v>
      </c>
      <c r="G19" s="646">
        <f>ROUND((E19*F19),0)</f>
        <v>0</v>
      </c>
      <c r="H19" s="1510"/>
      <c r="I19" s="799">
        <v>0</v>
      </c>
      <c r="J19" s="1132">
        <f>ROUND(I19*F19,0)</f>
        <v>0</v>
      </c>
      <c r="K19" s="1133">
        <v>0</v>
      </c>
      <c r="L19" s="1134">
        <f t="shared" si="4"/>
        <v>0</v>
      </c>
      <c r="M19" s="1124">
        <f t="shared" si="4"/>
        <v>0</v>
      </c>
      <c r="N19" s="1133">
        <v>0</v>
      </c>
    </row>
    <row r="20" spans="1:14" x14ac:dyDescent="0.3">
      <c r="A20" s="1510"/>
      <c r="B20" s="1510"/>
      <c r="C20" s="647"/>
      <c r="D20" s="647" t="s">
        <v>63</v>
      </c>
      <c r="E20" s="648"/>
      <c r="F20" s="648"/>
      <c r="G20" s="649">
        <f>SUM(G18:G19)</f>
        <v>527009</v>
      </c>
      <c r="H20" s="1510"/>
      <c r="I20" s="1108"/>
      <c r="J20" s="1146">
        <f>SUM(J18:J19)</f>
        <v>0</v>
      </c>
      <c r="K20" s="1136">
        <f t="shared" si="3"/>
        <v>0</v>
      </c>
      <c r="L20" s="1137"/>
      <c r="M20" s="1138">
        <f t="shared" si="4"/>
        <v>0</v>
      </c>
      <c r="N20" s="1136">
        <f t="shared" si="2"/>
        <v>0</v>
      </c>
    </row>
    <row r="21" spans="1:14" ht="43.2" x14ac:dyDescent="0.3">
      <c r="A21" s="1510" t="s">
        <v>151</v>
      </c>
      <c r="B21" s="1510" t="s">
        <v>217</v>
      </c>
      <c r="C21" s="1062" t="s">
        <v>81</v>
      </c>
      <c r="D21" s="1062" t="s">
        <v>218</v>
      </c>
      <c r="E21" s="1062">
        <v>0</v>
      </c>
      <c r="F21" s="646">
        <v>1207729</v>
      </c>
      <c r="G21" s="646">
        <f>ROUND((E21*F21),0)</f>
        <v>0</v>
      </c>
      <c r="H21" s="1510" t="s">
        <v>2415</v>
      </c>
      <c r="I21" s="799">
        <v>0</v>
      </c>
      <c r="J21" s="1132">
        <f>ROUND(I21*F21,0)</f>
        <v>0</v>
      </c>
      <c r="K21" s="1133">
        <v>0</v>
      </c>
      <c r="L21" s="1134">
        <f t="shared" ref="L21:M24" si="5">I21</f>
        <v>0</v>
      </c>
      <c r="M21" s="1124">
        <f t="shared" si="5"/>
        <v>0</v>
      </c>
      <c r="N21" s="1133">
        <v>0</v>
      </c>
    </row>
    <row r="22" spans="1:14" ht="43.2" x14ac:dyDescent="0.3">
      <c r="A22" s="1510"/>
      <c r="B22" s="1510"/>
      <c r="C22" s="1062" t="s">
        <v>83</v>
      </c>
      <c r="D22" s="1062" t="s">
        <v>219</v>
      </c>
      <c r="E22" s="1062">
        <v>0</v>
      </c>
      <c r="F22" s="646">
        <v>2781437</v>
      </c>
      <c r="G22" s="646">
        <f>ROUND((E22*F22),0)</f>
        <v>0</v>
      </c>
      <c r="H22" s="1510"/>
      <c r="I22" s="799">
        <v>0</v>
      </c>
      <c r="J22" s="1132">
        <f t="shared" ref="J22:J23" si="6">ROUND(I22*F22,0)</f>
        <v>0</v>
      </c>
      <c r="K22" s="1133">
        <v>0</v>
      </c>
      <c r="L22" s="1134">
        <f t="shared" si="5"/>
        <v>0</v>
      </c>
      <c r="M22" s="1124">
        <f t="shared" si="5"/>
        <v>0</v>
      </c>
      <c r="N22" s="1133">
        <v>0</v>
      </c>
    </row>
    <row r="23" spans="1:14" ht="43.2" x14ac:dyDescent="0.3">
      <c r="A23" s="1510"/>
      <c r="B23" s="1510"/>
      <c r="C23" s="1062" t="s">
        <v>61</v>
      </c>
      <c r="D23" s="1062" t="s">
        <v>220</v>
      </c>
      <c r="E23" s="1062">
        <v>0.28000000000000003</v>
      </c>
      <c r="F23" s="646">
        <v>3367003</v>
      </c>
      <c r="G23" s="646">
        <f>ROUND((E23*F23),0)</f>
        <v>942761</v>
      </c>
      <c r="H23" s="1510"/>
      <c r="I23" s="799">
        <v>0</v>
      </c>
      <c r="J23" s="1132">
        <f t="shared" si="6"/>
        <v>0</v>
      </c>
      <c r="K23" s="1133">
        <f>J23/G23</f>
        <v>0</v>
      </c>
      <c r="L23" s="1134">
        <f t="shared" si="5"/>
        <v>0</v>
      </c>
      <c r="M23" s="1124">
        <f t="shared" si="5"/>
        <v>0</v>
      </c>
      <c r="N23" s="1133">
        <f t="shared" ref="N23:N27" si="7">M23/G23</f>
        <v>0</v>
      </c>
    </row>
    <row r="24" spans="1:14" x14ac:dyDescent="0.3">
      <c r="A24" s="1510"/>
      <c r="B24" s="1510"/>
      <c r="C24" s="647"/>
      <c r="D24" s="647" t="s">
        <v>221</v>
      </c>
      <c r="E24" s="648"/>
      <c r="F24" s="648"/>
      <c r="G24" s="649">
        <f>SUM(G21:G23)</f>
        <v>942761</v>
      </c>
      <c r="H24" s="1510"/>
      <c r="I24" s="1108"/>
      <c r="J24" s="1146">
        <f>SUM(J21:J23)</f>
        <v>0</v>
      </c>
      <c r="K24" s="1136">
        <f t="shared" ref="K24:K27" si="8">J24/G24</f>
        <v>0</v>
      </c>
      <c r="L24" s="1137"/>
      <c r="M24" s="1138">
        <f t="shared" si="5"/>
        <v>0</v>
      </c>
      <c r="N24" s="1136">
        <f t="shared" si="7"/>
        <v>0</v>
      </c>
    </row>
    <row r="25" spans="1:14" ht="43.2" x14ac:dyDescent="0.3">
      <c r="A25" s="1510" t="s">
        <v>151</v>
      </c>
      <c r="B25" s="1510" t="s">
        <v>170</v>
      </c>
      <c r="C25" s="1062" t="s">
        <v>83</v>
      </c>
      <c r="D25" s="1062" t="s">
        <v>123</v>
      </c>
      <c r="E25" s="1062">
        <v>1</v>
      </c>
      <c r="F25" s="646">
        <v>1097936</v>
      </c>
      <c r="G25" s="646">
        <f>ROUND((E25*F25),0)</f>
        <v>1097936</v>
      </c>
      <c r="H25" s="1514" t="s">
        <v>2416</v>
      </c>
      <c r="I25" s="799">
        <v>0</v>
      </c>
      <c r="J25" s="1132">
        <f>ROUND(I25*F25,0)</f>
        <v>0</v>
      </c>
      <c r="K25" s="1133">
        <f>J25/G25</f>
        <v>0</v>
      </c>
      <c r="L25" s="1134">
        <f t="shared" ref="L25:M27" si="9">I25</f>
        <v>0</v>
      </c>
      <c r="M25" s="1124">
        <f t="shared" si="9"/>
        <v>0</v>
      </c>
      <c r="N25" s="1133">
        <f t="shared" si="7"/>
        <v>0</v>
      </c>
    </row>
    <row r="26" spans="1:14" ht="43.2" x14ac:dyDescent="0.3">
      <c r="A26" s="1510"/>
      <c r="B26" s="1510"/>
      <c r="C26" s="1062" t="s">
        <v>61</v>
      </c>
      <c r="D26" s="1062" t="s">
        <v>125</v>
      </c>
      <c r="E26" s="1062">
        <v>0.7</v>
      </c>
      <c r="F26" s="646">
        <v>1061338</v>
      </c>
      <c r="G26" s="646">
        <f>ROUND((E26*F26),0)</f>
        <v>742937</v>
      </c>
      <c r="H26" s="1510"/>
      <c r="I26" s="799">
        <v>0</v>
      </c>
      <c r="J26" s="1132">
        <f>ROUND(I26*F26,0)</f>
        <v>0</v>
      </c>
      <c r="K26" s="1133">
        <v>0</v>
      </c>
      <c r="L26" s="1134">
        <f t="shared" si="9"/>
        <v>0</v>
      </c>
      <c r="M26" s="1124">
        <f t="shared" si="9"/>
        <v>0</v>
      </c>
      <c r="N26" s="1133">
        <v>0</v>
      </c>
    </row>
    <row r="27" spans="1:14" x14ac:dyDescent="0.3">
      <c r="A27" s="1510"/>
      <c r="B27" s="1510"/>
      <c r="C27" s="647"/>
      <c r="D27" s="647" t="s">
        <v>126</v>
      </c>
      <c r="E27" s="648"/>
      <c r="F27" s="648"/>
      <c r="G27" s="649">
        <f>SUM(G25:G26)</f>
        <v>1840873</v>
      </c>
      <c r="H27" s="1510"/>
      <c r="I27" s="1108"/>
      <c r="J27" s="1146">
        <f>SUM(J25:J26)</f>
        <v>0</v>
      </c>
      <c r="K27" s="1136">
        <f t="shared" si="8"/>
        <v>0</v>
      </c>
      <c r="L27" s="1137"/>
      <c r="M27" s="1138">
        <f t="shared" si="9"/>
        <v>0</v>
      </c>
      <c r="N27" s="1136">
        <f t="shared" si="7"/>
        <v>0</v>
      </c>
    </row>
    <row r="28" spans="1:14" ht="43.2" x14ac:dyDescent="0.3">
      <c r="A28" s="1510" t="s">
        <v>109</v>
      </c>
      <c r="B28" s="1510" t="s">
        <v>217</v>
      </c>
      <c r="C28" s="1062" t="s">
        <v>81</v>
      </c>
      <c r="D28" s="1062" t="s">
        <v>218</v>
      </c>
      <c r="E28" s="1062">
        <v>0</v>
      </c>
      <c r="F28" s="646">
        <v>1207729</v>
      </c>
      <c r="G28" s="646">
        <f>ROUND((E28*F28),0)</f>
        <v>0</v>
      </c>
      <c r="H28" s="1510" t="s">
        <v>2417</v>
      </c>
      <c r="I28" s="799">
        <v>0</v>
      </c>
      <c r="J28" s="1132">
        <f>ROUND(I28*F28,0)</f>
        <v>0</v>
      </c>
      <c r="K28" s="1133">
        <v>0</v>
      </c>
      <c r="L28" s="1134">
        <f t="shared" ref="L28:M31" si="10">I28</f>
        <v>0</v>
      </c>
      <c r="M28" s="1124">
        <f t="shared" si="10"/>
        <v>0</v>
      </c>
      <c r="N28" s="1133">
        <v>0</v>
      </c>
    </row>
    <row r="29" spans="1:14" ht="43.2" x14ac:dyDescent="0.3">
      <c r="A29" s="1510"/>
      <c r="B29" s="1510"/>
      <c r="C29" s="1062" t="s">
        <v>83</v>
      </c>
      <c r="D29" s="1062" t="s">
        <v>219</v>
      </c>
      <c r="E29" s="1062">
        <v>0</v>
      </c>
      <c r="F29" s="646">
        <v>2781437</v>
      </c>
      <c r="G29" s="646">
        <f>ROUND((E29*F29),0)</f>
        <v>0</v>
      </c>
      <c r="H29" s="1510"/>
      <c r="I29" s="799">
        <v>0</v>
      </c>
      <c r="J29" s="1132">
        <f t="shared" ref="J29:J30" si="11">ROUND(I29*F29,0)</f>
        <v>0</v>
      </c>
      <c r="K29" s="1133">
        <v>0</v>
      </c>
      <c r="L29" s="1134">
        <f t="shared" si="10"/>
        <v>0</v>
      </c>
      <c r="M29" s="1124">
        <f t="shared" si="10"/>
        <v>0</v>
      </c>
      <c r="N29" s="1133">
        <v>0</v>
      </c>
    </row>
    <row r="30" spans="1:14" ht="43.2" x14ac:dyDescent="0.3">
      <c r="A30" s="1510"/>
      <c r="B30" s="1510"/>
      <c r="C30" s="1062" t="s">
        <v>61</v>
      </c>
      <c r="D30" s="1062" t="s">
        <v>220</v>
      </c>
      <c r="E30" s="1062">
        <v>0.28000000000000003</v>
      </c>
      <c r="F30" s="646">
        <v>3367003</v>
      </c>
      <c r="G30" s="646">
        <f>ROUND((E30*F30),0)</f>
        <v>942761</v>
      </c>
      <c r="H30" s="1510"/>
      <c r="I30" s="799">
        <v>0</v>
      </c>
      <c r="J30" s="1132">
        <f t="shared" si="11"/>
        <v>0</v>
      </c>
      <c r="K30" s="1133">
        <f t="shared" ref="K30:K34" si="12">J30/G30</f>
        <v>0</v>
      </c>
      <c r="L30" s="1134">
        <f t="shared" si="10"/>
        <v>0</v>
      </c>
      <c r="M30" s="1124">
        <f t="shared" si="10"/>
        <v>0</v>
      </c>
      <c r="N30" s="1133">
        <f t="shared" ref="N30:N36" si="13">M30/G30</f>
        <v>0</v>
      </c>
    </row>
    <row r="31" spans="1:14" x14ac:dyDescent="0.3">
      <c r="A31" s="1510"/>
      <c r="B31" s="1510"/>
      <c r="C31" s="647"/>
      <c r="D31" s="647" t="s">
        <v>221</v>
      </c>
      <c r="E31" s="648"/>
      <c r="F31" s="648"/>
      <c r="G31" s="649">
        <f>SUM(G28:G30)</f>
        <v>942761</v>
      </c>
      <c r="H31" s="1510"/>
      <c r="I31" s="1108"/>
      <c r="J31" s="1146">
        <f>SUM(J28:J30)</f>
        <v>0</v>
      </c>
      <c r="K31" s="1136">
        <f t="shared" si="12"/>
        <v>0</v>
      </c>
      <c r="L31" s="1137"/>
      <c r="M31" s="1138">
        <f t="shared" si="10"/>
        <v>0</v>
      </c>
      <c r="N31" s="1136">
        <f t="shared" si="13"/>
        <v>0</v>
      </c>
    </row>
    <row r="32" spans="1:14" ht="43.2" x14ac:dyDescent="0.3">
      <c r="A32" s="1510" t="s">
        <v>109</v>
      </c>
      <c r="B32" s="1510" t="s">
        <v>170</v>
      </c>
      <c r="C32" s="1062" t="s">
        <v>83</v>
      </c>
      <c r="D32" s="1062" t="s">
        <v>123</v>
      </c>
      <c r="E32" s="1062">
        <v>1</v>
      </c>
      <c r="F32" s="646">
        <v>1097936</v>
      </c>
      <c r="G32" s="646">
        <f>ROUND((E32*F32),0)</f>
        <v>1097936</v>
      </c>
      <c r="H32" s="1514" t="s">
        <v>2418</v>
      </c>
      <c r="I32" s="799">
        <v>0</v>
      </c>
      <c r="J32" s="1132">
        <f>ROUND(I32*F32,0)</f>
        <v>0</v>
      </c>
      <c r="K32" s="1133">
        <f t="shared" si="12"/>
        <v>0</v>
      </c>
      <c r="L32" s="1134">
        <f t="shared" ref="L32:M34" si="14">I32</f>
        <v>0</v>
      </c>
      <c r="M32" s="1124">
        <f t="shared" si="14"/>
        <v>0</v>
      </c>
      <c r="N32" s="1133">
        <f t="shared" si="13"/>
        <v>0</v>
      </c>
    </row>
    <row r="33" spans="1:14" ht="43.2" x14ac:dyDescent="0.3">
      <c r="A33" s="1510"/>
      <c r="B33" s="1510"/>
      <c r="C33" s="1062" t="s">
        <v>61</v>
      </c>
      <c r="D33" s="1062" t="s">
        <v>125</v>
      </c>
      <c r="E33" s="1062">
        <v>0.7</v>
      </c>
      <c r="F33" s="646">
        <v>1061338</v>
      </c>
      <c r="G33" s="646">
        <f>ROUND((E33*F33),0)</f>
        <v>742937</v>
      </c>
      <c r="H33" s="1510"/>
      <c r="I33" s="799">
        <v>0</v>
      </c>
      <c r="J33" s="1132">
        <f>ROUND(I33*F33,0)</f>
        <v>0</v>
      </c>
      <c r="K33" s="1133">
        <v>0</v>
      </c>
      <c r="L33" s="1134">
        <f t="shared" si="14"/>
        <v>0</v>
      </c>
      <c r="M33" s="1124">
        <f t="shared" si="14"/>
        <v>0</v>
      </c>
      <c r="N33" s="1133">
        <v>0</v>
      </c>
    </row>
    <row r="34" spans="1:14" x14ac:dyDescent="0.3">
      <c r="A34" s="1510"/>
      <c r="B34" s="1510"/>
      <c r="C34" s="647"/>
      <c r="D34" s="647" t="s">
        <v>126</v>
      </c>
      <c r="E34" s="648"/>
      <c r="F34" s="648"/>
      <c r="G34" s="649">
        <f>SUM(G32:G33)</f>
        <v>1840873</v>
      </c>
      <c r="H34" s="1510"/>
      <c r="I34" s="1108"/>
      <c r="J34" s="1146">
        <f>SUM(J32:J33)</f>
        <v>0</v>
      </c>
      <c r="K34" s="1136">
        <f t="shared" si="12"/>
        <v>0</v>
      </c>
      <c r="L34" s="1137"/>
      <c r="M34" s="1138">
        <f t="shared" si="14"/>
        <v>0</v>
      </c>
      <c r="N34" s="1136">
        <f t="shared" si="13"/>
        <v>0</v>
      </c>
    </row>
    <row r="35" spans="1:14" ht="43.2" x14ac:dyDescent="0.3">
      <c r="A35" s="1510" t="s">
        <v>1622</v>
      </c>
      <c r="B35" s="1510" t="s">
        <v>240</v>
      </c>
      <c r="C35" s="1062" t="s">
        <v>59</v>
      </c>
      <c r="D35" s="1062" t="s">
        <v>241</v>
      </c>
      <c r="E35" s="1062">
        <v>0.3</v>
      </c>
      <c r="F35" s="646">
        <v>2561850</v>
      </c>
      <c r="G35" s="646">
        <f>ROUND((E35*F35),0)</f>
        <v>768555</v>
      </c>
      <c r="H35" s="1514" t="s">
        <v>1532</v>
      </c>
      <c r="I35" s="799">
        <v>0</v>
      </c>
      <c r="J35" s="1132">
        <f>ROUND(I35*F35,0)</f>
        <v>0</v>
      </c>
      <c r="K35" s="1133">
        <f>J35/G35</f>
        <v>0</v>
      </c>
      <c r="L35" s="1134">
        <f t="shared" ref="L35:M36" si="15">I35</f>
        <v>0</v>
      </c>
      <c r="M35" s="1124">
        <f t="shared" si="15"/>
        <v>0</v>
      </c>
      <c r="N35" s="1133">
        <f t="shared" si="13"/>
        <v>0</v>
      </c>
    </row>
    <row r="36" spans="1:14" x14ac:dyDescent="0.3">
      <c r="A36" s="1510"/>
      <c r="B36" s="1510"/>
      <c r="C36" s="647"/>
      <c r="D36" s="647" t="s">
        <v>242</v>
      </c>
      <c r="E36" s="648"/>
      <c r="F36" s="648"/>
      <c r="G36" s="649">
        <f>G35</f>
        <v>768555</v>
      </c>
      <c r="H36" s="1510"/>
      <c r="I36" s="1108"/>
      <c r="J36" s="1146">
        <f>SUM(J35)</f>
        <v>0</v>
      </c>
      <c r="K36" s="1136">
        <f t="shared" ref="K36" si="16">J36/G36</f>
        <v>0</v>
      </c>
      <c r="L36" s="1137"/>
      <c r="M36" s="1138">
        <f t="shared" si="15"/>
        <v>0</v>
      </c>
      <c r="N36" s="1136">
        <f t="shared" si="13"/>
        <v>0</v>
      </c>
    </row>
    <row r="37" spans="1:14" ht="43.2" x14ac:dyDescent="0.3">
      <c r="A37" s="1514" t="s">
        <v>280</v>
      </c>
      <c r="B37" s="1510" t="s">
        <v>170</v>
      </c>
      <c r="C37" s="1062" t="s">
        <v>83</v>
      </c>
      <c r="D37" s="1062" t="s">
        <v>123</v>
      </c>
      <c r="E37" s="1062">
        <v>0</v>
      </c>
      <c r="F37" s="646">
        <v>1097936</v>
      </c>
      <c r="G37" s="646">
        <f>ROUND((E37*F37),0)</f>
        <v>0</v>
      </c>
      <c r="H37" s="1514" t="s">
        <v>2419</v>
      </c>
      <c r="I37" s="799">
        <v>0</v>
      </c>
      <c r="J37" s="1132">
        <f>ROUND(I37*F37,0)</f>
        <v>0</v>
      </c>
      <c r="K37" s="1133">
        <v>0</v>
      </c>
      <c r="L37" s="1134">
        <f t="shared" ref="L37:M39" si="17">I37</f>
        <v>0</v>
      </c>
      <c r="M37" s="1124">
        <f t="shared" si="17"/>
        <v>0</v>
      </c>
      <c r="N37" s="1133">
        <v>0</v>
      </c>
    </row>
    <row r="38" spans="1:14" ht="43.2" x14ac:dyDescent="0.3">
      <c r="A38" s="1510"/>
      <c r="B38" s="1510"/>
      <c r="C38" s="1062" t="s">
        <v>61</v>
      </c>
      <c r="D38" s="1062" t="s">
        <v>125</v>
      </c>
      <c r="E38" s="1062">
        <v>0.7</v>
      </c>
      <c r="F38" s="646">
        <v>1061338</v>
      </c>
      <c r="G38" s="646">
        <f>ROUND((E38*F38),0)</f>
        <v>742937</v>
      </c>
      <c r="H38" s="1510"/>
      <c r="I38" s="799">
        <v>0</v>
      </c>
      <c r="J38" s="1132">
        <f>ROUND(I38*F38,0)</f>
        <v>0</v>
      </c>
      <c r="K38" s="1133">
        <v>0</v>
      </c>
      <c r="L38" s="1134">
        <f t="shared" si="17"/>
        <v>0</v>
      </c>
      <c r="M38" s="1124">
        <f t="shared" si="17"/>
        <v>0</v>
      </c>
      <c r="N38" s="1133">
        <v>0</v>
      </c>
    </row>
    <row r="39" spans="1:14" x14ac:dyDescent="0.3">
      <c r="A39" s="1510"/>
      <c r="B39" s="1510"/>
      <c r="C39" s="647"/>
      <c r="D39" s="647" t="s">
        <v>126</v>
      </c>
      <c r="E39" s="648"/>
      <c r="F39" s="648"/>
      <c r="G39" s="649">
        <f>SUM(G37:G38)</f>
        <v>742937</v>
      </c>
      <c r="H39" s="1510"/>
      <c r="I39" s="1108"/>
      <c r="J39" s="1146">
        <f>SUM(J37:J38)</f>
        <v>0</v>
      </c>
      <c r="K39" s="1136">
        <f t="shared" ref="K39:K42" si="18">J39/G39</f>
        <v>0</v>
      </c>
      <c r="L39" s="1137"/>
      <c r="M39" s="1138">
        <f t="shared" si="17"/>
        <v>0</v>
      </c>
      <c r="N39" s="1136">
        <f t="shared" ref="N39:N44" si="19">M39/G39</f>
        <v>0</v>
      </c>
    </row>
    <row r="40" spans="1:14" ht="43.2" x14ac:dyDescent="0.3">
      <c r="A40" s="1510" t="s">
        <v>280</v>
      </c>
      <c r="B40" s="1510" t="s">
        <v>282</v>
      </c>
      <c r="C40" s="1062" t="s">
        <v>81</v>
      </c>
      <c r="D40" s="1062" t="s">
        <v>105</v>
      </c>
      <c r="E40" s="1062">
        <v>0</v>
      </c>
      <c r="F40" s="646">
        <v>439174</v>
      </c>
      <c r="G40" s="646">
        <f>ROUND((E40*F40),0)</f>
        <v>0</v>
      </c>
      <c r="H40" s="1514" t="s">
        <v>2058</v>
      </c>
      <c r="I40" s="799">
        <v>0</v>
      </c>
      <c r="J40" s="1132">
        <f>ROUND(I40*F40,0)</f>
        <v>0</v>
      </c>
      <c r="K40" s="1133">
        <v>0</v>
      </c>
      <c r="L40" s="1134">
        <f t="shared" ref="L40:M42" si="20">I40</f>
        <v>0</v>
      </c>
      <c r="M40" s="1124">
        <f t="shared" si="20"/>
        <v>0</v>
      </c>
      <c r="N40" s="1133">
        <v>0</v>
      </c>
    </row>
    <row r="41" spans="1:14" ht="43.2" x14ac:dyDescent="0.3">
      <c r="A41" s="1510"/>
      <c r="B41" s="1510"/>
      <c r="C41" s="1062" t="s">
        <v>83</v>
      </c>
      <c r="D41" s="1062" t="s">
        <v>107</v>
      </c>
      <c r="E41" s="1062">
        <v>8.4000000000000005E-2</v>
      </c>
      <c r="F41" s="646">
        <v>1939687</v>
      </c>
      <c r="G41" s="646">
        <f>ROUND((E41*F41),0)</f>
        <v>162934</v>
      </c>
      <c r="H41" s="1510"/>
      <c r="I41" s="799">
        <v>0</v>
      </c>
      <c r="J41" s="1132">
        <f>ROUND(I41*F41,0)</f>
        <v>0</v>
      </c>
      <c r="K41" s="1133">
        <v>0</v>
      </c>
      <c r="L41" s="1134">
        <f t="shared" si="20"/>
        <v>0</v>
      </c>
      <c r="M41" s="1124">
        <f t="shared" si="20"/>
        <v>0</v>
      </c>
      <c r="N41" s="1133">
        <v>0</v>
      </c>
    </row>
    <row r="42" spans="1:14" x14ac:dyDescent="0.3">
      <c r="A42" s="1510"/>
      <c r="B42" s="1510"/>
      <c r="C42" s="647"/>
      <c r="D42" s="647" t="s">
        <v>108</v>
      </c>
      <c r="E42" s="648"/>
      <c r="F42" s="648"/>
      <c r="G42" s="649">
        <f>SUM(G40:G41)</f>
        <v>162934</v>
      </c>
      <c r="H42" s="1510"/>
      <c r="I42" s="1108"/>
      <c r="J42" s="1146">
        <f>SUM(J40:J41)</f>
        <v>0</v>
      </c>
      <c r="K42" s="1136">
        <f t="shared" si="18"/>
        <v>0</v>
      </c>
      <c r="L42" s="1137"/>
      <c r="M42" s="1138">
        <f t="shared" si="20"/>
        <v>0</v>
      </c>
      <c r="N42" s="1136">
        <f t="shared" si="19"/>
        <v>0</v>
      </c>
    </row>
    <row r="43" spans="1:14" ht="28.8" x14ac:dyDescent="0.3">
      <c r="A43" s="1514" t="s">
        <v>286</v>
      </c>
      <c r="B43" s="1510" t="s">
        <v>194</v>
      </c>
      <c r="C43" s="1062" t="s">
        <v>160</v>
      </c>
      <c r="D43" s="1062" t="s">
        <v>161</v>
      </c>
      <c r="E43" s="1062">
        <v>24</v>
      </c>
      <c r="F43" s="646">
        <v>73196</v>
      </c>
      <c r="G43" s="646">
        <f>ROUND((E43*F43),0)</f>
        <v>1756704</v>
      </c>
      <c r="H43" s="1514" t="s">
        <v>2420</v>
      </c>
      <c r="I43" s="799">
        <v>0</v>
      </c>
      <c r="J43" s="1132">
        <f>ROUND(I43*F43,0)</f>
        <v>0</v>
      </c>
      <c r="K43" s="1133">
        <f>J43/G43</f>
        <v>0</v>
      </c>
      <c r="L43" s="1134">
        <f t="shared" ref="L43:M44" si="21">I43</f>
        <v>0</v>
      </c>
      <c r="M43" s="1124">
        <f t="shared" si="21"/>
        <v>0</v>
      </c>
      <c r="N43" s="1133">
        <f t="shared" si="19"/>
        <v>0</v>
      </c>
    </row>
    <row r="44" spans="1:14" x14ac:dyDescent="0.3">
      <c r="A44" s="1510"/>
      <c r="B44" s="1510"/>
      <c r="C44" s="647"/>
      <c r="D44" s="647" t="s">
        <v>162</v>
      </c>
      <c r="E44" s="648"/>
      <c r="F44" s="648"/>
      <c r="G44" s="649">
        <f>G43</f>
        <v>1756704</v>
      </c>
      <c r="H44" s="1510"/>
      <c r="I44" s="1108"/>
      <c r="J44" s="1146">
        <f>SUM(J43)</f>
        <v>0</v>
      </c>
      <c r="K44" s="1136">
        <f t="shared" ref="K44" si="22">J44/G44</f>
        <v>0</v>
      </c>
      <c r="L44" s="1137"/>
      <c r="M44" s="1138">
        <f t="shared" si="21"/>
        <v>0</v>
      </c>
      <c r="N44" s="1136">
        <f t="shared" si="19"/>
        <v>0</v>
      </c>
    </row>
    <row r="45" spans="1:14" x14ac:dyDescent="0.3">
      <c r="F45" s="836" t="s">
        <v>1740</v>
      </c>
      <c r="G45" s="650">
        <f>SUM(G14:G44)/2</f>
        <v>10460482</v>
      </c>
      <c r="I45" s="547" t="s">
        <v>64</v>
      </c>
      <c r="J45" s="855">
        <f>SUM(J14:J44)/2</f>
        <v>0</v>
      </c>
      <c r="K45" s="1054"/>
      <c r="L45" s="547" t="s">
        <v>64</v>
      </c>
      <c r="M45" s="835">
        <f>SUM(M14:M44)/2</f>
        <v>0</v>
      </c>
      <c r="N45" s="1054"/>
    </row>
    <row r="46" spans="1:14" ht="26.4" x14ac:dyDescent="0.3">
      <c r="F46" s="1118" t="s">
        <v>65</v>
      </c>
      <c r="G46" s="1115">
        <v>0</v>
      </c>
      <c r="I46" s="548" t="s">
        <v>65</v>
      </c>
      <c r="J46" s="677">
        <v>0</v>
      </c>
      <c r="K46" s="1054"/>
      <c r="L46" s="548" t="s">
        <v>65</v>
      </c>
      <c r="M46" s="677">
        <v>0</v>
      </c>
      <c r="N46" s="1054"/>
    </row>
    <row r="47" spans="1:14" x14ac:dyDescent="0.3">
      <c r="F47" s="1119" t="s">
        <v>64</v>
      </c>
      <c r="G47" s="1151">
        <f>G45+G46</f>
        <v>10460482</v>
      </c>
      <c r="I47" s="549" t="s">
        <v>64</v>
      </c>
      <c r="J47" s="481">
        <f>J45+J46</f>
        <v>0</v>
      </c>
      <c r="K47" s="1054"/>
      <c r="L47" s="549" t="s">
        <v>64</v>
      </c>
      <c r="M47" s="481">
        <f>M45+M46</f>
        <v>0</v>
      </c>
      <c r="N47" s="1054"/>
    </row>
    <row r="48" spans="1:14" ht="26.4" x14ac:dyDescent="0.3">
      <c r="F48" s="501" t="s">
        <v>1439</v>
      </c>
      <c r="G48" s="1116">
        <f>ROUND(G47*0.015,0)</f>
        <v>156907</v>
      </c>
      <c r="I48" s="501" t="s">
        <v>1439</v>
      </c>
      <c r="J48" s="481">
        <f>ROUND(J47*0.015,0)</f>
        <v>0</v>
      </c>
      <c r="K48" s="1054"/>
      <c r="L48" s="501" t="s">
        <v>1439</v>
      </c>
      <c r="M48" s="481">
        <f>ROUND(M47*0.015,0)</f>
        <v>0</v>
      </c>
      <c r="N48" s="1054"/>
    </row>
    <row r="49" spans="6:14" ht="39.6" x14ac:dyDescent="0.3">
      <c r="F49" s="96" t="s">
        <v>1440</v>
      </c>
      <c r="G49" s="1117">
        <f>G47+G48</f>
        <v>10617389</v>
      </c>
      <c r="I49" s="96" t="s">
        <v>1440</v>
      </c>
      <c r="J49" s="783">
        <f>J47+J48</f>
        <v>0</v>
      </c>
      <c r="K49" s="856">
        <f>J49/G45</f>
        <v>0</v>
      </c>
      <c r="L49" s="96" t="s">
        <v>1440</v>
      </c>
      <c r="M49" s="425">
        <f>M47+M48</f>
        <v>0</v>
      </c>
      <c r="N49" s="857">
        <f>M49/G45</f>
        <v>0</v>
      </c>
    </row>
    <row r="50" spans="6:14" x14ac:dyDescent="0.3">
      <c r="F50" s="1122" t="s">
        <v>66</v>
      </c>
      <c r="G50" s="783">
        <f>G49*0.19</f>
        <v>2017303.91</v>
      </c>
      <c r="I50" s="551" t="s">
        <v>66</v>
      </c>
      <c r="J50" s="672">
        <f>J49*0.19</f>
        <v>0</v>
      </c>
      <c r="K50" s="1054"/>
      <c r="L50" s="551" t="s">
        <v>66</v>
      </c>
      <c r="M50" s="672">
        <f>M49*0.19</f>
        <v>0</v>
      </c>
      <c r="N50" s="1054"/>
    </row>
    <row r="51" spans="6:14" x14ac:dyDescent="0.3">
      <c r="F51" s="1123" t="s">
        <v>69</v>
      </c>
      <c r="G51" s="672">
        <f>G49+G50</f>
        <v>12634692.91</v>
      </c>
      <c r="I51" s="552" t="s">
        <v>69</v>
      </c>
      <c r="J51" s="672">
        <f>J49+J50</f>
        <v>0</v>
      </c>
      <c r="K51" s="1054"/>
      <c r="L51" s="552" t="s">
        <v>69</v>
      </c>
      <c r="M51" s="672">
        <f>M49+M50</f>
        <v>0</v>
      </c>
      <c r="N51" s="1054"/>
    </row>
    <row r="52" spans="6:14" x14ac:dyDescent="0.3">
      <c r="I52" s="1054"/>
      <c r="J52" s="1054"/>
      <c r="K52" s="1054"/>
      <c r="L52" s="1054"/>
      <c r="M52" s="1054"/>
      <c r="N52" s="1054"/>
    </row>
    <row r="53" spans="6:14" ht="26.4" x14ac:dyDescent="0.3">
      <c r="I53" s="186" t="s">
        <v>70</v>
      </c>
      <c r="J53" s="187" t="s">
        <v>71</v>
      </c>
      <c r="K53" s="186" t="s">
        <v>58</v>
      </c>
      <c r="L53" s="1054"/>
      <c r="M53" s="1054"/>
      <c r="N53" s="1054"/>
    </row>
    <row r="54" spans="6:14" x14ac:dyDescent="0.3">
      <c r="I54" s="69" t="s">
        <v>72</v>
      </c>
      <c r="J54" s="70">
        <f>J49</f>
        <v>0</v>
      </c>
      <c r="K54" s="360">
        <f>K49</f>
        <v>0</v>
      </c>
      <c r="L54" s="1054"/>
      <c r="M54" s="1054"/>
      <c r="N54" s="1054"/>
    </row>
    <row r="55" spans="6:14" x14ac:dyDescent="0.3">
      <c r="I55" s="72" t="s">
        <v>1</v>
      </c>
      <c r="J55" s="105">
        <f>J54</f>
        <v>0</v>
      </c>
      <c r="K55" s="361">
        <f>K54</f>
        <v>0</v>
      </c>
      <c r="L55" s="1054"/>
      <c r="M55" s="1054"/>
      <c r="N55" s="1054"/>
    </row>
    <row r="56" spans="6:14" x14ac:dyDescent="0.3">
      <c r="I56" s="72" t="s">
        <v>9</v>
      </c>
      <c r="J56" s="1423"/>
      <c r="K56" s="1424"/>
      <c r="L56" s="1054"/>
      <c r="M56" s="1054"/>
      <c r="N56" s="1054"/>
    </row>
    <row r="57" spans="6:14" x14ac:dyDescent="0.3">
      <c r="I57" s="440" t="s">
        <v>78</v>
      </c>
      <c r="J57" s="1423" t="s">
        <v>1986</v>
      </c>
      <c r="K57" s="1424"/>
      <c r="L57" s="1054"/>
      <c r="M57" s="1054"/>
      <c r="N57" s="1054"/>
    </row>
    <row r="58" spans="6:14" x14ac:dyDescent="0.3">
      <c r="I58" s="439" t="s">
        <v>8</v>
      </c>
      <c r="J58" s="1425" t="s">
        <v>1987</v>
      </c>
      <c r="K58" s="1426"/>
      <c r="L58" s="1054"/>
      <c r="M58" s="1054"/>
      <c r="N58" s="1054"/>
    </row>
    <row r="59" spans="6:14" x14ac:dyDescent="0.3">
      <c r="I59" s="1054"/>
      <c r="J59" s="1054"/>
      <c r="K59" s="1054"/>
      <c r="L59" s="1054"/>
      <c r="M59" s="1054"/>
      <c r="N59" s="1054"/>
    </row>
  </sheetData>
  <mergeCells count="48">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7"/>
    <mergeCell ref="B14:B17"/>
    <mergeCell ref="H14:H17"/>
    <mergeCell ref="A18:A20"/>
    <mergeCell ref="B18:B20"/>
    <mergeCell ref="H18:H20"/>
    <mergeCell ref="H21:H24"/>
    <mergeCell ref="A25:A27"/>
    <mergeCell ref="B25:B27"/>
    <mergeCell ref="H25:H27"/>
    <mergeCell ref="A28:A31"/>
    <mergeCell ref="B28:B31"/>
    <mergeCell ref="H28:H31"/>
    <mergeCell ref="A21:A24"/>
    <mergeCell ref="B21:B24"/>
    <mergeCell ref="H32:H34"/>
    <mergeCell ref="A35:A36"/>
    <mergeCell ref="B35:B36"/>
    <mergeCell ref="H35:H36"/>
    <mergeCell ref="A37:A39"/>
    <mergeCell ref="B37:B39"/>
    <mergeCell ref="H37:H39"/>
    <mergeCell ref="A32:A34"/>
    <mergeCell ref="B32:B34"/>
    <mergeCell ref="J58:K58"/>
    <mergeCell ref="H40:H42"/>
    <mergeCell ref="A43:A44"/>
    <mergeCell ref="B43:B44"/>
    <mergeCell ref="H43:H44"/>
    <mergeCell ref="J56:K56"/>
    <mergeCell ref="J57:K57"/>
    <mergeCell ref="A40:A42"/>
    <mergeCell ref="B40:B42"/>
  </mergeCells>
  <pageMargins left="0.7" right="0.7" top="0.75" bottom="0.75" header="0.3" footer="0.3"/>
  <pageSetup orientation="portrait" r:id="rId1"/>
  <drawing r:id="rId2"/>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3"/>
  <dimension ref="A1:G49"/>
  <sheetViews>
    <sheetView topLeftCell="A22" workbookViewId="0">
      <selection activeCell="G27" sqref="G2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RESUMEN!G171</f>
        <v>Proyecto: Ingeniería para construcción de casa de control para la subestación Noroeste 230/115/34.5/11.4kV.</v>
      </c>
      <c r="C5" s="1281"/>
      <c r="D5" s="1281"/>
      <c r="E5" s="1281"/>
      <c r="F5" s="1281"/>
      <c r="G5" s="1282"/>
    </row>
    <row r="6" spans="1:7" x14ac:dyDescent="0.25">
      <c r="A6" s="1177"/>
      <c r="B6" s="1177"/>
      <c r="C6" s="1177"/>
      <c r="D6" s="1177"/>
      <c r="E6" s="1177"/>
      <c r="F6" s="1177"/>
      <c r="G6" s="1177"/>
    </row>
    <row r="7" spans="1:7" x14ac:dyDescent="0.25">
      <c r="A7" s="271" t="s">
        <v>0</v>
      </c>
      <c r="B7" s="1264">
        <f>RESUMEN!B171</f>
        <v>0</v>
      </c>
      <c r="C7" s="1265"/>
      <c r="D7" s="1177"/>
      <c r="E7" s="1266" t="s">
        <v>627</v>
      </c>
      <c r="F7" s="1267"/>
      <c r="G7" s="280" t="str">
        <f>RESUMEN!E171</f>
        <v xml:space="preserve">18-036 </v>
      </c>
    </row>
    <row r="8" spans="1:7" x14ac:dyDescent="0.25">
      <c r="A8" s="271" t="s">
        <v>628</v>
      </c>
      <c r="B8" s="1264">
        <f>RESUMEN!C171</f>
        <v>0</v>
      </c>
      <c r="C8" s="1265"/>
      <c r="D8" s="1177"/>
      <c r="E8" s="1266" t="s">
        <v>629</v>
      </c>
      <c r="F8" s="1267"/>
      <c r="G8" s="280" t="str">
        <f>RESUMEN!U171</f>
        <v>Acta N° 1: Marzo</v>
      </c>
    </row>
    <row r="9" spans="1:7" x14ac:dyDescent="0.25">
      <c r="A9" s="271" t="s">
        <v>630</v>
      </c>
      <c r="B9" s="1283" t="s">
        <v>631</v>
      </c>
      <c r="C9" s="1265"/>
      <c r="D9" s="1177"/>
      <c r="E9" s="1266" t="s">
        <v>632</v>
      </c>
      <c r="F9" s="1267"/>
      <c r="G9" s="1178">
        <f>RESUMEN!H171</f>
        <v>7239788</v>
      </c>
    </row>
    <row r="10" spans="1:7" x14ac:dyDescent="0.25">
      <c r="A10" s="271" t="s">
        <v>633</v>
      </c>
      <c r="B10" s="1283" t="str">
        <f>RESUMEN!D171</f>
        <v>NOROESTE</v>
      </c>
      <c r="C10" s="1265"/>
      <c r="D10" s="1177"/>
      <c r="E10" s="1266" t="s">
        <v>634</v>
      </c>
      <c r="F10" s="1267"/>
      <c r="G10" s="1178">
        <f>RESUMEN!R171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Ingeniería para construcción de casa de control para la subestación Noroeste 230/115/34.5/11.4kV.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RESUMEN!N171</f>
        <v>0</v>
      </c>
      <c r="F19" s="1248"/>
      <c r="G19" s="1177"/>
    </row>
    <row r="20" spans="1:7" ht="27" customHeight="1" x14ac:dyDescent="0.25">
      <c r="A20" s="1177"/>
      <c r="B20" s="1244" t="s">
        <v>1498</v>
      </c>
      <c r="C20" s="1245"/>
      <c r="D20" s="1246"/>
      <c r="E20" s="1247">
        <f>RESUMEN!P171</f>
        <v>0</v>
      </c>
      <c r="F20" s="1248"/>
      <c r="G20" s="1177"/>
    </row>
    <row r="21" spans="1:7" ht="27" customHeight="1" x14ac:dyDescent="0.25">
      <c r="A21" s="1177"/>
      <c r="B21" s="1244" t="s">
        <v>1499</v>
      </c>
      <c r="C21" s="1245"/>
      <c r="D21" s="1246"/>
      <c r="E21" s="1247">
        <f>RESUMEN!Q171</f>
        <v>0</v>
      </c>
      <c r="F21" s="1248"/>
      <c r="G21" s="1177"/>
    </row>
    <row r="22" spans="1:7" x14ac:dyDescent="0.25">
      <c r="A22" s="1177"/>
      <c r="B22" s="1254" t="s">
        <v>64</v>
      </c>
      <c r="C22" s="1254"/>
      <c r="D22" s="1254"/>
      <c r="E22" s="1255">
        <f>RESUMEN!R171</f>
        <v>0</v>
      </c>
      <c r="F22" s="1255"/>
      <c r="G22" s="1177"/>
    </row>
    <row r="23" spans="1:7" x14ac:dyDescent="0.25">
      <c r="A23" s="1177"/>
      <c r="B23" s="1256" t="s">
        <v>66</v>
      </c>
      <c r="C23" s="1256"/>
      <c r="D23" s="1256"/>
      <c r="E23" s="1257">
        <f>RESUMEN!S171</f>
        <v>0</v>
      </c>
      <c r="F23" s="1257"/>
      <c r="G23" s="1177"/>
    </row>
    <row r="24" spans="1:7" x14ac:dyDescent="0.25">
      <c r="A24" s="1177"/>
      <c r="B24" s="1258" t="s">
        <v>1</v>
      </c>
      <c r="C24" s="1258"/>
      <c r="D24" s="1258"/>
      <c r="E24" s="1259">
        <f>RESUMEN!T171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+'OT18-036 NOROESTE'!I25</f>
        <v>ACTA 1</v>
      </c>
      <c r="C28" s="1253">
        <f>+'OT18-036 NOROESTE'!J25</f>
        <v>0</v>
      </c>
      <c r="D28" s="1253"/>
      <c r="E28" s="267">
        <f>+'OT18-036 NOROESTE'!K25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4"/>
  <dimension ref="A1:N29"/>
  <sheetViews>
    <sheetView topLeftCell="A7" workbookViewId="0">
      <selection activeCell="A7" sqref="A7:M7"/>
    </sheetView>
  </sheetViews>
  <sheetFormatPr baseColWidth="10" defaultRowHeight="14.4" x14ac:dyDescent="0.3"/>
  <cols>
    <col min="3" max="3" width="20.6640625" customWidth="1"/>
    <col min="4" max="4" width="25.109375" customWidth="1"/>
    <col min="8" max="8" width="18.21875" customWidth="1"/>
  </cols>
  <sheetData>
    <row r="1" spans="1:14" x14ac:dyDescent="0.3">
      <c r="A1" s="169"/>
      <c r="B1" s="188"/>
      <c r="C1" s="1307" t="s">
        <v>40</v>
      </c>
      <c r="D1" s="1308"/>
      <c r="E1" s="1308"/>
      <c r="F1" s="1308"/>
      <c r="G1" s="1308"/>
      <c r="H1" s="1308"/>
      <c r="I1" s="1308"/>
      <c r="J1" s="1308"/>
      <c r="K1" s="1532" t="s">
        <v>2422</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2423</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2421</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56" t="s">
        <v>50</v>
      </c>
      <c r="B13" s="1156" t="s">
        <v>51</v>
      </c>
      <c r="C13" s="1156" t="s">
        <v>52</v>
      </c>
      <c r="D13" s="1156" t="s">
        <v>164</v>
      </c>
      <c r="E13" s="1157" t="s">
        <v>54</v>
      </c>
      <c r="F13" s="1158" t="s">
        <v>2007</v>
      </c>
      <c r="G13" s="1157" t="s">
        <v>56</v>
      </c>
      <c r="H13" s="1156" t="s">
        <v>57</v>
      </c>
      <c r="I13" s="502" t="s">
        <v>54</v>
      </c>
      <c r="J13" s="502" t="s">
        <v>56</v>
      </c>
      <c r="K13" s="502" t="s">
        <v>58</v>
      </c>
      <c r="L13" s="502" t="s">
        <v>54</v>
      </c>
      <c r="M13" s="502" t="s">
        <v>56</v>
      </c>
      <c r="N13" s="502" t="s">
        <v>58</v>
      </c>
    </row>
    <row r="14" spans="1:14" ht="57.6" x14ac:dyDescent="0.3">
      <c r="A14" s="1551" t="s">
        <v>727</v>
      </c>
      <c r="B14" s="1551" t="s">
        <v>2424</v>
      </c>
      <c r="C14" s="1159" t="s">
        <v>148</v>
      </c>
      <c r="D14" s="1159" t="s">
        <v>684</v>
      </c>
      <c r="E14" s="1160">
        <v>0.42</v>
      </c>
      <c r="F14" s="1161">
        <v>17237590</v>
      </c>
      <c r="G14" s="1161">
        <f>ROUND((E14*F14),0)</f>
        <v>7239788</v>
      </c>
      <c r="H14" s="1551" t="s">
        <v>2425</v>
      </c>
      <c r="I14" s="799">
        <v>0</v>
      </c>
      <c r="J14" s="1132">
        <f>ROUND(I14*F14,0)</f>
        <v>0</v>
      </c>
      <c r="K14" s="1133">
        <f>J14/G14</f>
        <v>0</v>
      </c>
      <c r="L14" s="1134">
        <f t="shared" ref="L14:M15" si="0">I14</f>
        <v>0</v>
      </c>
      <c r="M14" s="1124">
        <f t="shared" si="0"/>
        <v>0</v>
      </c>
      <c r="N14" s="1133">
        <f t="shared" ref="N14:N15" si="1">M14/G14</f>
        <v>0</v>
      </c>
    </row>
    <row r="15" spans="1:14" x14ac:dyDescent="0.3">
      <c r="A15" s="1551"/>
      <c r="B15" s="1551"/>
      <c r="C15" s="1162"/>
      <c r="D15" s="1163" t="s">
        <v>685</v>
      </c>
      <c r="E15" s="1164"/>
      <c r="F15" s="1164"/>
      <c r="G15" s="1165">
        <f>G14</f>
        <v>7239788</v>
      </c>
      <c r="H15" s="1551"/>
      <c r="I15" s="1108"/>
      <c r="J15" s="1146">
        <f>SUM(J14)</f>
        <v>0</v>
      </c>
      <c r="K15" s="1136">
        <f t="shared" ref="K15" si="2">J15/G15</f>
        <v>0</v>
      </c>
      <c r="L15" s="1137"/>
      <c r="M15" s="1138">
        <f t="shared" si="0"/>
        <v>0</v>
      </c>
      <c r="N15" s="1136">
        <f t="shared" si="1"/>
        <v>0</v>
      </c>
    </row>
    <row r="16" spans="1:14" x14ac:dyDescent="0.3">
      <c r="F16" s="836" t="s">
        <v>1740</v>
      </c>
      <c r="G16" s="650">
        <f>SUM(G14:G15)/2</f>
        <v>7239788</v>
      </c>
      <c r="I16" s="547" t="s">
        <v>64</v>
      </c>
      <c r="J16" s="855">
        <f>SUM(J14:J15)/2</f>
        <v>0</v>
      </c>
      <c r="K16" s="1054"/>
      <c r="L16" s="547" t="s">
        <v>64</v>
      </c>
      <c r="M16" s="835">
        <f>SUM(M14:M15)/2</f>
        <v>0</v>
      </c>
      <c r="N16" s="1054"/>
    </row>
    <row r="17" spans="6:14" ht="26.4" x14ac:dyDescent="0.3">
      <c r="F17" s="1118" t="s">
        <v>65</v>
      </c>
      <c r="G17" s="1115">
        <v>0</v>
      </c>
      <c r="I17" s="548" t="s">
        <v>65</v>
      </c>
      <c r="J17" s="677">
        <v>0</v>
      </c>
      <c r="K17" s="1054"/>
      <c r="L17" s="548" t="s">
        <v>65</v>
      </c>
      <c r="M17" s="677">
        <v>0</v>
      </c>
      <c r="N17" s="1054"/>
    </row>
    <row r="18" spans="6:14" x14ac:dyDescent="0.3">
      <c r="F18" s="1119" t="s">
        <v>64</v>
      </c>
      <c r="G18" s="1151">
        <f>G16+G17</f>
        <v>7239788</v>
      </c>
      <c r="I18" s="549" t="s">
        <v>64</v>
      </c>
      <c r="J18" s="481">
        <f>J16+J17</f>
        <v>0</v>
      </c>
      <c r="K18" s="1054"/>
      <c r="L18" s="549" t="s">
        <v>64</v>
      </c>
      <c r="M18" s="481">
        <f>M16+M17</f>
        <v>0</v>
      </c>
      <c r="N18" s="1054"/>
    </row>
    <row r="19" spans="6:14" ht="26.4" x14ac:dyDescent="0.3">
      <c r="F19" s="501" t="s">
        <v>1439</v>
      </c>
      <c r="G19" s="1116">
        <f>ROUND(G18*0.015,0)</f>
        <v>108597</v>
      </c>
      <c r="I19" s="501" t="s">
        <v>1439</v>
      </c>
      <c r="J19" s="481">
        <f>ROUND(J18*0.015,0)</f>
        <v>0</v>
      </c>
      <c r="K19" s="1054"/>
      <c r="L19" s="501" t="s">
        <v>1439</v>
      </c>
      <c r="M19" s="481">
        <f>ROUND(M18*0.015,0)</f>
        <v>0</v>
      </c>
      <c r="N19" s="1054"/>
    </row>
    <row r="20" spans="6:14" ht="39.6" x14ac:dyDescent="0.3">
      <c r="F20" s="96" t="s">
        <v>1440</v>
      </c>
      <c r="G20" s="1117">
        <f>G18+G19</f>
        <v>7348385</v>
      </c>
      <c r="I20" s="96" t="s">
        <v>1440</v>
      </c>
      <c r="J20" s="783">
        <f>J18+J19</f>
        <v>0</v>
      </c>
      <c r="K20" s="856">
        <f>J20/G16</f>
        <v>0</v>
      </c>
      <c r="L20" s="96" t="s">
        <v>1440</v>
      </c>
      <c r="M20" s="425">
        <f>M18+M19</f>
        <v>0</v>
      </c>
      <c r="N20" s="857">
        <f>M20/G16</f>
        <v>0</v>
      </c>
    </row>
    <row r="21" spans="6:14" x14ac:dyDescent="0.3">
      <c r="F21" s="1122" t="s">
        <v>66</v>
      </c>
      <c r="G21" s="783">
        <f>G20*0.19</f>
        <v>1396193.15</v>
      </c>
      <c r="I21" s="551" t="s">
        <v>66</v>
      </c>
      <c r="J21" s="672">
        <f>J20*0.19</f>
        <v>0</v>
      </c>
      <c r="K21" s="1054"/>
      <c r="L21" s="551" t="s">
        <v>66</v>
      </c>
      <c r="M21" s="672">
        <f>M20*0.19</f>
        <v>0</v>
      </c>
      <c r="N21" s="1054"/>
    </row>
    <row r="22" spans="6:14" x14ac:dyDescent="0.3">
      <c r="F22" s="1123" t="s">
        <v>69</v>
      </c>
      <c r="G22" s="672">
        <f>G20+G21</f>
        <v>8744578.1500000004</v>
      </c>
      <c r="I22" s="552" t="s">
        <v>69</v>
      </c>
      <c r="J22" s="672">
        <f>J20+J21</f>
        <v>0</v>
      </c>
      <c r="K22" s="1054"/>
      <c r="L22" s="552" t="s">
        <v>69</v>
      </c>
      <c r="M22" s="672">
        <f>M20+M21</f>
        <v>0</v>
      </c>
      <c r="N22" s="1054"/>
    </row>
    <row r="23" spans="6:14" x14ac:dyDescent="0.3">
      <c r="I23" s="1054"/>
      <c r="J23" s="1054"/>
      <c r="K23" s="1054"/>
      <c r="L23" s="1054"/>
      <c r="M23" s="1054"/>
      <c r="N23" s="1054"/>
    </row>
    <row r="24" spans="6:14" ht="26.4" x14ac:dyDescent="0.3">
      <c r="I24" s="186" t="s">
        <v>70</v>
      </c>
      <c r="J24" s="187" t="s">
        <v>71</v>
      </c>
      <c r="K24" s="186" t="s">
        <v>58</v>
      </c>
      <c r="L24" s="1054"/>
      <c r="M24" s="1054"/>
      <c r="N24" s="1054"/>
    </row>
    <row r="25" spans="6:14" x14ac:dyDescent="0.3">
      <c r="I25" s="69" t="s">
        <v>72</v>
      </c>
      <c r="J25" s="70">
        <f>J20</f>
        <v>0</v>
      </c>
      <c r="K25" s="360">
        <f>K20</f>
        <v>0</v>
      </c>
      <c r="L25" s="1054"/>
      <c r="M25" s="1054"/>
      <c r="N25" s="1054"/>
    </row>
    <row r="26" spans="6:14" x14ac:dyDescent="0.3">
      <c r="I26" s="72" t="s">
        <v>1</v>
      </c>
      <c r="J26" s="105">
        <f>J25</f>
        <v>0</v>
      </c>
      <c r="K26" s="361">
        <f>K25</f>
        <v>0</v>
      </c>
      <c r="L26" s="1054"/>
      <c r="M26" s="1054"/>
      <c r="N26" s="1054"/>
    </row>
    <row r="27" spans="6:14" x14ac:dyDescent="0.3">
      <c r="I27" s="72" t="s">
        <v>9</v>
      </c>
      <c r="J27" s="1423"/>
      <c r="K27" s="1424"/>
      <c r="L27" s="1054"/>
      <c r="M27" s="1054"/>
      <c r="N27" s="1054"/>
    </row>
    <row r="28" spans="6:14" x14ac:dyDescent="0.3">
      <c r="I28" s="440" t="s">
        <v>78</v>
      </c>
      <c r="J28" s="1423"/>
      <c r="K28" s="1424"/>
      <c r="L28" s="1054"/>
      <c r="M28" s="1054"/>
      <c r="N28" s="1054"/>
    </row>
    <row r="29" spans="6:14" x14ac:dyDescent="0.3">
      <c r="I29" s="439" t="s">
        <v>8</v>
      </c>
      <c r="J29" s="1425"/>
      <c r="K29" s="1426"/>
      <c r="L29" s="1054"/>
      <c r="M29" s="1054"/>
      <c r="N29" s="1054"/>
    </row>
  </sheetData>
  <mergeCells count="21">
    <mergeCell ref="A5:M5"/>
    <mergeCell ref="C1:J2"/>
    <mergeCell ref="K1:N1"/>
    <mergeCell ref="K2:N2"/>
    <mergeCell ref="A3:M3"/>
    <mergeCell ref="A4:M4"/>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5"/>
  <dimension ref="A1:G49"/>
  <sheetViews>
    <sheetView topLeftCell="A13" workbookViewId="0">
      <selection activeCell="I35" sqref="I3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RESUMEN!G173</f>
        <v xml:space="preserve">Proyecto: </v>
      </c>
      <c r="C5" s="1281"/>
      <c r="D5" s="1281"/>
      <c r="E5" s="1281"/>
      <c r="F5" s="1281"/>
      <c r="G5" s="1282"/>
    </row>
    <row r="6" spans="1:7" x14ac:dyDescent="0.25">
      <c r="A6" s="1177"/>
      <c r="B6" s="1177"/>
      <c r="C6" s="1177"/>
      <c r="D6" s="1177"/>
      <c r="E6" s="1177"/>
      <c r="F6" s="1177"/>
      <c r="G6" s="1177"/>
    </row>
    <row r="7" spans="1:7" x14ac:dyDescent="0.25">
      <c r="A7" s="271" t="s">
        <v>0</v>
      </c>
      <c r="B7" s="1264">
        <f>RESUMEN!B173</f>
        <v>0</v>
      </c>
      <c r="C7" s="1265"/>
      <c r="D7" s="1177"/>
      <c r="E7" s="1266" t="s">
        <v>627</v>
      </c>
      <c r="F7" s="1267"/>
      <c r="G7" s="280" t="str">
        <f>RESUMEN!E173</f>
        <v>18-037</v>
      </c>
    </row>
    <row r="8" spans="1:7" x14ac:dyDescent="0.25">
      <c r="A8" s="271" t="s">
        <v>628</v>
      </c>
      <c r="B8" s="1264">
        <f>RESUMEN!C173</f>
        <v>0</v>
      </c>
      <c r="C8" s="1265"/>
      <c r="D8" s="1177"/>
      <c r="E8" s="1266" t="s">
        <v>629</v>
      </c>
      <c r="F8" s="1267"/>
      <c r="G8" s="280" t="str">
        <f>RESUMEN!U173</f>
        <v>Acta N° 1: Marzo</v>
      </c>
    </row>
    <row r="9" spans="1:7" x14ac:dyDescent="0.25">
      <c r="A9" s="271" t="s">
        <v>630</v>
      </c>
      <c r="B9" s="1283" t="s">
        <v>631</v>
      </c>
      <c r="C9" s="1265"/>
      <c r="D9" s="1177"/>
      <c r="E9" s="1266" t="s">
        <v>632</v>
      </c>
      <c r="F9" s="1267"/>
      <c r="G9" s="1178">
        <f>RESUMEN!H173</f>
        <v>2269076</v>
      </c>
    </row>
    <row r="10" spans="1:7" x14ac:dyDescent="0.25">
      <c r="A10" s="271" t="s">
        <v>633</v>
      </c>
      <c r="B10" s="1283" t="str">
        <f>RESUMEN!D173</f>
        <v xml:space="preserve"> COMPARTIR</v>
      </c>
      <c r="C10" s="1265"/>
      <c r="D10" s="1177"/>
      <c r="E10" s="1266" t="s">
        <v>634</v>
      </c>
      <c r="F10" s="1267"/>
      <c r="G10" s="1178">
        <f>RESUMEN!R173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",RESUMEN!G173)</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RESUMEN!N173</f>
        <v>0</v>
      </c>
      <c r="F19" s="1248"/>
      <c r="G19" s="1177"/>
    </row>
    <row r="20" spans="1:7" ht="27" customHeight="1" x14ac:dyDescent="0.25">
      <c r="A20" s="1177"/>
      <c r="B20" s="1244" t="s">
        <v>1498</v>
      </c>
      <c r="C20" s="1245"/>
      <c r="D20" s="1246"/>
      <c r="E20" s="1247">
        <f>RESUMEN!P173</f>
        <v>0</v>
      </c>
      <c r="F20" s="1248"/>
      <c r="G20" s="1177"/>
    </row>
    <row r="21" spans="1:7" ht="27" customHeight="1" x14ac:dyDescent="0.25">
      <c r="A21" s="1177"/>
      <c r="B21" s="1244" t="s">
        <v>1499</v>
      </c>
      <c r="C21" s="1245"/>
      <c r="D21" s="1246"/>
      <c r="E21" s="1247">
        <f>RESUMEN!Q173</f>
        <v>0</v>
      </c>
      <c r="F21" s="1248"/>
      <c r="G21" s="1177"/>
    </row>
    <row r="22" spans="1:7" x14ac:dyDescent="0.25">
      <c r="A22" s="1177"/>
      <c r="B22" s="1254" t="s">
        <v>64</v>
      </c>
      <c r="C22" s="1254"/>
      <c r="D22" s="1254"/>
      <c r="E22" s="1255">
        <f>RESUMEN!R173</f>
        <v>0</v>
      </c>
      <c r="F22" s="1255"/>
      <c r="G22" s="1177"/>
    </row>
    <row r="23" spans="1:7" x14ac:dyDescent="0.25">
      <c r="A23" s="1177"/>
      <c r="B23" s="1256" t="s">
        <v>66</v>
      </c>
      <c r="C23" s="1256"/>
      <c r="D23" s="1256"/>
      <c r="E23" s="1257">
        <f>RESUMEN!S173</f>
        <v>0</v>
      </c>
      <c r="F23" s="1257"/>
      <c r="G23" s="1177"/>
    </row>
    <row r="24" spans="1:7" x14ac:dyDescent="0.25">
      <c r="A24" s="1177"/>
      <c r="B24" s="1258" t="s">
        <v>1</v>
      </c>
      <c r="C24" s="1258"/>
      <c r="D24" s="1258"/>
      <c r="E24" s="1259">
        <f>RESUMEN!T173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+'OT18-037 COMPARTIR'!I27</f>
        <v>ACTA 1</v>
      </c>
      <c r="C28" s="1253">
        <f>+'OT18-037 COMPARTIR'!J27</f>
        <v>0</v>
      </c>
      <c r="D28" s="1253"/>
      <c r="E28" s="267">
        <f>+'OT18-037 COMPARTIR'!K27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6"/>
  <dimension ref="A1:N33"/>
  <sheetViews>
    <sheetView zoomScale="80" zoomScaleNormal="80" workbookViewId="0">
      <selection activeCell="C30" sqref="C30"/>
    </sheetView>
  </sheetViews>
  <sheetFormatPr baseColWidth="10" defaultRowHeight="14.4" x14ac:dyDescent="0.3"/>
  <cols>
    <col min="2" max="2" width="24.88671875" customWidth="1"/>
    <col min="3" max="3" width="29" customWidth="1"/>
    <col min="4" max="4" width="26.33203125" customWidth="1"/>
    <col min="6" max="6" width="15.21875" customWidth="1"/>
    <col min="7" max="7" width="15" customWidth="1"/>
    <col min="8" max="8" width="32.21875" customWidth="1"/>
    <col min="9" max="9" width="15.77734375" customWidth="1"/>
    <col min="12" max="12" width="17.21875" customWidth="1"/>
  </cols>
  <sheetData>
    <row r="1" spans="1:14" x14ac:dyDescent="0.3">
      <c r="A1" s="169"/>
      <c r="B1" s="188"/>
      <c r="C1" s="1307" t="s">
        <v>40</v>
      </c>
      <c r="D1" s="1308"/>
      <c r="E1" s="1308"/>
      <c r="F1" s="1308"/>
      <c r="G1" s="1308"/>
      <c r="H1" s="1308"/>
      <c r="I1" s="1308"/>
      <c r="J1" s="1308"/>
      <c r="K1" s="1532"/>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2428</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2429</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x14ac:dyDescent="0.3">
      <c r="A14" s="1510" t="s">
        <v>1861</v>
      </c>
      <c r="B14" s="1510" t="s">
        <v>194</v>
      </c>
      <c r="C14" s="1062" t="s">
        <v>160</v>
      </c>
      <c r="D14" s="1062" t="s">
        <v>161</v>
      </c>
      <c r="E14" s="1143">
        <v>24</v>
      </c>
      <c r="F14" s="646">
        <v>73196</v>
      </c>
      <c r="G14" s="646">
        <f>ROUND((E14*F14),0)</f>
        <v>1756704</v>
      </c>
      <c r="H14" s="1514" t="s">
        <v>2430</v>
      </c>
      <c r="I14" s="799">
        <v>0</v>
      </c>
      <c r="J14" s="1132">
        <f>ROUND(I14*F14,0)</f>
        <v>0</v>
      </c>
      <c r="K14" s="1133">
        <f>J14/G14</f>
        <v>0</v>
      </c>
      <c r="L14" s="1134">
        <f t="shared" ref="L14:M15" si="0">I14</f>
        <v>0</v>
      </c>
      <c r="M14" s="1124">
        <f t="shared" si="0"/>
        <v>0</v>
      </c>
      <c r="N14" s="1133">
        <f t="shared" ref="N14:N15" si="1">M14/G14</f>
        <v>0</v>
      </c>
    </row>
    <row r="15" spans="1:14" x14ac:dyDescent="0.3">
      <c r="A15" s="1510"/>
      <c r="B15" s="1510"/>
      <c r="C15" s="647"/>
      <c r="D15" s="647" t="s">
        <v>162</v>
      </c>
      <c r="E15" s="1155"/>
      <c r="F15" s="648"/>
      <c r="G15" s="649">
        <f>G14</f>
        <v>1756704</v>
      </c>
      <c r="H15" s="1510"/>
      <c r="I15" s="1108"/>
      <c r="J15" s="1146">
        <f>SUM(J14)</f>
        <v>0</v>
      </c>
      <c r="K15" s="1136">
        <f t="shared" ref="K15" si="2">J15/G15</f>
        <v>0</v>
      </c>
      <c r="L15" s="1137"/>
      <c r="M15" s="1138">
        <f t="shared" si="0"/>
        <v>0</v>
      </c>
      <c r="N15" s="1136">
        <f t="shared" si="1"/>
        <v>0</v>
      </c>
    </row>
    <row r="16" spans="1:14" x14ac:dyDescent="0.3">
      <c r="A16" s="1510" t="s">
        <v>1861</v>
      </c>
      <c r="B16" s="1510" t="s">
        <v>194</v>
      </c>
      <c r="C16" s="1062" t="s">
        <v>160</v>
      </c>
      <c r="D16" s="1062" t="s">
        <v>161</v>
      </c>
      <c r="E16" s="1143">
        <v>7</v>
      </c>
      <c r="F16" s="646">
        <v>73196</v>
      </c>
      <c r="G16" s="646">
        <f>ROUND((E16*F16),0)</f>
        <v>512372</v>
      </c>
      <c r="H16" s="1514" t="s">
        <v>2431</v>
      </c>
      <c r="I16" s="799">
        <v>0</v>
      </c>
      <c r="J16" s="1132">
        <f>ROUND(I16*F16,0)</f>
        <v>0</v>
      </c>
      <c r="K16" s="1133">
        <f>J16/G16</f>
        <v>0</v>
      </c>
      <c r="L16" s="1134">
        <f t="shared" ref="L16" si="3">I16</f>
        <v>0</v>
      </c>
      <c r="M16" s="1124">
        <f t="shared" ref="M16:M17" si="4">J16</f>
        <v>0</v>
      </c>
      <c r="N16" s="1133">
        <f t="shared" ref="N16:N17" si="5">M16/G16</f>
        <v>0</v>
      </c>
    </row>
    <row r="17" spans="1:14" x14ac:dyDescent="0.3">
      <c r="A17" s="1510"/>
      <c r="B17" s="1510"/>
      <c r="C17" s="647"/>
      <c r="D17" s="647" t="s">
        <v>162</v>
      </c>
      <c r="E17" s="648"/>
      <c r="F17" s="648"/>
      <c r="G17" s="649">
        <f>G16</f>
        <v>512372</v>
      </c>
      <c r="H17" s="1510"/>
      <c r="I17" s="1108"/>
      <c r="J17" s="1146">
        <f>SUM(J16)</f>
        <v>0</v>
      </c>
      <c r="K17" s="1136">
        <f t="shared" ref="K17" si="6">J17/G17</f>
        <v>0</v>
      </c>
      <c r="L17" s="1137"/>
      <c r="M17" s="1138">
        <f t="shared" si="4"/>
        <v>0</v>
      </c>
      <c r="N17" s="1136">
        <f t="shared" si="5"/>
        <v>0</v>
      </c>
    </row>
    <row r="18" spans="1:14" x14ac:dyDescent="0.3">
      <c r="F18" s="836" t="s">
        <v>1740</v>
      </c>
      <c r="G18" s="650">
        <f>SUM(G14:G17)/2</f>
        <v>2269076</v>
      </c>
      <c r="I18" s="547" t="s">
        <v>64</v>
      </c>
      <c r="J18" s="855">
        <f>SUM(J14:J17)/2</f>
        <v>0</v>
      </c>
      <c r="K18" s="1054"/>
      <c r="L18" s="547" t="s">
        <v>64</v>
      </c>
      <c r="M18" s="835">
        <f>SUM(M14:M17)/2</f>
        <v>0</v>
      </c>
      <c r="N18" s="1054"/>
    </row>
    <row r="19" spans="1:14" x14ac:dyDescent="0.3">
      <c r="F19" s="1118" t="s">
        <v>65</v>
      </c>
      <c r="G19" s="1115">
        <v>0</v>
      </c>
      <c r="I19" s="548" t="s">
        <v>65</v>
      </c>
      <c r="J19" s="677">
        <v>0</v>
      </c>
      <c r="K19" s="1054"/>
      <c r="L19" s="548" t="s">
        <v>65</v>
      </c>
      <c r="M19" s="677">
        <v>0</v>
      </c>
      <c r="N19" s="1054"/>
    </row>
    <row r="20" spans="1:14" x14ac:dyDescent="0.3">
      <c r="F20" s="1119" t="s">
        <v>64</v>
      </c>
      <c r="G20" s="1151">
        <f>G18+G19</f>
        <v>2269076</v>
      </c>
      <c r="I20" s="549" t="s">
        <v>64</v>
      </c>
      <c r="J20" s="481">
        <f>J18+J19</f>
        <v>0</v>
      </c>
      <c r="K20" s="1054"/>
      <c r="L20" s="549" t="s">
        <v>64</v>
      </c>
      <c r="M20" s="481">
        <f>M18+M19</f>
        <v>0</v>
      </c>
      <c r="N20" s="1054"/>
    </row>
    <row r="21" spans="1:14" ht="26.4" x14ac:dyDescent="0.3">
      <c r="F21" s="501" t="s">
        <v>1439</v>
      </c>
      <c r="G21" s="1116">
        <f>ROUND(G20*0.015,0)</f>
        <v>34036</v>
      </c>
      <c r="I21" s="501" t="s">
        <v>1439</v>
      </c>
      <c r="J21" s="481">
        <f>ROUND(J20*0.015,0)</f>
        <v>0</v>
      </c>
      <c r="K21" s="1054"/>
      <c r="L21" s="501" t="s">
        <v>1439</v>
      </c>
      <c r="M21" s="481">
        <f>ROUND(M20*0.015,0)</f>
        <v>0</v>
      </c>
      <c r="N21" s="1054"/>
    </row>
    <row r="22" spans="1:14" ht="39.6" x14ac:dyDescent="0.3">
      <c r="F22" s="96" t="s">
        <v>1440</v>
      </c>
      <c r="G22" s="1117">
        <f>G20+G21</f>
        <v>2303112</v>
      </c>
      <c r="I22" s="96" t="s">
        <v>1440</v>
      </c>
      <c r="J22" s="783">
        <f>J20+J21</f>
        <v>0</v>
      </c>
      <c r="K22" s="856">
        <f>J22/G18</f>
        <v>0</v>
      </c>
      <c r="L22" s="96" t="s">
        <v>1440</v>
      </c>
      <c r="M22" s="425">
        <f>M20+M21</f>
        <v>0</v>
      </c>
      <c r="N22" s="857">
        <f>M22/G18</f>
        <v>0</v>
      </c>
    </row>
    <row r="23" spans="1:14" x14ac:dyDescent="0.3">
      <c r="F23" s="1122" t="s">
        <v>66</v>
      </c>
      <c r="G23" s="783">
        <f>G22*0.19</f>
        <v>437591.28</v>
      </c>
      <c r="I23" s="551" t="s">
        <v>66</v>
      </c>
      <c r="J23" s="672">
        <f>J22*0.19</f>
        <v>0</v>
      </c>
      <c r="K23" s="1054"/>
      <c r="L23" s="551" t="s">
        <v>66</v>
      </c>
      <c r="M23" s="672">
        <f>M22*0.19</f>
        <v>0</v>
      </c>
      <c r="N23" s="1054"/>
    </row>
    <row r="24" spans="1:14" x14ac:dyDescent="0.3">
      <c r="F24" s="1123" t="s">
        <v>69</v>
      </c>
      <c r="G24" s="672">
        <f>G22+G23</f>
        <v>2740703.2800000003</v>
      </c>
      <c r="I24" s="552" t="s">
        <v>69</v>
      </c>
      <c r="J24" s="672">
        <f>J22+J23</f>
        <v>0</v>
      </c>
      <c r="K24" s="1054"/>
      <c r="L24" s="552" t="s">
        <v>69</v>
      </c>
      <c r="M24" s="672">
        <f>M22+M23</f>
        <v>0</v>
      </c>
      <c r="N24" s="1054"/>
    </row>
    <row r="25" spans="1:14" x14ac:dyDescent="0.3">
      <c r="I25" s="1054"/>
      <c r="J25" s="1054"/>
      <c r="K25" s="1054"/>
      <c r="L25" s="1054"/>
      <c r="M25" s="1054"/>
      <c r="N25" s="1054"/>
    </row>
    <row r="26" spans="1:14" ht="26.4" x14ac:dyDescent="0.3">
      <c r="I26" s="186" t="s">
        <v>70</v>
      </c>
      <c r="J26" s="187" t="s">
        <v>71</v>
      </c>
      <c r="K26" s="186" t="s">
        <v>58</v>
      </c>
      <c r="L26" s="1054"/>
      <c r="M26" s="1054"/>
      <c r="N26" s="1054"/>
    </row>
    <row r="27" spans="1:14" x14ac:dyDescent="0.3">
      <c r="I27" s="69" t="s">
        <v>72</v>
      </c>
      <c r="J27" s="70">
        <f>J22</f>
        <v>0</v>
      </c>
      <c r="K27" s="360">
        <f>K22</f>
        <v>0</v>
      </c>
      <c r="L27" s="1054"/>
      <c r="M27" s="1054"/>
      <c r="N27" s="1054"/>
    </row>
    <row r="28" spans="1:14" x14ac:dyDescent="0.3">
      <c r="I28" s="72" t="s">
        <v>1</v>
      </c>
      <c r="J28" s="105">
        <f>J27</f>
        <v>0</v>
      </c>
      <c r="K28" s="361">
        <f>K27</f>
        <v>0</v>
      </c>
      <c r="L28" s="1054"/>
      <c r="M28" s="1054"/>
      <c r="N28" s="1054"/>
    </row>
    <row r="29" spans="1:14" x14ac:dyDescent="0.3">
      <c r="I29" s="72" t="s">
        <v>9</v>
      </c>
      <c r="J29" s="1423"/>
      <c r="K29" s="1424"/>
      <c r="L29" s="1054"/>
      <c r="M29" s="1054"/>
      <c r="N29" s="1054"/>
    </row>
    <row r="30" spans="1:14" x14ac:dyDescent="0.3">
      <c r="I30" s="440" t="s">
        <v>78</v>
      </c>
      <c r="J30" s="1423"/>
      <c r="K30" s="1424"/>
      <c r="L30" s="1054"/>
      <c r="M30" s="1054"/>
      <c r="N30" s="1054"/>
    </row>
    <row r="31" spans="1:14" x14ac:dyDescent="0.3">
      <c r="I31" s="439" t="s">
        <v>8</v>
      </c>
      <c r="J31" s="1425"/>
      <c r="K31" s="1426"/>
      <c r="L31" s="1054"/>
      <c r="M31" s="1054"/>
      <c r="N31" s="1054"/>
    </row>
    <row r="32" spans="1:14" x14ac:dyDescent="0.3">
      <c r="I32" s="1054"/>
      <c r="J32" s="1054"/>
      <c r="K32" s="1054"/>
      <c r="L32" s="1054"/>
      <c r="M32" s="1054"/>
      <c r="N32" s="1054"/>
    </row>
    <row r="33" spans="9:14" x14ac:dyDescent="0.3">
      <c r="I33" s="1054"/>
      <c r="J33" s="1054"/>
      <c r="K33" s="1054"/>
      <c r="L33" s="1054"/>
      <c r="M33" s="1054"/>
      <c r="N33" s="1054"/>
    </row>
  </sheetData>
  <mergeCells count="24">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29:K29"/>
    <mergeCell ref="J30:K30"/>
    <mergeCell ref="J31:K31"/>
    <mergeCell ref="A14:A15"/>
    <mergeCell ref="B14:B15"/>
    <mergeCell ref="H14:H15"/>
    <mergeCell ref="A16:A17"/>
    <mergeCell ref="B16:B17"/>
    <mergeCell ref="H16:H17"/>
  </mergeCells>
  <pageMargins left="0.7" right="0.7" top="0.75" bottom="0.75" header="0.3" footer="0.3"/>
  <drawing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7"/>
  <dimension ref="A1:G49"/>
  <sheetViews>
    <sheetView topLeftCell="A16"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RESUMEN!G174</f>
        <v>Proyecto:  PLANOS AS-BUILT SSEE CAQUEZA</v>
      </c>
      <c r="C5" s="1281"/>
      <c r="D5" s="1281"/>
      <c r="E5" s="1281"/>
      <c r="F5" s="1281"/>
      <c r="G5" s="1282"/>
    </row>
    <row r="6" spans="1:7" x14ac:dyDescent="0.25">
      <c r="A6" s="1177"/>
      <c r="B6" s="1177"/>
      <c r="C6" s="1177"/>
      <c r="D6" s="1177"/>
      <c r="E6" s="1177"/>
      <c r="F6" s="1177"/>
      <c r="G6" s="1177"/>
    </row>
    <row r="7" spans="1:7" x14ac:dyDescent="0.25">
      <c r="A7" s="271" t="s">
        <v>0</v>
      </c>
      <c r="B7" s="1264" t="str">
        <f>RESUMEN!B174</f>
        <v>D00235037</v>
      </c>
      <c r="C7" s="1265"/>
      <c r="D7" s="1177"/>
      <c r="E7" s="1266" t="s">
        <v>627</v>
      </c>
      <c r="F7" s="1267"/>
      <c r="G7" s="280" t="str">
        <f>RESUMEN!E174</f>
        <v>18-038</v>
      </c>
    </row>
    <row r="8" spans="1:7" x14ac:dyDescent="0.25">
      <c r="A8" s="271" t="s">
        <v>628</v>
      </c>
      <c r="B8" s="1264" t="str">
        <f>RESUMEN!C174</f>
        <v>D00235037000</v>
      </c>
      <c r="C8" s="1265"/>
      <c r="D8" s="1177"/>
      <c r="E8" s="1266" t="s">
        <v>629</v>
      </c>
      <c r="F8" s="1267"/>
      <c r="G8" s="280" t="str">
        <f>RESUMEN!U174</f>
        <v>Acta N° 1: Marzo</v>
      </c>
    </row>
    <row r="9" spans="1:7" x14ac:dyDescent="0.25">
      <c r="A9" s="271" t="s">
        <v>630</v>
      </c>
      <c r="B9" s="1283" t="s">
        <v>631</v>
      </c>
      <c r="C9" s="1265"/>
      <c r="D9" s="1177"/>
      <c r="E9" s="1266" t="s">
        <v>632</v>
      </c>
      <c r="F9" s="1267"/>
      <c r="G9" s="1178">
        <f>RESUMEN!H174</f>
        <v>3275508</v>
      </c>
    </row>
    <row r="10" spans="1:7" x14ac:dyDescent="0.25">
      <c r="A10" s="271" t="s">
        <v>633</v>
      </c>
      <c r="B10" s="1283" t="str">
        <f>RESUMEN!D174</f>
        <v xml:space="preserve"> CAQUEZA</v>
      </c>
      <c r="C10" s="1265"/>
      <c r="D10" s="1177"/>
      <c r="E10" s="1266" t="s">
        <v>634</v>
      </c>
      <c r="F10" s="1267"/>
      <c r="G10" s="1178">
        <f>RESUMEN!R174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PLANOS AS-BUILT SSEE CAQUEZA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RESUMEN!N174</f>
        <v>0</v>
      </c>
      <c r="F19" s="1248"/>
      <c r="G19" s="1177"/>
    </row>
    <row r="20" spans="1:7" ht="27" customHeight="1" x14ac:dyDescent="0.25">
      <c r="A20" s="1177"/>
      <c r="B20" s="1244" t="s">
        <v>1498</v>
      </c>
      <c r="C20" s="1245"/>
      <c r="D20" s="1246"/>
      <c r="E20" s="1247">
        <f>RESUMEN!P174</f>
        <v>0</v>
      </c>
      <c r="F20" s="1248"/>
      <c r="G20" s="1177"/>
    </row>
    <row r="21" spans="1:7" ht="27" customHeight="1" x14ac:dyDescent="0.25">
      <c r="A21" s="1177"/>
      <c r="B21" s="1244" t="s">
        <v>1499</v>
      </c>
      <c r="C21" s="1245"/>
      <c r="D21" s="1246"/>
      <c r="E21" s="1247">
        <f>RESUMEN!Q174</f>
        <v>0</v>
      </c>
      <c r="F21" s="1248"/>
      <c r="G21" s="1177"/>
    </row>
    <row r="22" spans="1:7" x14ac:dyDescent="0.25">
      <c r="A22" s="1177"/>
      <c r="B22" s="1254" t="s">
        <v>64</v>
      </c>
      <c r="C22" s="1254"/>
      <c r="D22" s="1254"/>
      <c r="E22" s="1255">
        <f>RESUMEN!R174</f>
        <v>0</v>
      </c>
      <c r="F22" s="1255"/>
      <c r="G22" s="1177"/>
    </row>
    <row r="23" spans="1:7" x14ac:dyDescent="0.25">
      <c r="A23" s="1177"/>
      <c r="B23" s="1256" t="s">
        <v>66</v>
      </c>
      <c r="C23" s="1256"/>
      <c r="D23" s="1256"/>
      <c r="E23" s="1257">
        <f>RESUMEN!S174</f>
        <v>0</v>
      </c>
      <c r="F23" s="1257"/>
      <c r="G23" s="1177"/>
    </row>
    <row r="24" spans="1:7" x14ac:dyDescent="0.25">
      <c r="A24" s="1177"/>
      <c r="B24" s="1258" t="s">
        <v>1</v>
      </c>
      <c r="C24" s="1258"/>
      <c r="D24" s="1258"/>
      <c r="E24" s="1259">
        <f>RESUMEN!T174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+'OT18-038 CAQUEZA'!I38</f>
        <v>ACTA 1</v>
      </c>
      <c r="C28" s="1253">
        <f>+'OT18-038 CAQUEZA'!J38</f>
        <v>0</v>
      </c>
      <c r="D28" s="1253"/>
      <c r="E28" s="267">
        <f>+'OT18-038 CAQUEZA'!K38</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8"/>
  <dimension ref="A1:N42"/>
  <sheetViews>
    <sheetView topLeftCell="A22" zoomScale="70" zoomScaleNormal="70" workbookViewId="0">
      <selection activeCell="I13" sqref="I13:N17"/>
    </sheetView>
  </sheetViews>
  <sheetFormatPr baseColWidth="10" defaultRowHeight="14.4" x14ac:dyDescent="0.3"/>
  <cols>
    <col min="3" max="4" width="24.109375" customWidth="1"/>
    <col min="8" max="8" width="21.88671875" customWidth="1"/>
    <col min="9" max="9" width="16.21875" customWidth="1"/>
    <col min="12" max="12" width="18" customWidth="1"/>
  </cols>
  <sheetData>
    <row r="1" spans="1:14" x14ac:dyDescent="0.3">
      <c r="A1" s="169"/>
      <c r="B1" s="188"/>
      <c r="C1" s="1307" t="s">
        <v>40</v>
      </c>
      <c r="D1" s="1308"/>
      <c r="E1" s="1308"/>
      <c r="F1" s="1308"/>
      <c r="G1" s="1308"/>
      <c r="H1" s="1308"/>
      <c r="I1" s="1308"/>
      <c r="J1" s="1308"/>
      <c r="K1" s="1532" t="s">
        <v>2432</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2433</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2434</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2435</v>
      </c>
      <c r="B14" s="1510" t="s">
        <v>877</v>
      </c>
      <c r="C14" s="1062" t="s">
        <v>81</v>
      </c>
      <c r="D14" s="1062" t="s">
        <v>878</v>
      </c>
      <c r="E14" s="1062">
        <v>0</v>
      </c>
      <c r="F14" s="646">
        <v>5819059</v>
      </c>
      <c r="G14" s="646">
        <f>ROUND((E14*F14),0)</f>
        <v>0</v>
      </c>
      <c r="H14" s="1514" t="s">
        <v>2436</v>
      </c>
      <c r="I14" s="799">
        <v>0</v>
      </c>
      <c r="J14" s="1132">
        <f>ROUND(I14*F14,0)</f>
        <v>0</v>
      </c>
      <c r="K14" s="1133">
        <v>0</v>
      </c>
      <c r="L14" s="1134">
        <f t="shared" ref="L14:M17" si="0">I14</f>
        <v>0</v>
      </c>
      <c r="M14" s="1124">
        <f t="shared" si="0"/>
        <v>0</v>
      </c>
      <c r="N14" s="1133">
        <v>0</v>
      </c>
    </row>
    <row r="15" spans="1:14" ht="43.2" x14ac:dyDescent="0.3">
      <c r="A15" s="1510"/>
      <c r="B15" s="1510"/>
      <c r="C15" s="1062" t="s">
        <v>83</v>
      </c>
      <c r="D15" s="1062" t="s">
        <v>879</v>
      </c>
      <c r="E15" s="1062">
        <v>0</v>
      </c>
      <c r="F15" s="646">
        <v>9003073</v>
      </c>
      <c r="G15" s="646">
        <f>ROUND((E15*F15),0)</f>
        <v>0</v>
      </c>
      <c r="H15" s="1510"/>
      <c r="I15" s="799">
        <v>0</v>
      </c>
      <c r="J15" s="1132">
        <f t="shared" ref="J15:J16" si="1">ROUND(I15*F15,0)</f>
        <v>0</v>
      </c>
      <c r="K15" s="1133">
        <v>0</v>
      </c>
      <c r="L15" s="1134">
        <f t="shared" si="0"/>
        <v>0</v>
      </c>
      <c r="M15" s="1124">
        <f t="shared" si="0"/>
        <v>0</v>
      </c>
      <c r="N15" s="1133">
        <v>0</v>
      </c>
    </row>
    <row r="16" spans="1:14" ht="43.2" x14ac:dyDescent="0.3">
      <c r="A16" s="1510"/>
      <c r="B16" s="1510"/>
      <c r="C16" s="1062" t="s">
        <v>61</v>
      </c>
      <c r="D16" s="1062" t="s">
        <v>880</v>
      </c>
      <c r="E16" s="1062">
        <v>0.05</v>
      </c>
      <c r="F16" s="646">
        <v>18481917</v>
      </c>
      <c r="G16" s="646">
        <f>ROUND((E16*F16),0)</f>
        <v>924096</v>
      </c>
      <c r="H16" s="1510"/>
      <c r="I16" s="799">
        <v>0</v>
      </c>
      <c r="J16" s="1132">
        <f t="shared" si="1"/>
        <v>0</v>
      </c>
      <c r="K16" s="1133">
        <f>J16/G16</f>
        <v>0</v>
      </c>
      <c r="L16" s="1134">
        <f t="shared" si="0"/>
        <v>0</v>
      </c>
      <c r="M16" s="1124">
        <f t="shared" si="0"/>
        <v>0</v>
      </c>
      <c r="N16" s="1133">
        <f t="shared" ref="N16:N17" si="2">M16/G16</f>
        <v>0</v>
      </c>
    </row>
    <row r="17" spans="1:14" x14ac:dyDescent="0.3">
      <c r="A17" s="1510"/>
      <c r="B17" s="1510"/>
      <c r="C17" s="647"/>
      <c r="D17" s="647" t="s">
        <v>229</v>
      </c>
      <c r="E17" s="648"/>
      <c r="F17" s="648"/>
      <c r="G17" s="649">
        <f>SUM(G14:G16)</f>
        <v>924096</v>
      </c>
      <c r="H17" s="1510"/>
      <c r="I17" s="1108"/>
      <c r="J17" s="1146">
        <f>SUM(J14:J16)</f>
        <v>0</v>
      </c>
      <c r="K17" s="1136">
        <f t="shared" ref="K17" si="3">J17/G17</f>
        <v>0</v>
      </c>
      <c r="L17" s="1137"/>
      <c r="M17" s="1138">
        <f t="shared" si="0"/>
        <v>0</v>
      </c>
      <c r="N17" s="1136">
        <f t="shared" si="2"/>
        <v>0</v>
      </c>
    </row>
    <row r="18" spans="1:14" ht="43.2" x14ac:dyDescent="0.3">
      <c r="A18" s="1510" t="s">
        <v>2437</v>
      </c>
      <c r="B18" s="1510" t="s">
        <v>877</v>
      </c>
      <c r="C18" s="1062" t="s">
        <v>81</v>
      </c>
      <c r="D18" s="1062" t="s">
        <v>878</v>
      </c>
      <c r="E18" s="1062">
        <v>0</v>
      </c>
      <c r="F18" s="646">
        <v>5819059</v>
      </c>
      <c r="G18" s="646">
        <f>ROUND((E18*F18),0)</f>
        <v>0</v>
      </c>
      <c r="H18" s="1514" t="s">
        <v>2436</v>
      </c>
      <c r="I18" s="799">
        <v>0</v>
      </c>
      <c r="J18" s="1132">
        <f>ROUND(I18*F18,0)</f>
        <v>0</v>
      </c>
      <c r="K18" s="1133">
        <v>0</v>
      </c>
      <c r="L18" s="1134">
        <f t="shared" ref="L18:L20" si="4">I18</f>
        <v>0</v>
      </c>
      <c r="M18" s="1124">
        <f t="shared" ref="M18:M25" si="5">J18</f>
        <v>0</v>
      </c>
      <c r="N18" s="1133">
        <v>0</v>
      </c>
    </row>
    <row r="19" spans="1:14" ht="43.2" x14ac:dyDescent="0.3">
      <c r="A19" s="1510"/>
      <c r="B19" s="1510"/>
      <c r="C19" s="1062" t="s">
        <v>83</v>
      </c>
      <c r="D19" s="1062" t="s">
        <v>879</v>
      </c>
      <c r="E19" s="1062">
        <v>0</v>
      </c>
      <c r="F19" s="646">
        <v>9003073</v>
      </c>
      <c r="G19" s="646">
        <f>ROUND((E19*F19),0)</f>
        <v>0</v>
      </c>
      <c r="H19" s="1510"/>
      <c r="I19" s="799">
        <v>0</v>
      </c>
      <c r="J19" s="1132">
        <f t="shared" ref="J19:J20" si="6">ROUND(I19*F19,0)</f>
        <v>0</v>
      </c>
      <c r="K19" s="1133">
        <v>0</v>
      </c>
      <c r="L19" s="1134">
        <f t="shared" si="4"/>
        <v>0</v>
      </c>
      <c r="M19" s="1124">
        <f t="shared" si="5"/>
        <v>0</v>
      </c>
      <c r="N19" s="1133">
        <v>0</v>
      </c>
    </row>
    <row r="20" spans="1:14" ht="43.2" x14ac:dyDescent="0.3">
      <c r="A20" s="1510"/>
      <c r="B20" s="1510"/>
      <c r="C20" s="1062" t="s">
        <v>61</v>
      </c>
      <c r="D20" s="1062" t="s">
        <v>880</v>
      </c>
      <c r="E20" s="1062">
        <v>0.05</v>
      </c>
      <c r="F20" s="646">
        <v>18481917</v>
      </c>
      <c r="G20" s="646">
        <f>ROUND((E20*F20),0)</f>
        <v>924096</v>
      </c>
      <c r="H20" s="1510"/>
      <c r="I20" s="799">
        <v>0</v>
      </c>
      <c r="J20" s="1132">
        <f t="shared" si="6"/>
        <v>0</v>
      </c>
      <c r="K20" s="1133">
        <f>J20/G20</f>
        <v>0</v>
      </c>
      <c r="L20" s="1134">
        <f t="shared" si="4"/>
        <v>0</v>
      </c>
      <c r="M20" s="1124">
        <f t="shared" si="5"/>
        <v>0</v>
      </c>
      <c r="N20" s="1133">
        <f t="shared" ref="N20:N21" si="7">M20/G20</f>
        <v>0</v>
      </c>
    </row>
    <row r="21" spans="1:14" x14ac:dyDescent="0.3">
      <c r="A21" s="1510"/>
      <c r="B21" s="1510"/>
      <c r="C21" s="647"/>
      <c r="D21" s="647" t="s">
        <v>229</v>
      </c>
      <c r="E21" s="648"/>
      <c r="F21" s="648"/>
      <c r="G21" s="649">
        <f>SUM(G18:G20)</f>
        <v>924096</v>
      </c>
      <c r="H21" s="1510"/>
      <c r="I21" s="1108"/>
      <c r="J21" s="1146">
        <f>SUM(J18:J20)</f>
        <v>0</v>
      </c>
      <c r="K21" s="1136">
        <f t="shared" ref="K21" si="8">J21/G21</f>
        <v>0</v>
      </c>
      <c r="L21" s="1137"/>
      <c r="M21" s="1138">
        <f t="shared" si="5"/>
        <v>0</v>
      </c>
      <c r="N21" s="1136">
        <f t="shared" si="7"/>
        <v>0</v>
      </c>
    </row>
    <row r="22" spans="1:14" ht="43.2" x14ac:dyDescent="0.3">
      <c r="A22" s="1514" t="s">
        <v>2438</v>
      </c>
      <c r="B22" s="1510" t="s">
        <v>1653</v>
      </c>
      <c r="C22" s="1062" t="s">
        <v>81</v>
      </c>
      <c r="D22" s="1062" t="s">
        <v>111</v>
      </c>
      <c r="E22" s="1062">
        <v>0</v>
      </c>
      <c r="F22" s="646">
        <v>5050505</v>
      </c>
      <c r="G22" s="646">
        <f>ROUND((E22*F22),0)</f>
        <v>0</v>
      </c>
      <c r="H22" s="1514" t="s">
        <v>2439</v>
      </c>
      <c r="I22" s="799">
        <v>0</v>
      </c>
      <c r="J22" s="1132">
        <f>ROUND(I22*F22,0)</f>
        <v>0</v>
      </c>
      <c r="K22" s="1133">
        <v>0</v>
      </c>
      <c r="L22" s="1134">
        <f t="shared" ref="L22:L24" si="9">I22</f>
        <v>0</v>
      </c>
      <c r="M22" s="1124">
        <f t="shared" si="5"/>
        <v>0</v>
      </c>
      <c r="N22" s="1133">
        <v>0</v>
      </c>
    </row>
    <row r="23" spans="1:14" ht="43.2" x14ac:dyDescent="0.3">
      <c r="A23" s="1510"/>
      <c r="B23" s="1510"/>
      <c r="C23" s="1062" t="s">
        <v>83</v>
      </c>
      <c r="D23" s="1062" t="s">
        <v>113</v>
      </c>
      <c r="E23" s="1062">
        <v>0</v>
      </c>
      <c r="F23" s="646">
        <v>7831941</v>
      </c>
      <c r="G23" s="646">
        <f>ROUND((E23*F23),0)</f>
        <v>0</v>
      </c>
      <c r="H23" s="1510"/>
      <c r="I23" s="799">
        <v>0</v>
      </c>
      <c r="J23" s="1132">
        <f t="shared" ref="J23:J24" si="10">ROUND(I23*F23,0)</f>
        <v>0</v>
      </c>
      <c r="K23" s="1133">
        <v>0</v>
      </c>
      <c r="L23" s="1134">
        <f t="shared" si="9"/>
        <v>0</v>
      </c>
      <c r="M23" s="1124">
        <f t="shared" si="5"/>
        <v>0</v>
      </c>
      <c r="N23" s="1133">
        <v>0</v>
      </c>
    </row>
    <row r="24" spans="1:14" ht="43.2" x14ac:dyDescent="0.3">
      <c r="A24" s="1510"/>
      <c r="B24" s="1510"/>
      <c r="C24" s="1062" t="s">
        <v>114</v>
      </c>
      <c r="D24" s="1062" t="s">
        <v>115</v>
      </c>
      <c r="E24" s="1062">
        <v>0.05</v>
      </c>
      <c r="F24" s="646">
        <v>16066459</v>
      </c>
      <c r="G24" s="646">
        <f>ROUND((E24*F24),0)</f>
        <v>803323</v>
      </c>
      <c r="H24" s="1510"/>
      <c r="I24" s="799">
        <v>0</v>
      </c>
      <c r="J24" s="1132">
        <f t="shared" si="10"/>
        <v>0</v>
      </c>
      <c r="K24" s="1133">
        <f>J24/G24</f>
        <v>0</v>
      </c>
      <c r="L24" s="1134">
        <f t="shared" si="9"/>
        <v>0</v>
      </c>
      <c r="M24" s="1124">
        <f t="shared" si="5"/>
        <v>0</v>
      </c>
      <c r="N24" s="1133">
        <f t="shared" ref="N24:N28" si="11">M24/G24</f>
        <v>0</v>
      </c>
    </row>
    <row r="25" spans="1:14" x14ac:dyDescent="0.3">
      <c r="A25" s="1510"/>
      <c r="B25" s="1510"/>
      <c r="C25" s="647"/>
      <c r="D25" s="647" t="s">
        <v>116</v>
      </c>
      <c r="E25" s="648"/>
      <c r="F25" s="648"/>
      <c r="G25" s="649">
        <f>SUM(G22:G24)</f>
        <v>803323</v>
      </c>
      <c r="H25" s="1510"/>
      <c r="I25" s="1108"/>
      <c r="J25" s="1146">
        <f>SUM(J22:J24)</f>
        <v>0</v>
      </c>
      <c r="K25" s="1136">
        <f t="shared" ref="K25" si="12">J25/G25</f>
        <v>0</v>
      </c>
      <c r="L25" s="1137"/>
      <c r="M25" s="1138">
        <f t="shared" si="5"/>
        <v>0</v>
      </c>
      <c r="N25" s="1136">
        <f t="shared" si="11"/>
        <v>0</v>
      </c>
    </row>
    <row r="26" spans="1:14" ht="43.2" x14ac:dyDescent="0.3">
      <c r="A26" s="1514" t="s">
        <v>2440</v>
      </c>
      <c r="B26" s="1510" t="s">
        <v>686</v>
      </c>
      <c r="C26" s="1062" t="s">
        <v>83</v>
      </c>
      <c r="D26" s="1062" t="s">
        <v>687</v>
      </c>
      <c r="E26" s="1062">
        <v>0</v>
      </c>
      <c r="F26" s="646">
        <v>2342263</v>
      </c>
      <c r="G26" s="646">
        <f>ROUND((E26*F26),0)</f>
        <v>0</v>
      </c>
      <c r="H26" s="1514" t="s">
        <v>2441</v>
      </c>
      <c r="I26" s="799">
        <v>0</v>
      </c>
      <c r="J26" s="1132">
        <f>ROUND(I26*F26,0)</f>
        <v>0</v>
      </c>
      <c r="K26" s="1133">
        <v>0</v>
      </c>
      <c r="L26" s="1134">
        <f t="shared" ref="L26:M28" si="13">I26</f>
        <v>0</v>
      </c>
      <c r="M26" s="1124">
        <f t="shared" si="13"/>
        <v>0</v>
      </c>
      <c r="N26" s="1133">
        <v>0</v>
      </c>
    </row>
    <row r="27" spans="1:14" ht="43.2" x14ac:dyDescent="0.3">
      <c r="A27" s="1510"/>
      <c r="B27" s="1510"/>
      <c r="C27" s="1062" t="s">
        <v>61</v>
      </c>
      <c r="D27" s="1062" t="s">
        <v>688</v>
      </c>
      <c r="E27" s="1062">
        <v>0.05</v>
      </c>
      <c r="F27" s="646">
        <v>12479869</v>
      </c>
      <c r="G27" s="646">
        <f>ROUND((E27*F27),0)</f>
        <v>623993</v>
      </c>
      <c r="H27" s="1510"/>
      <c r="I27" s="799">
        <v>0</v>
      </c>
      <c r="J27" s="1132">
        <f>ROUND(I27*F27,0)</f>
        <v>0</v>
      </c>
      <c r="K27" s="1133">
        <f>J27/G27</f>
        <v>0</v>
      </c>
      <c r="L27" s="1134">
        <f t="shared" si="13"/>
        <v>0</v>
      </c>
      <c r="M27" s="1124">
        <f t="shared" si="13"/>
        <v>0</v>
      </c>
      <c r="N27" s="1133">
        <f t="shared" si="11"/>
        <v>0</v>
      </c>
    </row>
    <row r="28" spans="1:14" x14ac:dyDescent="0.3">
      <c r="A28" s="1510"/>
      <c r="B28" s="1510"/>
      <c r="C28" s="647"/>
      <c r="D28" s="647" t="s">
        <v>689</v>
      </c>
      <c r="E28" s="648"/>
      <c r="F28" s="648"/>
      <c r="G28" s="649">
        <f>SUM(G26:G27)</f>
        <v>623993</v>
      </c>
      <c r="H28" s="1510"/>
      <c r="I28" s="1108"/>
      <c r="J28" s="1146">
        <f>SUM(J26:J27)</f>
        <v>0</v>
      </c>
      <c r="K28" s="1136">
        <f>J28/G28</f>
        <v>0</v>
      </c>
      <c r="L28" s="1137"/>
      <c r="M28" s="1138">
        <f t="shared" si="13"/>
        <v>0</v>
      </c>
      <c r="N28" s="1136">
        <f t="shared" si="11"/>
        <v>0</v>
      </c>
    </row>
    <row r="29" spans="1:14" x14ac:dyDescent="0.3">
      <c r="F29" s="836" t="s">
        <v>1740</v>
      </c>
      <c r="G29" s="650">
        <f>SUM(G14:G28)/2</f>
        <v>3275508</v>
      </c>
      <c r="I29" s="547" t="s">
        <v>64</v>
      </c>
      <c r="J29" s="855">
        <f>SUM(J13:J28)/2</f>
        <v>0</v>
      </c>
      <c r="K29" s="1054"/>
      <c r="L29" s="547" t="s">
        <v>64</v>
      </c>
      <c r="M29" s="835">
        <f>SUM(M14:M28)/2</f>
        <v>0</v>
      </c>
      <c r="N29" s="1054"/>
    </row>
    <row r="30" spans="1:14" ht="26.4" x14ac:dyDescent="0.3">
      <c r="F30" s="1118" t="s">
        <v>65</v>
      </c>
      <c r="G30" s="1115">
        <v>0</v>
      </c>
      <c r="I30" s="548" t="s">
        <v>65</v>
      </c>
      <c r="J30" s="677">
        <v>0</v>
      </c>
      <c r="K30" s="1054"/>
      <c r="L30" s="548" t="s">
        <v>65</v>
      </c>
      <c r="M30" s="677">
        <v>0</v>
      </c>
      <c r="N30" s="1054"/>
    </row>
    <row r="31" spans="1:14" x14ac:dyDescent="0.3">
      <c r="F31" s="1119" t="s">
        <v>64</v>
      </c>
      <c r="G31" s="1151">
        <f>G29+G30</f>
        <v>3275508</v>
      </c>
      <c r="I31" s="549" t="s">
        <v>64</v>
      </c>
      <c r="J31" s="481">
        <f>J29+J30</f>
        <v>0</v>
      </c>
      <c r="K31" s="1054"/>
      <c r="L31" s="549" t="s">
        <v>64</v>
      </c>
      <c r="M31" s="481">
        <f>M29+M30</f>
        <v>0</v>
      </c>
      <c r="N31" s="1054"/>
    </row>
    <row r="32" spans="1:14" ht="26.4" x14ac:dyDescent="0.3">
      <c r="F32" s="501" t="s">
        <v>1439</v>
      </c>
      <c r="G32" s="1116">
        <f>ROUND(G31*0.015,0)</f>
        <v>49133</v>
      </c>
      <c r="I32" s="501" t="s">
        <v>1439</v>
      </c>
      <c r="J32" s="481">
        <f>ROUND(J31*0.015,0)</f>
        <v>0</v>
      </c>
      <c r="K32" s="1054"/>
      <c r="L32" s="501" t="s">
        <v>1439</v>
      </c>
      <c r="M32" s="481">
        <f>ROUND(M31*0.015,0)</f>
        <v>0</v>
      </c>
      <c r="N32" s="1054"/>
    </row>
    <row r="33" spans="6:14" ht="39.6" x14ac:dyDescent="0.3">
      <c r="F33" s="96" t="s">
        <v>1440</v>
      </c>
      <c r="G33" s="1117">
        <f>G31+G32</f>
        <v>3324641</v>
      </c>
      <c r="I33" s="96" t="s">
        <v>1440</v>
      </c>
      <c r="J33" s="783">
        <f>J31+J32</f>
        <v>0</v>
      </c>
      <c r="K33" s="856">
        <f>J33/G29</f>
        <v>0</v>
      </c>
      <c r="L33" s="96" t="s">
        <v>1440</v>
      </c>
      <c r="M33" s="425">
        <f>M31+M32</f>
        <v>0</v>
      </c>
      <c r="N33" s="857">
        <f>M33/G29</f>
        <v>0</v>
      </c>
    </row>
    <row r="34" spans="6:14" x14ac:dyDescent="0.3">
      <c r="F34" s="1122" t="s">
        <v>66</v>
      </c>
      <c r="G34" s="783">
        <f>G33*0.19</f>
        <v>631681.79</v>
      </c>
      <c r="I34" s="551" t="s">
        <v>66</v>
      </c>
      <c r="J34" s="672">
        <f>J33*0.19</f>
        <v>0</v>
      </c>
      <c r="K34" s="1054"/>
      <c r="L34" s="551" t="s">
        <v>66</v>
      </c>
      <c r="M34" s="672">
        <f>M33*0.19</f>
        <v>0</v>
      </c>
      <c r="N34" s="1054"/>
    </row>
    <row r="35" spans="6:14" x14ac:dyDescent="0.3">
      <c r="F35" s="1123" t="s">
        <v>69</v>
      </c>
      <c r="G35" s="672">
        <f>G33+G34</f>
        <v>3956322.79</v>
      </c>
      <c r="I35" s="552" t="s">
        <v>69</v>
      </c>
      <c r="J35" s="672">
        <f>J33+J34</f>
        <v>0</v>
      </c>
      <c r="K35" s="1054"/>
      <c r="L35" s="552" t="s">
        <v>69</v>
      </c>
      <c r="M35" s="672">
        <f>M33+M34</f>
        <v>0</v>
      </c>
      <c r="N35" s="1054"/>
    </row>
    <row r="36" spans="6:14" x14ac:dyDescent="0.3">
      <c r="I36" s="1054"/>
      <c r="J36" s="1054"/>
      <c r="K36" s="1054"/>
      <c r="L36" s="1054"/>
      <c r="M36" s="1054"/>
      <c r="N36" s="1054"/>
    </row>
    <row r="37" spans="6:14" ht="26.4" x14ac:dyDescent="0.3">
      <c r="I37" s="186" t="s">
        <v>70</v>
      </c>
      <c r="J37" s="187" t="s">
        <v>71</v>
      </c>
      <c r="K37" s="186" t="s">
        <v>58</v>
      </c>
      <c r="L37" s="1054"/>
      <c r="M37" s="1054"/>
      <c r="N37" s="1054"/>
    </row>
    <row r="38" spans="6:14" x14ac:dyDescent="0.3">
      <c r="I38" s="69" t="s">
        <v>72</v>
      </c>
      <c r="J38" s="70">
        <f>J33</f>
        <v>0</v>
      </c>
      <c r="K38" s="360">
        <f>K33</f>
        <v>0</v>
      </c>
      <c r="L38" s="1054"/>
      <c r="M38" s="1054"/>
      <c r="N38" s="1054"/>
    </row>
    <row r="39" spans="6:14" x14ac:dyDescent="0.3">
      <c r="I39" s="72" t="s">
        <v>1</v>
      </c>
      <c r="J39" s="105">
        <f>J38</f>
        <v>0</v>
      </c>
      <c r="K39" s="361">
        <f>K38</f>
        <v>0</v>
      </c>
      <c r="L39" s="1054"/>
      <c r="M39" s="1054"/>
      <c r="N39" s="1054"/>
    </row>
    <row r="40" spans="6:14" x14ac:dyDescent="0.3">
      <c r="I40" s="72" t="s">
        <v>9</v>
      </c>
      <c r="J40" s="1423"/>
      <c r="K40" s="1424"/>
      <c r="L40" s="1054"/>
      <c r="M40" s="1054"/>
      <c r="N40" s="1054"/>
    </row>
    <row r="41" spans="6:14" x14ac:dyDescent="0.3">
      <c r="I41" s="440" t="s">
        <v>78</v>
      </c>
      <c r="J41" s="1423" t="s">
        <v>2442</v>
      </c>
      <c r="K41" s="1424"/>
      <c r="L41" s="1054"/>
      <c r="M41" s="1054"/>
      <c r="N41" s="1054"/>
    </row>
    <row r="42" spans="6:14" x14ac:dyDescent="0.3">
      <c r="I42" s="439" t="s">
        <v>8</v>
      </c>
      <c r="J42" s="1425" t="s">
        <v>2443</v>
      </c>
      <c r="K42" s="1426"/>
      <c r="L42" s="1054"/>
      <c r="M42" s="1054"/>
      <c r="N42" s="1054"/>
    </row>
  </sheetData>
  <mergeCells count="30">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7"/>
    <mergeCell ref="B14:B17"/>
    <mergeCell ref="H14:H17"/>
    <mergeCell ref="A18:A21"/>
    <mergeCell ref="B18:B21"/>
    <mergeCell ref="H18:H21"/>
    <mergeCell ref="J40:K40"/>
    <mergeCell ref="J41:K41"/>
    <mergeCell ref="J42:K42"/>
    <mergeCell ref="A22:A25"/>
    <mergeCell ref="B22:B25"/>
    <mergeCell ref="H22:H25"/>
    <mergeCell ref="A26:A28"/>
    <mergeCell ref="B26:B28"/>
    <mergeCell ref="H26:H28"/>
  </mergeCells>
  <pageMargins left="0.7" right="0.7" top="0.75" bottom="0.75" header="0.3" footer="0.3"/>
  <drawing r:id="rId1"/>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9"/>
  <dimension ref="A1:G49"/>
  <sheetViews>
    <sheetView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RESUMEN!G175</f>
        <v>Proyecto:  CDIE_CBCCSM_R0181-REPOSICION DE PROTECCIONES</v>
      </c>
      <c r="C5" s="1281"/>
      <c r="D5" s="1281"/>
      <c r="E5" s="1281"/>
      <c r="F5" s="1281"/>
      <c r="G5" s="1282"/>
    </row>
    <row r="6" spans="1:7" x14ac:dyDescent="0.25">
      <c r="A6" s="1177"/>
      <c r="B6" s="1177"/>
      <c r="C6" s="1177"/>
      <c r="D6" s="1177"/>
      <c r="E6" s="1177"/>
      <c r="F6" s="1177"/>
      <c r="G6" s="1177"/>
    </row>
    <row r="7" spans="1:7" x14ac:dyDescent="0.25">
      <c r="A7" s="271" t="s">
        <v>0</v>
      </c>
      <c r="B7" s="1264" t="str">
        <f>RESUMEN!B175</f>
        <v>D00249256</v>
      </c>
      <c r="C7" s="1265"/>
      <c r="D7" s="1177"/>
      <c r="E7" s="1266" t="s">
        <v>627</v>
      </c>
      <c r="F7" s="1267"/>
      <c r="G7" s="280" t="str">
        <f>RESUMEN!E175</f>
        <v xml:space="preserve">18-039 </v>
      </c>
    </row>
    <row r="8" spans="1:7" x14ac:dyDescent="0.25">
      <c r="A8" s="271" t="s">
        <v>628</v>
      </c>
      <c r="B8" s="1264" t="str">
        <f>RESUMEN!C175</f>
        <v>D00249256000</v>
      </c>
      <c r="C8" s="1265"/>
      <c r="D8" s="1177"/>
      <c r="E8" s="1266" t="s">
        <v>629</v>
      </c>
      <c r="F8" s="1267"/>
      <c r="G8" s="280" t="str">
        <f>RESUMEN!U175</f>
        <v>Acta N° 1: Marzo</v>
      </c>
    </row>
    <row r="9" spans="1:7" x14ac:dyDescent="0.25">
      <c r="A9" s="271" t="s">
        <v>630</v>
      </c>
      <c r="B9" s="1283" t="s">
        <v>631</v>
      </c>
      <c r="C9" s="1265"/>
      <c r="D9" s="1177"/>
      <c r="E9" s="1266" t="s">
        <v>632</v>
      </c>
      <c r="F9" s="1267"/>
      <c r="G9" s="1178">
        <f>RESUMEN!H175</f>
        <v>26789633</v>
      </c>
    </row>
    <row r="10" spans="1:7" x14ac:dyDescent="0.25">
      <c r="A10" s="271" t="s">
        <v>633</v>
      </c>
      <c r="B10" s="1283" t="str">
        <f>RESUMEN!D175</f>
        <v>TECHO</v>
      </c>
      <c r="C10" s="1265"/>
      <c r="D10" s="1177"/>
      <c r="E10" s="1266" t="s">
        <v>634</v>
      </c>
      <c r="F10" s="1267"/>
      <c r="G10" s="1178">
        <f>RESUMEN!R175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CDIE_CBCCSM_R0181-REPOSICION DE PROTECCIONES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RESUMEN!N175</f>
        <v>0</v>
      </c>
      <c r="F19" s="1248"/>
      <c r="G19" s="1177"/>
    </row>
    <row r="20" spans="1:7" ht="27" customHeight="1" x14ac:dyDescent="0.25">
      <c r="A20" s="1177"/>
      <c r="B20" s="1244" t="s">
        <v>1498</v>
      </c>
      <c r="C20" s="1245"/>
      <c r="D20" s="1246"/>
      <c r="E20" s="1247">
        <f>RESUMEN!P175</f>
        <v>0</v>
      </c>
      <c r="F20" s="1248"/>
      <c r="G20" s="1177"/>
    </row>
    <row r="21" spans="1:7" ht="27" customHeight="1" x14ac:dyDescent="0.25">
      <c r="A21" s="1177"/>
      <c r="B21" s="1244" t="s">
        <v>1499</v>
      </c>
      <c r="C21" s="1245"/>
      <c r="D21" s="1246"/>
      <c r="E21" s="1247">
        <f>RESUMEN!Q175</f>
        <v>0</v>
      </c>
      <c r="F21" s="1248"/>
      <c r="G21" s="1177"/>
    </row>
    <row r="22" spans="1:7" x14ac:dyDescent="0.25">
      <c r="A22" s="1177"/>
      <c r="B22" s="1254" t="s">
        <v>64</v>
      </c>
      <c r="C22" s="1254"/>
      <c r="D22" s="1254"/>
      <c r="E22" s="1255">
        <f>RESUMEN!R175</f>
        <v>0</v>
      </c>
      <c r="F22" s="1255"/>
      <c r="G22" s="1177"/>
    </row>
    <row r="23" spans="1:7" x14ac:dyDescent="0.25">
      <c r="A23" s="1177"/>
      <c r="B23" s="1256" t="s">
        <v>66</v>
      </c>
      <c r="C23" s="1256"/>
      <c r="D23" s="1256"/>
      <c r="E23" s="1257">
        <f>RESUMEN!S175</f>
        <v>0</v>
      </c>
      <c r="F23" s="1257"/>
      <c r="G23" s="1177"/>
    </row>
    <row r="24" spans="1:7" x14ac:dyDescent="0.25">
      <c r="A24" s="1177"/>
      <c r="B24" s="1258" t="s">
        <v>1</v>
      </c>
      <c r="C24" s="1258"/>
      <c r="D24" s="1258"/>
      <c r="E24" s="1259">
        <f>RESUMEN!T175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+'OT18-039 TECHO'!I35</f>
        <v>ACTA 1</v>
      </c>
      <c r="C28" s="1253">
        <f>+'OT18-039 TECHO'!J35</f>
        <v>0</v>
      </c>
      <c r="D28" s="1253"/>
      <c r="E28" s="267">
        <f>+'OT18-039 TECHO'!K35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0"/>
  <dimension ref="A1:N39"/>
  <sheetViews>
    <sheetView topLeftCell="A19" zoomScale="80" zoomScaleNormal="80" workbookViewId="0">
      <selection activeCell="D30" sqref="D30"/>
    </sheetView>
  </sheetViews>
  <sheetFormatPr baseColWidth="10" defaultRowHeight="14.4" x14ac:dyDescent="0.3"/>
  <cols>
    <col min="2" max="2" width="18.88671875" customWidth="1"/>
    <col min="3" max="4" width="22.33203125" customWidth="1"/>
    <col min="6" max="6" width="13.77734375" customWidth="1"/>
    <col min="7" max="7" width="15.5546875" customWidth="1"/>
    <col min="8" max="8" width="20.6640625" customWidth="1"/>
  </cols>
  <sheetData>
    <row r="1" spans="1:14" x14ac:dyDescent="0.3">
      <c r="A1" s="169"/>
      <c r="B1" s="188"/>
      <c r="C1" s="1307" t="s">
        <v>40</v>
      </c>
      <c r="D1" s="1308"/>
      <c r="E1" s="1308"/>
      <c r="F1" s="1308"/>
      <c r="G1" s="1308"/>
      <c r="H1" s="1308"/>
      <c r="I1" s="1308"/>
      <c r="J1" s="1308"/>
      <c r="K1" s="1532" t="s">
        <v>2445</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2446</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2444</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1907</v>
      </c>
      <c r="B14" s="1510" t="s">
        <v>869</v>
      </c>
      <c r="C14" s="1062" t="s">
        <v>83</v>
      </c>
      <c r="D14" s="1062" t="s">
        <v>870</v>
      </c>
      <c r="E14" s="1062">
        <v>1</v>
      </c>
      <c r="F14" s="646">
        <v>1171131</v>
      </c>
      <c r="G14" s="646">
        <f>ROUND((E14*F14),0)</f>
        <v>1171131</v>
      </c>
      <c r="H14" s="1514" t="s">
        <v>2447</v>
      </c>
      <c r="I14" s="799">
        <v>0</v>
      </c>
      <c r="J14" s="1132">
        <f>ROUND(I14*F14,0)</f>
        <v>0</v>
      </c>
      <c r="K14" s="1133">
        <f>J14/G14</f>
        <v>0</v>
      </c>
      <c r="L14" s="1134">
        <f t="shared" ref="L14:M16" si="0">I14</f>
        <v>0</v>
      </c>
      <c r="M14" s="1124">
        <f t="shared" si="0"/>
        <v>0</v>
      </c>
      <c r="N14" s="1133">
        <f t="shared" ref="N14:N25" si="1">M14/G14</f>
        <v>0</v>
      </c>
    </row>
    <row r="15" spans="1:14" ht="43.2" x14ac:dyDescent="0.3">
      <c r="A15" s="1510"/>
      <c r="B15" s="1510"/>
      <c r="C15" s="1062" t="s">
        <v>61</v>
      </c>
      <c r="D15" s="1062" t="s">
        <v>871</v>
      </c>
      <c r="E15" s="1062">
        <v>1</v>
      </c>
      <c r="F15" s="646">
        <v>2818036</v>
      </c>
      <c r="G15" s="646">
        <f>ROUND((E15*F15),0)</f>
        <v>2818036</v>
      </c>
      <c r="H15" s="1510"/>
      <c r="I15" s="799">
        <v>0</v>
      </c>
      <c r="J15" s="1132">
        <f>ROUND(I15*F15,0)</f>
        <v>0</v>
      </c>
      <c r="K15" s="1133">
        <f>J15/G15</f>
        <v>0</v>
      </c>
      <c r="L15" s="1134">
        <f t="shared" si="0"/>
        <v>0</v>
      </c>
      <c r="M15" s="1124">
        <f t="shared" si="0"/>
        <v>0</v>
      </c>
      <c r="N15" s="1133">
        <f t="shared" si="1"/>
        <v>0</v>
      </c>
    </row>
    <row r="16" spans="1:14" x14ac:dyDescent="0.3">
      <c r="A16" s="1510"/>
      <c r="B16" s="1510"/>
      <c r="C16" s="647"/>
      <c r="D16" s="647" t="s">
        <v>872</v>
      </c>
      <c r="E16" s="648"/>
      <c r="F16" s="648"/>
      <c r="G16" s="649">
        <f>SUM(G14:G15)</f>
        <v>3989167</v>
      </c>
      <c r="H16" s="1510"/>
      <c r="I16" s="1108"/>
      <c r="J16" s="1146">
        <f>SUM(J14:J15)</f>
        <v>0</v>
      </c>
      <c r="K16" s="1136">
        <f t="shared" ref="K16" si="2">J16/G16</f>
        <v>0</v>
      </c>
      <c r="L16" s="1137"/>
      <c r="M16" s="1138">
        <f t="shared" si="0"/>
        <v>0</v>
      </c>
      <c r="N16" s="1136">
        <f t="shared" si="1"/>
        <v>0</v>
      </c>
    </row>
    <row r="17" spans="1:14" ht="43.2" x14ac:dyDescent="0.3">
      <c r="A17" s="1514" t="s">
        <v>2448</v>
      </c>
      <c r="B17" s="1510" t="s">
        <v>869</v>
      </c>
      <c r="C17" s="1062" t="s">
        <v>83</v>
      </c>
      <c r="D17" s="1062" t="s">
        <v>870</v>
      </c>
      <c r="E17" s="1062">
        <v>1</v>
      </c>
      <c r="F17" s="646">
        <v>1171131</v>
      </c>
      <c r="G17" s="646">
        <f>ROUND((E17*F17),0)</f>
        <v>1171131</v>
      </c>
      <c r="H17" s="1514" t="s">
        <v>2449</v>
      </c>
      <c r="I17" s="799">
        <v>0</v>
      </c>
      <c r="J17" s="1132">
        <f>ROUND(I17*F17,0)</f>
        <v>0</v>
      </c>
      <c r="K17" s="1133">
        <f>J17/G17</f>
        <v>0</v>
      </c>
      <c r="L17" s="1134">
        <f t="shared" ref="L17:M19" si="3">I17</f>
        <v>0</v>
      </c>
      <c r="M17" s="1124">
        <f t="shared" si="3"/>
        <v>0</v>
      </c>
      <c r="N17" s="1133">
        <f t="shared" si="1"/>
        <v>0</v>
      </c>
    </row>
    <row r="18" spans="1:14" ht="43.2" x14ac:dyDescent="0.3">
      <c r="A18" s="1510"/>
      <c r="B18" s="1510"/>
      <c r="C18" s="1062" t="s">
        <v>61</v>
      </c>
      <c r="D18" s="1062" t="s">
        <v>871</v>
      </c>
      <c r="E18" s="1062">
        <v>1</v>
      </c>
      <c r="F18" s="646">
        <v>2818036</v>
      </c>
      <c r="G18" s="646">
        <f>ROUND((E18*F18),0)</f>
        <v>2818036</v>
      </c>
      <c r="H18" s="1510"/>
      <c r="I18" s="799">
        <v>0</v>
      </c>
      <c r="J18" s="1132">
        <f>ROUND(I18*F18,0)</f>
        <v>0</v>
      </c>
      <c r="K18" s="1133">
        <f>J18/G18</f>
        <v>0</v>
      </c>
      <c r="L18" s="1134">
        <f t="shared" si="3"/>
        <v>0</v>
      </c>
      <c r="M18" s="1124">
        <f t="shared" si="3"/>
        <v>0</v>
      </c>
      <c r="N18" s="1133">
        <f t="shared" si="1"/>
        <v>0</v>
      </c>
    </row>
    <row r="19" spans="1:14" x14ac:dyDescent="0.3">
      <c r="A19" s="1510"/>
      <c r="B19" s="1510"/>
      <c r="C19" s="647"/>
      <c r="D19" s="647" t="s">
        <v>872</v>
      </c>
      <c r="E19" s="648"/>
      <c r="F19" s="648"/>
      <c r="G19" s="649">
        <f>SUM(G17:G18)</f>
        <v>3989167</v>
      </c>
      <c r="H19" s="1510"/>
      <c r="I19" s="1108"/>
      <c r="J19" s="1146">
        <f>SUM(J17:J18)</f>
        <v>0</v>
      </c>
      <c r="K19" s="1136">
        <f t="shared" ref="K19" si="4">J19/G19</f>
        <v>0</v>
      </c>
      <c r="L19" s="1137"/>
      <c r="M19" s="1138">
        <f t="shared" si="3"/>
        <v>0</v>
      </c>
      <c r="N19" s="1136">
        <f t="shared" si="1"/>
        <v>0</v>
      </c>
    </row>
    <row r="20" spans="1:14" ht="43.2" x14ac:dyDescent="0.3">
      <c r="A20" s="1514" t="s">
        <v>1651</v>
      </c>
      <c r="B20" s="1510" t="s">
        <v>869</v>
      </c>
      <c r="C20" s="1062" t="s">
        <v>83</v>
      </c>
      <c r="D20" s="1062" t="s">
        <v>870</v>
      </c>
      <c r="E20" s="1062">
        <v>1</v>
      </c>
      <c r="F20" s="646">
        <v>1171131</v>
      </c>
      <c r="G20" s="646">
        <f>ROUND((E20*F20),0)</f>
        <v>1171131</v>
      </c>
      <c r="H20" s="1514" t="s">
        <v>2450</v>
      </c>
      <c r="I20" s="799">
        <v>0</v>
      </c>
      <c r="J20" s="1132">
        <f>ROUND(I20*F20,0)</f>
        <v>0</v>
      </c>
      <c r="K20" s="1133">
        <f>J20/G20</f>
        <v>0</v>
      </c>
      <c r="L20" s="1134">
        <f t="shared" ref="L20:M22" si="5">I20</f>
        <v>0</v>
      </c>
      <c r="M20" s="1124">
        <f t="shared" si="5"/>
        <v>0</v>
      </c>
      <c r="N20" s="1133">
        <f t="shared" si="1"/>
        <v>0</v>
      </c>
    </row>
    <row r="21" spans="1:14" ht="43.2" x14ac:dyDescent="0.3">
      <c r="A21" s="1510"/>
      <c r="B21" s="1510"/>
      <c r="C21" s="1062" t="s">
        <v>61</v>
      </c>
      <c r="D21" s="1062" t="s">
        <v>871</v>
      </c>
      <c r="E21" s="1062">
        <v>1</v>
      </c>
      <c r="F21" s="646">
        <v>2818036</v>
      </c>
      <c r="G21" s="646">
        <f>ROUND((E21*F21),0)</f>
        <v>2818036</v>
      </c>
      <c r="H21" s="1510"/>
      <c r="I21" s="799">
        <v>0</v>
      </c>
      <c r="J21" s="1132">
        <f>ROUND(I21*F21,0)</f>
        <v>0</v>
      </c>
      <c r="K21" s="1133">
        <f>J21/G21</f>
        <v>0</v>
      </c>
      <c r="L21" s="1134">
        <f t="shared" si="5"/>
        <v>0</v>
      </c>
      <c r="M21" s="1124">
        <f t="shared" si="5"/>
        <v>0</v>
      </c>
      <c r="N21" s="1133">
        <f t="shared" si="1"/>
        <v>0</v>
      </c>
    </row>
    <row r="22" spans="1:14" x14ac:dyDescent="0.3">
      <c r="A22" s="1510"/>
      <c r="B22" s="1510"/>
      <c r="C22" s="647"/>
      <c r="D22" s="647" t="s">
        <v>872</v>
      </c>
      <c r="E22" s="648"/>
      <c r="F22" s="648"/>
      <c r="G22" s="649">
        <f>SUM(G20:G21)</f>
        <v>3989167</v>
      </c>
      <c r="H22" s="1510"/>
      <c r="I22" s="1108"/>
      <c r="J22" s="1146">
        <f>SUM(J20:J21)</f>
        <v>0</v>
      </c>
      <c r="K22" s="1136">
        <f t="shared" ref="K22" si="6">J22/G22</f>
        <v>0</v>
      </c>
      <c r="L22" s="1137"/>
      <c r="M22" s="1138">
        <f t="shared" si="5"/>
        <v>0</v>
      </c>
      <c r="N22" s="1136">
        <f t="shared" si="1"/>
        <v>0</v>
      </c>
    </row>
    <row r="23" spans="1:14" ht="43.2" x14ac:dyDescent="0.3">
      <c r="A23" s="1510" t="s">
        <v>201</v>
      </c>
      <c r="B23" s="1510" t="s">
        <v>686</v>
      </c>
      <c r="C23" s="1062" t="s">
        <v>83</v>
      </c>
      <c r="D23" s="1062" t="s">
        <v>687</v>
      </c>
      <c r="E23" s="1062">
        <v>1</v>
      </c>
      <c r="F23" s="646">
        <v>2342263</v>
      </c>
      <c r="G23" s="646">
        <f>ROUND((E23*F23),0)</f>
        <v>2342263</v>
      </c>
      <c r="H23" s="1514" t="s">
        <v>2451</v>
      </c>
      <c r="I23" s="799">
        <v>0</v>
      </c>
      <c r="J23" s="1132">
        <f>ROUND(I23*F23,0)</f>
        <v>0</v>
      </c>
      <c r="K23" s="1133">
        <f>J23/G23</f>
        <v>0</v>
      </c>
      <c r="L23" s="1134">
        <f t="shared" ref="L23:M25" si="7">I23</f>
        <v>0</v>
      </c>
      <c r="M23" s="1124">
        <f t="shared" si="7"/>
        <v>0</v>
      </c>
      <c r="N23" s="1133">
        <f t="shared" si="1"/>
        <v>0</v>
      </c>
    </row>
    <row r="24" spans="1:14" ht="43.2" x14ac:dyDescent="0.3">
      <c r="A24" s="1510"/>
      <c r="B24" s="1510"/>
      <c r="C24" s="1062" t="s">
        <v>61</v>
      </c>
      <c r="D24" s="1062" t="s">
        <v>688</v>
      </c>
      <c r="E24" s="1062">
        <v>1</v>
      </c>
      <c r="F24" s="646">
        <v>12479869</v>
      </c>
      <c r="G24" s="646">
        <f>ROUND((E24*F24),0)</f>
        <v>12479869</v>
      </c>
      <c r="H24" s="1510"/>
      <c r="I24" s="799">
        <v>0</v>
      </c>
      <c r="J24" s="1132">
        <f>ROUND(I24*F24,0)</f>
        <v>0</v>
      </c>
      <c r="K24" s="1133">
        <f>J24/G24</f>
        <v>0</v>
      </c>
      <c r="L24" s="1134">
        <f t="shared" si="7"/>
        <v>0</v>
      </c>
      <c r="M24" s="1124">
        <f t="shared" si="7"/>
        <v>0</v>
      </c>
      <c r="N24" s="1133">
        <f t="shared" si="1"/>
        <v>0</v>
      </c>
    </row>
    <row r="25" spans="1:14" x14ac:dyDescent="0.3">
      <c r="A25" s="1510"/>
      <c r="B25" s="1510"/>
      <c r="C25" s="647"/>
      <c r="D25" s="647" t="s">
        <v>689</v>
      </c>
      <c r="E25" s="648"/>
      <c r="F25" s="648"/>
      <c r="G25" s="649">
        <f>SUM(G23:G24)</f>
        <v>14822132</v>
      </c>
      <c r="H25" s="1510"/>
      <c r="I25" s="1108"/>
      <c r="J25" s="1146">
        <f>SUM(J23:J24)</f>
        <v>0</v>
      </c>
      <c r="K25" s="1136">
        <f t="shared" ref="K25" si="8">J25/G25</f>
        <v>0</v>
      </c>
      <c r="L25" s="1137"/>
      <c r="M25" s="1138">
        <f t="shared" si="7"/>
        <v>0</v>
      </c>
      <c r="N25" s="1136">
        <f t="shared" si="1"/>
        <v>0</v>
      </c>
    </row>
    <row r="26" spans="1:14" x14ac:dyDescent="0.3">
      <c r="F26" s="836" t="s">
        <v>1740</v>
      </c>
      <c r="G26" s="650">
        <f>SUM(G14:G25)/2</f>
        <v>26789633</v>
      </c>
      <c r="I26" s="547" t="s">
        <v>64</v>
      </c>
      <c r="J26" s="855">
        <f>SUM(J14:J25)/2</f>
        <v>0</v>
      </c>
      <c r="K26" s="1054"/>
      <c r="L26" s="547" t="s">
        <v>64</v>
      </c>
      <c r="M26" s="835">
        <f>SUM(M14:M25)/2</f>
        <v>0</v>
      </c>
      <c r="N26" s="1054"/>
    </row>
    <row r="27" spans="1:14" ht="26.4" x14ac:dyDescent="0.3">
      <c r="F27" s="1118" t="s">
        <v>65</v>
      </c>
      <c r="G27" s="1115">
        <v>0</v>
      </c>
      <c r="I27" s="548" t="s">
        <v>65</v>
      </c>
      <c r="J27" s="677">
        <v>0</v>
      </c>
      <c r="K27" s="1054"/>
      <c r="L27" s="548" t="s">
        <v>65</v>
      </c>
      <c r="M27" s="677">
        <v>0</v>
      </c>
      <c r="N27" s="1054"/>
    </row>
    <row r="28" spans="1:14" x14ac:dyDescent="0.3">
      <c r="F28" s="1119" t="s">
        <v>64</v>
      </c>
      <c r="G28" s="1151">
        <f>G26+G27</f>
        <v>26789633</v>
      </c>
      <c r="I28" s="549" t="s">
        <v>64</v>
      </c>
      <c r="J28" s="481">
        <f>J26+J27</f>
        <v>0</v>
      </c>
      <c r="K28" s="1054"/>
      <c r="L28" s="549" t="s">
        <v>64</v>
      </c>
      <c r="M28" s="481">
        <f>M26+M27</f>
        <v>0</v>
      </c>
      <c r="N28" s="1054"/>
    </row>
    <row r="29" spans="1:14" ht="26.4" x14ac:dyDescent="0.3">
      <c r="F29" s="501" t="s">
        <v>1439</v>
      </c>
      <c r="G29" s="1116">
        <f>ROUND(G28*0.015,0)</f>
        <v>401844</v>
      </c>
      <c r="I29" s="501" t="s">
        <v>1439</v>
      </c>
      <c r="J29" s="481">
        <f>ROUND(J28*0.015,0)</f>
        <v>0</v>
      </c>
      <c r="K29" s="1054"/>
      <c r="L29" s="501" t="s">
        <v>1439</v>
      </c>
      <c r="M29" s="481">
        <f>ROUND(M28*0.015,0)</f>
        <v>0</v>
      </c>
      <c r="N29" s="1054"/>
    </row>
    <row r="30" spans="1:14" ht="39.6" x14ac:dyDescent="0.3">
      <c r="F30" s="96" t="s">
        <v>1440</v>
      </c>
      <c r="G30" s="1117">
        <f>G28+G29</f>
        <v>27191477</v>
      </c>
      <c r="I30" s="96" t="s">
        <v>1440</v>
      </c>
      <c r="J30" s="783">
        <f>J28+J29</f>
        <v>0</v>
      </c>
      <c r="K30" s="856">
        <f>J30/G26</f>
        <v>0</v>
      </c>
      <c r="L30" s="96" t="s">
        <v>1440</v>
      </c>
      <c r="M30" s="425">
        <f>M28+M29</f>
        <v>0</v>
      </c>
      <c r="N30" s="857">
        <f>M30/G26</f>
        <v>0</v>
      </c>
    </row>
    <row r="31" spans="1:14" x14ac:dyDescent="0.3">
      <c r="F31" s="1122" t="s">
        <v>66</v>
      </c>
      <c r="G31" s="783">
        <f>G30*0.19</f>
        <v>5166380.63</v>
      </c>
      <c r="I31" s="551" t="s">
        <v>66</v>
      </c>
      <c r="J31" s="672">
        <f>J30*0.19</f>
        <v>0</v>
      </c>
      <c r="K31" s="1054"/>
      <c r="L31" s="551" t="s">
        <v>66</v>
      </c>
      <c r="M31" s="672">
        <f>M30*0.19</f>
        <v>0</v>
      </c>
      <c r="N31" s="1054"/>
    </row>
    <row r="32" spans="1:14" x14ac:dyDescent="0.3">
      <c r="F32" s="1123" t="s">
        <v>69</v>
      </c>
      <c r="G32" s="672">
        <f>G30+G31</f>
        <v>32357857.629999999</v>
      </c>
      <c r="I32" s="552" t="s">
        <v>69</v>
      </c>
      <c r="J32" s="672">
        <f>J30+J31</f>
        <v>0</v>
      </c>
      <c r="K32" s="1054"/>
      <c r="L32" s="552" t="s">
        <v>69</v>
      </c>
      <c r="M32" s="672">
        <f>M30+M31</f>
        <v>0</v>
      </c>
      <c r="N32" s="1054"/>
    </row>
    <row r="33" spans="9:14" x14ac:dyDescent="0.3">
      <c r="I33" s="1054"/>
      <c r="J33" s="1054"/>
      <c r="K33" s="1054"/>
      <c r="L33" s="1054"/>
      <c r="M33" s="1054"/>
      <c r="N33" s="1054"/>
    </row>
    <row r="34" spans="9:14" ht="26.4" x14ac:dyDescent="0.3">
      <c r="I34" s="186" t="s">
        <v>70</v>
      </c>
      <c r="J34" s="187" t="s">
        <v>71</v>
      </c>
      <c r="K34" s="186" t="s">
        <v>58</v>
      </c>
      <c r="L34" s="1054"/>
      <c r="M34" s="1054"/>
      <c r="N34" s="1054"/>
    </row>
    <row r="35" spans="9:14" x14ac:dyDescent="0.3">
      <c r="I35" s="69" t="s">
        <v>72</v>
      </c>
      <c r="J35" s="70">
        <f>J30</f>
        <v>0</v>
      </c>
      <c r="K35" s="360">
        <f>K30</f>
        <v>0</v>
      </c>
      <c r="L35" s="1054"/>
      <c r="M35" s="1054"/>
      <c r="N35" s="1054"/>
    </row>
    <row r="36" spans="9:14" x14ac:dyDescent="0.3">
      <c r="I36" s="72" t="s">
        <v>1</v>
      </c>
      <c r="J36" s="105">
        <f>J35</f>
        <v>0</v>
      </c>
      <c r="K36" s="361">
        <f>K35</f>
        <v>0</v>
      </c>
      <c r="L36" s="1054"/>
      <c r="M36" s="1054"/>
      <c r="N36" s="1054"/>
    </row>
    <row r="37" spans="9:14" x14ac:dyDescent="0.3">
      <c r="I37" s="72" t="s">
        <v>9</v>
      </c>
      <c r="J37" s="1423"/>
      <c r="K37" s="1424"/>
      <c r="L37" s="1054"/>
      <c r="M37" s="1054"/>
      <c r="N37" s="1054"/>
    </row>
    <row r="38" spans="9:14" x14ac:dyDescent="0.3">
      <c r="I38" s="440" t="s">
        <v>78</v>
      </c>
      <c r="J38" s="1423" t="s">
        <v>2452</v>
      </c>
      <c r="K38" s="1424"/>
      <c r="L38" s="1054"/>
      <c r="M38" s="1054"/>
      <c r="N38" s="1054"/>
    </row>
    <row r="39" spans="9:14" x14ac:dyDescent="0.3">
      <c r="I39" s="439" t="s">
        <v>8</v>
      </c>
      <c r="J39" s="1425" t="s">
        <v>2453</v>
      </c>
      <c r="K39" s="1426"/>
      <c r="L39" s="1054"/>
      <c r="M39" s="1054"/>
      <c r="N39" s="1054"/>
    </row>
  </sheetData>
  <mergeCells count="30">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6"/>
    <mergeCell ref="B14:B16"/>
    <mergeCell ref="H14:H16"/>
    <mergeCell ref="A17:A19"/>
    <mergeCell ref="B17:B19"/>
    <mergeCell ref="H17:H19"/>
    <mergeCell ref="J37:K37"/>
    <mergeCell ref="J38:K38"/>
    <mergeCell ref="J39:K39"/>
    <mergeCell ref="A20:A22"/>
    <mergeCell ref="B20:B22"/>
    <mergeCell ref="H20:H22"/>
    <mergeCell ref="A23:A25"/>
    <mergeCell ref="B23:B25"/>
    <mergeCell ref="H23:H25"/>
  </mergeCells>
  <pageMargins left="0.7" right="0.7" top="0.75" bottom="0.75" header="0.3" footer="0.3"/>
  <drawing r:id="rId1"/>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1"/>
  <dimension ref="A1:G49"/>
  <sheetViews>
    <sheetView topLeftCell="A10" workbookViewId="0">
      <selection activeCell="F34" sqref="F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RESUMEN!G176</f>
        <v>Proyecto:  CDIE_CBCCSM_R0181-REPOSICION DE PROTECCIONES</v>
      </c>
      <c r="C5" s="1281"/>
      <c r="D5" s="1281"/>
      <c r="E5" s="1281"/>
      <c r="F5" s="1281"/>
      <c r="G5" s="1282"/>
    </row>
    <row r="6" spans="1:7" x14ac:dyDescent="0.25">
      <c r="A6" s="1177"/>
      <c r="B6" s="1177"/>
      <c r="C6" s="1177"/>
      <c r="D6" s="1177"/>
      <c r="E6" s="1177"/>
      <c r="F6" s="1177"/>
      <c r="G6" s="1177"/>
    </row>
    <row r="7" spans="1:7" x14ac:dyDescent="0.25">
      <c r="A7" s="271" t="s">
        <v>0</v>
      </c>
      <c r="B7" s="1264" t="str">
        <f>RESUMEN!B176</f>
        <v>D00249255</v>
      </c>
      <c r="C7" s="1265"/>
      <c r="D7" s="1177"/>
      <c r="E7" s="1266" t="s">
        <v>627</v>
      </c>
      <c r="F7" s="1267"/>
      <c r="G7" s="280" t="str">
        <f>RESUMEN!E176</f>
        <v xml:space="preserve">18-040 </v>
      </c>
    </row>
    <row r="8" spans="1:7" x14ac:dyDescent="0.25">
      <c r="A8" s="271" t="s">
        <v>628</v>
      </c>
      <c r="B8" s="1264" t="str">
        <f>RESUMEN!C176</f>
        <v>D00249255000</v>
      </c>
      <c r="C8" s="1265"/>
      <c r="D8" s="1177"/>
      <c r="E8" s="1266" t="s">
        <v>629</v>
      </c>
      <c r="F8" s="1267"/>
      <c r="G8" s="280" t="str">
        <f>RESUMEN!U176</f>
        <v>Acta N° 1: Marzo</v>
      </c>
    </row>
    <row r="9" spans="1:7" x14ac:dyDescent="0.25">
      <c r="A9" s="271" t="s">
        <v>630</v>
      </c>
      <c r="B9" s="1283" t="s">
        <v>631</v>
      </c>
      <c r="C9" s="1265"/>
      <c r="D9" s="1177"/>
      <c r="E9" s="1266" t="s">
        <v>632</v>
      </c>
      <c r="F9" s="1267"/>
      <c r="G9" s="1178">
        <f>RESUMEN!H176</f>
        <v>11967501</v>
      </c>
    </row>
    <row r="10" spans="1:7" x14ac:dyDescent="0.25">
      <c r="A10" s="271" t="s">
        <v>633</v>
      </c>
      <c r="B10" s="1283" t="str">
        <f>RESUMEN!D176</f>
        <v>AUTOPISTA</v>
      </c>
      <c r="C10" s="1265"/>
      <c r="D10" s="1177"/>
      <c r="E10" s="1266" t="s">
        <v>634</v>
      </c>
      <c r="F10" s="1267"/>
      <c r="G10" s="1178">
        <f>RESUMEN!R176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CDIE_CBCCSM_R0181-REPOSICION DE PROTECCIONES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RESUMEN!N176</f>
        <v>0</v>
      </c>
      <c r="F19" s="1248"/>
      <c r="G19" s="1177"/>
    </row>
    <row r="20" spans="1:7" ht="27" customHeight="1" x14ac:dyDescent="0.25">
      <c r="A20" s="1177"/>
      <c r="B20" s="1244" t="s">
        <v>1498</v>
      </c>
      <c r="C20" s="1245"/>
      <c r="D20" s="1246"/>
      <c r="E20" s="1247">
        <f>RESUMEN!P176</f>
        <v>0</v>
      </c>
      <c r="F20" s="1248"/>
      <c r="G20" s="1177"/>
    </row>
    <row r="21" spans="1:7" ht="27" customHeight="1" x14ac:dyDescent="0.25">
      <c r="A21" s="1177"/>
      <c r="B21" s="1244" t="s">
        <v>1499</v>
      </c>
      <c r="C21" s="1245"/>
      <c r="D21" s="1246"/>
      <c r="E21" s="1247">
        <f>RESUMEN!Q176</f>
        <v>0</v>
      </c>
      <c r="F21" s="1248"/>
      <c r="G21" s="1177"/>
    </row>
    <row r="22" spans="1:7" x14ac:dyDescent="0.25">
      <c r="A22" s="1177"/>
      <c r="B22" s="1254" t="s">
        <v>64</v>
      </c>
      <c r="C22" s="1254"/>
      <c r="D22" s="1254"/>
      <c r="E22" s="1255">
        <f>RESUMEN!R176</f>
        <v>0</v>
      </c>
      <c r="F22" s="1255"/>
      <c r="G22" s="1177"/>
    </row>
    <row r="23" spans="1:7" x14ac:dyDescent="0.25">
      <c r="A23" s="1177"/>
      <c r="B23" s="1256" t="s">
        <v>66</v>
      </c>
      <c r="C23" s="1256"/>
      <c r="D23" s="1256"/>
      <c r="E23" s="1257">
        <f>RESUMEN!S176</f>
        <v>0</v>
      </c>
      <c r="F23" s="1257"/>
      <c r="G23" s="1177"/>
    </row>
    <row r="24" spans="1:7" x14ac:dyDescent="0.25">
      <c r="A24" s="1177"/>
      <c r="B24" s="1258" t="s">
        <v>1</v>
      </c>
      <c r="C24" s="1258"/>
      <c r="D24" s="1258"/>
      <c r="E24" s="1259">
        <f>RESUMEN!T176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+'OT18-040 AUTOPISTA'!I32</f>
        <v>ACTA 1</v>
      </c>
      <c r="C28" s="1253">
        <f>+'OT18-040 AUTOPISTA'!J32</f>
        <v>0</v>
      </c>
      <c r="D28" s="1253"/>
      <c r="E28" s="267">
        <f>+'OT18-040 AUTOPISTA'!K32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2"/>
  <dimension ref="A1:N36"/>
  <sheetViews>
    <sheetView topLeftCell="A22" zoomScale="90" zoomScaleNormal="90" workbookViewId="0">
      <selection activeCell="I21" sqref="I21:N22"/>
    </sheetView>
  </sheetViews>
  <sheetFormatPr baseColWidth="10" defaultRowHeight="14.4" x14ac:dyDescent="0.3"/>
  <cols>
    <col min="2" max="2" width="18.77734375" customWidth="1"/>
    <col min="3" max="4" width="24.109375" customWidth="1"/>
    <col min="6" max="7" width="16.33203125" customWidth="1"/>
    <col min="8" max="8" width="22.88671875" customWidth="1"/>
  </cols>
  <sheetData>
    <row r="1" spans="1:14" x14ac:dyDescent="0.3">
      <c r="A1" s="169"/>
      <c r="B1" s="188"/>
      <c r="C1" s="1307" t="s">
        <v>40</v>
      </c>
      <c r="D1" s="1308"/>
      <c r="E1" s="1308"/>
      <c r="F1" s="1308"/>
      <c r="G1" s="1308"/>
      <c r="H1" s="1308"/>
      <c r="I1" s="1308"/>
      <c r="J1" s="1308"/>
      <c r="K1" s="1532" t="s">
        <v>2445</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2446</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2454</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1907</v>
      </c>
      <c r="B14" s="1510" t="s">
        <v>869</v>
      </c>
      <c r="C14" s="1062" t="s">
        <v>83</v>
      </c>
      <c r="D14" s="1062" t="s">
        <v>870</v>
      </c>
      <c r="E14" s="1062">
        <v>1</v>
      </c>
      <c r="F14" s="646">
        <v>1171131</v>
      </c>
      <c r="G14" s="646">
        <f>ROUND((E14*F14),0)</f>
        <v>1171131</v>
      </c>
      <c r="H14" s="1514" t="s">
        <v>2447</v>
      </c>
      <c r="I14" s="799">
        <v>0</v>
      </c>
      <c r="J14" s="1132">
        <f>ROUND(I14*F14,0)</f>
        <v>0</v>
      </c>
      <c r="K14" s="1133">
        <f>J14/G14</f>
        <v>0</v>
      </c>
      <c r="L14" s="1134">
        <f t="shared" ref="L14:M16" si="0">I14</f>
        <v>0</v>
      </c>
      <c r="M14" s="1124">
        <f t="shared" si="0"/>
        <v>0</v>
      </c>
      <c r="N14" s="1133">
        <f t="shared" ref="N14:N16" si="1">M14/G14</f>
        <v>0</v>
      </c>
    </row>
    <row r="15" spans="1:14" ht="43.2" x14ac:dyDescent="0.3">
      <c r="A15" s="1510"/>
      <c r="B15" s="1510"/>
      <c r="C15" s="1062" t="s">
        <v>61</v>
      </c>
      <c r="D15" s="1062" t="s">
        <v>871</v>
      </c>
      <c r="E15" s="1062">
        <v>1</v>
      </c>
      <c r="F15" s="646">
        <v>2818036</v>
      </c>
      <c r="G15" s="646">
        <f>ROUND((E15*F15),0)</f>
        <v>2818036</v>
      </c>
      <c r="H15" s="1510"/>
      <c r="I15" s="799">
        <v>0</v>
      </c>
      <c r="J15" s="1132">
        <f>ROUND(I15*F15,0)</f>
        <v>0</v>
      </c>
      <c r="K15" s="1133">
        <f>J15/G15</f>
        <v>0</v>
      </c>
      <c r="L15" s="1134">
        <f t="shared" si="0"/>
        <v>0</v>
      </c>
      <c r="M15" s="1124">
        <f t="shared" si="0"/>
        <v>0</v>
      </c>
      <c r="N15" s="1133">
        <f t="shared" si="1"/>
        <v>0</v>
      </c>
    </row>
    <row r="16" spans="1:14" x14ac:dyDescent="0.3">
      <c r="A16" s="1510"/>
      <c r="B16" s="1510"/>
      <c r="C16" s="647"/>
      <c r="D16" s="647" t="s">
        <v>872</v>
      </c>
      <c r="E16" s="648"/>
      <c r="F16" s="648"/>
      <c r="G16" s="649">
        <f>SUM(G14:G15)</f>
        <v>3989167</v>
      </c>
      <c r="H16" s="1510"/>
      <c r="I16" s="1108"/>
      <c r="J16" s="1146">
        <f>SUM(J14:J15)</f>
        <v>0</v>
      </c>
      <c r="K16" s="1136">
        <f t="shared" ref="K16" si="2">J16/G16</f>
        <v>0</v>
      </c>
      <c r="L16" s="1137"/>
      <c r="M16" s="1138">
        <f t="shared" si="0"/>
        <v>0</v>
      </c>
      <c r="N16" s="1136">
        <f t="shared" si="1"/>
        <v>0</v>
      </c>
    </row>
    <row r="17" spans="1:14" ht="43.2" x14ac:dyDescent="0.3">
      <c r="A17" s="1514" t="s">
        <v>2448</v>
      </c>
      <c r="B17" s="1510" t="s">
        <v>869</v>
      </c>
      <c r="C17" s="1062" t="s">
        <v>83</v>
      </c>
      <c r="D17" s="1062" t="s">
        <v>870</v>
      </c>
      <c r="E17" s="1062">
        <v>1</v>
      </c>
      <c r="F17" s="646">
        <v>1171131</v>
      </c>
      <c r="G17" s="646">
        <f>ROUND((E17*F17),0)</f>
        <v>1171131</v>
      </c>
      <c r="H17" s="1514" t="s">
        <v>2449</v>
      </c>
      <c r="I17" s="799">
        <v>0</v>
      </c>
      <c r="J17" s="1132">
        <f>ROUND(I17*F17,0)</f>
        <v>0</v>
      </c>
      <c r="K17" s="1133">
        <f>J17/G17</f>
        <v>0</v>
      </c>
      <c r="L17" s="1134">
        <f t="shared" ref="L17:L18" si="3">I17</f>
        <v>0</v>
      </c>
      <c r="M17" s="1124">
        <f t="shared" ref="M17:M22" si="4">J17</f>
        <v>0</v>
      </c>
      <c r="N17" s="1133">
        <f t="shared" ref="N17:N22" si="5">M17/G17</f>
        <v>0</v>
      </c>
    </row>
    <row r="18" spans="1:14" ht="43.2" x14ac:dyDescent="0.3">
      <c r="A18" s="1510"/>
      <c r="B18" s="1510"/>
      <c r="C18" s="1062" t="s">
        <v>61</v>
      </c>
      <c r="D18" s="1062" t="s">
        <v>871</v>
      </c>
      <c r="E18" s="1062">
        <v>1</v>
      </c>
      <c r="F18" s="646">
        <v>2818036</v>
      </c>
      <c r="G18" s="646">
        <f>ROUND((E18*F18),0)</f>
        <v>2818036</v>
      </c>
      <c r="H18" s="1510"/>
      <c r="I18" s="799">
        <v>0</v>
      </c>
      <c r="J18" s="1132">
        <f>ROUND(I18*F18,0)</f>
        <v>0</v>
      </c>
      <c r="K18" s="1133">
        <f>J18/G18</f>
        <v>0</v>
      </c>
      <c r="L18" s="1134">
        <f t="shared" si="3"/>
        <v>0</v>
      </c>
      <c r="M18" s="1124">
        <f t="shared" si="4"/>
        <v>0</v>
      </c>
      <c r="N18" s="1133">
        <f t="shared" si="5"/>
        <v>0</v>
      </c>
    </row>
    <row r="19" spans="1:14" x14ac:dyDescent="0.3">
      <c r="A19" s="1510"/>
      <c r="B19" s="1510"/>
      <c r="C19" s="647"/>
      <c r="D19" s="647" t="s">
        <v>872</v>
      </c>
      <c r="E19" s="648"/>
      <c r="F19" s="648"/>
      <c r="G19" s="649">
        <f>SUM(G17:G18)</f>
        <v>3989167</v>
      </c>
      <c r="H19" s="1510"/>
      <c r="I19" s="1108"/>
      <c r="J19" s="1146">
        <f>SUM(J17:J18)</f>
        <v>0</v>
      </c>
      <c r="K19" s="1136">
        <f t="shared" ref="K19" si="6">J19/G19</f>
        <v>0</v>
      </c>
      <c r="L19" s="1137"/>
      <c r="M19" s="1138">
        <f t="shared" si="4"/>
        <v>0</v>
      </c>
      <c r="N19" s="1136">
        <f t="shared" si="5"/>
        <v>0</v>
      </c>
    </row>
    <row r="20" spans="1:14" ht="43.2" x14ac:dyDescent="0.3">
      <c r="A20" s="1514" t="s">
        <v>1651</v>
      </c>
      <c r="B20" s="1510" t="s">
        <v>869</v>
      </c>
      <c r="C20" s="1062" t="s">
        <v>83</v>
      </c>
      <c r="D20" s="1062" t="s">
        <v>870</v>
      </c>
      <c r="E20" s="1062">
        <v>1</v>
      </c>
      <c r="F20" s="646">
        <v>1171131</v>
      </c>
      <c r="G20" s="646">
        <f>ROUND((E20*F20),0)</f>
        <v>1171131</v>
      </c>
      <c r="H20" s="1514" t="s">
        <v>2450</v>
      </c>
      <c r="I20" s="799">
        <v>0</v>
      </c>
      <c r="J20" s="1132">
        <f>ROUND(I20*F20,0)</f>
        <v>0</v>
      </c>
      <c r="K20" s="1133">
        <f>J20/G20</f>
        <v>0</v>
      </c>
      <c r="L20" s="1134">
        <f t="shared" ref="L20:L21" si="7">I20</f>
        <v>0</v>
      </c>
      <c r="M20" s="1124">
        <f t="shared" si="4"/>
        <v>0</v>
      </c>
      <c r="N20" s="1133">
        <f t="shared" si="5"/>
        <v>0</v>
      </c>
    </row>
    <row r="21" spans="1:14" ht="43.2" x14ac:dyDescent="0.3">
      <c r="A21" s="1510"/>
      <c r="B21" s="1510"/>
      <c r="C21" s="1062" t="s">
        <v>61</v>
      </c>
      <c r="D21" s="1062" t="s">
        <v>871</v>
      </c>
      <c r="E21" s="1062">
        <v>1</v>
      </c>
      <c r="F21" s="646">
        <v>2818036</v>
      </c>
      <c r="G21" s="646">
        <f>ROUND((E21*F21),0)</f>
        <v>2818036</v>
      </c>
      <c r="H21" s="1510"/>
      <c r="I21" s="799">
        <v>0</v>
      </c>
      <c r="J21" s="1132">
        <f>ROUND(I21*F21,0)</f>
        <v>0</v>
      </c>
      <c r="K21" s="1133">
        <f>J21/G21</f>
        <v>0</v>
      </c>
      <c r="L21" s="1134">
        <f t="shared" si="7"/>
        <v>0</v>
      </c>
      <c r="M21" s="1124">
        <f t="shared" si="4"/>
        <v>0</v>
      </c>
      <c r="N21" s="1133">
        <f t="shared" si="5"/>
        <v>0</v>
      </c>
    </row>
    <row r="22" spans="1:14" x14ac:dyDescent="0.3">
      <c r="A22" s="1510"/>
      <c r="B22" s="1510"/>
      <c r="C22" s="647"/>
      <c r="D22" s="647" t="s">
        <v>872</v>
      </c>
      <c r="E22" s="648"/>
      <c r="F22" s="648"/>
      <c r="G22" s="649">
        <f>SUM(G20:G21)</f>
        <v>3989167</v>
      </c>
      <c r="H22" s="1510"/>
      <c r="I22" s="1108"/>
      <c r="J22" s="1146">
        <f>SUM(J20:J21)</f>
        <v>0</v>
      </c>
      <c r="K22" s="1136">
        <f t="shared" ref="K22" si="8">J22/G22</f>
        <v>0</v>
      </c>
      <c r="L22" s="1137"/>
      <c r="M22" s="1138">
        <f t="shared" si="4"/>
        <v>0</v>
      </c>
      <c r="N22" s="1136">
        <f t="shared" si="5"/>
        <v>0</v>
      </c>
    </row>
    <row r="23" spans="1:14" x14ac:dyDescent="0.3">
      <c r="F23" s="836" t="s">
        <v>1740</v>
      </c>
      <c r="G23" s="650">
        <f>SUM(G14:G22)/2</f>
        <v>11967501</v>
      </c>
      <c r="H23" s="1054"/>
      <c r="I23" s="547" t="s">
        <v>64</v>
      </c>
      <c r="J23" s="855">
        <f>SUM(J14:J22)/2</f>
        <v>0</v>
      </c>
      <c r="K23" s="1054"/>
      <c r="L23" s="547" t="s">
        <v>64</v>
      </c>
      <c r="M23" s="835">
        <f>SUM(M14:M22)/2</f>
        <v>0</v>
      </c>
      <c r="N23" s="1054"/>
    </row>
    <row r="24" spans="1:14" ht="26.4" x14ac:dyDescent="0.3">
      <c r="F24" s="1118" t="s">
        <v>65</v>
      </c>
      <c r="G24" s="1115">
        <v>0</v>
      </c>
      <c r="H24" s="1054"/>
      <c r="I24" s="548" t="s">
        <v>65</v>
      </c>
      <c r="J24" s="677">
        <v>0</v>
      </c>
      <c r="K24" s="1054"/>
      <c r="L24" s="548" t="s">
        <v>65</v>
      </c>
      <c r="M24" s="677">
        <v>0</v>
      </c>
      <c r="N24" s="1054"/>
    </row>
    <row r="25" spans="1:14" x14ac:dyDescent="0.3">
      <c r="F25" s="1119" t="s">
        <v>64</v>
      </c>
      <c r="G25" s="1151">
        <f>G23+G24</f>
        <v>11967501</v>
      </c>
      <c r="H25" s="1054"/>
      <c r="I25" s="549" t="s">
        <v>64</v>
      </c>
      <c r="J25" s="481">
        <f>J23+J24</f>
        <v>0</v>
      </c>
      <c r="K25" s="1054"/>
      <c r="L25" s="549" t="s">
        <v>64</v>
      </c>
      <c r="M25" s="481">
        <f>M23+M24</f>
        <v>0</v>
      </c>
      <c r="N25" s="1054"/>
    </row>
    <row r="26" spans="1:14" ht="26.4" x14ac:dyDescent="0.3">
      <c r="F26" s="501" t="s">
        <v>1439</v>
      </c>
      <c r="G26" s="1116">
        <f>ROUND(G25*0.015,0)</f>
        <v>179513</v>
      </c>
      <c r="H26" s="1054"/>
      <c r="I26" s="501" t="s">
        <v>1439</v>
      </c>
      <c r="J26" s="481">
        <f>ROUND(J25*0.015,0)</f>
        <v>0</v>
      </c>
      <c r="K26" s="1054"/>
      <c r="L26" s="501" t="s">
        <v>1439</v>
      </c>
      <c r="M26" s="481">
        <f>ROUND(M25*0.015,0)</f>
        <v>0</v>
      </c>
      <c r="N26" s="1054"/>
    </row>
    <row r="27" spans="1:14" ht="39.6" x14ac:dyDescent="0.3">
      <c r="F27" s="96" t="s">
        <v>1440</v>
      </c>
      <c r="G27" s="1117">
        <f>G25+G26</f>
        <v>12147014</v>
      </c>
      <c r="H27" s="1054"/>
      <c r="I27" s="96" t="s">
        <v>1440</v>
      </c>
      <c r="J27" s="783">
        <f>J25+J26</f>
        <v>0</v>
      </c>
      <c r="K27" s="856">
        <f>J27/G23</f>
        <v>0</v>
      </c>
      <c r="L27" s="96" t="s">
        <v>1440</v>
      </c>
      <c r="M27" s="425">
        <f>M25+M26</f>
        <v>0</v>
      </c>
      <c r="N27" s="857">
        <f>M27/G23</f>
        <v>0</v>
      </c>
    </row>
    <row r="28" spans="1:14" x14ac:dyDescent="0.3">
      <c r="F28" s="1122" t="s">
        <v>66</v>
      </c>
      <c r="G28" s="783">
        <f>G27*0.19</f>
        <v>2307932.66</v>
      </c>
      <c r="H28" s="1054"/>
      <c r="I28" s="551" t="s">
        <v>66</v>
      </c>
      <c r="J28" s="672">
        <f>J27*0.19</f>
        <v>0</v>
      </c>
      <c r="K28" s="1054"/>
      <c r="L28" s="551" t="s">
        <v>66</v>
      </c>
      <c r="M28" s="672">
        <f>M27*0.19</f>
        <v>0</v>
      </c>
      <c r="N28" s="1054"/>
    </row>
    <row r="29" spans="1:14" x14ac:dyDescent="0.3">
      <c r="F29" s="1123" t="s">
        <v>69</v>
      </c>
      <c r="G29" s="672">
        <f>G27+G28</f>
        <v>14454946.66</v>
      </c>
      <c r="H29" s="1054"/>
      <c r="I29" s="552" t="s">
        <v>69</v>
      </c>
      <c r="J29" s="672">
        <f>J27+J28</f>
        <v>0</v>
      </c>
      <c r="K29" s="1054"/>
      <c r="L29" s="552" t="s">
        <v>69</v>
      </c>
      <c r="M29" s="672">
        <f>M27+M28</f>
        <v>0</v>
      </c>
      <c r="N29" s="1054"/>
    </row>
    <row r="30" spans="1:14" x14ac:dyDescent="0.3">
      <c r="F30" s="1054"/>
      <c r="G30" s="1054"/>
      <c r="H30" s="1054"/>
      <c r="I30" s="1054"/>
      <c r="J30" s="1054"/>
      <c r="K30" s="1054"/>
      <c r="L30" s="1054"/>
      <c r="M30" s="1054"/>
      <c r="N30" s="1054"/>
    </row>
    <row r="31" spans="1:14" ht="26.4" x14ac:dyDescent="0.3">
      <c r="F31" s="1054"/>
      <c r="G31" s="1054"/>
      <c r="H31" s="1054"/>
      <c r="I31" s="186" t="s">
        <v>70</v>
      </c>
      <c r="J31" s="187" t="s">
        <v>71</v>
      </c>
      <c r="K31" s="186" t="s">
        <v>58</v>
      </c>
      <c r="L31" s="1054"/>
      <c r="M31" s="1054"/>
      <c r="N31" s="1054"/>
    </row>
    <row r="32" spans="1:14" x14ac:dyDescent="0.3">
      <c r="F32" s="1054"/>
      <c r="G32" s="1054"/>
      <c r="H32" s="1054"/>
      <c r="I32" s="69" t="s">
        <v>72</v>
      </c>
      <c r="J32" s="70">
        <f>J27</f>
        <v>0</v>
      </c>
      <c r="K32" s="360">
        <f>K27</f>
        <v>0</v>
      </c>
      <c r="L32" s="1054"/>
      <c r="M32" s="1054"/>
      <c r="N32" s="1054"/>
    </row>
    <row r="33" spans="6:14" x14ac:dyDescent="0.3">
      <c r="F33" s="1054"/>
      <c r="G33" s="1054"/>
      <c r="H33" s="1054"/>
      <c r="I33" s="72" t="s">
        <v>1</v>
      </c>
      <c r="J33" s="105">
        <f>J32</f>
        <v>0</v>
      </c>
      <c r="K33" s="361">
        <f>K32</f>
        <v>0</v>
      </c>
      <c r="L33" s="1054"/>
      <c r="M33" s="1054"/>
      <c r="N33" s="1054"/>
    </row>
    <row r="34" spans="6:14" x14ac:dyDescent="0.3">
      <c r="F34" s="1054"/>
      <c r="G34" s="1054"/>
      <c r="H34" s="1054"/>
      <c r="I34" s="72" t="s">
        <v>9</v>
      </c>
      <c r="J34" s="1423"/>
      <c r="K34" s="1424"/>
      <c r="L34" s="1054"/>
      <c r="M34" s="1054"/>
      <c r="N34" s="1054"/>
    </row>
    <row r="35" spans="6:14" x14ac:dyDescent="0.3">
      <c r="F35" s="1054"/>
      <c r="G35" s="1054"/>
      <c r="H35" s="1054"/>
      <c r="I35" s="440" t="s">
        <v>78</v>
      </c>
      <c r="J35" s="1423" t="s">
        <v>2455</v>
      </c>
      <c r="K35" s="1424"/>
      <c r="L35" s="1054"/>
      <c r="M35" s="1054"/>
      <c r="N35" s="1054"/>
    </row>
    <row r="36" spans="6:14" x14ac:dyDescent="0.3">
      <c r="F36" s="1054"/>
      <c r="G36" s="1054"/>
      <c r="H36" s="1054"/>
      <c r="I36" s="439" t="s">
        <v>8</v>
      </c>
      <c r="J36" s="1425" t="s">
        <v>2456</v>
      </c>
      <c r="K36" s="1426"/>
      <c r="L36" s="1054"/>
      <c r="M36" s="1054"/>
      <c r="N36" s="1054"/>
    </row>
  </sheetData>
  <mergeCells count="2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6:K36"/>
    <mergeCell ref="A14:A16"/>
    <mergeCell ref="B14:B16"/>
    <mergeCell ref="H14:H16"/>
    <mergeCell ref="A17:A19"/>
    <mergeCell ref="B17:B19"/>
    <mergeCell ref="H17:H19"/>
    <mergeCell ref="A20:A22"/>
    <mergeCell ref="B20:B22"/>
    <mergeCell ref="H20:H22"/>
    <mergeCell ref="J34:K34"/>
    <mergeCell ref="J35:K35"/>
  </mergeCells>
  <pageMargins left="0.7" right="0.7" top="0.75" bottom="0.75" header="0.3" footer="0.3"/>
  <drawing r:id="rId1"/>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3"/>
  <dimension ref="A1:G49"/>
  <sheetViews>
    <sheetView topLeftCell="A10" workbookViewId="0">
      <selection activeCell="J25" sqref="J2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RESUMEN!G177</f>
        <v>Proyecto:  CDIE_CBCCSM_R0181-REPOSICION DE PROTECCIONES</v>
      </c>
      <c r="C5" s="1281"/>
      <c r="D5" s="1281"/>
      <c r="E5" s="1281"/>
      <c r="F5" s="1281"/>
      <c r="G5" s="1282"/>
    </row>
    <row r="6" spans="1:7" x14ac:dyDescent="0.25">
      <c r="A6" s="1177"/>
      <c r="B6" s="1177"/>
      <c r="C6" s="1177"/>
      <c r="D6" s="1177"/>
      <c r="E6" s="1177"/>
      <c r="F6" s="1177"/>
      <c r="G6" s="1177"/>
    </row>
    <row r="7" spans="1:7" x14ac:dyDescent="0.25">
      <c r="A7" s="271" t="s">
        <v>0</v>
      </c>
      <c r="B7" s="1264" t="str">
        <f>RESUMEN!B177</f>
        <v>D00249256</v>
      </c>
      <c r="C7" s="1265"/>
      <c r="D7" s="1177"/>
      <c r="E7" s="1266" t="s">
        <v>627</v>
      </c>
      <c r="F7" s="1267"/>
      <c r="G7" s="280" t="str">
        <f>RESUMEN!E177</f>
        <v xml:space="preserve">18-041 </v>
      </c>
    </row>
    <row r="8" spans="1:7" x14ac:dyDescent="0.25">
      <c r="A8" s="271" t="s">
        <v>628</v>
      </c>
      <c r="B8" s="1264" t="str">
        <f>RESUMEN!C177</f>
        <v>D00249256000</v>
      </c>
      <c r="C8" s="1265"/>
      <c r="D8" s="1177"/>
      <c r="E8" s="1266" t="s">
        <v>629</v>
      </c>
      <c r="F8" s="1267"/>
      <c r="G8" s="280" t="str">
        <f>RESUMEN!U177</f>
        <v>Acta N° 1: Marzo</v>
      </c>
    </row>
    <row r="9" spans="1:7" x14ac:dyDescent="0.25">
      <c r="A9" s="271" t="s">
        <v>630</v>
      </c>
      <c r="B9" s="1283" t="s">
        <v>631</v>
      </c>
      <c r="C9" s="1265"/>
      <c r="D9" s="1177"/>
      <c r="E9" s="1266" t="s">
        <v>632</v>
      </c>
      <c r="F9" s="1267"/>
      <c r="G9" s="1178">
        <f>RESUMEN!H177</f>
        <v>13418606</v>
      </c>
    </row>
    <row r="10" spans="1:7" x14ac:dyDescent="0.25">
      <c r="A10" s="271" t="s">
        <v>633</v>
      </c>
      <c r="B10" s="1283" t="str">
        <f>RESUMEN!D177</f>
        <v>BOSANOVA</v>
      </c>
      <c r="C10" s="1265"/>
      <c r="D10" s="1177"/>
      <c r="E10" s="1266" t="s">
        <v>634</v>
      </c>
      <c r="F10" s="1267"/>
      <c r="G10" s="1178">
        <f>RESUMEN!R177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CDIE_CBCCSM_R0181-REPOSICION DE PROTECCIONES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RESUMEN!N177</f>
        <v>0</v>
      </c>
      <c r="F19" s="1248"/>
      <c r="G19" s="1177"/>
    </row>
    <row r="20" spans="1:7" ht="27" customHeight="1" x14ac:dyDescent="0.25">
      <c r="A20" s="1177"/>
      <c r="B20" s="1244" t="s">
        <v>1498</v>
      </c>
      <c r="C20" s="1245"/>
      <c r="D20" s="1246"/>
      <c r="E20" s="1247">
        <f>RESUMEN!P177</f>
        <v>0</v>
      </c>
      <c r="F20" s="1248"/>
      <c r="G20" s="1177"/>
    </row>
    <row r="21" spans="1:7" ht="27" customHeight="1" x14ac:dyDescent="0.25">
      <c r="A21" s="1177"/>
      <c r="B21" s="1244" t="s">
        <v>1499</v>
      </c>
      <c r="C21" s="1245"/>
      <c r="D21" s="1246"/>
      <c r="E21" s="1247">
        <f>RESUMEN!Q177</f>
        <v>0</v>
      </c>
      <c r="F21" s="1248"/>
      <c r="G21" s="1177"/>
    </row>
    <row r="22" spans="1:7" x14ac:dyDescent="0.25">
      <c r="A22" s="1177"/>
      <c r="B22" s="1254" t="s">
        <v>64</v>
      </c>
      <c r="C22" s="1254"/>
      <c r="D22" s="1254"/>
      <c r="E22" s="1255">
        <f>RESUMEN!R177</f>
        <v>0</v>
      </c>
      <c r="F22" s="1255"/>
      <c r="G22" s="1177"/>
    </row>
    <row r="23" spans="1:7" x14ac:dyDescent="0.25">
      <c r="A23" s="1177"/>
      <c r="B23" s="1256" t="s">
        <v>66</v>
      </c>
      <c r="C23" s="1256"/>
      <c r="D23" s="1256"/>
      <c r="E23" s="1257">
        <f>RESUMEN!S177</f>
        <v>0</v>
      </c>
      <c r="F23" s="1257"/>
      <c r="G23" s="1177"/>
    </row>
    <row r="24" spans="1:7" x14ac:dyDescent="0.25">
      <c r="A24" s="1177"/>
      <c r="B24" s="1258" t="s">
        <v>1</v>
      </c>
      <c r="C24" s="1258"/>
      <c r="D24" s="1258"/>
      <c r="E24" s="1259">
        <f>RESUMEN!T177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+'OT18-041 BOSANOVA'!I32</f>
        <v>ACTA 1</v>
      </c>
      <c r="C28" s="1253">
        <f>+'OT18-041 BOSANOVA'!J32</f>
        <v>0</v>
      </c>
      <c r="D28" s="1253"/>
      <c r="E28" s="267">
        <f>+'OT18-041 BOSANOVA'!K32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4"/>
  <dimension ref="A1:N37"/>
  <sheetViews>
    <sheetView topLeftCell="A17" zoomScale="80" zoomScaleNormal="80" workbookViewId="0">
      <selection activeCell="F23" sqref="F23:N41"/>
    </sheetView>
  </sheetViews>
  <sheetFormatPr baseColWidth="10" defaultRowHeight="14.4" x14ac:dyDescent="0.3"/>
  <cols>
    <col min="2" max="2" width="20.77734375" customWidth="1"/>
    <col min="3" max="4" width="22.77734375" customWidth="1"/>
    <col min="6" max="7" width="14.5546875" customWidth="1"/>
    <col min="8" max="8" width="27.77734375" customWidth="1"/>
  </cols>
  <sheetData>
    <row r="1" spans="1:14" x14ac:dyDescent="0.3">
      <c r="A1" s="169"/>
      <c r="B1" s="188"/>
      <c r="C1" s="1307" t="s">
        <v>40</v>
      </c>
      <c r="D1" s="1308"/>
      <c r="E1" s="1308"/>
      <c r="F1" s="1308"/>
      <c r="G1" s="1308"/>
      <c r="H1" s="1308"/>
      <c r="I1" s="1308"/>
      <c r="J1" s="1308"/>
      <c r="K1" s="1532" t="s">
        <v>2445</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2446</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2457</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1907</v>
      </c>
      <c r="B14" s="1510" t="s">
        <v>869</v>
      </c>
      <c r="C14" s="1062" t="s">
        <v>83</v>
      </c>
      <c r="D14" s="1062" t="s">
        <v>870</v>
      </c>
      <c r="E14" s="1062">
        <v>1</v>
      </c>
      <c r="F14" s="646">
        <v>1171131</v>
      </c>
      <c r="G14" s="646">
        <f>ROUND((E14*F14),0)</f>
        <v>1171131</v>
      </c>
      <c r="H14" s="1514" t="s">
        <v>2447</v>
      </c>
      <c r="I14" s="799">
        <v>0</v>
      </c>
      <c r="J14" s="1132">
        <f>ROUND(I14*F14,0)</f>
        <v>0</v>
      </c>
      <c r="K14" s="1133">
        <f>J14/G14</f>
        <v>0</v>
      </c>
      <c r="L14" s="1134">
        <f t="shared" ref="L14:M16" si="0">I14</f>
        <v>0</v>
      </c>
      <c r="M14" s="1124">
        <f t="shared" si="0"/>
        <v>0</v>
      </c>
      <c r="N14" s="1133">
        <f t="shared" ref="N14:N16" si="1">M14/G14</f>
        <v>0</v>
      </c>
    </row>
    <row r="15" spans="1:14" ht="43.2" x14ac:dyDescent="0.3">
      <c r="A15" s="1510"/>
      <c r="B15" s="1510"/>
      <c r="C15" s="1062" t="s">
        <v>61</v>
      </c>
      <c r="D15" s="1062" t="s">
        <v>871</v>
      </c>
      <c r="E15" s="1062">
        <v>1</v>
      </c>
      <c r="F15" s="646">
        <v>2818036</v>
      </c>
      <c r="G15" s="646">
        <f>ROUND((E15*F15),0)</f>
        <v>2818036</v>
      </c>
      <c r="H15" s="1510"/>
      <c r="I15" s="799">
        <v>0</v>
      </c>
      <c r="J15" s="1132">
        <f>ROUND(I15*F15,0)</f>
        <v>0</v>
      </c>
      <c r="K15" s="1133">
        <f>J15/G15</f>
        <v>0</v>
      </c>
      <c r="L15" s="1134">
        <f t="shared" si="0"/>
        <v>0</v>
      </c>
      <c r="M15" s="1124">
        <f t="shared" si="0"/>
        <v>0</v>
      </c>
      <c r="N15" s="1133">
        <f t="shared" si="1"/>
        <v>0</v>
      </c>
    </row>
    <row r="16" spans="1:14" x14ac:dyDescent="0.3">
      <c r="A16" s="1510"/>
      <c r="B16" s="1510"/>
      <c r="C16" s="647"/>
      <c r="D16" s="647" t="s">
        <v>872</v>
      </c>
      <c r="E16" s="648"/>
      <c r="F16" s="648"/>
      <c r="G16" s="649">
        <f>SUM(G14:G15)</f>
        <v>3989167</v>
      </c>
      <c r="H16" s="1510"/>
      <c r="I16" s="1108"/>
      <c r="J16" s="1146">
        <f>SUM(J14:J15)</f>
        <v>0</v>
      </c>
      <c r="K16" s="1136">
        <f t="shared" ref="K16" si="2">J16/G16</f>
        <v>0</v>
      </c>
      <c r="L16" s="1137"/>
      <c r="M16" s="1138">
        <f t="shared" si="0"/>
        <v>0</v>
      </c>
      <c r="N16" s="1136">
        <f t="shared" si="1"/>
        <v>0</v>
      </c>
    </row>
    <row r="17" spans="1:14" ht="43.2" x14ac:dyDescent="0.3">
      <c r="A17" s="1514" t="s">
        <v>2448</v>
      </c>
      <c r="B17" s="1510" t="s">
        <v>869</v>
      </c>
      <c r="C17" s="1062" t="s">
        <v>83</v>
      </c>
      <c r="D17" s="1062" t="s">
        <v>870</v>
      </c>
      <c r="E17" s="1062">
        <v>1</v>
      </c>
      <c r="F17" s="646">
        <v>1171131</v>
      </c>
      <c r="G17" s="646">
        <f>ROUND((E17*F17),0)</f>
        <v>1171131</v>
      </c>
      <c r="H17" s="1514" t="s">
        <v>2449</v>
      </c>
      <c r="I17" s="799">
        <v>0</v>
      </c>
      <c r="J17" s="1132">
        <f>ROUND(I17*F17,0)</f>
        <v>0</v>
      </c>
      <c r="K17" s="1133">
        <f>J17/G17</f>
        <v>0</v>
      </c>
      <c r="L17" s="1134">
        <f t="shared" ref="L17:L18" si="3">I17</f>
        <v>0</v>
      </c>
      <c r="M17" s="1124">
        <f t="shared" ref="M17:M22" si="4">J17</f>
        <v>0</v>
      </c>
      <c r="N17" s="1133">
        <f t="shared" ref="N17:N22" si="5">M17/G17</f>
        <v>0</v>
      </c>
    </row>
    <row r="18" spans="1:14" ht="43.2" x14ac:dyDescent="0.3">
      <c r="A18" s="1510"/>
      <c r="B18" s="1510"/>
      <c r="C18" s="1062" t="s">
        <v>61</v>
      </c>
      <c r="D18" s="1062" t="s">
        <v>871</v>
      </c>
      <c r="E18" s="1062">
        <v>1</v>
      </c>
      <c r="F18" s="646">
        <v>2818036</v>
      </c>
      <c r="G18" s="646">
        <f>ROUND((E18*F18),0)</f>
        <v>2818036</v>
      </c>
      <c r="H18" s="1510"/>
      <c r="I18" s="799">
        <v>0</v>
      </c>
      <c r="J18" s="1132">
        <f>ROUND(I18*F18,0)</f>
        <v>0</v>
      </c>
      <c r="K18" s="1133">
        <f>J18/G18</f>
        <v>0</v>
      </c>
      <c r="L18" s="1134">
        <f t="shared" si="3"/>
        <v>0</v>
      </c>
      <c r="M18" s="1124">
        <f t="shared" si="4"/>
        <v>0</v>
      </c>
      <c r="N18" s="1133">
        <f t="shared" si="5"/>
        <v>0</v>
      </c>
    </row>
    <row r="19" spans="1:14" x14ac:dyDescent="0.3">
      <c r="A19" s="1510"/>
      <c r="B19" s="1510"/>
      <c r="C19" s="647"/>
      <c r="D19" s="647" t="s">
        <v>872</v>
      </c>
      <c r="E19" s="648"/>
      <c r="F19" s="648"/>
      <c r="G19" s="649">
        <f>SUM(G17:G18)</f>
        <v>3989167</v>
      </c>
      <c r="H19" s="1510"/>
      <c r="I19" s="1108"/>
      <c r="J19" s="1146">
        <f>SUM(J17:J18)</f>
        <v>0</v>
      </c>
      <c r="K19" s="1136">
        <f t="shared" ref="K19" si="6">J19/G19</f>
        <v>0</v>
      </c>
      <c r="L19" s="1137"/>
      <c r="M19" s="1138">
        <f t="shared" si="4"/>
        <v>0</v>
      </c>
      <c r="N19" s="1136">
        <f t="shared" si="5"/>
        <v>0</v>
      </c>
    </row>
    <row r="20" spans="1:14" ht="43.2" x14ac:dyDescent="0.3">
      <c r="A20" s="1514" t="s">
        <v>1193</v>
      </c>
      <c r="B20" s="1510" t="s">
        <v>190</v>
      </c>
      <c r="C20" s="1062" t="s">
        <v>83</v>
      </c>
      <c r="D20" s="1062" t="s">
        <v>191</v>
      </c>
      <c r="E20" s="1166">
        <f>0.7*0.5</f>
        <v>0.35</v>
      </c>
      <c r="F20" s="646">
        <v>2342263</v>
      </c>
      <c r="G20" s="646">
        <f>ROUND((E20*F20),0)</f>
        <v>819792</v>
      </c>
      <c r="H20" s="1514" t="s">
        <v>2458</v>
      </c>
      <c r="I20" s="799">
        <v>0</v>
      </c>
      <c r="J20" s="1132">
        <f>ROUND(I20*F20,0)</f>
        <v>0</v>
      </c>
      <c r="K20" s="1133">
        <f>J20/G20</f>
        <v>0</v>
      </c>
      <c r="L20" s="1134">
        <f t="shared" ref="L20:L21" si="7">I20</f>
        <v>0</v>
      </c>
      <c r="M20" s="1124">
        <f t="shared" si="4"/>
        <v>0</v>
      </c>
      <c r="N20" s="1133">
        <f t="shared" si="5"/>
        <v>0</v>
      </c>
    </row>
    <row r="21" spans="1:14" ht="43.2" x14ac:dyDescent="0.3">
      <c r="A21" s="1510"/>
      <c r="B21" s="1510"/>
      <c r="C21" s="1062" t="s">
        <v>61</v>
      </c>
      <c r="D21" s="1062" t="s">
        <v>192</v>
      </c>
      <c r="E21" s="1062">
        <v>0.25</v>
      </c>
      <c r="F21" s="646">
        <v>18481918</v>
      </c>
      <c r="G21" s="646">
        <f>ROUND((E21*F21),0)</f>
        <v>4620480</v>
      </c>
      <c r="H21" s="1510"/>
      <c r="I21" s="799">
        <v>0</v>
      </c>
      <c r="J21" s="1132">
        <f>ROUND(I21*F21,0)</f>
        <v>0</v>
      </c>
      <c r="K21" s="1133">
        <f>J21/G21</f>
        <v>0</v>
      </c>
      <c r="L21" s="1134">
        <f t="shared" si="7"/>
        <v>0</v>
      </c>
      <c r="M21" s="1124">
        <f t="shared" si="4"/>
        <v>0</v>
      </c>
      <c r="N21" s="1133">
        <f t="shared" si="5"/>
        <v>0</v>
      </c>
    </row>
    <row r="22" spans="1:14" x14ac:dyDescent="0.3">
      <c r="A22" s="1510"/>
      <c r="B22" s="1510"/>
      <c r="C22" s="647"/>
      <c r="D22" s="647" t="s">
        <v>193</v>
      </c>
      <c r="E22" s="648"/>
      <c r="F22" s="648"/>
      <c r="G22" s="649">
        <f>SUM(G20:G21)</f>
        <v>5440272</v>
      </c>
      <c r="H22" s="1510"/>
      <c r="I22" s="1108"/>
      <c r="J22" s="1146">
        <f>SUM(J20:J21)</f>
        <v>0</v>
      </c>
      <c r="K22" s="1136">
        <f t="shared" ref="K22" si="8">J22/G22</f>
        <v>0</v>
      </c>
      <c r="L22" s="1137"/>
      <c r="M22" s="1138">
        <f t="shared" si="4"/>
        <v>0</v>
      </c>
      <c r="N22" s="1136">
        <f t="shared" si="5"/>
        <v>0</v>
      </c>
    </row>
    <row r="23" spans="1:14" x14ac:dyDescent="0.3">
      <c r="F23" s="836" t="s">
        <v>1740</v>
      </c>
      <c r="G23" s="650">
        <f>SUM(G14:G22)/2</f>
        <v>13418606</v>
      </c>
      <c r="H23" s="1054"/>
      <c r="I23" s="547" t="s">
        <v>64</v>
      </c>
      <c r="J23" s="855">
        <f>SUM(J14:J22)/2</f>
        <v>0</v>
      </c>
      <c r="K23" s="1054"/>
      <c r="L23" s="547" t="s">
        <v>64</v>
      </c>
      <c r="M23" s="835">
        <f>SUM(M14:M22)/2</f>
        <v>0</v>
      </c>
      <c r="N23" s="1054"/>
    </row>
    <row r="24" spans="1:14" ht="26.4" x14ac:dyDescent="0.3">
      <c r="F24" s="1118" t="s">
        <v>65</v>
      </c>
      <c r="G24" s="1115">
        <v>0</v>
      </c>
      <c r="H24" s="1054"/>
      <c r="I24" s="548" t="s">
        <v>65</v>
      </c>
      <c r="J24" s="677">
        <v>0</v>
      </c>
      <c r="K24" s="1054"/>
      <c r="L24" s="548" t="s">
        <v>65</v>
      </c>
      <c r="M24" s="677">
        <v>0</v>
      </c>
      <c r="N24" s="1054"/>
    </row>
    <row r="25" spans="1:14" x14ac:dyDescent="0.3">
      <c r="F25" s="1119" t="s">
        <v>64</v>
      </c>
      <c r="G25" s="1151">
        <f>G23+G24</f>
        <v>13418606</v>
      </c>
      <c r="H25" s="1054"/>
      <c r="I25" s="549" t="s">
        <v>64</v>
      </c>
      <c r="J25" s="481">
        <f>J23+J24</f>
        <v>0</v>
      </c>
      <c r="K25" s="1054"/>
      <c r="L25" s="549" t="s">
        <v>64</v>
      </c>
      <c r="M25" s="481">
        <f>M23+M24</f>
        <v>0</v>
      </c>
      <c r="N25" s="1054"/>
    </row>
    <row r="26" spans="1:14" ht="26.4" x14ac:dyDescent="0.3">
      <c r="F26" s="501" t="s">
        <v>1439</v>
      </c>
      <c r="G26" s="1116">
        <f>ROUND(G25*0.015,0)</f>
        <v>201279</v>
      </c>
      <c r="H26" s="1054"/>
      <c r="I26" s="501" t="s">
        <v>1439</v>
      </c>
      <c r="J26" s="481">
        <f>ROUND(J25*0.015,0)</f>
        <v>0</v>
      </c>
      <c r="K26" s="1054"/>
      <c r="L26" s="501" t="s">
        <v>1439</v>
      </c>
      <c r="M26" s="481">
        <f>ROUND(M25*0.015,0)</f>
        <v>0</v>
      </c>
      <c r="N26" s="1054"/>
    </row>
    <row r="27" spans="1:14" ht="39.6" x14ac:dyDescent="0.3">
      <c r="F27" s="96" t="s">
        <v>1440</v>
      </c>
      <c r="G27" s="1117">
        <f>G25+G26</f>
        <v>13619885</v>
      </c>
      <c r="H27" s="1054"/>
      <c r="I27" s="96" t="s">
        <v>1440</v>
      </c>
      <c r="J27" s="783">
        <f>J25+J26</f>
        <v>0</v>
      </c>
      <c r="K27" s="856">
        <f>J27/G23</f>
        <v>0</v>
      </c>
      <c r="L27" s="96" t="s">
        <v>1440</v>
      </c>
      <c r="M27" s="425">
        <f>M25+M26</f>
        <v>0</v>
      </c>
      <c r="N27" s="857">
        <f>M27/G23</f>
        <v>0</v>
      </c>
    </row>
    <row r="28" spans="1:14" x14ac:dyDescent="0.3">
      <c r="F28" s="1122" t="s">
        <v>66</v>
      </c>
      <c r="G28" s="783">
        <f>G27*0.19</f>
        <v>2587778.15</v>
      </c>
      <c r="H28" s="1054"/>
      <c r="I28" s="551" t="s">
        <v>66</v>
      </c>
      <c r="J28" s="672">
        <f>J27*0.19</f>
        <v>0</v>
      </c>
      <c r="K28" s="1054"/>
      <c r="L28" s="551" t="s">
        <v>66</v>
      </c>
      <c r="M28" s="672">
        <f>M27*0.19</f>
        <v>0</v>
      </c>
      <c r="N28" s="1054"/>
    </row>
    <row r="29" spans="1:14" x14ac:dyDescent="0.3">
      <c r="F29" s="1123" t="s">
        <v>69</v>
      </c>
      <c r="G29" s="672">
        <f>G27+G28</f>
        <v>16207663.15</v>
      </c>
      <c r="H29" s="1054"/>
      <c r="I29" s="552" t="s">
        <v>69</v>
      </c>
      <c r="J29" s="672">
        <f>J27+J28</f>
        <v>0</v>
      </c>
      <c r="K29" s="1054"/>
      <c r="L29" s="552" t="s">
        <v>69</v>
      </c>
      <c r="M29" s="672">
        <f>M27+M28</f>
        <v>0</v>
      </c>
      <c r="N29" s="1054"/>
    </row>
    <row r="30" spans="1:14" x14ac:dyDescent="0.3">
      <c r="F30" s="1054"/>
      <c r="G30" s="1054"/>
      <c r="H30" s="1054"/>
      <c r="I30" s="1054"/>
      <c r="J30" s="1054"/>
      <c r="K30" s="1054"/>
      <c r="L30" s="1054"/>
      <c r="M30" s="1054"/>
      <c r="N30" s="1054"/>
    </row>
    <row r="31" spans="1:14" ht="26.4" x14ac:dyDescent="0.3">
      <c r="F31" s="1054"/>
      <c r="G31" s="1054"/>
      <c r="H31" s="1054"/>
      <c r="I31" s="186" t="s">
        <v>70</v>
      </c>
      <c r="J31" s="187" t="s">
        <v>71</v>
      </c>
      <c r="K31" s="186" t="s">
        <v>58</v>
      </c>
      <c r="L31" s="1054"/>
      <c r="M31" s="1054"/>
      <c r="N31" s="1054"/>
    </row>
    <row r="32" spans="1:14" x14ac:dyDescent="0.3">
      <c r="F32" s="1054"/>
      <c r="G32" s="1054"/>
      <c r="H32" s="1054"/>
      <c r="I32" s="69" t="s">
        <v>72</v>
      </c>
      <c r="J32" s="70">
        <f>J27</f>
        <v>0</v>
      </c>
      <c r="K32" s="360">
        <f>K27</f>
        <v>0</v>
      </c>
      <c r="L32" s="1054"/>
      <c r="M32" s="1054"/>
      <c r="N32" s="1054"/>
    </row>
    <row r="33" spans="6:14" x14ac:dyDescent="0.3">
      <c r="F33" s="1054"/>
      <c r="G33" s="1054"/>
      <c r="H33" s="1054"/>
      <c r="I33" s="72" t="s">
        <v>1</v>
      </c>
      <c r="J33" s="105">
        <f>J32</f>
        <v>0</v>
      </c>
      <c r="K33" s="361">
        <f>K32</f>
        <v>0</v>
      </c>
      <c r="L33" s="1054"/>
      <c r="M33" s="1054"/>
      <c r="N33" s="1054"/>
    </row>
    <row r="34" spans="6:14" x14ac:dyDescent="0.3">
      <c r="F34" s="1054"/>
      <c r="G34" s="1054"/>
      <c r="H34" s="1054"/>
      <c r="I34" s="72" t="s">
        <v>9</v>
      </c>
      <c r="J34" s="1423"/>
      <c r="K34" s="1424"/>
      <c r="L34" s="1054"/>
      <c r="M34" s="1054"/>
      <c r="N34" s="1054"/>
    </row>
    <row r="35" spans="6:14" x14ac:dyDescent="0.3">
      <c r="F35" s="1054"/>
      <c r="G35" s="1054"/>
      <c r="H35" s="1054"/>
      <c r="I35" s="440" t="s">
        <v>78</v>
      </c>
      <c r="J35" s="1423" t="s">
        <v>2452</v>
      </c>
      <c r="K35" s="1424"/>
      <c r="L35" s="1054"/>
      <c r="M35" s="1054"/>
      <c r="N35" s="1054"/>
    </row>
    <row r="36" spans="6:14" x14ac:dyDescent="0.3">
      <c r="F36" s="1054"/>
      <c r="G36" s="1054"/>
      <c r="H36" s="1054"/>
      <c r="I36" s="439" t="s">
        <v>8</v>
      </c>
      <c r="J36" s="1425" t="s">
        <v>2453</v>
      </c>
      <c r="K36" s="1426"/>
      <c r="L36" s="1054"/>
      <c r="M36" s="1054"/>
      <c r="N36" s="1054"/>
    </row>
    <row r="37" spans="6:14" x14ac:dyDescent="0.3">
      <c r="F37" s="1054"/>
      <c r="G37" s="1054"/>
      <c r="H37" s="1054"/>
      <c r="I37" s="1054"/>
      <c r="J37" s="1054"/>
      <c r="K37" s="1054"/>
      <c r="L37" s="1054"/>
      <c r="M37" s="1054"/>
      <c r="N37" s="1054"/>
    </row>
  </sheetData>
  <mergeCells count="2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6:K36"/>
    <mergeCell ref="A14:A16"/>
    <mergeCell ref="B14:B16"/>
    <mergeCell ref="H14:H16"/>
    <mergeCell ref="A17:A19"/>
    <mergeCell ref="B17:B19"/>
    <mergeCell ref="H17:H19"/>
    <mergeCell ref="A20:A22"/>
    <mergeCell ref="B20:B22"/>
    <mergeCell ref="H20:H22"/>
    <mergeCell ref="J34:K34"/>
    <mergeCell ref="J35:K35"/>
  </mergeCells>
  <pageMargins left="0.7" right="0.7" top="0.75" bottom="0.75" header="0.3" footer="0.3"/>
  <drawing r:id="rId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5"/>
  <dimension ref="A1:G49"/>
  <sheetViews>
    <sheetView topLeftCell="A13"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RESUMEN!G178</f>
        <v xml:space="preserve">Proyecto: CDIE_CBCCSM_R0181-REPOSICION DE PROTECCIONES </v>
      </c>
      <c r="C5" s="1281"/>
      <c r="D5" s="1281"/>
      <c r="E5" s="1281"/>
      <c r="F5" s="1281"/>
      <c r="G5" s="1282"/>
    </row>
    <row r="6" spans="1:7" x14ac:dyDescent="0.25">
      <c r="A6" s="1177"/>
      <c r="B6" s="1177"/>
      <c r="C6" s="1177"/>
      <c r="D6" s="1177"/>
      <c r="E6" s="1177"/>
      <c r="F6" s="1177"/>
      <c r="G6" s="1177"/>
    </row>
    <row r="7" spans="1:7" x14ac:dyDescent="0.25">
      <c r="A7" s="271" t="s">
        <v>0</v>
      </c>
      <c r="B7" s="1264" t="str">
        <f>RESUMEN!B178</f>
        <v>D00249255</v>
      </c>
      <c r="C7" s="1265"/>
      <c r="D7" s="1177"/>
      <c r="E7" s="1266" t="s">
        <v>627</v>
      </c>
      <c r="F7" s="1267"/>
      <c r="G7" s="280" t="str">
        <f>RESUMEN!E178</f>
        <v xml:space="preserve">18-042 </v>
      </c>
    </row>
    <row r="8" spans="1:7" x14ac:dyDescent="0.25">
      <c r="A8" s="271" t="s">
        <v>628</v>
      </c>
      <c r="B8" s="1264" t="str">
        <f>RESUMEN!C178</f>
        <v>D00249255000</v>
      </c>
      <c r="C8" s="1265"/>
      <c r="D8" s="1177"/>
      <c r="E8" s="1266" t="s">
        <v>629</v>
      </c>
      <c r="F8" s="1267"/>
      <c r="G8" s="280" t="str">
        <f>RESUMEN!U178</f>
        <v>Acta N° 1: Marzo</v>
      </c>
    </row>
    <row r="9" spans="1:7" x14ac:dyDescent="0.25">
      <c r="A9" s="271" t="s">
        <v>630</v>
      </c>
      <c r="B9" s="1283" t="s">
        <v>631</v>
      </c>
      <c r="C9" s="1265"/>
      <c r="D9" s="1177"/>
      <c r="E9" s="1266" t="s">
        <v>632</v>
      </c>
      <c r="F9" s="1267"/>
      <c r="G9" s="1178">
        <f>RESUMEN!H178</f>
        <v>11967501</v>
      </c>
    </row>
    <row r="10" spans="1:7" x14ac:dyDescent="0.25">
      <c r="A10" s="271" t="s">
        <v>633</v>
      </c>
      <c r="B10" s="1283" t="str">
        <f>RESUMEN!D178</f>
        <v>CASTELLANA</v>
      </c>
      <c r="C10" s="1265"/>
      <c r="D10" s="1177"/>
      <c r="E10" s="1266" t="s">
        <v>634</v>
      </c>
      <c r="F10" s="1267"/>
      <c r="G10" s="1178">
        <f>RESUMEN!R178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",RESUMEN!G178)</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CDIE_CBCCSM_R0181-REPOSICION DE PROTECCIONES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RESUMEN!N178</f>
        <v>0</v>
      </c>
      <c r="F19" s="1248"/>
      <c r="G19" s="1177"/>
    </row>
    <row r="20" spans="1:7" ht="27" customHeight="1" x14ac:dyDescent="0.25">
      <c r="A20" s="1177"/>
      <c r="B20" s="1244" t="s">
        <v>1498</v>
      </c>
      <c r="C20" s="1245"/>
      <c r="D20" s="1246"/>
      <c r="E20" s="1247">
        <f>RESUMEN!P178</f>
        <v>0</v>
      </c>
      <c r="F20" s="1248"/>
      <c r="G20" s="1177"/>
    </row>
    <row r="21" spans="1:7" ht="27" customHeight="1" x14ac:dyDescent="0.25">
      <c r="A21" s="1177"/>
      <c r="B21" s="1244" t="s">
        <v>1499</v>
      </c>
      <c r="C21" s="1245"/>
      <c r="D21" s="1246"/>
      <c r="E21" s="1247">
        <f>RESUMEN!Q178</f>
        <v>0</v>
      </c>
      <c r="F21" s="1248"/>
      <c r="G21" s="1177"/>
    </row>
    <row r="22" spans="1:7" x14ac:dyDescent="0.25">
      <c r="A22" s="1177"/>
      <c r="B22" s="1254" t="s">
        <v>64</v>
      </c>
      <c r="C22" s="1254"/>
      <c r="D22" s="1254"/>
      <c r="E22" s="1255">
        <f>RESUMEN!R178</f>
        <v>0</v>
      </c>
      <c r="F22" s="1255"/>
      <c r="G22" s="1177"/>
    </row>
    <row r="23" spans="1:7" x14ac:dyDescent="0.25">
      <c r="A23" s="1177"/>
      <c r="B23" s="1256" t="s">
        <v>66</v>
      </c>
      <c r="C23" s="1256"/>
      <c r="D23" s="1256"/>
      <c r="E23" s="1257">
        <f>RESUMEN!S178</f>
        <v>0</v>
      </c>
      <c r="F23" s="1257"/>
      <c r="G23" s="1177"/>
    </row>
    <row r="24" spans="1:7" x14ac:dyDescent="0.25">
      <c r="A24" s="1177"/>
      <c r="B24" s="1258" t="s">
        <v>1</v>
      </c>
      <c r="C24" s="1258"/>
      <c r="D24" s="1258"/>
      <c r="E24" s="1259">
        <f>RESUMEN!T178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+'OT18-042 CASTELLANA'!I32</f>
        <v>ACTA 1</v>
      </c>
      <c r="C28" s="1253">
        <f>+'OT18-042 CASTELLANA'!J32</f>
        <v>0</v>
      </c>
      <c r="D28" s="1253"/>
      <c r="E28" s="267">
        <f>+'OT18-042 CASTELLANA'!K32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6"/>
  <dimension ref="A1:N41"/>
  <sheetViews>
    <sheetView topLeftCell="A20" zoomScale="80" zoomScaleNormal="80" workbookViewId="0">
      <selection activeCell="F23" sqref="F23:G29"/>
    </sheetView>
  </sheetViews>
  <sheetFormatPr baseColWidth="10" defaultRowHeight="14.4" x14ac:dyDescent="0.3"/>
  <cols>
    <col min="2" max="2" width="22" customWidth="1"/>
    <col min="3" max="4" width="22.88671875" customWidth="1"/>
    <col min="6" max="7" width="15.33203125" customWidth="1"/>
    <col min="8" max="8" width="31.44140625" customWidth="1"/>
  </cols>
  <sheetData>
    <row r="1" spans="1:14" ht="14.4" customHeight="1" x14ac:dyDescent="0.3">
      <c r="A1" s="169"/>
      <c r="B1" s="188"/>
      <c r="C1" s="1307" t="s">
        <v>40</v>
      </c>
      <c r="D1" s="1308"/>
      <c r="E1" s="1308"/>
      <c r="F1" s="1308"/>
      <c r="G1" s="1308"/>
      <c r="H1" s="1308"/>
      <c r="I1" s="1308"/>
      <c r="J1" s="1308"/>
      <c r="K1" s="1532" t="s">
        <v>2460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ht="14.4" customHeight="1"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2461</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2459</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1907</v>
      </c>
      <c r="B14" s="1510" t="s">
        <v>869</v>
      </c>
      <c r="C14" s="1062" t="s">
        <v>83</v>
      </c>
      <c r="D14" s="1062" t="s">
        <v>870</v>
      </c>
      <c r="E14" s="1062">
        <v>1</v>
      </c>
      <c r="F14" s="646">
        <v>1171131</v>
      </c>
      <c r="G14" s="646">
        <f>ROUND((E14*F14),0)</f>
        <v>1171131</v>
      </c>
      <c r="H14" s="1514" t="s">
        <v>2447</v>
      </c>
      <c r="I14" s="799">
        <v>0</v>
      </c>
      <c r="J14" s="1132">
        <f>ROUND(I14*F14,0)</f>
        <v>0</v>
      </c>
      <c r="K14" s="1133">
        <f>J14/G14</f>
        <v>0</v>
      </c>
      <c r="L14" s="1134">
        <f t="shared" ref="L14:M19" si="0">I14</f>
        <v>0</v>
      </c>
      <c r="M14" s="1124">
        <f t="shared" si="0"/>
        <v>0</v>
      </c>
      <c r="N14" s="1133">
        <f t="shared" ref="N14:N19" si="1">M14/G14</f>
        <v>0</v>
      </c>
    </row>
    <row r="15" spans="1:14" ht="43.2" x14ac:dyDescent="0.3">
      <c r="A15" s="1510"/>
      <c r="B15" s="1510"/>
      <c r="C15" s="1062" t="s">
        <v>61</v>
      </c>
      <c r="D15" s="1062" t="s">
        <v>871</v>
      </c>
      <c r="E15" s="1062">
        <v>1</v>
      </c>
      <c r="F15" s="646">
        <v>2818036</v>
      </c>
      <c r="G15" s="646">
        <f>ROUND((E15*F15),0)</f>
        <v>2818036</v>
      </c>
      <c r="H15" s="1510"/>
      <c r="I15" s="799">
        <v>0</v>
      </c>
      <c r="J15" s="1132">
        <f>ROUND(I15*F15,0)</f>
        <v>0</v>
      </c>
      <c r="K15" s="1133">
        <f>J15/G15</f>
        <v>0</v>
      </c>
      <c r="L15" s="1134">
        <f t="shared" si="0"/>
        <v>0</v>
      </c>
      <c r="M15" s="1124">
        <f t="shared" si="0"/>
        <v>0</v>
      </c>
      <c r="N15" s="1133">
        <f t="shared" si="1"/>
        <v>0</v>
      </c>
    </row>
    <row r="16" spans="1:14" x14ac:dyDescent="0.3">
      <c r="A16" s="1510"/>
      <c r="B16" s="1510"/>
      <c r="C16" s="647"/>
      <c r="D16" s="647" t="s">
        <v>872</v>
      </c>
      <c r="E16" s="648"/>
      <c r="F16" s="648"/>
      <c r="G16" s="649">
        <f>SUM(G14:G15)</f>
        <v>3989167</v>
      </c>
      <c r="H16" s="1510"/>
      <c r="I16" s="1108"/>
      <c r="J16" s="1146">
        <f>SUM(J14:J15)</f>
        <v>0</v>
      </c>
      <c r="K16" s="1136">
        <f t="shared" ref="K16" si="2">J16/G16</f>
        <v>0</v>
      </c>
      <c r="L16" s="1137"/>
      <c r="M16" s="1138">
        <f t="shared" si="0"/>
        <v>0</v>
      </c>
      <c r="N16" s="1136">
        <f t="shared" si="1"/>
        <v>0</v>
      </c>
    </row>
    <row r="17" spans="1:14" ht="43.2" x14ac:dyDescent="0.3">
      <c r="A17" s="1514" t="s">
        <v>2448</v>
      </c>
      <c r="B17" s="1510" t="s">
        <v>869</v>
      </c>
      <c r="C17" s="1062" t="s">
        <v>83</v>
      </c>
      <c r="D17" s="1062" t="s">
        <v>870</v>
      </c>
      <c r="E17" s="1062">
        <v>1</v>
      </c>
      <c r="F17" s="646">
        <v>1171131</v>
      </c>
      <c r="G17" s="646">
        <f>ROUND((E17*F17),0)</f>
        <v>1171131</v>
      </c>
      <c r="H17" s="1514" t="s">
        <v>2449</v>
      </c>
      <c r="I17" s="799">
        <v>0</v>
      </c>
      <c r="J17" s="1132">
        <f>ROUND(I17*F17,0)</f>
        <v>0</v>
      </c>
      <c r="K17" s="1133">
        <f>J17/G17</f>
        <v>0</v>
      </c>
      <c r="L17" s="1134">
        <f t="shared" ref="L17:L18" si="3">I17</f>
        <v>0</v>
      </c>
      <c r="M17" s="1124">
        <f t="shared" si="0"/>
        <v>0</v>
      </c>
      <c r="N17" s="1133">
        <f t="shared" si="1"/>
        <v>0</v>
      </c>
    </row>
    <row r="18" spans="1:14" ht="43.2" x14ac:dyDescent="0.3">
      <c r="A18" s="1510"/>
      <c r="B18" s="1510"/>
      <c r="C18" s="1062" t="s">
        <v>61</v>
      </c>
      <c r="D18" s="1062" t="s">
        <v>871</v>
      </c>
      <c r="E18" s="1062">
        <v>1</v>
      </c>
      <c r="F18" s="646">
        <v>2818036</v>
      </c>
      <c r="G18" s="646">
        <f>ROUND((E18*F18),0)</f>
        <v>2818036</v>
      </c>
      <c r="H18" s="1510"/>
      <c r="I18" s="799">
        <v>0</v>
      </c>
      <c r="J18" s="1132">
        <f>ROUND(I18*F18,0)</f>
        <v>0</v>
      </c>
      <c r="K18" s="1133">
        <f>J18/G18</f>
        <v>0</v>
      </c>
      <c r="L18" s="1134">
        <f t="shared" si="3"/>
        <v>0</v>
      </c>
      <c r="M18" s="1124">
        <f t="shared" si="0"/>
        <v>0</v>
      </c>
      <c r="N18" s="1133">
        <f t="shared" si="1"/>
        <v>0</v>
      </c>
    </row>
    <row r="19" spans="1:14" x14ac:dyDescent="0.3">
      <c r="A19" s="1510"/>
      <c r="B19" s="1510"/>
      <c r="C19" s="647"/>
      <c r="D19" s="647" t="s">
        <v>872</v>
      </c>
      <c r="E19" s="648"/>
      <c r="F19" s="648"/>
      <c r="G19" s="649">
        <f>SUM(G17:G18)</f>
        <v>3989167</v>
      </c>
      <c r="H19" s="1510"/>
      <c r="I19" s="1108"/>
      <c r="J19" s="1146">
        <f>SUM(J17:J18)</f>
        <v>0</v>
      </c>
      <c r="K19" s="1136">
        <f t="shared" ref="K19" si="4">J19/G19</f>
        <v>0</v>
      </c>
      <c r="L19" s="1137"/>
      <c r="M19" s="1138">
        <f t="shared" si="0"/>
        <v>0</v>
      </c>
      <c r="N19" s="1136">
        <f t="shared" si="1"/>
        <v>0</v>
      </c>
    </row>
    <row r="20" spans="1:14" ht="43.2" x14ac:dyDescent="0.3">
      <c r="A20" s="1514" t="s">
        <v>1651</v>
      </c>
      <c r="B20" s="1510" t="s">
        <v>869</v>
      </c>
      <c r="C20" s="1062" t="s">
        <v>83</v>
      </c>
      <c r="D20" s="1062" t="s">
        <v>870</v>
      </c>
      <c r="E20" s="1062">
        <v>1</v>
      </c>
      <c r="F20" s="646">
        <v>1171131</v>
      </c>
      <c r="G20" s="646">
        <f>ROUND((E20*F20),0)</f>
        <v>1171131</v>
      </c>
      <c r="H20" s="1514" t="s">
        <v>2450</v>
      </c>
      <c r="I20" s="799">
        <v>0</v>
      </c>
      <c r="J20" s="1132">
        <f>ROUND(I20*F20,0)</f>
        <v>0</v>
      </c>
      <c r="K20" s="1133">
        <f>J20/G20</f>
        <v>0</v>
      </c>
      <c r="L20" s="1134">
        <f t="shared" ref="L20:L21" si="5">I20</f>
        <v>0</v>
      </c>
      <c r="M20" s="1124">
        <f t="shared" ref="M20:M22" si="6">J20</f>
        <v>0</v>
      </c>
      <c r="N20" s="1133">
        <f t="shared" ref="N20:N22" si="7">M20/G20</f>
        <v>0</v>
      </c>
    </row>
    <row r="21" spans="1:14" ht="43.2" x14ac:dyDescent="0.3">
      <c r="A21" s="1510"/>
      <c r="B21" s="1510"/>
      <c r="C21" s="1062" t="s">
        <v>61</v>
      </c>
      <c r="D21" s="1062" t="s">
        <v>871</v>
      </c>
      <c r="E21" s="1062">
        <v>1</v>
      </c>
      <c r="F21" s="646">
        <v>2818036</v>
      </c>
      <c r="G21" s="646">
        <f>ROUND((E21*F21),0)</f>
        <v>2818036</v>
      </c>
      <c r="H21" s="1510"/>
      <c r="I21" s="799">
        <v>0</v>
      </c>
      <c r="J21" s="1132">
        <f>ROUND(I21*F21,0)</f>
        <v>0</v>
      </c>
      <c r="K21" s="1133">
        <f>J21/G21</f>
        <v>0</v>
      </c>
      <c r="L21" s="1134">
        <f t="shared" si="5"/>
        <v>0</v>
      </c>
      <c r="M21" s="1124">
        <f t="shared" si="6"/>
        <v>0</v>
      </c>
      <c r="N21" s="1133">
        <f t="shared" si="7"/>
        <v>0</v>
      </c>
    </row>
    <row r="22" spans="1:14" x14ac:dyDescent="0.3">
      <c r="A22" s="1510"/>
      <c r="B22" s="1510"/>
      <c r="C22" s="647"/>
      <c r="D22" s="647" t="s">
        <v>872</v>
      </c>
      <c r="E22" s="648"/>
      <c r="F22" s="648"/>
      <c r="G22" s="649">
        <f>SUM(G20:G21)</f>
        <v>3989167</v>
      </c>
      <c r="H22" s="1510"/>
      <c r="I22" s="1108"/>
      <c r="J22" s="1146">
        <f>SUM(J20:J21)</f>
        <v>0</v>
      </c>
      <c r="K22" s="1136">
        <f t="shared" ref="K22" si="8">J22/G22</f>
        <v>0</v>
      </c>
      <c r="L22" s="1137"/>
      <c r="M22" s="1138">
        <f t="shared" si="6"/>
        <v>0</v>
      </c>
      <c r="N22" s="1136">
        <f t="shared" si="7"/>
        <v>0</v>
      </c>
    </row>
    <row r="23" spans="1:14" x14ac:dyDescent="0.3">
      <c r="F23" s="836" t="s">
        <v>1740</v>
      </c>
      <c r="G23" s="650">
        <f>SUM(G14:G22)/2</f>
        <v>11967501</v>
      </c>
      <c r="H23" s="1054"/>
      <c r="I23" s="547" t="s">
        <v>64</v>
      </c>
      <c r="J23" s="855">
        <f>SUM(J14:J22)/2</f>
        <v>0</v>
      </c>
      <c r="K23" s="1054"/>
      <c r="L23" s="547" t="s">
        <v>64</v>
      </c>
      <c r="M23" s="835">
        <f>SUM(M14:M22)/2</f>
        <v>0</v>
      </c>
      <c r="N23" s="1054"/>
    </row>
    <row r="24" spans="1:14" ht="26.4" x14ac:dyDescent="0.3">
      <c r="F24" s="1118" t="s">
        <v>65</v>
      </c>
      <c r="G24" s="1115">
        <v>0</v>
      </c>
      <c r="H24" s="1054"/>
      <c r="I24" s="548" t="s">
        <v>65</v>
      </c>
      <c r="J24" s="677">
        <v>0</v>
      </c>
      <c r="K24" s="1054"/>
      <c r="L24" s="548" t="s">
        <v>65</v>
      </c>
      <c r="M24" s="677">
        <v>0</v>
      </c>
      <c r="N24" s="1054"/>
    </row>
    <row r="25" spans="1:14" x14ac:dyDescent="0.3">
      <c r="F25" s="1119" t="s">
        <v>64</v>
      </c>
      <c r="G25" s="1151">
        <f>G23+G24</f>
        <v>11967501</v>
      </c>
      <c r="H25" s="1054"/>
      <c r="I25" s="549" t="s">
        <v>64</v>
      </c>
      <c r="J25" s="481">
        <f>J23+J24</f>
        <v>0</v>
      </c>
      <c r="K25" s="1054"/>
      <c r="L25" s="549" t="s">
        <v>64</v>
      </c>
      <c r="M25" s="481">
        <f>M23+M24</f>
        <v>0</v>
      </c>
      <c r="N25" s="1054"/>
    </row>
    <row r="26" spans="1:14" ht="26.4" x14ac:dyDescent="0.3">
      <c r="F26" s="501" t="s">
        <v>1439</v>
      </c>
      <c r="G26" s="1116">
        <f>ROUND(G25*0.015,0)</f>
        <v>179513</v>
      </c>
      <c r="H26" s="1054"/>
      <c r="I26" s="501" t="s">
        <v>1439</v>
      </c>
      <c r="J26" s="481">
        <f>ROUND(J25*0.015,0)</f>
        <v>0</v>
      </c>
      <c r="K26" s="1054"/>
      <c r="L26" s="501" t="s">
        <v>1439</v>
      </c>
      <c r="M26" s="481">
        <f>ROUND(M25*0.015,0)</f>
        <v>0</v>
      </c>
      <c r="N26" s="1054"/>
    </row>
    <row r="27" spans="1:14" ht="39.6" x14ac:dyDescent="0.3">
      <c r="F27" s="96" t="s">
        <v>1440</v>
      </c>
      <c r="G27" s="1117">
        <f>G25+G26</f>
        <v>12147014</v>
      </c>
      <c r="H27" s="1054"/>
      <c r="I27" s="96" t="s">
        <v>1440</v>
      </c>
      <c r="J27" s="783">
        <f>J25+J26</f>
        <v>0</v>
      </c>
      <c r="K27" s="856">
        <f>J27/G23</f>
        <v>0</v>
      </c>
      <c r="L27" s="96" t="s">
        <v>1440</v>
      </c>
      <c r="M27" s="425">
        <f>M25+M26</f>
        <v>0</v>
      </c>
      <c r="N27" s="857">
        <f>M27/G23</f>
        <v>0</v>
      </c>
    </row>
    <row r="28" spans="1:14" x14ac:dyDescent="0.3">
      <c r="F28" s="1122" t="s">
        <v>66</v>
      </c>
      <c r="G28" s="783">
        <f>G27*0.19</f>
        <v>2307932.66</v>
      </c>
      <c r="H28" s="1054"/>
      <c r="I28" s="551" t="s">
        <v>66</v>
      </c>
      <c r="J28" s="672">
        <f>J27*0.19</f>
        <v>0</v>
      </c>
      <c r="K28" s="1054"/>
      <c r="L28" s="551" t="s">
        <v>66</v>
      </c>
      <c r="M28" s="672">
        <f>M27*0.19</f>
        <v>0</v>
      </c>
      <c r="N28" s="1054"/>
    </row>
    <row r="29" spans="1:14" x14ac:dyDescent="0.3">
      <c r="F29" s="1123" t="s">
        <v>69</v>
      </c>
      <c r="G29" s="672">
        <f>G27+G28</f>
        <v>14454946.66</v>
      </c>
      <c r="H29" s="1054"/>
      <c r="I29" s="552" t="s">
        <v>69</v>
      </c>
      <c r="J29" s="672">
        <f>J27+J28</f>
        <v>0</v>
      </c>
      <c r="K29" s="1054"/>
      <c r="L29" s="552" t="s">
        <v>69</v>
      </c>
      <c r="M29" s="672">
        <f>M27+M28</f>
        <v>0</v>
      </c>
      <c r="N29" s="1054"/>
    </row>
    <row r="30" spans="1:14" x14ac:dyDescent="0.3">
      <c r="F30" s="1054"/>
      <c r="G30" s="1054"/>
      <c r="H30" s="1054"/>
      <c r="I30" s="1054"/>
      <c r="J30" s="1054"/>
      <c r="K30" s="1054"/>
      <c r="L30" s="1054"/>
      <c r="M30" s="1054"/>
      <c r="N30" s="1054"/>
    </row>
    <row r="31" spans="1:14" ht="26.4" x14ac:dyDescent="0.3">
      <c r="F31" s="1054"/>
      <c r="G31" s="1054"/>
      <c r="H31" s="1054"/>
      <c r="I31" s="186" t="s">
        <v>70</v>
      </c>
      <c r="J31" s="187" t="s">
        <v>71</v>
      </c>
      <c r="K31" s="186" t="s">
        <v>58</v>
      </c>
      <c r="L31" s="1054"/>
      <c r="M31" s="1054"/>
      <c r="N31" s="1054"/>
    </row>
    <row r="32" spans="1:14" x14ac:dyDescent="0.3">
      <c r="F32" s="1054"/>
      <c r="G32" s="1054"/>
      <c r="H32" s="1054"/>
      <c r="I32" s="69" t="s">
        <v>72</v>
      </c>
      <c r="J32" s="70">
        <f>J27</f>
        <v>0</v>
      </c>
      <c r="K32" s="360">
        <f>K27</f>
        <v>0</v>
      </c>
      <c r="L32" s="1054"/>
      <c r="M32" s="1054"/>
      <c r="N32" s="1054"/>
    </row>
    <row r="33" spans="6:14" x14ac:dyDescent="0.3">
      <c r="F33" s="1054"/>
      <c r="G33" s="1054"/>
      <c r="H33" s="1054"/>
      <c r="I33" s="72" t="s">
        <v>1</v>
      </c>
      <c r="J33" s="105">
        <f>J32</f>
        <v>0</v>
      </c>
      <c r="K33" s="361">
        <f>K32</f>
        <v>0</v>
      </c>
      <c r="L33" s="1054"/>
      <c r="M33" s="1054"/>
      <c r="N33" s="1054"/>
    </row>
    <row r="34" spans="6:14" x14ac:dyDescent="0.3">
      <c r="F34" s="1054"/>
      <c r="G34" s="1054"/>
      <c r="H34" s="1054"/>
      <c r="I34" s="72" t="s">
        <v>9</v>
      </c>
      <c r="J34" s="1423"/>
      <c r="K34" s="1424"/>
      <c r="L34" s="1054"/>
      <c r="M34" s="1054"/>
      <c r="N34" s="1054"/>
    </row>
    <row r="35" spans="6:14" x14ac:dyDescent="0.3">
      <c r="F35" s="1054"/>
      <c r="G35" s="1054"/>
      <c r="H35" s="1054"/>
      <c r="I35" s="440" t="s">
        <v>78</v>
      </c>
      <c r="J35" s="1423" t="s">
        <v>2455</v>
      </c>
      <c r="K35" s="1424"/>
      <c r="L35" s="1054"/>
      <c r="M35" s="1054"/>
      <c r="N35" s="1054"/>
    </row>
    <row r="36" spans="6:14" x14ac:dyDescent="0.3">
      <c r="F36" s="1054"/>
      <c r="G36" s="1054"/>
      <c r="H36" s="1054"/>
      <c r="I36" s="439" t="s">
        <v>8</v>
      </c>
      <c r="J36" s="1425" t="s">
        <v>2456</v>
      </c>
      <c r="K36" s="1426"/>
      <c r="L36" s="1054"/>
      <c r="M36" s="1054"/>
      <c r="N36" s="1054"/>
    </row>
    <row r="37" spans="6:14" x14ac:dyDescent="0.3">
      <c r="F37" s="1054"/>
      <c r="G37" s="1054"/>
      <c r="H37" s="1054"/>
      <c r="I37" s="1054"/>
      <c r="J37" s="1054"/>
      <c r="K37" s="1054"/>
      <c r="L37" s="1054"/>
      <c r="M37" s="1054"/>
      <c r="N37" s="1054"/>
    </row>
    <row r="38" spans="6:14" x14ac:dyDescent="0.3">
      <c r="F38" s="1054"/>
      <c r="G38" s="1054"/>
      <c r="H38" s="1054"/>
      <c r="I38" s="1054"/>
      <c r="J38" s="1054"/>
      <c r="K38" s="1054"/>
      <c r="L38" s="1054"/>
      <c r="M38" s="1054"/>
      <c r="N38" s="1054"/>
    </row>
    <row r="39" spans="6:14" x14ac:dyDescent="0.3">
      <c r="F39" s="1054"/>
      <c r="G39" s="1054"/>
      <c r="H39" s="1054"/>
      <c r="I39" s="1054"/>
      <c r="J39" s="1054"/>
      <c r="K39" s="1054"/>
      <c r="L39" s="1054"/>
      <c r="M39" s="1054"/>
      <c r="N39" s="1054"/>
    </row>
    <row r="40" spans="6:14" x14ac:dyDescent="0.3">
      <c r="F40" s="1054"/>
      <c r="G40" s="1054"/>
      <c r="H40" s="1054"/>
      <c r="I40" s="1054"/>
      <c r="J40" s="1054"/>
      <c r="K40" s="1054"/>
      <c r="L40" s="1054"/>
      <c r="M40" s="1054"/>
      <c r="N40" s="1054"/>
    </row>
    <row r="41" spans="6:14" x14ac:dyDescent="0.3">
      <c r="F41" s="1054"/>
      <c r="G41" s="1054"/>
      <c r="H41" s="1054"/>
      <c r="I41" s="1054"/>
      <c r="J41" s="1054"/>
      <c r="K41" s="1054"/>
      <c r="L41" s="1054"/>
      <c r="M41" s="1054"/>
      <c r="N41" s="1054"/>
    </row>
  </sheetData>
  <mergeCells count="27">
    <mergeCell ref="A14:A16"/>
    <mergeCell ref="B14:B16"/>
    <mergeCell ref="H14:H16"/>
    <mergeCell ref="K2:N2"/>
    <mergeCell ref="A5:M5"/>
    <mergeCell ref="A6:M6"/>
    <mergeCell ref="A7:M7"/>
    <mergeCell ref="A8:M8"/>
    <mergeCell ref="A9:M9"/>
    <mergeCell ref="A3:M3"/>
    <mergeCell ref="A4:M4"/>
    <mergeCell ref="C1:J2"/>
    <mergeCell ref="K1:N1"/>
    <mergeCell ref="A10:M10"/>
    <mergeCell ref="B11:F11"/>
    <mergeCell ref="I11:K12"/>
    <mergeCell ref="L11:N12"/>
    <mergeCell ref="B12:F12"/>
    <mergeCell ref="J34:K34"/>
    <mergeCell ref="J35:K35"/>
    <mergeCell ref="J36:K36"/>
    <mergeCell ref="A17:A19"/>
    <mergeCell ref="B17:B19"/>
    <mergeCell ref="H17:H19"/>
    <mergeCell ref="A20:A22"/>
    <mergeCell ref="B20:B22"/>
    <mergeCell ref="H20:H22"/>
  </mergeCells>
  <pageMargins left="0.7" right="0.7" top="0.75" bottom="0.75" header="0.3" footer="0.3"/>
  <drawing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7"/>
  <dimension ref="A1:G49"/>
  <sheetViews>
    <sheetView topLeftCell="A19"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RESUMEN!G179</f>
        <v>Proyecto: CDIE_CBCCSM_R0181-REPOSICION DE PROTECCIONES</v>
      </c>
      <c r="C5" s="1281"/>
      <c r="D5" s="1281"/>
      <c r="E5" s="1281"/>
      <c r="F5" s="1281"/>
      <c r="G5" s="1282"/>
    </row>
    <row r="6" spans="1:7" x14ac:dyDescent="0.25">
      <c r="A6" s="1177"/>
      <c r="B6" s="1177"/>
      <c r="C6" s="1177"/>
      <c r="D6" s="1177"/>
      <c r="E6" s="1177"/>
      <c r="F6" s="1177"/>
      <c r="G6" s="1177"/>
    </row>
    <row r="7" spans="1:7" x14ac:dyDescent="0.25">
      <c r="A7" s="271" t="s">
        <v>0</v>
      </c>
      <c r="B7" s="1264" t="str">
        <f>RESUMEN!B179</f>
        <v>D00249255</v>
      </c>
      <c r="C7" s="1265"/>
      <c r="D7" s="1177"/>
      <c r="E7" s="1266" t="s">
        <v>627</v>
      </c>
      <c r="F7" s="1267"/>
      <c r="G7" s="280" t="str">
        <f>RESUMEN!E179</f>
        <v>18-043</v>
      </c>
    </row>
    <row r="8" spans="1:7" x14ac:dyDescent="0.25">
      <c r="A8" s="271" t="s">
        <v>628</v>
      </c>
      <c r="B8" s="1264" t="str">
        <f>RESUMEN!C179</f>
        <v>D00249255000</v>
      </c>
      <c r="C8" s="1265"/>
      <c r="D8" s="1177"/>
      <c r="E8" s="1266" t="s">
        <v>629</v>
      </c>
      <c r="F8" s="1267"/>
      <c r="G8" s="280" t="str">
        <f>RESUMEN!U179</f>
        <v>Acta N° 1: Marzo</v>
      </c>
    </row>
    <row r="9" spans="1:7" x14ac:dyDescent="0.25">
      <c r="A9" s="271" t="s">
        <v>630</v>
      </c>
      <c r="B9" s="1283" t="s">
        <v>631</v>
      </c>
      <c r="C9" s="1265"/>
      <c r="D9" s="1177"/>
      <c r="E9" s="1266" t="s">
        <v>632</v>
      </c>
      <c r="F9" s="1267"/>
      <c r="G9" s="1178">
        <f>RESUMEN!H179</f>
        <v>11967501</v>
      </c>
    </row>
    <row r="10" spans="1:7" x14ac:dyDescent="0.25">
      <c r="A10" s="271" t="s">
        <v>633</v>
      </c>
      <c r="B10" s="1283" t="str">
        <f>RESUMEN!D179</f>
        <v xml:space="preserve"> BOLIVIA</v>
      </c>
      <c r="C10" s="1265"/>
      <c r="D10" s="1177"/>
      <c r="E10" s="1266" t="s">
        <v>634</v>
      </c>
      <c r="F10" s="1267"/>
      <c r="G10" s="1178">
        <f>RESUMEN!R179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RESUMEN!V179,"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",RESUMEN!G179)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CDIE_CBCCSM_R0181-REPOSICION DE PROTECCIONES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RESUMEN!N179</f>
        <v>0</v>
      </c>
      <c r="F19" s="1248"/>
      <c r="G19" s="1177"/>
    </row>
    <row r="20" spans="1:7" ht="27" customHeight="1" x14ac:dyDescent="0.25">
      <c r="A20" s="1177"/>
      <c r="B20" s="1244" t="s">
        <v>1498</v>
      </c>
      <c r="C20" s="1245"/>
      <c r="D20" s="1246"/>
      <c r="E20" s="1247">
        <f>RESUMEN!P179</f>
        <v>0</v>
      </c>
      <c r="F20" s="1248"/>
      <c r="G20" s="1177"/>
    </row>
    <row r="21" spans="1:7" ht="27" customHeight="1" x14ac:dyDescent="0.25">
      <c r="A21" s="1177"/>
      <c r="B21" s="1244" t="s">
        <v>1499</v>
      </c>
      <c r="C21" s="1245"/>
      <c r="D21" s="1246"/>
      <c r="E21" s="1247">
        <f>RESUMEN!Q179</f>
        <v>0</v>
      </c>
      <c r="F21" s="1248"/>
      <c r="G21" s="1177"/>
    </row>
    <row r="22" spans="1:7" x14ac:dyDescent="0.25">
      <c r="A22" s="1177"/>
      <c r="B22" s="1254" t="s">
        <v>64</v>
      </c>
      <c r="C22" s="1254"/>
      <c r="D22" s="1254"/>
      <c r="E22" s="1255">
        <f>RESUMEN!R179</f>
        <v>0</v>
      </c>
      <c r="F22" s="1255"/>
      <c r="G22" s="1177"/>
    </row>
    <row r="23" spans="1:7" x14ac:dyDescent="0.25">
      <c r="A23" s="1177"/>
      <c r="B23" s="1256" t="s">
        <v>66</v>
      </c>
      <c r="C23" s="1256"/>
      <c r="D23" s="1256"/>
      <c r="E23" s="1257">
        <f>RESUMEN!S179</f>
        <v>0</v>
      </c>
      <c r="F23" s="1257"/>
      <c r="G23" s="1177"/>
    </row>
    <row r="24" spans="1:7" x14ac:dyDescent="0.25">
      <c r="A24" s="1177"/>
      <c r="B24" s="1258" t="s">
        <v>1</v>
      </c>
      <c r="C24" s="1258"/>
      <c r="D24" s="1258"/>
      <c r="E24" s="1259">
        <f>RESUMEN!T179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+'OT18-043 BOLIVIA'!I32</f>
        <v>ACTA 1</v>
      </c>
      <c r="C28" s="1253">
        <f>+'OT18-043 BOLIVIA'!J32</f>
        <v>0</v>
      </c>
      <c r="D28" s="1253"/>
      <c r="E28" s="267">
        <f>+'OT18-043 BOLIVIA'!K32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RESUMEN!V179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8"/>
  <dimension ref="A1:N41"/>
  <sheetViews>
    <sheetView topLeftCell="C19" workbookViewId="0">
      <selection activeCell="D22" sqref="D22"/>
    </sheetView>
  </sheetViews>
  <sheetFormatPr baseColWidth="10" defaultRowHeight="14.4" x14ac:dyDescent="0.3"/>
  <cols>
    <col min="2" max="2" width="18.88671875" customWidth="1"/>
    <col min="3" max="4" width="22.88671875" customWidth="1"/>
    <col min="6" max="7" width="13.6640625" customWidth="1"/>
    <col min="8" max="8" width="33" customWidth="1"/>
  </cols>
  <sheetData>
    <row r="1" spans="1:14" x14ac:dyDescent="0.3">
      <c r="A1" s="169"/>
      <c r="B1" s="188"/>
      <c r="C1" s="1307" t="s">
        <v>40</v>
      </c>
      <c r="D1" s="1308"/>
      <c r="E1" s="1308"/>
      <c r="F1" s="1308"/>
      <c r="G1" s="1308"/>
      <c r="H1" s="1308"/>
      <c r="I1" s="1308"/>
      <c r="J1" s="1308"/>
      <c r="K1" s="1532" t="s">
        <v>2445</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2463</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2462</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1907</v>
      </c>
      <c r="B14" s="1510" t="s">
        <v>869</v>
      </c>
      <c r="C14" s="1062" t="s">
        <v>83</v>
      </c>
      <c r="D14" s="1062" t="s">
        <v>870</v>
      </c>
      <c r="E14" s="1062">
        <v>1</v>
      </c>
      <c r="F14" s="646">
        <v>1171131</v>
      </c>
      <c r="G14" s="646">
        <f>ROUND((E14*F14),0)</f>
        <v>1171131</v>
      </c>
      <c r="H14" s="1514" t="s">
        <v>2447</v>
      </c>
      <c r="I14" s="799">
        <v>0</v>
      </c>
      <c r="J14" s="1132">
        <f>ROUND(I14*F14,0)</f>
        <v>0</v>
      </c>
      <c r="K14" s="1133">
        <f>J14/G14</f>
        <v>0</v>
      </c>
      <c r="L14" s="1134">
        <f t="shared" ref="L14:M22" si="0">I14</f>
        <v>0</v>
      </c>
      <c r="M14" s="1124">
        <f t="shared" si="0"/>
        <v>0</v>
      </c>
      <c r="N14" s="1133">
        <f t="shared" ref="N14:N22" si="1">M14/G14</f>
        <v>0</v>
      </c>
    </row>
    <row r="15" spans="1:14" ht="43.2" x14ac:dyDescent="0.3">
      <c r="A15" s="1510"/>
      <c r="B15" s="1510"/>
      <c r="C15" s="1062" t="s">
        <v>61</v>
      </c>
      <c r="D15" s="1062" t="s">
        <v>871</v>
      </c>
      <c r="E15" s="1062">
        <v>1</v>
      </c>
      <c r="F15" s="646">
        <v>2818036</v>
      </c>
      <c r="G15" s="646">
        <f>ROUND((E15*F15),0)</f>
        <v>2818036</v>
      </c>
      <c r="H15" s="1510"/>
      <c r="I15" s="799">
        <v>0</v>
      </c>
      <c r="J15" s="1132">
        <f>ROUND(I15*F15,0)</f>
        <v>0</v>
      </c>
      <c r="K15" s="1133">
        <f>J15/G15</f>
        <v>0</v>
      </c>
      <c r="L15" s="1134">
        <f t="shared" si="0"/>
        <v>0</v>
      </c>
      <c r="M15" s="1124">
        <f t="shared" si="0"/>
        <v>0</v>
      </c>
      <c r="N15" s="1133">
        <f t="shared" si="1"/>
        <v>0</v>
      </c>
    </row>
    <row r="16" spans="1:14" x14ac:dyDescent="0.3">
      <c r="A16" s="1510"/>
      <c r="B16" s="1510"/>
      <c r="C16" s="647"/>
      <c r="D16" s="647" t="s">
        <v>872</v>
      </c>
      <c r="E16" s="648"/>
      <c r="F16" s="648"/>
      <c r="G16" s="649">
        <f>SUM(G14:G15)</f>
        <v>3989167</v>
      </c>
      <c r="H16" s="1510"/>
      <c r="I16" s="1108"/>
      <c r="J16" s="1146">
        <f>SUM(J14:J15)</f>
        <v>0</v>
      </c>
      <c r="K16" s="1136">
        <f t="shared" ref="K16" si="2">J16/G16</f>
        <v>0</v>
      </c>
      <c r="L16" s="1137"/>
      <c r="M16" s="1138">
        <f t="shared" si="0"/>
        <v>0</v>
      </c>
      <c r="N16" s="1136">
        <f t="shared" si="1"/>
        <v>0</v>
      </c>
    </row>
    <row r="17" spans="1:14" ht="43.2" x14ac:dyDescent="0.3">
      <c r="A17" s="1514" t="s">
        <v>2448</v>
      </c>
      <c r="B17" s="1510" t="s">
        <v>869</v>
      </c>
      <c r="C17" s="1062" t="s">
        <v>83</v>
      </c>
      <c r="D17" s="1062" t="s">
        <v>870</v>
      </c>
      <c r="E17" s="1062">
        <v>1</v>
      </c>
      <c r="F17" s="646">
        <v>1171131</v>
      </c>
      <c r="G17" s="646">
        <f>ROUND((E17*F17),0)</f>
        <v>1171131</v>
      </c>
      <c r="H17" s="1514" t="s">
        <v>2449</v>
      </c>
      <c r="I17" s="799">
        <v>0</v>
      </c>
      <c r="J17" s="1132">
        <f>ROUND(I17*F17,0)</f>
        <v>0</v>
      </c>
      <c r="K17" s="1133">
        <f>J17/G17</f>
        <v>0</v>
      </c>
      <c r="L17" s="1134">
        <f t="shared" ref="L17:L18" si="3">I17</f>
        <v>0</v>
      </c>
      <c r="M17" s="1124">
        <f t="shared" si="0"/>
        <v>0</v>
      </c>
      <c r="N17" s="1133">
        <f t="shared" si="1"/>
        <v>0</v>
      </c>
    </row>
    <row r="18" spans="1:14" ht="43.2" x14ac:dyDescent="0.3">
      <c r="A18" s="1510"/>
      <c r="B18" s="1510"/>
      <c r="C18" s="1062" t="s">
        <v>61</v>
      </c>
      <c r="D18" s="1062" t="s">
        <v>871</v>
      </c>
      <c r="E18" s="1062">
        <v>1</v>
      </c>
      <c r="F18" s="646">
        <v>2818036</v>
      </c>
      <c r="G18" s="646">
        <f>ROUND((E18*F18),0)</f>
        <v>2818036</v>
      </c>
      <c r="H18" s="1510"/>
      <c r="I18" s="799">
        <v>0</v>
      </c>
      <c r="J18" s="1132">
        <f>ROUND(I18*F18,0)</f>
        <v>0</v>
      </c>
      <c r="K18" s="1133">
        <f>J18/G18</f>
        <v>0</v>
      </c>
      <c r="L18" s="1134">
        <f t="shared" si="3"/>
        <v>0</v>
      </c>
      <c r="M18" s="1124">
        <f t="shared" si="0"/>
        <v>0</v>
      </c>
      <c r="N18" s="1133">
        <f t="shared" si="1"/>
        <v>0</v>
      </c>
    </row>
    <row r="19" spans="1:14" x14ac:dyDescent="0.3">
      <c r="A19" s="1510"/>
      <c r="B19" s="1510"/>
      <c r="C19" s="647"/>
      <c r="D19" s="647" t="s">
        <v>872</v>
      </c>
      <c r="E19" s="648"/>
      <c r="F19" s="648"/>
      <c r="G19" s="649">
        <f>SUM(G17:G18)</f>
        <v>3989167</v>
      </c>
      <c r="H19" s="1510"/>
      <c r="I19" s="1108"/>
      <c r="J19" s="1146">
        <f>SUM(J17:J18)</f>
        <v>0</v>
      </c>
      <c r="K19" s="1136">
        <f t="shared" ref="K19" si="4">J19/G19</f>
        <v>0</v>
      </c>
      <c r="L19" s="1137"/>
      <c r="M19" s="1138">
        <f t="shared" si="0"/>
        <v>0</v>
      </c>
      <c r="N19" s="1136">
        <f t="shared" si="1"/>
        <v>0</v>
      </c>
    </row>
    <row r="20" spans="1:14" ht="43.2" x14ac:dyDescent="0.3">
      <c r="A20" s="1514" t="s">
        <v>1651</v>
      </c>
      <c r="B20" s="1510" t="s">
        <v>869</v>
      </c>
      <c r="C20" s="1062" t="s">
        <v>83</v>
      </c>
      <c r="D20" s="1062" t="s">
        <v>870</v>
      </c>
      <c r="E20" s="1062">
        <v>1</v>
      </c>
      <c r="F20" s="646">
        <v>1171131</v>
      </c>
      <c r="G20" s="646">
        <f>ROUND((E20*F20),0)</f>
        <v>1171131</v>
      </c>
      <c r="H20" s="1514" t="s">
        <v>2450</v>
      </c>
      <c r="I20" s="799">
        <v>0</v>
      </c>
      <c r="J20" s="1132">
        <f>ROUND(I20*F20,0)</f>
        <v>0</v>
      </c>
      <c r="K20" s="1133">
        <f>J20/G20</f>
        <v>0</v>
      </c>
      <c r="L20" s="1134">
        <f t="shared" ref="L20:L21" si="5">I20</f>
        <v>0</v>
      </c>
      <c r="M20" s="1124">
        <f t="shared" si="0"/>
        <v>0</v>
      </c>
      <c r="N20" s="1133">
        <f t="shared" si="1"/>
        <v>0</v>
      </c>
    </row>
    <row r="21" spans="1:14" ht="43.2" x14ac:dyDescent="0.3">
      <c r="A21" s="1510"/>
      <c r="B21" s="1510"/>
      <c r="C21" s="1062" t="s">
        <v>61</v>
      </c>
      <c r="D21" s="1062" t="s">
        <v>871</v>
      </c>
      <c r="E21" s="1062">
        <v>1</v>
      </c>
      <c r="F21" s="646">
        <v>2818036</v>
      </c>
      <c r="G21" s="646">
        <f>ROUND((E21*F21),0)</f>
        <v>2818036</v>
      </c>
      <c r="H21" s="1510"/>
      <c r="I21" s="799">
        <v>0</v>
      </c>
      <c r="J21" s="1132">
        <f>ROUND(I21*F21,0)</f>
        <v>0</v>
      </c>
      <c r="K21" s="1133">
        <f>J21/G21</f>
        <v>0</v>
      </c>
      <c r="L21" s="1134">
        <f t="shared" si="5"/>
        <v>0</v>
      </c>
      <c r="M21" s="1124">
        <f t="shared" si="0"/>
        <v>0</v>
      </c>
      <c r="N21" s="1133">
        <f t="shared" si="1"/>
        <v>0</v>
      </c>
    </row>
    <row r="22" spans="1:14" x14ac:dyDescent="0.3">
      <c r="A22" s="1510"/>
      <c r="B22" s="1510"/>
      <c r="C22" s="647"/>
      <c r="D22" s="647" t="s">
        <v>872</v>
      </c>
      <c r="E22" s="648"/>
      <c r="F22" s="648"/>
      <c r="G22" s="649">
        <f>SUM(G20:G21)</f>
        <v>3989167</v>
      </c>
      <c r="H22" s="1510"/>
      <c r="I22" s="1108"/>
      <c r="J22" s="1146">
        <f>SUM(J20:J21)</f>
        <v>0</v>
      </c>
      <c r="K22" s="1136">
        <f t="shared" ref="K22" si="6">J22/G22</f>
        <v>0</v>
      </c>
      <c r="L22" s="1137"/>
      <c r="M22" s="1138">
        <f t="shared" si="0"/>
        <v>0</v>
      </c>
      <c r="N22" s="1136">
        <f t="shared" si="1"/>
        <v>0</v>
      </c>
    </row>
    <row r="23" spans="1:14" x14ac:dyDescent="0.3">
      <c r="F23" s="836" t="s">
        <v>1740</v>
      </c>
      <c r="G23" s="650">
        <f>SUM(G14:G22)/2</f>
        <v>11967501</v>
      </c>
      <c r="I23" s="547" t="s">
        <v>64</v>
      </c>
      <c r="J23" s="855">
        <f>SUM(J14:J22)/2</f>
        <v>0</v>
      </c>
      <c r="K23" s="1054"/>
      <c r="L23" s="547" t="s">
        <v>64</v>
      </c>
      <c r="M23" s="835">
        <f>SUM(M14:M22)/2</f>
        <v>0</v>
      </c>
      <c r="N23" s="1054"/>
    </row>
    <row r="24" spans="1:14" ht="26.4" x14ac:dyDescent="0.3">
      <c r="F24" s="1118" t="s">
        <v>65</v>
      </c>
      <c r="G24" s="1115">
        <v>0</v>
      </c>
      <c r="I24" s="548" t="s">
        <v>65</v>
      </c>
      <c r="J24" s="677">
        <v>0</v>
      </c>
      <c r="K24" s="1054"/>
      <c r="L24" s="548" t="s">
        <v>65</v>
      </c>
      <c r="M24" s="677">
        <v>0</v>
      </c>
      <c r="N24" s="1054"/>
    </row>
    <row r="25" spans="1:14" x14ac:dyDescent="0.3">
      <c r="F25" s="1119" t="s">
        <v>64</v>
      </c>
      <c r="G25" s="1151">
        <f>G23+G24</f>
        <v>11967501</v>
      </c>
      <c r="I25" s="549" t="s">
        <v>64</v>
      </c>
      <c r="J25" s="481">
        <f>J23+J24</f>
        <v>0</v>
      </c>
      <c r="K25" s="1054"/>
      <c r="L25" s="549" t="s">
        <v>64</v>
      </c>
      <c r="M25" s="481">
        <f>M23+M24</f>
        <v>0</v>
      </c>
      <c r="N25" s="1054"/>
    </row>
    <row r="26" spans="1:14" ht="26.4" x14ac:dyDescent="0.3">
      <c r="F26" s="501" t="s">
        <v>1439</v>
      </c>
      <c r="G26" s="1116">
        <f>ROUND(G25*0.015,0)</f>
        <v>179513</v>
      </c>
      <c r="I26" s="501" t="s">
        <v>1439</v>
      </c>
      <c r="J26" s="481">
        <f>ROUND(J25*0.015,0)</f>
        <v>0</v>
      </c>
      <c r="K26" s="1054"/>
      <c r="L26" s="501" t="s">
        <v>1439</v>
      </c>
      <c r="M26" s="481">
        <f>ROUND(M25*0.015,0)</f>
        <v>0</v>
      </c>
      <c r="N26" s="1054"/>
    </row>
    <row r="27" spans="1:14" ht="39.6" x14ac:dyDescent="0.3">
      <c r="F27" s="96" t="s">
        <v>1440</v>
      </c>
      <c r="G27" s="1117">
        <f>G25+G26</f>
        <v>12147014</v>
      </c>
      <c r="I27" s="96" t="s">
        <v>1440</v>
      </c>
      <c r="J27" s="783">
        <f>J25+J26</f>
        <v>0</v>
      </c>
      <c r="K27" s="856">
        <f>J27/G23</f>
        <v>0</v>
      </c>
      <c r="L27" s="96" t="s">
        <v>1440</v>
      </c>
      <c r="M27" s="425">
        <f>M25+M26</f>
        <v>0</v>
      </c>
      <c r="N27" s="857">
        <f>M27/G23</f>
        <v>0</v>
      </c>
    </row>
    <row r="28" spans="1:14" x14ac:dyDescent="0.3">
      <c r="F28" s="1122" t="s">
        <v>66</v>
      </c>
      <c r="G28" s="783">
        <f>G27*0.19</f>
        <v>2307932.66</v>
      </c>
      <c r="I28" s="551" t="s">
        <v>66</v>
      </c>
      <c r="J28" s="672">
        <f>J27*0.19</f>
        <v>0</v>
      </c>
      <c r="K28" s="1054"/>
      <c r="L28" s="551" t="s">
        <v>66</v>
      </c>
      <c r="M28" s="672">
        <f>M27*0.19</f>
        <v>0</v>
      </c>
      <c r="N28" s="1054"/>
    </row>
    <row r="29" spans="1:14" x14ac:dyDescent="0.3">
      <c r="F29" s="1123" t="s">
        <v>69</v>
      </c>
      <c r="G29" s="672">
        <f>G27+G28</f>
        <v>14454946.66</v>
      </c>
      <c r="I29" s="552" t="s">
        <v>69</v>
      </c>
      <c r="J29" s="672">
        <f>J27+J28</f>
        <v>0</v>
      </c>
      <c r="K29" s="1054"/>
      <c r="L29" s="552" t="s">
        <v>69</v>
      </c>
      <c r="M29" s="672">
        <f>M27+M28</f>
        <v>0</v>
      </c>
      <c r="N29" s="1054"/>
    </row>
    <row r="30" spans="1:14" x14ac:dyDescent="0.3">
      <c r="I30" s="1054"/>
      <c r="J30" s="1054"/>
      <c r="K30" s="1054"/>
      <c r="L30" s="1054"/>
      <c r="M30" s="1054"/>
      <c r="N30" s="1054"/>
    </row>
    <row r="31" spans="1:14" ht="26.4" x14ac:dyDescent="0.3">
      <c r="I31" s="186" t="s">
        <v>70</v>
      </c>
      <c r="J31" s="187" t="s">
        <v>71</v>
      </c>
      <c r="K31" s="186" t="s">
        <v>58</v>
      </c>
      <c r="L31" s="1054"/>
      <c r="M31" s="1054"/>
      <c r="N31" s="1054"/>
    </row>
    <row r="32" spans="1:14" x14ac:dyDescent="0.3">
      <c r="I32" s="69" t="s">
        <v>72</v>
      </c>
      <c r="J32" s="70">
        <f>J27</f>
        <v>0</v>
      </c>
      <c r="K32" s="360">
        <f>K27</f>
        <v>0</v>
      </c>
      <c r="L32" s="1054"/>
      <c r="M32" s="1054"/>
      <c r="N32" s="1054"/>
    </row>
    <row r="33" spans="9:14" x14ac:dyDescent="0.3">
      <c r="I33" s="72" t="s">
        <v>1</v>
      </c>
      <c r="J33" s="105">
        <f>J32</f>
        <v>0</v>
      </c>
      <c r="K33" s="361">
        <f>K32</f>
        <v>0</v>
      </c>
      <c r="L33" s="1054"/>
      <c r="M33" s="1054"/>
      <c r="N33" s="1054"/>
    </row>
    <row r="34" spans="9:14" x14ac:dyDescent="0.3">
      <c r="I34" s="72" t="s">
        <v>9</v>
      </c>
      <c r="J34" s="1423"/>
      <c r="K34" s="1424"/>
      <c r="L34" s="1054"/>
      <c r="M34" s="1054"/>
      <c r="N34" s="1054"/>
    </row>
    <row r="35" spans="9:14" x14ac:dyDescent="0.3">
      <c r="I35" s="440" t="s">
        <v>78</v>
      </c>
      <c r="J35" s="1423" t="s">
        <v>2455</v>
      </c>
      <c r="K35" s="1424"/>
      <c r="L35" s="1054"/>
      <c r="M35" s="1054"/>
      <c r="N35" s="1054"/>
    </row>
    <row r="36" spans="9:14" x14ac:dyDescent="0.3">
      <c r="I36" s="439" t="s">
        <v>8</v>
      </c>
      <c r="J36" s="1425" t="s">
        <v>2456</v>
      </c>
      <c r="K36" s="1426"/>
      <c r="L36" s="1054"/>
      <c r="M36" s="1054"/>
      <c r="N36" s="1054"/>
    </row>
    <row r="37" spans="9:14" x14ac:dyDescent="0.3">
      <c r="I37" s="1054"/>
      <c r="J37" s="1054"/>
      <c r="K37" s="1054"/>
      <c r="L37" s="1054"/>
      <c r="M37" s="1054"/>
      <c r="N37" s="1054"/>
    </row>
    <row r="38" spans="9:14" x14ac:dyDescent="0.3">
      <c r="I38" s="1054"/>
      <c r="J38" s="1054"/>
      <c r="K38" s="1054"/>
      <c r="L38" s="1054"/>
      <c r="M38" s="1054"/>
      <c r="N38" s="1054"/>
    </row>
    <row r="39" spans="9:14" x14ac:dyDescent="0.3">
      <c r="I39" s="1054"/>
      <c r="J39" s="1054"/>
      <c r="K39" s="1054"/>
      <c r="L39" s="1054"/>
      <c r="M39" s="1054"/>
      <c r="N39" s="1054"/>
    </row>
    <row r="40" spans="9:14" x14ac:dyDescent="0.3">
      <c r="I40" s="1054"/>
      <c r="J40" s="1054"/>
      <c r="K40" s="1054"/>
      <c r="L40" s="1054"/>
      <c r="M40" s="1054"/>
      <c r="N40" s="1054"/>
    </row>
    <row r="41" spans="9:14" x14ac:dyDescent="0.3">
      <c r="I41" s="1054"/>
      <c r="J41" s="1054"/>
      <c r="K41" s="1054"/>
      <c r="L41" s="1054"/>
      <c r="M41" s="1054"/>
      <c r="N41" s="1054"/>
    </row>
  </sheetData>
  <mergeCells count="2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6:K36"/>
    <mergeCell ref="A14:A16"/>
    <mergeCell ref="B14:B16"/>
    <mergeCell ref="H14:H16"/>
    <mergeCell ref="A17:A19"/>
    <mergeCell ref="B17:B19"/>
    <mergeCell ref="H17:H19"/>
    <mergeCell ref="A20:A22"/>
    <mergeCell ref="B20:B22"/>
    <mergeCell ref="H20:H22"/>
    <mergeCell ref="J34:K34"/>
    <mergeCell ref="J35:K35"/>
  </mergeCells>
  <pageMargins left="0.7" right="0.7" top="0.75" bottom="0.75" header="0.3" footer="0.3"/>
  <drawing r:id="rId1"/>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9"/>
  <dimension ref="A1:G49"/>
  <sheetViews>
    <sheetView topLeftCell="A16" workbookViewId="0">
      <selection activeCell="G34" sqref="G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RESUMEN!G180</f>
        <v xml:space="preserve">Proyecto: CDIE_CBCCSM_R0181-REPOSICION DE PROTECCIONES </v>
      </c>
      <c r="C5" s="1281"/>
      <c r="D5" s="1281"/>
      <c r="E5" s="1281"/>
      <c r="F5" s="1281"/>
      <c r="G5" s="1282"/>
    </row>
    <row r="6" spans="1:7" x14ac:dyDescent="0.25">
      <c r="A6" s="1177"/>
      <c r="B6" s="1177"/>
      <c r="C6" s="1177"/>
      <c r="D6" s="1177"/>
      <c r="E6" s="1177"/>
      <c r="F6" s="1177"/>
      <c r="G6" s="1177"/>
    </row>
    <row r="7" spans="1:7" x14ac:dyDescent="0.25">
      <c r="A7" s="271" t="s">
        <v>0</v>
      </c>
      <c r="B7" s="1264" t="str">
        <f>RESUMEN!B180</f>
        <v>D00249255</v>
      </c>
      <c r="C7" s="1265"/>
      <c r="D7" s="1177"/>
      <c r="E7" s="1266" t="s">
        <v>627</v>
      </c>
      <c r="F7" s="1267"/>
      <c r="G7" s="280" t="str">
        <f>RESUMEN!E180</f>
        <v>18-044</v>
      </c>
    </row>
    <row r="8" spans="1:7" x14ac:dyDescent="0.25">
      <c r="A8" s="271" t="s">
        <v>628</v>
      </c>
      <c r="B8" s="1264" t="str">
        <f>RESUMEN!C180</f>
        <v>D00249255000</v>
      </c>
      <c r="C8" s="1265"/>
      <c r="D8" s="1177"/>
      <c r="E8" s="1266" t="s">
        <v>629</v>
      </c>
      <c r="F8" s="1267"/>
      <c r="G8" s="280" t="str">
        <f>RESUMEN!U180</f>
        <v>Acta N° 1: Marzo</v>
      </c>
    </row>
    <row r="9" spans="1:7" x14ac:dyDescent="0.25">
      <c r="A9" s="271" t="s">
        <v>630</v>
      </c>
      <c r="B9" s="1283" t="s">
        <v>631</v>
      </c>
      <c r="C9" s="1265"/>
      <c r="D9" s="1177"/>
      <c r="E9" s="1266" t="s">
        <v>632</v>
      </c>
      <c r="F9" s="1267"/>
      <c r="G9" s="1178">
        <f>RESUMEN!H180</f>
        <v>11967501</v>
      </c>
    </row>
    <row r="10" spans="1:7" x14ac:dyDescent="0.25">
      <c r="A10" s="271" t="s">
        <v>633</v>
      </c>
      <c r="B10" s="1283" t="str">
        <f>RESUMEN!D180</f>
        <v xml:space="preserve"> MORATO</v>
      </c>
      <c r="C10" s="1265"/>
      <c r="D10" s="1177"/>
      <c r="E10" s="1266" t="s">
        <v>634</v>
      </c>
      <c r="F10" s="1267"/>
      <c r="G10" s="1178">
        <f>RESUMEN!R180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",RESUMEN!G180)</f>
        <v xml:space="preserve">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CDIE_CBCCSM_R0181-REPOSICION DE PROTECCIONES </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RESUMEN!N180</f>
        <v>0</v>
      </c>
      <c r="F19" s="1248"/>
      <c r="G19" s="1177"/>
    </row>
    <row r="20" spans="1:7" ht="27" customHeight="1" x14ac:dyDescent="0.25">
      <c r="A20" s="1177"/>
      <c r="B20" s="1244" t="s">
        <v>1498</v>
      </c>
      <c r="C20" s="1245"/>
      <c r="D20" s="1246"/>
      <c r="E20" s="1247">
        <f>RESUMEN!P180</f>
        <v>0</v>
      </c>
      <c r="F20" s="1248"/>
      <c r="G20" s="1177"/>
    </row>
    <row r="21" spans="1:7" ht="27" customHeight="1" x14ac:dyDescent="0.25">
      <c r="A21" s="1177"/>
      <c r="B21" s="1244" t="s">
        <v>1499</v>
      </c>
      <c r="C21" s="1245"/>
      <c r="D21" s="1246"/>
      <c r="E21" s="1247">
        <f>RESUMEN!Q180</f>
        <v>0</v>
      </c>
      <c r="F21" s="1248"/>
      <c r="G21" s="1177"/>
    </row>
    <row r="22" spans="1:7" x14ac:dyDescent="0.25">
      <c r="A22" s="1177"/>
      <c r="B22" s="1254" t="s">
        <v>64</v>
      </c>
      <c r="C22" s="1254"/>
      <c r="D22" s="1254"/>
      <c r="E22" s="1255">
        <f>RESUMEN!R180</f>
        <v>0</v>
      </c>
      <c r="F22" s="1255"/>
      <c r="G22" s="1177"/>
    </row>
    <row r="23" spans="1:7" x14ac:dyDescent="0.25">
      <c r="A23" s="1177"/>
      <c r="B23" s="1256" t="s">
        <v>66</v>
      </c>
      <c r="C23" s="1256"/>
      <c r="D23" s="1256"/>
      <c r="E23" s="1257">
        <f>RESUMEN!S180</f>
        <v>0</v>
      </c>
      <c r="F23" s="1257"/>
      <c r="G23" s="1177"/>
    </row>
    <row r="24" spans="1:7" x14ac:dyDescent="0.25">
      <c r="A24" s="1177"/>
      <c r="B24" s="1258" t="s">
        <v>1</v>
      </c>
      <c r="C24" s="1258"/>
      <c r="D24" s="1258"/>
      <c r="E24" s="1259">
        <f>RESUMEN!T180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+'OT18-044 MORATO'!I32</f>
        <v>ACTA 1</v>
      </c>
      <c r="C28" s="1253">
        <f>+'OT18-044 MORATO'!J32</f>
        <v>0</v>
      </c>
      <c r="D28" s="1253"/>
      <c r="E28" s="267">
        <f>+'OT18-044 MORATO'!K32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0"/>
  <dimension ref="A1:O39"/>
  <sheetViews>
    <sheetView topLeftCell="A21" zoomScale="90" zoomScaleNormal="90" workbookViewId="0">
      <selection activeCell="C37" sqref="C37"/>
    </sheetView>
  </sheetViews>
  <sheetFormatPr baseColWidth="10" defaultRowHeight="14.4" x14ac:dyDescent="0.3"/>
  <cols>
    <col min="2" max="2" width="20.33203125" customWidth="1"/>
    <col min="3" max="4" width="25.44140625" customWidth="1"/>
    <col min="7" max="7" width="15" customWidth="1"/>
    <col min="8" max="8" width="34.88671875" customWidth="1"/>
  </cols>
  <sheetData>
    <row r="1" spans="1:15" x14ac:dyDescent="0.3">
      <c r="A1" s="169"/>
      <c r="B1" s="188"/>
      <c r="C1" s="1307" t="s">
        <v>40</v>
      </c>
      <c r="D1" s="1308"/>
      <c r="E1" s="1308"/>
      <c r="F1" s="1308"/>
      <c r="G1" s="1308"/>
      <c r="H1" s="1308"/>
      <c r="I1" s="1308"/>
      <c r="J1" s="1308"/>
      <c r="K1" s="1532" t="s">
        <v>2460</v>
      </c>
      <c r="L1" s="1532"/>
      <c r="M1" s="1532"/>
      <c r="N1" s="1532"/>
    </row>
    <row r="2" spans="1:15" ht="15" thickBot="1" x14ac:dyDescent="0.35">
      <c r="A2" s="170"/>
      <c r="B2" s="190"/>
      <c r="C2" s="1310"/>
      <c r="D2" s="1311"/>
      <c r="E2" s="1311"/>
      <c r="F2" s="1311"/>
      <c r="G2" s="1311"/>
      <c r="H2" s="1311"/>
      <c r="I2" s="1311"/>
      <c r="J2" s="1311"/>
      <c r="K2" s="1459" t="s">
        <v>41</v>
      </c>
      <c r="L2" s="1459"/>
      <c r="M2" s="1459"/>
      <c r="N2" s="1459"/>
    </row>
    <row r="3" spans="1:15" x14ac:dyDescent="0.3">
      <c r="A3" s="1292" t="s">
        <v>42</v>
      </c>
      <c r="B3" s="1292"/>
      <c r="C3" s="1292"/>
      <c r="D3" s="1292"/>
      <c r="E3" s="1292"/>
      <c r="F3" s="1292"/>
      <c r="G3" s="1292"/>
      <c r="H3" s="1292"/>
      <c r="I3" s="1292"/>
      <c r="J3" s="1292"/>
      <c r="K3" s="1292"/>
      <c r="L3" s="1292"/>
      <c r="M3" s="1292"/>
      <c r="N3" s="831"/>
    </row>
    <row r="4" spans="1:15" x14ac:dyDescent="0.3">
      <c r="A4" s="1292" t="s">
        <v>43</v>
      </c>
      <c r="B4" s="1292"/>
      <c r="C4" s="1292"/>
      <c r="D4" s="1292"/>
      <c r="E4" s="1292"/>
      <c r="F4" s="1292"/>
      <c r="G4" s="1292"/>
      <c r="H4" s="1292"/>
      <c r="I4" s="1292"/>
      <c r="J4" s="1292"/>
      <c r="K4" s="1292"/>
      <c r="L4" s="1292"/>
      <c r="M4" s="1292"/>
      <c r="N4" s="831"/>
    </row>
    <row r="5" spans="1:15" x14ac:dyDescent="0.3">
      <c r="A5" s="1292" t="s">
        <v>44</v>
      </c>
      <c r="B5" s="1292"/>
      <c r="C5" s="1292"/>
      <c r="D5" s="1292"/>
      <c r="E5" s="1292"/>
      <c r="F5" s="1292"/>
      <c r="G5" s="1292"/>
      <c r="H5" s="1292"/>
      <c r="I5" s="1292"/>
      <c r="J5" s="1292"/>
      <c r="K5" s="1292"/>
      <c r="L5" s="1292"/>
      <c r="M5" s="1292"/>
      <c r="N5" s="831"/>
    </row>
    <row r="6" spans="1:15" x14ac:dyDescent="0.3">
      <c r="A6" s="1292" t="s">
        <v>45</v>
      </c>
      <c r="B6" s="1292"/>
      <c r="C6" s="1292"/>
      <c r="D6" s="1292"/>
      <c r="E6" s="1292"/>
      <c r="F6" s="1292"/>
      <c r="G6" s="1292"/>
      <c r="H6" s="1292"/>
      <c r="I6" s="1292"/>
      <c r="J6" s="1292"/>
      <c r="K6" s="1292"/>
      <c r="L6" s="1292"/>
      <c r="M6" s="1292"/>
      <c r="N6" s="831"/>
    </row>
    <row r="7" spans="1:15" x14ac:dyDescent="0.3">
      <c r="A7" s="1291" t="s">
        <v>2461</v>
      </c>
      <c r="B7" s="1292"/>
      <c r="C7" s="1292"/>
      <c r="D7" s="1292"/>
      <c r="E7" s="1292"/>
      <c r="F7" s="1292"/>
      <c r="G7" s="1292"/>
      <c r="H7" s="1292"/>
      <c r="I7" s="1292"/>
      <c r="J7" s="1292"/>
      <c r="K7" s="1292"/>
      <c r="L7" s="1292"/>
      <c r="M7" s="1292"/>
      <c r="N7" s="831"/>
    </row>
    <row r="8" spans="1:15" x14ac:dyDescent="0.3">
      <c r="A8" s="1292" t="s">
        <v>2312</v>
      </c>
      <c r="B8" s="1292"/>
      <c r="C8" s="1292"/>
      <c r="D8" s="1292"/>
      <c r="E8" s="1292"/>
      <c r="F8" s="1292"/>
      <c r="G8" s="1292"/>
      <c r="H8" s="1292"/>
      <c r="I8" s="1292"/>
      <c r="J8" s="1292"/>
      <c r="K8" s="1292"/>
      <c r="L8" s="1292"/>
      <c r="M8" s="1292"/>
      <c r="N8" s="831"/>
    </row>
    <row r="9" spans="1:15" x14ac:dyDescent="0.3">
      <c r="A9" s="1292" t="s">
        <v>2305</v>
      </c>
      <c r="B9" s="1292"/>
      <c r="C9" s="1292"/>
      <c r="D9" s="1292"/>
      <c r="E9" s="1292"/>
      <c r="F9" s="1292"/>
      <c r="G9" s="1292"/>
      <c r="H9" s="1292"/>
      <c r="I9" s="1292"/>
      <c r="J9" s="1292"/>
      <c r="K9" s="1292"/>
      <c r="L9" s="1292"/>
      <c r="M9" s="1292"/>
      <c r="N9" s="831"/>
    </row>
    <row r="10" spans="1:15" x14ac:dyDescent="0.3">
      <c r="A10" s="1292" t="s">
        <v>2464</v>
      </c>
      <c r="B10" s="1292"/>
      <c r="C10" s="1292"/>
      <c r="D10" s="1292"/>
      <c r="E10" s="1292"/>
      <c r="F10" s="1292"/>
      <c r="G10" s="1292"/>
      <c r="H10" s="1292"/>
      <c r="I10" s="1292"/>
      <c r="J10" s="1292"/>
      <c r="K10" s="1292"/>
      <c r="L10" s="1292"/>
      <c r="M10" s="1292"/>
      <c r="N10" s="831"/>
    </row>
    <row r="11" spans="1:15" x14ac:dyDescent="0.3">
      <c r="A11" s="1051"/>
      <c r="B11" s="1301"/>
      <c r="C11" s="1313"/>
      <c r="D11" s="1313"/>
      <c r="E11" s="1313"/>
      <c r="F11" s="1313"/>
      <c r="G11" s="1054"/>
      <c r="H11" s="831"/>
      <c r="I11" s="1470" t="s">
        <v>2313</v>
      </c>
      <c r="J11" s="1471"/>
      <c r="K11" s="1472"/>
      <c r="L11" s="1299" t="s">
        <v>49</v>
      </c>
      <c r="M11" s="1299"/>
      <c r="N11" s="1299"/>
    </row>
    <row r="12" spans="1:15" x14ac:dyDescent="0.3">
      <c r="A12" s="171"/>
      <c r="B12" s="1301"/>
      <c r="C12" s="1302"/>
      <c r="D12" s="1302"/>
      <c r="E12" s="1302"/>
      <c r="F12" s="1302"/>
      <c r="G12" s="831"/>
      <c r="H12" s="831"/>
      <c r="I12" s="1523"/>
      <c r="J12" s="1524"/>
      <c r="K12" s="1525"/>
      <c r="L12" s="1300"/>
      <c r="M12" s="1300"/>
      <c r="N12" s="1300"/>
    </row>
    <row r="13" spans="1:15"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c r="O13" s="1054"/>
    </row>
    <row r="14" spans="1:15" ht="43.2" x14ac:dyDescent="0.3">
      <c r="A14" s="1514" t="s">
        <v>1907</v>
      </c>
      <c r="B14" s="1510" t="s">
        <v>869</v>
      </c>
      <c r="C14" s="1062" t="s">
        <v>83</v>
      </c>
      <c r="D14" s="1062" t="s">
        <v>870</v>
      </c>
      <c r="E14" s="1062">
        <v>1</v>
      </c>
      <c r="F14" s="646">
        <v>1171131</v>
      </c>
      <c r="G14" s="646">
        <f>ROUND((E14*F14),0)</f>
        <v>1171131</v>
      </c>
      <c r="H14" s="1514" t="s">
        <v>2447</v>
      </c>
      <c r="I14" s="799">
        <v>0</v>
      </c>
      <c r="J14" s="1132">
        <f>ROUND(I14*F14,0)</f>
        <v>0</v>
      </c>
      <c r="K14" s="1133">
        <f>J14/G14</f>
        <v>0</v>
      </c>
      <c r="L14" s="1134">
        <f t="shared" ref="L14:M22" si="0">I14</f>
        <v>0</v>
      </c>
      <c r="M14" s="1124">
        <f t="shared" si="0"/>
        <v>0</v>
      </c>
      <c r="N14" s="1133">
        <f t="shared" ref="N14:N22" si="1">M14/G14</f>
        <v>0</v>
      </c>
      <c r="O14" s="1054"/>
    </row>
    <row r="15" spans="1:15" ht="43.2" x14ac:dyDescent="0.3">
      <c r="A15" s="1510"/>
      <c r="B15" s="1510"/>
      <c r="C15" s="1062" t="s">
        <v>61</v>
      </c>
      <c r="D15" s="1062" t="s">
        <v>871</v>
      </c>
      <c r="E15" s="1062">
        <v>1</v>
      </c>
      <c r="F15" s="646">
        <v>2818036</v>
      </c>
      <c r="G15" s="646">
        <f>ROUND((E15*F15),0)</f>
        <v>2818036</v>
      </c>
      <c r="H15" s="1510"/>
      <c r="I15" s="799">
        <v>0</v>
      </c>
      <c r="J15" s="1132">
        <f>ROUND(I15*F15,0)</f>
        <v>0</v>
      </c>
      <c r="K15" s="1133">
        <f>J15/G15</f>
        <v>0</v>
      </c>
      <c r="L15" s="1134">
        <f t="shared" si="0"/>
        <v>0</v>
      </c>
      <c r="M15" s="1124">
        <f t="shared" si="0"/>
        <v>0</v>
      </c>
      <c r="N15" s="1133">
        <f t="shared" si="1"/>
        <v>0</v>
      </c>
      <c r="O15" s="1054"/>
    </row>
    <row r="16" spans="1:15" x14ac:dyDescent="0.3">
      <c r="A16" s="1510"/>
      <c r="B16" s="1510"/>
      <c r="C16" s="647"/>
      <c r="D16" s="647" t="s">
        <v>872</v>
      </c>
      <c r="E16" s="648"/>
      <c r="F16" s="648"/>
      <c r="G16" s="649">
        <f>SUM(G14:G15)</f>
        <v>3989167</v>
      </c>
      <c r="H16" s="1510"/>
      <c r="I16" s="1108"/>
      <c r="J16" s="1146">
        <f>SUM(J14:J15)</f>
        <v>0</v>
      </c>
      <c r="K16" s="1136">
        <f t="shared" ref="K16" si="2">J16/G16</f>
        <v>0</v>
      </c>
      <c r="L16" s="1137"/>
      <c r="M16" s="1138">
        <f t="shared" si="0"/>
        <v>0</v>
      </c>
      <c r="N16" s="1136">
        <f t="shared" si="1"/>
        <v>0</v>
      </c>
      <c r="O16" s="1054"/>
    </row>
    <row r="17" spans="1:15" ht="43.2" x14ac:dyDescent="0.3">
      <c r="A17" s="1514" t="s">
        <v>2448</v>
      </c>
      <c r="B17" s="1510" t="s">
        <v>869</v>
      </c>
      <c r="C17" s="1062" t="s">
        <v>83</v>
      </c>
      <c r="D17" s="1062" t="s">
        <v>870</v>
      </c>
      <c r="E17" s="1062">
        <v>1</v>
      </c>
      <c r="F17" s="646">
        <v>1171131</v>
      </c>
      <c r="G17" s="646">
        <f>ROUND((E17*F17),0)</f>
        <v>1171131</v>
      </c>
      <c r="H17" s="1514" t="s">
        <v>2449</v>
      </c>
      <c r="I17" s="799">
        <v>0</v>
      </c>
      <c r="J17" s="1132">
        <f>ROUND(I17*F17,0)</f>
        <v>0</v>
      </c>
      <c r="K17" s="1133">
        <f>J17/G17</f>
        <v>0</v>
      </c>
      <c r="L17" s="1134">
        <f t="shared" ref="L17:L18" si="3">I17</f>
        <v>0</v>
      </c>
      <c r="M17" s="1124">
        <f t="shared" si="0"/>
        <v>0</v>
      </c>
      <c r="N17" s="1133">
        <f t="shared" si="1"/>
        <v>0</v>
      </c>
      <c r="O17" s="1054"/>
    </row>
    <row r="18" spans="1:15" ht="43.2" x14ac:dyDescent="0.3">
      <c r="A18" s="1510"/>
      <c r="B18" s="1510"/>
      <c r="C18" s="1062" t="s">
        <v>61</v>
      </c>
      <c r="D18" s="1062" t="s">
        <v>871</v>
      </c>
      <c r="E18" s="1062">
        <v>1</v>
      </c>
      <c r="F18" s="646">
        <v>2818036</v>
      </c>
      <c r="G18" s="646">
        <f>ROUND((E18*F18),0)</f>
        <v>2818036</v>
      </c>
      <c r="H18" s="1510"/>
      <c r="I18" s="799">
        <v>0</v>
      </c>
      <c r="J18" s="1132">
        <f>ROUND(I18*F18,0)</f>
        <v>0</v>
      </c>
      <c r="K18" s="1133">
        <f>J18/G18</f>
        <v>0</v>
      </c>
      <c r="L18" s="1134">
        <f t="shared" si="3"/>
        <v>0</v>
      </c>
      <c r="M18" s="1124">
        <f t="shared" si="0"/>
        <v>0</v>
      </c>
      <c r="N18" s="1133">
        <f t="shared" si="1"/>
        <v>0</v>
      </c>
      <c r="O18" s="1054"/>
    </row>
    <row r="19" spans="1:15" x14ac:dyDescent="0.3">
      <c r="A19" s="1510"/>
      <c r="B19" s="1510"/>
      <c r="C19" s="647"/>
      <c r="D19" s="647" t="s">
        <v>872</v>
      </c>
      <c r="E19" s="648"/>
      <c r="F19" s="648"/>
      <c r="G19" s="649">
        <f>SUM(G17:G18)</f>
        <v>3989167</v>
      </c>
      <c r="H19" s="1510"/>
      <c r="I19" s="1108"/>
      <c r="J19" s="1146">
        <f>SUM(J17:J18)</f>
        <v>0</v>
      </c>
      <c r="K19" s="1136">
        <f t="shared" ref="K19" si="4">J19/G19</f>
        <v>0</v>
      </c>
      <c r="L19" s="1137"/>
      <c r="M19" s="1138">
        <f t="shared" si="0"/>
        <v>0</v>
      </c>
      <c r="N19" s="1136">
        <f t="shared" si="1"/>
        <v>0</v>
      </c>
      <c r="O19" s="1054"/>
    </row>
    <row r="20" spans="1:15" ht="43.2" x14ac:dyDescent="0.3">
      <c r="A20" s="1514" t="s">
        <v>1651</v>
      </c>
      <c r="B20" s="1510" t="s">
        <v>869</v>
      </c>
      <c r="C20" s="1062" t="s">
        <v>83</v>
      </c>
      <c r="D20" s="1062" t="s">
        <v>870</v>
      </c>
      <c r="E20" s="1062">
        <v>1</v>
      </c>
      <c r="F20" s="646">
        <v>1171131</v>
      </c>
      <c r="G20" s="646">
        <f>ROUND((E20*F20),0)</f>
        <v>1171131</v>
      </c>
      <c r="H20" s="1514" t="s">
        <v>2450</v>
      </c>
      <c r="I20" s="799">
        <v>0</v>
      </c>
      <c r="J20" s="1132">
        <f>ROUND(I20*F20,0)</f>
        <v>0</v>
      </c>
      <c r="K20" s="1133">
        <f>J20/G20</f>
        <v>0</v>
      </c>
      <c r="L20" s="1134">
        <f t="shared" ref="L20:L21" si="5">I20</f>
        <v>0</v>
      </c>
      <c r="M20" s="1124">
        <f t="shared" si="0"/>
        <v>0</v>
      </c>
      <c r="N20" s="1133">
        <f t="shared" si="1"/>
        <v>0</v>
      </c>
      <c r="O20" s="1054"/>
    </row>
    <row r="21" spans="1:15" ht="43.2" x14ac:dyDescent="0.3">
      <c r="A21" s="1510"/>
      <c r="B21" s="1510"/>
      <c r="C21" s="1062" t="s">
        <v>61</v>
      </c>
      <c r="D21" s="1062" t="s">
        <v>871</v>
      </c>
      <c r="E21" s="1062">
        <v>1</v>
      </c>
      <c r="F21" s="646">
        <v>2818036</v>
      </c>
      <c r="G21" s="646">
        <f>ROUND((E21*F21),0)</f>
        <v>2818036</v>
      </c>
      <c r="H21" s="1510"/>
      <c r="I21" s="799">
        <v>0</v>
      </c>
      <c r="J21" s="1132">
        <f>ROUND(I21*F21,0)</f>
        <v>0</v>
      </c>
      <c r="K21" s="1133">
        <f>J21/G21</f>
        <v>0</v>
      </c>
      <c r="L21" s="1134">
        <f t="shared" si="5"/>
        <v>0</v>
      </c>
      <c r="M21" s="1124">
        <f t="shared" si="0"/>
        <v>0</v>
      </c>
      <c r="N21" s="1133">
        <f t="shared" si="1"/>
        <v>0</v>
      </c>
      <c r="O21" s="1054"/>
    </row>
    <row r="22" spans="1:15" x14ac:dyDescent="0.3">
      <c r="A22" s="1510"/>
      <c r="B22" s="1510"/>
      <c r="C22" s="647"/>
      <c r="D22" s="647" t="s">
        <v>872</v>
      </c>
      <c r="E22" s="648"/>
      <c r="F22" s="648"/>
      <c r="G22" s="649">
        <f>SUM(G20:G21)</f>
        <v>3989167</v>
      </c>
      <c r="H22" s="1510"/>
      <c r="I22" s="1108"/>
      <c r="J22" s="1146">
        <f>SUM(J20:J21)</f>
        <v>0</v>
      </c>
      <c r="K22" s="1136">
        <f t="shared" ref="K22" si="6">J22/G22</f>
        <v>0</v>
      </c>
      <c r="L22" s="1137"/>
      <c r="M22" s="1138">
        <f t="shared" si="0"/>
        <v>0</v>
      </c>
      <c r="N22" s="1136">
        <f t="shared" si="1"/>
        <v>0</v>
      </c>
      <c r="O22" s="1054"/>
    </row>
    <row r="23" spans="1:15" x14ac:dyDescent="0.3">
      <c r="F23" s="836" t="s">
        <v>1740</v>
      </c>
      <c r="G23" s="650">
        <f>SUM(G14:G22)/2</f>
        <v>11967501</v>
      </c>
      <c r="I23" s="547" t="s">
        <v>64</v>
      </c>
      <c r="J23" s="855">
        <f>SUM(J14:J22)/2</f>
        <v>0</v>
      </c>
      <c r="K23" s="1054"/>
      <c r="L23" s="547" t="s">
        <v>64</v>
      </c>
      <c r="M23" s="835">
        <f>SUM(M14:M22)/2</f>
        <v>0</v>
      </c>
      <c r="N23" s="1054"/>
      <c r="O23" s="1054"/>
    </row>
    <row r="24" spans="1:15" ht="26.4" x14ac:dyDescent="0.3">
      <c r="F24" s="1118" t="s">
        <v>65</v>
      </c>
      <c r="G24" s="1115">
        <v>0</v>
      </c>
      <c r="I24" s="548" t="s">
        <v>65</v>
      </c>
      <c r="J24" s="677">
        <v>0</v>
      </c>
      <c r="K24" s="1054"/>
      <c r="L24" s="548" t="s">
        <v>65</v>
      </c>
      <c r="M24" s="677">
        <v>0</v>
      </c>
      <c r="N24" s="1054"/>
      <c r="O24" s="1054"/>
    </row>
    <row r="25" spans="1:15" x14ac:dyDescent="0.3">
      <c r="F25" s="1119" t="s">
        <v>64</v>
      </c>
      <c r="G25" s="1151">
        <f>G23+G24</f>
        <v>11967501</v>
      </c>
      <c r="I25" s="549" t="s">
        <v>64</v>
      </c>
      <c r="J25" s="481">
        <f>J23+J24</f>
        <v>0</v>
      </c>
      <c r="K25" s="1054"/>
      <c r="L25" s="549" t="s">
        <v>64</v>
      </c>
      <c r="M25" s="481">
        <f>M23+M24</f>
        <v>0</v>
      </c>
      <c r="N25" s="1054"/>
      <c r="O25" s="1054"/>
    </row>
    <row r="26" spans="1:15" ht="26.4" x14ac:dyDescent="0.3">
      <c r="F26" s="501" t="s">
        <v>1439</v>
      </c>
      <c r="G26" s="1116">
        <f>ROUND(G25*0.015,0)</f>
        <v>179513</v>
      </c>
      <c r="I26" s="501" t="s">
        <v>1439</v>
      </c>
      <c r="J26" s="481">
        <f>ROUND(J25*0.015,0)</f>
        <v>0</v>
      </c>
      <c r="K26" s="1054"/>
      <c r="L26" s="501" t="s">
        <v>1439</v>
      </c>
      <c r="M26" s="481">
        <f>ROUND(M25*0.015,0)</f>
        <v>0</v>
      </c>
      <c r="N26" s="1054"/>
      <c r="O26" s="1054"/>
    </row>
    <row r="27" spans="1:15" ht="39.6" x14ac:dyDescent="0.3">
      <c r="F27" s="96" t="s">
        <v>1440</v>
      </c>
      <c r="G27" s="1117">
        <f>G25+G26</f>
        <v>12147014</v>
      </c>
      <c r="I27" s="96" t="s">
        <v>1440</v>
      </c>
      <c r="J27" s="783">
        <f>J25+J26</f>
        <v>0</v>
      </c>
      <c r="K27" s="856">
        <f>J27/G23</f>
        <v>0</v>
      </c>
      <c r="L27" s="96" t="s">
        <v>1440</v>
      </c>
      <c r="M27" s="425">
        <f>M25+M26</f>
        <v>0</v>
      </c>
      <c r="N27" s="857">
        <f>M27/G23</f>
        <v>0</v>
      </c>
      <c r="O27" s="1054"/>
    </row>
    <row r="28" spans="1:15" x14ac:dyDescent="0.3">
      <c r="F28" s="1122" t="s">
        <v>66</v>
      </c>
      <c r="G28" s="783">
        <f>G27*0.19</f>
        <v>2307932.66</v>
      </c>
      <c r="I28" s="551" t="s">
        <v>66</v>
      </c>
      <c r="J28" s="672">
        <f>J27*0.19</f>
        <v>0</v>
      </c>
      <c r="K28" s="1054"/>
      <c r="L28" s="551" t="s">
        <v>66</v>
      </c>
      <c r="M28" s="672">
        <f>M27*0.19</f>
        <v>0</v>
      </c>
      <c r="N28" s="1054"/>
      <c r="O28" s="1054"/>
    </row>
    <row r="29" spans="1:15" x14ac:dyDescent="0.3">
      <c r="F29" s="1123" t="s">
        <v>69</v>
      </c>
      <c r="G29" s="672">
        <f>G27+G28</f>
        <v>14454946.66</v>
      </c>
      <c r="I29" s="552" t="s">
        <v>69</v>
      </c>
      <c r="J29" s="672">
        <f>J27+J28</f>
        <v>0</v>
      </c>
      <c r="K29" s="1054"/>
      <c r="L29" s="552" t="s">
        <v>69</v>
      </c>
      <c r="M29" s="672">
        <f>M27+M28</f>
        <v>0</v>
      </c>
      <c r="N29" s="1054"/>
      <c r="O29" s="1054"/>
    </row>
    <row r="30" spans="1:15" x14ac:dyDescent="0.3">
      <c r="I30" s="1054"/>
      <c r="J30" s="1054"/>
      <c r="K30" s="1054"/>
      <c r="L30" s="1054"/>
      <c r="M30" s="1054"/>
      <c r="N30" s="1054"/>
      <c r="O30" s="1054"/>
    </row>
    <row r="31" spans="1:15" ht="26.4" x14ac:dyDescent="0.3">
      <c r="I31" s="186" t="s">
        <v>70</v>
      </c>
      <c r="J31" s="187" t="s">
        <v>71</v>
      </c>
      <c r="K31" s="186" t="s">
        <v>58</v>
      </c>
      <c r="L31" s="1054"/>
      <c r="M31" s="1054"/>
      <c r="N31" s="1054"/>
      <c r="O31" s="1054"/>
    </row>
    <row r="32" spans="1:15" x14ac:dyDescent="0.3">
      <c r="I32" s="69" t="s">
        <v>72</v>
      </c>
      <c r="J32" s="70">
        <f>J27</f>
        <v>0</v>
      </c>
      <c r="K32" s="360">
        <f>K27</f>
        <v>0</v>
      </c>
      <c r="L32" s="1054"/>
      <c r="M32" s="1054"/>
      <c r="N32" s="1054"/>
      <c r="O32" s="1054"/>
    </row>
    <row r="33" spans="9:15" x14ac:dyDescent="0.3">
      <c r="I33" s="72" t="s">
        <v>1</v>
      </c>
      <c r="J33" s="105">
        <f>J32</f>
        <v>0</v>
      </c>
      <c r="K33" s="361">
        <f>K32</f>
        <v>0</v>
      </c>
      <c r="L33" s="1054"/>
      <c r="M33" s="1054"/>
      <c r="N33" s="1054"/>
      <c r="O33" s="1054"/>
    </row>
    <row r="34" spans="9:15" x14ac:dyDescent="0.3">
      <c r="I34" s="72" t="s">
        <v>9</v>
      </c>
      <c r="J34" s="1423"/>
      <c r="K34" s="1424"/>
      <c r="L34" s="1054"/>
      <c r="M34" s="1054"/>
      <c r="N34" s="1054"/>
      <c r="O34" s="1054"/>
    </row>
    <row r="35" spans="9:15" x14ac:dyDescent="0.3">
      <c r="I35" s="440" t="s">
        <v>78</v>
      </c>
      <c r="J35" s="1423" t="s">
        <v>2455</v>
      </c>
      <c r="K35" s="1424"/>
      <c r="L35" s="1054"/>
      <c r="M35" s="1054"/>
      <c r="N35" s="1054"/>
      <c r="O35" s="1054"/>
    </row>
    <row r="36" spans="9:15" x14ac:dyDescent="0.3">
      <c r="I36" s="439" t="s">
        <v>8</v>
      </c>
      <c r="J36" s="1425" t="s">
        <v>2456</v>
      </c>
      <c r="K36" s="1426"/>
      <c r="L36" s="1054"/>
      <c r="M36" s="1054"/>
      <c r="N36" s="1054"/>
      <c r="O36" s="1054"/>
    </row>
    <row r="37" spans="9:15" x14ac:dyDescent="0.3">
      <c r="I37" s="1054"/>
      <c r="J37" s="1054"/>
      <c r="K37" s="1054"/>
      <c r="L37" s="1054"/>
      <c r="M37" s="1054"/>
      <c r="N37" s="1054"/>
      <c r="O37" s="1054"/>
    </row>
    <row r="38" spans="9:15" x14ac:dyDescent="0.3">
      <c r="I38" s="1054"/>
      <c r="J38" s="1054"/>
      <c r="K38" s="1054"/>
      <c r="L38" s="1054"/>
      <c r="M38" s="1054"/>
      <c r="N38" s="1054"/>
      <c r="O38" s="1054"/>
    </row>
    <row r="39" spans="9:15" x14ac:dyDescent="0.3">
      <c r="I39" s="1054"/>
      <c r="J39" s="1054"/>
      <c r="K39" s="1054"/>
      <c r="L39" s="1054"/>
      <c r="M39" s="1054"/>
      <c r="N39" s="1054"/>
      <c r="O39" s="1054"/>
    </row>
  </sheetData>
  <mergeCells count="2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6:K36"/>
    <mergeCell ref="A14:A16"/>
    <mergeCell ref="B14:B16"/>
    <mergeCell ref="H14:H16"/>
    <mergeCell ref="A17:A19"/>
    <mergeCell ref="B17:B19"/>
    <mergeCell ref="H17:H19"/>
    <mergeCell ref="A20:A22"/>
    <mergeCell ref="B20:B22"/>
    <mergeCell ref="H20:H22"/>
    <mergeCell ref="J34:K34"/>
    <mergeCell ref="J35:K35"/>
  </mergeCells>
  <pageMargins left="0.7" right="0.7" top="0.75" bottom="0.75" header="0.3" footer="0.3"/>
  <drawing r:id="rId1"/>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1"/>
  <dimension ref="A1:G49"/>
  <sheetViews>
    <sheetView topLeftCell="A13"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RESUMEN!G181</f>
        <v>Proyecto:CDIM_CBSGSM_R0206.</v>
      </c>
      <c r="C5" s="1281"/>
      <c r="D5" s="1281"/>
      <c r="E5" s="1281"/>
      <c r="F5" s="1281"/>
      <c r="G5" s="1282"/>
    </row>
    <row r="6" spans="1:7" x14ac:dyDescent="0.25">
      <c r="A6" s="1177"/>
      <c r="B6" s="1177"/>
      <c r="C6" s="1177"/>
      <c r="D6" s="1177"/>
      <c r="E6" s="1177"/>
      <c r="F6" s="1177"/>
      <c r="G6" s="1177"/>
    </row>
    <row r="7" spans="1:7" x14ac:dyDescent="0.25">
      <c r="A7" s="271" t="s">
        <v>0</v>
      </c>
      <c r="B7" s="1264" t="str">
        <f>RESUMEN!B181</f>
        <v>D00249556</v>
      </c>
      <c r="C7" s="1265"/>
      <c r="D7" s="1177"/>
      <c r="E7" s="1266" t="s">
        <v>627</v>
      </c>
      <c r="F7" s="1267"/>
      <c r="G7" s="280" t="str">
        <f>RESUMEN!E181</f>
        <v xml:space="preserve">18-045 </v>
      </c>
    </row>
    <row r="8" spans="1:7" x14ac:dyDescent="0.25">
      <c r="A8" s="271" t="s">
        <v>628</v>
      </c>
      <c r="B8" s="1264" t="str">
        <f>RESUMEN!C181</f>
        <v>D00249556000</v>
      </c>
      <c r="C8" s="1265"/>
      <c r="D8" s="1177"/>
      <c r="E8" s="1266" t="s">
        <v>629</v>
      </c>
      <c r="F8" s="1267"/>
      <c r="G8" s="280" t="str">
        <f>RESUMEN!U181</f>
        <v>Acta N° 1: Marzo</v>
      </c>
    </row>
    <row r="9" spans="1:7" x14ac:dyDescent="0.25">
      <c r="A9" s="271" t="s">
        <v>630</v>
      </c>
      <c r="B9" s="1283" t="s">
        <v>631</v>
      </c>
      <c r="C9" s="1265"/>
      <c r="D9" s="1177"/>
      <c r="E9" s="1266" t="s">
        <v>632</v>
      </c>
      <c r="F9" s="1267"/>
      <c r="G9" s="1178">
        <f>RESUMEN!H181</f>
        <v>57872187</v>
      </c>
    </row>
    <row r="10" spans="1:7" x14ac:dyDescent="0.25">
      <c r="A10" s="271" t="s">
        <v>633</v>
      </c>
      <c r="B10" s="1283" t="str">
        <f>RESUMEN!D181</f>
        <v>VERAGUAS</v>
      </c>
      <c r="C10" s="1265"/>
      <c r="D10" s="1177"/>
      <c r="E10" s="1266" t="s">
        <v>634</v>
      </c>
      <c r="F10" s="1267"/>
      <c r="G10" s="1178">
        <f>RESUMEN!R181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Proyecto:CDIM_CBSGSM_R0206.</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RESUMEN!N181</f>
        <v>0</v>
      </c>
      <c r="F19" s="1248"/>
      <c r="G19" s="1177"/>
    </row>
    <row r="20" spans="1:7" ht="27" customHeight="1" x14ac:dyDescent="0.25">
      <c r="A20" s="1177"/>
      <c r="B20" s="1244" t="s">
        <v>1498</v>
      </c>
      <c r="C20" s="1245"/>
      <c r="D20" s="1246"/>
      <c r="E20" s="1247">
        <f>RESUMEN!P181</f>
        <v>0</v>
      </c>
      <c r="F20" s="1248"/>
      <c r="G20" s="1177"/>
    </row>
    <row r="21" spans="1:7" ht="27" customHeight="1" x14ac:dyDescent="0.25">
      <c r="A21" s="1177"/>
      <c r="B21" s="1244" t="s">
        <v>1499</v>
      </c>
      <c r="C21" s="1245"/>
      <c r="D21" s="1246"/>
      <c r="E21" s="1247">
        <f>RESUMEN!Q181</f>
        <v>0</v>
      </c>
      <c r="F21" s="1248"/>
      <c r="G21" s="1177"/>
    </row>
    <row r="22" spans="1:7" x14ac:dyDescent="0.25">
      <c r="A22" s="1177"/>
      <c r="B22" s="1254" t="s">
        <v>64</v>
      </c>
      <c r="C22" s="1254"/>
      <c r="D22" s="1254"/>
      <c r="E22" s="1255">
        <f>RESUMEN!R181</f>
        <v>0</v>
      </c>
      <c r="F22" s="1255"/>
      <c r="G22" s="1177"/>
    </row>
    <row r="23" spans="1:7" x14ac:dyDescent="0.25">
      <c r="A23" s="1177"/>
      <c r="B23" s="1256" t="s">
        <v>66</v>
      </c>
      <c r="C23" s="1256"/>
      <c r="D23" s="1256"/>
      <c r="E23" s="1257">
        <f>RESUMEN!S181</f>
        <v>0</v>
      </c>
      <c r="F23" s="1257"/>
      <c r="G23" s="1177"/>
    </row>
    <row r="24" spans="1:7" x14ac:dyDescent="0.25">
      <c r="A24" s="1177"/>
      <c r="B24" s="1258" t="s">
        <v>1</v>
      </c>
      <c r="C24" s="1258"/>
      <c r="D24" s="1258"/>
      <c r="E24" s="1259">
        <f>RESUMEN!T181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+'OT18-045 VERAGUAS'!I41</f>
        <v>ACTA 1</v>
      </c>
      <c r="C28" s="1253">
        <f>+'OT18-045 VERAGUAS'!J41</f>
        <v>0</v>
      </c>
      <c r="D28" s="1253"/>
      <c r="E28" s="267">
        <f>+'OT18-045 VERAGUAS'!K41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2"/>
  <dimension ref="A1:N48"/>
  <sheetViews>
    <sheetView topLeftCell="A29" workbookViewId="0">
      <selection activeCell="G50" sqref="G50"/>
    </sheetView>
  </sheetViews>
  <sheetFormatPr baseColWidth="10" defaultRowHeight="14.4" x14ac:dyDescent="0.3"/>
  <cols>
    <col min="2" max="2" width="21.6640625" customWidth="1"/>
    <col min="3" max="4" width="22.21875" customWidth="1"/>
    <col min="6" max="7" width="14.6640625" customWidth="1"/>
    <col min="8" max="8" width="28.5546875" customWidth="1"/>
  </cols>
  <sheetData>
    <row r="1" spans="1:14" x14ac:dyDescent="0.3">
      <c r="A1" s="169"/>
      <c r="B1" s="188"/>
      <c r="C1" s="1307" t="s">
        <v>40</v>
      </c>
      <c r="D1" s="1308"/>
      <c r="E1" s="1308"/>
      <c r="F1" s="1308"/>
      <c r="G1" s="1308"/>
      <c r="H1" s="1308"/>
      <c r="I1" s="1308"/>
      <c r="J1" s="1308"/>
      <c r="K1" s="1532" t="s">
        <v>2466</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2467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2465</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x14ac:dyDescent="0.3">
      <c r="A13" s="1147" t="s">
        <v>50</v>
      </c>
      <c r="B13" s="1147" t="s">
        <v>51</v>
      </c>
      <c r="C13" s="1147" t="s">
        <v>52</v>
      </c>
      <c r="D13" s="1172" t="s">
        <v>164</v>
      </c>
      <c r="E13" s="1148" t="s">
        <v>54</v>
      </c>
      <c r="F13" s="1148" t="s">
        <v>2007</v>
      </c>
      <c r="G13" s="1148" t="s">
        <v>56</v>
      </c>
      <c r="H13" s="1147" t="s">
        <v>57</v>
      </c>
      <c r="I13" s="502" t="s">
        <v>54</v>
      </c>
      <c r="J13" s="502" t="s">
        <v>56</v>
      </c>
      <c r="K13" s="502" t="s">
        <v>58</v>
      </c>
      <c r="L13" s="502" t="s">
        <v>54</v>
      </c>
      <c r="M13" s="502" t="s">
        <v>56</v>
      </c>
      <c r="N13" s="502" t="s">
        <v>58</v>
      </c>
    </row>
    <row r="14" spans="1:14" ht="57.6" customHeight="1" x14ac:dyDescent="0.3">
      <c r="A14" s="1552" t="s">
        <v>1326</v>
      </c>
      <c r="B14" s="1514" t="s">
        <v>2468</v>
      </c>
      <c r="C14" s="1167" t="s">
        <v>59</v>
      </c>
      <c r="D14" s="967" t="s">
        <v>829</v>
      </c>
      <c r="E14" s="967">
        <v>0.7</v>
      </c>
      <c r="F14" s="1168">
        <v>3220612</v>
      </c>
      <c r="G14" s="1169">
        <f>ROUND((E14*F14),0)</f>
        <v>2254428</v>
      </c>
      <c r="H14" s="1555" t="s">
        <v>2469</v>
      </c>
      <c r="I14" s="799">
        <v>0</v>
      </c>
      <c r="J14" s="1132">
        <f>ROUND(I14*F14,0)</f>
        <v>0</v>
      </c>
      <c r="K14" s="1133">
        <f>J14/G14</f>
        <v>0</v>
      </c>
      <c r="L14" s="1134">
        <f t="shared" ref="L14:M16" si="0">I14</f>
        <v>0</v>
      </c>
      <c r="M14" s="1124">
        <f t="shared" si="0"/>
        <v>0</v>
      </c>
      <c r="N14" s="1133">
        <f t="shared" ref="N14:N15" si="1">M14/G14</f>
        <v>0</v>
      </c>
    </row>
    <row r="15" spans="1:14" ht="43.2" x14ac:dyDescent="0.3">
      <c r="A15" s="1553"/>
      <c r="B15" s="1554"/>
      <c r="C15" s="1167" t="s">
        <v>61</v>
      </c>
      <c r="D15" s="967" t="s">
        <v>830</v>
      </c>
      <c r="E15" s="967">
        <v>0.7</v>
      </c>
      <c r="F15" s="1168">
        <v>5013906</v>
      </c>
      <c r="G15" s="1169">
        <f>ROUND((E15*F15),0)</f>
        <v>3509734</v>
      </c>
      <c r="H15" s="1553"/>
      <c r="I15" s="799">
        <v>0</v>
      </c>
      <c r="J15" s="1132">
        <f>ROUND(I15*F15,0)</f>
        <v>0</v>
      </c>
      <c r="K15" s="1133">
        <f>J15/G15</f>
        <v>0</v>
      </c>
      <c r="L15" s="1134">
        <f t="shared" si="0"/>
        <v>0</v>
      </c>
      <c r="M15" s="1124">
        <f t="shared" si="0"/>
        <v>0</v>
      </c>
      <c r="N15" s="1133">
        <f t="shared" si="1"/>
        <v>0</v>
      </c>
    </row>
    <row r="16" spans="1:14" x14ac:dyDescent="0.3">
      <c r="A16" s="1553"/>
      <c r="B16" s="1554"/>
      <c r="C16" s="1556" t="s">
        <v>2470</v>
      </c>
      <c r="D16" s="1556"/>
      <c r="E16" s="1556"/>
      <c r="F16" s="1557">
        <f>SUM(G14:G15)</f>
        <v>5764162</v>
      </c>
      <c r="G16" s="1559"/>
      <c r="H16" s="1559"/>
      <c r="I16" s="1108"/>
      <c r="J16" s="1146">
        <f>SUM(J14:J15)</f>
        <v>0</v>
      </c>
      <c r="K16" s="1175">
        <f>J16/F16</f>
        <v>0</v>
      </c>
      <c r="L16" s="1137"/>
      <c r="M16" s="1138">
        <f t="shared" si="0"/>
        <v>0</v>
      </c>
      <c r="N16" s="1136">
        <f>M16/F16</f>
        <v>0</v>
      </c>
    </row>
    <row r="17" spans="1:14" ht="57.6" x14ac:dyDescent="0.3">
      <c r="A17" s="1552" t="s">
        <v>1326</v>
      </c>
      <c r="B17" s="1514" t="s">
        <v>2471</v>
      </c>
      <c r="C17" s="1167" t="s">
        <v>59</v>
      </c>
      <c r="D17" s="967" t="s">
        <v>60</v>
      </c>
      <c r="E17" s="967">
        <v>0.7</v>
      </c>
      <c r="F17" s="1168">
        <v>14016979</v>
      </c>
      <c r="G17" s="1169">
        <f>ROUND((E17*F17),0)</f>
        <v>9811885</v>
      </c>
      <c r="H17" s="1555" t="s">
        <v>2472</v>
      </c>
      <c r="I17" s="799">
        <v>0</v>
      </c>
      <c r="J17" s="1132">
        <f>ROUND(I17*F17,0)</f>
        <v>0</v>
      </c>
      <c r="K17" s="1133">
        <f>J17/G17</f>
        <v>0</v>
      </c>
      <c r="L17" s="1134">
        <f t="shared" ref="L17:L18" si="2">I17</f>
        <v>0</v>
      </c>
      <c r="M17" s="1124">
        <f t="shared" ref="M17:M31" si="3">J17</f>
        <v>0</v>
      </c>
      <c r="N17" s="1133">
        <f t="shared" ref="N17:N18" si="4">M17/G17</f>
        <v>0</v>
      </c>
    </row>
    <row r="18" spans="1:14" ht="43.2" x14ac:dyDescent="0.3">
      <c r="A18" s="1553"/>
      <c r="B18" s="1554"/>
      <c r="C18" s="1167" t="s">
        <v>61</v>
      </c>
      <c r="D18" s="967" t="s">
        <v>62</v>
      </c>
      <c r="E18" s="967">
        <v>0.7</v>
      </c>
      <c r="F18" s="1168">
        <v>5306689</v>
      </c>
      <c r="G18" s="1169">
        <f>ROUND((E18*F18),0)</f>
        <v>3714682</v>
      </c>
      <c r="H18" s="1553"/>
      <c r="I18" s="799">
        <v>0</v>
      </c>
      <c r="J18" s="1132">
        <f>ROUND(I18*F18,0)</f>
        <v>0</v>
      </c>
      <c r="K18" s="1133">
        <f>J18/G18</f>
        <v>0</v>
      </c>
      <c r="L18" s="1134">
        <f t="shared" si="2"/>
        <v>0</v>
      </c>
      <c r="M18" s="1124">
        <f t="shared" si="3"/>
        <v>0</v>
      </c>
      <c r="N18" s="1133">
        <f t="shared" si="4"/>
        <v>0</v>
      </c>
    </row>
    <row r="19" spans="1:14" x14ac:dyDescent="0.3">
      <c r="A19" s="1553"/>
      <c r="B19" s="1554"/>
      <c r="C19" s="1556" t="s">
        <v>2473</v>
      </c>
      <c r="D19" s="1556"/>
      <c r="E19" s="1556"/>
      <c r="F19" s="1557">
        <f>SUM(G17:G18)</f>
        <v>13526567</v>
      </c>
      <c r="G19" s="1559"/>
      <c r="H19" s="1559"/>
      <c r="I19" s="1108"/>
      <c r="J19" s="1146">
        <f>SUM(J17:J18)</f>
        <v>0</v>
      </c>
      <c r="K19" s="1175">
        <f>J19/F19</f>
        <v>0</v>
      </c>
      <c r="L19" s="1137"/>
      <c r="M19" s="1138">
        <f t="shared" si="3"/>
        <v>0</v>
      </c>
      <c r="N19" s="1136">
        <f>M19/F19</f>
        <v>0</v>
      </c>
    </row>
    <row r="20" spans="1:14" ht="57.6" x14ac:dyDescent="0.3">
      <c r="A20" s="1552" t="s">
        <v>765</v>
      </c>
      <c r="B20" s="1514" t="s">
        <v>2474</v>
      </c>
      <c r="C20" s="1167" t="s">
        <v>59</v>
      </c>
      <c r="D20" s="967" t="s">
        <v>829</v>
      </c>
      <c r="E20" s="967">
        <v>0.7</v>
      </c>
      <c r="F20" s="1168">
        <v>3220612</v>
      </c>
      <c r="G20" s="1169">
        <f>ROUND((E20*F20),0)</f>
        <v>2254428</v>
      </c>
      <c r="H20" s="1555" t="s">
        <v>2475</v>
      </c>
      <c r="I20" s="799">
        <v>0</v>
      </c>
      <c r="J20" s="1132">
        <f>ROUND(I20*F20,0)</f>
        <v>0</v>
      </c>
      <c r="K20" s="1133">
        <f>J20/G20</f>
        <v>0</v>
      </c>
      <c r="L20" s="1134">
        <f t="shared" ref="L20:L21" si="5">I20</f>
        <v>0</v>
      </c>
      <c r="M20" s="1124">
        <f t="shared" si="3"/>
        <v>0</v>
      </c>
      <c r="N20" s="1133">
        <f t="shared" ref="N20:N21" si="6">M20/G20</f>
        <v>0</v>
      </c>
    </row>
    <row r="21" spans="1:14" ht="43.2" x14ac:dyDescent="0.3">
      <c r="A21" s="1553"/>
      <c r="B21" s="1554"/>
      <c r="C21" s="1167" t="s">
        <v>61</v>
      </c>
      <c r="D21" s="967" t="s">
        <v>830</v>
      </c>
      <c r="E21" s="967">
        <v>0.7</v>
      </c>
      <c r="F21" s="1168">
        <v>5013906</v>
      </c>
      <c r="G21" s="1169">
        <f>ROUND((E21*F21),0)</f>
        <v>3509734</v>
      </c>
      <c r="H21" s="1553"/>
      <c r="I21" s="799">
        <v>0</v>
      </c>
      <c r="J21" s="1132">
        <f>ROUND(I21*F21,0)</f>
        <v>0</v>
      </c>
      <c r="K21" s="1133">
        <f>J21/G21</f>
        <v>0</v>
      </c>
      <c r="L21" s="1134">
        <f t="shared" si="5"/>
        <v>0</v>
      </c>
      <c r="M21" s="1124">
        <f t="shared" si="3"/>
        <v>0</v>
      </c>
      <c r="N21" s="1133">
        <f t="shared" si="6"/>
        <v>0</v>
      </c>
    </row>
    <row r="22" spans="1:14" x14ac:dyDescent="0.3">
      <c r="A22" s="1553"/>
      <c r="B22" s="1554"/>
      <c r="C22" s="1556" t="s">
        <v>2470</v>
      </c>
      <c r="D22" s="1556"/>
      <c r="E22" s="1556"/>
      <c r="F22" s="1557">
        <f>SUM(G20:G21)</f>
        <v>5764162</v>
      </c>
      <c r="G22" s="1559"/>
      <c r="H22" s="1559"/>
      <c r="I22" s="1108"/>
      <c r="J22" s="1146">
        <f>SUM(J20:J21)</f>
        <v>0</v>
      </c>
      <c r="K22" s="1175">
        <f>J22/F22</f>
        <v>0</v>
      </c>
      <c r="L22" s="1137"/>
      <c r="M22" s="1138">
        <f t="shared" si="3"/>
        <v>0</v>
      </c>
      <c r="N22" s="1136">
        <f>M22/F22</f>
        <v>0</v>
      </c>
    </row>
    <row r="23" spans="1:14" ht="57.6" x14ac:dyDescent="0.3">
      <c r="A23" s="1552" t="s">
        <v>765</v>
      </c>
      <c r="B23" s="1514" t="s">
        <v>2476</v>
      </c>
      <c r="C23" s="1167" t="s">
        <v>59</v>
      </c>
      <c r="D23" s="967" t="s">
        <v>60</v>
      </c>
      <c r="E23" s="967">
        <v>0.7</v>
      </c>
      <c r="F23" s="1168">
        <v>14016979</v>
      </c>
      <c r="G23" s="1169">
        <f>ROUND((E23*F23),0)</f>
        <v>9811885</v>
      </c>
      <c r="H23" s="1555" t="s">
        <v>2477</v>
      </c>
      <c r="I23" s="799">
        <v>0</v>
      </c>
      <c r="J23" s="1132">
        <f>ROUND(I23*F23,0)</f>
        <v>0</v>
      </c>
      <c r="K23" s="1133">
        <f>J23/G23</f>
        <v>0</v>
      </c>
      <c r="L23" s="1134">
        <f t="shared" ref="L23:L24" si="7">I23</f>
        <v>0</v>
      </c>
      <c r="M23" s="1124">
        <f t="shared" si="3"/>
        <v>0</v>
      </c>
      <c r="N23" s="1133">
        <f>M23/G23</f>
        <v>0</v>
      </c>
    </row>
    <row r="24" spans="1:14" ht="43.8" customHeight="1" x14ac:dyDescent="0.3">
      <c r="A24" s="1553"/>
      <c r="B24" s="1554"/>
      <c r="C24" s="1167" t="s">
        <v>61</v>
      </c>
      <c r="D24" s="967" t="s">
        <v>62</v>
      </c>
      <c r="E24" s="967">
        <v>0.7</v>
      </c>
      <c r="F24" s="1168">
        <v>5306689</v>
      </c>
      <c r="G24" s="1169">
        <f>ROUND((E24*F24),0)</f>
        <v>3714682</v>
      </c>
      <c r="H24" s="1553"/>
      <c r="I24" s="799">
        <v>0</v>
      </c>
      <c r="J24" s="1132">
        <f>ROUND(I24*F24,0)</f>
        <v>0</v>
      </c>
      <c r="K24" s="1133">
        <f>J24/G24</f>
        <v>0</v>
      </c>
      <c r="L24" s="1134">
        <f t="shared" si="7"/>
        <v>0</v>
      </c>
      <c r="M24" s="1124">
        <f t="shared" si="3"/>
        <v>0</v>
      </c>
      <c r="N24" s="1133">
        <f t="shared" ref="N24" si="8">M24/G24</f>
        <v>0</v>
      </c>
    </row>
    <row r="25" spans="1:14" x14ac:dyDescent="0.3">
      <c r="A25" s="1553"/>
      <c r="B25" s="1554"/>
      <c r="C25" s="1556" t="s">
        <v>2473</v>
      </c>
      <c r="D25" s="1556"/>
      <c r="E25" s="1556"/>
      <c r="F25" s="1557">
        <f>SUM(G23:G24)</f>
        <v>13526567</v>
      </c>
      <c r="G25" s="1559"/>
      <c r="H25" s="1559"/>
      <c r="I25" s="1108"/>
      <c r="J25" s="1146">
        <f>SUM(J23:J24)</f>
        <v>0</v>
      </c>
      <c r="K25" s="1175">
        <f>J25/F25</f>
        <v>0</v>
      </c>
      <c r="L25" s="1137"/>
      <c r="M25" s="1138">
        <f t="shared" si="3"/>
        <v>0</v>
      </c>
      <c r="N25" s="1136">
        <f>M25/F25</f>
        <v>0</v>
      </c>
    </row>
    <row r="26" spans="1:14" ht="57.6" x14ac:dyDescent="0.3">
      <c r="A26" s="1552" t="s">
        <v>1593</v>
      </c>
      <c r="B26" s="1514" t="s">
        <v>2468</v>
      </c>
      <c r="C26" s="1167" t="s">
        <v>59</v>
      </c>
      <c r="D26" s="967" t="s">
        <v>829</v>
      </c>
      <c r="E26" s="967">
        <v>0.7</v>
      </c>
      <c r="F26" s="1168">
        <v>3220612</v>
      </c>
      <c r="G26" s="1169">
        <f>ROUND((E26*F26),0)</f>
        <v>2254428</v>
      </c>
      <c r="H26" s="1555" t="s">
        <v>2478</v>
      </c>
      <c r="I26" s="799">
        <v>0</v>
      </c>
      <c r="J26" s="1132">
        <f>ROUND(I26*F26,0)</f>
        <v>0</v>
      </c>
      <c r="K26" s="1133">
        <f>J26/G26</f>
        <v>0</v>
      </c>
      <c r="L26" s="1134">
        <f t="shared" ref="L26:L27" si="9">I26</f>
        <v>0</v>
      </c>
      <c r="M26" s="1124">
        <f t="shared" si="3"/>
        <v>0</v>
      </c>
      <c r="N26" s="1133">
        <f t="shared" ref="N26:N27" si="10">M26/G26</f>
        <v>0</v>
      </c>
    </row>
    <row r="27" spans="1:14" ht="43.2" x14ac:dyDescent="0.3">
      <c r="A27" s="1553"/>
      <c r="B27" s="1554"/>
      <c r="C27" s="1167" t="s">
        <v>61</v>
      </c>
      <c r="D27" s="967" t="s">
        <v>830</v>
      </c>
      <c r="E27" s="967">
        <v>0.7</v>
      </c>
      <c r="F27" s="1168">
        <v>5013906</v>
      </c>
      <c r="G27" s="1169">
        <f>ROUND((E27*F27),0)</f>
        <v>3509734</v>
      </c>
      <c r="H27" s="1553"/>
      <c r="I27" s="799">
        <v>0</v>
      </c>
      <c r="J27" s="1132">
        <f>ROUND(I27*F27,0)</f>
        <v>0</v>
      </c>
      <c r="K27" s="1133">
        <f>J27/G27</f>
        <v>0</v>
      </c>
      <c r="L27" s="1134">
        <f t="shared" si="9"/>
        <v>0</v>
      </c>
      <c r="M27" s="1124">
        <f t="shared" si="3"/>
        <v>0</v>
      </c>
      <c r="N27" s="1133">
        <f t="shared" si="10"/>
        <v>0</v>
      </c>
    </row>
    <row r="28" spans="1:14" x14ac:dyDescent="0.3">
      <c r="A28" s="1553"/>
      <c r="B28" s="1554"/>
      <c r="C28" s="1556" t="s">
        <v>2470</v>
      </c>
      <c r="D28" s="1556"/>
      <c r="E28" s="1556"/>
      <c r="F28" s="1557">
        <f>SUM(G26:G27)</f>
        <v>5764162</v>
      </c>
      <c r="G28" s="1559"/>
      <c r="H28" s="1559"/>
      <c r="I28" s="1108"/>
      <c r="J28" s="1146">
        <f>SUM(J26:J27)</f>
        <v>0</v>
      </c>
      <c r="K28" s="1175">
        <f>J28/F28</f>
        <v>0</v>
      </c>
      <c r="L28" s="1137"/>
      <c r="M28" s="1138">
        <f t="shared" si="3"/>
        <v>0</v>
      </c>
      <c r="N28" s="1136">
        <f>M28/F28</f>
        <v>0</v>
      </c>
    </row>
    <row r="29" spans="1:14" ht="57.6" x14ac:dyDescent="0.3">
      <c r="A29" s="1552" t="s">
        <v>1593</v>
      </c>
      <c r="B29" s="1514" t="s">
        <v>2476</v>
      </c>
      <c r="C29" s="1167" t="s">
        <v>59</v>
      </c>
      <c r="D29" s="967" t="s">
        <v>60</v>
      </c>
      <c r="E29" s="967">
        <v>0.7</v>
      </c>
      <c r="F29" s="1168">
        <v>14016979</v>
      </c>
      <c r="G29" s="1169">
        <f>ROUND((E29*F29),0)</f>
        <v>9811885</v>
      </c>
      <c r="H29" s="1555" t="s">
        <v>2479</v>
      </c>
      <c r="I29" s="799">
        <v>0</v>
      </c>
      <c r="J29" s="1132">
        <f>ROUND(I29*F29,0)</f>
        <v>0</v>
      </c>
      <c r="K29" s="1133">
        <f>J29/G29</f>
        <v>0</v>
      </c>
      <c r="L29" s="1134">
        <f t="shared" ref="L29:L30" si="11">I29</f>
        <v>0</v>
      </c>
      <c r="M29" s="1124">
        <f t="shared" si="3"/>
        <v>0</v>
      </c>
      <c r="N29" s="1133">
        <f t="shared" ref="N29:N30" si="12">M29/G29</f>
        <v>0</v>
      </c>
    </row>
    <row r="30" spans="1:14" ht="43.2" x14ac:dyDescent="0.3">
      <c r="A30" s="1553"/>
      <c r="B30" s="1554"/>
      <c r="C30" s="1167" t="s">
        <v>61</v>
      </c>
      <c r="D30" s="967" t="s">
        <v>62</v>
      </c>
      <c r="E30" s="967">
        <v>0.7</v>
      </c>
      <c r="F30" s="1168">
        <v>5306689</v>
      </c>
      <c r="G30" s="1169">
        <f>ROUND((E30*F30),0)</f>
        <v>3714682</v>
      </c>
      <c r="H30" s="1553"/>
      <c r="I30" s="799">
        <v>0</v>
      </c>
      <c r="J30" s="1132">
        <f>ROUND(I30*F30,0)</f>
        <v>0</v>
      </c>
      <c r="K30" s="1133">
        <f>J30/G30</f>
        <v>0</v>
      </c>
      <c r="L30" s="1134">
        <f t="shared" si="11"/>
        <v>0</v>
      </c>
      <c r="M30" s="1124">
        <f t="shared" si="3"/>
        <v>0</v>
      </c>
      <c r="N30" s="1133">
        <f t="shared" si="12"/>
        <v>0</v>
      </c>
    </row>
    <row r="31" spans="1:14" x14ac:dyDescent="0.3">
      <c r="A31" s="1553"/>
      <c r="B31" s="1554"/>
      <c r="C31" s="1556" t="s">
        <v>2473</v>
      </c>
      <c r="D31" s="1556"/>
      <c r="E31" s="1556"/>
      <c r="F31" s="1557">
        <f>SUM(G29:G30)</f>
        <v>13526567</v>
      </c>
      <c r="G31" s="1558"/>
      <c r="H31" s="1558"/>
      <c r="I31" s="1108"/>
      <c r="J31" s="1146">
        <f>SUM(J29:J30)</f>
        <v>0</v>
      </c>
      <c r="K31" s="1175">
        <f>J31/F31</f>
        <v>0</v>
      </c>
      <c r="L31" s="1137"/>
      <c r="M31" s="1138">
        <f t="shared" si="3"/>
        <v>0</v>
      </c>
      <c r="N31" s="1136">
        <f>M31/F31</f>
        <v>0</v>
      </c>
    </row>
    <row r="32" spans="1:14" x14ac:dyDescent="0.3">
      <c r="F32" s="836" t="s">
        <v>1740</v>
      </c>
      <c r="G32" s="650">
        <f>F16+F19+F22+F25+F28+F31</f>
        <v>57872187</v>
      </c>
      <c r="I32" s="547" t="s">
        <v>64</v>
      </c>
      <c r="J32" s="855">
        <f>SUM(J14:J31)/2</f>
        <v>0</v>
      </c>
      <c r="K32" s="1054"/>
      <c r="L32" s="547" t="s">
        <v>64</v>
      </c>
      <c r="M32" s="835">
        <f>SUM(M14:M31)/2</f>
        <v>0</v>
      </c>
      <c r="N32" s="1054"/>
    </row>
    <row r="33" spans="6:14" ht="26.4" x14ac:dyDescent="0.3">
      <c r="F33" s="1118" t="s">
        <v>65</v>
      </c>
      <c r="G33" s="1115">
        <v>0</v>
      </c>
      <c r="I33" s="548" t="s">
        <v>65</v>
      </c>
      <c r="J33" s="677">
        <v>0</v>
      </c>
      <c r="K33" s="1054"/>
      <c r="L33" s="548" t="s">
        <v>65</v>
      </c>
      <c r="M33" s="677">
        <v>0</v>
      </c>
      <c r="N33" s="1054"/>
    </row>
    <row r="34" spans="6:14" x14ac:dyDescent="0.3">
      <c r="F34" s="1119" t="s">
        <v>64</v>
      </c>
      <c r="G34" s="1151">
        <f>G32+G33</f>
        <v>57872187</v>
      </c>
      <c r="I34" s="549" t="s">
        <v>64</v>
      </c>
      <c r="J34" s="481">
        <f>J32+J33</f>
        <v>0</v>
      </c>
      <c r="K34" s="1054"/>
      <c r="L34" s="549" t="s">
        <v>64</v>
      </c>
      <c r="M34" s="481">
        <f>M32+M33</f>
        <v>0</v>
      </c>
      <c r="N34" s="1054"/>
    </row>
    <row r="35" spans="6:14" ht="26.4" x14ac:dyDescent="0.3">
      <c r="F35" s="501" t="s">
        <v>1439</v>
      </c>
      <c r="G35" s="1116">
        <f>ROUND(G34*0.015,0)</f>
        <v>868083</v>
      </c>
      <c r="I35" s="501" t="s">
        <v>1439</v>
      </c>
      <c r="J35" s="481">
        <f>ROUND(J34*0.015,0)</f>
        <v>0</v>
      </c>
      <c r="K35" s="1054"/>
      <c r="L35" s="501" t="s">
        <v>1439</v>
      </c>
      <c r="M35" s="481">
        <f>ROUND(M34*0.015,0)</f>
        <v>0</v>
      </c>
      <c r="N35" s="1054"/>
    </row>
    <row r="36" spans="6:14" ht="39.6" x14ac:dyDescent="0.3">
      <c r="F36" s="96" t="s">
        <v>1440</v>
      </c>
      <c r="G36" s="1117">
        <f>G34+G35</f>
        <v>58740270</v>
      </c>
      <c r="I36" s="96" t="s">
        <v>1440</v>
      </c>
      <c r="J36" s="783">
        <f>J34+J35</f>
        <v>0</v>
      </c>
      <c r="K36" s="856">
        <f>J36/G32</f>
        <v>0</v>
      </c>
      <c r="L36" s="96" t="s">
        <v>1440</v>
      </c>
      <c r="M36" s="425">
        <f>M34+M35</f>
        <v>0</v>
      </c>
      <c r="N36" s="857">
        <f>M36/G32</f>
        <v>0</v>
      </c>
    </row>
    <row r="37" spans="6:14" x14ac:dyDescent="0.3">
      <c r="F37" s="1122" t="s">
        <v>66</v>
      </c>
      <c r="G37" s="783">
        <f>G36*0.19</f>
        <v>11160651.300000001</v>
      </c>
      <c r="I37" s="551" t="s">
        <v>66</v>
      </c>
      <c r="J37" s="672">
        <f>J36*0.19</f>
        <v>0</v>
      </c>
      <c r="K37" s="1054"/>
      <c r="L37" s="551" t="s">
        <v>66</v>
      </c>
      <c r="M37" s="672">
        <f>M36*0.19</f>
        <v>0</v>
      </c>
      <c r="N37" s="1054"/>
    </row>
    <row r="38" spans="6:14" x14ac:dyDescent="0.3">
      <c r="F38" s="1123" t="s">
        <v>69</v>
      </c>
      <c r="G38" s="672">
        <f>G36+G37</f>
        <v>69900921.299999997</v>
      </c>
      <c r="I38" s="552" t="s">
        <v>69</v>
      </c>
      <c r="J38" s="672">
        <f>J36+J37</f>
        <v>0</v>
      </c>
      <c r="K38" s="1054"/>
      <c r="L38" s="552" t="s">
        <v>69</v>
      </c>
      <c r="M38" s="672">
        <f>M36+M37</f>
        <v>0</v>
      </c>
      <c r="N38" s="1054"/>
    </row>
    <row r="39" spans="6:14" x14ac:dyDescent="0.3">
      <c r="I39" s="1054"/>
      <c r="J39" s="1054"/>
      <c r="K39" s="1054"/>
      <c r="L39" s="1054"/>
      <c r="M39" s="1054"/>
      <c r="N39" s="1054"/>
    </row>
    <row r="40" spans="6:14" ht="26.4" x14ac:dyDescent="0.3">
      <c r="I40" s="186" t="s">
        <v>70</v>
      </c>
      <c r="J40" s="187" t="s">
        <v>71</v>
      </c>
      <c r="K40" s="186" t="s">
        <v>58</v>
      </c>
      <c r="L40" s="1054"/>
      <c r="M40" s="1054"/>
      <c r="N40" s="1054"/>
    </row>
    <row r="41" spans="6:14" x14ac:dyDescent="0.3">
      <c r="I41" s="69" t="s">
        <v>72</v>
      </c>
      <c r="J41" s="70">
        <f>J36</f>
        <v>0</v>
      </c>
      <c r="K41" s="360">
        <f>K36</f>
        <v>0</v>
      </c>
      <c r="L41" s="1054"/>
      <c r="M41" s="1054"/>
      <c r="N41" s="1054"/>
    </row>
    <row r="42" spans="6:14" x14ac:dyDescent="0.3">
      <c r="I42" s="72" t="s">
        <v>1</v>
      </c>
      <c r="J42" s="105">
        <f>J41</f>
        <v>0</v>
      </c>
      <c r="K42" s="361">
        <f>K41</f>
        <v>0</v>
      </c>
      <c r="L42" s="1054"/>
      <c r="M42" s="1054"/>
      <c r="N42" s="1054"/>
    </row>
    <row r="43" spans="6:14" x14ac:dyDescent="0.3">
      <c r="I43" s="72" t="s">
        <v>9</v>
      </c>
      <c r="J43" s="1423"/>
      <c r="K43" s="1424"/>
      <c r="L43" s="1054"/>
      <c r="M43" s="1054"/>
      <c r="N43" s="1054"/>
    </row>
    <row r="44" spans="6:14" x14ac:dyDescent="0.3">
      <c r="I44" s="440" t="s">
        <v>78</v>
      </c>
      <c r="J44" s="1423" t="s">
        <v>2489</v>
      </c>
      <c r="K44" s="1424"/>
      <c r="L44" s="1054"/>
      <c r="M44" s="1054"/>
      <c r="N44" s="1054"/>
    </row>
    <row r="45" spans="6:14" x14ac:dyDescent="0.3">
      <c r="I45" s="439" t="s">
        <v>8</v>
      </c>
      <c r="J45" s="1425" t="s">
        <v>2490</v>
      </c>
      <c r="K45" s="1426"/>
      <c r="L45" s="1054"/>
      <c r="M45" s="1054"/>
      <c r="N45" s="1054"/>
    </row>
    <row r="46" spans="6:14" x14ac:dyDescent="0.3">
      <c r="I46" s="1054"/>
      <c r="J46" s="1054"/>
      <c r="K46" s="1054"/>
      <c r="L46" s="1054"/>
      <c r="M46" s="1054"/>
      <c r="N46" s="1054"/>
    </row>
    <row r="47" spans="6:14" x14ac:dyDescent="0.3">
      <c r="I47" s="1054"/>
      <c r="J47" s="1054"/>
      <c r="K47" s="1054"/>
      <c r="L47" s="1054"/>
      <c r="M47" s="1054"/>
      <c r="N47" s="1054"/>
    </row>
    <row r="48" spans="6:14" x14ac:dyDescent="0.3">
      <c r="I48" s="1054"/>
      <c r="J48" s="1054"/>
      <c r="K48" s="1054"/>
      <c r="L48" s="1054"/>
      <c r="M48" s="1054"/>
      <c r="N48" s="1054"/>
    </row>
  </sheetData>
  <mergeCells count="48">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6"/>
    <mergeCell ref="B14:B16"/>
    <mergeCell ref="H14:H15"/>
    <mergeCell ref="C16:E16"/>
    <mergeCell ref="F16:H16"/>
    <mergeCell ref="A17:A19"/>
    <mergeCell ref="B17:B19"/>
    <mergeCell ref="H17:H18"/>
    <mergeCell ref="C19:E19"/>
    <mergeCell ref="F19:H19"/>
    <mergeCell ref="A20:A22"/>
    <mergeCell ref="B20:B22"/>
    <mergeCell ref="H20:H21"/>
    <mergeCell ref="C22:E22"/>
    <mergeCell ref="F22:H22"/>
    <mergeCell ref="A23:A25"/>
    <mergeCell ref="B23:B25"/>
    <mergeCell ref="H23:H24"/>
    <mergeCell ref="C25:E25"/>
    <mergeCell ref="F25:H25"/>
    <mergeCell ref="A26:A28"/>
    <mergeCell ref="B26:B28"/>
    <mergeCell ref="H26:H27"/>
    <mergeCell ref="C28:E28"/>
    <mergeCell ref="F28:H28"/>
    <mergeCell ref="J43:K43"/>
    <mergeCell ref="J44:K44"/>
    <mergeCell ref="J45:K45"/>
    <mergeCell ref="A29:A31"/>
    <mergeCell ref="B29:B31"/>
    <mergeCell ref="H29:H30"/>
    <mergeCell ref="C31:E31"/>
    <mergeCell ref="F31:H31"/>
  </mergeCells>
  <pageMargins left="0.7" right="0.7" top="0.75" bottom="0.75" header="0.3" footer="0.3"/>
  <drawing r:id="rId1"/>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3"/>
  <dimension ref="A1:G49"/>
  <sheetViews>
    <sheetView topLeftCell="A16" workbookViewId="0">
      <selection activeCell="H33" sqref="H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RESUMEN!G182</f>
        <v>Proyecto:CDIM_CBSGSM_R0204</v>
      </c>
      <c r="C5" s="1281"/>
      <c r="D5" s="1281"/>
      <c r="E5" s="1281"/>
      <c r="F5" s="1281"/>
      <c r="G5" s="1282"/>
    </row>
    <row r="6" spans="1:7" x14ac:dyDescent="0.25">
      <c r="A6" s="1177"/>
      <c r="B6" s="1177"/>
      <c r="C6" s="1177"/>
      <c r="D6" s="1177"/>
      <c r="E6" s="1177"/>
      <c r="F6" s="1177"/>
      <c r="G6" s="1177"/>
    </row>
    <row r="7" spans="1:7" x14ac:dyDescent="0.25">
      <c r="A7" s="271" t="s">
        <v>0</v>
      </c>
      <c r="B7" s="1264" t="str">
        <f>RESUMEN!B182</f>
        <v>D00249553</v>
      </c>
      <c r="C7" s="1265"/>
      <c r="D7" s="1177"/>
      <c r="E7" s="1266" t="s">
        <v>627</v>
      </c>
      <c r="F7" s="1267"/>
      <c r="G7" s="280" t="str">
        <f>RESUMEN!E182</f>
        <v>18-046</v>
      </c>
    </row>
    <row r="8" spans="1:7" x14ac:dyDescent="0.25">
      <c r="A8" s="271" t="s">
        <v>628</v>
      </c>
      <c r="B8" s="1264" t="str">
        <f>RESUMEN!C182</f>
        <v>D00249553000</v>
      </c>
      <c r="C8" s="1265"/>
      <c r="D8" s="1177"/>
      <c r="E8" s="1266" t="s">
        <v>629</v>
      </c>
      <c r="F8" s="1267"/>
      <c r="G8" s="280" t="str">
        <f>RESUMEN!U182</f>
        <v>Acta N° 1: Marzo</v>
      </c>
    </row>
    <row r="9" spans="1:7" x14ac:dyDescent="0.25">
      <c r="A9" s="271" t="s">
        <v>630</v>
      </c>
      <c r="B9" s="1283" t="s">
        <v>631</v>
      </c>
      <c r="C9" s="1265"/>
      <c r="D9" s="1177"/>
      <c r="E9" s="1266" t="s">
        <v>632</v>
      </c>
      <c r="F9" s="1267"/>
      <c r="G9" s="1178">
        <f>RESUMEN!H182</f>
        <v>57872187</v>
      </c>
    </row>
    <row r="10" spans="1:7" x14ac:dyDescent="0.25">
      <c r="A10" s="271" t="s">
        <v>633</v>
      </c>
      <c r="B10" s="1283" t="str">
        <f>RESUMEN!D182</f>
        <v xml:space="preserve"> BOLIVIA</v>
      </c>
      <c r="C10" s="1265"/>
      <c r="D10" s="1177"/>
      <c r="E10" s="1266" t="s">
        <v>634</v>
      </c>
      <c r="F10" s="1267"/>
      <c r="G10" s="1178">
        <f>RESUMEN!R182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Proyecto:CDIM_CBSGSM_R0204</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RESUMEN!N182</f>
        <v>0</v>
      </c>
      <c r="F19" s="1248"/>
      <c r="G19" s="1177"/>
    </row>
    <row r="20" spans="1:7" ht="27" customHeight="1" x14ac:dyDescent="0.25">
      <c r="A20" s="1177"/>
      <c r="B20" s="1244" t="s">
        <v>1498</v>
      </c>
      <c r="C20" s="1245"/>
      <c r="D20" s="1246"/>
      <c r="E20" s="1247">
        <f>RESUMEN!P182</f>
        <v>0</v>
      </c>
      <c r="F20" s="1248"/>
      <c r="G20" s="1177"/>
    </row>
    <row r="21" spans="1:7" ht="27" customHeight="1" x14ac:dyDescent="0.25">
      <c r="A21" s="1177"/>
      <c r="B21" s="1244" t="s">
        <v>1499</v>
      </c>
      <c r="C21" s="1245"/>
      <c r="D21" s="1246"/>
      <c r="E21" s="1247">
        <f>RESUMEN!Q182</f>
        <v>0</v>
      </c>
      <c r="F21" s="1248"/>
      <c r="G21" s="1177"/>
    </row>
    <row r="22" spans="1:7" x14ac:dyDescent="0.25">
      <c r="A22" s="1177"/>
      <c r="B22" s="1254" t="s">
        <v>64</v>
      </c>
      <c r="C22" s="1254"/>
      <c r="D22" s="1254"/>
      <c r="E22" s="1255">
        <f>RESUMEN!R182</f>
        <v>0</v>
      </c>
      <c r="F22" s="1255"/>
      <c r="G22" s="1177"/>
    </row>
    <row r="23" spans="1:7" x14ac:dyDescent="0.25">
      <c r="A23" s="1177"/>
      <c r="B23" s="1256" t="s">
        <v>66</v>
      </c>
      <c r="C23" s="1256"/>
      <c r="D23" s="1256"/>
      <c r="E23" s="1257">
        <f>RESUMEN!S182</f>
        <v>0</v>
      </c>
      <c r="F23" s="1257"/>
      <c r="G23" s="1177"/>
    </row>
    <row r="24" spans="1:7" x14ac:dyDescent="0.25">
      <c r="A24" s="1177"/>
      <c r="B24" s="1258" t="s">
        <v>1</v>
      </c>
      <c r="C24" s="1258"/>
      <c r="D24" s="1258"/>
      <c r="E24" s="1259">
        <f>RESUMEN!T182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+'OT18-046 BOLIVIA'!I41</f>
        <v>ACTA 1</v>
      </c>
      <c r="C28" s="1253">
        <f>+'OT18-046 BOLIVIA'!J41</f>
        <v>0</v>
      </c>
      <c r="D28" s="1253"/>
      <c r="E28" s="267">
        <f>+'OT18-046 BOLIVIA'!K41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4"/>
  <dimension ref="A1:N46"/>
  <sheetViews>
    <sheetView topLeftCell="D30" workbookViewId="0">
      <selection activeCell="I32" sqref="I32:N50"/>
    </sheetView>
  </sheetViews>
  <sheetFormatPr baseColWidth="10" defaultRowHeight="14.4" x14ac:dyDescent="0.3"/>
  <cols>
    <col min="3" max="4" width="23.109375" customWidth="1"/>
    <col min="6" max="7" width="18.88671875" customWidth="1"/>
    <col min="8" max="8" width="37.109375" customWidth="1"/>
  </cols>
  <sheetData>
    <row r="1" spans="1:14" x14ac:dyDescent="0.3">
      <c r="A1" s="169"/>
      <c r="B1" s="188"/>
      <c r="C1" s="1307" t="s">
        <v>40</v>
      </c>
      <c r="D1" s="1308"/>
      <c r="E1" s="1308"/>
      <c r="F1" s="1308"/>
      <c r="G1" s="1308"/>
      <c r="H1" s="1308"/>
      <c r="I1" s="1308"/>
      <c r="J1" s="1308"/>
      <c r="K1" s="1532" t="s">
        <v>2482</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2481</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2480</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x14ac:dyDescent="0.3">
      <c r="A13" s="1144" t="s">
        <v>50</v>
      </c>
      <c r="B13" s="1144" t="s">
        <v>51</v>
      </c>
      <c r="C13" s="1144" t="s">
        <v>52</v>
      </c>
      <c r="D13" s="1144" t="s">
        <v>164</v>
      </c>
      <c r="E13" s="1145" t="s">
        <v>54</v>
      </c>
      <c r="F13" s="1145" t="s">
        <v>2007</v>
      </c>
      <c r="G13" s="1145" t="s">
        <v>56</v>
      </c>
      <c r="H13" s="1144" t="s">
        <v>57</v>
      </c>
      <c r="I13" s="502" t="s">
        <v>54</v>
      </c>
      <c r="J13" s="502" t="s">
        <v>56</v>
      </c>
      <c r="K13" s="502" t="s">
        <v>58</v>
      </c>
      <c r="L13" s="502" t="s">
        <v>54</v>
      </c>
      <c r="M13" s="502" t="s">
        <v>56</v>
      </c>
      <c r="N13" s="502" t="s">
        <v>58</v>
      </c>
    </row>
    <row r="14" spans="1:14" ht="43.2" x14ac:dyDescent="0.3">
      <c r="A14" s="1552" t="s">
        <v>1326</v>
      </c>
      <c r="B14" s="1514" t="s">
        <v>2468</v>
      </c>
      <c r="C14" s="1167" t="s">
        <v>59</v>
      </c>
      <c r="D14" s="1054" t="s">
        <v>829</v>
      </c>
      <c r="E14" s="1054">
        <v>0.7</v>
      </c>
      <c r="F14" s="1168">
        <v>3220612</v>
      </c>
      <c r="G14" s="1169">
        <f>ROUND((E14*F14),0)</f>
        <v>2254428</v>
      </c>
      <c r="H14" s="1555" t="s">
        <v>2483</v>
      </c>
      <c r="I14" s="799">
        <v>0</v>
      </c>
      <c r="J14" s="1132">
        <f>ROUND(I14*F14,0)</f>
        <v>0</v>
      </c>
      <c r="K14" s="1133">
        <f>J14/G14</f>
        <v>0</v>
      </c>
      <c r="L14" s="1134">
        <f t="shared" ref="L14:M16" si="0">I14</f>
        <v>0</v>
      </c>
      <c r="M14" s="1124">
        <f t="shared" si="0"/>
        <v>0</v>
      </c>
      <c r="N14" s="1133">
        <f t="shared" ref="N14:N16" si="1">M14/G14</f>
        <v>0</v>
      </c>
    </row>
    <row r="15" spans="1:14" ht="43.2" x14ac:dyDescent="0.3">
      <c r="A15" s="1553"/>
      <c r="B15" s="1554"/>
      <c r="C15" s="1167" t="s">
        <v>61</v>
      </c>
      <c r="D15" s="1054" t="s">
        <v>830</v>
      </c>
      <c r="E15" s="1054">
        <v>0.7</v>
      </c>
      <c r="F15" s="1168">
        <v>5013906</v>
      </c>
      <c r="G15" s="1169">
        <f>ROUND((E15*F15),0)</f>
        <v>3509734</v>
      </c>
      <c r="H15" s="1553"/>
      <c r="I15" s="799">
        <v>0</v>
      </c>
      <c r="J15" s="1132">
        <f>ROUND(I15*F15,0)</f>
        <v>0</v>
      </c>
      <c r="K15" s="1133">
        <f>J15/G15</f>
        <v>0</v>
      </c>
      <c r="L15" s="1134">
        <f t="shared" si="0"/>
        <v>0</v>
      </c>
      <c r="M15" s="1124">
        <f t="shared" si="0"/>
        <v>0</v>
      </c>
      <c r="N15" s="1133">
        <f t="shared" si="1"/>
        <v>0</v>
      </c>
    </row>
    <row r="16" spans="1:14" x14ac:dyDescent="0.3">
      <c r="A16" s="1553"/>
      <c r="B16" s="1554"/>
      <c r="C16" s="1556" t="s">
        <v>2470</v>
      </c>
      <c r="D16" s="1556"/>
      <c r="E16" s="1176"/>
      <c r="F16" s="1174"/>
      <c r="G16" s="1173">
        <f>SUM(G14:G15)</f>
        <v>5764162</v>
      </c>
      <c r="H16" s="1170"/>
      <c r="I16" s="1108"/>
      <c r="J16" s="1146">
        <f>SUM(J14:J15)</f>
        <v>0</v>
      </c>
      <c r="K16" s="1136">
        <f t="shared" ref="K16" si="2">J16/G16</f>
        <v>0</v>
      </c>
      <c r="L16" s="1137"/>
      <c r="M16" s="1138">
        <f t="shared" si="0"/>
        <v>0</v>
      </c>
      <c r="N16" s="1136">
        <f t="shared" si="1"/>
        <v>0</v>
      </c>
    </row>
    <row r="17" spans="1:14" ht="43.2" x14ac:dyDescent="0.3">
      <c r="A17" s="1552" t="s">
        <v>1326</v>
      </c>
      <c r="B17" s="1514" t="s">
        <v>2471</v>
      </c>
      <c r="C17" s="1167" t="s">
        <v>59</v>
      </c>
      <c r="D17" s="1054" t="s">
        <v>60</v>
      </c>
      <c r="E17" s="1054">
        <v>0.7</v>
      </c>
      <c r="F17" s="1168">
        <v>14016979</v>
      </c>
      <c r="G17" s="1169">
        <f>ROUND((E17*F17),0)</f>
        <v>9811885</v>
      </c>
      <c r="H17" s="1555" t="s">
        <v>2484</v>
      </c>
      <c r="I17" s="799">
        <v>0</v>
      </c>
      <c r="J17" s="1132">
        <f>ROUND(I17*F17,0)</f>
        <v>0</v>
      </c>
      <c r="K17" s="1133">
        <f>J17/G17</f>
        <v>0</v>
      </c>
      <c r="L17" s="1134">
        <f t="shared" ref="L17:L18" si="3">I17</f>
        <v>0</v>
      </c>
      <c r="M17" s="1124">
        <f t="shared" ref="M17:M31" si="4">J17</f>
        <v>0</v>
      </c>
      <c r="N17" s="1133">
        <f t="shared" ref="N17:N31" si="5">M17/G17</f>
        <v>0</v>
      </c>
    </row>
    <row r="18" spans="1:14" ht="43.2" x14ac:dyDescent="0.3">
      <c r="A18" s="1553"/>
      <c r="B18" s="1554"/>
      <c r="C18" s="1167" t="s">
        <v>61</v>
      </c>
      <c r="D18" s="1054" t="s">
        <v>62</v>
      </c>
      <c r="E18" s="1054">
        <v>0.7</v>
      </c>
      <c r="F18" s="1168">
        <v>5306689</v>
      </c>
      <c r="G18" s="1169">
        <f>ROUND((E18*F18),0)</f>
        <v>3714682</v>
      </c>
      <c r="H18" s="1553"/>
      <c r="I18" s="799">
        <v>0</v>
      </c>
      <c r="J18" s="1132">
        <f>ROUND(I18*F18,0)</f>
        <v>0</v>
      </c>
      <c r="K18" s="1133">
        <f>J18/G18</f>
        <v>0</v>
      </c>
      <c r="L18" s="1134">
        <f t="shared" si="3"/>
        <v>0</v>
      </c>
      <c r="M18" s="1124">
        <f t="shared" si="4"/>
        <v>0</v>
      </c>
      <c r="N18" s="1133">
        <f t="shared" si="5"/>
        <v>0</v>
      </c>
    </row>
    <row r="19" spans="1:14" x14ac:dyDescent="0.3">
      <c r="A19" s="1553"/>
      <c r="B19" s="1554"/>
      <c r="C19" s="1556" t="s">
        <v>2473</v>
      </c>
      <c r="D19" s="1556"/>
      <c r="E19" s="1176"/>
      <c r="F19" s="1174"/>
      <c r="G19" s="1173">
        <f>SUM(G17:G18)</f>
        <v>13526567</v>
      </c>
      <c r="H19" s="1170"/>
      <c r="I19" s="1108"/>
      <c r="J19" s="1146">
        <f>SUM(J17:J18)</f>
        <v>0</v>
      </c>
      <c r="K19" s="1136">
        <f t="shared" ref="K19" si="6">J19/G19</f>
        <v>0</v>
      </c>
      <c r="L19" s="1137"/>
      <c r="M19" s="1138">
        <f t="shared" si="4"/>
        <v>0</v>
      </c>
      <c r="N19" s="1136">
        <f t="shared" si="5"/>
        <v>0</v>
      </c>
    </row>
    <row r="20" spans="1:14" ht="43.2" x14ac:dyDescent="0.3">
      <c r="A20" s="1552" t="s">
        <v>765</v>
      </c>
      <c r="B20" s="1514" t="s">
        <v>2474</v>
      </c>
      <c r="C20" s="1167" t="s">
        <v>59</v>
      </c>
      <c r="D20" s="1054" t="s">
        <v>829</v>
      </c>
      <c r="E20" s="1054">
        <v>0.7</v>
      </c>
      <c r="F20" s="1168">
        <v>3220612</v>
      </c>
      <c r="G20" s="1169">
        <f>ROUND((E20*F20),0)</f>
        <v>2254428</v>
      </c>
      <c r="H20" s="1552" t="s">
        <v>2485</v>
      </c>
      <c r="I20" s="799">
        <v>0</v>
      </c>
      <c r="J20" s="1132">
        <f>ROUND(I20*F20,0)</f>
        <v>0</v>
      </c>
      <c r="K20" s="1133">
        <f>J20/G20</f>
        <v>0</v>
      </c>
      <c r="L20" s="1134">
        <f t="shared" ref="L20:L21" si="7">I20</f>
        <v>0</v>
      </c>
      <c r="M20" s="1124">
        <f t="shared" si="4"/>
        <v>0</v>
      </c>
      <c r="N20" s="1133">
        <f t="shared" si="5"/>
        <v>0</v>
      </c>
    </row>
    <row r="21" spans="1:14" ht="43.2" x14ac:dyDescent="0.3">
      <c r="A21" s="1553"/>
      <c r="B21" s="1554"/>
      <c r="C21" s="1167" t="s">
        <v>61</v>
      </c>
      <c r="D21" s="1054" t="s">
        <v>830</v>
      </c>
      <c r="E21" s="1054">
        <v>0.7</v>
      </c>
      <c r="F21" s="1168">
        <v>5013906</v>
      </c>
      <c r="G21" s="1169">
        <f>ROUND((E21*F21),0)</f>
        <v>3509734</v>
      </c>
      <c r="H21" s="1553"/>
      <c r="I21" s="799">
        <v>0</v>
      </c>
      <c r="J21" s="1132">
        <f>ROUND(I21*F21,0)</f>
        <v>0</v>
      </c>
      <c r="K21" s="1133">
        <f>J21/G21</f>
        <v>0</v>
      </c>
      <c r="L21" s="1134">
        <f t="shared" si="7"/>
        <v>0</v>
      </c>
      <c r="M21" s="1124">
        <f t="shared" si="4"/>
        <v>0</v>
      </c>
      <c r="N21" s="1133">
        <f t="shared" si="5"/>
        <v>0</v>
      </c>
    </row>
    <row r="22" spans="1:14" x14ac:dyDescent="0.3">
      <c r="A22" s="1553"/>
      <c r="B22" s="1554"/>
      <c r="C22" s="1556" t="s">
        <v>2470</v>
      </c>
      <c r="D22" s="1556"/>
      <c r="E22" s="1176"/>
      <c r="F22" s="1174"/>
      <c r="G22" s="1173">
        <f>SUM(G20:G21)</f>
        <v>5764162</v>
      </c>
      <c r="H22" s="1170"/>
      <c r="I22" s="1108"/>
      <c r="J22" s="1146">
        <f>SUM(J20:J21)</f>
        <v>0</v>
      </c>
      <c r="K22" s="1136">
        <f t="shared" ref="K22" si="8">J22/G22</f>
        <v>0</v>
      </c>
      <c r="L22" s="1137"/>
      <c r="M22" s="1138">
        <f t="shared" si="4"/>
        <v>0</v>
      </c>
      <c r="N22" s="1136">
        <f t="shared" si="5"/>
        <v>0</v>
      </c>
    </row>
    <row r="23" spans="1:14" ht="43.2" x14ac:dyDescent="0.3">
      <c r="A23" s="1552" t="s">
        <v>765</v>
      </c>
      <c r="B23" s="1514" t="s">
        <v>2476</v>
      </c>
      <c r="C23" s="1167" t="s">
        <v>59</v>
      </c>
      <c r="D23" s="1054" t="s">
        <v>60</v>
      </c>
      <c r="E23" s="1054">
        <v>0.7</v>
      </c>
      <c r="F23" s="1168">
        <v>14016979</v>
      </c>
      <c r="G23" s="1169">
        <f>ROUND((E23*F23),0)</f>
        <v>9811885</v>
      </c>
      <c r="H23" s="1555" t="s">
        <v>2486</v>
      </c>
      <c r="I23" s="799">
        <v>0</v>
      </c>
      <c r="J23" s="1132">
        <f>ROUND(I23*F23,0)</f>
        <v>0</v>
      </c>
      <c r="K23" s="1133">
        <f>J23/G23</f>
        <v>0</v>
      </c>
      <c r="L23" s="1134">
        <f t="shared" ref="L23:L24" si="9">I23</f>
        <v>0</v>
      </c>
      <c r="M23" s="1124">
        <f t="shared" si="4"/>
        <v>0</v>
      </c>
      <c r="N23" s="1133">
        <f t="shared" si="5"/>
        <v>0</v>
      </c>
    </row>
    <row r="24" spans="1:14" ht="43.2" x14ac:dyDescent="0.3">
      <c r="A24" s="1553"/>
      <c r="B24" s="1554"/>
      <c r="C24" s="1167" t="s">
        <v>61</v>
      </c>
      <c r="D24" s="1054" t="s">
        <v>62</v>
      </c>
      <c r="E24" s="1054">
        <v>0.7</v>
      </c>
      <c r="F24" s="1168">
        <v>5306689</v>
      </c>
      <c r="G24" s="1169">
        <f>ROUND((E24*F24),0)</f>
        <v>3714682</v>
      </c>
      <c r="H24" s="1553"/>
      <c r="I24" s="799">
        <v>0</v>
      </c>
      <c r="J24" s="1132">
        <f>ROUND(I24*F24,0)</f>
        <v>0</v>
      </c>
      <c r="K24" s="1133">
        <f>J24/G24</f>
        <v>0</v>
      </c>
      <c r="L24" s="1134">
        <f t="shared" si="9"/>
        <v>0</v>
      </c>
      <c r="M24" s="1124">
        <f t="shared" si="4"/>
        <v>0</v>
      </c>
      <c r="N24" s="1133">
        <f t="shared" si="5"/>
        <v>0</v>
      </c>
    </row>
    <row r="25" spans="1:14" x14ac:dyDescent="0.3">
      <c r="A25" s="1553"/>
      <c r="B25" s="1554"/>
      <c r="C25" s="1556" t="s">
        <v>2473</v>
      </c>
      <c r="D25" s="1556"/>
      <c r="E25" s="1176"/>
      <c r="F25" s="1174"/>
      <c r="G25" s="1173">
        <f>SUM(G23:G24)</f>
        <v>13526567</v>
      </c>
      <c r="H25" s="1170"/>
      <c r="I25" s="1108"/>
      <c r="J25" s="1146">
        <f>SUM(J23:J24)</f>
        <v>0</v>
      </c>
      <c r="K25" s="1136">
        <f t="shared" ref="K25" si="10">J25/G25</f>
        <v>0</v>
      </c>
      <c r="L25" s="1137"/>
      <c r="M25" s="1138">
        <f t="shared" si="4"/>
        <v>0</v>
      </c>
      <c r="N25" s="1136">
        <f t="shared" si="5"/>
        <v>0</v>
      </c>
    </row>
    <row r="26" spans="1:14" ht="43.2" x14ac:dyDescent="0.3">
      <c r="A26" s="1552" t="s">
        <v>1593</v>
      </c>
      <c r="B26" s="1514" t="s">
        <v>2468</v>
      </c>
      <c r="C26" s="1167" t="s">
        <v>59</v>
      </c>
      <c r="D26" s="1054" t="s">
        <v>829</v>
      </c>
      <c r="E26" s="1054">
        <v>0.7</v>
      </c>
      <c r="F26" s="1168">
        <v>3220612</v>
      </c>
      <c r="G26" s="1169">
        <f>ROUND((E26*F26),0)</f>
        <v>2254428</v>
      </c>
      <c r="H26" s="1552" t="s">
        <v>2487</v>
      </c>
      <c r="I26" s="799">
        <v>0</v>
      </c>
      <c r="J26" s="1132">
        <f>ROUND(I26*F26,0)</f>
        <v>0</v>
      </c>
      <c r="K26" s="1133">
        <f>J26/G26</f>
        <v>0</v>
      </c>
      <c r="L26" s="1134">
        <f t="shared" ref="L26:L27" si="11">I26</f>
        <v>0</v>
      </c>
      <c r="M26" s="1124">
        <f t="shared" si="4"/>
        <v>0</v>
      </c>
      <c r="N26" s="1133">
        <f t="shared" si="5"/>
        <v>0</v>
      </c>
    </row>
    <row r="27" spans="1:14" ht="43.2" x14ac:dyDescent="0.3">
      <c r="A27" s="1553"/>
      <c r="B27" s="1554"/>
      <c r="C27" s="1167" t="s">
        <v>61</v>
      </c>
      <c r="D27" s="1054" t="s">
        <v>830</v>
      </c>
      <c r="E27" s="1054">
        <v>0.7</v>
      </c>
      <c r="F27" s="1168">
        <v>5013906</v>
      </c>
      <c r="G27" s="1169">
        <f>ROUND((E27*F27),0)</f>
        <v>3509734</v>
      </c>
      <c r="H27" s="1553"/>
      <c r="I27" s="799">
        <v>0</v>
      </c>
      <c r="J27" s="1132">
        <f>ROUND(I27*F27,0)</f>
        <v>0</v>
      </c>
      <c r="K27" s="1133">
        <f>J27/G27</f>
        <v>0</v>
      </c>
      <c r="L27" s="1134">
        <f t="shared" si="11"/>
        <v>0</v>
      </c>
      <c r="M27" s="1124">
        <f t="shared" si="4"/>
        <v>0</v>
      </c>
      <c r="N27" s="1133">
        <f t="shared" si="5"/>
        <v>0</v>
      </c>
    </row>
    <row r="28" spans="1:14" x14ac:dyDescent="0.3">
      <c r="A28" s="1553"/>
      <c r="B28" s="1554"/>
      <c r="C28" s="1556" t="s">
        <v>2470</v>
      </c>
      <c r="D28" s="1556"/>
      <c r="E28" s="1176"/>
      <c r="F28" s="1174"/>
      <c r="G28" s="1173">
        <f>SUM(G26:G27)</f>
        <v>5764162</v>
      </c>
      <c r="H28" s="1170"/>
      <c r="I28" s="1108"/>
      <c r="J28" s="1146">
        <f>SUM(J26:J27)</f>
        <v>0</v>
      </c>
      <c r="K28" s="1136">
        <f t="shared" ref="K28" si="12">J28/G28</f>
        <v>0</v>
      </c>
      <c r="L28" s="1137"/>
      <c r="M28" s="1138">
        <f t="shared" si="4"/>
        <v>0</v>
      </c>
      <c r="N28" s="1136">
        <f t="shared" si="5"/>
        <v>0</v>
      </c>
    </row>
    <row r="29" spans="1:14" ht="43.2" x14ac:dyDescent="0.3">
      <c r="A29" s="1552" t="s">
        <v>1593</v>
      </c>
      <c r="B29" s="1514" t="s">
        <v>2476</v>
      </c>
      <c r="C29" s="1167" t="s">
        <v>59</v>
      </c>
      <c r="D29" s="1054" t="s">
        <v>60</v>
      </c>
      <c r="E29" s="1054">
        <v>0.7</v>
      </c>
      <c r="F29" s="1168">
        <v>14016979</v>
      </c>
      <c r="G29" s="1169">
        <f>ROUND((E29*F29),0)</f>
        <v>9811885</v>
      </c>
      <c r="H29" s="1555" t="s">
        <v>2488</v>
      </c>
      <c r="I29" s="799">
        <v>0</v>
      </c>
      <c r="J29" s="1132">
        <f>ROUND(I29*F29,0)</f>
        <v>0</v>
      </c>
      <c r="K29" s="1133">
        <f>J29/G29</f>
        <v>0</v>
      </c>
      <c r="L29" s="1134">
        <f t="shared" ref="L29:L30" si="13">I29</f>
        <v>0</v>
      </c>
      <c r="M29" s="1124">
        <f t="shared" si="4"/>
        <v>0</v>
      </c>
      <c r="N29" s="1133">
        <f t="shared" si="5"/>
        <v>0</v>
      </c>
    </row>
    <row r="30" spans="1:14" ht="43.2" x14ac:dyDescent="0.3">
      <c r="A30" s="1553"/>
      <c r="B30" s="1554"/>
      <c r="C30" s="1167" t="s">
        <v>61</v>
      </c>
      <c r="D30" s="1054" t="s">
        <v>62</v>
      </c>
      <c r="E30" s="1054">
        <v>0.7</v>
      </c>
      <c r="F30" s="1168">
        <v>5306689</v>
      </c>
      <c r="G30" s="1169">
        <f>ROUND((E30*F30),0)</f>
        <v>3714682</v>
      </c>
      <c r="H30" s="1553"/>
      <c r="I30" s="799">
        <v>0</v>
      </c>
      <c r="J30" s="1132">
        <f>ROUND(I30*F30,0)</f>
        <v>0</v>
      </c>
      <c r="K30" s="1133">
        <f>J30/G30</f>
        <v>0</v>
      </c>
      <c r="L30" s="1134">
        <f t="shared" si="13"/>
        <v>0</v>
      </c>
      <c r="M30" s="1124">
        <f t="shared" si="4"/>
        <v>0</v>
      </c>
      <c r="N30" s="1133">
        <f t="shared" si="5"/>
        <v>0</v>
      </c>
    </row>
    <row r="31" spans="1:14" x14ac:dyDescent="0.3">
      <c r="A31" s="1553"/>
      <c r="B31" s="1554"/>
      <c r="C31" s="1556" t="s">
        <v>2473</v>
      </c>
      <c r="D31" s="1556"/>
      <c r="E31" s="1176"/>
      <c r="F31" s="1174"/>
      <c r="G31" s="1173">
        <f>SUM(G29:G30)</f>
        <v>13526567</v>
      </c>
      <c r="H31" s="1171"/>
      <c r="I31" s="1108"/>
      <c r="J31" s="1146">
        <f>SUM(J29:J30)</f>
        <v>0</v>
      </c>
      <c r="K31" s="1136">
        <f t="shared" ref="K31" si="14">J31/G31</f>
        <v>0</v>
      </c>
      <c r="L31" s="1137"/>
      <c r="M31" s="1138">
        <f t="shared" si="4"/>
        <v>0</v>
      </c>
      <c r="N31" s="1136">
        <f t="shared" si="5"/>
        <v>0</v>
      </c>
    </row>
    <row r="32" spans="1:14" x14ac:dyDescent="0.3">
      <c r="F32" s="836" t="s">
        <v>1740</v>
      </c>
      <c r="G32" s="650">
        <f>SUM(G14:G31)/2</f>
        <v>57872187</v>
      </c>
      <c r="I32" s="547" t="s">
        <v>64</v>
      </c>
      <c r="J32" s="855">
        <f>SUM(J14:J31)/2</f>
        <v>0</v>
      </c>
      <c r="K32" s="1054"/>
      <c r="L32" s="547" t="s">
        <v>64</v>
      </c>
      <c r="M32" s="835">
        <f>SUM(M14:M31)/2</f>
        <v>0</v>
      </c>
      <c r="N32" s="1054"/>
    </row>
    <row r="33" spans="6:14" ht="26.4" x14ac:dyDescent="0.3">
      <c r="F33" s="1118" t="s">
        <v>65</v>
      </c>
      <c r="G33" s="1115">
        <v>0</v>
      </c>
      <c r="I33" s="548" t="s">
        <v>65</v>
      </c>
      <c r="J33" s="677">
        <v>0</v>
      </c>
      <c r="K33" s="1054"/>
      <c r="L33" s="548" t="s">
        <v>65</v>
      </c>
      <c r="M33" s="677">
        <v>0</v>
      </c>
      <c r="N33" s="1054"/>
    </row>
    <row r="34" spans="6:14" x14ac:dyDescent="0.3">
      <c r="F34" s="1119" t="s">
        <v>64</v>
      </c>
      <c r="G34" s="1151">
        <f>G32+G33</f>
        <v>57872187</v>
      </c>
      <c r="I34" s="549" t="s">
        <v>64</v>
      </c>
      <c r="J34" s="481">
        <f>J32+J33</f>
        <v>0</v>
      </c>
      <c r="K34" s="1054"/>
      <c r="L34" s="549" t="s">
        <v>64</v>
      </c>
      <c r="M34" s="481">
        <f>M32+M33</f>
        <v>0</v>
      </c>
      <c r="N34" s="1054"/>
    </row>
    <row r="35" spans="6:14" ht="26.4" x14ac:dyDescent="0.3">
      <c r="F35" s="501" t="s">
        <v>1439</v>
      </c>
      <c r="G35" s="1116">
        <f>ROUND(G34*0.015,0)</f>
        <v>868083</v>
      </c>
      <c r="I35" s="501" t="s">
        <v>1439</v>
      </c>
      <c r="J35" s="481">
        <f>ROUND(J34*0.015,0)</f>
        <v>0</v>
      </c>
      <c r="K35" s="1054"/>
      <c r="L35" s="501" t="s">
        <v>1439</v>
      </c>
      <c r="M35" s="481">
        <f>ROUND(M34*0.015,0)</f>
        <v>0</v>
      </c>
      <c r="N35" s="1054"/>
    </row>
    <row r="36" spans="6:14" ht="39.6" x14ac:dyDescent="0.3">
      <c r="F36" s="96" t="s">
        <v>1440</v>
      </c>
      <c r="G36" s="1117">
        <f>G34+G35</f>
        <v>58740270</v>
      </c>
      <c r="I36" s="96" t="s">
        <v>1440</v>
      </c>
      <c r="J36" s="783">
        <f>J34+J35</f>
        <v>0</v>
      </c>
      <c r="K36" s="856">
        <f>J36/G32</f>
        <v>0</v>
      </c>
      <c r="L36" s="96" t="s">
        <v>1440</v>
      </c>
      <c r="M36" s="425">
        <f>M34+M35</f>
        <v>0</v>
      </c>
      <c r="N36" s="857">
        <f>M36/G32</f>
        <v>0</v>
      </c>
    </row>
    <row r="37" spans="6:14" x14ac:dyDescent="0.3">
      <c r="F37" s="1122" t="s">
        <v>66</v>
      </c>
      <c r="G37" s="783">
        <f>G36*0.19</f>
        <v>11160651.300000001</v>
      </c>
      <c r="I37" s="551" t="s">
        <v>66</v>
      </c>
      <c r="J37" s="672">
        <f>J36*0.19</f>
        <v>0</v>
      </c>
      <c r="K37" s="1054"/>
      <c r="L37" s="551" t="s">
        <v>66</v>
      </c>
      <c r="M37" s="672">
        <f>M36*0.19</f>
        <v>0</v>
      </c>
      <c r="N37" s="1054"/>
    </row>
    <row r="38" spans="6:14" x14ac:dyDescent="0.3">
      <c r="F38" s="1123" t="s">
        <v>69</v>
      </c>
      <c r="G38" s="672">
        <f>G36+G37</f>
        <v>69900921.299999997</v>
      </c>
      <c r="I38" s="552" t="s">
        <v>69</v>
      </c>
      <c r="J38" s="672">
        <f>J36+J37</f>
        <v>0</v>
      </c>
      <c r="K38" s="1054"/>
      <c r="L38" s="552" t="s">
        <v>69</v>
      </c>
      <c r="M38" s="672">
        <f>M36+M37</f>
        <v>0</v>
      </c>
      <c r="N38" s="1054"/>
    </row>
    <row r="39" spans="6:14" x14ac:dyDescent="0.3">
      <c r="I39" s="1054"/>
      <c r="J39" s="1054"/>
      <c r="K39" s="1054"/>
      <c r="L39" s="1054"/>
      <c r="M39" s="1054"/>
      <c r="N39" s="1054"/>
    </row>
    <row r="40" spans="6:14" ht="26.4" x14ac:dyDescent="0.3">
      <c r="I40" s="186" t="s">
        <v>70</v>
      </c>
      <c r="J40" s="187" t="s">
        <v>71</v>
      </c>
      <c r="K40" s="186" t="s">
        <v>58</v>
      </c>
      <c r="L40" s="1054"/>
      <c r="M40" s="1054"/>
      <c r="N40" s="1054"/>
    </row>
    <row r="41" spans="6:14" x14ac:dyDescent="0.3">
      <c r="I41" s="69" t="s">
        <v>72</v>
      </c>
      <c r="J41" s="70">
        <f>J36</f>
        <v>0</v>
      </c>
      <c r="K41" s="360">
        <f>K36</f>
        <v>0</v>
      </c>
      <c r="L41" s="1054"/>
      <c r="M41" s="1054"/>
      <c r="N41" s="1054"/>
    </row>
    <row r="42" spans="6:14" x14ac:dyDescent="0.3">
      <c r="I42" s="72" t="s">
        <v>1</v>
      </c>
      <c r="J42" s="105">
        <f>J41</f>
        <v>0</v>
      </c>
      <c r="K42" s="361">
        <f>K41</f>
        <v>0</v>
      </c>
      <c r="L42" s="1054"/>
      <c r="M42" s="1054"/>
      <c r="N42" s="1054"/>
    </row>
    <row r="43" spans="6:14" x14ac:dyDescent="0.3">
      <c r="I43" s="72" t="s">
        <v>9</v>
      </c>
      <c r="J43" s="1423"/>
      <c r="K43" s="1424"/>
      <c r="L43" s="1054"/>
      <c r="M43" s="1054"/>
      <c r="N43" s="1054"/>
    </row>
    <row r="44" spans="6:14" x14ac:dyDescent="0.3">
      <c r="I44" s="440" t="s">
        <v>78</v>
      </c>
      <c r="J44" s="1423" t="s">
        <v>2491</v>
      </c>
      <c r="K44" s="1424"/>
      <c r="L44" s="1054"/>
      <c r="M44" s="1054"/>
      <c r="N44" s="1054"/>
    </row>
    <row r="45" spans="6:14" x14ac:dyDescent="0.3">
      <c r="I45" s="439" t="s">
        <v>8</v>
      </c>
      <c r="J45" s="1425" t="s">
        <v>2492</v>
      </c>
      <c r="K45" s="1426"/>
      <c r="L45" s="1054"/>
      <c r="M45" s="1054"/>
      <c r="N45" s="1054"/>
    </row>
    <row r="46" spans="6:14" x14ac:dyDescent="0.3">
      <c r="I46" s="1054"/>
      <c r="J46" s="1054"/>
      <c r="K46" s="1054"/>
      <c r="L46" s="1054"/>
      <c r="M46" s="1054"/>
      <c r="N46" s="1054"/>
    </row>
  </sheetData>
  <mergeCells count="42">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6"/>
    <mergeCell ref="B14:B16"/>
    <mergeCell ref="H14:H15"/>
    <mergeCell ref="C16:D16"/>
    <mergeCell ref="A17:A19"/>
    <mergeCell ref="B17:B19"/>
    <mergeCell ref="H17:H18"/>
    <mergeCell ref="C19:D19"/>
    <mergeCell ref="A20:A22"/>
    <mergeCell ref="B20:B22"/>
    <mergeCell ref="H20:H21"/>
    <mergeCell ref="C22:D22"/>
    <mergeCell ref="A23:A25"/>
    <mergeCell ref="B23:B25"/>
    <mergeCell ref="H23:H24"/>
    <mergeCell ref="C25:D25"/>
    <mergeCell ref="J43:K43"/>
    <mergeCell ref="J44:K44"/>
    <mergeCell ref="J45:K45"/>
    <mergeCell ref="A26:A28"/>
    <mergeCell ref="B26:B28"/>
    <mergeCell ref="H26:H27"/>
    <mergeCell ref="C28:D28"/>
    <mergeCell ref="A29:A31"/>
    <mergeCell ref="B29:B31"/>
    <mergeCell ref="H29:H30"/>
    <mergeCell ref="C31:D31"/>
  </mergeCells>
  <pageMargins left="0.7" right="0.7" top="0.75" bottom="0.75" header="0.3" footer="0.3"/>
  <drawing r:id="rId1"/>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5"/>
  <dimension ref="A1:G49"/>
  <sheetViews>
    <sheetView topLeftCell="A13" workbookViewId="0">
      <selection activeCell="J31" sqref="J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RESUMEN!G183</f>
        <v>Proyecto:Adecuación sismoresistente Casa control SE Fontibón</v>
      </c>
      <c r="C5" s="1281"/>
      <c r="D5" s="1281"/>
      <c r="E5" s="1281"/>
      <c r="F5" s="1281"/>
      <c r="G5" s="1282"/>
    </row>
    <row r="6" spans="1:7" x14ac:dyDescent="0.25">
      <c r="A6" s="1177"/>
      <c r="B6" s="1177"/>
      <c r="C6" s="1177"/>
      <c r="D6" s="1177"/>
      <c r="E6" s="1177"/>
      <c r="F6" s="1177"/>
      <c r="G6" s="1177"/>
    </row>
    <row r="7" spans="1:7" x14ac:dyDescent="0.25">
      <c r="A7" s="271" t="s">
        <v>0</v>
      </c>
      <c r="B7" s="1264" t="str">
        <f>RESUMEN!B183</f>
        <v>D00249394</v>
      </c>
      <c r="C7" s="1265"/>
      <c r="D7" s="1177"/>
      <c r="E7" s="1266" t="s">
        <v>627</v>
      </c>
      <c r="F7" s="1267"/>
      <c r="G7" s="280" t="str">
        <f>RESUMEN!E183</f>
        <v xml:space="preserve">18-047 </v>
      </c>
    </row>
    <row r="8" spans="1:7" x14ac:dyDescent="0.25">
      <c r="A8" s="271" t="s">
        <v>628</v>
      </c>
      <c r="B8" s="1264" t="str">
        <f>RESUMEN!C183</f>
        <v>D00249394000</v>
      </c>
      <c r="C8" s="1265"/>
      <c r="D8" s="1177"/>
      <c r="E8" s="1266" t="s">
        <v>629</v>
      </c>
      <c r="F8" s="1267"/>
      <c r="G8" s="280" t="str">
        <f>RESUMEN!U183</f>
        <v>Acta N° 1: Marzo</v>
      </c>
    </row>
    <row r="9" spans="1:7" x14ac:dyDescent="0.25">
      <c r="A9" s="271" t="s">
        <v>630</v>
      </c>
      <c r="B9" s="1283" t="s">
        <v>631</v>
      </c>
      <c r="C9" s="1265"/>
      <c r="D9" s="1177"/>
      <c r="E9" s="1266" t="s">
        <v>632</v>
      </c>
      <c r="F9" s="1267"/>
      <c r="G9" s="1178">
        <f>RESUMEN!H183</f>
        <v>6075268</v>
      </c>
    </row>
    <row r="10" spans="1:7" x14ac:dyDescent="0.25">
      <c r="A10" s="271" t="s">
        <v>633</v>
      </c>
      <c r="B10" s="1283" t="str">
        <f>RESUMEN!D183</f>
        <v>FONTIBÓN</v>
      </c>
      <c r="C10" s="1265"/>
      <c r="D10" s="1177"/>
      <c r="E10" s="1266" t="s">
        <v>634</v>
      </c>
      <c r="F10" s="1267"/>
      <c r="G10" s="1178">
        <f>RESUMEN!R183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Proyecto:Adecuación sismoresistente Casa control SE Fontibón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RESUMEN!N183</f>
        <v>0</v>
      </c>
      <c r="F19" s="1248"/>
      <c r="G19" s="1177"/>
    </row>
    <row r="20" spans="1:7" ht="27" customHeight="1" x14ac:dyDescent="0.25">
      <c r="A20" s="1177"/>
      <c r="B20" s="1244" t="s">
        <v>1498</v>
      </c>
      <c r="C20" s="1245"/>
      <c r="D20" s="1246"/>
      <c r="E20" s="1247">
        <f>RESUMEN!P183</f>
        <v>0</v>
      </c>
      <c r="F20" s="1248"/>
      <c r="G20" s="1177"/>
    </row>
    <row r="21" spans="1:7" ht="27" customHeight="1" x14ac:dyDescent="0.25">
      <c r="A21" s="1177"/>
      <c r="B21" s="1244" t="s">
        <v>1499</v>
      </c>
      <c r="C21" s="1245"/>
      <c r="D21" s="1246"/>
      <c r="E21" s="1247">
        <f>RESUMEN!Q183</f>
        <v>0</v>
      </c>
      <c r="F21" s="1248"/>
      <c r="G21" s="1177"/>
    </row>
    <row r="22" spans="1:7" x14ac:dyDescent="0.25">
      <c r="A22" s="1177"/>
      <c r="B22" s="1254" t="s">
        <v>64</v>
      </c>
      <c r="C22" s="1254"/>
      <c r="D22" s="1254"/>
      <c r="E22" s="1255">
        <f>RESUMEN!R183</f>
        <v>0</v>
      </c>
      <c r="F22" s="1255"/>
      <c r="G22" s="1177"/>
    </row>
    <row r="23" spans="1:7" x14ac:dyDescent="0.25">
      <c r="A23" s="1177"/>
      <c r="B23" s="1256" t="s">
        <v>66</v>
      </c>
      <c r="C23" s="1256"/>
      <c r="D23" s="1256"/>
      <c r="E23" s="1257">
        <f>RESUMEN!S183</f>
        <v>0</v>
      </c>
      <c r="F23" s="1257"/>
      <c r="G23" s="1177"/>
    </row>
    <row r="24" spans="1:7" x14ac:dyDescent="0.25">
      <c r="A24" s="1177"/>
      <c r="B24" s="1258" t="s">
        <v>1</v>
      </c>
      <c r="C24" s="1258"/>
      <c r="D24" s="1258"/>
      <c r="E24" s="1259">
        <f>RESUMEN!T183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+'OT18-047 FONTIBÓN'!I25</f>
        <v>ACTA 1</v>
      </c>
      <c r="C28" s="1253">
        <f>+'OT18-047 FONTIBÓN'!J25</f>
        <v>0</v>
      </c>
      <c r="D28" s="1253"/>
      <c r="E28" s="267">
        <f>+'OT18-047 FONTIBÓN'!K25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6"/>
  <dimension ref="A1:N34"/>
  <sheetViews>
    <sheetView topLeftCell="A11" workbookViewId="0">
      <selection activeCell="I13" sqref="I13:N33"/>
    </sheetView>
  </sheetViews>
  <sheetFormatPr baseColWidth="10" defaultRowHeight="14.4" x14ac:dyDescent="0.3"/>
  <cols>
    <col min="3" max="4" width="23.5546875" customWidth="1"/>
    <col min="6" max="7" width="16.88671875" customWidth="1"/>
    <col min="8" max="8" width="20.44140625" customWidth="1"/>
  </cols>
  <sheetData>
    <row r="1" spans="1:14" x14ac:dyDescent="0.3">
      <c r="A1" s="169"/>
      <c r="B1" s="188"/>
      <c r="C1" s="1307" t="s">
        <v>40</v>
      </c>
      <c r="D1" s="1308"/>
      <c r="E1" s="1308"/>
      <c r="F1" s="1308"/>
      <c r="G1" s="1308"/>
      <c r="H1" s="1308"/>
      <c r="I1" s="1308"/>
      <c r="J1" s="1308"/>
      <c r="K1" s="1532" t="s">
        <v>1372</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2494</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2493</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28.8" x14ac:dyDescent="0.3">
      <c r="A14" s="1510" t="s">
        <v>1861</v>
      </c>
      <c r="B14" s="1510" t="s">
        <v>194</v>
      </c>
      <c r="C14" s="1062" t="s">
        <v>160</v>
      </c>
      <c r="D14" s="1062" t="s">
        <v>161</v>
      </c>
      <c r="E14" s="1062">
        <v>83</v>
      </c>
      <c r="F14" s="646">
        <v>73196</v>
      </c>
      <c r="G14" s="646">
        <f>ROUND((E14*F14),0)</f>
        <v>6075268</v>
      </c>
      <c r="H14" s="1514" t="s">
        <v>2495</v>
      </c>
      <c r="I14" s="799">
        <v>0</v>
      </c>
      <c r="J14" s="1132">
        <f>ROUND(I14*F14,0)</f>
        <v>0</v>
      </c>
      <c r="K14" s="1133">
        <f>J14/G14</f>
        <v>0</v>
      </c>
      <c r="L14" s="1134">
        <f t="shared" ref="L14:M15" si="0">I14</f>
        <v>0</v>
      </c>
      <c r="M14" s="1124">
        <f t="shared" si="0"/>
        <v>0</v>
      </c>
      <c r="N14" s="1133">
        <f t="shared" ref="N14:N15" si="1">M14/G14</f>
        <v>0</v>
      </c>
    </row>
    <row r="15" spans="1:14" x14ac:dyDescent="0.3">
      <c r="A15" s="1510"/>
      <c r="B15" s="1510"/>
      <c r="C15" s="647"/>
      <c r="D15" s="647" t="s">
        <v>162</v>
      </c>
      <c r="E15" s="648"/>
      <c r="F15" s="648"/>
      <c r="G15" s="649">
        <f>G14</f>
        <v>6075268</v>
      </c>
      <c r="H15" s="1510"/>
      <c r="I15" s="1108"/>
      <c r="J15" s="1146">
        <f>SUM(J14)</f>
        <v>0</v>
      </c>
      <c r="K15" s="1136">
        <f t="shared" ref="K15" si="2">J15/G15</f>
        <v>0</v>
      </c>
      <c r="L15" s="1137"/>
      <c r="M15" s="1138">
        <f t="shared" si="0"/>
        <v>0</v>
      </c>
      <c r="N15" s="1136">
        <f t="shared" si="1"/>
        <v>0</v>
      </c>
    </row>
    <row r="16" spans="1:14" x14ac:dyDescent="0.3">
      <c r="F16" s="836" t="s">
        <v>1740</v>
      </c>
      <c r="G16" s="650">
        <f>SUM(G14:G15)/2</f>
        <v>6075268</v>
      </c>
      <c r="I16" s="547" t="s">
        <v>64</v>
      </c>
      <c r="J16" s="855">
        <f>SUM(J14:J15)/2</f>
        <v>0</v>
      </c>
      <c r="K16" s="1054"/>
      <c r="L16" s="547" t="s">
        <v>64</v>
      </c>
      <c r="M16" s="835">
        <f>SUM(M14:M15)/2</f>
        <v>0</v>
      </c>
      <c r="N16" s="1054"/>
    </row>
    <row r="17" spans="6:14" ht="26.4" x14ac:dyDescent="0.3">
      <c r="F17" s="1118" t="s">
        <v>65</v>
      </c>
      <c r="G17" s="1115">
        <v>0</v>
      </c>
      <c r="I17" s="548" t="s">
        <v>65</v>
      </c>
      <c r="J17" s="677">
        <v>0</v>
      </c>
      <c r="K17" s="1054"/>
      <c r="L17" s="548" t="s">
        <v>65</v>
      </c>
      <c r="M17" s="677">
        <v>0</v>
      </c>
      <c r="N17" s="1054"/>
    </row>
    <row r="18" spans="6:14" x14ac:dyDescent="0.3">
      <c r="F18" s="1119" t="s">
        <v>64</v>
      </c>
      <c r="G18" s="1151">
        <f>G16+G17</f>
        <v>6075268</v>
      </c>
      <c r="I18" s="549" t="s">
        <v>64</v>
      </c>
      <c r="J18" s="481">
        <f>J16+J17</f>
        <v>0</v>
      </c>
      <c r="K18" s="1054"/>
      <c r="L18" s="549" t="s">
        <v>64</v>
      </c>
      <c r="M18" s="481">
        <f>M16+M17</f>
        <v>0</v>
      </c>
      <c r="N18" s="1054"/>
    </row>
    <row r="19" spans="6:14" ht="26.4" x14ac:dyDescent="0.3">
      <c r="F19" s="501" t="s">
        <v>1439</v>
      </c>
      <c r="G19" s="1116">
        <f>ROUND(G18*0.015,0)</f>
        <v>91129</v>
      </c>
      <c r="I19" s="501" t="s">
        <v>1439</v>
      </c>
      <c r="J19" s="481">
        <f>ROUND(J18*0.015,0)</f>
        <v>0</v>
      </c>
      <c r="K19" s="1054"/>
      <c r="L19" s="501" t="s">
        <v>1439</v>
      </c>
      <c r="M19" s="481">
        <f>ROUND(M18*0.015,0)</f>
        <v>0</v>
      </c>
      <c r="N19" s="1054"/>
    </row>
    <row r="20" spans="6:14" ht="39.6" x14ac:dyDescent="0.3">
      <c r="F20" s="96" t="s">
        <v>1440</v>
      </c>
      <c r="G20" s="1117">
        <f>G18+G19</f>
        <v>6166397</v>
      </c>
      <c r="I20" s="96" t="s">
        <v>1440</v>
      </c>
      <c r="J20" s="783">
        <f>J18+J19</f>
        <v>0</v>
      </c>
      <c r="K20" s="856">
        <f>J20/G16</f>
        <v>0</v>
      </c>
      <c r="L20" s="96" t="s">
        <v>1440</v>
      </c>
      <c r="M20" s="425">
        <f>M18+M19</f>
        <v>0</v>
      </c>
      <c r="N20" s="857">
        <f>M20/G16</f>
        <v>0</v>
      </c>
    </row>
    <row r="21" spans="6:14" x14ac:dyDescent="0.3">
      <c r="F21" s="1122" t="s">
        <v>66</v>
      </c>
      <c r="G21" s="783">
        <f>G20*0.19</f>
        <v>1171615.43</v>
      </c>
      <c r="I21" s="551" t="s">
        <v>66</v>
      </c>
      <c r="J21" s="672">
        <f>J20*0.19</f>
        <v>0</v>
      </c>
      <c r="K21" s="1054"/>
      <c r="L21" s="551" t="s">
        <v>66</v>
      </c>
      <c r="M21" s="672">
        <f>M20*0.19</f>
        <v>0</v>
      </c>
      <c r="N21" s="1054"/>
    </row>
    <row r="22" spans="6:14" x14ac:dyDescent="0.3">
      <c r="F22" s="1123" t="s">
        <v>69</v>
      </c>
      <c r="G22" s="672">
        <f>G20+G21</f>
        <v>7338012.4299999997</v>
      </c>
      <c r="I22" s="552" t="s">
        <v>69</v>
      </c>
      <c r="J22" s="672">
        <f>J20+J21</f>
        <v>0</v>
      </c>
      <c r="K22" s="1054"/>
      <c r="L22" s="552" t="s">
        <v>69</v>
      </c>
      <c r="M22" s="672">
        <f>M20+M21</f>
        <v>0</v>
      </c>
      <c r="N22" s="1054"/>
    </row>
    <row r="23" spans="6:14" x14ac:dyDescent="0.3">
      <c r="I23" s="1054"/>
      <c r="J23" s="1054"/>
      <c r="K23" s="1054"/>
      <c r="L23" s="1054"/>
      <c r="M23" s="1054"/>
      <c r="N23" s="1054"/>
    </row>
    <row r="24" spans="6:14" ht="26.4" x14ac:dyDescent="0.3">
      <c r="I24" s="186" t="s">
        <v>70</v>
      </c>
      <c r="J24" s="187" t="s">
        <v>71</v>
      </c>
      <c r="K24" s="186" t="s">
        <v>58</v>
      </c>
      <c r="L24" s="1054"/>
      <c r="M24" s="1054"/>
      <c r="N24" s="1054"/>
    </row>
    <row r="25" spans="6:14" x14ac:dyDescent="0.3">
      <c r="I25" s="69" t="s">
        <v>72</v>
      </c>
      <c r="J25" s="70">
        <f>J20</f>
        <v>0</v>
      </c>
      <c r="K25" s="360">
        <f>K20</f>
        <v>0</v>
      </c>
      <c r="L25" s="1054"/>
      <c r="M25" s="1054"/>
      <c r="N25" s="1054"/>
    </row>
    <row r="26" spans="6:14" x14ac:dyDescent="0.3">
      <c r="I26" s="72" t="s">
        <v>1</v>
      </c>
      <c r="J26" s="105">
        <f>J25</f>
        <v>0</v>
      </c>
      <c r="K26" s="361">
        <f>K25</f>
        <v>0</v>
      </c>
      <c r="L26" s="1054"/>
      <c r="M26" s="1054"/>
      <c r="N26" s="1054"/>
    </row>
    <row r="27" spans="6:14" x14ac:dyDescent="0.3">
      <c r="I27" s="72" t="s">
        <v>9</v>
      </c>
      <c r="J27" s="1423"/>
      <c r="K27" s="1424"/>
      <c r="L27" s="1054"/>
      <c r="M27" s="1054"/>
      <c r="N27" s="1054"/>
    </row>
    <row r="28" spans="6:14" x14ac:dyDescent="0.3">
      <c r="I28" s="440" t="s">
        <v>78</v>
      </c>
      <c r="J28" s="1423" t="s">
        <v>1991</v>
      </c>
      <c r="K28" s="1424"/>
      <c r="L28" s="1054"/>
      <c r="M28" s="1054"/>
      <c r="N28" s="1054"/>
    </row>
    <row r="29" spans="6:14" x14ac:dyDescent="0.3">
      <c r="I29" s="439" t="s">
        <v>8</v>
      </c>
      <c r="J29" s="1425" t="s">
        <v>1992</v>
      </c>
      <c r="K29" s="1426"/>
      <c r="L29" s="1054"/>
      <c r="M29" s="1054"/>
      <c r="N29" s="1054"/>
    </row>
    <row r="30" spans="6:14" x14ac:dyDescent="0.3">
      <c r="I30" s="1054"/>
      <c r="J30" s="1054"/>
      <c r="K30" s="1054"/>
      <c r="L30" s="1054"/>
      <c r="M30" s="1054"/>
      <c r="N30" s="1054"/>
    </row>
    <row r="31" spans="6:14" x14ac:dyDescent="0.3">
      <c r="I31" s="1054"/>
      <c r="J31" s="1054"/>
      <c r="K31" s="1054"/>
      <c r="L31" s="1054"/>
      <c r="M31" s="1054"/>
      <c r="N31" s="1054"/>
    </row>
    <row r="32" spans="6:14" x14ac:dyDescent="0.3">
      <c r="I32" s="1054"/>
      <c r="J32" s="1054"/>
      <c r="K32" s="1054"/>
      <c r="L32" s="1054"/>
      <c r="M32" s="1054"/>
      <c r="N32" s="1054"/>
    </row>
    <row r="33" spans="9:14" x14ac:dyDescent="0.3">
      <c r="I33" s="1054"/>
      <c r="J33" s="1054"/>
      <c r="K33" s="1054"/>
      <c r="L33" s="1054"/>
      <c r="M33" s="1054"/>
      <c r="N33" s="1054"/>
    </row>
    <row r="34" spans="9:14" x14ac:dyDescent="0.3">
      <c r="I34" s="1054"/>
      <c r="J34" s="1054"/>
      <c r="K34" s="1054"/>
      <c r="L34" s="1054"/>
      <c r="M34" s="1054"/>
      <c r="N34" s="1054"/>
    </row>
  </sheetData>
  <mergeCells count="21">
    <mergeCell ref="A5:M5"/>
    <mergeCell ref="C1:J2"/>
    <mergeCell ref="K1:N1"/>
    <mergeCell ref="K2:N2"/>
    <mergeCell ref="A3:M3"/>
    <mergeCell ref="A4:M4"/>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s>
  <pageMargins left="0.7" right="0.7" top="0.75" bottom="0.75" header="0.3" footer="0.3"/>
  <drawing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7"/>
  <dimension ref="A1:G49"/>
  <sheetViews>
    <sheetView topLeftCell="A7" workbookViewId="0">
      <selection activeCell="I37" sqref="I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RESUMEN!G184</f>
        <v>Proyecto:</v>
      </c>
      <c r="C5" s="1281"/>
      <c r="D5" s="1281"/>
      <c r="E5" s="1281"/>
      <c r="F5" s="1281"/>
      <c r="G5" s="1282"/>
    </row>
    <row r="6" spans="1:7" x14ac:dyDescent="0.25">
      <c r="A6" s="1177"/>
      <c r="B6" s="1177"/>
      <c r="C6" s="1177"/>
      <c r="D6" s="1177"/>
      <c r="E6" s="1177"/>
      <c r="F6" s="1177"/>
      <c r="G6" s="1177"/>
    </row>
    <row r="7" spans="1:7" x14ac:dyDescent="0.25">
      <c r="A7" s="271" t="s">
        <v>0</v>
      </c>
      <c r="B7" s="1264" t="str">
        <f>RESUMEN!B184</f>
        <v>D00249543</v>
      </c>
      <c r="C7" s="1265"/>
      <c r="D7" s="1177"/>
      <c r="E7" s="1266" t="s">
        <v>627</v>
      </c>
      <c r="F7" s="1267"/>
      <c r="G7" s="280" t="str">
        <f>RESUMEN!E184</f>
        <v xml:space="preserve">18-048 </v>
      </c>
    </row>
    <row r="8" spans="1:7" x14ac:dyDescent="0.25">
      <c r="A8" s="271" t="s">
        <v>628</v>
      </c>
      <c r="B8" s="1264" t="str">
        <f>RESUMEN!C184</f>
        <v>D00249543000</v>
      </c>
      <c r="C8" s="1265"/>
      <c r="D8" s="1177"/>
      <c r="E8" s="1266" t="s">
        <v>629</v>
      </c>
      <c r="F8" s="1267"/>
      <c r="G8" s="280" t="str">
        <f>RESUMEN!U184</f>
        <v>Acta N° 1: Marzo</v>
      </c>
    </row>
    <row r="9" spans="1:7" x14ac:dyDescent="0.25">
      <c r="A9" s="271" t="s">
        <v>630</v>
      </c>
      <c r="B9" s="1283" t="s">
        <v>631</v>
      </c>
      <c r="C9" s="1265"/>
      <c r="D9" s="1177"/>
      <c r="E9" s="1266" t="s">
        <v>632</v>
      </c>
      <c r="F9" s="1267"/>
      <c r="G9" s="1178">
        <f>RESUMEN!H184</f>
        <v>2684819</v>
      </c>
    </row>
    <row r="10" spans="1:7" x14ac:dyDescent="0.25">
      <c r="A10" s="271" t="s">
        <v>633</v>
      </c>
      <c r="B10" s="1283" t="str">
        <f>RESUMEN!D184</f>
        <v>SALITRE</v>
      </c>
      <c r="C10" s="1265"/>
      <c r="D10" s="1177"/>
      <c r="E10" s="1266" t="s">
        <v>634</v>
      </c>
      <c r="F10" s="1267"/>
      <c r="G10" s="1178">
        <f>RESUMEN!R184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RESUMEN!N184</f>
        <v>0</v>
      </c>
      <c r="F19" s="1248"/>
      <c r="G19" s="1177"/>
    </row>
    <row r="20" spans="1:7" ht="27" customHeight="1" x14ac:dyDescent="0.25">
      <c r="A20" s="1177"/>
      <c r="B20" s="1244" t="s">
        <v>1498</v>
      </c>
      <c r="C20" s="1245"/>
      <c r="D20" s="1246"/>
      <c r="E20" s="1247">
        <f>RESUMEN!P184</f>
        <v>0</v>
      </c>
      <c r="F20" s="1248"/>
      <c r="G20" s="1177"/>
    </row>
    <row r="21" spans="1:7" ht="27" customHeight="1" x14ac:dyDescent="0.25">
      <c r="A21" s="1177"/>
      <c r="B21" s="1244" t="s">
        <v>1499</v>
      </c>
      <c r="C21" s="1245"/>
      <c r="D21" s="1246"/>
      <c r="E21" s="1247">
        <f>RESUMEN!Q184</f>
        <v>0</v>
      </c>
      <c r="F21" s="1248"/>
      <c r="G21" s="1177"/>
    </row>
    <row r="22" spans="1:7" x14ac:dyDescent="0.25">
      <c r="A22" s="1177"/>
      <c r="B22" s="1254" t="s">
        <v>64</v>
      </c>
      <c r="C22" s="1254"/>
      <c r="D22" s="1254"/>
      <c r="E22" s="1255">
        <f>RESUMEN!R184</f>
        <v>0</v>
      </c>
      <c r="F22" s="1255"/>
      <c r="G22" s="1177"/>
    </row>
    <row r="23" spans="1:7" x14ac:dyDescent="0.25">
      <c r="A23" s="1177"/>
      <c r="B23" s="1256" t="s">
        <v>66</v>
      </c>
      <c r="C23" s="1256"/>
      <c r="D23" s="1256"/>
      <c r="E23" s="1257">
        <f>RESUMEN!S184</f>
        <v>0</v>
      </c>
      <c r="F23" s="1257"/>
      <c r="G23" s="1177"/>
    </row>
    <row r="24" spans="1:7" x14ac:dyDescent="0.25">
      <c r="A24" s="1177"/>
      <c r="B24" s="1258" t="s">
        <v>1</v>
      </c>
      <c r="C24" s="1258"/>
      <c r="D24" s="1258"/>
      <c r="E24" s="1259">
        <f>RESUMEN!T184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+'OT18-048 SALITRE'!I25</f>
        <v>ACTA 1</v>
      </c>
      <c r="C28" s="1253">
        <f>+'OT18-048 SALITRE'!J25</f>
        <v>0</v>
      </c>
      <c r="D28" s="1253"/>
      <c r="E28" s="267">
        <f>+'OT18-048 SALITRE'!K25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8"/>
  <dimension ref="A1:N33"/>
  <sheetViews>
    <sheetView topLeftCell="B10" workbookViewId="0">
      <selection activeCell="I13" sqref="I13:N30"/>
    </sheetView>
  </sheetViews>
  <sheetFormatPr baseColWidth="10" defaultRowHeight="14.4" x14ac:dyDescent="0.3"/>
  <cols>
    <col min="2" max="2" width="19.6640625" customWidth="1"/>
    <col min="3" max="4" width="22.44140625" customWidth="1"/>
    <col min="8" max="8" width="32.6640625" customWidth="1"/>
    <col min="10" max="10" width="14.6640625" customWidth="1"/>
  </cols>
  <sheetData>
    <row r="1" spans="1:14" x14ac:dyDescent="0.3">
      <c r="A1" s="169"/>
      <c r="B1" s="188"/>
      <c r="C1" s="1307" t="s">
        <v>40</v>
      </c>
      <c r="D1" s="1308"/>
      <c r="E1" s="1308"/>
      <c r="F1" s="1308"/>
      <c r="G1" s="1308"/>
      <c r="H1" s="1308"/>
      <c r="I1" s="1308"/>
      <c r="J1" s="1308"/>
      <c r="K1" s="1532"/>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2497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2496</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280</v>
      </c>
      <c r="B14" s="1514" t="s">
        <v>240</v>
      </c>
      <c r="C14" s="1062" t="s">
        <v>59</v>
      </c>
      <c r="D14" s="1062" t="s">
        <v>241</v>
      </c>
      <c r="E14" s="1063">
        <v>1.048</v>
      </c>
      <c r="F14" s="646">
        <v>2561850</v>
      </c>
      <c r="G14" s="646">
        <f>ROUND((E14*F14),0)</f>
        <v>2684819</v>
      </c>
      <c r="H14" s="1514" t="s">
        <v>2498</v>
      </c>
      <c r="I14" s="799">
        <v>0</v>
      </c>
      <c r="J14" s="1132">
        <f>ROUND(I14*F14,0)</f>
        <v>0</v>
      </c>
      <c r="K14" s="1133">
        <f>J14/G14</f>
        <v>0</v>
      </c>
      <c r="L14" s="1134">
        <f t="shared" ref="L14:M15" si="0">I14</f>
        <v>0</v>
      </c>
      <c r="M14" s="1124">
        <f t="shared" si="0"/>
        <v>0</v>
      </c>
      <c r="N14" s="1133">
        <f t="shared" ref="N14:N15" si="1">M14/G14</f>
        <v>0</v>
      </c>
    </row>
    <row r="15" spans="1:14" x14ac:dyDescent="0.3">
      <c r="A15" s="1510"/>
      <c r="B15" s="1510"/>
      <c r="C15" s="647"/>
      <c r="D15" s="647" t="s">
        <v>242</v>
      </c>
      <c r="E15" s="648"/>
      <c r="F15" s="648"/>
      <c r="G15" s="649">
        <f>G14</f>
        <v>2684819</v>
      </c>
      <c r="H15" s="1510"/>
      <c r="I15" s="1108"/>
      <c r="J15" s="1146">
        <f>SUM(J14)</f>
        <v>0</v>
      </c>
      <c r="K15" s="1136">
        <f t="shared" ref="K15" si="2">J15/G15</f>
        <v>0</v>
      </c>
      <c r="L15" s="1137"/>
      <c r="M15" s="1138">
        <f t="shared" si="0"/>
        <v>0</v>
      </c>
      <c r="N15" s="1136">
        <f t="shared" si="1"/>
        <v>0</v>
      </c>
    </row>
    <row r="16" spans="1:14" x14ac:dyDescent="0.3">
      <c r="F16" s="836" t="s">
        <v>1740</v>
      </c>
      <c r="G16" s="650">
        <f>SUM(G14:G15)/2</f>
        <v>2684819</v>
      </c>
      <c r="I16" s="547" t="s">
        <v>64</v>
      </c>
      <c r="J16" s="855">
        <f>SUM(J14:J15)/2</f>
        <v>0</v>
      </c>
      <c r="K16" s="1054"/>
      <c r="L16" s="547" t="s">
        <v>64</v>
      </c>
      <c r="M16" s="835">
        <f>SUM(M14:M15)/2</f>
        <v>0</v>
      </c>
      <c r="N16" s="1054"/>
    </row>
    <row r="17" spans="6:14" ht="26.4" x14ac:dyDescent="0.3">
      <c r="F17" s="1118" t="s">
        <v>65</v>
      </c>
      <c r="G17" s="1115">
        <v>0</v>
      </c>
      <c r="I17" s="548" t="s">
        <v>65</v>
      </c>
      <c r="J17" s="677">
        <v>0</v>
      </c>
      <c r="K17" s="1054"/>
      <c r="L17" s="548" t="s">
        <v>65</v>
      </c>
      <c r="M17" s="677">
        <v>0</v>
      </c>
      <c r="N17" s="1054"/>
    </row>
    <row r="18" spans="6:14" x14ac:dyDescent="0.3">
      <c r="F18" s="1119" t="s">
        <v>64</v>
      </c>
      <c r="G18" s="1151">
        <f>G16+G17</f>
        <v>2684819</v>
      </c>
      <c r="I18" s="549" t="s">
        <v>64</v>
      </c>
      <c r="J18" s="481">
        <f>J16+J17</f>
        <v>0</v>
      </c>
      <c r="K18" s="1054"/>
      <c r="L18" s="549" t="s">
        <v>64</v>
      </c>
      <c r="M18" s="481">
        <f>M16+M17</f>
        <v>0</v>
      </c>
      <c r="N18" s="1054"/>
    </row>
    <row r="19" spans="6:14" ht="26.4" x14ac:dyDescent="0.3">
      <c r="F19" s="501" t="s">
        <v>1439</v>
      </c>
      <c r="G19" s="1116">
        <f>ROUND(G18*0.015,0)</f>
        <v>40272</v>
      </c>
      <c r="I19" s="501" t="s">
        <v>1439</v>
      </c>
      <c r="J19" s="481">
        <f>ROUND(J18*0.015,0)</f>
        <v>0</v>
      </c>
      <c r="K19" s="1054"/>
      <c r="L19" s="501" t="s">
        <v>1439</v>
      </c>
      <c r="M19" s="481">
        <f>ROUND(M18*0.015,0)</f>
        <v>0</v>
      </c>
      <c r="N19" s="1054"/>
    </row>
    <row r="20" spans="6:14" ht="39.6" x14ac:dyDescent="0.3">
      <c r="F20" s="96" t="s">
        <v>1440</v>
      </c>
      <c r="G20" s="1117">
        <f>G18+G19</f>
        <v>2725091</v>
      </c>
      <c r="I20" s="96" t="s">
        <v>1440</v>
      </c>
      <c r="J20" s="783">
        <f>J18+J19</f>
        <v>0</v>
      </c>
      <c r="K20" s="856">
        <f>J20/G16</f>
        <v>0</v>
      </c>
      <c r="L20" s="96" t="s">
        <v>1440</v>
      </c>
      <c r="M20" s="425">
        <f>M18+M19</f>
        <v>0</v>
      </c>
      <c r="N20" s="857">
        <f>M20/G16</f>
        <v>0</v>
      </c>
    </row>
    <row r="21" spans="6:14" x14ac:dyDescent="0.3">
      <c r="F21" s="1122" t="s">
        <v>66</v>
      </c>
      <c r="G21" s="783">
        <f>G20*0.19</f>
        <v>517767.29</v>
      </c>
      <c r="I21" s="551" t="s">
        <v>66</v>
      </c>
      <c r="J21" s="672">
        <f>J20*0.19</f>
        <v>0</v>
      </c>
      <c r="K21" s="1054"/>
      <c r="L21" s="551" t="s">
        <v>66</v>
      </c>
      <c r="M21" s="672">
        <f>M20*0.19</f>
        <v>0</v>
      </c>
      <c r="N21" s="1054"/>
    </row>
    <row r="22" spans="6:14" x14ac:dyDescent="0.3">
      <c r="F22" s="1123" t="s">
        <v>69</v>
      </c>
      <c r="G22" s="672">
        <f>G20+G21</f>
        <v>3242858.29</v>
      </c>
      <c r="I22" s="552" t="s">
        <v>69</v>
      </c>
      <c r="J22" s="672">
        <f>J20+J21</f>
        <v>0</v>
      </c>
      <c r="K22" s="1054"/>
      <c r="L22" s="552" t="s">
        <v>69</v>
      </c>
      <c r="M22" s="672">
        <f>M20+M21</f>
        <v>0</v>
      </c>
      <c r="N22" s="1054"/>
    </row>
    <row r="23" spans="6:14" x14ac:dyDescent="0.3">
      <c r="I23" s="1054"/>
      <c r="J23" s="1054"/>
      <c r="K23" s="1054"/>
      <c r="L23" s="1054"/>
      <c r="M23" s="1054"/>
      <c r="N23" s="1054"/>
    </row>
    <row r="24" spans="6:14" x14ac:dyDescent="0.3">
      <c r="I24" s="186" t="s">
        <v>70</v>
      </c>
      <c r="J24" s="187" t="s">
        <v>71</v>
      </c>
      <c r="K24" s="186" t="s">
        <v>58</v>
      </c>
      <c r="L24" s="1054"/>
      <c r="M24" s="1054"/>
      <c r="N24" s="1054"/>
    </row>
    <row r="25" spans="6:14" x14ac:dyDescent="0.3">
      <c r="I25" s="69" t="s">
        <v>72</v>
      </c>
      <c r="J25" s="70">
        <f>J20</f>
        <v>0</v>
      </c>
      <c r="K25" s="360">
        <f>K20</f>
        <v>0</v>
      </c>
      <c r="L25" s="1054"/>
      <c r="M25" s="1054"/>
      <c r="N25" s="1054"/>
    </row>
    <row r="26" spans="6:14" x14ac:dyDescent="0.3">
      <c r="I26" s="72" t="s">
        <v>1</v>
      </c>
      <c r="J26" s="105">
        <f>J25</f>
        <v>0</v>
      </c>
      <c r="K26" s="361">
        <f>K25</f>
        <v>0</v>
      </c>
      <c r="L26" s="1054"/>
      <c r="M26" s="1054"/>
      <c r="N26" s="1054"/>
    </row>
    <row r="27" spans="6:14" x14ac:dyDescent="0.3">
      <c r="I27" s="72" t="s">
        <v>9</v>
      </c>
      <c r="J27" s="1423"/>
      <c r="K27" s="1424"/>
      <c r="L27" s="1054"/>
      <c r="M27" s="1054"/>
      <c r="N27" s="1054"/>
    </row>
    <row r="28" spans="6:14" x14ac:dyDescent="0.3">
      <c r="I28" s="440" t="s">
        <v>78</v>
      </c>
      <c r="J28" s="1423" t="s">
        <v>2227</v>
      </c>
      <c r="K28" s="1424"/>
      <c r="L28" s="1054"/>
      <c r="M28" s="1054"/>
      <c r="N28" s="1054"/>
    </row>
    <row r="29" spans="6:14" x14ac:dyDescent="0.3">
      <c r="I29" s="439" t="s">
        <v>8</v>
      </c>
      <c r="J29" s="1425" t="s">
        <v>2228</v>
      </c>
      <c r="K29" s="1426"/>
      <c r="L29" s="1054"/>
      <c r="M29" s="1054"/>
      <c r="N29" s="1054"/>
    </row>
    <row r="30" spans="6:14" x14ac:dyDescent="0.3">
      <c r="I30" s="1054"/>
      <c r="J30" s="1054"/>
      <c r="K30" s="1054"/>
      <c r="L30" s="1054"/>
      <c r="M30" s="1054"/>
      <c r="N30" s="1054"/>
    </row>
    <row r="31" spans="6:14" x14ac:dyDescent="0.3">
      <c r="I31" s="1054"/>
      <c r="J31" s="1054"/>
      <c r="K31" s="1054"/>
      <c r="L31" s="1054"/>
      <c r="M31" s="1054"/>
      <c r="N31" s="1054"/>
    </row>
    <row r="32" spans="6:14" x14ac:dyDescent="0.3">
      <c r="I32" s="1054"/>
      <c r="J32" s="1054"/>
      <c r="K32" s="1054"/>
      <c r="L32" s="1054"/>
      <c r="M32" s="1054"/>
      <c r="N32" s="1054"/>
    </row>
    <row r="33" spans="9:14" x14ac:dyDescent="0.3">
      <c r="I33" s="1054"/>
      <c r="J33" s="1054"/>
      <c r="K33" s="1054"/>
      <c r="L33" s="1054"/>
      <c r="M33" s="1054"/>
      <c r="N33" s="1054"/>
    </row>
  </sheetData>
  <mergeCells count="21">
    <mergeCell ref="A5:M5"/>
    <mergeCell ref="C1:J2"/>
    <mergeCell ref="K1:N1"/>
    <mergeCell ref="K2:N2"/>
    <mergeCell ref="A3:M3"/>
    <mergeCell ref="A4:M4"/>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s>
  <pageMargins left="0.7" right="0.7" top="0.75" bottom="0.75" header="0.3" footer="0.3"/>
  <drawing r:id="rId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9"/>
  <dimension ref="A1:G49"/>
  <sheetViews>
    <sheetView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RESUMEN!G185</f>
        <v>Proyecto: CDIE_CBCCSM_RCN25, PC2 - REDISEÑO IN-OUT SE MT-MT</v>
      </c>
      <c r="C5" s="1281"/>
      <c r="D5" s="1281"/>
      <c r="E5" s="1281"/>
      <c r="F5" s="1281"/>
      <c r="G5" s="1282"/>
    </row>
    <row r="6" spans="1:7" x14ac:dyDescent="0.25">
      <c r="A6" s="1177"/>
      <c r="B6" s="1177"/>
      <c r="C6" s="1177"/>
      <c r="D6" s="1177"/>
      <c r="E6" s="1177"/>
      <c r="F6" s="1177"/>
      <c r="G6" s="1177"/>
    </row>
    <row r="7" spans="1:7" x14ac:dyDescent="0.25">
      <c r="A7" s="271" t="s">
        <v>0</v>
      </c>
      <c r="B7" s="1264" t="str">
        <f>RESUMEN!B185</f>
        <v>D00249318</v>
      </c>
      <c r="C7" s="1265"/>
      <c r="D7" s="1177"/>
      <c r="E7" s="1266" t="s">
        <v>627</v>
      </c>
      <c r="F7" s="1267"/>
      <c r="G7" s="280" t="str">
        <f>RESUMEN!E185</f>
        <v xml:space="preserve">18-049 </v>
      </c>
    </row>
    <row r="8" spans="1:7" x14ac:dyDescent="0.25">
      <c r="A8" s="271" t="s">
        <v>628</v>
      </c>
      <c r="B8" s="1264" t="str">
        <f>RESUMEN!C185</f>
        <v>D00249318000</v>
      </c>
      <c r="C8" s="1265"/>
      <c r="D8" s="1177"/>
      <c r="E8" s="1266" t="s">
        <v>629</v>
      </c>
      <c r="F8" s="1267"/>
      <c r="G8" s="280" t="str">
        <f>RESUMEN!U185</f>
        <v>Acta N° 1: Marzo</v>
      </c>
    </row>
    <row r="9" spans="1:7" x14ac:dyDescent="0.25">
      <c r="A9" s="271" t="s">
        <v>630</v>
      </c>
      <c r="B9" s="1283" t="s">
        <v>631</v>
      </c>
      <c r="C9" s="1265"/>
      <c r="D9" s="1177"/>
      <c r="E9" s="1266" t="s">
        <v>632</v>
      </c>
      <c r="F9" s="1267"/>
      <c r="G9" s="1178">
        <f>RESUMEN!H185</f>
        <v>3894012</v>
      </c>
    </row>
    <row r="10" spans="1:7" x14ac:dyDescent="0.25">
      <c r="A10" s="271" t="s">
        <v>633</v>
      </c>
      <c r="B10" s="1283" t="str">
        <f>RESUMEN!D185</f>
        <v>VARIAS</v>
      </c>
      <c r="C10" s="1265"/>
      <c r="D10" s="1177"/>
      <c r="E10" s="1266" t="s">
        <v>634</v>
      </c>
      <c r="F10" s="1267"/>
      <c r="G10" s="1178">
        <f>RESUMEN!R185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CDIE_CBCCSM_RCN25, PC2 - REDISEÑO IN-OUT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RESUMEN!N185</f>
        <v>0</v>
      </c>
      <c r="F19" s="1248"/>
      <c r="G19" s="1177"/>
    </row>
    <row r="20" spans="1:7" ht="27" customHeight="1" x14ac:dyDescent="0.25">
      <c r="A20" s="1177"/>
      <c r="B20" s="1244" t="s">
        <v>1498</v>
      </c>
      <c r="C20" s="1245"/>
      <c r="D20" s="1246"/>
      <c r="E20" s="1247">
        <f>RESUMEN!P185</f>
        <v>0</v>
      </c>
      <c r="F20" s="1248"/>
      <c r="G20" s="1177"/>
    </row>
    <row r="21" spans="1:7" ht="27" customHeight="1" x14ac:dyDescent="0.25">
      <c r="A21" s="1177"/>
      <c r="B21" s="1244" t="s">
        <v>1499</v>
      </c>
      <c r="C21" s="1245"/>
      <c r="D21" s="1246"/>
      <c r="E21" s="1247">
        <f>RESUMEN!Q185</f>
        <v>0</v>
      </c>
      <c r="F21" s="1248"/>
      <c r="G21" s="1177"/>
    </row>
    <row r="22" spans="1:7" x14ac:dyDescent="0.25">
      <c r="A22" s="1177"/>
      <c r="B22" s="1254" t="s">
        <v>64</v>
      </c>
      <c r="C22" s="1254"/>
      <c r="D22" s="1254"/>
      <c r="E22" s="1255">
        <f>RESUMEN!R185</f>
        <v>0</v>
      </c>
      <c r="F22" s="1255"/>
      <c r="G22" s="1177"/>
    </row>
    <row r="23" spans="1:7" x14ac:dyDescent="0.25">
      <c r="A23" s="1177"/>
      <c r="B23" s="1256" t="s">
        <v>66</v>
      </c>
      <c r="C23" s="1256"/>
      <c r="D23" s="1256"/>
      <c r="E23" s="1257">
        <f>RESUMEN!S185</f>
        <v>0</v>
      </c>
      <c r="F23" s="1257"/>
      <c r="G23" s="1177"/>
    </row>
    <row r="24" spans="1:7" x14ac:dyDescent="0.25">
      <c r="A24" s="1177"/>
      <c r="B24" s="1258" t="s">
        <v>1</v>
      </c>
      <c r="C24" s="1258"/>
      <c r="D24" s="1258"/>
      <c r="E24" s="1259">
        <f>RESUMEN!T185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+'OT18-049 VARIAS'!I31</f>
        <v>ACTA 1</v>
      </c>
      <c r="C28" s="1253">
        <f>+'OT18-049 VARIAS'!J31</f>
        <v>0</v>
      </c>
      <c r="D28" s="1253"/>
      <c r="E28" s="267">
        <f>+'OT18-049 VARIAS'!K31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0"/>
  <dimension ref="A1:N36"/>
  <sheetViews>
    <sheetView topLeftCell="A19" zoomScale="90" zoomScaleNormal="90" workbookViewId="0">
      <selection activeCell="H35" sqref="H35"/>
    </sheetView>
  </sheetViews>
  <sheetFormatPr baseColWidth="10" defaultRowHeight="14.4" x14ac:dyDescent="0.3"/>
  <cols>
    <col min="2" max="2" width="25.109375" customWidth="1"/>
    <col min="3" max="4" width="23.21875" customWidth="1"/>
    <col min="7" max="7" width="14.5546875" customWidth="1"/>
    <col min="8" max="8" width="31.5546875" customWidth="1"/>
  </cols>
  <sheetData>
    <row r="1" spans="1:14" x14ac:dyDescent="0.3">
      <c r="A1" s="169"/>
      <c r="B1" s="188"/>
      <c r="C1" s="1307" t="s">
        <v>40</v>
      </c>
      <c r="D1" s="1308"/>
      <c r="E1" s="1308"/>
      <c r="F1" s="1308"/>
      <c r="G1" s="1308"/>
      <c r="H1" s="1308"/>
      <c r="I1" s="1308"/>
      <c r="J1" s="1308"/>
      <c r="K1" s="1532" t="s">
        <v>2500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2499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2507</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2501</v>
      </c>
      <c r="B14" s="1510" t="s">
        <v>210</v>
      </c>
      <c r="C14" s="1062" t="s">
        <v>81</v>
      </c>
      <c r="D14" s="1062" t="s">
        <v>207</v>
      </c>
      <c r="E14" s="1143">
        <v>0</v>
      </c>
      <c r="F14" s="646">
        <v>841751</v>
      </c>
      <c r="G14" s="646">
        <f>ROUND((E14*F14),0)</f>
        <v>0</v>
      </c>
      <c r="H14" s="1514" t="s">
        <v>2502</v>
      </c>
      <c r="I14" s="799">
        <v>0</v>
      </c>
      <c r="J14" s="1132">
        <f>ROUND(I14*F14,0)</f>
        <v>0</v>
      </c>
      <c r="K14" s="1133">
        <v>0</v>
      </c>
      <c r="L14" s="1134">
        <f t="shared" ref="L14:M17" si="0">I14</f>
        <v>0</v>
      </c>
      <c r="M14" s="1124">
        <f t="shared" si="0"/>
        <v>0</v>
      </c>
      <c r="N14" s="1133">
        <v>0</v>
      </c>
    </row>
    <row r="15" spans="1:14" ht="43.2" x14ac:dyDescent="0.3">
      <c r="A15" s="1510"/>
      <c r="B15" s="1510"/>
      <c r="C15" s="1062" t="s">
        <v>83</v>
      </c>
      <c r="D15" s="1062" t="s">
        <v>208</v>
      </c>
      <c r="E15" s="1143">
        <v>0.7</v>
      </c>
      <c r="F15" s="646">
        <v>2781437</v>
      </c>
      <c r="G15" s="646">
        <f>ROUND((E15*F15),0)</f>
        <v>1947006</v>
      </c>
      <c r="H15" s="1510"/>
      <c r="I15" s="799">
        <v>0</v>
      </c>
      <c r="J15" s="1132">
        <f t="shared" ref="J15:J16" si="1">ROUND(I15*F15,0)</f>
        <v>0</v>
      </c>
      <c r="K15" s="1133">
        <v>0</v>
      </c>
      <c r="L15" s="1134">
        <f t="shared" si="0"/>
        <v>0</v>
      </c>
      <c r="M15" s="1124">
        <f t="shared" si="0"/>
        <v>0</v>
      </c>
      <c r="N15" s="1133">
        <v>0</v>
      </c>
    </row>
    <row r="16" spans="1:14" ht="43.2" x14ac:dyDescent="0.3">
      <c r="A16" s="1510"/>
      <c r="B16" s="1510"/>
      <c r="C16" s="1062" t="s">
        <v>61</v>
      </c>
      <c r="D16" s="1062" t="s">
        <v>209</v>
      </c>
      <c r="E16" s="1143">
        <v>0</v>
      </c>
      <c r="F16" s="646">
        <v>1866491</v>
      </c>
      <c r="G16" s="646">
        <f>ROUND((E16*F16),0)</f>
        <v>0</v>
      </c>
      <c r="H16" s="1510"/>
      <c r="I16" s="799">
        <v>0</v>
      </c>
      <c r="J16" s="1132">
        <f t="shared" si="1"/>
        <v>0</v>
      </c>
      <c r="K16" s="1133">
        <v>0</v>
      </c>
      <c r="L16" s="1134">
        <f t="shared" si="0"/>
        <v>0</v>
      </c>
      <c r="M16" s="1124">
        <f t="shared" si="0"/>
        <v>0</v>
      </c>
      <c r="N16" s="1133">
        <v>0</v>
      </c>
    </row>
    <row r="17" spans="1:14" x14ac:dyDescent="0.3">
      <c r="A17" s="1510"/>
      <c r="B17" s="1510"/>
      <c r="C17" s="647"/>
      <c r="D17" s="647" t="s">
        <v>136</v>
      </c>
      <c r="E17" s="1155"/>
      <c r="F17" s="648"/>
      <c r="G17" s="649">
        <f>SUM(G14:G16)</f>
        <v>1947006</v>
      </c>
      <c r="H17" s="1510"/>
      <c r="I17" s="1108"/>
      <c r="J17" s="1146">
        <f>SUM(J14:J16)</f>
        <v>0</v>
      </c>
      <c r="K17" s="1136">
        <f t="shared" ref="K17" si="2">J17/G17</f>
        <v>0</v>
      </c>
      <c r="L17" s="1137"/>
      <c r="M17" s="1138">
        <f t="shared" si="0"/>
        <v>0</v>
      </c>
      <c r="N17" s="1136">
        <f t="shared" ref="N17" si="3">M17/G17</f>
        <v>0</v>
      </c>
    </row>
    <row r="18" spans="1:14" ht="43.2" x14ac:dyDescent="0.3">
      <c r="A18" s="1510" t="s">
        <v>2503</v>
      </c>
      <c r="B18" s="1510" t="s">
        <v>210</v>
      </c>
      <c r="C18" s="1062" t="s">
        <v>81</v>
      </c>
      <c r="D18" s="1062" t="s">
        <v>207</v>
      </c>
      <c r="E18" s="1143">
        <v>0</v>
      </c>
      <c r="F18" s="646">
        <v>841751</v>
      </c>
      <c r="G18" s="646">
        <f>ROUND((E18*F18),0)</f>
        <v>0</v>
      </c>
      <c r="H18" s="1510" t="s">
        <v>2502</v>
      </c>
      <c r="I18" s="799">
        <v>0</v>
      </c>
      <c r="J18" s="1132">
        <f>ROUND(I18*F18,0)</f>
        <v>0</v>
      </c>
      <c r="K18" s="1133">
        <v>0</v>
      </c>
      <c r="L18" s="1134">
        <f t="shared" ref="L18:L20" si="4">I18</f>
        <v>0</v>
      </c>
      <c r="M18" s="1124">
        <f t="shared" ref="M18:M21" si="5">J18</f>
        <v>0</v>
      </c>
      <c r="N18" s="1133">
        <v>0</v>
      </c>
    </row>
    <row r="19" spans="1:14" ht="43.2" x14ac:dyDescent="0.3">
      <c r="A19" s="1510"/>
      <c r="B19" s="1510"/>
      <c r="C19" s="1062" t="s">
        <v>83</v>
      </c>
      <c r="D19" s="1062" t="s">
        <v>208</v>
      </c>
      <c r="E19" s="1143">
        <v>0.7</v>
      </c>
      <c r="F19" s="646">
        <v>2781437</v>
      </c>
      <c r="G19" s="646">
        <f>ROUND((E19*F19),0)</f>
        <v>1947006</v>
      </c>
      <c r="H19" s="1510"/>
      <c r="I19" s="799">
        <v>0</v>
      </c>
      <c r="J19" s="1132">
        <f t="shared" ref="J19:J20" si="6">ROUND(I19*F19,0)</f>
        <v>0</v>
      </c>
      <c r="K19" s="1133">
        <v>0</v>
      </c>
      <c r="L19" s="1134">
        <f t="shared" si="4"/>
        <v>0</v>
      </c>
      <c r="M19" s="1124">
        <f t="shared" si="5"/>
        <v>0</v>
      </c>
      <c r="N19" s="1133">
        <v>0</v>
      </c>
    </row>
    <row r="20" spans="1:14" ht="43.2" x14ac:dyDescent="0.3">
      <c r="A20" s="1510"/>
      <c r="B20" s="1510"/>
      <c r="C20" s="1062" t="s">
        <v>61</v>
      </c>
      <c r="D20" s="1062" t="s">
        <v>209</v>
      </c>
      <c r="E20" s="1143">
        <v>0</v>
      </c>
      <c r="F20" s="646">
        <v>1866491</v>
      </c>
      <c r="G20" s="646">
        <f>ROUND((E20*F20),0)</f>
        <v>0</v>
      </c>
      <c r="H20" s="1510"/>
      <c r="I20" s="799">
        <v>0</v>
      </c>
      <c r="J20" s="1132">
        <f t="shared" si="6"/>
        <v>0</v>
      </c>
      <c r="K20" s="1133">
        <v>0</v>
      </c>
      <c r="L20" s="1134">
        <f t="shared" si="4"/>
        <v>0</v>
      </c>
      <c r="M20" s="1124">
        <f t="shared" si="5"/>
        <v>0</v>
      </c>
      <c r="N20" s="1133">
        <v>0</v>
      </c>
    </row>
    <row r="21" spans="1:14" x14ac:dyDescent="0.3">
      <c r="A21" s="1510"/>
      <c r="B21" s="1510"/>
      <c r="C21" s="647"/>
      <c r="D21" s="647" t="s">
        <v>136</v>
      </c>
      <c r="E21" s="648"/>
      <c r="F21" s="648"/>
      <c r="G21" s="649">
        <f>SUM(G18:G20)</f>
        <v>1947006</v>
      </c>
      <c r="H21" s="1510"/>
      <c r="I21" s="1108"/>
      <c r="J21" s="1146">
        <f>SUM(J18:J20)</f>
        <v>0</v>
      </c>
      <c r="K21" s="1136">
        <f t="shared" ref="K21" si="7">J21/G21</f>
        <v>0</v>
      </c>
      <c r="L21" s="1137"/>
      <c r="M21" s="1138">
        <f t="shared" si="5"/>
        <v>0</v>
      </c>
      <c r="N21" s="1136">
        <f t="shared" ref="N21" si="8">M21/G21</f>
        <v>0</v>
      </c>
    </row>
    <row r="22" spans="1:14" x14ac:dyDescent="0.3">
      <c r="F22" s="836" t="s">
        <v>1740</v>
      </c>
      <c r="G22" s="650">
        <f>SUM(G14:G21)/2</f>
        <v>3894012</v>
      </c>
      <c r="I22" s="547" t="s">
        <v>64</v>
      </c>
      <c r="J22" s="855">
        <f>SUM(J14:J21)/2</f>
        <v>0</v>
      </c>
      <c r="K22" s="1054"/>
      <c r="L22" s="547" t="s">
        <v>64</v>
      </c>
      <c r="M22" s="835">
        <f>SUM(M14:M21)/2</f>
        <v>0</v>
      </c>
      <c r="N22" s="1054"/>
    </row>
    <row r="23" spans="1:14" ht="26.4" x14ac:dyDescent="0.3">
      <c r="F23" s="1118" t="s">
        <v>65</v>
      </c>
      <c r="G23" s="1115">
        <v>0</v>
      </c>
      <c r="I23" s="548" t="s">
        <v>65</v>
      </c>
      <c r="J23" s="677">
        <v>0</v>
      </c>
      <c r="K23" s="1054"/>
      <c r="L23" s="548" t="s">
        <v>65</v>
      </c>
      <c r="M23" s="677">
        <v>0</v>
      </c>
      <c r="N23" s="1054"/>
    </row>
    <row r="24" spans="1:14" x14ac:dyDescent="0.3">
      <c r="F24" s="1119" t="s">
        <v>64</v>
      </c>
      <c r="G24" s="1151">
        <f>G22+G23</f>
        <v>3894012</v>
      </c>
      <c r="I24" s="549" t="s">
        <v>64</v>
      </c>
      <c r="J24" s="481">
        <f>J22+J23</f>
        <v>0</v>
      </c>
      <c r="K24" s="1054"/>
      <c r="L24" s="549" t="s">
        <v>64</v>
      </c>
      <c r="M24" s="481">
        <f>M22+M23</f>
        <v>0</v>
      </c>
      <c r="N24" s="1054"/>
    </row>
    <row r="25" spans="1:14" ht="26.4" x14ac:dyDescent="0.3">
      <c r="F25" s="501" t="s">
        <v>1439</v>
      </c>
      <c r="G25" s="1116">
        <f>ROUND(G24*0.015,0)</f>
        <v>58410</v>
      </c>
      <c r="I25" s="501" t="s">
        <v>1439</v>
      </c>
      <c r="J25" s="481">
        <f>ROUND(J24*0.015,0)</f>
        <v>0</v>
      </c>
      <c r="K25" s="1054"/>
      <c r="L25" s="501" t="s">
        <v>1439</v>
      </c>
      <c r="M25" s="481">
        <f>ROUND(M24*0.015,0)</f>
        <v>0</v>
      </c>
      <c r="N25" s="1054"/>
    </row>
    <row r="26" spans="1:14" ht="39.6" x14ac:dyDescent="0.3">
      <c r="F26" s="96" t="s">
        <v>1440</v>
      </c>
      <c r="G26" s="1117">
        <f>G24+G25</f>
        <v>3952422</v>
      </c>
      <c r="I26" s="96" t="s">
        <v>1440</v>
      </c>
      <c r="J26" s="783">
        <f>J24+J25</f>
        <v>0</v>
      </c>
      <c r="K26" s="856">
        <f>J26/G22</f>
        <v>0</v>
      </c>
      <c r="L26" s="96" t="s">
        <v>1440</v>
      </c>
      <c r="M26" s="425">
        <f>M24+M25</f>
        <v>0</v>
      </c>
      <c r="N26" s="857">
        <f>M26/G22</f>
        <v>0</v>
      </c>
    </row>
    <row r="27" spans="1:14" x14ac:dyDescent="0.3">
      <c r="F27" s="1122" t="s">
        <v>66</v>
      </c>
      <c r="G27" s="783">
        <f>G26*0.19</f>
        <v>750960.18</v>
      </c>
      <c r="I27" s="551" t="s">
        <v>66</v>
      </c>
      <c r="J27" s="672">
        <f>J26*0.19</f>
        <v>0</v>
      </c>
      <c r="K27" s="1054"/>
      <c r="L27" s="551" t="s">
        <v>66</v>
      </c>
      <c r="M27" s="672">
        <f>M26*0.19</f>
        <v>0</v>
      </c>
      <c r="N27" s="1054"/>
    </row>
    <row r="28" spans="1:14" x14ac:dyDescent="0.3">
      <c r="F28" s="1123" t="s">
        <v>69</v>
      </c>
      <c r="G28" s="672">
        <f>G26+G27</f>
        <v>4703382.18</v>
      </c>
      <c r="I28" s="552" t="s">
        <v>69</v>
      </c>
      <c r="J28" s="672">
        <f>J26+J27</f>
        <v>0</v>
      </c>
      <c r="K28" s="1054"/>
      <c r="L28" s="552" t="s">
        <v>69</v>
      </c>
      <c r="M28" s="672">
        <f>M26+M27</f>
        <v>0</v>
      </c>
      <c r="N28" s="1054"/>
    </row>
    <row r="29" spans="1:14" x14ac:dyDescent="0.3">
      <c r="I29" s="1054"/>
      <c r="J29" s="1054"/>
      <c r="K29" s="1054"/>
      <c r="L29" s="1054"/>
      <c r="M29" s="1054"/>
      <c r="N29" s="1054"/>
    </row>
    <row r="30" spans="1:14" ht="26.4" x14ac:dyDescent="0.3">
      <c r="I30" s="186" t="s">
        <v>70</v>
      </c>
      <c r="J30" s="187" t="s">
        <v>71</v>
      </c>
      <c r="K30" s="186" t="s">
        <v>58</v>
      </c>
      <c r="L30" s="1054"/>
      <c r="M30" s="1054"/>
      <c r="N30" s="1054"/>
    </row>
    <row r="31" spans="1:14" x14ac:dyDescent="0.3">
      <c r="I31" s="69" t="s">
        <v>72</v>
      </c>
      <c r="J31" s="70">
        <f>J26</f>
        <v>0</v>
      </c>
      <c r="K31" s="360">
        <f>K26</f>
        <v>0</v>
      </c>
      <c r="L31" s="1054"/>
      <c r="M31" s="1054"/>
      <c r="N31" s="1054"/>
    </row>
    <row r="32" spans="1:14" x14ac:dyDescent="0.3">
      <c r="I32" s="72" t="s">
        <v>1</v>
      </c>
      <c r="J32" s="105">
        <f>J31</f>
        <v>0</v>
      </c>
      <c r="K32" s="361">
        <f>K31</f>
        <v>0</v>
      </c>
      <c r="L32" s="1054"/>
      <c r="M32" s="1054"/>
      <c r="N32" s="1054"/>
    </row>
    <row r="33" spans="9:14" x14ac:dyDescent="0.3">
      <c r="I33" s="72" t="s">
        <v>9</v>
      </c>
      <c r="J33" s="1423"/>
      <c r="K33" s="1424"/>
      <c r="L33" s="1054"/>
      <c r="M33" s="1054"/>
      <c r="N33" s="1054"/>
    </row>
    <row r="34" spans="9:14" x14ac:dyDescent="0.3">
      <c r="I34" s="440" t="s">
        <v>78</v>
      </c>
      <c r="J34" s="1423" t="s">
        <v>2504</v>
      </c>
      <c r="K34" s="1424"/>
      <c r="L34" s="1054"/>
      <c r="M34" s="1054"/>
      <c r="N34" s="1054"/>
    </row>
    <row r="35" spans="9:14" x14ac:dyDescent="0.3">
      <c r="I35" s="439" t="s">
        <v>8</v>
      </c>
      <c r="J35" s="1425" t="s">
        <v>2505</v>
      </c>
      <c r="K35" s="1426"/>
      <c r="L35" s="1054"/>
      <c r="M35" s="1054"/>
      <c r="N35" s="1054"/>
    </row>
    <row r="36" spans="9:14" x14ac:dyDescent="0.3">
      <c r="I36" s="1054"/>
      <c r="J36" s="1054"/>
      <c r="K36" s="1054"/>
      <c r="L36" s="1054"/>
      <c r="M36" s="1054"/>
      <c r="N36" s="1054"/>
    </row>
  </sheetData>
  <mergeCells count="24">
    <mergeCell ref="A5:M5"/>
    <mergeCell ref="C1:J2"/>
    <mergeCell ref="K1:N1"/>
    <mergeCell ref="K2:N2"/>
    <mergeCell ref="A3:M3"/>
    <mergeCell ref="A4:M4"/>
    <mergeCell ref="B11:F11"/>
    <mergeCell ref="I11:K12"/>
    <mergeCell ref="L11:N12"/>
    <mergeCell ref="B12:F12"/>
    <mergeCell ref="B18:B21"/>
    <mergeCell ref="H18:H21"/>
    <mergeCell ref="A6:M6"/>
    <mergeCell ref="A7:M7"/>
    <mergeCell ref="A8:M8"/>
    <mergeCell ref="A9:M9"/>
    <mergeCell ref="A10:M10"/>
    <mergeCell ref="J33:K33"/>
    <mergeCell ref="J34:K34"/>
    <mergeCell ref="J35:K35"/>
    <mergeCell ref="A14:A17"/>
    <mergeCell ref="B14:B17"/>
    <mergeCell ref="H14:H17"/>
    <mergeCell ref="A18:A21"/>
  </mergeCells>
  <pageMargins left="0.7" right="0.7" top="0.75" bottom="0.75" header="0.3" footer="0.3"/>
  <drawing r:id="rId1"/>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1"/>
  <dimension ref="A1:G49"/>
  <sheetViews>
    <sheetView workbookViewId="0">
      <selection activeCell="I32" sqref="I3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RESUMEN!G186</f>
        <v>Proyecto: CDIE_CBCCSM_RCN25, PC2 - REDISEÑO IN-OUT SE MT-MT</v>
      </c>
      <c r="C5" s="1281"/>
      <c r="D5" s="1281"/>
      <c r="E5" s="1281"/>
      <c r="F5" s="1281"/>
      <c r="G5" s="1282"/>
    </row>
    <row r="6" spans="1:7" x14ac:dyDescent="0.25">
      <c r="A6" s="1177"/>
      <c r="B6" s="1177"/>
      <c r="C6" s="1177"/>
      <c r="D6" s="1177"/>
      <c r="E6" s="1177"/>
      <c r="F6" s="1177"/>
      <c r="G6" s="1177"/>
    </row>
    <row r="7" spans="1:7" x14ac:dyDescent="0.25">
      <c r="A7" s="271" t="s">
        <v>0</v>
      </c>
      <c r="B7" s="1264" t="str">
        <f>RESUMEN!B186</f>
        <v>D00249318</v>
      </c>
      <c r="C7" s="1265"/>
      <c r="D7" s="1177"/>
      <c r="E7" s="1266" t="s">
        <v>627</v>
      </c>
      <c r="F7" s="1267"/>
      <c r="G7" s="280" t="str">
        <f>RESUMEN!E186</f>
        <v>18-051</v>
      </c>
    </row>
    <row r="8" spans="1:7" x14ac:dyDescent="0.25">
      <c r="A8" s="271" t="s">
        <v>628</v>
      </c>
      <c r="B8" s="1264" t="str">
        <f>RESUMEN!C186</f>
        <v>D00249318000</v>
      </c>
      <c r="C8" s="1265"/>
      <c r="D8" s="1177"/>
      <c r="E8" s="1266" t="s">
        <v>629</v>
      </c>
      <c r="F8" s="1267"/>
      <c r="G8" s="280" t="str">
        <f>RESUMEN!U186</f>
        <v>Acta N° 1: Marzo</v>
      </c>
    </row>
    <row r="9" spans="1:7" x14ac:dyDescent="0.25">
      <c r="A9" s="271" t="s">
        <v>630</v>
      </c>
      <c r="B9" s="1283" t="s">
        <v>631</v>
      </c>
      <c r="C9" s="1265"/>
      <c r="D9" s="1177"/>
      <c r="E9" s="1266" t="s">
        <v>632</v>
      </c>
      <c r="F9" s="1267"/>
      <c r="G9" s="1178">
        <f>RESUMEN!H186</f>
        <v>13321621</v>
      </c>
    </row>
    <row r="10" spans="1:7" x14ac:dyDescent="0.25">
      <c r="A10" s="271" t="s">
        <v>633</v>
      </c>
      <c r="B10" s="1283" t="str">
        <f>RESUMEN!D186</f>
        <v xml:space="preserve"> EL HOBAL</v>
      </c>
      <c r="C10" s="1265"/>
      <c r="D10" s="1177"/>
      <c r="E10" s="1266" t="s">
        <v>634</v>
      </c>
      <c r="F10" s="1267"/>
      <c r="G10" s="1178">
        <f>RESUMEN!R186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CDIE_CBCCSM_RCN25, PC2 - REDISEÑO IN-OUT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RESUMEN!N186</f>
        <v>0</v>
      </c>
      <c r="F19" s="1248"/>
      <c r="G19" s="1177"/>
    </row>
    <row r="20" spans="1:7" ht="27" customHeight="1" x14ac:dyDescent="0.25">
      <c r="A20" s="1177"/>
      <c r="B20" s="1244" t="s">
        <v>1498</v>
      </c>
      <c r="C20" s="1245"/>
      <c r="D20" s="1246"/>
      <c r="E20" s="1247">
        <f>RESUMEN!P186</f>
        <v>0</v>
      </c>
      <c r="F20" s="1248"/>
      <c r="G20" s="1177"/>
    </row>
    <row r="21" spans="1:7" ht="27" customHeight="1" x14ac:dyDescent="0.25">
      <c r="A21" s="1177"/>
      <c r="B21" s="1244" t="s">
        <v>1499</v>
      </c>
      <c r="C21" s="1245"/>
      <c r="D21" s="1246"/>
      <c r="E21" s="1247">
        <f>RESUMEN!Q186</f>
        <v>0</v>
      </c>
      <c r="F21" s="1248"/>
      <c r="G21" s="1177"/>
    </row>
    <row r="22" spans="1:7" x14ac:dyDescent="0.25">
      <c r="A22" s="1177"/>
      <c r="B22" s="1254" t="s">
        <v>64</v>
      </c>
      <c r="C22" s="1254"/>
      <c r="D22" s="1254"/>
      <c r="E22" s="1255">
        <f>RESUMEN!R186</f>
        <v>0</v>
      </c>
      <c r="F22" s="1255"/>
      <c r="G22" s="1177"/>
    </row>
    <row r="23" spans="1:7" x14ac:dyDescent="0.25">
      <c r="A23" s="1177"/>
      <c r="B23" s="1256" t="s">
        <v>66</v>
      </c>
      <c r="C23" s="1256"/>
      <c r="D23" s="1256"/>
      <c r="E23" s="1257">
        <f>RESUMEN!S186</f>
        <v>0</v>
      </c>
      <c r="F23" s="1257"/>
      <c r="G23" s="1177"/>
    </row>
    <row r="24" spans="1:7" x14ac:dyDescent="0.25">
      <c r="A24" s="1177"/>
      <c r="B24" s="1258" t="s">
        <v>1</v>
      </c>
      <c r="C24" s="1258"/>
      <c r="D24" s="1258"/>
      <c r="E24" s="1259">
        <f>RESUMEN!T186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+'OT18-051 EL HOBAL'!I26</f>
        <v>ACTA 1</v>
      </c>
      <c r="C28" s="1253">
        <f>+'OT18-051 EL HOBAL'!J26</f>
        <v>0</v>
      </c>
      <c r="D28" s="1253"/>
      <c r="E28" s="267">
        <f>+'OT18-051 EL HOBAL'!K26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2"/>
  <dimension ref="A1:N31"/>
  <sheetViews>
    <sheetView topLeftCell="D10" workbookViewId="0">
      <selection activeCell="I13" sqref="I13:N16"/>
    </sheetView>
  </sheetViews>
  <sheetFormatPr baseColWidth="10" defaultRowHeight="14.4" x14ac:dyDescent="0.3"/>
  <cols>
    <col min="2" max="2" width="19" customWidth="1"/>
    <col min="3" max="4" width="23.21875" customWidth="1"/>
    <col min="6" max="7" width="15.77734375" customWidth="1"/>
    <col min="8" max="8" width="33.21875" customWidth="1"/>
  </cols>
  <sheetData>
    <row r="1" spans="1:14" x14ac:dyDescent="0.3">
      <c r="A1" s="169"/>
      <c r="B1" s="188"/>
      <c r="C1" s="1307" t="s">
        <v>40</v>
      </c>
      <c r="D1" s="1308"/>
      <c r="E1" s="1308"/>
      <c r="F1" s="1308"/>
      <c r="G1" s="1308"/>
      <c r="H1" s="1308"/>
      <c r="I1" s="1308"/>
      <c r="J1" s="1308"/>
      <c r="K1" s="1532" t="s">
        <v>2500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2499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2506</v>
      </c>
      <c r="B10" s="1292"/>
      <c r="C10" s="1292"/>
      <c r="D10" s="1292"/>
      <c r="E10" s="1292"/>
      <c r="F10" s="1292"/>
      <c r="G10" s="1292"/>
      <c r="H10" s="1292"/>
      <c r="I10" s="1292"/>
      <c r="J10" s="1292"/>
      <c r="K10" s="1292"/>
      <c r="L10" s="1292"/>
      <c r="M10" s="1292"/>
      <c r="N10" s="831"/>
    </row>
    <row r="11" spans="1:14" x14ac:dyDescent="0.3">
      <c r="A11" s="1051"/>
      <c r="B11" s="1301"/>
      <c r="C11" s="1313"/>
      <c r="D11" s="1313"/>
      <c r="E11" s="1313"/>
      <c r="F11" s="1313"/>
      <c r="G11" s="1054"/>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1133</v>
      </c>
      <c r="B14" s="1510" t="s">
        <v>320</v>
      </c>
      <c r="C14" s="1062" t="s">
        <v>59</v>
      </c>
      <c r="D14" s="1062" t="s">
        <v>321</v>
      </c>
      <c r="E14" s="1062">
        <v>1</v>
      </c>
      <c r="F14" s="646">
        <v>6331430</v>
      </c>
      <c r="G14" s="646">
        <f>ROUND((E14*F14),0)</f>
        <v>6331430</v>
      </c>
      <c r="H14" s="1514" t="s">
        <v>2508</v>
      </c>
      <c r="I14" s="799">
        <v>0</v>
      </c>
      <c r="J14" s="1132">
        <f>ROUND(I14*F14,0)</f>
        <v>0</v>
      </c>
      <c r="K14" s="1133">
        <f>J14/G14</f>
        <v>0</v>
      </c>
      <c r="L14" s="1134">
        <f t="shared" ref="L14:M16" si="0">I14</f>
        <v>0</v>
      </c>
      <c r="M14" s="1124">
        <f t="shared" si="0"/>
        <v>0</v>
      </c>
      <c r="N14" s="1133">
        <f>M14/G14</f>
        <v>0</v>
      </c>
    </row>
    <row r="15" spans="1:14" ht="43.2" x14ac:dyDescent="0.3">
      <c r="A15" s="1510"/>
      <c r="B15" s="1510"/>
      <c r="C15" s="1062" t="s">
        <v>61</v>
      </c>
      <c r="D15" s="1062" t="s">
        <v>322</v>
      </c>
      <c r="E15" s="1062">
        <v>1</v>
      </c>
      <c r="F15" s="646">
        <v>6990191</v>
      </c>
      <c r="G15" s="646">
        <f>ROUND((E15*F15),0)</f>
        <v>6990191</v>
      </c>
      <c r="H15" s="1510"/>
      <c r="I15" s="799">
        <v>0</v>
      </c>
      <c r="J15" s="1132">
        <f t="shared" ref="J15" si="1">ROUND(I15*F15,0)</f>
        <v>0</v>
      </c>
      <c r="K15" s="1133">
        <f>J15/G15</f>
        <v>0</v>
      </c>
      <c r="L15" s="1134">
        <f t="shared" si="0"/>
        <v>0</v>
      </c>
      <c r="M15" s="1124">
        <f t="shared" si="0"/>
        <v>0</v>
      </c>
      <c r="N15" s="1133">
        <f>M15/G15</f>
        <v>0</v>
      </c>
    </row>
    <row r="16" spans="1:14" x14ac:dyDescent="0.3">
      <c r="A16" s="1510"/>
      <c r="B16" s="1510"/>
      <c r="C16" s="647"/>
      <c r="D16" s="647" t="s">
        <v>143</v>
      </c>
      <c r="E16" s="648"/>
      <c r="F16" s="648"/>
      <c r="G16" s="649">
        <f>SUM(G14:G15)</f>
        <v>13321621</v>
      </c>
      <c r="H16" s="1510"/>
      <c r="I16" s="1108"/>
      <c r="J16" s="1146">
        <f>SUM(J14:J15)</f>
        <v>0</v>
      </c>
      <c r="K16" s="1136">
        <f>J16/G16</f>
        <v>0</v>
      </c>
      <c r="L16" s="1137"/>
      <c r="M16" s="1138">
        <f t="shared" si="0"/>
        <v>0</v>
      </c>
      <c r="N16" s="1136">
        <f t="shared" ref="N16" si="2">M16/G16</f>
        <v>0</v>
      </c>
    </row>
    <row r="17" spans="6:14" x14ac:dyDescent="0.3">
      <c r="F17" s="836" t="s">
        <v>1740</v>
      </c>
      <c r="G17" s="650">
        <f>SUM(G14:G16)/2</f>
        <v>13321621</v>
      </c>
      <c r="I17" s="547" t="s">
        <v>64</v>
      </c>
      <c r="J17" s="855">
        <f>SUM(J14:J16)/2</f>
        <v>0</v>
      </c>
      <c r="K17" s="1054"/>
      <c r="L17" s="547" t="s">
        <v>64</v>
      </c>
      <c r="M17" s="835">
        <f>SUM(M14:M16)/2</f>
        <v>0</v>
      </c>
      <c r="N17" s="1054"/>
    </row>
    <row r="18" spans="6:14" ht="26.4" x14ac:dyDescent="0.3">
      <c r="F18" s="1118" t="s">
        <v>65</v>
      </c>
      <c r="G18" s="1115">
        <v>0</v>
      </c>
      <c r="I18" s="548" t="s">
        <v>65</v>
      </c>
      <c r="J18" s="677">
        <v>0</v>
      </c>
      <c r="K18" s="1054"/>
      <c r="L18" s="548" t="s">
        <v>65</v>
      </c>
      <c r="M18" s="677">
        <v>0</v>
      </c>
      <c r="N18" s="1054"/>
    </row>
    <row r="19" spans="6:14" x14ac:dyDescent="0.3">
      <c r="F19" s="1119" t="s">
        <v>64</v>
      </c>
      <c r="G19" s="1151">
        <f>G17+G18</f>
        <v>13321621</v>
      </c>
      <c r="I19" s="549" t="s">
        <v>64</v>
      </c>
      <c r="J19" s="481">
        <f>J17+J18</f>
        <v>0</v>
      </c>
      <c r="K19" s="1054"/>
      <c r="L19" s="549" t="s">
        <v>64</v>
      </c>
      <c r="M19" s="481">
        <f>M17+M18</f>
        <v>0</v>
      </c>
      <c r="N19" s="1054"/>
    </row>
    <row r="20" spans="6:14" ht="26.4" x14ac:dyDescent="0.3">
      <c r="F20" s="501" t="s">
        <v>1439</v>
      </c>
      <c r="G20" s="1116">
        <f>ROUND(G19*0.015,0)</f>
        <v>199824</v>
      </c>
      <c r="I20" s="501" t="s">
        <v>1439</v>
      </c>
      <c r="J20" s="481">
        <f>ROUND(J19*0.015,0)</f>
        <v>0</v>
      </c>
      <c r="K20" s="1054"/>
      <c r="L20" s="501" t="s">
        <v>1439</v>
      </c>
      <c r="M20" s="481">
        <f>ROUND(M19*0.015,0)</f>
        <v>0</v>
      </c>
      <c r="N20" s="1054"/>
    </row>
    <row r="21" spans="6:14" ht="39.6" x14ac:dyDescent="0.3">
      <c r="F21" s="96" t="s">
        <v>1440</v>
      </c>
      <c r="G21" s="1117">
        <f>G19+G20</f>
        <v>13521445</v>
      </c>
      <c r="I21" s="96" t="s">
        <v>1440</v>
      </c>
      <c r="J21" s="783">
        <f>J19+J20</f>
        <v>0</v>
      </c>
      <c r="K21" s="856">
        <f>J21/G17</f>
        <v>0</v>
      </c>
      <c r="L21" s="96" t="s">
        <v>1440</v>
      </c>
      <c r="M21" s="425">
        <f>M19+M20</f>
        <v>0</v>
      </c>
      <c r="N21" s="857">
        <f>M21/G17</f>
        <v>0</v>
      </c>
    </row>
    <row r="22" spans="6:14" x14ac:dyDescent="0.3">
      <c r="F22" s="1122" t="s">
        <v>66</v>
      </c>
      <c r="G22" s="783">
        <f>G21*0.19</f>
        <v>2569074.5499999998</v>
      </c>
      <c r="I22" s="551" t="s">
        <v>66</v>
      </c>
      <c r="J22" s="672">
        <f>J21*0.19</f>
        <v>0</v>
      </c>
      <c r="K22" s="1054"/>
      <c r="L22" s="551" t="s">
        <v>66</v>
      </c>
      <c r="M22" s="672">
        <f>M21*0.19</f>
        <v>0</v>
      </c>
      <c r="N22" s="1054"/>
    </row>
    <row r="23" spans="6:14" x14ac:dyDescent="0.3">
      <c r="F23" s="1123" t="s">
        <v>69</v>
      </c>
      <c r="G23" s="672">
        <f>G21+G22</f>
        <v>16090519.550000001</v>
      </c>
      <c r="I23" s="552" t="s">
        <v>69</v>
      </c>
      <c r="J23" s="672">
        <f>J21+J22</f>
        <v>0</v>
      </c>
      <c r="K23" s="1054"/>
      <c r="L23" s="552" t="s">
        <v>69</v>
      </c>
      <c r="M23" s="672">
        <f>M21+M22</f>
        <v>0</v>
      </c>
      <c r="N23" s="1054"/>
    </row>
    <row r="24" spans="6:14" x14ac:dyDescent="0.3">
      <c r="I24" s="1054"/>
      <c r="J24" s="1054"/>
      <c r="K24" s="1054"/>
      <c r="L24" s="1054"/>
      <c r="M24" s="1054"/>
      <c r="N24" s="1054"/>
    </row>
    <row r="25" spans="6:14" ht="26.4" x14ac:dyDescent="0.3">
      <c r="I25" s="186" t="s">
        <v>70</v>
      </c>
      <c r="J25" s="187" t="s">
        <v>71</v>
      </c>
      <c r="K25" s="186" t="s">
        <v>58</v>
      </c>
      <c r="L25" s="1054"/>
      <c r="M25" s="1054"/>
      <c r="N25" s="1054"/>
    </row>
    <row r="26" spans="6:14" x14ac:dyDescent="0.3">
      <c r="I26" s="69" t="s">
        <v>72</v>
      </c>
      <c r="J26" s="70">
        <f>J21</f>
        <v>0</v>
      </c>
      <c r="K26" s="360">
        <f>K21</f>
        <v>0</v>
      </c>
      <c r="L26" s="1054"/>
      <c r="M26" s="1054"/>
      <c r="N26" s="1054"/>
    </row>
    <row r="27" spans="6:14" x14ac:dyDescent="0.3">
      <c r="I27" s="72" t="s">
        <v>1</v>
      </c>
      <c r="J27" s="105">
        <f>J26</f>
        <v>0</v>
      </c>
      <c r="K27" s="361">
        <f>K26</f>
        <v>0</v>
      </c>
      <c r="L27" s="1054"/>
      <c r="M27" s="1054"/>
      <c r="N27" s="1054"/>
    </row>
    <row r="28" spans="6:14" x14ac:dyDescent="0.3">
      <c r="I28" s="72" t="s">
        <v>9</v>
      </c>
      <c r="J28" s="1423"/>
      <c r="K28" s="1424"/>
      <c r="L28" s="1054"/>
      <c r="M28" s="1054"/>
      <c r="N28" s="1054"/>
    </row>
    <row r="29" spans="6:14" x14ac:dyDescent="0.3">
      <c r="I29" s="440" t="s">
        <v>78</v>
      </c>
      <c r="J29" s="1423" t="s">
        <v>2504</v>
      </c>
      <c r="K29" s="1424"/>
      <c r="L29" s="1054"/>
      <c r="M29" s="1054"/>
      <c r="N29" s="1054"/>
    </row>
    <row r="30" spans="6:14" x14ac:dyDescent="0.3">
      <c r="I30" s="439" t="s">
        <v>8</v>
      </c>
      <c r="J30" s="1425" t="s">
        <v>2505</v>
      </c>
      <c r="K30" s="1426"/>
      <c r="L30" s="1054"/>
      <c r="M30" s="1054"/>
      <c r="N30" s="1054"/>
    </row>
    <row r="31" spans="6:14" x14ac:dyDescent="0.3">
      <c r="I31" s="1054"/>
      <c r="J31" s="1054"/>
      <c r="K31" s="1054"/>
      <c r="L31" s="1054"/>
      <c r="M31" s="1054"/>
      <c r="N31" s="1054"/>
    </row>
  </sheetData>
  <mergeCells count="21">
    <mergeCell ref="A5:M5"/>
    <mergeCell ref="C1:J2"/>
    <mergeCell ref="K1:N1"/>
    <mergeCell ref="K2:N2"/>
    <mergeCell ref="A3:M3"/>
    <mergeCell ref="A4:M4"/>
    <mergeCell ref="J30:K30"/>
    <mergeCell ref="A6:M6"/>
    <mergeCell ref="A7:M7"/>
    <mergeCell ref="A8:M8"/>
    <mergeCell ref="A9:M9"/>
    <mergeCell ref="A10:M10"/>
    <mergeCell ref="B11:F11"/>
    <mergeCell ref="I11:K12"/>
    <mergeCell ref="L11:N12"/>
    <mergeCell ref="B12:F12"/>
    <mergeCell ref="A14:A16"/>
    <mergeCell ref="B14:B16"/>
    <mergeCell ref="H14:H16"/>
    <mergeCell ref="J28:K28"/>
    <mergeCell ref="J29:K29"/>
  </mergeCells>
  <pageMargins left="0.7" right="0.7" top="0.75" bottom="0.75" header="0.3" footer="0.3"/>
  <drawing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3"/>
  <dimension ref="A1:G49"/>
  <sheetViews>
    <sheetView workbookViewId="0">
      <selection activeCell="J27" sqref="J2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RESUMEN!G187</f>
        <v>Proyecto: CDIE_CBCCSM_R0186. PC1 - SE MT-MT CABRERA 34.5-13.2 KV.</v>
      </c>
      <c r="C5" s="1281"/>
      <c r="D5" s="1281"/>
      <c r="E5" s="1281"/>
      <c r="F5" s="1281"/>
      <c r="G5" s="1282"/>
    </row>
    <row r="6" spans="1:7" x14ac:dyDescent="0.25">
      <c r="A6" s="1177"/>
      <c r="B6" s="1177"/>
      <c r="C6" s="1177"/>
      <c r="D6" s="1177"/>
      <c r="E6" s="1177"/>
      <c r="F6" s="1177"/>
      <c r="G6" s="1177"/>
    </row>
    <row r="7" spans="1:7" x14ac:dyDescent="0.25">
      <c r="A7" s="271" t="s">
        <v>0</v>
      </c>
      <c r="B7" s="1264" t="str">
        <f>RESUMEN!B187</f>
        <v>D00249276</v>
      </c>
      <c r="C7" s="1265"/>
      <c r="D7" s="1177"/>
      <c r="E7" s="1266" t="s">
        <v>627</v>
      </c>
      <c r="F7" s="1267"/>
      <c r="G7" s="280" t="str">
        <f>RESUMEN!E187</f>
        <v>18-052</v>
      </c>
    </row>
    <row r="8" spans="1:7" x14ac:dyDescent="0.25">
      <c r="A8" s="271" t="s">
        <v>628</v>
      </c>
      <c r="B8" s="1264">
        <f>RESUMEN!C187</f>
        <v>0</v>
      </c>
      <c r="C8" s="1265"/>
      <c r="D8" s="1177"/>
      <c r="E8" s="1266" t="s">
        <v>629</v>
      </c>
      <c r="F8" s="1267"/>
      <c r="G8" s="280" t="str">
        <f>RESUMEN!U187</f>
        <v>Acta N° 1: Marzo</v>
      </c>
    </row>
    <row r="9" spans="1:7" x14ac:dyDescent="0.25">
      <c r="A9" s="271" t="s">
        <v>630</v>
      </c>
      <c r="B9" s="1283" t="s">
        <v>631</v>
      </c>
      <c r="C9" s="1265"/>
      <c r="D9" s="1177"/>
      <c r="E9" s="1266" t="s">
        <v>632</v>
      </c>
      <c r="F9" s="1267"/>
      <c r="G9" s="1178">
        <f>RESUMEN!H187</f>
        <v>3965744</v>
      </c>
    </row>
    <row r="10" spans="1:7" x14ac:dyDescent="0.25">
      <c r="A10" s="271" t="s">
        <v>633</v>
      </c>
      <c r="B10" s="1283" t="str">
        <f>RESUMEN!D187</f>
        <v xml:space="preserve"> CABRERA</v>
      </c>
      <c r="C10" s="1265"/>
      <c r="D10" s="1177"/>
      <c r="E10" s="1266" t="s">
        <v>634</v>
      </c>
      <c r="F10" s="1267"/>
      <c r="G10" s="1178">
        <f>RESUMEN!R187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CDIE_CBCCSM_R0186. PC1 - SE MT-MT CABRERA 34.5-13.2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RESUMEN!N187</f>
        <v>0</v>
      </c>
      <c r="F19" s="1248"/>
      <c r="G19" s="1177"/>
    </row>
    <row r="20" spans="1:7" ht="27" customHeight="1" x14ac:dyDescent="0.25">
      <c r="A20" s="1177"/>
      <c r="B20" s="1244" t="s">
        <v>1498</v>
      </c>
      <c r="C20" s="1245"/>
      <c r="D20" s="1246"/>
      <c r="E20" s="1247">
        <f>RESUMEN!P187</f>
        <v>0</v>
      </c>
      <c r="F20" s="1248"/>
      <c r="G20" s="1177"/>
    </row>
    <row r="21" spans="1:7" ht="27" customHeight="1" x14ac:dyDescent="0.25">
      <c r="A21" s="1177"/>
      <c r="B21" s="1244" t="s">
        <v>1499</v>
      </c>
      <c r="C21" s="1245"/>
      <c r="D21" s="1246"/>
      <c r="E21" s="1247">
        <f>RESUMEN!Q187</f>
        <v>0</v>
      </c>
      <c r="F21" s="1248"/>
      <c r="G21" s="1177"/>
    </row>
    <row r="22" spans="1:7" x14ac:dyDescent="0.25">
      <c r="A22" s="1177"/>
      <c r="B22" s="1254" t="s">
        <v>64</v>
      </c>
      <c r="C22" s="1254"/>
      <c r="D22" s="1254"/>
      <c r="E22" s="1255">
        <f>RESUMEN!R187</f>
        <v>0</v>
      </c>
      <c r="F22" s="1255"/>
      <c r="G22" s="1177"/>
    </row>
    <row r="23" spans="1:7" x14ac:dyDescent="0.25">
      <c r="A23" s="1177"/>
      <c r="B23" s="1256" t="s">
        <v>66</v>
      </c>
      <c r="C23" s="1256"/>
      <c r="D23" s="1256"/>
      <c r="E23" s="1257">
        <f>RESUMEN!S187</f>
        <v>0</v>
      </c>
      <c r="F23" s="1257"/>
      <c r="G23" s="1177"/>
    </row>
    <row r="24" spans="1:7" x14ac:dyDescent="0.25">
      <c r="A24" s="1177"/>
      <c r="B24" s="1258" t="s">
        <v>1</v>
      </c>
      <c r="C24" s="1258"/>
      <c r="D24" s="1258"/>
      <c r="E24" s="1259">
        <f>RESUMEN!T187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+'OT18-052 CABRERA'!I25</f>
        <v>ACTA 1</v>
      </c>
      <c r="C28" s="1253">
        <f>+'OT18-052 CABRERA'!J25</f>
        <v>0</v>
      </c>
      <c r="D28" s="1253"/>
      <c r="E28" s="267">
        <f>+'OT18-052 CABRERA'!K25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4"/>
  <dimension ref="A1:N30"/>
  <sheetViews>
    <sheetView topLeftCell="A10" workbookViewId="0">
      <selection activeCell="C59" sqref="C59"/>
    </sheetView>
  </sheetViews>
  <sheetFormatPr baseColWidth="10" defaultRowHeight="14.4" x14ac:dyDescent="0.3"/>
  <cols>
    <col min="2" max="2" width="19.44140625" customWidth="1"/>
    <col min="3" max="4" width="22.44140625" customWidth="1"/>
    <col min="8" max="8" width="30.6640625" customWidth="1"/>
  </cols>
  <sheetData>
    <row r="1" spans="1:14" x14ac:dyDescent="0.3">
      <c r="A1" s="169"/>
      <c r="B1" s="188"/>
      <c r="C1" s="1307" t="s">
        <v>40</v>
      </c>
      <c r="D1" s="1308"/>
      <c r="E1" s="1308"/>
      <c r="F1" s="1308"/>
      <c r="G1" s="1308"/>
      <c r="H1" s="1308"/>
      <c r="I1" s="1308"/>
      <c r="J1" s="1308"/>
      <c r="K1" s="1532" t="s">
        <v>2511</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2510</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2509</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57.6" x14ac:dyDescent="0.3">
      <c r="A14" s="1510" t="s">
        <v>283</v>
      </c>
      <c r="B14" s="1510" t="s">
        <v>1105</v>
      </c>
      <c r="C14" s="1074" t="s">
        <v>148</v>
      </c>
      <c r="D14" s="1074" t="s">
        <v>1106</v>
      </c>
      <c r="E14" s="1074">
        <v>1.29</v>
      </c>
      <c r="F14" s="646">
        <v>3074220</v>
      </c>
      <c r="G14" s="646">
        <f>ROUND((E14*F14),0)</f>
        <v>3965744</v>
      </c>
      <c r="H14" s="1510" t="s">
        <v>2512</v>
      </c>
      <c r="I14" s="799">
        <v>0</v>
      </c>
      <c r="J14" s="1132">
        <f>ROUND(I14*F14,0)</f>
        <v>0</v>
      </c>
      <c r="K14" s="1133">
        <f>J14/G14</f>
        <v>0</v>
      </c>
      <c r="L14" s="1134">
        <f t="shared" ref="L14:M15" si="0">I14</f>
        <v>0</v>
      </c>
      <c r="M14" s="1124">
        <f t="shared" si="0"/>
        <v>0</v>
      </c>
      <c r="N14" s="1133">
        <f t="shared" ref="N14:N15" si="1">M14/G14</f>
        <v>0</v>
      </c>
    </row>
    <row r="15" spans="1:14" x14ac:dyDescent="0.3">
      <c r="A15" s="1510"/>
      <c r="B15" s="1510"/>
      <c r="C15" s="647"/>
      <c r="D15" s="647" t="s">
        <v>1108</v>
      </c>
      <c r="E15" s="648"/>
      <c r="F15" s="648"/>
      <c r="G15" s="649">
        <f>G14</f>
        <v>3965744</v>
      </c>
      <c r="H15" s="1510"/>
      <c r="I15" s="1108"/>
      <c r="J15" s="1146">
        <f>SUM(J14)</f>
        <v>0</v>
      </c>
      <c r="K15" s="1136">
        <f t="shared" ref="K15" si="2">J15/G15</f>
        <v>0</v>
      </c>
      <c r="L15" s="1137"/>
      <c r="M15" s="1138">
        <f t="shared" si="0"/>
        <v>0</v>
      </c>
      <c r="N15" s="1136">
        <f t="shared" si="1"/>
        <v>0</v>
      </c>
    </row>
    <row r="16" spans="1:14" x14ac:dyDescent="0.3">
      <c r="F16" s="836" t="s">
        <v>1740</v>
      </c>
      <c r="G16" s="650">
        <f>SUM(G14:G15)/2</f>
        <v>3965744</v>
      </c>
      <c r="I16" s="547" t="s">
        <v>64</v>
      </c>
      <c r="J16" s="855">
        <f>SUM(J14:J15)/2</f>
        <v>0</v>
      </c>
      <c r="K16" s="1073"/>
      <c r="L16" s="547" t="s">
        <v>64</v>
      </c>
      <c r="M16" s="835">
        <f>SUM(M14:M15)/2</f>
        <v>0</v>
      </c>
      <c r="N16" s="1073"/>
    </row>
    <row r="17" spans="6:14" ht="26.4" x14ac:dyDescent="0.3">
      <c r="F17" s="1118" t="s">
        <v>65</v>
      </c>
      <c r="G17" s="1115">
        <v>0</v>
      </c>
      <c r="I17" s="548" t="s">
        <v>65</v>
      </c>
      <c r="J17" s="677">
        <v>0</v>
      </c>
      <c r="K17" s="1073"/>
      <c r="L17" s="548" t="s">
        <v>65</v>
      </c>
      <c r="M17" s="677">
        <v>0</v>
      </c>
      <c r="N17" s="1073"/>
    </row>
    <row r="18" spans="6:14" x14ac:dyDescent="0.3">
      <c r="F18" s="1119" t="s">
        <v>64</v>
      </c>
      <c r="G18" s="1151">
        <f>G16+G17</f>
        <v>3965744</v>
      </c>
      <c r="I18" s="549" t="s">
        <v>64</v>
      </c>
      <c r="J18" s="481">
        <f>J16+J17</f>
        <v>0</v>
      </c>
      <c r="K18" s="1073"/>
      <c r="L18" s="549" t="s">
        <v>64</v>
      </c>
      <c r="M18" s="481">
        <f>M16+M17</f>
        <v>0</v>
      </c>
      <c r="N18" s="1073"/>
    </row>
    <row r="19" spans="6:14" ht="26.4" x14ac:dyDescent="0.3">
      <c r="F19" s="501" t="s">
        <v>1439</v>
      </c>
      <c r="G19" s="1116">
        <f>ROUND(G18*0.015,0)</f>
        <v>59486</v>
      </c>
      <c r="I19" s="501" t="s">
        <v>1439</v>
      </c>
      <c r="J19" s="481">
        <f>ROUND(J18*0.015,0)</f>
        <v>0</v>
      </c>
      <c r="K19" s="1073"/>
      <c r="L19" s="501" t="s">
        <v>1439</v>
      </c>
      <c r="M19" s="481">
        <f>ROUND(M18*0.015,0)</f>
        <v>0</v>
      </c>
      <c r="N19" s="1073"/>
    </row>
    <row r="20" spans="6:14" ht="39.6" x14ac:dyDescent="0.3">
      <c r="F20" s="96" t="s">
        <v>1440</v>
      </c>
      <c r="G20" s="1117">
        <f>G18+G19</f>
        <v>4025230</v>
      </c>
      <c r="I20" s="96" t="s">
        <v>1440</v>
      </c>
      <c r="J20" s="783">
        <f>J18+J19</f>
        <v>0</v>
      </c>
      <c r="K20" s="856">
        <f>J20/G16</f>
        <v>0</v>
      </c>
      <c r="L20" s="96" t="s">
        <v>1440</v>
      </c>
      <c r="M20" s="425">
        <f>M18+M19</f>
        <v>0</v>
      </c>
      <c r="N20" s="857">
        <f>M20/G16</f>
        <v>0</v>
      </c>
    </row>
    <row r="21" spans="6:14" x14ac:dyDescent="0.3">
      <c r="F21" s="1122" t="s">
        <v>66</v>
      </c>
      <c r="G21" s="783">
        <f>G20*0.19</f>
        <v>764793.7</v>
      </c>
      <c r="I21" s="551" t="s">
        <v>66</v>
      </c>
      <c r="J21" s="672">
        <f>J20*0.19</f>
        <v>0</v>
      </c>
      <c r="K21" s="1073"/>
      <c r="L21" s="551" t="s">
        <v>66</v>
      </c>
      <c r="M21" s="672">
        <f>M20*0.19</f>
        <v>0</v>
      </c>
      <c r="N21" s="1073"/>
    </row>
    <row r="22" spans="6:14" x14ac:dyDescent="0.3">
      <c r="F22" s="1123" t="s">
        <v>69</v>
      </c>
      <c r="G22" s="672">
        <f>G20+G21</f>
        <v>4790023.7</v>
      </c>
      <c r="I22" s="552" t="s">
        <v>69</v>
      </c>
      <c r="J22" s="672">
        <f>J20+J21</f>
        <v>0</v>
      </c>
      <c r="K22" s="1073"/>
      <c r="L22" s="552" t="s">
        <v>69</v>
      </c>
      <c r="M22" s="672">
        <f>M20+M21</f>
        <v>0</v>
      </c>
      <c r="N22" s="1073"/>
    </row>
    <row r="23" spans="6:14" x14ac:dyDescent="0.3">
      <c r="I23" s="1073"/>
      <c r="J23" s="1073"/>
      <c r="K23" s="1073"/>
      <c r="L23" s="1073"/>
      <c r="M23" s="1073"/>
      <c r="N23" s="1073"/>
    </row>
    <row r="24" spans="6:14" ht="26.4" x14ac:dyDescent="0.3">
      <c r="I24" s="186" t="s">
        <v>70</v>
      </c>
      <c r="J24" s="187" t="s">
        <v>71</v>
      </c>
      <c r="K24" s="186" t="s">
        <v>58</v>
      </c>
      <c r="L24" s="1073"/>
      <c r="M24" s="1073"/>
      <c r="N24" s="1073"/>
    </row>
    <row r="25" spans="6:14" x14ac:dyDescent="0.3">
      <c r="I25" s="69" t="s">
        <v>72</v>
      </c>
      <c r="J25" s="70">
        <f>J20</f>
        <v>0</v>
      </c>
      <c r="K25" s="360">
        <f>K20</f>
        <v>0</v>
      </c>
      <c r="L25" s="1073"/>
      <c r="M25" s="1073"/>
      <c r="N25" s="1073"/>
    </row>
    <row r="26" spans="6:14" x14ac:dyDescent="0.3">
      <c r="I26" s="72" t="s">
        <v>1</v>
      </c>
      <c r="J26" s="105">
        <f>J25</f>
        <v>0</v>
      </c>
      <c r="K26" s="361">
        <f>K25</f>
        <v>0</v>
      </c>
      <c r="L26" s="1073"/>
      <c r="M26" s="1073"/>
      <c r="N26" s="1073"/>
    </row>
    <row r="27" spans="6:14" x14ac:dyDescent="0.3">
      <c r="I27" s="72" t="s">
        <v>9</v>
      </c>
      <c r="J27" s="1423"/>
      <c r="K27" s="1424"/>
      <c r="L27" s="1073"/>
      <c r="M27" s="1073"/>
      <c r="N27" s="1073"/>
    </row>
    <row r="28" spans="6:14" x14ac:dyDescent="0.3">
      <c r="I28" s="440" t="s">
        <v>78</v>
      </c>
      <c r="J28" s="1423" t="s">
        <v>2513</v>
      </c>
      <c r="K28" s="1424"/>
      <c r="L28" s="1073"/>
      <c r="M28" s="1073"/>
      <c r="N28" s="1073"/>
    </row>
    <row r="29" spans="6:14" x14ac:dyDescent="0.3">
      <c r="I29" s="439" t="s">
        <v>8</v>
      </c>
      <c r="J29" s="1425"/>
      <c r="K29" s="1426"/>
      <c r="L29" s="1073"/>
      <c r="M29" s="1073"/>
      <c r="N29" s="1073"/>
    </row>
    <row r="30" spans="6:14" x14ac:dyDescent="0.3">
      <c r="I30" s="1073"/>
      <c r="J30" s="1073"/>
      <c r="K30" s="1073"/>
      <c r="L30" s="1073"/>
      <c r="M30" s="1073"/>
      <c r="N30" s="1073"/>
    </row>
  </sheetData>
  <mergeCells count="21">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 ref="A5:M5"/>
    <mergeCell ref="C1:J2"/>
    <mergeCell ref="K1:N1"/>
    <mergeCell ref="K2:N2"/>
    <mergeCell ref="A3:M3"/>
    <mergeCell ref="A4:M4"/>
  </mergeCells>
  <pageMargins left="0.7" right="0.7" top="0.75" bottom="0.75" header="0.3" footer="0.3"/>
  <drawing r:id="rId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5"/>
  <dimension ref="A1:G49"/>
  <sheetViews>
    <sheetView topLeftCell="A13" workbookViewId="0">
      <selection activeCell="H34" sqref="H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RESUMEN!G188</f>
        <v>Proyecto: CDIM_CADCRA_R0116</v>
      </c>
      <c r="C5" s="1281"/>
      <c r="D5" s="1281"/>
      <c r="E5" s="1281"/>
      <c r="F5" s="1281"/>
      <c r="G5" s="1282"/>
    </row>
    <row r="6" spans="1:7" x14ac:dyDescent="0.25">
      <c r="A6" s="1177"/>
      <c r="B6" s="1177"/>
      <c r="C6" s="1177"/>
      <c r="D6" s="1177"/>
      <c r="E6" s="1177"/>
      <c r="F6" s="1177"/>
      <c r="G6" s="1177"/>
    </row>
    <row r="7" spans="1:7" x14ac:dyDescent="0.25">
      <c r="A7" s="271" t="s">
        <v>0</v>
      </c>
      <c r="B7" s="1264" t="str">
        <f>RESUMEN!B188</f>
        <v>D00235020</v>
      </c>
      <c r="C7" s="1265"/>
      <c r="D7" s="1177"/>
      <c r="E7" s="1266" t="s">
        <v>627</v>
      </c>
      <c r="F7" s="1267"/>
      <c r="G7" s="280" t="str">
        <f>RESUMEN!E188</f>
        <v>18-053</v>
      </c>
    </row>
    <row r="8" spans="1:7" x14ac:dyDescent="0.25">
      <c r="A8" s="271" t="s">
        <v>628</v>
      </c>
      <c r="B8" s="1264" t="str">
        <f>RESUMEN!C188</f>
        <v>D00235020000</v>
      </c>
      <c r="C8" s="1265"/>
      <c r="D8" s="1177"/>
      <c r="E8" s="1266" t="s">
        <v>629</v>
      </c>
      <c r="F8" s="1267"/>
      <c r="G8" s="280" t="str">
        <f>RESUMEN!U188</f>
        <v>Acta N° 1: Marzo</v>
      </c>
    </row>
    <row r="9" spans="1:7" x14ac:dyDescent="0.25">
      <c r="A9" s="271" t="s">
        <v>630</v>
      </c>
      <c r="B9" s="1283" t="s">
        <v>631</v>
      </c>
      <c r="C9" s="1265"/>
      <c r="D9" s="1177"/>
      <c r="E9" s="1266" t="s">
        <v>632</v>
      </c>
      <c r="F9" s="1267"/>
      <c r="G9" s="1178">
        <f>RESUMEN!H188</f>
        <v>1443786</v>
      </c>
    </row>
    <row r="10" spans="1:7" x14ac:dyDescent="0.25">
      <c r="A10" s="271" t="s">
        <v>633</v>
      </c>
      <c r="B10" s="1283" t="str">
        <f>RESUMEN!D188</f>
        <v xml:space="preserve"> SIBERIA</v>
      </c>
      <c r="C10" s="1265"/>
      <c r="D10" s="1177"/>
      <c r="E10" s="1266" t="s">
        <v>634</v>
      </c>
      <c r="F10" s="1267"/>
      <c r="G10" s="1178">
        <f>RESUMEN!R188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CDIM_CADCRA_R0116</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RESUMEN!N188</f>
        <v>0</v>
      </c>
      <c r="F19" s="1248"/>
      <c r="G19" s="1177"/>
    </row>
    <row r="20" spans="1:7" ht="27" customHeight="1" x14ac:dyDescent="0.25">
      <c r="A20" s="1177"/>
      <c r="B20" s="1244" t="s">
        <v>1498</v>
      </c>
      <c r="C20" s="1245"/>
      <c r="D20" s="1246"/>
      <c r="E20" s="1247">
        <f>RESUMEN!P188</f>
        <v>0</v>
      </c>
      <c r="F20" s="1248"/>
      <c r="G20" s="1177"/>
    </row>
    <row r="21" spans="1:7" ht="27" customHeight="1" x14ac:dyDescent="0.25">
      <c r="A21" s="1177"/>
      <c r="B21" s="1244" t="s">
        <v>1499</v>
      </c>
      <c r="C21" s="1245"/>
      <c r="D21" s="1246"/>
      <c r="E21" s="1247">
        <f>RESUMEN!Q188</f>
        <v>0</v>
      </c>
      <c r="F21" s="1248"/>
      <c r="G21" s="1177"/>
    </row>
    <row r="22" spans="1:7" x14ac:dyDescent="0.25">
      <c r="A22" s="1177"/>
      <c r="B22" s="1254" t="s">
        <v>64</v>
      </c>
      <c r="C22" s="1254"/>
      <c r="D22" s="1254"/>
      <c r="E22" s="1255">
        <f>RESUMEN!R188</f>
        <v>0</v>
      </c>
      <c r="F22" s="1255"/>
      <c r="G22" s="1177"/>
    </row>
    <row r="23" spans="1:7" x14ac:dyDescent="0.25">
      <c r="A23" s="1177"/>
      <c r="B23" s="1256" t="s">
        <v>66</v>
      </c>
      <c r="C23" s="1256"/>
      <c r="D23" s="1256"/>
      <c r="E23" s="1257">
        <f>RESUMEN!S188</f>
        <v>0</v>
      </c>
      <c r="F23" s="1257"/>
      <c r="G23" s="1177"/>
    </row>
    <row r="24" spans="1:7" x14ac:dyDescent="0.25">
      <c r="A24" s="1177"/>
      <c r="B24" s="1258" t="s">
        <v>1</v>
      </c>
      <c r="C24" s="1258"/>
      <c r="D24" s="1258"/>
      <c r="E24" s="1259">
        <f>RESUMEN!T188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+'OT18-053 SIBERIA'!I33</f>
        <v>ACTA 1</v>
      </c>
      <c r="C28" s="1253">
        <f>+'OT18-053 SIBERIA'!J33</f>
        <v>0</v>
      </c>
      <c r="D28" s="1253"/>
      <c r="E28" s="267">
        <f>+'OT18-053 SIBERIA'!K33</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6"/>
  <dimension ref="A1:N67"/>
  <sheetViews>
    <sheetView topLeftCell="C19" workbookViewId="0">
      <selection activeCell="G32" sqref="G32"/>
    </sheetView>
  </sheetViews>
  <sheetFormatPr baseColWidth="10" defaultRowHeight="14.4" x14ac:dyDescent="0.3"/>
  <cols>
    <col min="2" max="2" width="23.21875" customWidth="1"/>
    <col min="3" max="3" width="20.88671875" customWidth="1"/>
    <col min="4" max="4" width="23.21875" customWidth="1"/>
    <col min="8" max="8" width="28.5546875" customWidth="1"/>
  </cols>
  <sheetData>
    <row r="1" spans="1:14" x14ac:dyDescent="0.3">
      <c r="A1" s="169"/>
      <c r="B1" s="188"/>
      <c r="C1" s="1307" t="s">
        <v>40</v>
      </c>
      <c r="D1" s="1308"/>
      <c r="E1" s="1308"/>
      <c r="F1" s="1308"/>
      <c r="G1" s="1308"/>
      <c r="H1" s="1308"/>
      <c r="I1" s="1308"/>
      <c r="J1" s="1308"/>
      <c r="K1" s="1532" t="s">
        <v>2516</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2515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2514</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57.6" x14ac:dyDescent="0.3">
      <c r="A14" s="1510" t="s">
        <v>2043</v>
      </c>
      <c r="B14" s="1510" t="s">
        <v>392</v>
      </c>
      <c r="C14" s="1074" t="s">
        <v>59</v>
      </c>
      <c r="D14" s="1074" t="s">
        <v>60</v>
      </c>
      <c r="E14" s="1074">
        <v>0.05</v>
      </c>
      <c r="F14" s="646">
        <v>14016979</v>
      </c>
      <c r="G14" s="646">
        <f>ROUND((E14*F14),0)</f>
        <v>700849</v>
      </c>
      <c r="H14" s="1514" t="s">
        <v>2517</v>
      </c>
      <c r="I14" s="799">
        <v>0</v>
      </c>
      <c r="J14" s="1132">
        <f>ROUND(I14*F14,0)</f>
        <v>0</v>
      </c>
      <c r="K14" s="1133">
        <f>J14/G14</f>
        <v>0</v>
      </c>
      <c r="L14" s="1134">
        <f t="shared" ref="L14:M20" si="0">I14</f>
        <v>0</v>
      </c>
      <c r="M14" s="1124">
        <f t="shared" si="0"/>
        <v>0</v>
      </c>
      <c r="N14" s="1133">
        <f>M14/G14</f>
        <v>0</v>
      </c>
    </row>
    <row r="15" spans="1:14" ht="43.2" x14ac:dyDescent="0.3">
      <c r="A15" s="1510"/>
      <c r="B15" s="1510"/>
      <c r="C15" s="1074" t="s">
        <v>61</v>
      </c>
      <c r="D15" s="1074" t="s">
        <v>62</v>
      </c>
      <c r="E15" s="1074">
        <v>0.05</v>
      </c>
      <c r="F15" s="646">
        <v>5306690</v>
      </c>
      <c r="G15" s="646">
        <f>ROUND((E15*F15),0)</f>
        <v>265335</v>
      </c>
      <c r="H15" s="1510"/>
      <c r="I15" s="799">
        <v>0</v>
      </c>
      <c r="J15" s="1132">
        <f t="shared" ref="J15" si="1">ROUND(I15*F15,0)</f>
        <v>0</v>
      </c>
      <c r="K15" s="1133">
        <f>J15/G15</f>
        <v>0</v>
      </c>
      <c r="L15" s="1134">
        <f t="shared" si="0"/>
        <v>0</v>
      </c>
      <c r="M15" s="1124">
        <f t="shared" si="0"/>
        <v>0</v>
      </c>
      <c r="N15" s="1133">
        <f>M15/G15</f>
        <v>0</v>
      </c>
    </row>
    <row r="16" spans="1:14" x14ac:dyDescent="0.3">
      <c r="A16" s="1510"/>
      <c r="B16" s="1510"/>
      <c r="C16" s="647"/>
      <c r="D16" s="647" t="s">
        <v>63</v>
      </c>
      <c r="E16" s="648"/>
      <c r="F16" s="648"/>
      <c r="G16" s="649">
        <f>SUM(G14:G15)</f>
        <v>966184</v>
      </c>
      <c r="H16" s="1510"/>
      <c r="I16" s="1108"/>
      <c r="J16" s="1146">
        <f>SUM(J14:J15)</f>
        <v>0</v>
      </c>
      <c r="K16" s="1136">
        <f>J16/G16</f>
        <v>0</v>
      </c>
      <c r="L16" s="1137"/>
      <c r="M16" s="1138">
        <f t="shared" si="0"/>
        <v>0</v>
      </c>
      <c r="N16" s="1136">
        <f t="shared" ref="N16" si="2">M16/G16</f>
        <v>0</v>
      </c>
    </row>
    <row r="17" spans="1:14" ht="43.2" x14ac:dyDescent="0.3">
      <c r="A17" s="1510" t="s">
        <v>2518</v>
      </c>
      <c r="B17" s="1510" t="s">
        <v>324</v>
      </c>
      <c r="C17" s="1074" t="s">
        <v>81</v>
      </c>
      <c r="D17" s="1074" t="s">
        <v>325</v>
      </c>
      <c r="E17" s="1074">
        <v>0</v>
      </c>
      <c r="F17" s="646">
        <v>7099984</v>
      </c>
      <c r="G17" s="646">
        <f>ROUND((E17*F17),0)</f>
        <v>0</v>
      </c>
      <c r="H17" s="1514" t="s">
        <v>2519</v>
      </c>
      <c r="I17" s="799">
        <v>0</v>
      </c>
      <c r="J17" s="1132">
        <f>ROUND(I17*F17,0)</f>
        <v>0</v>
      </c>
      <c r="K17" s="1133">
        <v>0</v>
      </c>
      <c r="L17" s="1134">
        <f t="shared" ref="L17:L19" si="3">I17</f>
        <v>0</v>
      </c>
      <c r="M17" s="1124">
        <f t="shared" si="0"/>
        <v>0</v>
      </c>
      <c r="N17" s="1133">
        <v>0</v>
      </c>
    </row>
    <row r="18" spans="1:14" ht="43.2" x14ac:dyDescent="0.3">
      <c r="A18" s="1510"/>
      <c r="B18" s="1510"/>
      <c r="C18" s="1074" t="s">
        <v>83</v>
      </c>
      <c r="D18" s="1074" t="s">
        <v>326</v>
      </c>
      <c r="E18" s="1074">
        <v>0</v>
      </c>
      <c r="F18" s="646">
        <v>4245352</v>
      </c>
      <c r="G18" s="646">
        <f>ROUND((E18*F18),0)</f>
        <v>0</v>
      </c>
      <c r="H18" s="1510"/>
      <c r="I18" s="799">
        <v>0</v>
      </c>
      <c r="J18" s="1132">
        <f t="shared" ref="J18:J19" si="4">ROUND(I18*F18,0)</f>
        <v>0</v>
      </c>
      <c r="K18" s="1133">
        <v>0</v>
      </c>
      <c r="L18" s="1134">
        <f t="shared" si="3"/>
        <v>0</v>
      </c>
      <c r="M18" s="1124">
        <f t="shared" si="0"/>
        <v>0</v>
      </c>
      <c r="N18" s="1133">
        <v>0</v>
      </c>
    </row>
    <row r="19" spans="1:14" ht="43.2" x14ac:dyDescent="0.3">
      <c r="A19" s="1510"/>
      <c r="B19" s="1510"/>
      <c r="C19" s="1074" t="s">
        <v>61</v>
      </c>
      <c r="D19" s="1074" t="s">
        <v>327</v>
      </c>
      <c r="E19" s="1074">
        <v>0.05</v>
      </c>
      <c r="F19" s="646">
        <v>2708241</v>
      </c>
      <c r="G19" s="646">
        <f>ROUND((E19*F19),0)</f>
        <v>135412</v>
      </c>
      <c r="H19" s="1510"/>
      <c r="I19" s="799">
        <v>0</v>
      </c>
      <c r="J19" s="1132">
        <f t="shared" si="4"/>
        <v>0</v>
      </c>
      <c r="K19" s="1133">
        <v>0</v>
      </c>
      <c r="L19" s="1134">
        <f t="shared" si="3"/>
        <v>0</v>
      </c>
      <c r="M19" s="1124">
        <f t="shared" si="0"/>
        <v>0</v>
      </c>
      <c r="N19" s="1133">
        <v>0</v>
      </c>
    </row>
    <row r="20" spans="1:14" x14ac:dyDescent="0.3">
      <c r="A20" s="1510"/>
      <c r="B20" s="1510"/>
      <c r="C20" s="647"/>
      <c r="D20" s="647" t="s">
        <v>328</v>
      </c>
      <c r="E20" s="648"/>
      <c r="F20" s="648"/>
      <c r="G20" s="649">
        <f>SUM(G17:G19)</f>
        <v>135412</v>
      </c>
      <c r="H20" s="1510"/>
      <c r="I20" s="1108"/>
      <c r="J20" s="1146">
        <f>SUM(J17:J19)</f>
        <v>0</v>
      </c>
      <c r="K20" s="1136">
        <f t="shared" ref="K20" si="5">J20/G20</f>
        <v>0</v>
      </c>
      <c r="L20" s="1137"/>
      <c r="M20" s="1138">
        <f t="shared" si="0"/>
        <v>0</v>
      </c>
      <c r="N20" s="1136">
        <f t="shared" ref="N20" si="6">M20/G20</f>
        <v>0</v>
      </c>
    </row>
    <row r="21" spans="1:14" ht="43.2" x14ac:dyDescent="0.3">
      <c r="A21" s="1510" t="s">
        <v>2518</v>
      </c>
      <c r="B21" s="1510" t="s">
        <v>788</v>
      </c>
      <c r="C21" s="1074" t="s">
        <v>83</v>
      </c>
      <c r="D21" s="1074" t="s">
        <v>789</v>
      </c>
      <c r="E21" s="1074">
        <v>0</v>
      </c>
      <c r="F21" s="646">
        <v>1171131</v>
      </c>
      <c r="G21" s="646">
        <f>ROUND((E21*F21),0)</f>
        <v>0</v>
      </c>
      <c r="H21" s="1514" t="s">
        <v>2520</v>
      </c>
      <c r="I21" s="799">
        <v>0</v>
      </c>
      <c r="J21" s="1132">
        <f>ROUND(I21*F21,0)</f>
        <v>0</v>
      </c>
      <c r="K21" s="1133">
        <v>0</v>
      </c>
      <c r="L21" s="1134">
        <f t="shared" ref="L21:L22" si="7">I21</f>
        <v>0</v>
      </c>
      <c r="M21" s="1124">
        <f t="shared" ref="M21:M23" si="8">J21</f>
        <v>0</v>
      </c>
      <c r="N21" s="1133">
        <v>0</v>
      </c>
    </row>
    <row r="22" spans="1:14" ht="43.2" x14ac:dyDescent="0.3">
      <c r="A22" s="1510"/>
      <c r="B22" s="1510"/>
      <c r="C22" s="1074" t="s">
        <v>61</v>
      </c>
      <c r="D22" s="1074" t="s">
        <v>790</v>
      </c>
      <c r="E22" s="1074">
        <v>0.05</v>
      </c>
      <c r="F22" s="646">
        <v>6843799</v>
      </c>
      <c r="G22" s="646">
        <f>ROUND((E22*F22),0)</f>
        <v>342190</v>
      </c>
      <c r="H22" s="1510"/>
      <c r="I22" s="799">
        <v>0</v>
      </c>
      <c r="J22" s="1132">
        <f t="shared" ref="J22" si="9">ROUND(I22*F22,0)</f>
        <v>0</v>
      </c>
      <c r="K22" s="1133">
        <f>J22/G22</f>
        <v>0</v>
      </c>
      <c r="L22" s="1134">
        <f t="shared" si="7"/>
        <v>0</v>
      </c>
      <c r="M22" s="1124">
        <f t="shared" si="8"/>
        <v>0</v>
      </c>
      <c r="N22" s="1133">
        <f>M22/G22</f>
        <v>0</v>
      </c>
    </row>
    <row r="23" spans="1:14" x14ac:dyDescent="0.3">
      <c r="A23" s="1510"/>
      <c r="B23" s="1510"/>
      <c r="C23" s="647"/>
      <c r="D23" s="647" t="s">
        <v>791</v>
      </c>
      <c r="E23" s="648"/>
      <c r="F23" s="648"/>
      <c r="G23" s="649">
        <f>SUM(G21:G22)</f>
        <v>342190</v>
      </c>
      <c r="H23" s="1510"/>
      <c r="I23" s="1108"/>
      <c r="J23" s="1146">
        <f>SUM(J21:J22)</f>
        <v>0</v>
      </c>
      <c r="K23" s="1136">
        <f>J23/G23</f>
        <v>0</v>
      </c>
      <c r="L23" s="1137"/>
      <c r="M23" s="1138">
        <f t="shared" si="8"/>
        <v>0</v>
      </c>
      <c r="N23" s="1136">
        <f t="shared" ref="N23" si="10">M23/G23</f>
        <v>0</v>
      </c>
    </row>
    <row r="24" spans="1:14" x14ac:dyDescent="0.3">
      <c r="F24" s="836" t="s">
        <v>1740</v>
      </c>
      <c r="G24" s="650">
        <f>SUM(G14:G23)/2</f>
        <v>1443786</v>
      </c>
      <c r="I24" s="547" t="s">
        <v>64</v>
      </c>
      <c r="J24" s="855">
        <f>SUM(J14:J23)/2</f>
        <v>0</v>
      </c>
      <c r="K24" s="1073"/>
      <c r="L24" s="547" t="s">
        <v>64</v>
      </c>
      <c r="M24" s="835">
        <f>SUM(M14:M23)/2</f>
        <v>0</v>
      </c>
      <c r="N24" s="1073"/>
    </row>
    <row r="25" spans="1:14" ht="26.4" x14ac:dyDescent="0.3">
      <c r="F25" s="1118" t="s">
        <v>65</v>
      </c>
      <c r="G25" s="1115">
        <v>0</v>
      </c>
      <c r="I25" s="548" t="s">
        <v>65</v>
      </c>
      <c r="J25" s="677">
        <v>0</v>
      </c>
      <c r="K25" s="1073"/>
      <c r="L25" s="548" t="s">
        <v>65</v>
      </c>
      <c r="M25" s="677">
        <v>0</v>
      </c>
      <c r="N25" s="1073"/>
    </row>
    <row r="26" spans="1:14" x14ac:dyDescent="0.3">
      <c r="F26" s="1119" t="s">
        <v>64</v>
      </c>
      <c r="G26" s="1151">
        <f>G24+G25</f>
        <v>1443786</v>
      </c>
      <c r="I26" s="549" t="s">
        <v>64</v>
      </c>
      <c r="J26" s="481">
        <f>J24+J25</f>
        <v>0</v>
      </c>
      <c r="K26" s="1073"/>
      <c r="L26" s="549" t="s">
        <v>64</v>
      </c>
      <c r="M26" s="481">
        <f>M24+M25</f>
        <v>0</v>
      </c>
      <c r="N26" s="1073"/>
    </row>
    <row r="27" spans="1:14" ht="26.4" x14ac:dyDescent="0.3">
      <c r="F27" s="501" t="s">
        <v>1439</v>
      </c>
      <c r="G27" s="1116">
        <f>ROUND(G26*0.015,0)</f>
        <v>21657</v>
      </c>
      <c r="I27" s="501" t="s">
        <v>1439</v>
      </c>
      <c r="J27" s="481">
        <f>ROUND(J26*0.015,0)</f>
        <v>0</v>
      </c>
      <c r="K27" s="1073"/>
      <c r="L27" s="501" t="s">
        <v>1439</v>
      </c>
      <c r="M27" s="481">
        <f>ROUND(M26*0.015,0)</f>
        <v>0</v>
      </c>
      <c r="N27" s="1073"/>
    </row>
    <row r="28" spans="1:14" ht="39.6" x14ac:dyDescent="0.3">
      <c r="F28" s="96" t="s">
        <v>1440</v>
      </c>
      <c r="G28" s="1117">
        <f>G26+G27</f>
        <v>1465443</v>
      </c>
      <c r="I28" s="96" t="s">
        <v>1440</v>
      </c>
      <c r="J28" s="783">
        <f>J26+J27</f>
        <v>0</v>
      </c>
      <c r="K28" s="856">
        <f>J28/G24</f>
        <v>0</v>
      </c>
      <c r="L28" s="96" t="s">
        <v>1440</v>
      </c>
      <c r="M28" s="425">
        <f>M26+M27</f>
        <v>0</v>
      </c>
      <c r="N28" s="857">
        <f>M28/G24</f>
        <v>0</v>
      </c>
    </row>
    <row r="29" spans="1:14" x14ac:dyDescent="0.3">
      <c r="F29" s="1122" t="s">
        <v>66</v>
      </c>
      <c r="G29" s="783">
        <f>G28*0.19</f>
        <v>278434.17</v>
      </c>
      <c r="I29" s="551" t="s">
        <v>66</v>
      </c>
      <c r="J29" s="672">
        <f>J28*0.19</f>
        <v>0</v>
      </c>
      <c r="K29" s="1073"/>
      <c r="L29" s="551" t="s">
        <v>66</v>
      </c>
      <c r="M29" s="672">
        <f>M28*0.19</f>
        <v>0</v>
      </c>
      <c r="N29" s="1073"/>
    </row>
    <row r="30" spans="1:14" x14ac:dyDescent="0.3">
      <c r="F30" s="1123" t="s">
        <v>69</v>
      </c>
      <c r="G30" s="672">
        <f>G28+G29</f>
        <v>1743877.17</v>
      </c>
      <c r="I30" s="552" t="s">
        <v>69</v>
      </c>
      <c r="J30" s="672">
        <f>J28+J29</f>
        <v>0</v>
      </c>
      <c r="K30" s="1073"/>
      <c r="L30" s="552" t="s">
        <v>69</v>
      </c>
      <c r="M30" s="672">
        <f>M28+M29</f>
        <v>0</v>
      </c>
      <c r="N30" s="1073"/>
    </row>
    <row r="31" spans="1:14" x14ac:dyDescent="0.3">
      <c r="I31" s="1073"/>
      <c r="J31" s="1073"/>
      <c r="K31" s="1073"/>
      <c r="L31" s="1073"/>
      <c r="M31" s="1073"/>
      <c r="N31" s="1073"/>
    </row>
    <row r="32" spans="1:14" ht="26.4" x14ac:dyDescent="0.3">
      <c r="I32" s="186" t="s">
        <v>70</v>
      </c>
      <c r="J32" s="187" t="s">
        <v>71</v>
      </c>
      <c r="K32" s="186" t="s">
        <v>58</v>
      </c>
      <c r="L32" s="1073"/>
      <c r="M32" s="1073"/>
      <c r="N32" s="1073"/>
    </row>
    <row r="33" spans="9:14" x14ac:dyDescent="0.3">
      <c r="I33" s="69" t="s">
        <v>72</v>
      </c>
      <c r="J33" s="70">
        <f>J28</f>
        <v>0</v>
      </c>
      <c r="K33" s="360">
        <f>K28</f>
        <v>0</v>
      </c>
      <c r="L33" s="1073"/>
      <c r="M33" s="1073"/>
      <c r="N33" s="1073"/>
    </row>
    <row r="34" spans="9:14" x14ac:dyDescent="0.3">
      <c r="I34" s="72" t="s">
        <v>1</v>
      </c>
      <c r="J34" s="105">
        <f>J33</f>
        <v>0</v>
      </c>
      <c r="K34" s="361">
        <f>K33</f>
        <v>0</v>
      </c>
      <c r="L34" s="1073"/>
      <c r="M34" s="1073"/>
      <c r="N34" s="1073"/>
    </row>
    <row r="35" spans="9:14" x14ac:dyDescent="0.3">
      <c r="I35" s="72" t="s">
        <v>9</v>
      </c>
      <c r="J35" s="1423"/>
      <c r="K35" s="1424"/>
      <c r="L35" s="1073"/>
      <c r="M35" s="1073"/>
      <c r="N35" s="1073"/>
    </row>
    <row r="36" spans="9:14" x14ac:dyDescent="0.3">
      <c r="I36" s="440" t="s">
        <v>78</v>
      </c>
      <c r="J36" s="1423" t="s">
        <v>2521</v>
      </c>
      <c r="K36" s="1424"/>
      <c r="L36" s="1073"/>
      <c r="M36" s="1073"/>
      <c r="N36" s="1073"/>
    </row>
    <row r="37" spans="9:14" x14ac:dyDescent="0.3">
      <c r="I37" s="439" t="s">
        <v>8</v>
      </c>
      <c r="J37" s="1425" t="s">
        <v>2522</v>
      </c>
      <c r="K37" s="1426"/>
      <c r="L37" s="1073"/>
      <c r="M37" s="1073"/>
      <c r="N37" s="1073"/>
    </row>
    <row r="38" spans="9:14" x14ac:dyDescent="0.3">
      <c r="I38" s="1073"/>
      <c r="J38" s="1073"/>
      <c r="K38" s="1073"/>
      <c r="L38" s="1073"/>
      <c r="M38" s="1073"/>
      <c r="N38" s="1073"/>
    </row>
    <row r="39" spans="9:14" x14ac:dyDescent="0.3">
      <c r="I39" s="1073"/>
      <c r="J39" s="1073"/>
      <c r="K39" s="1073"/>
      <c r="L39" s="1073"/>
      <c r="M39" s="1073"/>
      <c r="N39" s="1073"/>
    </row>
    <row r="40" spans="9:14" x14ac:dyDescent="0.3">
      <c r="I40" s="1073"/>
      <c r="J40" s="1073"/>
      <c r="K40" s="1073"/>
      <c r="L40" s="1073"/>
      <c r="M40" s="1073"/>
      <c r="N40" s="1073"/>
    </row>
    <row r="41" spans="9:14" x14ac:dyDescent="0.3">
      <c r="I41" s="1073"/>
      <c r="J41" s="1073"/>
      <c r="K41" s="1073"/>
      <c r="L41" s="1073"/>
      <c r="M41" s="1073"/>
      <c r="N41" s="1073"/>
    </row>
    <row r="42" spans="9:14" x14ac:dyDescent="0.3">
      <c r="I42" s="1073"/>
      <c r="J42" s="1073"/>
      <c r="K42" s="1073"/>
      <c r="L42" s="1073"/>
      <c r="M42" s="1073"/>
      <c r="N42" s="1073"/>
    </row>
    <row r="43" spans="9:14" x14ac:dyDescent="0.3">
      <c r="I43" s="1073"/>
      <c r="J43" s="1073"/>
      <c r="K43" s="1073"/>
      <c r="L43" s="1073"/>
      <c r="M43" s="1073"/>
      <c r="N43" s="1073"/>
    </row>
    <row r="44" spans="9:14" x14ac:dyDescent="0.3">
      <c r="I44" s="1073"/>
      <c r="J44" s="1073"/>
      <c r="K44" s="1073"/>
      <c r="L44" s="1073"/>
      <c r="M44" s="1073"/>
      <c r="N44" s="1073"/>
    </row>
    <row r="45" spans="9:14" x14ac:dyDescent="0.3">
      <c r="I45" s="1073"/>
      <c r="J45" s="1073"/>
      <c r="K45" s="1073"/>
      <c r="L45" s="1073"/>
      <c r="M45" s="1073"/>
      <c r="N45" s="1073"/>
    </row>
    <row r="46" spans="9:14" x14ac:dyDescent="0.3">
      <c r="I46" s="1073"/>
      <c r="J46" s="1073"/>
      <c r="K46" s="1073"/>
      <c r="L46" s="1073"/>
      <c r="M46" s="1073"/>
      <c r="N46" s="1073"/>
    </row>
    <row r="47" spans="9:14" x14ac:dyDescent="0.3">
      <c r="I47" s="1073"/>
      <c r="J47" s="1073"/>
      <c r="K47" s="1073"/>
      <c r="L47" s="1073"/>
      <c r="M47" s="1073"/>
      <c r="N47" s="1073"/>
    </row>
    <row r="48" spans="9:14" x14ac:dyDescent="0.3">
      <c r="I48" s="1073"/>
      <c r="J48" s="1073"/>
      <c r="K48" s="1073"/>
      <c r="L48" s="1073"/>
      <c r="M48" s="1073"/>
      <c r="N48" s="1073"/>
    </row>
    <row r="49" spans="9:14" x14ac:dyDescent="0.3">
      <c r="I49" s="1073"/>
      <c r="J49" s="1073"/>
      <c r="K49" s="1073"/>
      <c r="L49" s="1073"/>
      <c r="M49" s="1073"/>
      <c r="N49" s="1073"/>
    </row>
    <row r="50" spans="9:14" x14ac:dyDescent="0.3">
      <c r="I50" s="1073"/>
      <c r="J50" s="1073"/>
      <c r="K50" s="1073"/>
      <c r="L50" s="1073"/>
      <c r="M50" s="1073"/>
      <c r="N50" s="1073"/>
    </row>
    <row r="51" spans="9:14" x14ac:dyDescent="0.3">
      <c r="I51" s="1073"/>
      <c r="J51" s="1073"/>
      <c r="K51" s="1073"/>
      <c r="L51" s="1073"/>
      <c r="M51" s="1073"/>
      <c r="N51" s="1073"/>
    </row>
    <row r="52" spans="9:14" x14ac:dyDescent="0.3">
      <c r="I52" s="1073"/>
      <c r="J52" s="1073"/>
      <c r="K52" s="1073"/>
      <c r="L52" s="1073"/>
      <c r="M52" s="1073"/>
      <c r="N52" s="1073"/>
    </row>
    <row r="53" spans="9:14" x14ac:dyDescent="0.3">
      <c r="I53" s="1073"/>
      <c r="J53" s="1073"/>
      <c r="K53" s="1073"/>
      <c r="L53" s="1073"/>
      <c r="M53" s="1073"/>
      <c r="N53" s="1073"/>
    </row>
    <row r="54" spans="9:14" x14ac:dyDescent="0.3">
      <c r="I54" s="1073"/>
      <c r="J54" s="1073"/>
      <c r="K54" s="1073"/>
      <c r="L54" s="1073"/>
      <c r="M54" s="1073"/>
      <c r="N54" s="1073"/>
    </row>
    <row r="55" spans="9:14" x14ac:dyDescent="0.3">
      <c r="I55" s="1073"/>
      <c r="J55" s="1073"/>
      <c r="K55" s="1073"/>
      <c r="L55" s="1073"/>
      <c r="M55" s="1073"/>
      <c r="N55" s="1073"/>
    </row>
    <row r="56" spans="9:14" x14ac:dyDescent="0.3">
      <c r="I56" s="1073"/>
      <c r="J56" s="1073"/>
      <c r="K56" s="1073"/>
      <c r="L56" s="1073"/>
      <c r="M56" s="1073"/>
      <c r="N56" s="1073"/>
    </row>
    <row r="57" spans="9:14" x14ac:dyDescent="0.3">
      <c r="I57" s="1073"/>
      <c r="J57" s="1073"/>
      <c r="K57" s="1073"/>
      <c r="L57" s="1073"/>
      <c r="M57" s="1073"/>
      <c r="N57" s="1073"/>
    </row>
    <row r="58" spans="9:14" x14ac:dyDescent="0.3">
      <c r="I58" s="1073"/>
      <c r="J58" s="1073"/>
      <c r="K58" s="1073"/>
      <c r="L58" s="1073"/>
      <c r="M58" s="1073"/>
      <c r="N58" s="1073"/>
    </row>
    <row r="59" spans="9:14" x14ac:dyDescent="0.3">
      <c r="I59" s="1073"/>
      <c r="J59" s="1073"/>
      <c r="K59" s="1073"/>
      <c r="L59" s="1073"/>
      <c r="M59" s="1073"/>
      <c r="N59" s="1073"/>
    </row>
    <row r="60" spans="9:14" x14ac:dyDescent="0.3">
      <c r="I60" s="1073"/>
      <c r="J60" s="1073"/>
      <c r="K60" s="1073"/>
      <c r="L60" s="1073"/>
      <c r="M60" s="1073"/>
      <c r="N60" s="1073"/>
    </row>
    <row r="61" spans="9:14" x14ac:dyDescent="0.3">
      <c r="I61" s="1073"/>
      <c r="J61" s="1073"/>
      <c r="K61" s="1073"/>
      <c r="L61" s="1073"/>
      <c r="M61" s="1073"/>
      <c r="N61" s="1073"/>
    </row>
    <row r="62" spans="9:14" x14ac:dyDescent="0.3">
      <c r="I62" s="1073"/>
      <c r="J62" s="1073"/>
      <c r="K62" s="1073"/>
      <c r="L62" s="1073"/>
      <c r="M62" s="1073"/>
      <c r="N62" s="1073"/>
    </row>
    <row r="63" spans="9:14" x14ac:dyDescent="0.3">
      <c r="I63" s="1073"/>
      <c r="J63" s="1073"/>
      <c r="K63" s="1073"/>
      <c r="L63" s="1073"/>
      <c r="M63" s="1073"/>
      <c r="N63" s="1073"/>
    </row>
    <row r="64" spans="9:14" x14ac:dyDescent="0.3">
      <c r="I64" s="1073"/>
      <c r="J64" s="1073"/>
      <c r="K64" s="1073"/>
      <c r="L64" s="1073"/>
      <c r="M64" s="1073"/>
      <c r="N64" s="1073"/>
    </row>
    <row r="65" spans="9:14" x14ac:dyDescent="0.3">
      <c r="I65" s="1073"/>
      <c r="J65" s="1073"/>
      <c r="K65" s="1073"/>
      <c r="L65" s="1073"/>
      <c r="M65" s="1073"/>
      <c r="N65" s="1073"/>
    </row>
    <row r="66" spans="9:14" x14ac:dyDescent="0.3">
      <c r="I66" s="1073"/>
      <c r="J66" s="1073"/>
      <c r="K66" s="1073"/>
      <c r="L66" s="1073"/>
      <c r="M66" s="1073"/>
      <c r="N66" s="1073"/>
    </row>
    <row r="67" spans="9:14" x14ac:dyDescent="0.3">
      <c r="I67" s="1073"/>
      <c r="J67" s="1073"/>
      <c r="K67" s="1073"/>
      <c r="L67" s="1073"/>
      <c r="M67" s="1073"/>
      <c r="N67" s="1073"/>
    </row>
  </sheetData>
  <mergeCells count="27">
    <mergeCell ref="J37:K37"/>
    <mergeCell ref="A14:A16"/>
    <mergeCell ref="B14:B16"/>
    <mergeCell ref="H14:H16"/>
    <mergeCell ref="A17:A20"/>
    <mergeCell ref="B17:B20"/>
    <mergeCell ref="H17:H20"/>
    <mergeCell ref="A21:A23"/>
    <mergeCell ref="B21:B23"/>
    <mergeCell ref="H21:H23"/>
    <mergeCell ref="J35:K35"/>
    <mergeCell ref="J36:K36"/>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7"/>
  <dimension ref="A1:G49"/>
  <sheetViews>
    <sheetView topLeftCell="A13" workbookViewId="0">
      <selection activeCell="H34" sqref="H34"/>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RESUMEN!G189</f>
        <v>Proyecto: CDIE_CBCCSM_RCN25, PC2 - REDISEÑO IN-OUT SE MT-MT</v>
      </c>
      <c r="C5" s="1281"/>
      <c r="D5" s="1281"/>
      <c r="E5" s="1281"/>
      <c r="F5" s="1281"/>
      <c r="G5" s="1282"/>
    </row>
    <row r="6" spans="1:7" x14ac:dyDescent="0.25">
      <c r="A6" s="1177"/>
      <c r="B6" s="1177"/>
      <c r="C6" s="1177"/>
      <c r="D6" s="1177"/>
      <c r="E6" s="1177"/>
      <c r="F6" s="1177"/>
      <c r="G6" s="1177"/>
    </row>
    <row r="7" spans="1:7" x14ac:dyDescent="0.25">
      <c r="A7" s="271" t="s">
        <v>0</v>
      </c>
      <c r="B7" s="1264" t="str">
        <f>RESUMEN!B189</f>
        <v>D00249318</v>
      </c>
      <c r="C7" s="1265"/>
      <c r="D7" s="1177"/>
      <c r="E7" s="1266" t="s">
        <v>627</v>
      </c>
      <c r="F7" s="1267"/>
      <c r="G7" s="280" t="str">
        <f>RESUMEN!E189</f>
        <v xml:space="preserve">18-054 </v>
      </c>
    </row>
    <row r="8" spans="1:7" x14ac:dyDescent="0.25">
      <c r="A8" s="271" t="s">
        <v>628</v>
      </c>
      <c r="B8" s="1264" t="str">
        <f>RESUMEN!C189</f>
        <v>D00249318000</v>
      </c>
      <c r="C8" s="1265"/>
      <c r="D8" s="1177"/>
      <c r="E8" s="1266" t="s">
        <v>629</v>
      </c>
      <c r="F8" s="1267"/>
      <c r="G8" s="280" t="str">
        <f>RESUMEN!U189</f>
        <v>Acta N° 1: Marzo</v>
      </c>
    </row>
    <row r="9" spans="1:7" x14ac:dyDescent="0.25">
      <c r="A9" s="271" t="s">
        <v>630</v>
      </c>
      <c r="B9" s="1283" t="s">
        <v>631</v>
      </c>
      <c r="C9" s="1265"/>
      <c r="D9" s="1177"/>
      <c r="E9" s="1266" t="s">
        <v>632</v>
      </c>
      <c r="F9" s="1267"/>
      <c r="G9" s="1178">
        <f>RESUMEN!H189</f>
        <v>26643242</v>
      </c>
    </row>
    <row r="10" spans="1:7" x14ac:dyDescent="0.25">
      <c r="A10" s="271" t="s">
        <v>633</v>
      </c>
      <c r="B10" s="1283" t="str">
        <f>RESUMEN!D189</f>
        <v>CHINAUTA</v>
      </c>
      <c r="C10" s="1265"/>
      <c r="D10" s="1177"/>
      <c r="E10" s="1266" t="s">
        <v>634</v>
      </c>
      <c r="F10" s="1267"/>
      <c r="G10" s="1178">
        <f>RESUMEN!R189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RESUMEN!V189,"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",RESUMEN!G189)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CDIE_CBCCSM_RCN25, PC2 - REDISEÑO IN-OUT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RESUMEN!N189</f>
        <v>0</v>
      </c>
      <c r="F19" s="1248"/>
      <c r="G19" s="1177"/>
    </row>
    <row r="20" spans="1:7" ht="27" customHeight="1" x14ac:dyDescent="0.25">
      <c r="A20" s="1177"/>
      <c r="B20" s="1244" t="s">
        <v>1498</v>
      </c>
      <c r="C20" s="1245"/>
      <c r="D20" s="1246"/>
      <c r="E20" s="1247">
        <f>RESUMEN!P189</f>
        <v>0</v>
      </c>
      <c r="F20" s="1248"/>
      <c r="G20" s="1177"/>
    </row>
    <row r="21" spans="1:7" ht="27" customHeight="1" x14ac:dyDescent="0.25">
      <c r="A21" s="1177"/>
      <c r="B21" s="1244" t="s">
        <v>1499</v>
      </c>
      <c r="C21" s="1245"/>
      <c r="D21" s="1246"/>
      <c r="E21" s="1247">
        <f>RESUMEN!Q189</f>
        <v>0</v>
      </c>
      <c r="F21" s="1248"/>
      <c r="G21" s="1177"/>
    </row>
    <row r="22" spans="1:7" x14ac:dyDescent="0.25">
      <c r="A22" s="1177"/>
      <c r="B22" s="1254" t="s">
        <v>64</v>
      </c>
      <c r="C22" s="1254"/>
      <c r="D22" s="1254"/>
      <c r="E22" s="1255">
        <f>RESUMEN!R189</f>
        <v>0</v>
      </c>
      <c r="F22" s="1255"/>
      <c r="G22" s="1177"/>
    </row>
    <row r="23" spans="1:7" x14ac:dyDescent="0.25">
      <c r="A23" s="1177"/>
      <c r="B23" s="1256" t="s">
        <v>66</v>
      </c>
      <c r="C23" s="1256"/>
      <c r="D23" s="1256"/>
      <c r="E23" s="1257">
        <f>RESUMEN!S189</f>
        <v>0</v>
      </c>
      <c r="F23" s="1257"/>
      <c r="G23" s="1177"/>
    </row>
    <row r="24" spans="1:7" x14ac:dyDescent="0.25">
      <c r="A24" s="1177"/>
      <c r="B24" s="1258" t="s">
        <v>1</v>
      </c>
      <c r="C24" s="1258"/>
      <c r="D24" s="1258"/>
      <c r="E24" s="1259">
        <f>RESUMEN!T189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+'OT18-054 CHINAUTA'!I29</f>
        <v>ACTA 1</v>
      </c>
      <c r="C28" s="1253">
        <f>+'OT18-054 CHINAUTA'!J29</f>
        <v>0</v>
      </c>
      <c r="D28" s="1253"/>
      <c r="E28" s="267">
        <f>+'OT18-054 CHINAUTA'!K29</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RESUMEN!V189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8"/>
  <dimension ref="A1:N33"/>
  <sheetViews>
    <sheetView topLeftCell="C16" workbookViewId="0">
      <selection activeCell="C23" sqref="C23"/>
    </sheetView>
  </sheetViews>
  <sheetFormatPr baseColWidth="10" defaultRowHeight="14.4" x14ac:dyDescent="0.3"/>
  <cols>
    <col min="2" max="2" width="21.33203125" customWidth="1"/>
    <col min="3" max="4" width="23.109375" customWidth="1"/>
    <col min="8" max="8" width="32.77734375" customWidth="1"/>
  </cols>
  <sheetData>
    <row r="1" spans="1:14" x14ac:dyDescent="0.3">
      <c r="A1" s="169"/>
      <c r="B1" s="188"/>
      <c r="C1" s="1307" t="s">
        <v>40</v>
      </c>
      <c r="D1" s="1308"/>
      <c r="E1" s="1308"/>
      <c r="F1" s="1308"/>
      <c r="G1" s="1308"/>
      <c r="H1" s="1308"/>
      <c r="I1" s="1308"/>
      <c r="J1" s="1308"/>
      <c r="K1" s="1532" t="s">
        <v>2500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2499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2523</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1133</v>
      </c>
      <c r="B14" s="1510" t="s">
        <v>320</v>
      </c>
      <c r="C14" s="1074" t="s">
        <v>59</v>
      </c>
      <c r="D14" s="1074" t="s">
        <v>321</v>
      </c>
      <c r="E14" s="1074">
        <v>1</v>
      </c>
      <c r="F14" s="646">
        <v>6331430</v>
      </c>
      <c r="G14" s="646">
        <f>ROUND((E14*F14),0)</f>
        <v>6331430</v>
      </c>
      <c r="H14" s="1514" t="s">
        <v>2508</v>
      </c>
      <c r="I14" s="799">
        <v>0</v>
      </c>
      <c r="J14" s="1132">
        <f>ROUND(I14*F14,0)</f>
        <v>0</v>
      </c>
      <c r="K14" s="1133">
        <f t="shared" ref="K14:K19" si="0">J14/G14</f>
        <v>0</v>
      </c>
      <c r="L14" s="1134">
        <f t="shared" ref="L14:M16" si="1">I14</f>
        <v>0</v>
      </c>
      <c r="M14" s="1124">
        <f t="shared" si="1"/>
        <v>0</v>
      </c>
      <c r="N14" s="1133">
        <f>M14/G14</f>
        <v>0</v>
      </c>
    </row>
    <row r="15" spans="1:14" ht="43.2" x14ac:dyDescent="0.3">
      <c r="A15" s="1510"/>
      <c r="B15" s="1510"/>
      <c r="C15" s="1074" t="s">
        <v>61</v>
      </c>
      <c r="D15" s="1074" t="s">
        <v>322</v>
      </c>
      <c r="E15" s="1074">
        <v>1</v>
      </c>
      <c r="F15" s="646">
        <v>6990191</v>
      </c>
      <c r="G15" s="646">
        <f>ROUND((E15*F15),0)</f>
        <v>6990191</v>
      </c>
      <c r="H15" s="1510"/>
      <c r="I15" s="799">
        <v>0</v>
      </c>
      <c r="J15" s="1132">
        <f t="shared" ref="J15" si="2">ROUND(I15*F15,0)</f>
        <v>0</v>
      </c>
      <c r="K15" s="1133">
        <f t="shared" si="0"/>
        <v>0</v>
      </c>
      <c r="L15" s="1134">
        <f t="shared" si="1"/>
        <v>0</v>
      </c>
      <c r="M15" s="1124">
        <f t="shared" si="1"/>
        <v>0</v>
      </c>
      <c r="N15" s="1133">
        <f>M15/G15</f>
        <v>0</v>
      </c>
    </row>
    <row r="16" spans="1:14" x14ac:dyDescent="0.3">
      <c r="A16" s="1510"/>
      <c r="B16" s="1510"/>
      <c r="C16" s="647"/>
      <c r="D16" s="647" t="s">
        <v>143</v>
      </c>
      <c r="E16" s="648"/>
      <c r="F16" s="648"/>
      <c r="G16" s="649">
        <f>SUM(G14:G15)</f>
        <v>13321621</v>
      </c>
      <c r="H16" s="1510"/>
      <c r="I16" s="1108"/>
      <c r="J16" s="1146">
        <f>SUM(J14:J15)</f>
        <v>0</v>
      </c>
      <c r="K16" s="1136">
        <f t="shared" si="0"/>
        <v>0</v>
      </c>
      <c r="L16" s="1137"/>
      <c r="M16" s="1138">
        <f t="shared" si="1"/>
        <v>0</v>
      </c>
      <c r="N16" s="1136">
        <f t="shared" ref="N16" si="3">M16/G16</f>
        <v>0</v>
      </c>
    </row>
    <row r="17" spans="1:14" ht="43.2" x14ac:dyDescent="0.3">
      <c r="A17" s="1514" t="s">
        <v>2524</v>
      </c>
      <c r="B17" s="1510" t="s">
        <v>320</v>
      </c>
      <c r="C17" s="1074" t="s">
        <v>59</v>
      </c>
      <c r="D17" s="1074" t="s">
        <v>321</v>
      </c>
      <c r="E17" s="1074">
        <v>1</v>
      </c>
      <c r="F17" s="646">
        <v>6331430</v>
      </c>
      <c r="G17" s="646">
        <f>ROUND((E17*F17),0)</f>
        <v>6331430</v>
      </c>
      <c r="H17" s="1514" t="s">
        <v>2525</v>
      </c>
      <c r="I17" s="799">
        <v>0</v>
      </c>
      <c r="J17" s="1132">
        <f>ROUND(I17*F17,0)</f>
        <v>0</v>
      </c>
      <c r="K17" s="1133">
        <f t="shared" si="0"/>
        <v>0</v>
      </c>
      <c r="L17" s="1134">
        <f t="shared" ref="L17:L18" si="4">I17</f>
        <v>0</v>
      </c>
      <c r="M17" s="1124">
        <f t="shared" ref="M17:M19" si="5">J17</f>
        <v>0</v>
      </c>
      <c r="N17" s="1133">
        <f>M17/G17</f>
        <v>0</v>
      </c>
    </row>
    <row r="18" spans="1:14" ht="43.2" x14ac:dyDescent="0.3">
      <c r="A18" s="1510"/>
      <c r="B18" s="1510"/>
      <c r="C18" s="1074" t="s">
        <v>61</v>
      </c>
      <c r="D18" s="1074" t="s">
        <v>322</v>
      </c>
      <c r="E18" s="1074">
        <v>1</v>
      </c>
      <c r="F18" s="646">
        <v>6990191</v>
      </c>
      <c r="G18" s="646">
        <f>ROUND((E18*F18),0)</f>
        <v>6990191</v>
      </c>
      <c r="H18" s="1510"/>
      <c r="I18" s="799">
        <v>0</v>
      </c>
      <c r="J18" s="1132">
        <f t="shared" ref="J18" si="6">ROUND(I18*F18,0)</f>
        <v>0</v>
      </c>
      <c r="K18" s="1133">
        <f t="shared" si="0"/>
        <v>0</v>
      </c>
      <c r="L18" s="1134">
        <f t="shared" si="4"/>
        <v>0</v>
      </c>
      <c r="M18" s="1124">
        <f t="shared" si="5"/>
        <v>0</v>
      </c>
      <c r="N18" s="1133">
        <f>M18/G18</f>
        <v>0</v>
      </c>
    </row>
    <row r="19" spans="1:14" x14ac:dyDescent="0.3">
      <c r="A19" s="1510"/>
      <c r="B19" s="1510"/>
      <c r="C19" s="647"/>
      <c r="D19" s="647" t="s">
        <v>143</v>
      </c>
      <c r="E19" s="648"/>
      <c r="F19" s="648"/>
      <c r="G19" s="649">
        <f>SUM(G17:G18)</f>
        <v>13321621</v>
      </c>
      <c r="H19" s="1510"/>
      <c r="I19" s="1108"/>
      <c r="J19" s="1146">
        <f>SUM(J17:J18)</f>
        <v>0</v>
      </c>
      <c r="K19" s="1136">
        <f t="shared" si="0"/>
        <v>0</v>
      </c>
      <c r="L19" s="1137"/>
      <c r="M19" s="1138">
        <f t="shared" si="5"/>
        <v>0</v>
      </c>
      <c r="N19" s="1136">
        <f t="shared" ref="N19" si="7">M19/G19</f>
        <v>0</v>
      </c>
    </row>
    <row r="20" spans="1:14" x14ac:dyDescent="0.3">
      <c r="F20" s="836" t="s">
        <v>1740</v>
      </c>
      <c r="G20" s="650">
        <f>SUM(G14:G19)/2</f>
        <v>26643242</v>
      </c>
      <c r="I20" s="547" t="s">
        <v>64</v>
      </c>
      <c r="J20" s="855">
        <f>SUM(J14:J19)/2</f>
        <v>0</v>
      </c>
      <c r="K20" s="1073"/>
      <c r="L20" s="547" t="s">
        <v>64</v>
      </c>
      <c r="M20" s="835">
        <f>SUM(M14:M19)/2</f>
        <v>0</v>
      </c>
      <c r="N20" s="1073"/>
    </row>
    <row r="21" spans="1:14" ht="26.4" x14ac:dyDescent="0.3">
      <c r="F21" s="1118" t="s">
        <v>65</v>
      </c>
      <c r="G21" s="1115">
        <v>0</v>
      </c>
      <c r="I21" s="548" t="s">
        <v>65</v>
      </c>
      <c r="J21" s="677">
        <v>0</v>
      </c>
      <c r="K21" s="1073"/>
      <c r="L21" s="548" t="s">
        <v>65</v>
      </c>
      <c r="M21" s="677">
        <v>0</v>
      </c>
      <c r="N21" s="1073"/>
    </row>
    <row r="22" spans="1:14" x14ac:dyDescent="0.3">
      <c r="F22" s="1119" t="s">
        <v>64</v>
      </c>
      <c r="G22" s="1151">
        <f>G20+G21</f>
        <v>26643242</v>
      </c>
      <c r="I22" s="549" t="s">
        <v>64</v>
      </c>
      <c r="J22" s="481">
        <f>J20+J21</f>
        <v>0</v>
      </c>
      <c r="K22" s="1073"/>
      <c r="L22" s="549" t="s">
        <v>64</v>
      </c>
      <c r="M22" s="481">
        <f>M20+M21</f>
        <v>0</v>
      </c>
      <c r="N22" s="1073"/>
    </row>
    <row r="23" spans="1:14" ht="26.4" x14ac:dyDescent="0.3">
      <c r="F23" s="501" t="s">
        <v>1439</v>
      </c>
      <c r="G23" s="1116">
        <f>ROUND(G22*0.015,0)</f>
        <v>399649</v>
      </c>
      <c r="I23" s="501" t="s">
        <v>1439</v>
      </c>
      <c r="J23" s="481">
        <f>ROUND(J22*0.015,0)</f>
        <v>0</v>
      </c>
      <c r="K23" s="1073"/>
      <c r="L23" s="501" t="s">
        <v>1439</v>
      </c>
      <c r="M23" s="481">
        <f>ROUND(M22*0.015,0)</f>
        <v>0</v>
      </c>
      <c r="N23" s="1073"/>
    </row>
    <row r="24" spans="1:14" ht="39.6" x14ac:dyDescent="0.3">
      <c r="F24" s="96" t="s">
        <v>1440</v>
      </c>
      <c r="G24" s="1117">
        <f>G22+G23</f>
        <v>27042891</v>
      </c>
      <c r="I24" s="96" t="s">
        <v>1440</v>
      </c>
      <c r="J24" s="783">
        <f>J22+J23</f>
        <v>0</v>
      </c>
      <c r="K24" s="856">
        <f>J24/G20</f>
        <v>0</v>
      </c>
      <c r="L24" s="96" t="s">
        <v>1440</v>
      </c>
      <c r="M24" s="425">
        <f>M22+M23</f>
        <v>0</v>
      </c>
      <c r="N24" s="857">
        <f>M24/G20</f>
        <v>0</v>
      </c>
    </row>
    <row r="25" spans="1:14" x14ac:dyDescent="0.3">
      <c r="F25" s="1122" t="s">
        <v>66</v>
      </c>
      <c r="G25" s="783">
        <f>G24*0.19</f>
        <v>5138149.29</v>
      </c>
      <c r="I25" s="551" t="s">
        <v>66</v>
      </c>
      <c r="J25" s="672">
        <f>J24*0.19</f>
        <v>0</v>
      </c>
      <c r="K25" s="1073"/>
      <c r="L25" s="551" t="s">
        <v>66</v>
      </c>
      <c r="M25" s="672">
        <f>M24*0.19</f>
        <v>0</v>
      </c>
      <c r="N25" s="1073"/>
    </row>
    <row r="26" spans="1:14" x14ac:dyDescent="0.3">
      <c r="F26" s="1123" t="s">
        <v>69</v>
      </c>
      <c r="G26" s="672">
        <f>G24+G25</f>
        <v>32181040.289999999</v>
      </c>
      <c r="I26" s="552" t="s">
        <v>69</v>
      </c>
      <c r="J26" s="672">
        <f>J24+J25</f>
        <v>0</v>
      </c>
      <c r="K26" s="1073"/>
      <c r="L26" s="552" t="s">
        <v>69</v>
      </c>
      <c r="M26" s="672">
        <f>M24+M25</f>
        <v>0</v>
      </c>
      <c r="N26" s="1073"/>
    </row>
    <row r="27" spans="1:14" x14ac:dyDescent="0.3">
      <c r="I27" s="1073"/>
      <c r="J27" s="1073"/>
      <c r="K27" s="1073"/>
      <c r="L27" s="1073"/>
      <c r="M27" s="1073"/>
      <c r="N27" s="1073"/>
    </row>
    <row r="28" spans="1:14" ht="26.4" x14ac:dyDescent="0.3">
      <c r="I28" s="186" t="s">
        <v>70</v>
      </c>
      <c r="J28" s="187" t="s">
        <v>71</v>
      </c>
      <c r="K28" s="186" t="s">
        <v>58</v>
      </c>
      <c r="L28" s="1073"/>
      <c r="M28" s="1073"/>
      <c r="N28" s="1073"/>
    </row>
    <row r="29" spans="1:14" x14ac:dyDescent="0.3">
      <c r="I29" s="69" t="s">
        <v>72</v>
      </c>
      <c r="J29" s="70">
        <f>J24</f>
        <v>0</v>
      </c>
      <c r="K29" s="360">
        <f>K24</f>
        <v>0</v>
      </c>
      <c r="L29" s="1073"/>
      <c r="M29" s="1073"/>
      <c r="N29" s="1073"/>
    </row>
    <row r="30" spans="1:14" x14ac:dyDescent="0.3">
      <c r="I30" s="72" t="s">
        <v>1</v>
      </c>
      <c r="J30" s="105">
        <f>J29</f>
        <v>0</v>
      </c>
      <c r="K30" s="361">
        <f>K29</f>
        <v>0</v>
      </c>
      <c r="L30" s="1073"/>
      <c r="M30" s="1073"/>
      <c r="N30" s="1073"/>
    </row>
    <row r="31" spans="1:14" x14ac:dyDescent="0.3">
      <c r="I31" s="72" t="s">
        <v>9</v>
      </c>
      <c r="J31" s="1423"/>
      <c r="K31" s="1424"/>
      <c r="L31" s="1073"/>
      <c r="M31" s="1073"/>
      <c r="N31" s="1073"/>
    </row>
    <row r="32" spans="1:14" x14ac:dyDescent="0.3">
      <c r="I32" s="440" t="s">
        <v>78</v>
      </c>
      <c r="J32" s="1423" t="s">
        <v>2504</v>
      </c>
      <c r="K32" s="1424"/>
      <c r="L32" s="1073"/>
      <c r="M32" s="1073"/>
      <c r="N32" s="1073"/>
    </row>
    <row r="33" spans="9:14" x14ac:dyDescent="0.3">
      <c r="I33" s="439" t="s">
        <v>8</v>
      </c>
      <c r="J33" s="1425" t="s">
        <v>2505</v>
      </c>
      <c r="K33" s="1426"/>
      <c r="L33" s="1073"/>
      <c r="M33" s="1073"/>
      <c r="N33" s="1073"/>
    </row>
  </sheetData>
  <mergeCells count="24">
    <mergeCell ref="J31:K31"/>
    <mergeCell ref="J32:K32"/>
    <mergeCell ref="J33:K33"/>
    <mergeCell ref="A14:A16"/>
    <mergeCell ref="B14:B16"/>
    <mergeCell ref="H14:H16"/>
    <mergeCell ref="A17:A19"/>
    <mergeCell ref="B17:B19"/>
    <mergeCell ref="H17:H19"/>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9"/>
  <dimension ref="A1:G49"/>
  <sheetViews>
    <sheetView topLeftCell="A22"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RESUMEN!G190</f>
        <v>Proyecto: CDIM_CBSGSM_R0199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RESUMEN!B190</f>
        <v>D00249543</v>
      </c>
      <c r="C7" s="1265"/>
      <c r="D7" s="1177"/>
      <c r="E7" s="1266" t="s">
        <v>627</v>
      </c>
      <c r="F7" s="1267"/>
      <c r="G7" s="280" t="str">
        <f>RESUMEN!E190</f>
        <v xml:space="preserve">18-055 </v>
      </c>
    </row>
    <row r="8" spans="1:7" x14ac:dyDescent="0.25">
      <c r="A8" s="271" t="s">
        <v>628</v>
      </c>
      <c r="B8" s="1264" t="str">
        <f>RESUMEN!C190</f>
        <v>D00249543000</v>
      </c>
      <c r="C8" s="1265"/>
      <c r="D8" s="1177"/>
      <c r="E8" s="1266" t="s">
        <v>629</v>
      </c>
      <c r="F8" s="1267"/>
      <c r="G8" s="280" t="str">
        <f>RESUMEN!U190</f>
        <v>Acta N° 1: Marzo</v>
      </c>
    </row>
    <row r="9" spans="1:7" x14ac:dyDescent="0.25">
      <c r="A9" s="271" t="s">
        <v>630</v>
      </c>
      <c r="B9" s="1283" t="s">
        <v>631</v>
      </c>
      <c r="C9" s="1265"/>
      <c r="D9" s="1177"/>
      <c r="E9" s="1266" t="s">
        <v>632</v>
      </c>
      <c r="F9" s="1267"/>
      <c r="G9" s="1178">
        <f>RESUMEN!H190</f>
        <v>382081.63500000001</v>
      </c>
    </row>
    <row r="10" spans="1:7" x14ac:dyDescent="0.25">
      <c r="A10" s="271" t="s">
        <v>633</v>
      </c>
      <c r="B10" s="1283" t="str">
        <f>RESUMEN!D190</f>
        <v>SALITRE</v>
      </c>
      <c r="C10" s="1265"/>
      <c r="D10" s="1177"/>
      <c r="E10" s="1266" t="s">
        <v>634</v>
      </c>
      <c r="F10" s="1267"/>
      <c r="G10" s="1178">
        <f>RESUMEN!R190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CDIM_CBSGSM_R0199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RESUMEN!N190</f>
        <v>0</v>
      </c>
      <c r="F19" s="1248"/>
      <c r="G19" s="1177"/>
    </row>
    <row r="20" spans="1:7" ht="27" customHeight="1" x14ac:dyDescent="0.25">
      <c r="A20" s="1177"/>
      <c r="B20" s="1244" t="s">
        <v>1498</v>
      </c>
      <c r="C20" s="1245"/>
      <c r="D20" s="1246"/>
      <c r="E20" s="1247">
        <f>RESUMEN!P190</f>
        <v>0</v>
      </c>
      <c r="F20" s="1248"/>
      <c r="G20" s="1177"/>
    </row>
    <row r="21" spans="1:7" ht="27" customHeight="1" x14ac:dyDescent="0.25">
      <c r="A21" s="1177"/>
      <c r="B21" s="1244" t="s">
        <v>1499</v>
      </c>
      <c r="C21" s="1245"/>
      <c r="D21" s="1246"/>
      <c r="E21" s="1247">
        <f>RESUMEN!Q190</f>
        <v>0</v>
      </c>
      <c r="F21" s="1248"/>
      <c r="G21" s="1177"/>
    </row>
    <row r="22" spans="1:7" x14ac:dyDescent="0.25">
      <c r="A22" s="1177"/>
      <c r="B22" s="1254" t="s">
        <v>64</v>
      </c>
      <c r="C22" s="1254"/>
      <c r="D22" s="1254"/>
      <c r="E22" s="1255">
        <f>RESUMEN!R190</f>
        <v>0</v>
      </c>
      <c r="F22" s="1255"/>
      <c r="G22" s="1177"/>
    </row>
    <row r="23" spans="1:7" x14ac:dyDescent="0.25">
      <c r="A23" s="1177"/>
      <c r="B23" s="1256" t="s">
        <v>66</v>
      </c>
      <c r="C23" s="1256"/>
      <c r="D23" s="1256"/>
      <c r="E23" s="1257">
        <f>RESUMEN!S190</f>
        <v>0</v>
      </c>
      <c r="F23" s="1257"/>
      <c r="G23" s="1177"/>
    </row>
    <row r="24" spans="1:7" x14ac:dyDescent="0.25">
      <c r="A24" s="1177"/>
      <c r="B24" s="1258" t="s">
        <v>1</v>
      </c>
      <c r="C24" s="1258"/>
      <c r="D24" s="1258"/>
      <c r="E24" s="1259">
        <f>RESUMEN!T190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+'OT18-055 SALITRE'!I29</f>
        <v>ACTA 1</v>
      </c>
      <c r="C28" s="1253">
        <f>+'OT18-055 SALITRE'!J29</f>
        <v>0</v>
      </c>
      <c r="D28" s="1253"/>
      <c r="E28" s="267">
        <f>+'OT18-055 SALITRE'!K29</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0"/>
  <dimension ref="A1:O34"/>
  <sheetViews>
    <sheetView topLeftCell="C19" workbookViewId="0">
      <selection activeCell="F20" sqref="F20:G26"/>
    </sheetView>
  </sheetViews>
  <sheetFormatPr baseColWidth="10" defaultRowHeight="14.4" x14ac:dyDescent="0.3"/>
  <cols>
    <col min="2" max="2" width="21.109375" customWidth="1"/>
    <col min="3" max="4" width="23" customWidth="1"/>
    <col min="6" max="6" width="14.5546875" customWidth="1"/>
    <col min="7" max="7" width="13.6640625" customWidth="1"/>
    <col min="8" max="8" width="35.6640625" customWidth="1"/>
  </cols>
  <sheetData>
    <row r="1" spans="1:15" x14ac:dyDescent="0.3">
      <c r="A1" s="169"/>
      <c r="B1" s="188"/>
      <c r="C1" s="1307" t="s">
        <v>40</v>
      </c>
      <c r="D1" s="1308"/>
      <c r="E1" s="1308"/>
      <c r="F1" s="1308"/>
      <c r="G1" s="1308"/>
      <c r="H1" s="1308"/>
      <c r="I1" s="1308"/>
      <c r="J1" s="1308"/>
      <c r="K1" s="1532" t="s">
        <v>2528</v>
      </c>
      <c r="L1" s="1532"/>
      <c r="M1" s="1532"/>
      <c r="N1" s="1532"/>
    </row>
    <row r="2" spans="1:15" ht="15" thickBot="1" x14ac:dyDescent="0.35">
      <c r="A2" s="170"/>
      <c r="B2" s="190"/>
      <c r="C2" s="1310"/>
      <c r="D2" s="1311"/>
      <c r="E2" s="1311"/>
      <c r="F2" s="1311"/>
      <c r="G2" s="1311"/>
      <c r="H2" s="1311"/>
      <c r="I2" s="1311"/>
      <c r="J2" s="1311"/>
      <c r="K2" s="1459" t="s">
        <v>41</v>
      </c>
      <c r="L2" s="1459"/>
      <c r="M2" s="1459"/>
      <c r="N2" s="1459"/>
    </row>
    <row r="3" spans="1:15" x14ac:dyDescent="0.3">
      <c r="A3" s="1292" t="s">
        <v>42</v>
      </c>
      <c r="B3" s="1292"/>
      <c r="C3" s="1292"/>
      <c r="D3" s="1292"/>
      <c r="E3" s="1292"/>
      <c r="F3" s="1292"/>
      <c r="G3" s="1292"/>
      <c r="H3" s="1292"/>
      <c r="I3" s="1292"/>
      <c r="J3" s="1292"/>
      <c r="K3" s="1292"/>
      <c r="L3" s="1292"/>
      <c r="M3" s="1292"/>
      <c r="N3" s="831"/>
    </row>
    <row r="4" spans="1:15" x14ac:dyDescent="0.3">
      <c r="A4" s="1292" t="s">
        <v>43</v>
      </c>
      <c r="B4" s="1292"/>
      <c r="C4" s="1292"/>
      <c r="D4" s="1292"/>
      <c r="E4" s="1292"/>
      <c r="F4" s="1292"/>
      <c r="G4" s="1292"/>
      <c r="H4" s="1292"/>
      <c r="I4" s="1292"/>
      <c r="J4" s="1292"/>
      <c r="K4" s="1292"/>
      <c r="L4" s="1292"/>
      <c r="M4" s="1292"/>
      <c r="N4" s="831"/>
    </row>
    <row r="5" spans="1:15" x14ac:dyDescent="0.3">
      <c r="A5" s="1292" t="s">
        <v>44</v>
      </c>
      <c r="B5" s="1292"/>
      <c r="C5" s="1292"/>
      <c r="D5" s="1292"/>
      <c r="E5" s="1292"/>
      <c r="F5" s="1292"/>
      <c r="G5" s="1292"/>
      <c r="H5" s="1292"/>
      <c r="I5" s="1292"/>
      <c r="J5" s="1292"/>
      <c r="K5" s="1292"/>
      <c r="L5" s="1292"/>
      <c r="M5" s="1292"/>
      <c r="N5" s="831"/>
    </row>
    <row r="6" spans="1:15" x14ac:dyDescent="0.3">
      <c r="A6" s="1292" t="s">
        <v>45</v>
      </c>
      <c r="B6" s="1292"/>
      <c r="C6" s="1292"/>
      <c r="D6" s="1292"/>
      <c r="E6" s="1292"/>
      <c r="F6" s="1292"/>
      <c r="G6" s="1292"/>
      <c r="H6" s="1292"/>
      <c r="I6" s="1292"/>
      <c r="J6" s="1292"/>
      <c r="K6" s="1292"/>
      <c r="L6" s="1292"/>
      <c r="M6" s="1292"/>
      <c r="N6" s="831"/>
    </row>
    <row r="7" spans="1:15" x14ac:dyDescent="0.3">
      <c r="A7" s="1291" t="s">
        <v>2527</v>
      </c>
      <c r="B7" s="1292"/>
      <c r="C7" s="1292"/>
      <c r="D7" s="1292"/>
      <c r="E7" s="1292"/>
      <c r="F7" s="1292"/>
      <c r="G7" s="1292"/>
      <c r="H7" s="1292"/>
      <c r="I7" s="1292"/>
      <c r="J7" s="1292"/>
      <c r="K7" s="1292"/>
      <c r="L7" s="1292"/>
      <c r="M7" s="1292"/>
      <c r="N7" s="831"/>
    </row>
    <row r="8" spans="1:15" x14ac:dyDescent="0.3">
      <c r="A8" s="1292" t="s">
        <v>2312</v>
      </c>
      <c r="B8" s="1292"/>
      <c r="C8" s="1292"/>
      <c r="D8" s="1292"/>
      <c r="E8" s="1292"/>
      <c r="F8" s="1292"/>
      <c r="G8" s="1292"/>
      <c r="H8" s="1292"/>
      <c r="I8" s="1292"/>
      <c r="J8" s="1292"/>
      <c r="K8" s="1292"/>
      <c r="L8" s="1292"/>
      <c r="M8" s="1292"/>
      <c r="N8" s="831"/>
    </row>
    <row r="9" spans="1:15" x14ac:dyDescent="0.3">
      <c r="A9" s="1292" t="s">
        <v>2305</v>
      </c>
      <c r="B9" s="1292"/>
      <c r="C9" s="1292"/>
      <c r="D9" s="1292"/>
      <c r="E9" s="1292"/>
      <c r="F9" s="1292"/>
      <c r="G9" s="1292"/>
      <c r="H9" s="1292"/>
      <c r="I9" s="1292"/>
      <c r="J9" s="1292"/>
      <c r="K9" s="1292"/>
      <c r="L9" s="1292"/>
      <c r="M9" s="1292"/>
      <c r="N9" s="831"/>
    </row>
    <row r="10" spans="1:15" x14ac:dyDescent="0.3">
      <c r="A10" s="1292" t="s">
        <v>2526</v>
      </c>
      <c r="B10" s="1292"/>
      <c r="C10" s="1292"/>
      <c r="D10" s="1292"/>
      <c r="E10" s="1292"/>
      <c r="F10" s="1292"/>
      <c r="G10" s="1292"/>
      <c r="H10" s="1292"/>
      <c r="I10" s="1292"/>
      <c r="J10" s="1292"/>
      <c r="K10" s="1292"/>
      <c r="L10" s="1292"/>
      <c r="M10" s="1292"/>
      <c r="N10" s="831"/>
    </row>
    <row r="11" spans="1:15" x14ac:dyDescent="0.3">
      <c r="A11" s="1072"/>
      <c r="B11" s="1301"/>
      <c r="C11" s="1313"/>
      <c r="D11" s="1313"/>
      <c r="E11" s="1313"/>
      <c r="F11" s="1313"/>
      <c r="G11" s="1073"/>
      <c r="H11" s="831"/>
      <c r="I11" s="1470" t="s">
        <v>2313</v>
      </c>
      <c r="J11" s="1471"/>
      <c r="K11" s="1472"/>
      <c r="L11" s="1299" t="s">
        <v>49</v>
      </c>
      <c r="M11" s="1299"/>
      <c r="N11" s="1299"/>
    </row>
    <row r="12" spans="1:15" x14ac:dyDescent="0.3">
      <c r="A12" s="171"/>
      <c r="B12" s="1301"/>
      <c r="C12" s="1302"/>
      <c r="D12" s="1302"/>
      <c r="E12" s="1302"/>
      <c r="F12" s="1302"/>
      <c r="G12" s="831"/>
      <c r="H12" s="831"/>
      <c r="I12" s="1523"/>
      <c r="J12" s="1524"/>
      <c r="K12" s="1525"/>
      <c r="L12" s="1300"/>
      <c r="M12" s="1300"/>
      <c r="N12" s="1300"/>
    </row>
    <row r="13" spans="1:15"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c r="O13" s="1073"/>
    </row>
    <row r="14" spans="1:15" ht="43.2" x14ac:dyDescent="0.3">
      <c r="A14" s="1510" t="s">
        <v>2529</v>
      </c>
      <c r="B14" s="1510" t="s">
        <v>243</v>
      </c>
      <c r="C14" s="1074" t="s">
        <v>59</v>
      </c>
      <c r="D14" s="1074" t="s">
        <v>141</v>
      </c>
      <c r="E14" s="1074">
        <v>0</v>
      </c>
      <c r="F14" s="646">
        <v>988142</v>
      </c>
      <c r="G14" s="646">
        <f>E14*F14</f>
        <v>0</v>
      </c>
      <c r="H14" s="1555" t="s">
        <v>2530</v>
      </c>
      <c r="I14" s="799">
        <v>0</v>
      </c>
      <c r="J14" s="1132">
        <f>ROUND(I14*F14,0)</f>
        <v>0</v>
      </c>
      <c r="K14" s="1133">
        <v>0</v>
      </c>
      <c r="L14" s="1134">
        <f t="shared" ref="L14:M19" si="0">I14</f>
        <v>0</v>
      </c>
      <c r="M14" s="1124">
        <f t="shared" si="0"/>
        <v>0</v>
      </c>
      <c r="N14" s="1133">
        <v>0</v>
      </c>
      <c r="O14" s="1073"/>
    </row>
    <row r="15" spans="1:15" ht="43.2" x14ac:dyDescent="0.3">
      <c r="A15" s="1510"/>
      <c r="B15" s="1510"/>
      <c r="C15" s="1074" t="s">
        <v>61</v>
      </c>
      <c r="D15" s="1074" t="s">
        <v>142</v>
      </c>
      <c r="E15" s="1074">
        <v>4.4999999999999998E-2</v>
      </c>
      <c r="F15" s="646">
        <v>3037622</v>
      </c>
      <c r="G15" s="646">
        <f>E15*F15</f>
        <v>136692.99</v>
      </c>
      <c r="H15" s="1555"/>
      <c r="I15" s="799">
        <v>0</v>
      </c>
      <c r="J15" s="1132">
        <f t="shared" ref="J15" si="1">ROUND(I15*F15,0)</f>
        <v>0</v>
      </c>
      <c r="K15" s="1133">
        <f>J15/G15</f>
        <v>0</v>
      </c>
      <c r="L15" s="1134">
        <f t="shared" si="0"/>
        <v>0</v>
      </c>
      <c r="M15" s="1124">
        <f t="shared" si="0"/>
        <v>0</v>
      </c>
      <c r="N15" s="1133">
        <f>M15/G15</f>
        <v>0</v>
      </c>
      <c r="O15" s="1073"/>
    </row>
    <row r="16" spans="1:15" x14ac:dyDescent="0.3">
      <c r="A16" s="1510"/>
      <c r="B16" s="1510"/>
      <c r="C16" s="647"/>
      <c r="D16" s="647" t="s">
        <v>143</v>
      </c>
      <c r="E16" s="648"/>
      <c r="F16" s="648"/>
      <c r="G16" s="649">
        <f>SUM(G14:G15)</f>
        <v>136692.99</v>
      </c>
      <c r="H16" s="1555"/>
      <c r="I16" s="1108"/>
      <c r="J16" s="1146">
        <f>SUM(J14:J15)</f>
        <v>0</v>
      </c>
      <c r="K16" s="1136">
        <f>J16/G16</f>
        <v>0</v>
      </c>
      <c r="L16" s="1137"/>
      <c r="M16" s="1138">
        <f t="shared" si="0"/>
        <v>0</v>
      </c>
      <c r="N16" s="1136">
        <f t="shared" ref="N16" si="2">M16/G16</f>
        <v>0</v>
      </c>
      <c r="O16" s="1073"/>
    </row>
    <row r="17" spans="1:15" ht="43.2" x14ac:dyDescent="0.3">
      <c r="A17" s="1510" t="s">
        <v>144</v>
      </c>
      <c r="B17" s="1510" t="s">
        <v>251</v>
      </c>
      <c r="C17" s="1074" t="s">
        <v>59</v>
      </c>
      <c r="D17" s="1074" t="s">
        <v>145</v>
      </c>
      <c r="E17" s="1074">
        <v>0</v>
      </c>
      <c r="F17" s="646">
        <v>988142</v>
      </c>
      <c r="G17" s="646">
        <f t="shared" ref="G17:G18" si="3">E17*F17</f>
        <v>0</v>
      </c>
      <c r="H17" s="1555"/>
      <c r="I17" s="799">
        <v>0</v>
      </c>
      <c r="J17" s="1132">
        <f>ROUND(I17*F17,0)</f>
        <v>0</v>
      </c>
      <c r="K17" s="1133">
        <v>0</v>
      </c>
      <c r="L17" s="1134">
        <f t="shared" ref="L17:L18" si="4">I17</f>
        <v>0</v>
      </c>
      <c r="M17" s="1124">
        <f t="shared" si="0"/>
        <v>0</v>
      </c>
      <c r="N17" s="1133">
        <v>0</v>
      </c>
      <c r="O17" s="1073"/>
    </row>
    <row r="18" spans="1:15" ht="43.2" x14ac:dyDescent="0.3">
      <c r="A18" s="1510"/>
      <c r="B18" s="1510"/>
      <c r="C18" s="1074" t="s">
        <v>61</v>
      </c>
      <c r="D18" s="1074" t="s">
        <v>146</v>
      </c>
      <c r="E18" s="1074">
        <v>4.4999999999999998E-2</v>
      </c>
      <c r="F18" s="646">
        <v>5453081</v>
      </c>
      <c r="G18" s="646">
        <f t="shared" si="3"/>
        <v>245388.64499999999</v>
      </c>
      <c r="H18" s="1555"/>
      <c r="I18" s="799">
        <v>0</v>
      </c>
      <c r="J18" s="1132">
        <f t="shared" ref="J18" si="5">ROUND(I18*F18,0)</f>
        <v>0</v>
      </c>
      <c r="K18" s="1133">
        <f>J18/G18</f>
        <v>0</v>
      </c>
      <c r="L18" s="1134">
        <f t="shared" si="4"/>
        <v>0</v>
      </c>
      <c r="M18" s="1124">
        <f t="shared" si="0"/>
        <v>0</v>
      </c>
      <c r="N18" s="1133">
        <f>M18/G18</f>
        <v>0</v>
      </c>
      <c r="O18" s="1073"/>
    </row>
    <row r="19" spans="1:15" x14ac:dyDescent="0.3">
      <c r="A19" s="1510"/>
      <c r="B19" s="1510"/>
      <c r="C19" s="647"/>
      <c r="D19" s="647" t="s">
        <v>147</v>
      </c>
      <c r="E19" s="648"/>
      <c r="F19" s="648"/>
      <c r="G19" s="649">
        <f>SUM(G17:G18)</f>
        <v>245388.64499999999</v>
      </c>
      <c r="H19" s="1555"/>
      <c r="I19" s="1108"/>
      <c r="J19" s="1146">
        <f>SUM(J17:J18)</f>
        <v>0</v>
      </c>
      <c r="K19" s="1136">
        <f>J19/G19</f>
        <v>0</v>
      </c>
      <c r="L19" s="1137"/>
      <c r="M19" s="1138">
        <f t="shared" si="0"/>
        <v>0</v>
      </c>
      <c r="N19" s="1136">
        <f t="shared" ref="N19" si="6">M19/G19</f>
        <v>0</v>
      </c>
      <c r="O19" s="1073"/>
    </row>
    <row r="20" spans="1:15" x14ac:dyDescent="0.3">
      <c r="F20" s="836" t="s">
        <v>1740</v>
      </c>
      <c r="G20" s="650">
        <f>SUM(G14:G19)/2</f>
        <v>382081.63500000001</v>
      </c>
      <c r="I20" s="547" t="s">
        <v>64</v>
      </c>
      <c r="J20" s="855">
        <f>SUM(J14:J19)/2</f>
        <v>0</v>
      </c>
      <c r="K20" s="1073"/>
      <c r="L20" s="547" t="s">
        <v>64</v>
      </c>
      <c r="M20" s="835">
        <f>SUM(M14:M19)/2</f>
        <v>0</v>
      </c>
      <c r="N20" s="1073"/>
      <c r="O20" s="1073"/>
    </row>
    <row r="21" spans="1:15" ht="26.4" x14ac:dyDescent="0.3">
      <c r="F21" s="1118" t="s">
        <v>65</v>
      </c>
      <c r="G21" s="1115">
        <v>0</v>
      </c>
      <c r="I21" s="548" t="s">
        <v>65</v>
      </c>
      <c r="J21" s="677">
        <v>0</v>
      </c>
      <c r="K21" s="1073"/>
      <c r="L21" s="548" t="s">
        <v>65</v>
      </c>
      <c r="M21" s="677">
        <v>0</v>
      </c>
      <c r="N21" s="1073"/>
      <c r="O21" s="1073"/>
    </row>
    <row r="22" spans="1:15" x14ac:dyDescent="0.3">
      <c r="F22" s="1119" t="s">
        <v>64</v>
      </c>
      <c r="G22" s="1151">
        <f>G20+G21</f>
        <v>382081.63500000001</v>
      </c>
      <c r="I22" s="549" t="s">
        <v>64</v>
      </c>
      <c r="J22" s="481">
        <f>J20+J21</f>
        <v>0</v>
      </c>
      <c r="K22" s="1073"/>
      <c r="L22" s="549" t="s">
        <v>64</v>
      </c>
      <c r="M22" s="481">
        <f>M20+M21</f>
        <v>0</v>
      </c>
      <c r="N22" s="1073"/>
      <c r="O22" s="1073"/>
    </row>
    <row r="23" spans="1:15" ht="26.4" x14ac:dyDescent="0.3">
      <c r="F23" s="501" t="s">
        <v>1439</v>
      </c>
      <c r="G23" s="1116">
        <f>ROUND(G22*0.015,0)</f>
        <v>5731</v>
      </c>
      <c r="I23" s="501" t="s">
        <v>1439</v>
      </c>
      <c r="J23" s="481">
        <f>ROUND(J22*0.015,0)</f>
        <v>0</v>
      </c>
      <c r="K23" s="1073"/>
      <c r="L23" s="501" t="s">
        <v>1439</v>
      </c>
      <c r="M23" s="481">
        <f>ROUND(M22*0.015,0)</f>
        <v>0</v>
      </c>
      <c r="N23" s="1073"/>
      <c r="O23" s="1073"/>
    </row>
    <row r="24" spans="1:15" ht="39.6" x14ac:dyDescent="0.3">
      <c r="F24" s="96" t="s">
        <v>1440</v>
      </c>
      <c r="G24" s="1117">
        <f>G22+G23</f>
        <v>387812.63500000001</v>
      </c>
      <c r="I24" s="96" t="s">
        <v>1440</v>
      </c>
      <c r="J24" s="783">
        <f>J22+J23</f>
        <v>0</v>
      </c>
      <c r="K24" s="856">
        <f>J24/G20</f>
        <v>0</v>
      </c>
      <c r="L24" s="96" t="s">
        <v>1440</v>
      </c>
      <c r="M24" s="425">
        <f>M22+M23</f>
        <v>0</v>
      </c>
      <c r="N24" s="857">
        <f>M24/G20</f>
        <v>0</v>
      </c>
      <c r="O24" s="1073"/>
    </row>
    <row r="25" spans="1:15" x14ac:dyDescent="0.3">
      <c r="F25" s="1122" t="s">
        <v>66</v>
      </c>
      <c r="G25" s="783">
        <f>G24*0.19</f>
        <v>73684.400649999996</v>
      </c>
      <c r="I25" s="551" t="s">
        <v>66</v>
      </c>
      <c r="J25" s="672">
        <f>J24*0.19</f>
        <v>0</v>
      </c>
      <c r="K25" s="1073"/>
      <c r="L25" s="551" t="s">
        <v>66</v>
      </c>
      <c r="M25" s="672">
        <f>M24*0.19</f>
        <v>0</v>
      </c>
      <c r="N25" s="1073"/>
      <c r="O25" s="1073"/>
    </row>
    <row r="26" spans="1:15" x14ac:dyDescent="0.3">
      <c r="F26" s="1123" t="s">
        <v>69</v>
      </c>
      <c r="G26" s="672">
        <f>G24+G25</f>
        <v>461497.03564999998</v>
      </c>
      <c r="I26" s="552" t="s">
        <v>69</v>
      </c>
      <c r="J26" s="672">
        <f>J24+J25</f>
        <v>0</v>
      </c>
      <c r="K26" s="1073"/>
      <c r="L26" s="552" t="s">
        <v>69</v>
      </c>
      <c r="M26" s="672">
        <f>M24+M25</f>
        <v>0</v>
      </c>
      <c r="N26" s="1073"/>
      <c r="O26" s="1073"/>
    </row>
    <row r="27" spans="1:15" x14ac:dyDescent="0.3">
      <c r="I27" s="1073"/>
      <c r="J27" s="1073"/>
      <c r="K27" s="1073"/>
      <c r="L27" s="1073"/>
      <c r="M27" s="1073"/>
      <c r="N27" s="1073"/>
      <c r="O27" s="1073"/>
    </row>
    <row r="28" spans="1:15" ht="26.4" x14ac:dyDescent="0.3">
      <c r="I28" s="186" t="s">
        <v>70</v>
      </c>
      <c r="J28" s="187" t="s">
        <v>71</v>
      </c>
      <c r="K28" s="186" t="s">
        <v>58</v>
      </c>
      <c r="L28" s="1073"/>
      <c r="M28" s="1073"/>
      <c r="N28" s="1073"/>
      <c r="O28" s="1073"/>
    </row>
    <row r="29" spans="1:15" x14ac:dyDescent="0.3">
      <c r="I29" s="69" t="s">
        <v>72</v>
      </c>
      <c r="J29" s="70">
        <f>J24</f>
        <v>0</v>
      </c>
      <c r="K29" s="360">
        <f>K24</f>
        <v>0</v>
      </c>
      <c r="L29" s="1073"/>
      <c r="M29" s="1073"/>
      <c r="N29" s="1073"/>
      <c r="O29" s="1073"/>
    </row>
    <row r="30" spans="1:15" x14ac:dyDescent="0.3">
      <c r="I30" s="72" t="s">
        <v>1</v>
      </c>
      <c r="J30" s="105">
        <f>J29</f>
        <v>0</v>
      </c>
      <c r="K30" s="361">
        <f>K29</f>
        <v>0</v>
      </c>
      <c r="L30" s="1073"/>
      <c r="M30" s="1073"/>
      <c r="N30" s="1073"/>
      <c r="O30" s="1073"/>
    </row>
    <row r="31" spans="1:15" x14ac:dyDescent="0.3">
      <c r="I31" s="72" t="s">
        <v>9</v>
      </c>
      <c r="J31" s="1423"/>
      <c r="K31" s="1424"/>
      <c r="L31" s="1073"/>
      <c r="M31" s="1073"/>
      <c r="N31" s="1073"/>
      <c r="O31" s="1073"/>
    </row>
    <row r="32" spans="1:15" x14ac:dyDescent="0.3">
      <c r="I32" s="440" t="s">
        <v>78</v>
      </c>
      <c r="J32" s="1423" t="s">
        <v>2227</v>
      </c>
      <c r="K32" s="1424"/>
      <c r="L32" s="1073"/>
      <c r="M32" s="1073"/>
      <c r="N32" s="1073"/>
      <c r="O32" s="1073"/>
    </row>
    <row r="33" spans="9:15" x14ac:dyDescent="0.3">
      <c r="I33" s="439" t="s">
        <v>8</v>
      </c>
      <c r="J33" s="1425" t="s">
        <v>2228</v>
      </c>
      <c r="K33" s="1426"/>
      <c r="L33" s="1073"/>
      <c r="M33" s="1073"/>
      <c r="N33" s="1073"/>
      <c r="O33" s="1073"/>
    </row>
    <row r="34" spans="9:15" x14ac:dyDescent="0.3">
      <c r="I34" s="1073"/>
      <c r="J34" s="1073"/>
      <c r="K34" s="1073"/>
      <c r="L34" s="1073"/>
      <c r="M34" s="1073"/>
      <c r="N34" s="1073"/>
      <c r="O34" s="1073"/>
    </row>
  </sheetData>
  <mergeCells count="23">
    <mergeCell ref="J32:K32"/>
    <mergeCell ref="J33:K33"/>
    <mergeCell ref="A14:A16"/>
    <mergeCell ref="B14:B16"/>
    <mergeCell ref="H14:H19"/>
    <mergeCell ref="A17:A19"/>
    <mergeCell ref="B17:B19"/>
    <mergeCell ref="J31:K31"/>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1"/>
  <dimension ref="A1:G49"/>
  <sheetViews>
    <sheetView topLeftCell="A13" workbookViewId="0">
      <selection activeCell="I28" sqref="I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RESUMEN!G191</f>
        <v>Proyecto: CDIM_CBSGSM_R0199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RESUMEN!B191</f>
        <v>D00249541</v>
      </c>
      <c r="C7" s="1265"/>
      <c r="D7" s="1177"/>
      <c r="E7" s="1266" t="s">
        <v>627</v>
      </c>
      <c r="F7" s="1267"/>
      <c r="G7" s="280" t="str">
        <f>RESUMEN!E191</f>
        <v xml:space="preserve">18-056 </v>
      </c>
    </row>
    <row r="8" spans="1:7" x14ac:dyDescent="0.25">
      <c r="A8" s="271" t="s">
        <v>628</v>
      </c>
      <c r="B8" s="1264" t="str">
        <f>RESUMEN!C191</f>
        <v>D00249541000</v>
      </c>
      <c r="C8" s="1265"/>
      <c r="D8" s="1177"/>
      <c r="E8" s="1266" t="s">
        <v>629</v>
      </c>
      <c r="F8" s="1267"/>
      <c r="G8" s="280" t="str">
        <f>RESUMEN!U191</f>
        <v>Acta N° 1: Marzo</v>
      </c>
    </row>
    <row r="9" spans="1:7" x14ac:dyDescent="0.25">
      <c r="A9" s="271" t="s">
        <v>630</v>
      </c>
      <c r="B9" s="1283" t="s">
        <v>631</v>
      </c>
      <c r="C9" s="1265"/>
      <c r="D9" s="1177"/>
      <c r="E9" s="1266" t="s">
        <v>632</v>
      </c>
      <c r="F9" s="1267"/>
      <c r="G9" s="1178">
        <f>RESUMEN!H191</f>
        <v>245389</v>
      </c>
    </row>
    <row r="10" spans="1:7" x14ac:dyDescent="0.25">
      <c r="A10" s="271" t="s">
        <v>633</v>
      </c>
      <c r="B10" s="1283" t="str">
        <f>RESUMEN!D191</f>
        <v>FACATATIVÁ</v>
      </c>
      <c r="C10" s="1265"/>
      <c r="D10" s="1177"/>
      <c r="E10" s="1266" t="s">
        <v>634</v>
      </c>
      <c r="F10" s="1267"/>
      <c r="G10" s="1178">
        <f>RESUMEN!R191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CDIM_CBSGSM_R0199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RESUMEN!N191</f>
        <v>0</v>
      </c>
      <c r="F19" s="1248"/>
      <c r="G19" s="1177"/>
    </row>
    <row r="20" spans="1:7" ht="27" customHeight="1" x14ac:dyDescent="0.25">
      <c r="A20" s="1177"/>
      <c r="B20" s="1244" t="s">
        <v>1498</v>
      </c>
      <c r="C20" s="1245"/>
      <c r="D20" s="1246"/>
      <c r="E20" s="1247">
        <f>RESUMEN!P191</f>
        <v>0</v>
      </c>
      <c r="F20" s="1248"/>
      <c r="G20" s="1177"/>
    </row>
    <row r="21" spans="1:7" ht="27" customHeight="1" x14ac:dyDescent="0.25">
      <c r="A21" s="1177"/>
      <c r="B21" s="1244" t="s">
        <v>1499</v>
      </c>
      <c r="C21" s="1245"/>
      <c r="D21" s="1246"/>
      <c r="E21" s="1247">
        <f>RESUMEN!Q191</f>
        <v>0</v>
      </c>
      <c r="F21" s="1248"/>
      <c r="G21" s="1177"/>
    </row>
    <row r="22" spans="1:7" x14ac:dyDescent="0.25">
      <c r="A22" s="1177"/>
      <c r="B22" s="1254" t="s">
        <v>64</v>
      </c>
      <c r="C22" s="1254"/>
      <c r="D22" s="1254"/>
      <c r="E22" s="1255">
        <f>RESUMEN!R191</f>
        <v>0</v>
      </c>
      <c r="F22" s="1255"/>
      <c r="G22" s="1177"/>
    </row>
    <row r="23" spans="1:7" x14ac:dyDescent="0.25">
      <c r="A23" s="1177"/>
      <c r="B23" s="1256" t="s">
        <v>66</v>
      </c>
      <c r="C23" s="1256"/>
      <c r="D23" s="1256"/>
      <c r="E23" s="1257">
        <f>RESUMEN!S191</f>
        <v>0</v>
      </c>
      <c r="F23" s="1257"/>
      <c r="G23" s="1177"/>
    </row>
    <row r="24" spans="1:7" x14ac:dyDescent="0.25">
      <c r="A24" s="1177"/>
      <c r="B24" s="1258" t="s">
        <v>1</v>
      </c>
      <c r="C24" s="1258"/>
      <c r="D24" s="1258"/>
      <c r="E24" s="1259">
        <f>RESUMEN!T191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+'OT18-056 FACATATIVÁ'!I26</f>
        <v>ACTA 1</v>
      </c>
      <c r="C28" s="1253">
        <f>+'OT18-056 FACATATIVÁ'!J26</f>
        <v>0</v>
      </c>
      <c r="D28" s="1253"/>
      <c r="E28" s="267">
        <f>+'OT18-056 FACATATIVÁ'!K26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2"/>
  <dimension ref="A1:N33"/>
  <sheetViews>
    <sheetView topLeftCell="C16" workbookViewId="0">
      <selection activeCell="I16" sqref="I16:N32"/>
    </sheetView>
  </sheetViews>
  <sheetFormatPr baseColWidth="10" defaultRowHeight="14.4" x14ac:dyDescent="0.3"/>
  <cols>
    <col min="2" max="2" width="20.6640625" customWidth="1"/>
    <col min="3" max="4" width="22" customWidth="1"/>
    <col min="6" max="6" width="16.109375" customWidth="1"/>
    <col min="7" max="7" width="14.6640625" customWidth="1"/>
    <col min="8" max="8" width="34" customWidth="1"/>
  </cols>
  <sheetData>
    <row r="1" spans="1:14" x14ac:dyDescent="0.3">
      <c r="A1" s="169"/>
      <c r="B1" s="188"/>
      <c r="C1" s="1307" t="s">
        <v>40</v>
      </c>
      <c r="D1" s="1308"/>
      <c r="E1" s="1308"/>
      <c r="F1" s="1308"/>
      <c r="G1" s="1308"/>
      <c r="H1" s="1308"/>
      <c r="I1" s="1308"/>
      <c r="J1" s="1308"/>
      <c r="K1" s="1532" t="s">
        <v>2528</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2527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2531</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57.6" x14ac:dyDescent="0.3">
      <c r="A14" s="1510" t="s">
        <v>281</v>
      </c>
      <c r="B14" s="1510" t="s">
        <v>251</v>
      </c>
      <c r="C14" s="1074" t="s">
        <v>59</v>
      </c>
      <c r="D14" s="1074" t="s">
        <v>145</v>
      </c>
      <c r="E14" s="1074">
        <v>0</v>
      </c>
      <c r="F14" s="646">
        <v>988142</v>
      </c>
      <c r="G14" s="646">
        <f>ROUND((E14*F14),0)</f>
        <v>0</v>
      </c>
      <c r="H14" s="1555" t="s">
        <v>2532</v>
      </c>
      <c r="I14" s="799">
        <v>0</v>
      </c>
      <c r="J14" s="1132">
        <f>ROUND(I14*F14,0)</f>
        <v>0</v>
      </c>
      <c r="K14" s="1133">
        <v>0</v>
      </c>
      <c r="L14" s="1134">
        <f t="shared" ref="L14:M16" si="0">I14</f>
        <v>0</v>
      </c>
      <c r="M14" s="1124">
        <f t="shared" si="0"/>
        <v>0</v>
      </c>
      <c r="N14" s="1133">
        <v>0</v>
      </c>
    </row>
    <row r="15" spans="1:14" ht="43.2" x14ac:dyDescent="0.3">
      <c r="A15" s="1510"/>
      <c r="B15" s="1510"/>
      <c r="C15" s="1074" t="s">
        <v>61</v>
      </c>
      <c r="D15" s="1074" t="s">
        <v>146</v>
      </c>
      <c r="E15" s="1074">
        <v>4.4999999999999998E-2</v>
      </c>
      <c r="F15" s="646">
        <v>5453081</v>
      </c>
      <c r="G15" s="646">
        <f>ROUND((E15*F15),0)</f>
        <v>245389</v>
      </c>
      <c r="H15" s="1555"/>
      <c r="I15" s="799">
        <v>0</v>
      </c>
      <c r="J15" s="1132">
        <f t="shared" ref="J15" si="1">ROUND(I15*F15,0)</f>
        <v>0</v>
      </c>
      <c r="K15" s="1133">
        <f>J15/G15</f>
        <v>0</v>
      </c>
      <c r="L15" s="1134">
        <f t="shared" si="0"/>
        <v>0</v>
      </c>
      <c r="M15" s="1124">
        <f t="shared" si="0"/>
        <v>0</v>
      </c>
      <c r="N15" s="1133">
        <f>M15/G15</f>
        <v>0</v>
      </c>
    </row>
    <row r="16" spans="1:14" x14ac:dyDescent="0.3">
      <c r="A16" s="1510"/>
      <c r="B16" s="1510"/>
      <c r="C16" s="647"/>
      <c r="D16" s="647" t="s">
        <v>147</v>
      </c>
      <c r="E16" s="648"/>
      <c r="F16" s="648"/>
      <c r="G16" s="649">
        <f>SUM(G14:G15)</f>
        <v>245389</v>
      </c>
      <c r="H16" s="1555"/>
      <c r="I16" s="1108"/>
      <c r="J16" s="1146">
        <f>SUM(J14:J15)</f>
        <v>0</v>
      </c>
      <c r="K16" s="1136">
        <f>J16/G16</f>
        <v>0</v>
      </c>
      <c r="L16" s="1137"/>
      <c r="M16" s="1138">
        <f t="shared" si="0"/>
        <v>0</v>
      </c>
      <c r="N16" s="1136">
        <f t="shared" ref="N16" si="2">M16/G16</f>
        <v>0</v>
      </c>
    </row>
    <row r="17" spans="6:14" x14ac:dyDescent="0.3">
      <c r="F17" s="836" t="s">
        <v>1740</v>
      </c>
      <c r="G17" s="650">
        <f>SUM(G14:G16)/2</f>
        <v>245389</v>
      </c>
      <c r="I17" s="547" t="s">
        <v>64</v>
      </c>
      <c r="J17" s="855">
        <f>SUM(J14:J16)/2</f>
        <v>0</v>
      </c>
      <c r="K17" s="1073"/>
      <c r="L17" s="547" t="s">
        <v>64</v>
      </c>
      <c r="M17" s="835">
        <f>SUM(M14:M16)/2</f>
        <v>0</v>
      </c>
      <c r="N17" s="1073"/>
    </row>
    <row r="18" spans="6:14" ht="26.4" x14ac:dyDescent="0.3">
      <c r="F18" s="1118" t="s">
        <v>65</v>
      </c>
      <c r="G18" s="1115">
        <v>0</v>
      </c>
      <c r="I18" s="548" t="s">
        <v>65</v>
      </c>
      <c r="J18" s="677">
        <v>0</v>
      </c>
      <c r="K18" s="1073"/>
      <c r="L18" s="548" t="s">
        <v>65</v>
      </c>
      <c r="M18" s="677">
        <v>0</v>
      </c>
      <c r="N18" s="1073"/>
    </row>
    <row r="19" spans="6:14" x14ac:dyDescent="0.3">
      <c r="F19" s="1119" t="s">
        <v>64</v>
      </c>
      <c r="G19" s="1151">
        <f>G17+G18</f>
        <v>245389</v>
      </c>
      <c r="I19" s="549" t="s">
        <v>64</v>
      </c>
      <c r="J19" s="481">
        <f>J17+J18</f>
        <v>0</v>
      </c>
      <c r="K19" s="1073"/>
      <c r="L19" s="549" t="s">
        <v>64</v>
      </c>
      <c r="M19" s="481">
        <f>M17+M18</f>
        <v>0</v>
      </c>
      <c r="N19" s="1073"/>
    </row>
    <row r="20" spans="6:14" ht="26.4" x14ac:dyDescent="0.3">
      <c r="F20" s="501" t="s">
        <v>1439</v>
      </c>
      <c r="G20" s="1116">
        <f>ROUND(G19*0.015,0)</f>
        <v>3681</v>
      </c>
      <c r="I20" s="501" t="s">
        <v>1439</v>
      </c>
      <c r="J20" s="481">
        <f>ROUND(J19*0.015,0)</f>
        <v>0</v>
      </c>
      <c r="K20" s="1073"/>
      <c r="L20" s="501" t="s">
        <v>1439</v>
      </c>
      <c r="M20" s="481">
        <f>ROUND(M19*0.015,0)</f>
        <v>0</v>
      </c>
      <c r="N20" s="1073"/>
    </row>
    <row r="21" spans="6:14" ht="39.6" x14ac:dyDescent="0.3">
      <c r="F21" s="96" t="s">
        <v>1440</v>
      </c>
      <c r="G21" s="1117">
        <f>G19+G20</f>
        <v>249070</v>
      </c>
      <c r="I21" s="96" t="s">
        <v>1440</v>
      </c>
      <c r="J21" s="783">
        <f>J19+J20</f>
        <v>0</v>
      </c>
      <c r="K21" s="856">
        <f>J21/G17</f>
        <v>0</v>
      </c>
      <c r="L21" s="96" t="s">
        <v>1440</v>
      </c>
      <c r="M21" s="425">
        <f>M19+M20</f>
        <v>0</v>
      </c>
      <c r="N21" s="857">
        <f>M21/G17</f>
        <v>0</v>
      </c>
    </row>
    <row r="22" spans="6:14" x14ac:dyDescent="0.3">
      <c r="F22" s="1122" t="s">
        <v>66</v>
      </c>
      <c r="G22" s="783">
        <f>G21*0.19</f>
        <v>47323.3</v>
      </c>
      <c r="I22" s="551" t="s">
        <v>66</v>
      </c>
      <c r="J22" s="672">
        <f>J21*0.19</f>
        <v>0</v>
      </c>
      <c r="K22" s="1073"/>
      <c r="L22" s="551" t="s">
        <v>66</v>
      </c>
      <c r="M22" s="672">
        <f>M21*0.19</f>
        <v>0</v>
      </c>
      <c r="N22" s="1073"/>
    </row>
    <row r="23" spans="6:14" x14ac:dyDescent="0.3">
      <c r="F23" s="1123" t="s">
        <v>69</v>
      </c>
      <c r="G23" s="672">
        <f>G21+G22</f>
        <v>296393.3</v>
      </c>
      <c r="I23" s="552" t="s">
        <v>69</v>
      </c>
      <c r="J23" s="672">
        <f>J21+J22</f>
        <v>0</v>
      </c>
      <c r="K23" s="1073"/>
      <c r="L23" s="552" t="s">
        <v>69</v>
      </c>
      <c r="M23" s="672">
        <f>M21+M22</f>
        <v>0</v>
      </c>
      <c r="N23" s="1073"/>
    </row>
    <row r="24" spans="6:14" x14ac:dyDescent="0.3">
      <c r="I24" s="1073"/>
      <c r="J24" s="1073"/>
      <c r="K24" s="1073"/>
      <c r="L24" s="1073"/>
      <c r="M24" s="1073"/>
      <c r="N24" s="1073"/>
    </row>
    <row r="25" spans="6:14" ht="26.4" x14ac:dyDescent="0.3">
      <c r="I25" s="186" t="s">
        <v>70</v>
      </c>
      <c r="J25" s="187" t="s">
        <v>71</v>
      </c>
      <c r="K25" s="186" t="s">
        <v>58</v>
      </c>
      <c r="L25" s="1073"/>
      <c r="M25" s="1073"/>
      <c r="N25" s="1073"/>
    </row>
    <row r="26" spans="6:14" x14ac:dyDescent="0.3">
      <c r="I26" s="69" t="s">
        <v>72</v>
      </c>
      <c r="J26" s="70">
        <f>J21</f>
        <v>0</v>
      </c>
      <c r="K26" s="360">
        <f>K21</f>
        <v>0</v>
      </c>
      <c r="L26" s="1073"/>
      <c r="M26" s="1073"/>
      <c r="N26" s="1073"/>
    </row>
    <row r="27" spans="6:14" x14ac:dyDescent="0.3">
      <c r="I27" s="72" t="s">
        <v>1</v>
      </c>
      <c r="J27" s="105">
        <f>J26</f>
        <v>0</v>
      </c>
      <c r="K27" s="361">
        <f>K26</f>
        <v>0</v>
      </c>
      <c r="L27" s="1073"/>
      <c r="M27" s="1073"/>
      <c r="N27" s="1073"/>
    </row>
    <row r="28" spans="6:14" x14ac:dyDescent="0.3">
      <c r="I28" s="72" t="s">
        <v>9</v>
      </c>
      <c r="J28" s="1423"/>
      <c r="K28" s="1424"/>
      <c r="L28" s="1073"/>
      <c r="M28" s="1073"/>
      <c r="N28" s="1073"/>
    </row>
    <row r="29" spans="6:14" x14ac:dyDescent="0.3">
      <c r="I29" s="440" t="s">
        <v>78</v>
      </c>
      <c r="J29" s="1423" t="s">
        <v>2533</v>
      </c>
      <c r="K29" s="1424"/>
      <c r="L29" s="1073"/>
      <c r="M29" s="1073"/>
      <c r="N29" s="1073"/>
    </row>
    <row r="30" spans="6:14" x14ac:dyDescent="0.3">
      <c r="I30" s="439" t="s">
        <v>8</v>
      </c>
      <c r="J30" s="1425" t="s">
        <v>2534</v>
      </c>
      <c r="K30" s="1426"/>
      <c r="L30" s="1073"/>
      <c r="M30" s="1073"/>
      <c r="N30" s="1073"/>
    </row>
    <row r="31" spans="6:14" x14ac:dyDescent="0.3">
      <c r="I31" s="1073"/>
      <c r="J31" s="1073"/>
      <c r="K31" s="1073"/>
      <c r="L31" s="1073"/>
      <c r="M31" s="1073"/>
      <c r="N31" s="1073"/>
    </row>
    <row r="32" spans="6:14" x14ac:dyDescent="0.3">
      <c r="I32" s="1073"/>
      <c r="J32" s="1073"/>
      <c r="K32" s="1073"/>
      <c r="L32" s="1073"/>
      <c r="M32" s="1073"/>
      <c r="N32" s="1073"/>
    </row>
    <row r="33" spans="9:14" x14ac:dyDescent="0.3">
      <c r="I33" s="1073"/>
      <c r="J33" s="1073"/>
      <c r="K33" s="1073"/>
      <c r="L33" s="1073"/>
      <c r="M33" s="1073"/>
      <c r="N33" s="1073"/>
    </row>
  </sheetData>
  <mergeCells count="21">
    <mergeCell ref="J30:K30"/>
    <mergeCell ref="A6:M6"/>
    <mergeCell ref="A7:M7"/>
    <mergeCell ref="A8:M8"/>
    <mergeCell ref="A9:M9"/>
    <mergeCell ref="A10:M10"/>
    <mergeCell ref="B11:F11"/>
    <mergeCell ref="I11:K12"/>
    <mergeCell ref="L11:N12"/>
    <mergeCell ref="B12:F12"/>
    <mergeCell ref="A14:A16"/>
    <mergeCell ref="B14:B16"/>
    <mergeCell ref="H14:H16"/>
    <mergeCell ref="J28:K28"/>
    <mergeCell ref="J29:K29"/>
    <mergeCell ref="A5:M5"/>
    <mergeCell ref="C1:J2"/>
    <mergeCell ref="K1:N1"/>
    <mergeCell ref="K2:N2"/>
    <mergeCell ref="A3:M3"/>
    <mergeCell ref="A4:M4"/>
  </mergeCells>
  <pageMargins left="0.7" right="0.7" top="0.75" bottom="0.75" header="0.3" footer="0.3"/>
  <drawing r:id="rId1"/>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3"/>
  <dimension ref="A1:G49"/>
  <sheetViews>
    <sheetView topLeftCell="A16" workbookViewId="0">
      <selection activeCell="G37" sqref="G3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RESUMEN!G192</f>
        <v>Proyecto:CDIM_CBSGSM_R0159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RESUMEN!B192</f>
        <v>D00249543</v>
      </c>
      <c r="C7" s="1265"/>
      <c r="D7" s="1177"/>
      <c r="E7" s="1266" t="s">
        <v>627</v>
      </c>
      <c r="F7" s="1267"/>
      <c r="G7" s="280" t="str">
        <f>RESUMEN!E192</f>
        <v xml:space="preserve">18-057 </v>
      </c>
    </row>
    <row r="8" spans="1:7" x14ac:dyDescent="0.25">
      <c r="A8" s="271" t="s">
        <v>628</v>
      </c>
      <c r="B8" s="1264" t="str">
        <f>RESUMEN!C192</f>
        <v>D00249543000</v>
      </c>
      <c r="C8" s="1265"/>
      <c r="D8" s="1177"/>
      <c r="E8" s="1266" t="s">
        <v>629</v>
      </c>
      <c r="F8" s="1267"/>
      <c r="G8" s="280" t="str">
        <f>RESUMEN!U192</f>
        <v>Acta N° 1: Marzo</v>
      </c>
    </row>
    <row r="9" spans="1:7" x14ac:dyDescent="0.25">
      <c r="A9" s="271" t="s">
        <v>630</v>
      </c>
      <c r="B9" s="1283" t="s">
        <v>631</v>
      </c>
      <c r="C9" s="1265"/>
      <c r="D9" s="1177"/>
      <c r="E9" s="1266" t="s">
        <v>632</v>
      </c>
      <c r="F9" s="1267"/>
      <c r="G9" s="1178">
        <f>RESUMEN!H192</f>
        <v>382082</v>
      </c>
    </row>
    <row r="10" spans="1:7" x14ac:dyDescent="0.25">
      <c r="A10" s="271" t="s">
        <v>633</v>
      </c>
      <c r="B10" s="1283" t="str">
        <f>RESUMEN!D192</f>
        <v>SUBA</v>
      </c>
      <c r="C10" s="1265"/>
      <c r="D10" s="1177"/>
      <c r="E10" s="1266" t="s">
        <v>634</v>
      </c>
      <c r="F10" s="1267"/>
      <c r="G10" s="1178">
        <f>RESUMEN!R192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Proyecto:CDIM_CBSGSM_R0159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RESUMEN!N192</f>
        <v>0</v>
      </c>
      <c r="F19" s="1248"/>
      <c r="G19" s="1177"/>
    </row>
    <row r="20" spans="1:7" ht="27" customHeight="1" x14ac:dyDescent="0.25">
      <c r="A20" s="1177"/>
      <c r="B20" s="1244" t="s">
        <v>1498</v>
      </c>
      <c r="C20" s="1245"/>
      <c r="D20" s="1246"/>
      <c r="E20" s="1247">
        <f>RESUMEN!P192</f>
        <v>0</v>
      </c>
      <c r="F20" s="1248"/>
      <c r="G20" s="1177"/>
    </row>
    <row r="21" spans="1:7" ht="27" customHeight="1" x14ac:dyDescent="0.25">
      <c r="A21" s="1177"/>
      <c r="B21" s="1244" t="s">
        <v>1499</v>
      </c>
      <c r="C21" s="1245"/>
      <c r="D21" s="1246"/>
      <c r="E21" s="1247">
        <f>RESUMEN!Q192</f>
        <v>0</v>
      </c>
      <c r="F21" s="1248"/>
      <c r="G21" s="1177"/>
    </row>
    <row r="22" spans="1:7" x14ac:dyDescent="0.25">
      <c r="A22" s="1177"/>
      <c r="B22" s="1254" t="s">
        <v>64</v>
      </c>
      <c r="C22" s="1254"/>
      <c r="D22" s="1254"/>
      <c r="E22" s="1255">
        <f>RESUMEN!R192</f>
        <v>0</v>
      </c>
      <c r="F22" s="1255"/>
      <c r="G22" s="1177"/>
    </row>
    <row r="23" spans="1:7" x14ac:dyDescent="0.25">
      <c r="A23" s="1177"/>
      <c r="B23" s="1256" t="s">
        <v>66</v>
      </c>
      <c r="C23" s="1256"/>
      <c r="D23" s="1256"/>
      <c r="E23" s="1257">
        <f>RESUMEN!S192</f>
        <v>0</v>
      </c>
      <c r="F23" s="1257"/>
      <c r="G23" s="1177"/>
    </row>
    <row r="24" spans="1:7" x14ac:dyDescent="0.25">
      <c r="A24" s="1177"/>
      <c r="B24" s="1258" t="s">
        <v>1</v>
      </c>
      <c r="C24" s="1258"/>
      <c r="D24" s="1258"/>
      <c r="E24" s="1259">
        <f>RESUMEN!T192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+'OT18-057 SUBA'!I29</f>
        <v>ACTA 1</v>
      </c>
      <c r="C28" s="1253">
        <f>+'OT18-057 SUBA'!J29</f>
        <v>0</v>
      </c>
      <c r="D28" s="1253"/>
      <c r="E28" s="267">
        <f>+'OT18-057 SUBA'!K29</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4"/>
  <dimension ref="A1:N36"/>
  <sheetViews>
    <sheetView topLeftCell="E16" workbookViewId="0">
      <selection activeCell="I13" sqref="I13:N16"/>
    </sheetView>
  </sheetViews>
  <sheetFormatPr baseColWidth="10" defaultRowHeight="14.4" x14ac:dyDescent="0.3"/>
  <cols>
    <col min="2" max="2" width="18" customWidth="1"/>
    <col min="3" max="4" width="22.33203125" customWidth="1"/>
    <col min="6" max="7" width="13.77734375" customWidth="1"/>
    <col min="8" max="8" width="34.33203125" customWidth="1"/>
  </cols>
  <sheetData>
    <row r="1" spans="1:14" x14ac:dyDescent="0.3">
      <c r="A1" s="169"/>
      <c r="B1" s="188"/>
      <c r="C1" s="1307" t="s">
        <v>40</v>
      </c>
      <c r="D1" s="1308"/>
      <c r="E1" s="1308"/>
      <c r="F1" s="1308"/>
      <c r="G1" s="1308"/>
      <c r="H1" s="1308"/>
      <c r="I1" s="1308"/>
      <c r="J1" s="1308"/>
      <c r="K1" s="1532" t="s">
        <v>2291</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2536</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2535</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280</v>
      </c>
      <c r="B14" s="1514" t="s">
        <v>243</v>
      </c>
      <c r="C14" s="1074" t="s">
        <v>59</v>
      </c>
      <c r="D14" s="1074" t="s">
        <v>141</v>
      </c>
      <c r="E14" s="1074">
        <v>0</v>
      </c>
      <c r="F14" s="646">
        <v>988142</v>
      </c>
      <c r="G14" s="646">
        <f>ROUND((E14*F14),0)</f>
        <v>0</v>
      </c>
      <c r="H14" s="1560" t="s">
        <v>2537</v>
      </c>
      <c r="I14" s="799">
        <v>0</v>
      </c>
      <c r="J14" s="1132">
        <f>ROUND(I14*F14,0)</f>
        <v>0</v>
      </c>
      <c r="K14" s="1133">
        <v>0</v>
      </c>
      <c r="L14" s="1134">
        <f t="shared" ref="L14:M19" si="0">I14</f>
        <v>0</v>
      </c>
      <c r="M14" s="1124">
        <f t="shared" si="0"/>
        <v>0</v>
      </c>
      <c r="N14" s="1133">
        <v>0</v>
      </c>
    </row>
    <row r="15" spans="1:14" ht="43.2" x14ac:dyDescent="0.3">
      <c r="A15" s="1510"/>
      <c r="B15" s="1510"/>
      <c r="C15" s="1074" t="s">
        <v>61</v>
      </c>
      <c r="D15" s="1074" t="s">
        <v>142</v>
      </c>
      <c r="E15" s="1074">
        <v>4.4999999999999998E-2</v>
      </c>
      <c r="F15" s="646">
        <v>3037622</v>
      </c>
      <c r="G15" s="646">
        <f>ROUND((E15*F15),0)</f>
        <v>136693</v>
      </c>
      <c r="H15" s="1561"/>
      <c r="I15" s="799">
        <v>0</v>
      </c>
      <c r="J15" s="1132">
        <f t="shared" ref="J15" si="1">ROUND(I15*F15,0)</f>
        <v>0</v>
      </c>
      <c r="K15" s="1133">
        <f>J15/G15</f>
        <v>0</v>
      </c>
      <c r="L15" s="1134">
        <f t="shared" si="0"/>
        <v>0</v>
      </c>
      <c r="M15" s="1124">
        <f t="shared" si="0"/>
        <v>0</v>
      </c>
      <c r="N15" s="1133">
        <f>M15/G15</f>
        <v>0</v>
      </c>
    </row>
    <row r="16" spans="1:14" x14ac:dyDescent="0.3">
      <c r="A16" s="1510"/>
      <c r="B16" s="1510"/>
      <c r="C16" s="647"/>
      <c r="D16" s="647" t="s">
        <v>143</v>
      </c>
      <c r="E16" s="648"/>
      <c r="F16" s="648"/>
      <c r="G16" s="649">
        <f>SUM(G14:G15)</f>
        <v>136693</v>
      </c>
      <c r="H16" s="1561"/>
      <c r="I16" s="1108"/>
      <c r="J16" s="1146">
        <f>SUM(J14:J15)</f>
        <v>0</v>
      </c>
      <c r="K16" s="1136">
        <f>J16/G16</f>
        <v>0</v>
      </c>
      <c r="L16" s="1137"/>
      <c r="M16" s="1138">
        <f t="shared" si="0"/>
        <v>0</v>
      </c>
      <c r="N16" s="1136">
        <f t="shared" ref="N16" si="2">M16/G16</f>
        <v>0</v>
      </c>
    </row>
    <row r="17" spans="1:14" ht="43.2" x14ac:dyDescent="0.3">
      <c r="A17" s="1510" t="s">
        <v>281</v>
      </c>
      <c r="B17" s="1514" t="s">
        <v>251</v>
      </c>
      <c r="C17" s="1074" t="s">
        <v>59</v>
      </c>
      <c r="D17" s="1074" t="s">
        <v>145</v>
      </c>
      <c r="E17" s="1074">
        <v>0</v>
      </c>
      <c r="F17" s="646">
        <v>988142</v>
      </c>
      <c r="G17" s="646">
        <f>ROUND((E17*F17),0)</f>
        <v>0</v>
      </c>
      <c r="H17" s="1561"/>
      <c r="I17" s="799">
        <v>0</v>
      </c>
      <c r="J17" s="1132">
        <f>ROUND(I17*F17,0)</f>
        <v>0</v>
      </c>
      <c r="K17" s="1133">
        <v>0</v>
      </c>
      <c r="L17" s="1134">
        <f t="shared" ref="L17:L18" si="3">I17</f>
        <v>0</v>
      </c>
      <c r="M17" s="1124">
        <f t="shared" si="0"/>
        <v>0</v>
      </c>
      <c r="N17" s="1133">
        <v>0</v>
      </c>
    </row>
    <row r="18" spans="1:14" ht="43.2" x14ac:dyDescent="0.3">
      <c r="A18" s="1510"/>
      <c r="B18" s="1510"/>
      <c r="C18" s="1074" t="s">
        <v>61</v>
      </c>
      <c r="D18" s="1074" t="s">
        <v>146</v>
      </c>
      <c r="E18" s="1074">
        <v>4.4999999999999998E-2</v>
      </c>
      <c r="F18" s="646">
        <v>5453081</v>
      </c>
      <c r="G18" s="646">
        <f>ROUND((E18*F18),0)</f>
        <v>245389</v>
      </c>
      <c r="H18" s="1561"/>
      <c r="I18" s="799">
        <v>0</v>
      </c>
      <c r="J18" s="1132">
        <f t="shared" ref="J18" si="4">ROUND(I18*F18,0)</f>
        <v>0</v>
      </c>
      <c r="K18" s="1133">
        <f>J18/G18</f>
        <v>0</v>
      </c>
      <c r="L18" s="1134">
        <f t="shared" si="3"/>
        <v>0</v>
      </c>
      <c r="M18" s="1124">
        <f t="shared" si="0"/>
        <v>0</v>
      </c>
      <c r="N18" s="1133">
        <f>M18/G18</f>
        <v>0</v>
      </c>
    </row>
    <row r="19" spans="1:14" x14ac:dyDescent="0.3">
      <c r="A19" s="1510"/>
      <c r="B19" s="1510"/>
      <c r="C19" s="647"/>
      <c r="D19" s="647" t="s">
        <v>147</v>
      </c>
      <c r="E19" s="648"/>
      <c r="F19" s="648"/>
      <c r="G19" s="649">
        <f>SUM(G17:G18)</f>
        <v>245389</v>
      </c>
      <c r="H19" s="1561"/>
      <c r="I19" s="1108"/>
      <c r="J19" s="1146">
        <f>SUM(J17:J18)</f>
        <v>0</v>
      </c>
      <c r="K19" s="1136">
        <f>J19/G19</f>
        <v>0</v>
      </c>
      <c r="L19" s="1137"/>
      <c r="M19" s="1138">
        <f t="shared" si="0"/>
        <v>0</v>
      </c>
      <c r="N19" s="1136">
        <f t="shared" ref="N19" si="5">M19/G19</f>
        <v>0</v>
      </c>
    </row>
    <row r="20" spans="1:14" x14ac:dyDescent="0.3">
      <c r="F20" s="836" t="s">
        <v>1740</v>
      </c>
      <c r="G20" s="650">
        <f>SUM(G14:G19)/2</f>
        <v>382082</v>
      </c>
      <c r="I20" s="547" t="s">
        <v>64</v>
      </c>
      <c r="J20" s="855">
        <f>SUM(J14:J19)/2</f>
        <v>0</v>
      </c>
      <c r="K20" s="1073"/>
      <c r="L20" s="547" t="s">
        <v>64</v>
      </c>
      <c r="M20" s="835">
        <f>SUM(M14:M19)/2</f>
        <v>0</v>
      </c>
      <c r="N20" s="1073"/>
    </row>
    <row r="21" spans="1:14" ht="26.4" x14ac:dyDescent="0.3">
      <c r="F21" s="1118" t="s">
        <v>65</v>
      </c>
      <c r="G21" s="1115">
        <v>0</v>
      </c>
      <c r="I21" s="548" t="s">
        <v>65</v>
      </c>
      <c r="J21" s="677">
        <v>0</v>
      </c>
      <c r="K21" s="1073"/>
      <c r="L21" s="548" t="s">
        <v>65</v>
      </c>
      <c r="M21" s="677">
        <v>0</v>
      </c>
      <c r="N21" s="1073"/>
    </row>
    <row r="22" spans="1:14" x14ac:dyDescent="0.3">
      <c r="F22" s="1119" t="s">
        <v>64</v>
      </c>
      <c r="G22" s="1151">
        <f>G20+G21</f>
        <v>382082</v>
      </c>
      <c r="I22" s="549" t="s">
        <v>64</v>
      </c>
      <c r="J22" s="481">
        <f>J20+J21</f>
        <v>0</v>
      </c>
      <c r="K22" s="1073"/>
      <c r="L22" s="549" t="s">
        <v>64</v>
      </c>
      <c r="M22" s="481">
        <f>M20+M21</f>
        <v>0</v>
      </c>
      <c r="N22" s="1073"/>
    </row>
    <row r="23" spans="1:14" ht="26.4" x14ac:dyDescent="0.3">
      <c r="F23" s="501" t="s">
        <v>1439</v>
      </c>
      <c r="G23" s="1116">
        <f>ROUND(G22*0.015,0)</f>
        <v>5731</v>
      </c>
      <c r="I23" s="501" t="s">
        <v>1439</v>
      </c>
      <c r="J23" s="481">
        <f>ROUND(J22*0.015,0)</f>
        <v>0</v>
      </c>
      <c r="K23" s="1073"/>
      <c r="L23" s="501" t="s">
        <v>1439</v>
      </c>
      <c r="M23" s="481">
        <f>ROUND(M22*0.015,0)</f>
        <v>0</v>
      </c>
      <c r="N23" s="1073"/>
    </row>
    <row r="24" spans="1:14" ht="39.6" x14ac:dyDescent="0.3">
      <c r="F24" s="96" t="s">
        <v>1440</v>
      </c>
      <c r="G24" s="1117">
        <f>G22+G23</f>
        <v>387813</v>
      </c>
      <c r="I24" s="96" t="s">
        <v>1440</v>
      </c>
      <c r="J24" s="783">
        <f>J22+J23</f>
        <v>0</v>
      </c>
      <c r="K24" s="856">
        <f>J24/G20</f>
        <v>0</v>
      </c>
      <c r="L24" s="96" t="s">
        <v>1440</v>
      </c>
      <c r="M24" s="425">
        <f>M22+M23</f>
        <v>0</v>
      </c>
      <c r="N24" s="857">
        <f>M24/G20</f>
        <v>0</v>
      </c>
    </row>
    <row r="25" spans="1:14" x14ac:dyDescent="0.3">
      <c r="F25" s="1122" t="s">
        <v>66</v>
      </c>
      <c r="G25" s="783">
        <f>G24*0.19</f>
        <v>73684.47</v>
      </c>
      <c r="I25" s="551" t="s">
        <v>66</v>
      </c>
      <c r="J25" s="672">
        <f>J24*0.19</f>
        <v>0</v>
      </c>
      <c r="K25" s="1073"/>
      <c r="L25" s="551" t="s">
        <v>66</v>
      </c>
      <c r="M25" s="672">
        <f>M24*0.19</f>
        <v>0</v>
      </c>
      <c r="N25" s="1073"/>
    </row>
    <row r="26" spans="1:14" x14ac:dyDescent="0.3">
      <c r="F26" s="1123" t="s">
        <v>69</v>
      </c>
      <c r="G26" s="672">
        <f>G24+G25</f>
        <v>461497.47</v>
      </c>
      <c r="I26" s="552" t="s">
        <v>69</v>
      </c>
      <c r="J26" s="672">
        <f>J24+J25</f>
        <v>0</v>
      </c>
      <c r="K26" s="1073"/>
      <c r="L26" s="552" t="s">
        <v>69</v>
      </c>
      <c r="M26" s="672">
        <f>M24+M25</f>
        <v>0</v>
      </c>
      <c r="N26" s="1073"/>
    </row>
    <row r="27" spans="1:14" x14ac:dyDescent="0.3">
      <c r="I27" s="1073"/>
      <c r="J27" s="1073"/>
      <c r="K27" s="1073"/>
      <c r="L27" s="1073"/>
      <c r="M27" s="1073"/>
      <c r="N27" s="1073"/>
    </row>
    <row r="28" spans="1:14" ht="26.4" x14ac:dyDescent="0.3">
      <c r="I28" s="186" t="s">
        <v>70</v>
      </c>
      <c r="J28" s="187" t="s">
        <v>71</v>
      </c>
      <c r="K28" s="186" t="s">
        <v>58</v>
      </c>
      <c r="L28" s="1073"/>
      <c r="M28" s="1073"/>
      <c r="N28" s="1073"/>
    </row>
    <row r="29" spans="1:14" x14ac:dyDescent="0.3">
      <c r="I29" s="69" t="s">
        <v>72</v>
      </c>
      <c r="J29" s="70">
        <f>J24</f>
        <v>0</v>
      </c>
      <c r="K29" s="360">
        <f>K24</f>
        <v>0</v>
      </c>
      <c r="L29" s="1073"/>
      <c r="M29" s="1073"/>
      <c r="N29" s="1073"/>
    </row>
    <row r="30" spans="1:14" x14ac:dyDescent="0.3">
      <c r="I30" s="72" t="s">
        <v>1</v>
      </c>
      <c r="J30" s="105">
        <f>J29</f>
        <v>0</v>
      </c>
      <c r="K30" s="361">
        <f>K29</f>
        <v>0</v>
      </c>
      <c r="L30" s="1073"/>
      <c r="M30" s="1073"/>
      <c r="N30" s="1073"/>
    </row>
    <row r="31" spans="1:14" x14ac:dyDescent="0.3">
      <c r="I31" s="72" t="s">
        <v>9</v>
      </c>
      <c r="J31" s="1423"/>
      <c r="K31" s="1424"/>
      <c r="L31" s="1073"/>
      <c r="M31" s="1073"/>
      <c r="N31" s="1073"/>
    </row>
    <row r="32" spans="1:14" x14ac:dyDescent="0.3">
      <c r="I32" s="440" t="s">
        <v>78</v>
      </c>
      <c r="J32" s="1423" t="s">
        <v>2227</v>
      </c>
      <c r="K32" s="1424"/>
      <c r="L32" s="1073"/>
      <c r="M32" s="1073"/>
      <c r="N32" s="1073"/>
    </row>
    <row r="33" spans="9:14" x14ac:dyDescent="0.3">
      <c r="I33" s="439" t="s">
        <v>8</v>
      </c>
      <c r="J33" s="1425" t="s">
        <v>2228</v>
      </c>
      <c r="K33" s="1426"/>
      <c r="L33" s="1073"/>
      <c r="M33" s="1073"/>
      <c r="N33" s="1073"/>
    </row>
    <row r="34" spans="9:14" x14ac:dyDescent="0.3">
      <c r="I34" s="1073"/>
      <c r="J34" s="1073"/>
      <c r="K34" s="1073"/>
      <c r="L34" s="1073"/>
      <c r="M34" s="1073"/>
      <c r="N34" s="1073"/>
    </row>
    <row r="35" spans="9:14" x14ac:dyDescent="0.3">
      <c r="I35" s="1073"/>
      <c r="J35" s="1073"/>
      <c r="K35" s="1073"/>
      <c r="L35" s="1073"/>
      <c r="M35" s="1073"/>
      <c r="N35" s="1073"/>
    </row>
    <row r="36" spans="9:14" x14ac:dyDescent="0.3">
      <c r="I36" s="1073"/>
      <c r="J36" s="1073"/>
      <c r="K36" s="1073"/>
      <c r="L36" s="1073"/>
      <c r="M36" s="1073"/>
      <c r="N36" s="1073"/>
    </row>
  </sheetData>
  <mergeCells count="23">
    <mergeCell ref="J32:K32"/>
    <mergeCell ref="J33:K33"/>
    <mergeCell ref="A14:A16"/>
    <mergeCell ref="B14:B16"/>
    <mergeCell ref="H14:H19"/>
    <mergeCell ref="A17:A19"/>
    <mergeCell ref="B17:B19"/>
    <mergeCell ref="J31:K31"/>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5"/>
  <dimension ref="A1:G49"/>
  <sheetViews>
    <sheetView topLeftCell="A13" workbookViewId="0">
      <selection activeCell="G33" sqref="G33"/>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RESUMEN!G193</f>
        <v>Proyecto:PC1 - NORMALIZACIÓN SE MT-MT</v>
      </c>
      <c r="C5" s="1281"/>
      <c r="D5" s="1281"/>
      <c r="E5" s="1281"/>
      <c r="F5" s="1281"/>
      <c r="G5" s="1282"/>
    </row>
    <row r="6" spans="1:7" x14ac:dyDescent="0.25">
      <c r="A6" s="1177"/>
      <c r="B6" s="1177"/>
      <c r="C6" s="1177"/>
      <c r="D6" s="1177"/>
      <c r="E6" s="1177"/>
      <c r="F6" s="1177"/>
      <c r="G6" s="1177"/>
    </row>
    <row r="7" spans="1:7" x14ac:dyDescent="0.25">
      <c r="A7" s="271" t="s">
        <v>0</v>
      </c>
      <c r="B7" s="1264" t="str">
        <f>RESUMEN!B193</f>
        <v xml:space="preserve">D00251186 </v>
      </c>
      <c r="C7" s="1265"/>
      <c r="D7" s="1177"/>
      <c r="E7" s="1266" t="s">
        <v>627</v>
      </c>
      <c r="F7" s="1267"/>
      <c r="G7" s="280" t="str">
        <f>RESUMEN!E193</f>
        <v xml:space="preserve">18-058 </v>
      </c>
    </row>
    <row r="8" spans="1:7" x14ac:dyDescent="0.25">
      <c r="A8" s="271" t="s">
        <v>628</v>
      </c>
      <c r="B8" s="1264" t="str">
        <f>RESUMEN!C193</f>
        <v>D00251186000</v>
      </c>
      <c r="C8" s="1265"/>
      <c r="D8" s="1177"/>
      <c r="E8" s="1266" t="s">
        <v>629</v>
      </c>
      <c r="F8" s="1267"/>
      <c r="G8" s="280" t="str">
        <f>RESUMEN!U193</f>
        <v>Acta N° 1: Marzo</v>
      </c>
    </row>
    <row r="9" spans="1:7" x14ac:dyDescent="0.25">
      <c r="A9" s="271" t="s">
        <v>630</v>
      </c>
      <c r="B9" s="1283" t="s">
        <v>631</v>
      </c>
      <c r="C9" s="1265"/>
      <c r="D9" s="1177"/>
      <c r="E9" s="1266" t="s">
        <v>632</v>
      </c>
      <c r="F9" s="1267"/>
      <c r="G9" s="1178">
        <f>RESUMEN!H193</f>
        <v>5270112</v>
      </c>
    </row>
    <row r="10" spans="1:7" x14ac:dyDescent="0.25">
      <c r="A10" s="271" t="s">
        <v>633</v>
      </c>
      <c r="B10" s="1283" t="str">
        <f>RESUMEN!D193</f>
        <v>TERMINAL</v>
      </c>
      <c r="C10" s="1265"/>
      <c r="D10" s="1177"/>
      <c r="E10" s="1266" t="s">
        <v>634</v>
      </c>
      <c r="F10" s="1267"/>
      <c r="G10" s="1178">
        <f>RESUMEN!R193</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Proyecto:PC1 - NORMALIZACIÓN SE MT-MT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RESUMEN!N193</f>
        <v>0</v>
      </c>
      <c r="F19" s="1248"/>
      <c r="G19" s="1177"/>
    </row>
    <row r="20" spans="1:7" ht="27" customHeight="1" x14ac:dyDescent="0.25">
      <c r="A20" s="1177"/>
      <c r="B20" s="1244" t="s">
        <v>1498</v>
      </c>
      <c r="C20" s="1245"/>
      <c r="D20" s="1246"/>
      <c r="E20" s="1247">
        <f>RESUMEN!P193</f>
        <v>0</v>
      </c>
      <c r="F20" s="1248"/>
      <c r="G20" s="1177"/>
    </row>
    <row r="21" spans="1:7" ht="27" customHeight="1" x14ac:dyDescent="0.25">
      <c r="A21" s="1177"/>
      <c r="B21" s="1244" t="s">
        <v>1499</v>
      </c>
      <c r="C21" s="1245"/>
      <c r="D21" s="1246"/>
      <c r="E21" s="1247">
        <f>RESUMEN!Q193</f>
        <v>0</v>
      </c>
      <c r="F21" s="1248"/>
      <c r="G21" s="1177"/>
    </row>
    <row r="22" spans="1:7" x14ac:dyDescent="0.25">
      <c r="A22" s="1177"/>
      <c r="B22" s="1254" t="s">
        <v>64</v>
      </c>
      <c r="C22" s="1254"/>
      <c r="D22" s="1254"/>
      <c r="E22" s="1255">
        <f>RESUMEN!R193</f>
        <v>0</v>
      </c>
      <c r="F22" s="1255"/>
      <c r="G22" s="1177"/>
    </row>
    <row r="23" spans="1:7" x14ac:dyDescent="0.25">
      <c r="A23" s="1177"/>
      <c r="B23" s="1256" t="s">
        <v>66</v>
      </c>
      <c r="C23" s="1256"/>
      <c r="D23" s="1256"/>
      <c r="E23" s="1257">
        <f>RESUMEN!S193</f>
        <v>0</v>
      </c>
      <c r="F23" s="1257"/>
      <c r="G23" s="1177"/>
    </row>
    <row r="24" spans="1:7" x14ac:dyDescent="0.25">
      <c r="A24" s="1177"/>
      <c r="B24" s="1258" t="s">
        <v>1</v>
      </c>
      <c r="C24" s="1258"/>
      <c r="D24" s="1258"/>
      <c r="E24" s="1259">
        <f>RESUMEN!T193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+'OT18-058 TERMINAL'!I25</f>
        <v>ACTA 1</v>
      </c>
      <c r="C28" s="1253">
        <f>+'OT18-058 TERMINAL'!J25</f>
        <v>0</v>
      </c>
      <c r="D28" s="1253"/>
      <c r="E28" s="267">
        <f>+'OT18-058 TERMINAL'!K25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6"/>
  <dimension ref="A1:N31"/>
  <sheetViews>
    <sheetView topLeftCell="C10" workbookViewId="0">
      <selection activeCell="I13" sqref="I13:N30"/>
    </sheetView>
  </sheetViews>
  <sheetFormatPr baseColWidth="10" defaultRowHeight="14.4" x14ac:dyDescent="0.3"/>
  <cols>
    <col min="2" max="2" width="21.5546875" customWidth="1"/>
    <col min="3" max="4" width="24.33203125" customWidth="1"/>
    <col min="6" max="7" width="14.109375" customWidth="1"/>
    <col min="8" max="8" width="33.6640625" customWidth="1"/>
  </cols>
  <sheetData>
    <row r="1" spans="1:14" x14ac:dyDescent="0.3">
      <c r="A1" s="169"/>
      <c r="B1" s="188"/>
      <c r="C1" s="1307" t="s">
        <v>40</v>
      </c>
      <c r="D1" s="1308"/>
      <c r="E1" s="1308"/>
      <c r="F1" s="1308"/>
      <c r="G1" s="1308"/>
      <c r="H1" s="1308"/>
      <c r="I1" s="1308"/>
      <c r="J1" s="1308"/>
      <c r="K1" s="1532" t="s">
        <v>2540</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2539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2538</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28.8" x14ac:dyDescent="0.3">
      <c r="A14" s="1510" t="s">
        <v>2541</v>
      </c>
      <c r="B14" s="1510" t="s">
        <v>194</v>
      </c>
      <c r="C14" s="1074" t="s">
        <v>160</v>
      </c>
      <c r="D14" s="1074" t="s">
        <v>161</v>
      </c>
      <c r="E14" s="1074">
        <v>72</v>
      </c>
      <c r="F14" s="646">
        <v>73196</v>
      </c>
      <c r="G14" s="646">
        <f>ROUND((E14*F14),0)</f>
        <v>5270112</v>
      </c>
      <c r="H14" s="1514" t="s">
        <v>2542</v>
      </c>
      <c r="I14" s="799">
        <v>0</v>
      </c>
      <c r="J14" s="1132">
        <f>ROUND(I14*F14,0)</f>
        <v>0</v>
      </c>
      <c r="K14" s="1133">
        <f>J14/G14</f>
        <v>0</v>
      </c>
      <c r="L14" s="1134">
        <f t="shared" ref="L14:M15" si="0">I14</f>
        <v>0</v>
      </c>
      <c r="M14" s="1124">
        <f t="shared" si="0"/>
        <v>0</v>
      </c>
      <c r="N14" s="1133">
        <f>M14/G14</f>
        <v>0</v>
      </c>
    </row>
    <row r="15" spans="1:14" x14ac:dyDescent="0.3">
      <c r="A15" s="1510"/>
      <c r="B15" s="1510"/>
      <c r="C15" s="647"/>
      <c r="D15" s="647" t="s">
        <v>162</v>
      </c>
      <c r="E15" s="648"/>
      <c r="F15" s="648"/>
      <c r="G15" s="649">
        <f>G14</f>
        <v>5270112</v>
      </c>
      <c r="H15" s="1510"/>
      <c r="I15" s="1108"/>
      <c r="J15" s="1146">
        <f>SUM(J13:J14)</f>
        <v>0</v>
      </c>
      <c r="K15" s="1136">
        <f>J15/G15</f>
        <v>0</v>
      </c>
      <c r="L15" s="1137"/>
      <c r="M15" s="1138">
        <f t="shared" si="0"/>
        <v>0</v>
      </c>
      <c r="N15" s="1136">
        <f t="shared" ref="N15" si="1">M15/G15</f>
        <v>0</v>
      </c>
    </row>
    <row r="16" spans="1:14" x14ac:dyDescent="0.3">
      <c r="F16" s="836" t="s">
        <v>1740</v>
      </c>
      <c r="G16" s="650">
        <f>SUM(G14:G15)/2</f>
        <v>5270112</v>
      </c>
      <c r="I16" s="547" t="s">
        <v>64</v>
      </c>
      <c r="J16" s="855">
        <f>SUM(J14:J15)/2</f>
        <v>0</v>
      </c>
      <c r="K16" s="1073"/>
      <c r="L16" s="547" t="s">
        <v>64</v>
      </c>
      <c r="M16" s="835">
        <f>SUM(M14:M15)/2</f>
        <v>0</v>
      </c>
      <c r="N16" s="1073"/>
    </row>
    <row r="17" spans="6:14" ht="26.4" x14ac:dyDescent="0.3">
      <c r="F17" s="1118" t="s">
        <v>65</v>
      </c>
      <c r="G17" s="1115">
        <v>0</v>
      </c>
      <c r="I17" s="548" t="s">
        <v>65</v>
      </c>
      <c r="J17" s="677">
        <v>0</v>
      </c>
      <c r="K17" s="1073"/>
      <c r="L17" s="548" t="s">
        <v>65</v>
      </c>
      <c r="M17" s="677">
        <v>0</v>
      </c>
      <c r="N17" s="1073"/>
    </row>
    <row r="18" spans="6:14" x14ac:dyDescent="0.3">
      <c r="F18" s="1119" t="s">
        <v>64</v>
      </c>
      <c r="G18" s="1151">
        <f>G16+G17</f>
        <v>5270112</v>
      </c>
      <c r="I18" s="549" t="s">
        <v>64</v>
      </c>
      <c r="J18" s="481">
        <f>J16+J17</f>
        <v>0</v>
      </c>
      <c r="K18" s="1073"/>
      <c r="L18" s="549" t="s">
        <v>64</v>
      </c>
      <c r="M18" s="481">
        <f>M16+M17</f>
        <v>0</v>
      </c>
      <c r="N18" s="1073"/>
    </row>
    <row r="19" spans="6:14" ht="26.4" x14ac:dyDescent="0.3">
      <c r="F19" s="501" t="s">
        <v>1439</v>
      </c>
      <c r="G19" s="1116">
        <f>ROUND(G18*0.015,0)</f>
        <v>79052</v>
      </c>
      <c r="I19" s="501" t="s">
        <v>1439</v>
      </c>
      <c r="J19" s="481">
        <f>ROUND(J18*0.015,0)</f>
        <v>0</v>
      </c>
      <c r="K19" s="1073"/>
      <c r="L19" s="501" t="s">
        <v>1439</v>
      </c>
      <c r="M19" s="481">
        <f>ROUND(M18*0.015,0)</f>
        <v>0</v>
      </c>
      <c r="N19" s="1073"/>
    </row>
    <row r="20" spans="6:14" ht="39.6" x14ac:dyDescent="0.3">
      <c r="F20" s="96" t="s">
        <v>1440</v>
      </c>
      <c r="G20" s="1117">
        <f>G18+G19</f>
        <v>5349164</v>
      </c>
      <c r="I20" s="96" t="s">
        <v>1440</v>
      </c>
      <c r="J20" s="783">
        <f>J18+J19</f>
        <v>0</v>
      </c>
      <c r="K20" s="856">
        <f>J20/G16</f>
        <v>0</v>
      </c>
      <c r="L20" s="96" t="s">
        <v>1440</v>
      </c>
      <c r="M20" s="425">
        <f>M18+M19</f>
        <v>0</v>
      </c>
      <c r="N20" s="857">
        <f>M20/G16</f>
        <v>0</v>
      </c>
    </row>
    <row r="21" spans="6:14" x14ac:dyDescent="0.3">
      <c r="F21" s="1122" t="s">
        <v>66</v>
      </c>
      <c r="G21" s="783">
        <f>G20*0.19</f>
        <v>1016341.16</v>
      </c>
      <c r="I21" s="551" t="s">
        <v>66</v>
      </c>
      <c r="J21" s="672">
        <f>J20*0.19</f>
        <v>0</v>
      </c>
      <c r="K21" s="1073"/>
      <c r="L21" s="551" t="s">
        <v>66</v>
      </c>
      <c r="M21" s="672">
        <f>M20*0.19</f>
        <v>0</v>
      </c>
      <c r="N21" s="1073"/>
    </row>
    <row r="22" spans="6:14" x14ac:dyDescent="0.3">
      <c r="F22" s="1123" t="s">
        <v>69</v>
      </c>
      <c r="G22" s="672">
        <f>G20+G21</f>
        <v>6365505.1600000001</v>
      </c>
      <c r="I22" s="552" t="s">
        <v>69</v>
      </c>
      <c r="J22" s="672">
        <f>J20+J21</f>
        <v>0</v>
      </c>
      <c r="K22" s="1073"/>
      <c r="L22" s="552" t="s">
        <v>69</v>
      </c>
      <c r="M22" s="672">
        <f>M20+M21</f>
        <v>0</v>
      </c>
      <c r="N22" s="1073"/>
    </row>
    <row r="23" spans="6:14" x14ac:dyDescent="0.3">
      <c r="F23" s="1073"/>
      <c r="G23" s="1073"/>
      <c r="I23" s="1073"/>
      <c r="J23" s="1073"/>
      <c r="K23" s="1073"/>
      <c r="L23" s="1073"/>
      <c r="M23" s="1073"/>
      <c r="N23" s="1073"/>
    </row>
    <row r="24" spans="6:14" ht="26.4" x14ac:dyDescent="0.3">
      <c r="I24" s="186" t="s">
        <v>70</v>
      </c>
      <c r="J24" s="187" t="s">
        <v>71</v>
      </c>
      <c r="K24" s="186" t="s">
        <v>58</v>
      </c>
      <c r="L24" s="1073"/>
      <c r="M24" s="1073"/>
      <c r="N24" s="1073"/>
    </row>
    <row r="25" spans="6:14" x14ac:dyDescent="0.3">
      <c r="I25" s="69" t="s">
        <v>72</v>
      </c>
      <c r="J25" s="70">
        <f>J20</f>
        <v>0</v>
      </c>
      <c r="K25" s="360">
        <f>K20</f>
        <v>0</v>
      </c>
      <c r="L25" s="1073"/>
      <c r="M25" s="1073"/>
      <c r="N25" s="1073"/>
    </row>
    <row r="26" spans="6:14" x14ac:dyDescent="0.3">
      <c r="I26" s="72" t="s">
        <v>1</v>
      </c>
      <c r="J26" s="105">
        <f>J25</f>
        <v>0</v>
      </c>
      <c r="K26" s="361">
        <f>K25</f>
        <v>0</v>
      </c>
      <c r="L26" s="1073"/>
      <c r="M26" s="1073"/>
      <c r="N26" s="1073"/>
    </row>
    <row r="27" spans="6:14" x14ac:dyDescent="0.3">
      <c r="I27" s="72" t="s">
        <v>9</v>
      </c>
      <c r="J27" s="1423"/>
      <c r="K27" s="1424"/>
      <c r="L27" s="1073"/>
      <c r="M27" s="1073"/>
      <c r="N27" s="1073"/>
    </row>
    <row r="28" spans="6:14" x14ac:dyDescent="0.3">
      <c r="I28" s="440" t="s">
        <v>78</v>
      </c>
      <c r="J28" s="1423" t="s">
        <v>2543</v>
      </c>
      <c r="K28" s="1424"/>
      <c r="L28" s="1073"/>
      <c r="M28" s="1073"/>
      <c r="N28" s="1073"/>
    </row>
    <row r="29" spans="6:14" x14ac:dyDescent="0.3">
      <c r="I29" s="439" t="s">
        <v>8</v>
      </c>
      <c r="J29" s="1425" t="s">
        <v>2544</v>
      </c>
      <c r="K29" s="1426"/>
      <c r="L29" s="1073"/>
      <c r="M29" s="1073"/>
      <c r="N29" s="1073"/>
    </row>
    <row r="30" spans="6:14" x14ac:dyDescent="0.3">
      <c r="I30" s="1073"/>
      <c r="J30" s="1073"/>
      <c r="K30" s="1073"/>
      <c r="L30" s="1073"/>
      <c r="M30" s="1073"/>
      <c r="N30" s="1073"/>
    </row>
    <row r="31" spans="6:14" x14ac:dyDescent="0.3">
      <c r="I31" s="1073"/>
      <c r="J31" s="1073"/>
      <c r="K31" s="1073"/>
      <c r="L31" s="1073"/>
      <c r="M31" s="1073"/>
      <c r="N31" s="1073"/>
    </row>
  </sheetData>
  <mergeCells count="21">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 ref="A5:M5"/>
    <mergeCell ref="C1:J2"/>
    <mergeCell ref="K1:N1"/>
    <mergeCell ref="K2:N2"/>
    <mergeCell ref="A3:M3"/>
    <mergeCell ref="A4:M4"/>
  </mergeCells>
  <pageMargins left="0.7" right="0.7" top="0.75" bottom="0.75" header="0.3" footer="0.3"/>
  <drawing r:id="rId1"/>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7"/>
  <dimension ref="A1:G49"/>
  <sheetViews>
    <sheetView topLeftCell="A13" workbookViewId="0">
      <selection activeCell="G31" sqref="G3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RESUMEN!G194</f>
        <v>Proyecto:Ampliación S/E Los Mangos.</v>
      </c>
      <c r="C5" s="1281"/>
      <c r="D5" s="1281"/>
      <c r="E5" s="1281"/>
      <c r="F5" s="1281"/>
      <c r="G5" s="1282"/>
    </row>
    <row r="6" spans="1:7" x14ac:dyDescent="0.25">
      <c r="A6" s="1177"/>
      <c r="B6" s="1177"/>
      <c r="C6" s="1177"/>
      <c r="D6" s="1177"/>
      <c r="E6" s="1177"/>
      <c r="F6" s="1177"/>
      <c r="G6" s="1177"/>
    </row>
    <row r="7" spans="1:7" x14ac:dyDescent="0.25">
      <c r="A7" s="271" t="s">
        <v>0</v>
      </c>
      <c r="B7" s="1264">
        <f>RESUMEN!B194</f>
        <v>0</v>
      </c>
      <c r="C7" s="1265"/>
      <c r="D7" s="1177"/>
      <c r="E7" s="1266" t="s">
        <v>627</v>
      </c>
      <c r="F7" s="1267"/>
      <c r="G7" s="280" t="str">
        <f>RESUMEN!E194</f>
        <v>18-059</v>
      </c>
    </row>
    <row r="8" spans="1:7" x14ac:dyDescent="0.25">
      <c r="A8" s="271" t="s">
        <v>628</v>
      </c>
      <c r="B8" s="1264">
        <f>RESUMEN!C194</f>
        <v>0</v>
      </c>
      <c r="C8" s="1265"/>
      <c r="D8" s="1177"/>
      <c r="E8" s="1266" t="s">
        <v>629</v>
      </c>
      <c r="F8" s="1267"/>
      <c r="G8" s="280" t="str">
        <f>RESUMEN!U194</f>
        <v>Acta N° 1: Marzo</v>
      </c>
    </row>
    <row r="9" spans="1:7" x14ac:dyDescent="0.25">
      <c r="A9" s="271" t="s">
        <v>630</v>
      </c>
      <c r="B9" s="1283" t="s">
        <v>631</v>
      </c>
      <c r="C9" s="1265"/>
      <c r="D9" s="1177"/>
      <c r="E9" s="1266" t="s">
        <v>632</v>
      </c>
      <c r="F9" s="1267"/>
      <c r="G9" s="1178">
        <f>RESUMEN!H194</f>
        <v>38317957</v>
      </c>
    </row>
    <row r="10" spans="1:7" x14ac:dyDescent="0.25">
      <c r="A10" s="271" t="s">
        <v>633</v>
      </c>
      <c r="B10" s="1283" t="str">
        <f>RESUMEN!D194</f>
        <v xml:space="preserve"> LOS MANGOS</v>
      </c>
      <c r="C10" s="1265"/>
      <c r="D10" s="1177"/>
      <c r="E10" s="1266" t="s">
        <v>634</v>
      </c>
      <c r="F10" s="1267"/>
      <c r="G10" s="1178">
        <f>RESUMEN!R194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Proyecto:Ampliación S/E Los Mangos.</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RESUMEN!N194</f>
        <v>0</v>
      </c>
      <c r="F19" s="1248"/>
      <c r="G19" s="1177"/>
    </row>
    <row r="20" spans="1:7" ht="27" customHeight="1" x14ac:dyDescent="0.25">
      <c r="A20" s="1177"/>
      <c r="B20" s="1244" t="s">
        <v>1498</v>
      </c>
      <c r="C20" s="1245"/>
      <c r="D20" s="1246"/>
      <c r="E20" s="1247">
        <f>RESUMEN!P194</f>
        <v>0</v>
      </c>
      <c r="F20" s="1248"/>
      <c r="G20" s="1177"/>
    </row>
    <row r="21" spans="1:7" ht="27" customHeight="1" x14ac:dyDescent="0.25">
      <c r="A21" s="1177"/>
      <c r="B21" s="1244" t="s">
        <v>1499</v>
      </c>
      <c r="C21" s="1245"/>
      <c r="D21" s="1246"/>
      <c r="E21" s="1247">
        <f>RESUMEN!Q194</f>
        <v>0</v>
      </c>
      <c r="F21" s="1248"/>
      <c r="G21" s="1177"/>
    </row>
    <row r="22" spans="1:7" x14ac:dyDescent="0.25">
      <c r="A22" s="1177"/>
      <c r="B22" s="1254" t="s">
        <v>64</v>
      </c>
      <c r="C22" s="1254"/>
      <c r="D22" s="1254"/>
      <c r="E22" s="1255">
        <f>RESUMEN!R194</f>
        <v>0</v>
      </c>
      <c r="F22" s="1255"/>
      <c r="G22" s="1177"/>
    </row>
    <row r="23" spans="1:7" x14ac:dyDescent="0.25">
      <c r="A23" s="1177"/>
      <c r="B23" s="1256" t="s">
        <v>66</v>
      </c>
      <c r="C23" s="1256"/>
      <c r="D23" s="1256"/>
      <c r="E23" s="1257">
        <f>RESUMEN!S194</f>
        <v>0</v>
      </c>
      <c r="F23" s="1257"/>
      <c r="G23" s="1177"/>
    </row>
    <row r="24" spans="1:7" x14ac:dyDescent="0.25">
      <c r="A24" s="1177"/>
      <c r="B24" s="1258" t="s">
        <v>1</v>
      </c>
      <c r="C24" s="1258"/>
      <c r="D24" s="1258"/>
      <c r="E24" s="1259">
        <f>RESUMEN!T194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+'OT18-059 LOS MANGOS'!I27</f>
        <v>ACTA 1</v>
      </c>
      <c r="C28" s="1253">
        <f>+'OT18-059 LOS MANGOS'!J27</f>
        <v>0</v>
      </c>
      <c r="D28" s="1253"/>
      <c r="E28" s="267">
        <f>+'OT18-059 LOS MANGOS'!K27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8"/>
  <dimension ref="A1:N34"/>
  <sheetViews>
    <sheetView topLeftCell="A15" workbookViewId="0">
      <selection activeCell="F18" sqref="F18:G24"/>
    </sheetView>
  </sheetViews>
  <sheetFormatPr baseColWidth="10" defaultRowHeight="14.4" x14ac:dyDescent="0.3"/>
  <cols>
    <col min="2" max="2" width="15.6640625" customWidth="1"/>
    <col min="3" max="4" width="22.6640625" customWidth="1"/>
    <col min="6" max="7" width="14.109375" customWidth="1"/>
    <col min="8" max="8" width="35.88671875" customWidth="1"/>
    <col min="10" max="10" width="14.88671875" customWidth="1"/>
  </cols>
  <sheetData>
    <row r="1" spans="1:14" x14ac:dyDescent="0.3">
      <c r="A1" s="169"/>
      <c r="B1" s="188"/>
      <c r="C1" s="1307" t="s">
        <v>40</v>
      </c>
      <c r="D1" s="1308"/>
      <c r="E1" s="1308"/>
      <c r="F1" s="1308"/>
      <c r="G1" s="1308"/>
      <c r="H1" s="1308"/>
      <c r="I1" s="1308"/>
      <c r="J1" s="1308"/>
      <c r="K1" s="1532" t="s">
        <v>2547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2546</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2545</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x14ac:dyDescent="0.3">
      <c r="A14" s="1510" t="s">
        <v>283</v>
      </c>
      <c r="B14" s="1510" t="s">
        <v>2548</v>
      </c>
      <c r="C14" s="1074" t="s">
        <v>649</v>
      </c>
      <c r="D14" s="1074" t="s">
        <v>650</v>
      </c>
      <c r="E14" s="1074">
        <v>1</v>
      </c>
      <c r="F14" s="646">
        <v>31766940</v>
      </c>
      <c r="G14" s="646">
        <f>ROUND((E14*F14),0)</f>
        <v>31766940</v>
      </c>
      <c r="H14" s="1514" t="s">
        <v>2549</v>
      </c>
      <c r="I14" s="799">
        <v>0</v>
      </c>
      <c r="J14" s="1132">
        <f>ROUND(I14*F14,0)</f>
        <v>0</v>
      </c>
      <c r="K14" s="1133">
        <f>J14/G14</f>
        <v>0</v>
      </c>
      <c r="L14" s="1134">
        <f t="shared" ref="L14:M15" si="0">I14</f>
        <v>0</v>
      </c>
      <c r="M14" s="1124">
        <f t="shared" si="0"/>
        <v>0</v>
      </c>
      <c r="N14" s="1133">
        <f>M14/G14</f>
        <v>0</v>
      </c>
    </row>
    <row r="15" spans="1:14" x14ac:dyDescent="0.3">
      <c r="A15" s="1510"/>
      <c r="B15" s="1510"/>
      <c r="C15" s="647"/>
      <c r="D15" s="647" t="s">
        <v>651</v>
      </c>
      <c r="E15" s="648"/>
      <c r="F15" s="648"/>
      <c r="G15" s="649">
        <f>G14</f>
        <v>31766940</v>
      </c>
      <c r="H15" s="1510"/>
      <c r="I15" s="1108"/>
      <c r="J15" s="1146">
        <f>SUM(J13:J14)</f>
        <v>0</v>
      </c>
      <c r="K15" s="1136">
        <f>J15/G15</f>
        <v>0</v>
      </c>
      <c r="L15" s="1137"/>
      <c r="M15" s="1138">
        <f t="shared" si="0"/>
        <v>0</v>
      </c>
      <c r="N15" s="1136">
        <f t="shared" ref="N15" si="1">M15/G15</f>
        <v>0</v>
      </c>
    </row>
    <row r="16" spans="1:14" ht="57.6" x14ac:dyDescent="0.3">
      <c r="A16" s="1510" t="s">
        <v>283</v>
      </c>
      <c r="B16" s="1510" t="s">
        <v>284</v>
      </c>
      <c r="C16" s="1074" t="s">
        <v>148</v>
      </c>
      <c r="D16" s="1074" t="s">
        <v>181</v>
      </c>
      <c r="E16" s="1074">
        <v>1</v>
      </c>
      <c r="F16" s="646">
        <v>6551017</v>
      </c>
      <c r="G16" s="646">
        <f>ROUND((E16*F16),0)</f>
        <v>6551017</v>
      </c>
      <c r="H16" s="1514" t="s">
        <v>2550</v>
      </c>
      <c r="I16" s="799">
        <v>0</v>
      </c>
      <c r="J16" s="1132">
        <f>ROUND(I16*F16,0)</f>
        <v>0</v>
      </c>
      <c r="K16" s="1133">
        <f>J16/G16</f>
        <v>0</v>
      </c>
      <c r="L16" s="1134">
        <f t="shared" ref="L16" si="2">I16</f>
        <v>0</v>
      </c>
      <c r="M16" s="1124">
        <f t="shared" ref="M16:M17" si="3">J16</f>
        <v>0</v>
      </c>
      <c r="N16" s="1133">
        <f>M16/G16</f>
        <v>0</v>
      </c>
    </row>
    <row r="17" spans="1:14" x14ac:dyDescent="0.3">
      <c r="A17" s="1510"/>
      <c r="B17" s="1510"/>
      <c r="C17" s="647"/>
      <c r="D17" s="647" t="s">
        <v>183</v>
      </c>
      <c r="E17" s="648"/>
      <c r="F17" s="648"/>
      <c r="G17" s="649">
        <f>G16</f>
        <v>6551017</v>
      </c>
      <c r="H17" s="1510"/>
      <c r="I17" s="1108"/>
      <c r="J17" s="1146">
        <f>SUM(J15:J16)</f>
        <v>0</v>
      </c>
      <c r="K17" s="1136">
        <f>J17/G17</f>
        <v>0</v>
      </c>
      <c r="L17" s="1137"/>
      <c r="M17" s="1138">
        <f t="shared" si="3"/>
        <v>0</v>
      </c>
      <c r="N17" s="1136">
        <f t="shared" ref="N17" si="4">M17/G17</f>
        <v>0</v>
      </c>
    </row>
    <row r="18" spans="1:14" x14ac:dyDescent="0.3">
      <c r="F18" s="836" t="s">
        <v>1740</v>
      </c>
      <c r="G18" s="650">
        <f>SUM(G14:G17)/2</f>
        <v>38317957</v>
      </c>
      <c r="I18" s="547" t="s">
        <v>64</v>
      </c>
      <c r="J18" s="855">
        <f>SUM(J16:J17)/2</f>
        <v>0</v>
      </c>
      <c r="K18" s="1073"/>
      <c r="L18" s="547" t="s">
        <v>64</v>
      </c>
      <c r="M18" s="835">
        <f>SUM(M16:M17)/2</f>
        <v>0</v>
      </c>
      <c r="N18" s="1073"/>
    </row>
    <row r="19" spans="1:14" ht="26.4" x14ac:dyDescent="0.3">
      <c r="F19" s="1118">
        <v>0.03</v>
      </c>
      <c r="G19" s="1185">
        <f>G17*F19</f>
        <v>196530.50999999998</v>
      </c>
      <c r="I19" s="548" t="s">
        <v>65</v>
      </c>
      <c r="J19" s="677">
        <f>(J17*0.03)</f>
        <v>0</v>
      </c>
      <c r="K19" s="1073"/>
      <c r="L19" s="548" t="s">
        <v>65</v>
      </c>
      <c r="M19" s="784">
        <f>(M17*0.03)</f>
        <v>0</v>
      </c>
      <c r="N19" s="1073"/>
    </row>
    <row r="20" spans="1:14" x14ac:dyDescent="0.3">
      <c r="F20" s="1119" t="s">
        <v>64</v>
      </c>
      <c r="G20" s="1151">
        <f>G18+G19</f>
        <v>38514487.509999998</v>
      </c>
      <c r="I20" s="549" t="s">
        <v>64</v>
      </c>
      <c r="J20" s="481">
        <f>J18+J19</f>
        <v>0</v>
      </c>
      <c r="K20" s="1073"/>
      <c r="L20" s="549" t="s">
        <v>64</v>
      </c>
      <c r="M20" s="481">
        <f>M18+M19</f>
        <v>0</v>
      </c>
      <c r="N20" s="1073"/>
    </row>
    <row r="21" spans="1:14" ht="26.4" x14ac:dyDescent="0.3">
      <c r="F21" s="501" t="s">
        <v>1439</v>
      </c>
      <c r="G21" s="1116">
        <f>ROUND(G20*0.015,0)</f>
        <v>577717</v>
      </c>
      <c r="I21" s="501" t="s">
        <v>1439</v>
      </c>
      <c r="J21" s="481">
        <f>ROUND(J20*0.015,0)</f>
        <v>0</v>
      </c>
      <c r="K21" s="1073"/>
      <c r="L21" s="501" t="s">
        <v>1439</v>
      </c>
      <c r="M21" s="481">
        <f>ROUND(M20*0.015,0)</f>
        <v>0</v>
      </c>
      <c r="N21" s="1073"/>
    </row>
    <row r="22" spans="1:14" ht="39.6" x14ac:dyDescent="0.3">
      <c r="F22" s="96" t="s">
        <v>1440</v>
      </c>
      <c r="G22" s="1117">
        <f>G20+G21</f>
        <v>39092204.509999998</v>
      </c>
      <c r="I22" s="96" t="s">
        <v>1440</v>
      </c>
      <c r="J22" s="783">
        <f>J20+J21</f>
        <v>0</v>
      </c>
      <c r="K22" s="856">
        <f>J22/G18</f>
        <v>0</v>
      </c>
      <c r="L22" s="96" t="s">
        <v>1440</v>
      </c>
      <c r="M22" s="425">
        <f>M20+M21</f>
        <v>0</v>
      </c>
      <c r="N22" s="857">
        <f>M22/G18</f>
        <v>0</v>
      </c>
    </row>
    <row r="23" spans="1:14" x14ac:dyDescent="0.3">
      <c r="F23" s="1122" t="s">
        <v>66</v>
      </c>
      <c r="G23" s="783">
        <f>G22*0.19</f>
        <v>7427518.8569</v>
      </c>
      <c r="I23" s="551" t="s">
        <v>66</v>
      </c>
      <c r="J23" s="672">
        <f>J22*0.19</f>
        <v>0</v>
      </c>
      <c r="K23" s="1073"/>
      <c r="L23" s="551" t="s">
        <v>66</v>
      </c>
      <c r="M23" s="672">
        <f>M22*0.19</f>
        <v>0</v>
      </c>
      <c r="N23" s="1073"/>
    </row>
    <row r="24" spans="1:14" x14ac:dyDescent="0.3">
      <c r="F24" s="1123" t="s">
        <v>69</v>
      </c>
      <c r="G24" s="672">
        <f>G22+G23</f>
        <v>46519723.366899997</v>
      </c>
      <c r="I24" s="552" t="s">
        <v>69</v>
      </c>
      <c r="J24" s="672">
        <f>J22+J23</f>
        <v>0</v>
      </c>
      <c r="K24" s="1073"/>
      <c r="L24" s="552" t="s">
        <v>69</v>
      </c>
      <c r="M24" s="672">
        <f>M22+M23</f>
        <v>0</v>
      </c>
      <c r="N24" s="1073"/>
    </row>
    <row r="25" spans="1:14" x14ac:dyDescent="0.3">
      <c r="I25" s="1073"/>
      <c r="J25" s="1073"/>
      <c r="K25" s="1073"/>
      <c r="L25" s="1073"/>
      <c r="M25" s="1073"/>
      <c r="N25" s="1073"/>
    </row>
    <row r="26" spans="1:14" x14ac:dyDescent="0.3">
      <c r="I26" s="186" t="s">
        <v>70</v>
      </c>
      <c r="J26" s="187" t="s">
        <v>71</v>
      </c>
      <c r="K26" s="186" t="s">
        <v>58</v>
      </c>
      <c r="L26" s="1073"/>
      <c r="M26" s="1073"/>
      <c r="N26" s="1073"/>
    </row>
    <row r="27" spans="1:14" x14ac:dyDescent="0.3">
      <c r="I27" s="69" t="s">
        <v>72</v>
      </c>
      <c r="J27" s="70">
        <f>J22</f>
        <v>0</v>
      </c>
      <c r="K27" s="360">
        <f>K22</f>
        <v>0</v>
      </c>
      <c r="L27" s="1073"/>
      <c r="M27" s="1073"/>
      <c r="N27" s="1073"/>
    </row>
    <row r="28" spans="1:14" x14ac:dyDescent="0.3">
      <c r="I28" s="72" t="s">
        <v>1</v>
      </c>
      <c r="J28" s="105">
        <f>J27</f>
        <v>0</v>
      </c>
      <c r="K28" s="361">
        <f>K27</f>
        <v>0</v>
      </c>
      <c r="L28" s="1073"/>
      <c r="M28" s="1073"/>
      <c r="N28" s="1073"/>
    </row>
    <row r="29" spans="1:14" x14ac:dyDescent="0.3">
      <c r="I29" s="72" t="s">
        <v>9</v>
      </c>
      <c r="J29" s="1423"/>
      <c r="K29" s="1424"/>
      <c r="L29" s="1073"/>
      <c r="M29" s="1073"/>
      <c r="N29" s="1073"/>
    </row>
    <row r="30" spans="1:14" x14ac:dyDescent="0.3">
      <c r="I30" s="440" t="s">
        <v>78</v>
      </c>
      <c r="J30" s="1423"/>
      <c r="K30" s="1424"/>
      <c r="L30" s="1073"/>
      <c r="M30" s="1073"/>
      <c r="N30" s="1073"/>
    </row>
    <row r="31" spans="1:14" x14ac:dyDescent="0.3">
      <c r="I31" s="439" t="s">
        <v>8</v>
      </c>
      <c r="J31" s="1425"/>
      <c r="K31" s="1426"/>
      <c r="L31" s="1073"/>
      <c r="M31" s="1073"/>
      <c r="N31" s="1073"/>
    </row>
    <row r="32" spans="1:14" x14ac:dyDescent="0.3">
      <c r="I32" s="1073"/>
      <c r="J32" s="1073"/>
      <c r="K32" s="1073"/>
      <c r="L32" s="1073"/>
      <c r="M32" s="1073"/>
      <c r="N32" s="1073"/>
    </row>
    <row r="33" spans="9:14" x14ac:dyDescent="0.3">
      <c r="I33" s="1073"/>
      <c r="J33" s="1073"/>
      <c r="K33" s="1073"/>
      <c r="L33" s="1073"/>
      <c r="M33" s="1073"/>
      <c r="N33" s="1073"/>
    </row>
    <row r="34" spans="9:14" x14ac:dyDescent="0.3">
      <c r="I34" s="1073"/>
      <c r="J34" s="1073"/>
      <c r="K34" s="1073"/>
      <c r="L34" s="1073"/>
      <c r="M34" s="1073"/>
      <c r="N34" s="1073"/>
    </row>
  </sheetData>
  <mergeCells count="24">
    <mergeCell ref="J29:K29"/>
    <mergeCell ref="J30:K30"/>
    <mergeCell ref="J31:K31"/>
    <mergeCell ref="A14:A15"/>
    <mergeCell ref="A16:A17"/>
    <mergeCell ref="B14:B15"/>
    <mergeCell ref="H14:H15"/>
    <mergeCell ref="B16:B17"/>
    <mergeCell ref="H16:H1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9"/>
  <dimension ref="A1:G49"/>
  <sheetViews>
    <sheetView topLeftCell="A13"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RESUMEN!G195</f>
        <v>Proyecto:NORMALIZACIÓN LT ZP UB PD</v>
      </c>
      <c r="C5" s="1281"/>
      <c r="D5" s="1281"/>
      <c r="E5" s="1281"/>
      <c r="F5" s="1281"/>
      <c r="G5" s="1282"/>
    </row>
    <row r="6" spans="1:7" x14ac:dyDescent="0.25">
      <c r="A6" s="1177"/>
      <c r="B6" s="1177"/>
      <c r="C6" s="1177"/>
      <c r="D6" s="1177"/>
      <c r="E6" s="1177"/>
      <c r="F6" s="1177"/>
      <c r="G6" s="1177"/>
    </row>
    <row r="7" spans="1:7" x14ac:dyDescent="0.25">
      <c r="A7" s="271" t="s">
        <v>0</v>
      </c>
      <c r="B7" s="1264" t="str">
        <f>RESUMEN!B195</f>
        <v xml:space="preserve">D00235194 </v>
      </c>
      <c r="C7" s="1265"/>
      <c r="D7" s="1177"/>
      <c r="E7" s="1266" t="s">
        <v>627</v>
      </c>
      <c r="F7" s="1267"/>
      <c r="G7" s="280" t="str">
        <f>RESUMEN!E195</f>
        <v xml:space="preserve">18-060 </v>
      </c>
    </row>
    <row r="8" spans="1:7" x14ac:dyDescent="0.25">
      <c r="A8" s="271" t="s">
        <v>628</v>
      </c>
      <c r="B8" s="1264">
        <f>RESUMEN!C195</f>
        <v>0</v>
      </c>
      <c r="C8" s="1265"/>
      <c r="D8" s="1177"/>
      <c r="E8" s="1266" t="s">
        <v>629</v>
      </c>
      <c r="F8" s="1267"/>
      <c r="G8" s="280" t="str">
        <f>RESUMEN!U195</f>
        <v>Acta N° 1: Marzo</v>
      </c>
    </row>
    <row r="9" spans="1:7" x14ac:dyDescent="0.25">
      <c r="A9" s="271" t="s">
        <v>630</v>
      </c>
      <c r="B9" s="1283" t="s">
        <v>631</v>
      </c>
      <c r="C9" s="1265"/>
      <c r="D9" s="1177"/>
      <c r="E9" s="1266" t="s">
        <v>632</v>
      </c>
      <c r="F9" s="1267"/>
      <c r="G9" s="1178">
        <f>RESUMEN!H195</f>
        <v>39057232</v>
      </c>
    </row>
    <row r="10" spans="1:7" x14ac:dyDescent="0.25">
      <c r="A10" s="271" t="s">
        <v>633</v>
      </c>
      <c r="B10" s="1283" t="str">
        <f>RESUMEN!D195</f>
        <v xml:space="preserve">LLTT ZIPAQUIRA -UP </v>
      </c>
      <c r="C10" s="1265"/>
      <c r="D10" s="1177"/>
      <c r="E10" s="1266" t="s">
        <v>634</v>
      </c>
      <c r="F10" s="1267"/>
      <c r="G10" s="1178">
        <f>RESUMEN!R195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Proyecto:NORMALIZACIÓN LT ZP UB PD</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RESUMEN!N195</f>
        <v>0</v>
      </c>
      <c r="F19" s="1248"/>
      <c r="G19" s="1177"/>
    </row>
    <row r="20" spans="1:7" ht="27" customHeight="1" x14ac:dyDescent="0.25">
      <c r="A20" s="1177"/>
      <c r="B20" s="1244" t="s">
        <v>1498</v>
      </c>
      <c r="C20" s="1245"/>
      <c r="D20" s="1246"/>
      <c r="E20" s="1247">
        <f>RESUMEN!P195</f>
        <v>0</v>
      </c>
      <c r="F20" s="1248"/>
      <c r="G20" s="1177"/>
    </row>
    <row r="21" spans="1:7" ht="27" customHeight="1" x14ac:dyDescent="0.25">
      <c r="A21" s="1177"/>
      <c r="B21" s="1244" t="s">
        <v>1499</v>
      </c>
      <c r="C21" s="1245"/>
      <c r="D21" s="1246"/>
      <c r="E21" s="1247">
        <f>RESUMEN!Q195</f>
        <v>0</v>
      </c>
      <c r="F21" s="1248"/>
      <c r="G21" s="1177"/>
    </row>
    <row r="22" spans="1:7" x14ac:dyDescent="0.25">
      <c r="A22" s="1177"/>
      <c r="B22" s="1254" t="s">
        <v>64</v>
      </c>
      <c r="C22" s="1254"/>
      <c r="D22" s="1254"/>
      <c r="E22" s="1255">
        <f>RESUMEN!R195</f>
        <v>0</v>
      </c>
      <c r="F22" s="1255"/>
      <c r="G22" s="1177"/>
    </row>
    <row r="23" spans="1:7" x14ac:dyDescent="0.25">
      <c r="A23" s="1177"/>
      <c r="B23" s="1256" t="s">
        <v>66</v>
      </c>
      <c r="C23" s="1256"/>
      <c r="D23" s="1256"/>
      <c r="E23" s="1257">
        <f>RESUMEN!S195</f>
        <v>0</v>
      </c>
      <c r="F23" s="1257"/>
      <c r="G23" s="1177"/>
    </row>
    <row r="24" spans="1:7" x14ac:dyDescent="0.25">
      <c r="A24" s="1177"/>
      <c r="B24" s="1258" t="s">
        <v>1</v>
      </c>
      <c r="C24" s="1258"/>
      <c r="D24" s="1258"/>
      <c r="E24" s="1259">
        <f>RESUMEN!T195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+'OT18-060 LLTT ZIPAQUIRA -UP '!I25</f>
        <v>ACTA 1</v>
      </c>
      <c r="C28" s="1253">
        <f>+'OT18-060 LLTT ZIPAQUIRA -UP '!J25</f>
        <v>0</v>
      </c>
      <c r="D28" s="1253"/>
      <c r="E28" s="267">
        <f>+'OT18-060 LLTT ZIPAQUIRA -UP '!K25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0"/>
  <dimension ref="A1:N30"/>
  <sheetViews>
    <sheetView topLeftCell="C12" workbookViewId="0">
      <selection activeCell="I13" sqref="I13:N15"/>
    </sheetView>
  </sheetViews>
  <sheetFormatPr baseColWidth="10" defaultRowHeight="14.4" x14ac:dyDescent="0.3"/>
  <cols>
    <col min="2" max="2" width="20" customWidth="1"/>
    <col min="3" max="4" width="22.44140625" customWidth="1"/>
    <col min="7" max="7" width="16.109375" customWidth="1"/>
    <col min="8" max="8" width="35" customWidth="1"/>
  </cols>
  <sheetData>
    <row r="1" spans="1:14" x14ac:dyDescent="0.3">
      <c r="A1" s="169"/>
      <c r="B1" s="188"/>
      <c r="C1" s="1307" t="s">
        <v>40</v>
      </c>
      <c r="D1" s="1308"/>
      <c r="E1" s="1308"/>
      <c r="F1" s="1308"/>
      <c r="G1" s="1308"/>
      <c r="H1" s="1308"/>
      <c r="I1" s="1308"/>
      <c r="J1" s="1308"/>
      <c r="K1" s="1532" t="s">
        <v>1179</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2552</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2551</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28.8" x14ac:dyDescent="0.3">
      <c r="A14" s="1510" t="s">
        <v>2553</v>
      </c>
      <c r="B14" s="1510" t="s">
        <v>269</v>
      </c>
      <c r="C14" s="1074" t="s">
        <v>270</v>
      </c>
      <c r="D14" s="1074" t="s">
        <v>271</v>
      </c>
      <c r="E14" s="1186">
        <f>23*0.29</f>
        <v>6.67</v>
      </c>
      <c r="F14" s="646">
        <v>5855657</v>
      </c>
      <c r="G14" s="646">
        <f>ROUND((E14*F14),0)</f>
        <v>39057232</v>
      </c>
      <c r="H14" s="1514" t="s">
        <v>2554</v>
      </c>
      <c r="I14" s="799">
        <v>0</v>
      </c>
      <c r="J14" s="1132">
        <f>ROUND(I14*F14,0)</f>
        <v>0</v>
      </c>
      <c r="K14" s="1133">
        <f>J14/G14</f>
        <v>0</v>
      </c>
      <c r="L14" s="1134">
        <f t="shared" ref="L14:M15" si="0">I14</f>
        <v>0</v>
      </c>
      <c r="M14" s="1124">
        <f t="shared" si="0"/>
        <v>0</v>
      </c>
      <c r="N14" s="1133">
        <f>M14/G14</f>
        <v>0</v>
      </c>
    </row>
    <row r="15" spans="1:14" x14ac:dyDescent="0.3">
      <c r="A15" s="1510"/>
      <c r="B15" s="1510"/>
      <c r="C15" s="647"/>
      <c r="D15" s="647" t="s">
        <v>215</v>
      </c>
      <c r="E15" s="648"/>
      <c r="F15" s="648"/>
      <c r="G15" s="649">
        <f>G14</f>
        <v>39057232</v>
      </c>
      <c r="H15" s="1510"/>
      <c r="I15" s="1108"/>
      <c r="J15" s="1146">
        <f>SUM(J13:J14)</f>
        <v>0</v>
      </c>
      <c r="K15" s="1136">
        <f>J15/G15</f>
        <v>0</v>
      </c>
      <c r="L15" s="1137"/>
      <c r="M15" s="1138">
        <f t="shared" si="0"/>
        <v>0</v>
      </c>
      <c r="N15" s="1136">
        <f t="shared" ref="N15" si="1">M15/G15</f>
        <v>0</v>
      </c>
    </row>
    <row r="16" spans="1:14" x14ac:dyDescent="0.3">
      <c r="F16" s="836" t="s">
        <v>1740</v>
      </c>
      <c r="G16" s="650">
        <f>SUM(G14:G15)/2</f>
        <v>39057232</v>
      </c>
      <c r="I16" s="547" t="s">
        <v>64</v>
      </c>
      <c r="J16" s="855">
        <f>SUM(J14:J15)/2</f>
        <v>0</v>
      </c>
      <c r="K16" s="1073"/>
      <c r="L16" s="547" t="s">
        <v>64</v>
      </c>
      <c r="M16" s="835">
        <f>SUM(M14:M15)/2</f>
        <v>0</v>
      </c>
      <c r="N16" s="1073"/>
    </row>
    <row r="17" spans="6:14" ht="26.4" x14ac:dyDescent="0.3">
      <c r="F17" s="1118" t="s">
        <v>65</v>
      </c>
      <c r="G17" s="1115">
        <v>0</v>
      </c>
      <c r="I17" s="548" t="s">
        <v>65</v>
      </c>
      <c r="J17" s="677">
        <v>0</v>
      </c>
      <c r="K17" s="1073"/>
      <c r="L17" s="548" t="s">
        <v>65</v>
      </c>
      <c r="M17" s="677">
        <v>0</v>
      </c>
      <c r="N17" s="1073"/>
    </row>
    <row r="18" spans="6:14" x14ac:dyDescent="0.3">
      <c r="F18" s="1119" t="s">
        <v>64</v>
      </c>
      <c r="G18" s="1151">
        <f>G16+G17</f>
        <v>39057232</v>
      </c>
      <c r="I18" s="549" t="s">
        <v>64</v>
      </c>
      <c r="J18" s="481">
        <f>J16+J17</f>
        <v>0</v>
      </c>
      <c r="K18" s="1073"/>
      <c r="L18" s="549" t="s">
        <v>64</v>
      </c>
      <c r="M18" s="481">
        <f>M16+M17</f>
        <v>0</v>
      </c>
      <c r="N18" s="1073"/>
    </row>
    <row r="19" spans="6:14" ht="26.4" x14ac:dyDescent="0.3">
      <c r="F19" s="501" t="s">
        <v>1439</v>
      </c>
      <c r="G19" s="1116">
        <f>ROUND(G18*0.015,0)</f>
        <v>585858</v>
      </c>
      <c r="I19" s="501" t="s">
        <v>1439</v>
      </c>
      <c r="J19" s="481">
        <f>ROUND(J18*0.015,0)</f>
        <v>0</v>
      </c>
      <c r="K19" s="1073"/>
      <c r="L19" s="501" t="s">
        <v>1439</v>
      </c>
      <c r="M19" s="481">
        <f>ROUND(M18*0.015,0)</f>
        <v>0</v>
      </c>
      <c r="N19" s="1073"/>
    </row>
    <row r="20" spans="6:14" ht="39.6" x14ac:dyDescent="0.3">
      <c r="F20" s="96" t="s">
        <v>1440</v>
      </c>
      <c r="G20" s="1117">
        <f>G18+G19</f>
        <v>39643090</v>
      </c>
      <c r="I20" s="96" t="s">
        <v>1440</v>
      </c>
      <c r="J20" s="783">
        <f>J18+J19</f>
        <v>0</v>
      </c>
      <c r="K20" s="856">
        <f>J20/G16</f>
        <v>0</v>
      </c>
      <c r="L20" s="96" t="s">
        <v>1440</v>
      </c>
      <c r="M20" s="425">
        <f>M18+M19</f>
        <v>0</v>
      </c>
      <c r="N20" s="857">
        <f>M20/G16</f>
        <v>0</v>
      </c>
    </row>
    <row r="21" spans="6:14" x14ac:dyDescent="0.3">
      <c r="F21" s="1122" t="s">
        <v>66</v>
      </c>
      <c r="G21" s="783">
        <f>G20*0.19</f>
        <v>7532187.0999999996</v>
      </c>
      <c r="I21" s="551" t="s">
        <v>66</v>
      </c>
      <c r="J21" s="672">
        <f>J20*0.19</f>
        <v>0</v>
      </c>
      <c r="K21" s="1073"/>
      <c r="L21" s="551" t="s">
        <v>66</v>
      </c>
      <c r="M21" s="672">
        <f>M20*0.19</f>
        <v>0</v>
      </c>
      <c r="N21" s="1073"/>
    </row>
    <row r="22" spans="6:14" x14ac:dyDescent="0.3">
      <c r="F22" s="1123" t="s">
        <v>69</v>
      </c>
      <c r="G22" s="672">
        <f>G20+G21</f>
        <v>47175277.100000001</v>
      </c>
      <c r="I22" s="552" t="s">
        <v>69</v>
      </c>
      <c r="J22" s="672">
        <f>J20+J21</f>
        <v>0</v>
      </c>
      <c r="K22" s="1073"/>
      <c r="L22" s="552" t="s">
        <v>69</v>
      </c>
      <c r="M22" s="672">
        <f>M20+M21</f>
        <v>0</v>
      </c>
      <c r="N22" s="1073"/>
    </row>
    <row r="23" spans="6:14" x14ac:dyDescent="0.3">
      <c r="I23" s="1073"/>
      <c r="J23" s="1073"/>
      <c r="K23" s="1073"/>
      <c r="L23" s="1073"/>
      <c r="M23" s="1073"/>
      <c r="N23" s="1073"/>
    </row>
    <row r="24" spans="6:14" ht="26.4" x14ac:dyDescent="0.3">
      <c r="I24" s="186" t="s">
        <v>70</v>
      </c>
      <c r="J24" s="187" t="s">
        <v>71</v>
      </c>
      <c r="K24" s="186" t="s">
        <v>58</v>
      </c>
      <c r="L24" s="1073"/>
      <c r="M24" s="1073"/>
      <c r="N24" s="1073"/>
    </row>
    <row r="25" spans="6:14" x14ac:dyDescent="0.3">
      <c r="I25" s="69" t="s">
        <v>72</v>
      </c>
      <c r="J25" s="70">
        <f>J20</f>
        <v>0</v>
      </c>
      <c r="K25" s="360">
        <f>K20</f>
        <v>0</v>
      </c>
      <c r="L25" s="1073"/>
      <c r="M25" s="1073"/>
      <c r="N25" s="1073"/>
    </row>
    <row r="26" spans="6:14" x14ac:dyDescent="0.3">
      <c r="I26" s="72" t="s">
        <v>1</v>
      </c>
      <c r="J26" s="105">
        <f>J25</f>
        <v>0</v>
      </c>
      <c r="K26" s="361">
        <f>K25</f>
        <v>0</v>
      </c>
      <c r="L26" s="1073"/>
      <c r="M26" s="1073"/>
      <c r="N26" s="1073"/>
    </row>
    <row r="27" spans="6:14" x14ac:dyDescent="0.3">
      <c r="I27" s="72" t="s">
        <v>9</v>
      </c>
      <c r="J27" s="1423"/>
      <c r="K27" s="1424"/>
      <c r="L27" s="1073"/>
      <c r="M27" s="1073"/>
      <c r="N27" s="1073"/>
    </row>
    <row r="28" spans="6:14" x14ac:dyDescent="0.3">
      <c r="I28" s="440" t="s">
        <v>78</v>
      </c>
      <c r="J28" s="1423" t="s">
        <v>2555</v>
      </c>
      <c r="K28" s="1424"/>
      <c r="L28" s="1073"/>
      <c r="M28" s="1073"/>
      <c r="N28" s="1073"/>
    </row>
    <row r="29" spans="6:14" x14ac:dyDescent="0.3">
      <c r="I29" s="439" t="s">
        <v>8</v>
      </c>
      <c r="J29" s="1425"/>
      <c r="K29" s="1426"/>
      <c r="L29" s="1073"/>
      <c r="M29" s="1073"/>
      <c r="N29" s="1073"/>
    </row>
    <row r="30" spans="6:14" x14ac:dyDescent="0.3">
      <c r="I30" s="1073"/>
      <c r="J30" s="1073"/>
      <c r="K30" s="1073"/>
      <c r="L30" s="1073"/>
      <c r="M30" s="1073"/>
      <c r="N30" s="1073"/>
    </row>
  </sheetData>
  <mergeCells count="21">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 ref="A5:M5"/>
    <mergeCell ref="C1:J2"/>
    <mergeCell ref="K1:N1"/>
    <mergeCell ref="K2:N2"/>
    <mergeCell ref="A3:M3"/>
    <mergeCell ref="A4:M4"/>
  </mergeCells>
  <pageMargins left="0.7" right="0.7" top="0.75" bottom="0.75" header="0.3" footer="0.3"/>
  <drawing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1"/>
  <dimension ref="A1:G49"/>
  <sheetViews>
    <sheetView topLeftCell="A13" workbookViewId="0">
      <selection activeCell="H36" sqref="H36"/>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RESUMEN!G196</f>
        <v>Proyecto: Ampliación subestación Guacheta</v>
      </c>
      <c r="C5" s="1281"/>
      <c r="D5" s="1281"/>
      <c r="E5" s="1281"/>
      <c r="F5" s="1281"/>
      <c r="G5" s="1282"/>
    </row>
    <row r="6" spans="1:7" x14ac:dyDescent="0.25">
      <c r="A6" s="1177"/>
      <c r="B6" s="1177"/>
      <c r="C6" s="1177"/>
      <c r="D6" s="1177"/>
      <c r="E6" s="1177"/>
      <c r="F6" s="1177"/>
      <c r="G6" s="1177"/>
    </row>
    <row r="7" spans="1:7" x14ac:dyDescent="0.25">
      <c r="A7" s="271" t="s">
        <v>0</v>
      </c>
      <c r="B7" s="1264">
        <f>RESUMEN!B196</f>
        <v>0</v>
      </c>
      <c r="C7" s="1265"/>
      <c r="D7" s="1177"/>
      <c r="E7" s="1266" t="s">
        <v>627</v>
      </c>
      <c r="F7" s="1267"/>
      <c r="G7" s="280" t="str">
        <f>RESUMEN!E196</f>
        <v xml:space="preserve">18-061 </v>
      </c>
    </row>
    <row r="8" spans="1:7" x14ac:dyDescent="0.25">
      <c r="A8" s="271" t="s">
        <v>628</v>
      </c>
      <c r="B8" s="1264">
        <f>RESUMEN!C196</f>
        <v>0</v>
      </c>
      <c r="C8" s="1265"/>
      <c r="D8" s="1177"/>
      <c r="E8" s="1266" t="s">
        <v>629</v>
      </c>
      <c r="F8" s="1267"/>
      <c r="G8" s="280" t="str">
        <f>RESUMEN!U196</f>
        <v>Acta N° 1: Marzo</v>
      </c>
    </row>
    <row r="9" spans="1:7" x14ac:dyDescent="0.25">
      <c r="A9" s="271" t="s">
        <v>630</v>
      </c>
      <c r="B9" s="1283" t="s">
        <v>631</v>
      </c>
      <c r="C9" s="1265"/>
      <c r="D9" s="1177"/>
      <c r="E9" s="1266" t="s">
        <v>632</v>
      </c>
      <c r="F9" s="1267"/>
      <c r="G9" s="1178">
        <f>RESUMEN!H196</f>
        <v>80570187</v>
      </c>
    </row>
    <row r="10" spans="1:7" x14ac:dyDescent="0.25">
      <c r="A10" s="271" t="s">
        <v>633</v>
      </c>
      <c r="B10" s="1283" t="str">
        <f>RESUMEN!D196</f>
        <v>GUACHETA</v>
      </c>
      <c r="C10" s="1265"/>
      <c r="D10" s="1177"/>
      <c r="E10" s="1266" t="s">
        <v>634</v>
      </c>
      <c r="F10" s="1267"/>
      <c r="G10" s="1178">
        <f>RESUMEN!R196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Ampliación subestación Guacheta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RESUMEN!N196</f>
        <v>0</v>
      </c>
      <c r="F19" s="1248"/>
      <c r="G19" s="1177"/>
    </row>
    <row r="20" spans="1:7" ht="27" customHeight="1" x14ac:dyDescent="0.25">
      <c r="A20" s="1177"/>
      <c r="B20" s="1244" t="s">
        <v>1498</v>
      </c>
      <c r="C20" s="1245"/>
      <c r="D20" s="1246"/>
      <c r="E20" s="1247">
        <f>RESUMEN!P196</f>
        <v>0</v>
      </c>
      <c r="F20" s="1248"/>
      <c r="G20" s="1177"/>
    </row>
    <row r="21" spans="1:7" ht="27" customHeight="1" x14ac:dyDescent="0.25">
      <c r="A21" s="1177"/>
      <c r="B21" s="1244" t="s">
        <v>1499</v>
      </c>
      <c r="C21" s="1245"/>
      <c r="D21" s="1246"/>
      <c r="E21" s="1247">
        <f>RESUMEN!Q196</f>
        <v>0</v>
      </c>
      <c r="F21" s="1248"/>
      <c r="G21" s="1177"/>
    </row>
    <row r="22" spans="1:7" x14ac:dyDescent="0.25">
      <c r="A22" s="1177"/>
      <c r="B22" s="1254" t="s">
        <v>64</v>
      </c>
      <c r="C22" s="1254"/>
      <c r="D22" s="1254"/>
      <c r="E22" s="1255">
        <f>RESUMEN!R196</f>
        <v>0</v>
      </c>
      <c r="F22" s="1255"/>
      <c r="G22" s="1177"/>
    </row>
    <row r="23" spans="1:7" x14ac:dyDescent="0.25">
      <c r="A23" s="1177"/>
      <c r="B23" s="1256" t="s">
        <v>66</v>
      </c>
      <c r="C23" s="1256"/>
      <c r="D23" s="1256"/>
      <c r="E23" s="1257">
        <f>RESUMEN!S196</f>
        <v>0</v>
      </c>
      <c r="F23" s="1257"/>
      <c r="G23" s="1177"/>
    </row>
    <row r="24" spans="1:7" x14ac:dyDescent="0.25">
      <c r="A24" s="1177"/>
      <c r="B24" s="1258" t="s">
        <v>1</v>
      </c>
      <c r="C24" s="1258"/>
      <c r="D24" s="1258"/>
      <c r="E24" s="1259">
        <f>RESUMEN!T196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+'OT18-061 GUACHETA'!I60</f>
        <v>ACTA 1</v>
      </c>
      <c r="C28" s="1253">
        <f>+'OT18-061 GUACHETA'!J60</f>
        <v>0</v>
      </c>
      <c r="D28" s="1253"/>
      <c r="E28" s="267">
        <f>+'OT18-061 GUACHETA'!K60</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2"/>
  <dimension ref="A1:N67"/>
  <sheetViews>
    <sheetView topLeftCell="C49" workbookViewId="0">
      <selection activeCell="G20" sqref="G20"/>
    </sheetView>
  </sheetViews>
  <sheetFormatPr baseColWidth="10" defaultRowHeight="14.4" x14ac:dyDescent="0.3"/>
  <cols>
    <col min="2" max="2" width="21" customWidth="1"/>
    <col min="3" max="4" width="24.109375" customWidth="1"/>
    <col min="6" max="7" width="13.44140625" customWidth="1"/>
    <col min="8" max="8" width="33.6640625" customWidth="1"/>
    <col min="10" max="10" width="15" customWidth="1"/>
    <col min="13" max="13" width="13.109375" customWidth="1"/>
  </cols>
  <sheetData>
    <row r="1" spans="1:14" x14ac:dyDescent="0.3">
      <c r="A1" s="169"/>
      <c r="B1" s="188"/>
      <c r="C1" s="1307" t="s">
        <v>40</v>
      </c>
      <c r="D1" s="1308"/>
      <c r="E1" s="1308"/>
      <c r="F1" s="1308"/>
      <c r="G1" s="1308"/>
      <c r="H1" s="1308"/>
      <c r="I1" s="1308"/>
      <c r="J1" s="1308"/>
      <c r="K1" s="1532" t="s">
        <v>2558</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2557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2556</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2559</v>
      </c>
      <c r="B14" s="1510" t="s">
        <v>2355</v>
      </c>
      <c r="C14" s="1074" t="s">
        <v>59</v>
      </c>
      <c r="D14" s="1074" t="s">
        <v>2356</v>
      </c>
      <c r="E14" s="1143">
        <v>1</v>
      </c>
      <c r="F14" s="1187">
        <v>4428341</v>
      </c>
      <c r="G14" s="646">
        <f>ROUND((E14*F14),0)</f>
        <v>4428341</v>
      </c>
      <c r="H14" s="1514" t="s">
        <v>2560</v>
      </c>
      <c r="I14" s="799">
        <v>0</v>
      </c>
      <c r="J14" s="1132">
        <f>ROUND(I14*F14,0)</f>
        <v>0</v>
      </c>
      <c r="K14" s="1133">
        <f t="shared" ref="K14:K19" si="0">J14/G14</f>
        <v>0</v>
      </c>
      <c r="L14" s="1134">
        <f t="shared" ref="L14:M16" si="1">I14</f>
        <v>0</v>
      </c>
      <c r="M14" s="1124">
        <f t="shared" si="1"/>
        <v>0</v>
      </c>
      <c r="N14" s="1133">
        <f>M14/G14</f>
        <v>0</v>
      </c>
    </row>
    <row r="15" spans="1:14" ht="43.2" x14ac:dyDescent="0.3">
      <c r="A15" s="1510"/>
      <c r="B15" s="1510"/>
      <c r="C15" s="1074" t="s">
        <v>61</v>
      </c>
      <c r="D15" s="1074" t="s">
        <v>2358</v>
      </c>
      <c r="E15" s="1143">
        <v>1</v>
      </c>
      <c r="F15" s="1187">
        <v>5599472</v>
      </c>
      <c r="G15" s="646">
        <f>ROUND((E15*F15),0)</f>
        <v>5599472</v>
      </c>
      <c r="H15" s="1510"/>
      <c r="I15" s="799">
        <v>0</v>
      </c>
      <c r="J15" s="1132">
        <f t="shared" ref="J15" si="2">ROUND(I15*F15,0)</f>
        <v>0</v>
      </c>
      <c r="K15" s="1133">
        <f t="shared" si="0"/>
        <v>0</v>
      </c>
      <c r="L15" s="1134">
        <f t="shared" si="1"/>
        <v>0</v>
      </c>
      <c r="M15" s="1124">
        <f t="shared" si="1"/>
        <v>0</v>
      </c>
      <c r="N15" s="1133">
        <f>M15/G15</f>
        <v>0</v>
      </c>
    </row>
    <row r="16" spans="1:14" x14ac:dyDescent="0.3">
      <c r="A16" s="1510"/>
      <c r="B16" s="1510"/>
      <c r="C16" s="647"/>
      <c r="D16" s="647" t="s">
        <v>2359</v>
      </c>
      <c r="E16" s="1155"/>
      <c r="F16" s="1188"/>
      <c r="G16" s="649">
        <f>SUM(G14:G15)</f>
        <v>10027813</v>
      </c>
      <c r="H16" s="1510"/>
      <c r="I16" s="1108"/>
      <c r="J16" s="1146">
        <f>SUM(J14:J15)</f>
        <v>0</v>
      </c>
      <c r="K16" s="1136">
        <f t="shared" si="0"/>
        <v>0</v>
      </c>
      <c r="L16" s="1137"/>
      <c r="M16" s="1138">
        <f t="shared" si="1"/>
        <v>0</v>
      </c>
      <c r="N16" s="1136">
        <f t="shared" ref="N16" si="3">M16/G16</f>
        <v>0</v>
      </c>
    </row>
    <row r="17" spans="1:14" ht="43.2" x14ac:dyDescent="0.3">
      <c r="A17" s="1514" t="s">
        <v>2561</v>
      </c>
      <c r="B17" s="1510" t="s">
        <v>316</v>
      </c>
      <c r="C17" s="1074" t="s">
        <v>81</v>
      </c>
      <c r="D17" s="1074" t="s">
        <v>317</v>
      </c>
      <c r="E17" s="1143">
        <v>0.3</v>
      </c>
      <c r="F17" s="1187">
        <v>4830917</v>
      </c>
      <c r="G17" s="646">
        <f>ROUND((E17*F17),0)</f>
        <v>1449275</v>
      </c>
      <c r="H17" s="1514" t="s">
        <v>2562</v>
      </c>
      <c r="I17" s="799">
        <v>0</v>
      </c>
      <c r="J17" s="1132">
        <f>ROUND(I17*F17,0)</f>
        <v>0</v>
      </c>
      <c r="K17" s="1133">
        <f t="shared" si="0"/>
        <v>0</v>
      </c>
      <c r="L17" s="1134">
        <f t="shared" ref="L17:L18" si="4">I17</f>
        <v>0</v>
      </c>
      <c r="M17" s="1124">
        <f t="shared" ref="M17:M23" si="5">J17</f>
        <v>0</v>
      </c>
      <c r="N17" s="1133">
        <f>M17/G17</f>
        <v>0</v>
      </c>
    </row>
    <row r="18" spans="1:14" ht="43.2" x14ac:dyDescent="0.3">
      <c r="A18" s="1510"/>
      <c r="B18" s="1510"/>
      <c r="C18" s="1074" t="s">
        <v>83</v>
      </c>
      <c r="D18" s="1074" t="s">
        <v>318</v>
      </c>
      <c r="E18" s="1143">
        <v>1</v>
      </c>
      <c r="F18" s="1187">
        <v>4611330</v>
      </c>
      <c r="G18" s="646">
        <f>ROUND((E18*F18),0)</f>
        <v>4611330</v>
      </c>
      <c r="H18" s="1510"/>
      <c r="I18" s="799">
        <v>0</v>
      </c>
      <c r="J18" s="1132">
        <f t="shared" ref="J18" si="6">ROUND(I18*F18,0)</f>
        <v>0</v>
      </c>
      <c r="K18" s="1133">
        <f t="shared" si="0"/>
        <v>0</v>
      </c>
      <c r="L18" s="1134">
        <f t="shared" si="4"/>
        <v>0</v>
      </c>
      <c r="M18" s="1124">
        <f t="shared" si="5"/>
        <v>0</v>
      </c>
      <c r="N18" s="1133">
        <f>M18/G18</f>
        <v>0</v>
      </c>
    </row>
    <row r="19" spans="1:14" x14ac:dyDescent="0.3">
      <c r="A19" s="1510"/>
      <c r="B19" s="1510"/>
      <c r="C19" s="647"/>
      <c r="D19" s="647" t="s">
        <v>247</v>
      </c>
      <c r="E19" s="1155"/>
      <c r="F19" s="1188"/>
      <c r="G19" s="649">
        <f>SUM(G17:G18)</f>
        <v>6060605</v>
      </c>
      <c r="H19" s="1510"/>
      <c r="I19" s="1108"/>
      <c r="J19" s="1146">
        <f>SUM(J17:J18)</f>
        <v>0</v>
      </c>
      <c r="K19" s="1136">
        <f t="shared" si="0"/>
        <v>0</v>
      </c>
      <c r="L19" s="1137"/>
      <c r="M19" s="1138">
        <f t="shared" si="5"/>
        <v>0</v>
      </c>
      <c r="N19" s="1136">
        <f t="shared" ref="N19" si="7">M19/G19</f>
        <v>0</v>
      </c>
    </row>
    <row r="20" spans="1:14" ht="43.2" x14ac:dyDescent="0.3">
      <c r="A20" s="1562" t="s">
        <v>2563</v>
      </c>
      <c r="B20" s="1510" t="s">
        <v>210</v>
      </c>
      <c r="C20" s="1074" t="s">
        <v>81</v>
      </c>
      <c r="D20" s="1074" t="s">
        <v>207</v>
      </c>
      <c r="E20" s="1143">
        <v>0</v>
      </c>
      <c r="F20" s="1168">
        <v>841751</v>
      </c>
      <c r="G20" s="646">
        <f>ROUND((E20*F20),0)</f>
        <v>0</v>
      </c>
      <c r="H20" s="1514" t="s">
        <v>2564</v>
      </c>
      <c r="I20" s="799">
        <v>0</v>
      </c>
      <c r="J20" s="1132">
        <f>ROUND(I20*F20,0)</f>
        <v>0</v>
      </c>
      <c r="K20" s="1133">
        <v>0</v>
      </c>
      <c r="L20" s="1134">
        <f t="shared" ref="L20:L22" si="8">I20</f>
        <v>0</v>
      </c>
      <c r="M20" s="1124">
        <f t="shared" si="5"/>
        <v>0</v>
      </c>
      <c r="N20" s="1133">
        <v>0</v>
      </c>
    </row>
    <row r="21" spans="1:14" ht="43.2" x14ac:dyDescent="0.3">
      <c r="A21" s="1563"/>
      <c r="B21" s="1510"/>
      <c r="C21" s="1074" t="s">
        <v>83</v>
      </c>
      <c r="D21" s="1074" t="s">
        <v>208</v>
      </c>
      <c r="E21" s="1143">
        <v>1</v>
      </c>
      <c r="F21" s="1168">
        <v>2781438</v>
      </c>
      <c r="G21" s="646">
        <f>ROUND((E21*F21),0)</f>
        <v>2781438</v>
      </c>
      <c r="H21" s="1510"/>
      <c r="I21" s="799">
        <v>0</v>
      </c>
      <c r="J21" s="1132">
        <f t="shared" ref="J21:J22" si="9">ROUND(I21*F21,0)</f>
        <v>0</v>
      </c>
      <c r="K21" s="1133">
        <f t="shared" ref="K21:K22" si="10">J21/G21</f>
        <v>0</v>
      </c>
      <c r="L21" s="1134">
        <f t="shared" si="8"/>
        <v>0</v>
      </c>
      <c r="M21" s="1124">
        <f t="shared" si="5"/>
        <v>0</v>
      </c>
      <c r="N21" s="1133">
        <f t="shared" ref="N21:N22" si="11">M21/G21</f>
        <v>0</v>
      </c>
    </row>
    <row r="22" spans="1:14" ht="43.2" x14ac:dyDescent="0.3">
      <c r="A22" s="1563"/>
      <c r="B22" s="1510"/>
      <c r="C22" s="1074" t="s">
        <v>61</v>
      </c>
      <c r="D22" s="1074" t="s">
        <v>209</v>
      </c>
      <c r="E22" s="1143">
        <v>1</v>
      </c>
      <c r="F22" s="1168">
        <v>1866491</v>
      </c>
      <c r="G22" s="646">
        <f>ROUND((E22*F22),0)</f>
        <v>1866491</v>
      </c>
      <c r="H22" s="1510"/>
      <c r="I22" s="799">
        <v>0</v>
      </c>
      <c r="J22" s="1132">
        <f t="shared" si="9"/>
        <v>0</v>
      </c>
      <c r="K22" s="1133">
        <f t="shared" si="10"/>
        <v>0</v>
      </c>
      <c r="L22" s="1134">
        <f t="shared" si="8"/>
        <v>0</v>
      </c>
      <c r="M22" s="1124">
        <f t="shared" si="5"/>
        <v>0</v>
      </c>
      <c r="N22" s="1133">
        <f t="shared" si="11"/>
        <v>0</v>
      </c>
    </row>
    <row r="23" spans="1:14" x14ac:dyDescent="0.3">
      <c r="A23" s="1563"/>
      <c r="B23" s="1510"/>
      <c r="C23" s="647"/>
      <c r="D23" s="647" t="s">
        <v>136</v>
      </c>
      <c r="E23" s="1155"/>
      <c r="F23" s="1188"/>
      <c r="G23" s="649">
        <f>SUM(G20:G22)</f>
        <v>4647929</v>
      </c>
      <c r="H23" s="1510"/>
      <c r="I23" s="1108"/>
      <c r="J23" s="1146">
        <f>SUM(J20:J22)</f>
        <v>0</v>
      </c>
      <c r="K23" s="1136">
        <f t="shared" ref="K23" si="12">J23/G23</f>
        <v>0</v>
      </c>
      <c r="L23" s="1137"/>
      <c r="M23" s="1138">
        <f t="shared" si="5"/>
        <v>0</v>
      </c>
      <c r="N23" s="1136">
        <f t="shared" ref="N23" si="13">M23/G23</f>
        <v>0</v>
      </c>
    </row>
    <row r="24" spans="1:14" ht="43.2" x14ac:dyDescent="0.3">
      <c r="A24" s="1510" t="s">
        <v>2561</v>
      </c>
      <c r="B24" s="1510" t="s">
        <v>170</v>
      </c>
      <c r="C24" s="1074" t="s">
        <v>83</v>
      </c>
      <c r="D24" s="1074" t="s">
        <v>123</v>
      </c>
      <c r="E24" s="1143">
        <v>1</v>
      </c>
      <c r="F24" s="646">
        <v>1097936</v>
      </c>
      <c r="G24" s="646">
        <f>ROUND((E24*F24),0)</f>
        <v>1097936</v>
      </c>
      <c r="H24" s="1510" t="s">
        <v>2565</v>
      </c>
      <c r="I24" s="799">
        <v>0</v>
      </c>
      <c r="J24" s="1132">
        <f>ROUND(I24*F24,0)</f>
        <v>0</v>
      </c>
      <c r="K24" s="1133">
        <f t="shared" ref="K24:K32" si="14">J24/G24</f>
        <v>0</v>
      </c>
      <c r="L24" s="1134">
        <f t="shared" ref="L24:L25" si="15">I24</f>
        <v>0</v>
      </c>
      <c r="M24" s="1124">
        <f t="shared" ref="M24:M36" si="16">J24</f>
        <v>0</v>
      </c>
      <c r="N24" s="1133">
        <f>M24/G24</f>
        <v>0</v>
      </c>
    </row>
    <row r="25" spans="1:14" ht="43.2" x14ac:dyDescent="0.3">
      <c r="A25" s="1510"/>
      <c r="B25" s="1510"/>
      <c r="C25" s="1074" t="s">
        <v>61</v>
      </c>
      <c r="D25" s="1074" t="s">
        <v>125</v>
      </c>
      <c r="E25" s="1143">
        <v>1</v>
      </c>
      <c r="F25" s="646">
        <v>1061338</v>
      </c>
      <c r="G25" s="646">
        <f>ROUND((E25*F25),0)</f>
        <v>1061338</v>
      </c>
      <c r="H25" s="1510"/>
      <c r="I25" s="799">
        <v>0</v>
      </c>
      <c r="J25" s="1132">
        <f t="shared" ref="J25" si="17">ROUND(I25*F25,0)</f>
        <v>0</v>
      </c>
      <c r="K25" s="1133">
        <f t="shared" si="14"/>
        <v>0</v>
      </c>
      <c r="L25" s="1134">
        <f t="shared" si="15"/>
        <v>0</v>
      </c>
      <c r="M25" s="1124">
        <f t="shared" si="16"/>
        <v>0</v>
      </c>
      <c r="N25" s="1133">
        <f>M25/G25</f>
        <v>0</v>
      </c>
    </row>
    <row r="26" spans="1:14" x14ac:dyDescent="0.3">
      <c r="A26" s="1510"/>
      <c r="B26" s="1510"/>
      <c r="C26" s="647"/>
      <c r="D26" s="647" t="s">
        <v>126</v>
      </c>
      <c r="E26" s="1155"/>
      <c r="F26" s="648"/>
      <c r="G26" s="649">
        <f>SUM(G24:G25)</f>
        <v>2159274</v>
      </c>
      <c r="H26" s="1510"/>
      <c r="I26" s="1108"/>
      <c r="J26" s="1146">
        <f>SUM(J24:J25)</f>
        <v>0</v>
      </c>
      <c r="K26" s="1136">
        <f t="shared" si="14"/>
        <v>0</v>
      </c>
      <c r="L26" s="1137"/>
      <c r="M26" s="1138">
        <f t="shared" si="16"/>
        <v>0</v>
      </c>
      <c r="N26" s="1136">
        <f t="shared" ref="N26" si="18">M26/G26</f>
        <v>0</v>
      </c>
    </row>
    <row r="27" spans="1:14" ht="43.2" x14ac:dyDescent="0.3">
      <c r="A27" s="1514" t="s">
        <v>2566</v>
      </c>
      <c r="B27" s="1510" t="s">
        <v>2355</v>
      </c>
      <c r="C27" s="1074" t="s">
        <v>59</v>
      </c>
      <c r="D27" s="1074" t="s">
        <v>2356</v>
      </c>
      <c r="E27" s="1143">
        <v>1</v>
      </c>
      <c r="F27" s="1187">
        <v>4428341</v>
      </c>
      <c r="G27" s="646">
        <f>ROUND((E27*F27),0)</f>
        <v>4428341</v>
      </c>
      <c r="H27" s="1514" t="s">
        <v>2567</v>
      </c>
      <c r="I27" s="799">
        <v>0</v>
      </c>
      <c r="J27" s="1132">
        <f>ROUND(I27*F27,0)</f>
        <v>0</v>
      </c>
      <c r="K27" s="1133">
        <f t="shared" si="14"/>
        <v>0</v>
      </c>
      <c r="L27" s="1134">
        <f t="shared" ref="L27:L28" si="19">I27</f>
        <v>0</v>
      </c>
      <c r="M27" s="1124">
        <f t="shared" si="16"/>
        <v>0</v>
      </c>
      <c r="N27" s="1133">
        <f>M27/G27</f>
        <v>0</v>
      </c>
    </row>
    <row r="28" spans="1:14" ht="43.2" x14ac:dyDescent="0.3">
      <c r="A28" s="1510"/>
      <c r="B28" s="1510"/>
      <c r="C28" s="1074" t="s">
        <v>61</v>
      </c>
      <c r="D28" s="1074" t="s">
        <v>2358</v>
      </c>
      <c r="E28" s="1143">
        <v>1</v>
      </c>
      <c r="F28" s="1187">
        <v>5599472</v>
      </c>
      <c r="G28" s="646">
        <f>ROUND((E28*F28),0)</f>
        <v>5599472</v>
      </c>
      <c r="H28" s="1510"/>
      <c r="I28" s="799">
        <v>0</v>
      </c>
      <c r="J28" s="1132">
        <f t="shared" ref="J28" si="20">ROUND(I28*F28,0)</f>
        <v>0</v>
      </c>
      <c r="K28" s="1133">
        <f t="shared" si="14"/>
        <v>0</v>
      </c>
      <c r="L28" s="1134">
        <f t="shared" si="19"/>
        <v>0</v>
      </c>
      <c r="M28" s="1124">
        <f t="shared" si="16"/>
        <v>0</v>
      </c>
      <c r="N28" s="1133">
        <f>M28/G28</f>
        <v>0</v>
      </c>
    </row>
    <row r="29" spans="1:14" x14ac:dyDescent="0.3">
      <c r="A29" s="1510"/>
      <c r="B29" s="1510"/>
      <c r="C29" s="647"/>
      <c r="D29" s="647" t="s">
        <v>2359</v>
      </c>
      <c r="E29" s="1155"/>
      <c r="F29" s="1188"/>
      <c r="G29" s="649">
        <f>SUM(G27:G28)</f>
        <v>10027813</v>
      </c>
      <c r="H29" s="1510"/>
      <c r="I29" s="1108"/>
      <c r="J29" s="1146">
        <f>SUM(J27:J28)</f>
        <v>0</v>
      </c>
      <c r="K29" s="1136">
        <f t="shared" si="14"/>
        <v>0</v>
      </c>
      <c r="L29" s="1137"/>
      <c r="M29" s="1138">
        <f t="shared" si="16"/>
        <v>0</v>
      </c>
      <c r="N29" s="1136">
        <f t="shared" ref="N29" si="21">M29/G29</f>
        <v>0</v>
      </c>
    </row>
    <row r="30" spans="1:14" ht="43.2" x14ac:dyDescent="0.3">
      <c r="A30" s="1510" t="s">
        <v>2568</v>
      </c>
      <c r="B30" s="1510" t="s">
        <v>2355</v>
      </c>
      <c r="C30" s="1074" t="s">
        <v>59</v>
      </c>
      <c r="D30" s="1074" t="s">
        <v>2356</v>
      </c>
      <c r="E30" s="1143">
        <v>1</v>
      </c>
      <c r="F30" s="1187">
        <v>4428341</v>
      </c>
      <c r="G30" s="646">
        <f>ROUND((E30*F30),0)</f>
        <v>4428341</v>
      </c>
      <c r="H30" s="1514" t="s">
        <v>2569</v>
      </c>
      <c r="I30" s="799">
        <v>0</v>
      </c>
      <c r="J30" s="1132">
        <f>ROUND(I30*F30,0)</f>
        <v>0</v>
      </c>
      <c r="K30" s="1133">
        <f t="shared" si="14"/>
        <v>0</v>
      </c>
      <c r="L30" s="1134">
        <f t="shared" ref="L30:L31" si="22">I30</f>
        <v>0</v>
      </c>
      <c r="M30" s="1124">
        <f t="shared" si="16"/>
        <v>0</v>
      </c>
      <c r="N30" s="1133">
        <f>M30/G30</f>
        <v>0</v>
      </c>
    </row>
    <row r="31" spans="1:14" ht="43.2" x14ac:dyDescent="0.3">
      <c r="A31" s="1510"/>
      <c r="B31" s="1510"/>
      <c r="C31" s="1074" t="s">
        <v>61</v>
      </c>
      <c r="D31" s="1074" t="s">
        <v>2358</v>
      </c>
      <c r="E31" s="1143">
        <v>1</v>
      </c>
      <c r="F31" s="1187">
        <v>5599472</v>
      </c>
      <c r="G31" s="646">
        <f>ROUND((E31*F31),0)</f>
        <v>5599472</v>
      </c>
      <c r="H31" s="1510"/>
      <c r="I31" s="799">
        <v>0</v>
      </c>
      <c r="J31" s="1132">
        <f t="shared" ref="J31" si="23">ROUND(I31*F31,0)</f>
        <v>0</v>
      </c>
      <c r="K31" s="1133">
        <f t="shared" si="14"/>
        <v>0</v>
      </c>
      <c r="L31" s="1134">
        <f t="shared" si="22"/>
        <v>0</v>
      </c>
      <c r="M31" s="1124">
        <f t="shared" si="16"/>
        <v>0</v>
      </c>
      <c r="N31" s="1133">
        <f>M31/G31</f>
        <v>0</v>
      </c>
    </row>
    <row r="32" spans="1:14" x14ac:dyDescent="0.3">
      <c r="A32" s="1510"/>
      <c r="B32" s="1510"/>
      <c r="C32" s="647"/>
      <c r="D32" s="647" t="s">
        <v>2359</v>
      </c>
      <c r="E32" s="1155"/>
      <c r="F32" s="1188"/>
      <c r="G32" s="649">
        <f>SUM(G30:G31)</f>
        <v>10027813</v>
      </c>
      <c r="H32" s="1510"/>
      <c r="I32" s="1108"/>
      <c r="J32" s="1146">
        <f>SUM(J30:J31)</f>
        <v>0</v>
      </c>
      <c r="K32" s="1136">
        <f t="shared" si="14"/>
        <v>0</v>
      </c>
      <c r="L32" s="1137"/>
      <c r="M32" s="1138">
        <f t="shared" si="16"/>
        <v>0</v>
      </c>
      <c r="N32" s="1136">
        <f t="shared" ref="N32" si="24">M32/G32</f>
        <v>0</v>
      </c>
    </row>
    <row r="33" spans="1:14" ht="43.2" x14ac:dyDescent="0.3">
      <c r="A33" s="1514" t="s">
        <v>1577</v>
      </c>
      <c r="B33" s="1510" t="s">
        <v>324</v>
      </c>
      <c r="C33" s="1074" t="s">
        <v>81</v>
      </c>
      <c r="D33" s="1074" t="s">
        <v>325</v>
      </c>
      <c r="E33" s="1143">
        <v>0</v>
      </c>
      <c r="F33" s="1187">
        <v>7099984</v>
      </c>
      <c r="G33" s="646">
        <f>ROUND((E33*F33),0)</f>
        <v>0</v>
      </c>
      <c r="H33" s="1514" t="s">
        <v>2570</v>
      </c>
      <c r="I33" s="799">
        <v>0</v>
      </c>
      <c r="J33" s="1132">
        <f>ROUND(I33*F33,0)</f>
        <v>0</v>
      </c>
      <c r="K33" s="1133">
        <v>0</v>
      </c>
      <c r="L33" s="1134">
        <f t="shared" ref="L33:L35" si="25">I33</f>
        <v>0</v>
      </c>
      <c r="M33" s="1124">
        <f t="shared" si="16"/>
        <v>0</v>
      </c>
      <c r="N33" s="1133">
        <v>0</v>
      </c>
    </row>
    <row r="34" spans="1:14" ht="43.2" x14ac:dyDescent="0.3">
      <c r="A34" s="1510"/>
      <c r="B34" s="1510"/>
      <c r="C34" s="1074" t="s">
        <v>83</v>
      </c>
      <c r="D34" s="1074" t="s">
        <v>326</v>
      </c>
      <c r="E34" s="1143">
        <v>1</v>
      </c>
      <c r="F34" s="1187">
        <v>4245352</v>
      </c>
      <c r="G34" s="646">
        <f>ROUND((E34*F34),0)</f>
        <v>4245352</v>
      </c>
      <c r="H34" s="1510"/>
      <c r="I34" s="799">
        <v>0</v>
      </c>
      <c r="J34" s="1132">
        <f t="shared" ref="J34:J35" si="26">ROUND(I34*F34,0)</f>
        <v>0</v>
      </c>
      <c r="K34" s="1133">
        <f t="shared" ref="K34:K36" si="27">J34/G34</f>
        <v>0</v>
      </c>
      <c r="L34" s="1134">
        <f t="shared" si="25"/>
        <v>0</v>
      </c>
      <c r="M34" s="1124">
        <f t="shared" si="16"/>
        <v>0</v>
      </c>
      <c r="N34" s="1133">
        <f t="shared" ref="N34:N36" si="28">M34/G34</f>
        <v>0</v>
      </c>
    </row>
    <row r="35" spans="1:14" ht="43.2" x14ac:dyDescent="0.3">
      <c r="A35" s="1510"/>
      <c r="B35" s="1510"/>
      <c r="C35" s="1074" t="s">
        <v>61</v>
      </c>
      <c r="D35" s="1074" t="s">
        <v>327</v>
      </c>
      <c r="E35" s="1143">
        <v>1</v>
      </c>
      <c r="F35" s="1187">
        <v>2708241</v>
      </c>
      <c r="G35" s="646">
        <f>ROUND((E35*F35),0)</f>
        <v>2708241</v>
      </c>
      <c r="H35" s="1510"/>
      <c r="I35" s="799">
        <v>0</v>
      </c>
      <c r="J35" s="1132">
        <f t="shared" si="26"/>
        <v>0</v>
      </c>
      <c r="K35" s="1133">
        <f t="shared" si="27"/>
        <v>0</v>
      </c>
      <c r="L35" s="1134">
        <f t="shared" si="25"/>
        <v>0</v>
      </c>
      <c r="M35" s="1124">
        <f t="shared" si="16"/>
        <v>0</v>
      </c>
      <c r="N35" s="1133">
        <f t="shared" si="28"/>
        <v>0</v>
      </c>
    </row>
    <row r="36" spans="1:14" x14ac:dyDescent="0.3">
      <c r="A36" s="1510"/>
      <c r="B36" s="1510"/>
      <c r="C36" s="647"/>
      <c r="D36" s="647" t="s">
        <v>328</v>
      </c>
      <c r="E36" s="1155"/>
      <c r="F36" s="1188"/>
      <c r="G36" s="649">
        <f>SUM(G33:G35)</f>
        <v>6953593</v>
      </c>
      <c r="H36" s="1510"/>
      <c r="I36" s="1108"/>
      <c r="J36" s="1146">
        <f>SUM(J33:J35)</f>
        <v>0</v>
      </c>
      <c r="K36" s="1136">
        <f t="shared" si="27"/>
        <v>0</v>
      </c>
      <c r="L36" s="1137"/>
      <c r="M36" s="1138">
        <f t="shared" si="16"/>
        <v>0</v>
      </c>
      <c r="N36" s="1136">
        <f t="shared" si="28"/>
        <v>0</v>
      </c>
    </row>
    <row r="37" spans="1:14" ht="43.2" x14ac:dyDescent="0.3">
      <c r="A37" s="1510" t="s">
        <v>1577</v>
      </c>
      <c r="B37" s="1510" t="s">
        <v>320</v>
      </c>
      <c r="C37" s="1074" t="s">
        <v>59</v>
      </c>
      <c r="D37" s="1074" t="s">
        <v>321</v>
      </c>
      <c r="E37" s="1143">
        <v>1</v>
      </c>
      <c r="F37" s="1187">
        <v>6331430</v>
      </c>
      <c r="G37" s="646">
        <f>ROUND((E37*F37),0)</f>
        <v>6331430</v>
      </c>
      <c r="H37" s="1514" t="s">
        <v>2571</v>
      </c>
      <c r="I37" s="799">
        <v>0</v>
      </c>
      <c r="J37" s="1132">
        <f>ROUND(I37*F37,0)</f>
        <v>0</v>
      </c>
      <c r="K37" s="1133">
        <f t="shared" ref="K37:K45" si="29">J37/G37</f>
        <v>0</v>
      </c>
      <c r="L37" s="1134">
        <f t="shared" ref="L37:L38" si="30">I37</f>
        <v>0</v>
      </c>
      <c r="M37" s="1124">
        <f t="shared" ref="M37:M48" si="31">J37</f>
        <v>0</v>
      </c>
      <c r="N37" s="1133">
        <f>M37/G37</f>
        <v>0</v>
      </c>
    </row>
    <row r="38" spans="1:14" ht="43.2" x14ac:dyDescent="0.3">
      <c r="A38" s="1510"/>
      <c r="B38" s="1510"/>
      <c r="C38" s="1074" t="s">
        <v>61</v>
      </c>
      <c r="D38" s="1074" t="s">
        <v>322</v>
      </c>
      <c r="E38" s="1143">
        <v>1</v>
      </c>
      <c r="F38" s="1187">
        <v>6990192</v>
      </c>
      <c r="G38" s="646">
        <f>ROUND((E38*F38),0)</f>
        <v>6990192</v>
      </c>
      <c r="H38" s="1510"/>
      <c r="I38" s="799">
        <v>0</v>
      </c>
      <c r="J38" s="1132">
        <f t="shared" ref="J38" si="32">ROUND(I38*F38,0)</f>
        <v>0</v>
      </c>
      <c r="K38" s="1133">
        <f t="shared" si="29"/>
        <v>0</v>
      </c>
      <c r="L38" s="1134">
        <f t="shared" si="30"/>
        <v>0</v>
      </c>
      <c r="M38" s="1124">
        <f t="shared" si="31"/>
        <v>0</v>
      </c>
      <c r="N38" s="1133">
        <f>M38/G38</f>
        <v>0</v>
      </c>
    </row>
    <row r="39" spans="1:14" x14ac:dyDescent="0.3">
      <c r="A39" s="1510"/>
      <c r="B39" s="1510"/>
      <c r="C39" s="647"/>
      <c r="D39" s="647" t="s">
        <v>143</v>
      </c>
      <c r="E39" s="1155"/>
      <c r="F39" s="1188"/>
      <c r="G39" s="649">
        <f>SUM(G37:G38)</f>
        <v>13321622</v>
      </c>
      <c r="H39" s="1510"/>
      <c r="I39" s="1108"/>
      <c r="J39" s="1146">
        <f>SUM(J37:J38)</f>
        <v>0</v>
      </c>
      <c r="K39" s="1136">
        <f t="shared" si="29"/>
        <v>0</v>
      </c>
      <c r="L39" s="1137"/>
      <c r="M39" s="1138">
        <f t="shared" si="31"/>
        <v>0</v>
      </c>
      <c r="N39" s="1136">
        <f t="shared" ref="N39" si="33">M39/G39</f>
        <v>0</v>
      </c>
    </row>
    <row r="40" spans="1:14" ht="43.2" x14ac:dyDescent="0.3">
      <c r="A40" s="1510" t="s">
        <v>1577</v>
      </c>
      <c r="B40" s="1510" t="s">
        <v>2355</v>
      </c>
      <c r="C40" s="1074" t="s">
        <v>59</v>
      </c>
      <c r="D40" s="1074" t="s">
        <v>2356</v>
      </c>
      <c r="E40" s="1143">
        <v>1</v>
      </c>
      <c r="F40" s="1187">
        <v>4428341</v>
      </c>
      <c r="G40" s="646">
        <f>ROUND((E40*F40),0)</f>
        <v>4428341</v>
      </c>
      <c r="H40" s="1514" t="s">
        <v>2572</v>
      </c>
      <c r="I40" s="799">
        <v>0</v>
      </c>
      <c r="J40" s="1132">
        <f>ROUND(I40*F40,0)</f>
        <v>0</v>
      </c>
      <c r="K40" s="1133">
        <f t="shared" si="29"/>
        <v>0</v>
      </c>
      <c r="L40" s="1134">
        <f t="shared" ref="L40:L41" si="34">I40</f>
        <v>0</v>
      </c>
      <c r="M40" s="1124">
        <f t="shared" si="31"/>
        <v>0</v>
      </c>
      <c r="N40" s="1133">
        <f>M40/G40</f>
        <v>0</v>
      </c>
    </row>
    <row r="41" spans="1:14" ht="43.2" x14ac:dyDescent="0.3">
      <c r="A41" s="1510"/>
      <c r="B41" s="1510"/>
      <c r="C41" s="1074" t="s">
        <v>61</v>
      </c>
      <c r="D41" s="1074" t="s">
        <v>2358</v>
      </c>
      <c r="E41" s="1143">
        <v>1</v>
      </c>
      <c r="F41" s="1187">
        <v>5599472</v>
      </c>
      <c r="G41" s="646">
        <f>ROUND((E41*F41),0)</f>
        <v>5599472</v>
      </c>
      <c r="H41" s="1510"/>
      <c r="I41" s="799">
        <v>0</v>
      </c>
      <c r="J41" s="1132">
        <f t="shared" ref="J41" si="35">ROUND(I41*F41,0)</f>
        <v>0</v>
      </c>
      <c r="K41" s="1133">
        <f t="shared" si="29"/>
        <v>0</v>
      </c>
      <c r="L41" s="1134">
        <f t="shared" si="34"/>
        <v>0</v>
      </c>
      <c r="M41" s="1124">
        <f t="shared" si="31"/>
        <v>0</v>
      </c>
      <c r="N41" s="1133">
        <f>M41/G41</f>
        <v>0</v>
      </c>
    </row>
    <row r="42" spans="1:14" x14ac:dyDescent="0.3">
      <c r="A42" s="1510"/>
      <c r="B42" s="1510"/>
      <c r="C42" s="647"/>
      <c r="D42" s="647" t="s">
        <v>2359</v>
      </c>
      <c r="E42" s="1155"/>
      <c r="F42" s="1188"/>
      <c r="G42" s="649">
        <f>SUM(G40:G41)</f>
        <v>10027813</v>
      </c>
      <c r="H42" s="1510"/>
      <c r="I42" s="1108"/>
      <c r="J42" s="1146">
        <f>SUM(J40:J41)</f>
        <v>0</v>
      </c>
      <c r="K42" s="1136">
        <f t="shared" si="29"/>
        <v>0</v>
      </c>
      <c r="L42" s="1137"/>
      <c r="M42" s="1138">
        <f t="shared" si="31"/>
        <v>0</v>
      </c>
      <c r="N42" s="1136">
        <f t="shared" ref="N42" si="36">M42/G42</f>
        <v>0</v>
      </c>
    </row>
    <row r="43" spans="1:14" ht="43.2" x14ac:dyDescent="0.3">
      <c r="A43" s="1510" t="s">
        <v>1577</v>
      </c>
      <c r="B43" s="1510" t="s">
        <v>170</v>
      </c>
      <c r="C43" s="1074" t="s">
        <v>83</v>
      </c>
      <c r="D43" s="1074" t="s">
        <v>123</v>
      </c>
      <c r="E43" s="1143">
        <v>1</v>
      </c>
      <c r="F43" s="646">
        <v>1097936</v>
      </c>
      <c r="G43" s="646">
        <f>ROUND((E43*F43),0)</f>
        <v>1097936</v>
      </c>
      <c r="H43" s="1510" t="s">
        <v>2573</v>
      </c>
      <c r="I43" s="799">
        <v>0</v>
      </c>
      <c r="J43" s="1132">
        <f>ROUND(I43*F43,0)</f>
        <v>0</v>
      </c>
      <c r="K43" s="1133">
        <f t="shared" si="29"/>
        <v>0</v>
      </c>
      <c r="L43" s="1134">
        <f t="shared" ref="L43:L44" si="37">I43</f>
        <v>0</v>
      </c>
      <c r="M43" s="1124">
        <f t="shared" si="31"/>
        <v>0</v>
      </c>
      <c r="N43" s="1133">
        <f>M43/G43</f>
        <v>0</v>
      </c>
    </row>
    <row r="44" spans="1:14" ht="43.2" x14ac:dyDescent="0.3">
      <c r="A44" s="1510"/>
      <c r="B44" s="1510"/>
      <c r="C44" s="1074" t="s">
        <v>61</v>
      </c>
      <c r="D44" s="1074" t="s">
        <v>125</v>
      </c>
      <c r="E44" s="1143">
        <v>1</v>
      </c>
      <c r="F44" s="646">
        <v>1061338</v>
      </c>
      <c r="G44" s="646">
        <f>ROUND((E44*F44),0)</f>
        <v>1061338</v>
      </c>
      <c r="H44" s="1510"/>
      <c r="I44" s="799">
        <v>0</v>
      </c>
      <c r="J44" s="1132">
        <f t="shared" ref="J44" si="38">ROUND(I44*F44,0)</f>
        <v>0</v>
      </c>
      <c r="K44" s="1133">
        <f t="shared" si="29"/>
        <v>0</v>
      </c>
      <c r="L44" s="1134">
        <f t="shared" si="37"/>
        <v>0</v>
      </c>
      <c r="M44" s="1124">
        <f t="shared" si="31"/>
        <v>0</v>
      </c>
      <c r="N44" s="1133">
        <f>M44/G44</f>
        <v>0</v>
      </c>
    </row>
    <row r="45" spans="1:14" x14ac:dyDescent="0.3">
      <c r="A45" s="1510"/>
      <c r="B45" s="1510"/>
      <c r="C45" s="647"/>
      <c r="D45" s="647" t="s">
        <v>126</v>
      </c>
      <c r="E45" s="1155"/>
      <c r="F45" s="648"/>
      <c r="G45" s="649">
        <f>SUM(G43:G44)</f>
        <v>2159274</v>
      </c>
      <c r="H45" s="1510"/>
      <c r="I45" s="1108"/>
      <c r="J45" s="1146">
        <f>SUM(J43:J44)</f>
        <v>0</v>
      </c>
      <c r="K45" s="1136">
        <f t="shared" si="29"/>
        <v>0</v>
      </c>
      <c r="L45" s="1137"/>
      <c r="M45" s="1138">
        <f t="shared" si="31"/>
        <v>0</v>
      </c>
      <c r="N45" s="1136">
        <f t="shared" ref="N45" si="39">M45/G45</f>
        <v>0</v>
      </c>
    </row>
    <row r="46" spans="1:14" ht="43.2" x14ac:dyDescent="0.3">
      <c r="A46" s="1510" t="s">
        <v>1622</v>
      </c>
      <c r="B46" s="1510" t="s">
        <v>243</v>
      </c>
      <c r="C46" s="1074" t="s">
        <v>59</v>
      </c>
      <c r="D46" s="1074" t="s">
        <v>141</v>
      </c>
      <c r="E46" s="1143">
        <v>0</v>
      </c>
      <c r="F46" s="1187">
        <v>988142</v>
      </c>
      <c r="G46" s="646">
        <f>ROUND((E46*F46),0)</f>
        <v>0</v>
      </c>
      <c r="H46" s="1514" t="s">
        <v>2574</v>
      </c>
      <c r="I46" s="799">
        <v>0</v>
      </c>
      <c r="J46" s="1132">
        <f>ROUND(I46*F46,0)</f>
        <v>0</v>
      </c>
      <c r="K46" s="1133">
        <v>0</v>
      </c>
      <c r="L46" s="1134">
        <f t="shared" ref="L46:L47" si="40">I46</f>
        <v>0</v>
      </c>
      <c r="M46" s="1124">
        <f t="shared" si="31"/>
        <v>0</v>
      </c>
      <c r="N46" s="1133">
        <v>0</v>
      </c>
    </row>
    <row r="47" spans="1:14" ht="43.2" x14ac:dyDescent="0.3">
      <c r="A47" s="1510"/>
      <c r="B47" s="1510"/>
      <c r="C47" s="1074" t="s">
        <v>61</v>
      </c>
      <c r="D47" s="1074" t="s">
        <v>142</v>
      </c>
      <c r="E47" s="1143">
        <v>0.3</v>
      </c>
      <c r="F47" s="1187">
        <v>3037621</v>
      </c>
      <c r="G47" s="646">
        <f>ROUND((E47*F47),0)</f>
        <v>911286</v>
      </c>
      <c r="H47" s="1510"/>
      <c r="I47" s="799">
        <v>0</v>
      </c>
      <c r="J47" s="1132">
        <f t="shared" ref="J47" si="41">ROUND(I47*F47,0)</f>
        <v>0</v>
      </c>
      <c r="K47" s="1133">
        <f>J47/G47</f>
        <v>0</v>
      </c>
      <c r="L47" s="1134">
        <f t="shared" si="40"/>
        <v>0</v>
      </c>
      <c r="M47" s="1124">
        <f t="shared" si="31"/>
        <v>0</v>
      </c>
      <c r="N47" s="1133">
        <f>M47/G47</f>
        <v>0</v>
      </c>
    </row>
    <row r="48" spans="1:14" x14ac:dyDescent="0.3">
      <c r="A48" s="1510"/>
      <c r="B48" s="1510"/>
      <c r="C48" s="647"/>
      <c r="D48" s="647" t="s">
        <v>143</v>
      </c>
      <c r="E48" s="1155"/>
      <c r="F48" s="1188"/>
      <c r="G48" s="649">
        <f>SUM(G46:G47)</f>
        <v>911286</v>
      </c>
      <c r="H48" s="1510"/>
      <c r="I48" s="1108"/>
      <c r="J48" s="1146">
        <f>SUM(J46:J47)</f>
        <v>0</v>
      </c>
      <c r="K48" s="1136">
        <f>J48/G48</f>
        <v>0</v>
      </c>
      <c r="L48" s="1137"/>
      <c r="M48" s="1138">
        <f t="shared" si="31"/>
        <v>0</v>
      </c>
      <c r="N48" s="1136">
        <f t="shared" ref="N48" si="42">M48/G48</f>
        <v>0</v>
      </c>
    </row>
    <row r="49" spans="1:14" ht="57.6" x14ac:dyDescent="0.3">
      <c r="A49" s="1514" t="s">
        <v>1186</v>
      </c>
      <c r="B49" s="1514" t="s">
        <v>893</v>
      </c>
      <c r="C49" s="1074" t="s">
        <v>148</v>
      </c>
      <c r="D49" s="1074" t="s">
        <v>894</v>
      </c>
      <c r="E49" s="1143">
        <v>1</v>
      </c>
      <c r="F49" s="1168">
        <v>4245352</v>
      </c>
      <c r="G49" s="646">
        <f>ROUND((E49*F49),0)</f>
        <v>4245352</v>
      </c>
      <c r="H49" s="1514" t="s">
        <v>2575</v>
      </c>
      <c r="I49" s="799">
        <v>0</v>
      </c>
      <c r="J49" s="1132">
        <f t="shared" ref="J49" si="43">ROUND(I49*F49,0)</f>
        <v>0</v>
      </c>
      <c r="K49" s="1133">
        <f>J49/G49</f>
        <v>0</v>
      </c>
      <c r="L49" s="1134">
        <f t="shared" ref="L49" si="44">I49</f>
        <v>0</v>
      </c>
      <c r="M49" s="1124">
        <f t="shared" ref="M49:M50" si="45">J49</f>
        <v>0</v>
      </c>
      <c r="N49" s="1133">
        <f>M49/G49</f>
        <v>0</v>
      </c>
    </row>
    <row r="50" spans="1:14" x14ac:dyDescent="0.3">
      <c r="A50" s="1510"/>
      <c r="B50" s="1510"/>
      <c r="C50" s="647"/>
      <c r="D50" s="647" t="s">
        <v>895</v>
      </c>
      <c r="E50" s="1155"/>
      <c r="F50" s="1188"/>
      <c r="G50" s="649">
        <f>G49</f>
        <v>4245352</v>
      </c>
      <c r="H50" s="1510"/>
      <c r="I50" s="1108"/>
      <c r="J50" s="1146">
        <f>SUM(J49)</f>
        <v>0</v>
      </c>
      <c r="K50" s="1136">
        <f>J50/G50</f>
        <v>0</v>
      </c>
      <c r="L50" s="1137"/>
      <c r="M50" s="1138">
        <f t="shared" si="45"/>
        <v>0</v>
      </c>
      <c r="N50" s="1136">
        <f t="shared" ref="N50" si="46">M50/G50</f>
        <v>0</v>
      </c>
    </row>
    <row r="51" spans="1:14" x14ac:dyDescent="0.3">
      <c r="F51" s="836" t="s">
        <v>1740</v>
      </c>
      <c r="G51" s="650">
        <f>SUM(G14:G50)/2</f>
        <v>80570187</v>
      </c>
      <c r="I51" s="547" t="s">
        <v>64</v>
      </c>
      <c r="J51" s="855">
        <f>SUM(J14:J50)/2</f>
        <v>0</v>
      </c>
      <c r="K51" s="1073"/>
      <c r="L51" s="547" t="s">
        <v>64</v>
      </c>
      <c r="M51" s="835">
        <f>SUM(M14:M50)/2</f>
        <v>0</v>
      </c>
      <c r="N51" s="1073"/>
    </row>
    <row r="52" spans="1:14" ht="26.4" x14ac:dyDescent="0.3">
      <c r="F52" s="1118">
        <v>0.03</v>
      </c>
      <c r="G52" s="1185">
        <f>(((G16+G23+G26+G29+G32+G36+G39+G18+G42+G45)*0.3)+G50+G48+G17)*F52</f>
        <v>863855.85599999991</v>
      </c>
      <c r="I52" s="548" t="s">
        <v>65</v>
      </c>
      <c r="J52" s="677">
        <f>(((J16+J23+J26+J29+J32+J36+J39+J18+J42+J45)*0.3)+J50+J48+J17)*F52</f>
        <v>0</v>
      </c>
      <c r="K52" s="1073"/>
      <c r="L52" s="548" t="s">
        <v>65</v>
      </c>
      <c r="M52" s="677">
        <f>(((M16+M23+M26+M29+M32+M36+M39+M18+M42+M45)*0.3)+M50+M48+M17)*F52</f>
        <v>0</v>
      </c>
      <c r="N52" s="1073"/>
    </row>
    <row r="53" spans="1:14" x14ac:dyDescent="0.3">
      <c r="F53" s="1119" t="s">
        <v>64</v>
      </c>
      <c r="G53" s="1151">
        <f>G51+G52</f>
        <v>81434042.856000006</v>
      </c>
      <c r="I53" s="549" t="s">
        <v>64</v>
      </c>
      <c r="J53" s="481">
        <f>J51+J52</f>
        <v>0</v>
      </c>
      <c r="K53" s="1073"/>
      <c r="L53" s="549" t="s">
        <v>64</v>
      </c>
      <c r="M53" s="481">
        <f>M51+M52</f>
        <v>0</v>
      </c>
      <c r="N53" s="1073"/>
    </row>
    <row r="54" spans="1:14" ht="26.4" x14ac:dyDescent="0.3">
      <c r="F54" s="501" t="s">
        <v>1439</v>
      </c>
      <c r="G54" s="1116">
        <f>ROUND(G53*0.015,0)</f>
        <v>1221511</v>
      </c>
      <c r="I54" s="501" t="s">
        <v>1439</v>
      </c>
      <c r="J54" s="481">
        <f>ROUND(J53*0.015,0)</f>
        <v>0</v>
      </c>
      <c r="K54" s="1073"/>
      <c r="L54" s="501" t="s">
        <v>1439</v>
      </c>
      <c r="M54" s="481">
        <f>ROUND(M53*0.015,0)</f>
        <v>0</v>
      </c>
      <c r="N54" s="1073"/>
    </row>
    <row r="55" spans="1:14" ht="39.6" x14ac:dyDescent="0.3">
      <c r="F55" s="96" t="s">
        <v>1440</v>
      </c>
      <c r="G55" s="1117">
        <f>G53+G54</f>
        <v>82655553.856000006</v>
      </c>
      <c r="I55" s="96" t="s">
        <v>1440</v>
      </c>
      <c r="J55" s="783">
        <f>J53+J54</f>
        <v>0</v>
      </c>
      <c r="K55" s="856">
        <f>J55/G51</f>
        <v>0</v>
      </c>
      <c r="L55" s="96" t="s">
        <v>1440</v>
      </c>
      <c r="M55" s="425">
        <f>M53+M54</f>
        <v>0</v>
      </c>
      <c r="N55" s="857">
        <f>M55/G51</f>
        <v>0</v>
      </c>
    </row>
    <row r="56" spans="1:14" x14ac:dyDescent="0.3">
      <c r="F56" s="1122" t="s">
        <v>66</v>
      </c>
      <c r="G56" s="783">
        <f>G55*0.19</f>
        <v>15704555.232640002</v>
      </c>
      <c r="I56" s="551" t="s">
        <v>66</v>
      </c>
      <c r="J56" s="672">
        <f>J55*0.19</f>
        <v>0</v>
      </c>
      <c r="K56" s="1073"/>
      <c r="L56" s="551" t="s">
        <v>66</v>
      </c>
      <c r="M56" s="672">
        <f>M55*0.19</f>
        <v>0</v>
      </c>
      <c r="N56" s="1073"/>
    </row>
    <row r="57" spans="1:14" x14ac:dyDescent="0.3">
      <c r="F57" s="1123" t="s">
        <v>69</v>
      </c>
      <c r="G57" s="672">
        <f>G55+G56</f>
        <v>98360109.088640004</v>
      </c>
      <c r="I57" s="552" t="s">
        <v>69</v>
      </c>
      <c r="J57" s="672">
        <f>J55+J56</f>
        <v>0</v>
      </c>
      <c r="K57" s="1073"/>
      <c r="L57" s="552" t="s">
        <v>69</v>
      </c>
      <c r="M57" s="672">
        <f>M55+M56</f>
        <v>0</v>
      </c>
      <c r="N57" s="1073"/>
    </row>
    <row r="58" spans="1:14" x14ac:dyDescent="0.3">
      <c r="I58" s="1073"/>
      <c r="J58" s="1073"/>
      <c r="K58" s="1073"/>
      <c r="L58" s="1073"/>
      <c r="M58" s="1073"/>
      <c r="N58" s="1073"/>
    </row>
    <row r="59" spans="1:14" x14ac:dyDescent="0.3">
      <c r="I59" s="186" t="s">
        <v>70</v>
      </c>
      <c r="J59" s="187" t="s">
        <v>71</v>
      </c>
      <c r="K59" s="186" t="s">
        <v>58</v>
      </c>
      <c r="L59" s="1073"/>
      <c r="M59" s="1073"/>
      <c r="N59" s="1073"/>
    </row>
    <row r="60" spans="1:14" x14ac:dyDescent="0.3">
      <c r="I60" s="69" t="s">
        <v>72</v>
      </c>
      <c r="J60" s="70">
        <f>J55</f>
        <v>0</v>
      </c>
      <c r="K60" s="360">
        <f>K55</f>
        <v>0</v>
      </c>
      <c r="L60" s="1073"/>
      <c r="M60" s="1073"/>
      <c r="N60" s="1073"/>
    </row>
    <row r="61" spans="1:14" x14ac:dyDescent="0.3">
      <c r="I61" s="72" t="s">
        <v>1</v>
      </c>
      <c r="J61" s="105">
        <f>J60</f>
        <v>0</v>
      </c>
      <c r="K61" s="361">
        <f>K60</f>
        <v>0</v>
      </c>
      <c r="L61" s="1073"/>
      <c r="M61" s="1073"/>
      <c r="N61" s="1073"/>
    </row>
    <row r="62" spans="1:14" x14ac:dyDescent="0.3">
      <c r="I62" s="72" t="s">
        <v>9</v>
      </c>
      <c r="J62" s="1423"/>
      <c r="K62" s="1424"/>
      <c r="L62" s="1073"/>
      <c r="M62" s="1073"/>
      <c r="N62" s="1073"/>
    </row>
    <row r="63" spans="1:14" x14ac:dyDescent="0.3">
      <c r="I63" s="440" t="s">
        <v>78</v>
      </c>
      <c r="J63" s="1423"/>
      <c r="K63" s="1424"/>
      <c r="L63" s="1073"/>
      <c r="M63" s="1073"/>
      <c r="N63" s="1073"/>
    </row>
    <row r="64" spans="1:14" x14ac:dyDescent="0.3">
      <c r="I64" s="439" t="s">
        <v>8</v>
      </c>
      <c r="J64" s="1425"/>
      <c r="K64" s="1426"/>
      <c r="L64" s="1073"/>
      <c r="M64" s="1073"/>
      <c r="N64" s="1073"/>
    </row>
    <row r="65" spans="9:14" x14ac:dyDescent="0.3">
      <c r="I65" s="1073"/>
      <c r="J65" s="1073"/>
      <c r="K65" s="1073"/>
      <c r="L65" s="1073"/>
      <c r="M65" s="1073"/>
      <c r="N65" s="1073"/>
    </row>
    <row r="66" spans="9:14" x14ac:dyDescent="0.3">
      <c r="I66" s="1073"/>
      <c r="J66" s="1073"/>
      <c r="K66" s="1073"/>
      <c r="L66" s="1073"/>
      <c r="M66" s="1073"/>
      <c r="N66" s="1073"/>
    </row>
    <row r="67" spans="9:14" x14ac:dyDescent="0.3">
      <c r="I67" s="1073"/>
      <c r="J67" s="1073"/>
      <c r="K67" s="1073"/>
      <c r="L67" s="1073"/>
      <c r="M67" s="1073"/>
      <c r="N67" s="1073"/>
    </row>
  </sheetData>
  <mergeCells count="54">
    <mergeCell ref="J62:K62"/>
    <mergeCell ref="J63:K63"/>
    <mergeCell ref="J64:K64"/>
    <mergeCell ref="A46:A48"/>
    <mergeCell ref="B46:B48"/>
    <mergeCell ref="H46:H48"/>
    <mergeCell ref="A49:A50"/>
    <mergeCell ref="B49:B50"/>
    <mergeCell ref="H49:H50"/>
    <mergeCell ref="A40:A42"/>
    <mergeCell ref="B40:B42"/>
    <mergeCell ref="H40:H42"/>
    <mergeCell ref="A43:A45"/>
    <mergeCell ref="B43:B45"/>
    <mergeCell ref="H43:H45"/>
    <mergeCell ref="A33:A36"/>
    <mergeCell ref="B33:B36"/>
    <mergeCell ref="H33:H36"/>
    <mergeCell ref="A37:A39"/>
    <mergeCell ref="B37:B39"/>
    <mergeCell ref="H37:H39"/>
    <mergeCell ref="A27:A29"/>
    <mergeCell ref="B27:B29"/>
    <mergeCell ref="H27:H29"/>
    <mergeCell ref="A30:A32"/>
    <mergeCell ref="B30:B32"/>
    <mergeCell ref="H30:H32"/>
    <mergeCell ref="A20:A23"/>
    <mergeCell ref="B20:B23"/>
    <mergeCell ref="H20:H23"/>
    <mergeCell ref="A24:A26"/>
    <mergeCell ref="B24:B26"/>
    <mergeCell ref="H24:H26"/>
    <mergeCell ref="A14:A16"/>
    <mergeCell ref="B14:B16"/>
    <mergeCell ref="H14:H16"/>
    <mergeCell ref="A17:A19"/>
    <mergeCell ref="B17:B19"/>
    <mergeCell ref="H17:H19"/>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3"/>
  <dimension ref="A1:G49"/>
  <sheetViews>
    <sheetView topLeftCell="A10" workbookViewId="0">
      <selection activeCell="G28" sqref="G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RESUMEN!G197</f>
        <v>Proyecto:  CDIE_CBCCSM_R0184 PC1 - REPOSICIÓN INTERRUPTORES AT.</v>
      </c>
      <c r="C5" s="1281"/>
      <c r="D5" s="1281"/>
      <c r="E5" s="1281"/>
      <c r="F5" s="1281"/>
      <c r="G5" s="1282"/>
    </row>
    <row r="6" spans="1:7" x14ac:dyDescent="0.25">
      <c r="A6" s="1177"/>
      <c r="B6" s="1177"/>
      <c r="C6" s="1177"/>
      <c r="D6" s="1177"/>
      <c r="E6" s="1177"/>
      <c r="F6" s="1177"/>
      <c r="G6" s="1177"/>
    </row>
    <row r="7" spans="1:7" x14ac:dyDescent="0.25">
      <c r="A7" s="271" t="s">
        <v>0</v>
      </c>
      <c r="B7" s="1264" t="str">
        <f>RESUMEN!B197</f>
        <v xml:space="preserve">D00249265 </v>
      </c>
      <c r="C7" s="1265"/>
      <c r="D7" s="1177"/>
      <c r="E7" s="1266" t="s">
        <v>627</v>
      </c>
      <c r="F7" s="1267"/>
      <c r="G7" s="280" t="str">
        <f>RESUMEN!E197</f>
        <v xml:space="preserve">18-063 </v>
      </c>
    </row>
    <row r="8" spans="1:7" x14ac:dyDescent="0.25">
      <c r="A8" s="271" t="s">
        <v>628</v>
      </c>
      <c r="B8" s="1264">
        <f>RESUMEN!C197</f>
        <v>0</v>
      </c>
      <c r="C8" s="1265"/>
      <c r="D8" s="1177"/>
      <c r="E8" s="1266" t="s">
        <v>629</v>
      </c>
      <c r="F8" s="1267"/>
      <c r="G8" s="280" t="str">
        <f>RESUMEN!U197</f>
        <v>Acta N° 1: Marzo</v>
      </c>
    </row>
    <row r="9" spans="1:7" x14ac:dyDescent="0.25">
      <c r="A9" s="271" t="s">
        <v>630</v>
      </c>
      <c r="B9" s="1283" t="s">
        <v>631</v>
      </c>
      <c r="C9" s="1265"/>
      <c r="D9" s="1177"/>
      <c r="E9" s="1266" t="s">
        <v>632</v>
      </c>
      <c r="F9" s="1267"/>
      <c r="G9" s="1178">
        <f>RESUMEN!H197</f>
        <v>1756704</v>
      </c>
    </row>
    <row r="10" spans="1:7" x14ac:dyDescent="0.25">
      <c r="A10" s="271" t="s">
        <v>633</v>
      </c>
      <c r="B10" s="1283" t="str">
        <f>RESUMEN!D197</f>
        <v>FONTIBÓN</v>
      </c>
      <c r="C10" s="1265"/>
      <c r="D10" s="1177"/>
      <c r="E10" s="1266" t="s">
        <v>634</v>
      </c>
      <c r="F10" s="1267"/>
      <c r="G10" s="1178">
        <f>RESUMEN!R197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CDIE_CBCCSM_R0184 PC1 - REPOSICIÓN INTERRUPTORES AT.</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RESUMEN!N197</f>
        <v>0</v>
      </c>
      <c r="F19" s="1248"/>
      <c r="G19" s="1177"/>
    </row>
    <row r="20" spans="1:7" ht="27" customHeight="1" x14ac:dyDescent="0.25">
      <c r="A20" s="1177"/>
      <c r="B20" s="1244" t="s">
        <v>1498</v>
      </c>
      <c r="C20" s="1245"/>
      <c r="D20" s="1246"/>
      <c r="E20" s="1247">
        <f>RESUMEN!P197</f>
        <v>0</v>
      </c>
      <c r="F20" s="1248"/>
      <c r="G20" s="1177"/>
    </row>
    <row r="21" spans="1:7" ht="27" customHeight="1" x14ac:dyDescent="0.25">
      <c r="A21" s="1177"/>
      <c r="B21" s="1244" t="s">
        <v>1499</v>
      </c>
      <c r="C21" s="1245"/>
      <c r="D21" s="1246"/>
      <c r="E21" s="1247">
        <f>RESUMEN!Q197</f>
        <v>0</v>
      </c>
      <c r="F21" s="1248"/>
      <c r="G21" s="1177"/>
    </row>
    <row r="22" spans="1:7" x14ac:dyDescent="0.25">
      <c r="A22" s="1177"/>
      <c r="B22" s="1254" t="s">
        <v>64</v>
      </c>
      <c r="C22" s="1254"/>
      <c r="D22" s="1254"/>
      <c r="E22" s="1255">
        <f>RESUMEN!R197</f>
        <v>0</v>
      </c>
      <c r="F22" s="1255"/>
      <c r="G22" s="1177"/>
    </row>
    <row r="23" spans="1:7" x14ac:dyDescent="0.25">
      <c r="A23" s="1177"/>
      <c r="B23" s="1256" t="s">
        <v>66</v>
      </c>
      <c r="C23" s="1256"/>
      <c r="D23" s="1256"/>
      <c r="E23" s="1257">
        <f>RESUMEN!S197</f>
        <v>0</v>
      </c>
      <c r="F23" s="1257"/>
      <c r="G23" s="1177"/>
    </row>
    <row r="24" spans="1:7" x14ac:dyDescent="0.25">
      <c r="A24" s="1177"/>
      <c r="B24" s="1258" t="s">
        <v>1</v>
      </c>
      <c r="C24" s="1258"/>
      <c r="D24" s="1258"/>
      <c r="E24" s="1259">
        <f>RESUMEN!T197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+'OT18-063 FONTIBÓN'!I25</f>
        <v>ACTA 1</v>
      </c>
      <c r="C28" s="1253">
        <f>+'OT18-063 FONTIBÓN'!J25</f>
        <v>0</v>
      </c>
      <c r="D28" s="1253"/>
      <c r="E28" s="267">
        <f>+'OT18-063 FONTIBÓN'!K25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4"/>
  <dimension ref="A1:N32"/>
  <sheetViews>
    <sheetView topLeftCell="C13" workbookViewId="0">
      <selection activeCell="I16" sqref="I16:N29"/>
    </sheetView>
  </sheetViews>
  <sheetFormatPr baseColWidth="10" defaultRowHeight="14.4" x14ac:dyDescent="0.3"/>
  <cols>
    <col min="2" max="2" width="22" customWidth="1"/>
    <col min="3" max="4" width="23" customWidth="1"/>
    <col min="8" max="8" width="33.33203125" customWidth="1"/>
  </cols>
  <sheetData>
    <row r="1" spans="1:14" x14ac:dyDescent="0.3">
      <c r="A1" s="169"/>
      <c r="B1" s="188"/>
      <c r="C1" s="1307" t="s">
        <v>40</v>
      </c>
      <c r="D1" s="1308"/>
      <c r="E1" s="1308"/>
      <c r="F1" s="1308"/>
      <c r="G1" s="1308"/>
      <c r="H1" s="1308"/>
      <c r="I1" s="1308"/>
      <c r="J1" s="1308"/>
      <c r="K1" s="1532" t="s">
        <v>2578</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2577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2576</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89" t="s">
        <v>50</v>
      </c>
      <c r="B13" s="1189" t="s">
        <v>51</v>
      </c>
      <c r="C13" s="1189" t="s">
        <v>52</v>
      </c>
      <c r="D13" s="1189" t="s">
        <v>164</v>
      </c>
      <c r="E13" s="1190" t="s">
        <v>54</v>
      </c>
      <c r="F13" s="1191" t="s">
        <v>2007</v>
      </c>
      <c r="G13" s="1190" t="s">
        <v>56</v>
      </c>
      <c r="H13" s="1189" t="s">
        <v>57</v>
      </c>
      <c r="I13" s="502" t="s">
        <v>54</v>
      </c>
      <c r="J13" s="502" t="s">
        <v>56</v>
      </c>
      <c r="K13" s="502" t="s">
        <v>58</v>
      </c>
      <c r="L13" s="502" t="s">
        <v>54</v>
      </c>
      <c r="M13" s="502" t="s">
        <v>56</v>
      </c>
      <c r="N13" s="502" t="s">
        <v>58</v>
      </c>
    </row>
    <row r="14" spans="1:14" ht="28.8" x14ac:dyDescent="0.3">
      <c r="A14" s="1564" t="s">
        <v>283</v>
      </c>
      <c r="B14" s="1564" t="s">
        <v>194</v>
      </c>
      <c r="C14" s="1192" t="s">
        <v>160</v>
      </c>
      <c r="D14" s="1192" t="s">
        <v>161</v>
      </c>
      <c r="E14" s="1192">
        <v>24</v>
      </c>
      <c r="F14" s="1193">
        <v>73196</v>
      </c>
      <c r="G14" s="1193">
        <f>ROUND((E14*F14),0)</f>
        <v>1756704</v>
      </c>
      <c r="H14" s="1565" t="s">
        <v>2579</v>
      </c>
      <c r="I14" s="799">
        <v>0</v>
      </c>
      <c r="J14" s="1132">
        <f>ROUND(I14*F14,0)</f>
        <v>0</v>
      </c>
      <c r="K14" s="1133">
        <f>J14/G14</f>
        <v>0</v>
      </c>
      <c r="L14" s="1134">
        <f t="shared" ref="L14:M15" si="0">I14</f>
        <v>0</v>
      </c>
      <c r="M14" s="1124">
        <f t="shared" si="0"/>
        <v>0</v>
      </c>
      <c r="N14" s="1133">
        <f>M14/G14</f>
        <v>0</v>
      </c>
    </row>
    <row r="15" spans="1:14" x14ac:dyDescent="0.3">
      <c r="A15" s="1564"/>
      <c r="B15" s="1564"/>
      <c r="C15" s="1194"/>
      <c r="D15" s="1194" t="s">
        <v>162</v>
      </c>
      <c r="E15" s="1195"/>
      <c r="F15" s="1195"/>
      <c r="G15" s="1196">
        <f>G14</f>
        <v>1756704</v>
      </c>
      <c r="H15" s="1564"/>
      <c r="I15" s="1108"/>
      <c r="J15" s="1146">
        <f>SUM(J13:J14)</f>
        <v>0</v>
      </c>
      <c r="K15" s="1136">
        <f>J15/G15</f>
        <v>0</v>
      </c>
      <c r="L15" s="1137"/>
      <c r="M15" s="1138">
        <f t="shared" si="0"/>
        <v>0</v>
      </c>
      <c r="N15" s="1136">
        <f t="shared" ref="N15" si="1">M15/G15</f>
        <v>0</v>
      </c>
    </row>
    <row r="16" spans="1:14" x14ac:dyDescent="0.3">
      <c r="F16" s="836" t="s">
        <v>1740</v>
      </c>
      <c r="G16" s="650">
        <f>SUM(G14:G15)/2</f>
        <v>1756704</v>
      </c>
      <c r="I16" s="547" t="s">
        <v>64</v>
      </c>
      <c r="J16" s="855">
        <f>SUM(J14:J15)/2</f>
        <v>0</v>
      </c>
      <c r="K16" s="1073"/>
      <c r="L16" s="547" t="s">
        <v>64</v>
      </c>
      <c r="M16" s="835">
        <f>SUM(M14:M15)/2</f>
        <v>0</v>
      </c>
      <c r="N16" s="1073"/>
    </row>
    <row r="17" spans="6:14" ht="26.4" x14ac:dyDescent="0.3">
      <c r="F17" s="1118" t="s">
        <v>65</v>
      </c>
      <c r="G17" s="1115">
        <v>0</v>
      </c>
      <c r="I17" s="548" t="s">
        <v>65</v>
      </c>
      <c r="J17" s="677">
        <v>0</v>
      </c>
      <c r="K17" s="1073"/>
      <c r="L17" s="548" t="s">
        <v>65</v>
      </c>
      <c r="M17" s="677">
        <v>0</v>
      </c>
      <c r="N17" s="1073"/>
    </row>
    <row r="18" spans="6:14" x14ac:dyDescent="0.3">
      <c r="F18" s="1119" t="s">
        <v>64</v>
      </c>
      <c r="G18" s="1151">
        <f>G16+G17</f>
        <v>1756704</v>
      </c>
      <c r="I18" s="549" t="s">
        <v>64</v>
      </c>
      <c r="J18" s="481">
        <f>J16+J17</f>
        <v>0</v>
      </c>
      <c r="K18" s="1073"/>
      <c r="L18" s="549" t="s">
        <v>64</v>
      </c>
      <c r="M18" s="481">
        <f>M16+M17</f>
        <v>0</v>
      </c>
      <c r="N18" s="1073"/>
    </row>
    <row r="19" spans="6:14" ht="26.4" x14ac:dyDescent="0.3">
      <c r="F19" s="501" t="s">
        <v>1439</v>
      </c>
      <c r="G19" s="1116">
        <f>ROUND(G18*0.015,0)</f>
        <v>26351</v>
      </c>
      <c r="I19" s="501" t="s">
        <v>1439</v>
      </c>
      <c r="J19" s="481">
        <f>ROUND(J18*0.015,0)</f>
        <v>0</v>
      </c>
      <c r="K19" s="1073"/>
      <c r="L19" s="501" t="s">
        <v>1439</v>
      </c>
      <c r="M19" s="481">
        <f>ROUND(M18*0.015,0)</f>
        <v>0</v>
      </c>
      <c r="N19" s="1073"/>
    </row>
    <row r="20" spans="6:14" ht="39.6" x14ac:dyDescent="0.3">
      <c r="F20" s="96" t="s">
        <v>1440</v>
      </c>
      <c r="G20" s="1117">
        <f>G18+G19</f>
        <v>1783055</v>
      </c>
      <c r="I20" s="96" t="s">
        <v>1440</v>
      </c>
      <c r="J20" s="783">
        <f>J18+J19</f>
        <v>0</v>
      </c>
      <c r="K20" s="856">
        <f>J20/G16</f>
        <v>0</v>
      </c>
      <c r="L20" s="96" t="s">
        <v>1440</v>
      </c>
      <c r="M20" s="425">
        <f>M18+M19</f>
        <v>0</v>
      </c>
      <c r="N20" s="857">
        <f>M20/G16</f>
        <v>0</v>
      </c>
    </row>
    <row r="21" spans="6:14" x14ac:dyDescent="0.3">
      <c r="F21" s="1122" t="s">
        <v>66</v>
      </c>
      <c r="G21" s="783">
        <f>G20*0.19</f>
        <v>338780.45</v>
      </c>
      <c r="I21" s="551" t="s">
        <v>66</v>
      </c>
      <c r="J21" s="672">
        <f>J20*0.19</f>
        <v>0</v>
      </c>
      <c r="K21" s="1073"/>
      <c r="L21" s="551" t="s">
        <v>66</v>
      </c>
      <c r="M21" s="672">
        <f>M20*0.19</f>
        <v>0</v>
      </c>
      <c r="N21" s="1073"/>
    </row>
    <row r="22" spans="6:14" x14ac:dyDescent="0.3">
      <c r="F22" s="1123" t="s">
        <v>69</v>
      </c>
      <c r="G22" s="672">
        <f>G20+G21</f>
        <v>2121835.4500000002</v>
      </c>
      <c r="I22" s="552" t="s">
        <v>69</v>
      </c>
      <c r="J22" s="672">
        <f>J20+J21</f>
        <v>0</v>
      </c>
      <c r="K22" s="1073"/>
      <c r="L22" s="552" t="s">
        <v>69</v>
      </c>
      <c r="M22" s="672">
        <f>M20+M21</f>
        <v>0</v>
      </c>
      <c r="N22" s="1073"/>
    </row>
    <row r="23" spans="6:14" x14ac:dyDescent="0.3">
      <c r="I23" s="1073"/>
      <c r="J23" s="1073"/>
      <c r="K23" s="1073"/>
      <c r="L23" s="1073"/>
      <c r="M23" s="1073"/>
      <c r="N23" s="1073"/>
    </row>
    <row r="24" spans="6:14" ht="26.4" x14ac:dyDescent="0.3">
      <c r="I24" s="186" t="s">
        <v>70</v>
      </c>
      <c r="J24" s="187" t="s">
        <v>71</v>
      </c>
      <c r="K24" s="186" t="s">
        <v>58</v>
      </c>
      <c r="L24" s="1073"/>
      <c r="M24" s="1073"/>
      <c r="N24" s="1073"/>
    </row>
    <row r="25" spans="6:14" x14ac:dyDescent="0.3">
      <c r="I25" s="69" t="s">
        <v>72</v>
      </c>
      <c r="J25" s="70">
        <f>J20</f>
        <v>0</v>
      </c>
      <c r="K25" s="360">
        <f>K20</f>
        <v>0</v>
      </c>
      <c r="L25" s="1073"/>
      <c r="M25" s="1073"/>
      <c r="N25" s="1073"/>
    </row>
    <row r="26" spans="6:14" x14ac:dyDescent="0.3">
      <c r="I26" s="72" t="s">
        <v>1</v>
      </c>
      <c r="J26" s="105">
        <f>J25</f>
        <v>0</v>
      </c>
      <c r="K26" s="361">
        <f>K25</f>
        <v>0</v>
      </c>
      <c r="L26" s="1073"/>
      <c r="M26" s="1073"/>
      <c r="N26" s="1073"/>
    </row>
    <row r="27" spans="6:14" x14ac:dyDescent="0.3">
      <c r="I27" s="72" t="s">
        <v>9</v>
      </c>
      <c r="J27" s="1423"/>
      <c r="K27" s="1424"/>
      <c r="L27" s="1073"/>
      <c r="M27" s="1073"/>
      <c r="N27" s="1073"/>
    </row>
    <row r="28" spans="6:14" x14ac:dyDescent="0.3">
      <c r="I28" s="440" t="s">
        <v>78</v>
      </c>
      <c r="J28" s="1423" t="s">
        <v>2580</v>
      </c>
      <c r="K28" s="1424"/>
      <c r="L28" s="1073"/>
      <c r="M28" s="1073"/>
      <c r="N28" s="1073"/>
    </row>
    <row r="29" spans="6:14" x14ac:dyDescent="0.3">
      <c r="I29" s="439" t="s">
        <v>8</v>
      </c>
      <c r="J29" s="1425"/>
      <c r="K29" s="1426"/>
      <c r="L29" s="1073"/>
      <c r="M29" s="1073"/>
      <c r="N29" s="1073"/>
    </row>
    <row r="30" spans="6:14" x14ac:dyDescent="0.3">
      <c r="I30" s="1073"/>
      <c r="J30" s="1073"/>
      <c r="K30" s="1073"/>
      <c r="L30" s="1073"/>
      <c r="M30" s="1073"/>
      <c r="N30" s="1073"/>
    </row>
    <row r="31" spans="6:14" x14ac:dyDescent="0.3">
      <c r="I31" s="1073"/>
      <c r="J31" s="1073"/>
      <c r="K31" s="1073"/>
      <c r="L31" s="1073"/>
      <c r="M31" s="1073"/>
      <c r="N31" s="1073"/>
    </row>
    <row r="32" spans="6:14" x14ac:dyDescent="0.3">
      <c r="I32" s="1073"/>
      <c r="J32" s="1073"/>
      <c r="K32" s="1073"/>
      <c r="L32" s="1073"/>
      <c r="M32" s="1073"/>
      <c r="N32" s="1073"/>
    </row>
  </sheetData>
  <mergeCells count="21">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 ref="A5:M5"/>
    <mergeCell ref="C1:J2"/>
    <mergeCell ref="K1:N1"/>
    <mergeCell ref="K2:N2"/>
    <mergeCell ref="A3:M3"/>
    <mergeCell ref="A4:M4"/>
  </mergeCells>
  <pageMargins left="0.7" right="0.7" top="0.75" bottom="0.75" header="0.3" footer="0.3"/>
  <drawing r:id="rId1"/>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5"/>
  <dimension ref="A1:G49"/>
  <sheetViews>
    <sheetView topLeftCell="A1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RESUMEN!G198</f>
        <v>Proyecto:  Normalización subestación Compartir 115/34,5/11,4 kV.</v>
      </c>
      <c r="C5" s="1281"/>
      <c r="D5" s="1281"/>
      <c r="E5" s="1281"/>
      <c r="F5" s="1281"/>
      <c r="G5" s="1282"/>
    </row>
    <row r="6" spans="1:7" x14ac:dyDescent="0.25">
      <c r="A6" s="1177"/>
      <c r="B6" s="1177"/>
      <c r="C6" s="1177"/>
      <c r="D6" s="1177"/>
      <c r="E6" s="1177"/>
      <c r="F6" s="1177"/>
      <c r="G6" s="1177"/>
    </row>
    <row r="7" spans="1:7" x14ac:dyDescent="0.25">
      <c r="A7" s="271" t="s">
        <v>0</v>
      </c>
      <c r="B7" s="1264">
        <f>RESUMEN!B198</f>
        <v>0</v>
      </c>
      <c r="C7" s="1265"/>
      <c r="D7" s="1177"/>
      <c r="E7" s="1266" t="s">
        <v>627</v>
      </c>
      <c r="F7" s="1267"/>
      <c r="G7" s="280" t="str">
        <f>RESUMEN!E198</f>
        <v xml:space="preserve">18-064 </v>
      </c>
    </row>
    <row r="8" spans="1:7" x14ac:dyDescent="0.25">
      <c r="A8" s="271" t="s">
        <v>628</v>
      </c>
      <c r="B8" s="1264">
        <f>RESUMEN!C198</f>
        <v>0</v>
      </c>
      <c r="C8" s="1265"/>
      <c r="D8" s="1177"/>
      <c r="E8" s="1266" t="s">
        <v>629</v>
      </c>
      <c r="F8" s="1267"/>
      <c r="G8" s="280" t="str">
        <f>RESUMEN!U198</f>
        <v>Acta N° 1: Marzo</v>
      </c>
    </row>
    <row r="9" spans="1:7" x14ac:dyDescent="0.25">
      <c r="A9" s="271" t="s">
        <v>630</v>
      </c>
      <c r="B9" s="1283" t="s">
        <v>631</v>
      </c>
      <c r="C9" s="1265"/>
      <c r="D9" s="1177"/>
      <c r="E9" s="1266" t="s">
        <v>632</v>
      </c>
      <c r="F9" s="1267"/>
      <c r="G9" s="1178">
        <f>RESUMEN!H198</f>
        <v>57899849</v>
      </c>
    </row>
    <row r="10" spans="1:7" x14ac:dyDescent="0.25">
      <c r="A10" s="271" t="s">
        <v>633</v>
      </c>
      <c r="B10" s="1283" t="str">
        <f>RESUMEN!D198</f>
        <v>COMPARTIR</v>
      </c>
      <c r="C10" s="1265"/>
      <c r="D10" s="1177"/>
      <c r="E10" s="1266" t="s">
        <v>634</v>
      </c>
      <c r="F10" s="1267"/>
      <c r="G10" s="1178">
        <f>RESUMEN!R198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Normalización subestación Compartir 115/34,5/11,4 kV.</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RESUMEN!N198</f>
        <v>0</v>
      </c>
      <c r="F19" s="1248"/>
      <c r="G19" s="1177"/>
    </row>
    <row r="20" spans="1:7" ht="27" customHeight="1" x14ac:dyDescent="0.25">
      <c r="A20" s="1177"/>
      <c r="B20" s="1244" t="s">
        <v>1498</v>
      </c>
      <c r="C20" s="1245"/>
      <c r="D20" s="1246"/>
      <c r="E20" s="1247">
        <f>RESUMEN!P198</f>
        <v>0</v>
      </c>
      <c r="F20" s="1248"/>
      <c r="G20" s="1177"/>
    </row>
    <row r="21" spans="1:7" ht="27" customHeight="1" x14ac:dyDescent="0.25">
      <c r="A21" s="1177"/>
      <c r="B21" s="1244" t="s">
        <v>1499</v>
      </c>
      <c r="C21" s="1245"/>
      <c r="D21" s="1246"/>
      <c r="E21" s="1247">
        <f>RESUMEN!Q198</f>
        <v>0</v>
      </c>
      <c r="F21" s="1248"/>
      <c r="G21" s="1177"/>
    </row>
    <row r="22" spans="1:7" x14ac:dyDescent="0.25">
      <c r="A22" s="1177"/>
      <c r="B22" s="1254" t="s">
        <v>64</v>
      </c>
      <c r="C22" s="1254"/>
      <c r="D22" s="1254"/>
      <c r="E22" s="1255">
        <f>RESUMEN!R198</f>
        <v>0</v>
      </c>
      <c r="F22" s="1255"/>
      <c r="G22" s="1177"/>
    </row>
    <row r="23" spans="1:7" x14ac:dyDescent="0.25">
      <c r="A23" s="1177"/>
      <c r="B23" s="1256" t="s">
        <v>66</v>
      </c>
      <c r="C23" s="1256"/>
      <c r="D23" s="1256"/>
      <c r="E23" s="1257">
        <f>RESUMEN!S198</f>
        <v>0</v>
      </c>
      <c r="F23" s="1257"/>
      <c r="G23" s="1177"/>
    </row>
    <row r="24" spans="1:7" x14ac:dyDescent="0.25">
      <c r="A24" s="1177"/>
      <c r="B24" s="1258" t="s">
        <v>1</v>
      </c>
      <c r="C24" s="1258"/>
      <c r="D24" s="1258"/>
      <c r="E24" s="1259">
        <f>RESUMEN!T198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+'OT18-064 COMPARTIR'!I72</f>
        <v>ACTA 1</v>
      </c>
      <c r="C28" s="1253">
        <f>+'OT18-064 COMPARTIR'!J72</f>
        <v>0</v>
      </c>
      <c r="D28" s="1253"/>
      <c r="E28" s="267">
        <f>+'OT18-064 COMPARTIR'!K72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6"/>
  <dimension ref="A1:N79"/>
  <sheetViews>
    <sheetView topLeftCell="C61" workbookViewId="0">
      <selection activeCell="I13" sqref="I13:N16"/>
    </sheetView>
  </sheetViews>
  <sheetFormatPr baseColWidth="10" defaultRowHeight="14.4" x14ac:dyDescent="0.3"/>
  <cols>
    <col min="2" max="2" width="26.88671875" customWidth="1"/>
    <col min="3" max="4" width="25.33203125" customWidth="1"/>
    <col min="7" max="7" width="15" customWidth="1"/>
    <col min="8" max="8" width="33.88671875" customWidth="1"/>
  </cols>
  <sheetData>
    <row r="1" spans="1:14" x14ac:dyDescent="0.3">
      <c r="A1" s="169"/>
      <c r="B1" s="188"/>
      <c r="C1" s="1307" t="s">
        <v>40</v>
      </c>
      <c r="D1" s="1308"/>
      <c r="E1" s="1308"/>
      <c r="F1" s="1308"/>
      <c r="G1" s="1308"/>
      <c r="H1" s="1308"/>
      <c r="I1" s="1308"/>
      <c r="J1" s="1308"/>
      <c r="K1" s="1532" t="s">
        <v>2583</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2582</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2581</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2584</v>
      </c>
      <c r="B14" s="1510" t="s">
        <v>1299</v>
      </c>
      <c r="C14" s="1074" t="s">
        <v>81</v>
      </c>
      <c r="D14" s="1074" t="s">
        <v>1112</v>
      </c>
      <c r="E14" s="1074">
        <v>0.51</v>
      </c>
      <c r="F14" s="646">
        <v>9661834</v>
      </c>
      <c r="G14" s="646">
        <f>ROUND((E14*F14),0)</f>
        <v>4927535</v>
      </c>
      <c r="H14" s="1514" t="s">
        <v>2585</v>
      </c>
      <c r="I14" s="799">
        <v>0</v>
      </c>
      <c r="J14" s="1132">
        <f>ROUND(I14*F14,0)</f>
        <v>0</v>
      </c>
      <c r="K14" s="1133">
        <f>J14/G14</f>
        <v>0</v>
      </c>
      <c r="L14" s="1134">
        <f t="shared" ref="L14:M20" si="0">I14</f>
        <v>0</v>
      </c>
      <c r="M14" s="1124">
        <f t="shared" si="0"/>
        <v>0</v>
      </c>
      <c r="N14" s="1133">
        <f>M14/G14</f>
        <v>0</v>
      </c>
    </row>
    <row r="15" spans="1:14" ht="43.2" x14ac:dyDescent="0.3">
      <c r="A15" s="1510"/>
      <c r="B15" s="1510"/>
      <c r="C15" s="1074" t="s">
        <v>83</v>
      </c>
      <c r="D15" s="1074" t="s">
        <v>1113</v>
      </c>
      <c r="E15" s="1074">
        <v>0</v>
      </c>
      <c r="F15" s="646">
        <v>9222660</v>
      </c>
      <c r="G15" s="646">
        <f>ROUND((E15*F15),0)</f>
        <v>0</v>
      </c>
      <c r="H15" s="1510"/>
      <c r="I15" s="799">
        <v>0</v>
      </c>
      <c r="J15" s="1132">
        <f t="shared" ref="J15" si="1">ROUND(I15*F15,0)</f>
        <v>0</v>
      </c>
      <c r="K15" s="1133">
        <v>0</v>
      </c>
      <c r="L15" s="1134">
        <f t="shared" si="0"/>
        <v>0</v>
      </c>
      <c r="M15" s="1124">
        <f t="shared" si="0"/>
        <v>0</v>
      </c>
      <c r="N15" s="1133">
        <v>0</v>
      </c>
    </row>
    <row r="16" spans="1:14" x14ac:dyDescent="0.3">
      <c r="A16" s="1510"/>
      <c r="B16" s="1510"/>
      <c r="C16" s="647"/>
      <c r="D16" s="647" t="s">
        <v>169</v>
      </c>
      <c r="E16" s="648"/>
      <c r="F16" s="648"/>
      <c r="G16" s="649">
        <f>SUM(G14:G15)</f>
        <v>4927535</v>
      </c>
      <c r="H16" s="1510"/>
      <c r="I16" s="1108"/>
      <c r="J16" s="1146">
        <f>SUM(J14:J15)</f>
        <v>0</v>
      </c>
      <c r="K16" s="1136">
        <f>J16/G16</f>
        <v>0</v>
      </c>
      <c r="L16" s="1137"/>
      <c r="M16" s="1138">
        <f t="shared" si="0"/>
        <v>0</v>
      </c>
      <c r="N16" s="1136">
        <f t="shared" ref="N16" si="2">M16/G16</f>
        <v>0</v>
      </c>
    </row>
    <row r="17" spans="1:14" ht="43.2" x14ac:dyDescent="0.3">
      <c r="A17" s="1563" t="s">
        <v>2584</v>
      </c>
      <c r="B17" s="1510" t="s">
        <v>165</v>
      </c>
      <c r="C17" s="1074" t="s">
        <v>81</v>
      </c>
      <c r="D17" s="1074" t="s">
        <v>166</v>
      </c>
      <c r="E17" s="1074">
        <v>0.7</v>
      </c>
      <c r="F17" s="646">
        <v>1207729</v>
      </c>
      <c r="G17" s="646">
        <f>ROUND((E17*F17),0)</f>
        <v>845410</v>
      </c>
      <c r="H17" s="1514" t="s">
        <v>2586</v>
      </c>
      <c r="I17" s="799">
        <v>0</v>
      </c>
      <c r="J17" s="1132">
        <f>ROUND(I17*F17,0)</f>
        <v>0</v>
      </c>
      <c r="K17" s="1133">
        <f>J17/G17</f>
        <v>0</v>
      </c>
      <c r="L17" s="1134">
        <f t="shared" ref="L17:L19" si="3">I17</f>
        <v>0</v>
      </c>
      <c r="M17" s="1124">
        <f t="shared" si="0"/>
        <v>0</v>
      </c>
      <c r="N17" s="1133">
        <f>M17/G17</f>
        <v>0</v>
      </c>
    </row>
    <row r="18" spans="1:14" ht="43.2" x14ac:dyDescent="0.3">
      <c r="A18" s="1563"/>
      <c r="B18" s="1510"/>
      <c r="C18" s="1074" t="s">
        <v>83</v>
      </c>
      <c r="D18" s="1074" t="s">
        <v>167</v>
      </c>
      <c r="E18" s="1074">
        <v>0</v>
      </c>
      <c r="F18" s="646">
        <v>2671643</v>
      </c>
      <c r="G18" s="646">
        <f>ROUND((E18*F18),0)</f>
        <v>0</v>
      </c>
      <c r="H18" s="1510"/>
      <c r="I18" s="799">
        <v>0</v>
      </c>
      <c r="J18" s="1132">
        <f t="shared" ref="J18:J19" si="4">ROUND(I18*F18,0)</f>
        <v>0</v>
      </c>
      <c r="K18" s="1133">
        <v>0</v>
      </c>
      <c r="L18" s="1134">
        <f t="shared" si="3"/>
        <v>0</v>
      </c>
      <c r="M18" s="1124">
        <f t="shared" si="0"/>
        <v>0</v>
      </c>
      <c r="N18" s="1133">
        <v>0</v>
      </c>
    </row>
    <row r="19" spans="1:14" ht="43.2" x14ac:dyDescent="0.3">
      <c r="A19" s="1563"/>
      <c r="B19" s="1510"/>
      <c r="C19" s="1074" t="s">
        <v>61</v>
      </c>
      <c r="D19" s="1074" t="s">
        <v>168</v>
      </c>
      <c r="E19" s="1074">
        <v>0</v>
      </c>
      <c r="F19" s="646">
        <v>2781438</v>
      </c>
      <c r="G19" s="646">
        <f>ROUND((E19*F19),0)</f>
        <v>0</v>
      </c>
      <c r="H19" s="1510"/>
      <c r="I19" s="799">
        <v>0</v>
      </c>
      <c r="J19" s="1132">
        <f t="shared" si="4"/>
        <v>0</v>
      </c>
      <c r="K19" s="1133">
        <v>0</v>
      </c>
      <c r="L19" s="1134">
        <f t="shared" si="3"/>
        <v>0</v>
      </c>
      <c r="M19" s="1124">
        <f t="shared" si="0"/>
        <v>0</v>
      </c>
      <c r="N19" s="1133">
        <v>0</v>
      </c>
    </row>
    <row r="20" spans="1:14" x14ac:dyDescent="0.3">
      <c r="A20" s="1563"/>
      <c r="B20" s="1510"/>
      <c r="C20" s="647"/>
      <c r="D20" s="647" t="s">
        <v>169</v>
      </c>
      <c r="E20" s="648"/>
      <c r="F20" s="648"/>
      <c r="G20" s="649">
        <f>SUM(G17:G19)</f>
        <v>845410</v>
      </c>
      <c r="H20" s="1510"/>
      <c r="I20" s="1108"/>
      <c r="J20" s="1146">
        <f>SUM(J17:J19)</f>
        <v>0</v>
      </c>
      <c r="K20" s="1136">
        <f t="shared" ref="K20" si="5">J20/G20</f>
        <v>0</v>
      </c>
      <c r="L20" s="1137"/>
      <c r="M20" s="1138">
        <f t="shared" si="0"/>
        <v>0</v>
      </c>
      <c r="N20" s="1136">
        <f t="shared" ref="N20" si="6">M20/G20</f>
        <v>0</v>
      </c>
    </row>
    <row r="21" spans="1:14" ht="43.2" x14ac:dyDescent="0.3">
      <c r="A21" s="1563" t="s">
        <v>2587</v>
      </c>
      <c r="B21" s="1510" t="s">
        <v>877</v>
      </c>
      <c r="C21" s="1074" t="s">
        <v>81</v>
      </c>
      <c r="D21" s="1074" t="s">
        <v>878</v>
      </c>
      <c r="E21" s="1074">
        <v>0.7</v>
      </c>
      <c r="F21" s="646">
        <v>5819059</v>
      </c>
      <c r="G21" s="646">
        <f>ROUND((E21*F21),0)</f>
        <v>4073341</v>
      </c>
      <c r="H21" s="1514" t="s">
        <v>2588</v>
      </c>
      <c r="I21" s="799">
        <v>0</v>
      </c>
      <c r="J21" s="1132">
        <f>ROUND(I21*F21,0)</f>
        <v>0</v>
      </c>
      <c r="K21" s="1133">
        <f>J21/G21</f>
        <v>0</v>
      </c>
      <c r="L21" s="1134">
        <f t="shared" ref="L21:L23" si="7">I21</f>
        <v>0</v>
      </c>
      <c r="M21" s="1124">
        <f t="shared" ref="M21:M44" si="8">J21</f>
        <v>0</v>
      </c>
      <c r="N21" s="1133">
        <f>M21/G21</f>
        <v>0</v>
      </c>
    </row>
    <row r="22" spans="1:14" ht="43.2" x14ac:dyDescent="0.3">
      <c r="A22" s="1563"/>
      <c r="B22" s="1510"/>
      <c r="C22" s="1074" t="s">
        <v>83</v>
      </c>
      <c r="D22" s="1074" t="s">
        <v>879</v>
      </c>
      <c r="E22" s="1074">
        <v>0</v>
      </c>
      <c r="F22" s="646">
        <v>9003073</v>
      </c>
      <c r="G22" s="646">
        <f>ROUND((E22*F22),0)</f>
        <v>0</v>
      </c>
      <c r="H22" s="1510"/>
      <c r="I22" s="799">
        <v>0</v>
      </c>
      <c r="J22" s="1132">
        <f t="shared" ref="J22:J23" si="9">ROUND(I22*F22,0)</f>
        <v>0</v>
      </c>
      <c r="K22" s="1133">
        <v>0</v>
      </c>
      <c r="L22" s="1134">
        <f t="shared" si="7"/>
        <v>0</v>
      </c>
      <c r="M22" s="1124">
        <f t="shared" si="8"/>
        <v>0</v>
      </c>
      <c r="N22" s="1133">
        <v>0</v>
      </c>
    </row>
    <row r="23" spans="1:14" ht="43.2" x14ac:dyDescent="0.3">
      <c r="A23" s="1563"/>
      <c r="B23" s="1510"/>
      <c r="C23" s="1074" t="s">
        <v>61</v>
      </c>
      <c r="D23" s="1074" t="s">
        <v>880</v>
      </c>
      <c r="E23" s="1074">
        <v>0</v>
      </c>
      <c r="F23" s="646">
        <v>18481917</v>
      </c>
      <c r="G23" s="646">
        <f>ROUND((E23*F23),0)</f>
        <v>0</v>
      </c>
      <c r="H23" s="1510"/>
      <c r="I23" s="799">
        <v>0</v>
      </c>
      <c r="J23" s="1132">
        <f t="shared" si="9"/>
        <v>0</v>
      </c>
      <c r="K23" s="1133">
        <v>0</v>
      </c>
      <c r="L23" s="1134">
        <f t="shared" si="7"/>
        <v>0</v>
      </c>
      <c r="M23" s="1124">
        <f t="shared" si="8"/>
        <v>0</v>
      </c>
      <c r="N23" s="1133">
        <v>0</v>
      </c>
    </row>
    <row r="24" spans="1:14" x14ac:dyDescent="0.3">
      <c r="A24" s="1563"/>
      <c r="B24" s="1510"/>
      <c r="C24" s="647"/>
      <c r="D24" s="647" t="s">
        <v>229</v>
      </c>
      <c r="E24" s="648"/>
      <c r="F24" s="648"/>
      <c r="G24" s="649">
        <f>SUM(G21:G23)</f>
        <v>4073341</v>
      </c>
      <c r="H24" s="1510"/>
      <c r="I24" s="1108"/>
      <c r="J24" s="1146">
        <f>SUM(J21:J23)</f>
        <v>0</v>
      </c>
      <c r="K24" s="1136">
        <f t="shared" ref="K24" si="10">J24/G24</f>
        <v>0</v>
      </c>
      <c r="L24" s="1137"/>
      <c r="M24" s="1138">
        <f t="shared" si="8"/>
        <v>0</v>
      </c>
      <c r="N24" s="1136">
        <f t="shared" ref="N24" si="11">M24/G24</f>
        <v>0</v>
      </c>
    </row>
    <row r="25" spans="1:14" ht="43.2" x14ac:dyDescent="0.3">
      <c r="A25" s="1563" t="s">
        <v>2589</v>
      </c>
      <c r="B25" s="1510" t="s">
        <v>877</v>
      </c>
      <c r="C25" s="1074" t="s">
        <v>81</v>
      </c>
      <c r="D25" s="1074" t="s">
        <v>878</v>
      </c>
      <c r="E25" s="1074">
        <v>0.3</v>
      </c>
      <c r="F25" s="646">
        <v>5819059</v>
      </c>
      <c r="G25" s="646">
        <f>ROUND((E25*F25),0)</f>
        <v>1745718</v>
      </c>
      <c r="H25" s="1514" t="s">
        <v>2590</v>
      </c>
      <c r="I25" s="799">
        <v>0</v>
      </c>
      <c r="J25" s="1132">
        <f>ROUND(I25*F25,0)</f>
        <v>0</v>
      </c>
      <c r="K25" s="1133">
        <f>J25/G25</f>
        <v>0</v>
      </c>
      <c r="L25" s="1134">
        <f t="shared" ref="L25:L27" si="12">I25</f>
        <v>0</v>
      </c>
      <c r="M25" s="1124">
        <f t="shared" si="8"/>
        <v>0</v>
      </c>
      <c r="N25" s="1133">
        <f>M25/G25</f>
        <v>0</v>
      </c>
    </row>
    <row r="26" spans="1:14" ht="43.2" x14ac:dyDescent="0.3">
      <c r="A26" s="1563"/>
      <c r="B26" s="1510"/>
      <c r="C26" s="1074" t="s">
        <v>83</v>
      </c>
      <c r="D26" s="1074" t="s">
        <v>879</v>
      </c>
      <c r="E26" s="1074">
        <v>0</v>
      </c>
      <c r="F26" s="646">
        <v>9003073</v>
      </c>
      <c r="G26" s="646">
        <f>ROUND((E26*F26),0)</f>
        <v>0</v>
      </c>
      <c r="H26" s="1510"/>
      <c r="I26" s="799">
        <v>0</v>
      </c>
      <c r="J26" s="1132">
        <f t="shared" ref="J26:J27" si="13">ROUND(I26*F26,0)</f>
        <v>0</v>
      </c>
      <c r="K26" s="1133">
        <v>0</v>
      </c>
      <c r="L26" s="1134">
        <f t="shared" si="12"/>
        <v>0</v>
      </c>
      <c r="M26" s="1124">
        <f t="shared" si="8"/>
        <v>0</v>
      </c>
      <c r="N26" s="1133">
        <v>0</v>
      </c>
    </row>
    <row r="27" spans="1:14" ht="43.2" x14ac:dyDescent="0.3">
      <c r="A27" s="1563"/>
      <c r="B27" s="1510"/>
      <c r="C27" s="1074" t="s">
        <v>61</v>
      </c>
      <c r="D27" s="1074" t="s">
        <v>880</v>
      </c>
      <c r="E27" s="1074">
        <v>0</v>
      </c>
      <c r="F27" s="646">
        <v>18481917</v>
      </c>
      <c r="G27" s="646">
        <f>ROUND((E27*F27),0)</f>
        <v>0</v>
      </c>
      <c r="H27" s="1510"/>
      <c r="I27" s="799">
        <v>0</v>
      </c>
      <c r="J27" s="1132">
        <f t="shared" si="13"/>
        <v>0</v>
      </c>
      <c r="K27" s="1133">
        <v>0</v>
      </c>
      <c r="L27" s="1134">
        <f t="shared" si="12"/>
        <v>0</v>
      </c>
      <c r="M27" s="1124">
        <f t="shared" si="8"/>
        <v>0</v>
      </c>
      <c r="N27" s="1133">
        <v>0</v>
      </c>
    </row>
    <row r="28" spans="1:14" x14ac:dyDescent="0.3">
      <c r="A28" s="1563"/>
      <c r="B28" s="1510"/>
      <c r="C28" s="647"/>
      <c r="D28" s="647" t="s">
        <v>229</v>
      </c>
      <c r="E28" s="648"/>
      <c r="F28" s="648"/>
      <c r="G28" s="649">
        <f>SUM(G25:G27)</f>
        <v>1745718</v>
      </c>
      <c r="H28" s="1510"/>
      <c r="I28" s="1108"/>
      <c r="J28" s="1146">
        <f>SUM(J25:J27)</f>
        <v>0</v>
      </c>
      <c r="K28" s="1136">
        <f t="shared" ref="K28" si="14">J28/G28</f>
        <v>0</v>
      </c>
      <c r="L28" s="1137"/>
      <c r="M28" s="1138">
        <f t="shared" si="8"/>
        <v>0</v>
      </c>
      <c r="N28" s="1136">
        <f t="shared" ref="N28" si="15">M28/G28</f>
        <v>0</v>
      </c>
    </row>
    <row r="29" spans="1:14" ht="43.2" x14ac:dyDescent="0.3">
      <c r="A29" s="1563" t="s">
        <v>151</v>
      </c>
      <c r="B29" s="1510" t="s">
        <v>1653</v>
      </c>
      <c r="C29" s="1074" t="s">
        <v>81</v>
      </c>
      <c r="D29" s="1074" t="s">
        <v>111</v>
      </c>
      <c r="E29" s="1074">
        <v>0.7</v>
      </c>
      <c r="F29" s="646">
        <v>5050505</v>
      </c>
      <c r="G29" s="646">
        <f>ROUND((E29*F29),0)</f>
        <v>3535354</v>
      </c>
      <c r="H29" s="1514" t="s">
        <v>2591</v>
      </c>
      <c r="I29" s="799">
        <v>0</v>
      </c>
      <c r="J29" s="1132">
        <f>ROUND(I29*F29,0)</f>
        <v>0</v>
      </c>
      <c r="K29" s="1133">
        <f>J29/G29</f>
        <v>0</v>
      </c>
      <c r="L29" s="1134">
        <f t="shared" ref="L29:L31" si="16">I29</f>
        <v>0</v>
      </c>
      <c r="M29" s="1124">
        <f t="shared" si="8"/>
        <v>0</v>
      </c>
      <c r="N29" s="1133">
        <f>M29/G29</f>
        <v>0</v>
      </c>
    </row>
    <row r="30" spans="1:14" ht="43.2" x14ac:dyDescent="0.3">
      <c r="A30" s="1563"/>
      <c r="B30" s="1510"/>
      <c r="C30" s="1074" t="s">
        <v>83</v>
      </c>
      <c r="D30" s="1074" t="s">
        <v>113</v>
      </c>
      <c r="E30" s="1074">
        <v>0</v>
      </c>
      <c r="F30" s="646">
        <v>7831941</v>
      </c>
      <c r="G30" s="646">
        <f>ROUND((E30*F30),0)</f>
        <v>0</v>
      </c>
      <c r="H30" s="1510"/>
      <c r="I30" s="799">
        <v>0</v>
      </c>
      <c r="J30" s="1132">
        <f t="shared" ref="J30:J31" si="17">ROUND(I30*F30,0)</f>
        <v>0</v>
      </c>
      <c r="K30" s="1133">
        <v>0</v>
      </c>
      <c r="L30" s="1134">
        <f t="shared" si="16"/>
        <v>0</v>
      </c>
      <c r="M30" s="1124">
        <f t="shared" si="8"/>
        <v>0</v>
      </c>
      <c r="N30" s="1133">
        <v>0</v>
      </c>
    </row>
    <row r="31" spans="1:14" ht="43.2" x14ac:dyDescent="0.3">
      <c r="A31" s="1563"/>
      <c r="B31" s="1510"/>
      <c r="C31" s="1074" t="s">
        <v>114</v>
      </c>
      <c r="D31" s="1074" t="s">
        <v>115</v>
      </c>
      <c r="E31" s="1074">
        <v>0</v>
      </c>
      <c r="F31" s="646">
        <v>16066459</v>
      </c>
      <c r="G31" s="646">
        <f>ROUND((E31*F31),0)</f>
        <v>0</v>
      </c>
      <c r="H31" s="1510"/>
      <c r="I31" s="799">
        <v>0</v>
      </c>
      <c r="J31" s="1132">
        <f t="shared" si="17"/>
        <v>0</v>
      </c>
      <c r="K31" s="1133">
        <v>0</v>
      </c>
      <c r="L31" s="1134">
        <f t="shared" si="16"/>
        <v>0</v>
      </c>
      <c r="M31" s="1124">
        <f t="shared" si="8"/>
        <v>0</v>
      </c>
      <c r="N31" s="1133">
        <v>0</v>
      </c>
    </row>
    <row r="32" spans="1:14" x14ac:dyDescent="0.3">
      <c r="A32" s="1563"/>
      <c r="B32" s="1510"/>
      <c r="C32" s="647"/>
      <c r="D32" s="647" t="s">
        <v>116</v>
      </c>
      <c r="E32" s="648"/>
      <c r="F32" s="648"/>
      <c r="G32" s="649">
        <f>SUM(G29:G31)</f>
        <v>3535354</v>
      </c>
      <c r="H32" s="1510"/>
      <c r="I32" s="1108"/>
      <c r="J32" s="1146">
        <f>SUM(J29:J31)</f>
        <v>0</v>
      </c>
      <c r="K32" s="1136">
        <f t="shared" ref="K32" si="18">J32/G32</f>
        <v>0</v>
      </c>
      <c r="L32" s="1137"/>
      <c r="M32" s="1138">
        <f t="shared" si="8"/>
        <v>0</v>
      </c>
      <c r="N32" s="1136">
        <f t="shared" ref="N32" si="19">M32/G32</f>
        <v>0</v>
      </c>
    </row>
    <row r="33" spans="1:14" ht="43.2" x14ac:dyDescent="0.3">
      <c r="A33" s="1510" t="s">
        <v>151</v>
      </c>
      <c r="B33" s="1510" t="s">
        <v>1650</v>
      </c>
      <c r="C33" s="1074" t="s">
        <v>81</v>
      </c>
      <c r="D33" s="1074" t="s">
        <v>133</v>
      </c>
      <c r="E33" s="1074">
        <v>0.3</v>
      </c>
      <c r="F33" s="646">
        <v>11857705</v>
      </c>
      <c r="G33" s="646">
        <f>ROUND((E33*F33),0)</f>
        <v>3557312</v>
      </c>
      <c r="H33" s="1514" t="s">
        <v>2592</v>
      </c>
      <c r="I33" s="799">
        <v>0</v>
      </c>
      <c r="J33" s="1132">
        <f>ROUND(I33*F33,0)</f>
        <v>0</v>
      </c>
      <c r="K33" s="1133">
        <f>J33/G33</f>
        <v>0</v>
      </c>
      <c r="L33" s="1134">
        <f t="shared" ref="L33:L35" si="20">I33</f>
        <v>0</v>
      </c>
      <c r="M33" s="1124">
        <f t="shared" si="8"/>
        <v>0</v>
      </c>
      <c r="N33" s="1133">
        <f>M33/G33</f>
        <v>0</v>
      </c>
    </row>
    <row r="34" spans="1:14" ht="43.2" x14ac:dyDescent="0.3">
      <c r="A34" s="1510"/>
      <c r="B34" s="1510"/>
      <c r="C34" s="1074" t="s">
        <v>83</v>
      </c>
      <c r="D34" s="1074" t="s">
        <v>134</v>
      </c>
      <c r="E34" s="1074">
        <v>0</v>
      </c>
      <c r="F34" s="646">
        <v>5270092</v>
      </c>
      <c r="G34" s="646">
        <f>ROUND((E34*F34),0)</f>
        <v>0</v>
      </c>
      <c r="H34" s="1510"/>
      <c r="I34" s="799">
        <v>0</v>
      </c>
      <c r="J34" s="1132">
        <f t="shared" ref="J34:J35" si="21">ROUND(I34*F34,0)</f>
        <v>0</v>
      </c>
      <c r="K34" s="1133">
        <v>0</v>
      </c>
      <c r="L34" s="1134">
        <f t="shared" si="20"/>
        <v>0</v>
      </c>
      <c r="M34" s="1124">
        <f t="shared" si="8"/>
        <v>0</v>
      </c>
      <c r="N34" s="1133">
        <v>0</v>
      </c>
    </row>
    <row r="35" spans="1:14" ht="43.2" x14ac:dyDescent="0.3">
      <c r="A35" s="1510"/>
      <c r="B35" s="1510"/>
      <c r="C35" s="1074" t="s">
        <v>61</v>
      </c>
      <c r="D35" s="1074" t="s">
        <v>135</v>
      </c>
      <c r="E35" s="1074">
        <v>0</v>
      </c>
      <c r="F35" s="646">
        <v>4501536</v>
      </c>
      <c r="G35" s="646">
        <f>ROUND((E35*F35),0)</f>
        <v>0</v>
      </c>
      <c r="H35" s="1510"/>
      <c r="I35" s="799">
        <v>0</v>
      </c>
      <c r="J35" s="1132">
        <f t="shared" si="21"/>
        <v>0</v>
      </c>
      <c r="K35" s="1133">
        <v>0</v>
      </c>
      <c r="L35" s="1134">
        <f t="shared" si="20"/>
        <v>0</v>
      </c>
      <c r="M35" s="1124">
        <f t="shared" si="8"/>
        <v>0</v>
      </c>
      <c r="N35" s="1133">
        <v>0</v>
      </c>
    </row>
    <row r="36" spans="1:14" x14ac:dyDescent="0.3">
      <c r="A36" s="1510"/>
      <c r="B36" s="1510"/>
      <c r="C36" s="647"/>
      <c r="D36" s="647" t="s">
        <v>136</v>
      </c>
      <c r="E36" s="648"/>
      <c r="F36" s="648"/>
      <c r="G36" s="649">
        <f>SUM(G33:G35)</f>
        <v>3557312</v>
      </c>
      <c r="H36" s="1510"/>
      <c r="I36" s="1108"/>
      <c r="J36" s="1146">
        <f>SUM(J33:J35)</f>
        <v>0</v>
      </c>
      <c r="K36" s="1136">
        <f t="shared" ref="K36" si="22">J36/G36</f>
        <v>0</v>
      </c>
      <c r="L36" s="1137"/>
      <c r="M36" s="1138">
        <f t="shared" si="8"/>
        <v>0</v>
      </c>
      <c r="N36" s="1136">
        <f t="shared" ref="N36" si="23">M36/G36</f>
        <v>0</v>
      </c>
    </row>
    <row r="37" spans="1:14" ht="43.2" x14ac:dyDescent="0.3">
      <c r="A37" s="1510" t="s">
        <v>109</v>
      </c>
      <c r="B37" s="1510" t="s">
        <v>1653</v>
      </c>
      <c r="C37" s="1074" t="s">
        <v>81</v>
      </c>
      <c r="D37" s="1074" t="s">
        <v>111</v>
      </c>
      <c r="E37" s="1074">
        <v>0.3</v>
      </c>
      <c r="F37" s="646">
        <v>5050505</v>
      </c>
      <c r="G37" s="646">
        <f>ROUND((E37*F37),0)</f>
        <v>1515152</v>
      </c>
      <c r="H37" s="1514" t="s">
        <v>2593</v>
      </c>
      <c r="I37" s="799">
        <v>0</v>
      </c>
      <c r="J37" s="1132">
        <f>ROUND(I37*F37,0)</f>
        <v>0</v>
      </c>
      <c r="K37" s="1133">
        <f>J37/G37</f>
        <v>0</v>
      </c>
      <c r="L37" s="1134">
        <f t="shared" ref="L37:L39" si="24">I37</f>
        <v>0</v>
      </c>
      <c r="M37" s="1124">
        <f t="shared" si="8"/>
        <v>0</v>
      </c>
      <c r="N37" s="1133">
        <f>M37/G37</f>
        <v>0</v>
      </c>
    </row>
    <row r="38" spans="1:14" ht="43.2" x14ac:dyDescent="0.3">
      <c r="A38" s="1510"/>
      <c r="B38" s="1510"/>
      <c r="C38" s="1074" t="s">
        <v>83</v>
      </c>
      <c r="D38" s="1074" t="s">
        <v>113</v>
      </c>
      <c r="E38" s="1074">
        <v>0</v>
      </c>
      <c r="F38" s="646">
        <v>7831941</v>
      </c>
      <c r="G38" s="646">
        <f>ROUND((E38*F38),0)</f>
        <v>0</v>
      </c>
      <c r="H38" s="1510"/>
      <c r="I38" s="799">
        <v>0</v>
      </c>
      <c r="J38" s="1132">
        <f t="shared" ref="J38:J39" si="25">ROUND(I38*F38,0)</f>
        <v>0</v>
      </c>
      <c r="K38" s="1133">
        <v>0</v>
      </c>
      <c r="L38" s="1134">
        <f t="shared" si="24"/>
        <v>0</v>
      </c>
      <c r="M38" s="1124">
        <f t="shared" si="8"/>
        <v>0</v>
      </c>
      <c r="N38" s="1133">
        <v>0</v>
      </c>
    </row>
    <row r="39" spans="1:14" ht="43.2" x14ac:dyDescent="0.3">
      <c r="A39" s="1510"/>
      <c r="B39" s="1510"/>
      <c r="C39" s="1074" t="s">
        <v>114</v>
      </c>
      <c r="D39" s="1074" t="s">
        <v>115</v>
      </c>
      <c r="E39" s="1074">
        <v>0</v>
      </c>
      <c r="F39" s="646">
        <v>16066459</v>
      </c>
      <c r="G39" s="646">
        <f>ROUND((E39*F39),0)</f>
        <v>0</v>
      </c>
      <c r="H39" s="1510"/>
      <c r="I39" s="799">
        <v>0</v>
      </c>
      <c r="J39" s="1132">
        <f t="shared" si="25"/>
        <v>0</v>
      </c>
      <c r="K39" s="1133">
        <v>0</v>
      </c>
      <c r="L39" s="1134">
        <f t="shared" si="24"/>
        <v>0</v>
      </c>
      <c r="M39" s="1124">
        <f t="shared" si="8"/>
        <v>0</v>
      </c>
      <c r="N39" s="1133">
        <v>0</v>
      </c>
    </row>
    <row r="40" spans="1:14" x14ac:dyDescent="0.3">
      <c r="A40" s="1510"/>
      <c r="B40" s="1510"/>
      <c r="C40" s="647"/>
      <c r="D40" s="647" t="s">
        <v>116</v>
      </c>
      <c r="E40" s="648"/>
      <c r="F40" s="648"/>
      <c r="G40" s="649">
        <f>SUM(G37:G39)</f>
        <v>1515152</v>
      </c>
      <c r="H40" s="1510"/>
      <c r="I40" s="1108"/>
      <c r="J40" s="1146">
        <f>SUM(J37:J39)</f>
        <v>0</v>
      </c>
      <c r="K40" s="1136">
        <f t="shared" ref="K40" si="26">J40/G40</f>
        <v>0</v>
      </c>
      <c r="L40" s="1137"/>
      <c r="M40" s="1138">
        <f t="shared" si="8"/>
        <v>0</v>
      </c>
      <c r="N40" s="1136">
        <f t="shared" ref="N40" si="27">M40/G40</f>
        <v>0</v>
      </c>
    </row>
    <row r="41" spans="1:14" ht="43.2" x14ac:dyDescent="0.3">
      <c r="A41" s="1514" t="s">
        <v>109</v>
      </c>
      <c r="B41" s="1510" t="s">
        <v>1650</v>
      </c>
      <c r="C41" s="1074" t="s">
        <v>81</v>
      </c>
      <c r="D41" s="1074" t="s">
        <v>133</v>
      </c>
      <c r="E41" s="1074">
        <v>0.3</v>
      </c>
      <c r="F41" s="646">
        <v>11857705</v>
      </c>
      <c r="G41" s="646">
        <f>ROUND((E41*F41),0)</f>
        <v>3557312</v>
      </c>
      <c r="H41" s="1514" t="s">
        <v>2594</v>
      </c>
      <c r="I41" s="799">
        <v>0</v>
      </c>
      <c r="J41" s="1132">
        <f>ROUND(I41*F41,0)</f>
        <v>0</v>
      </c>
      <c r="K41" s="1133">
        <f>J41/G41</f>
        <v>0</v>
      </c>
      <c r="L41" s="1134">
        <f t="shared" ref="L41:L43" si="28">I41</f>
        <v>0</v>
      </c>
      <c r="M41" s="1124">
        <f t="shared" si="8"/>
        <v>0</v>
      </c>
      <c r="N41" s="1133">
        <f>M41/G41</f>
        <v>0</v>
      </c>
    </row>
    <row r="42" spans="1:14" ht="43.2" x14ac:dyDescent="0.3">
      <c r="A42" s="1510"/>
      <c r="B42" s="1510"/>
      <c r="C42" s="1074" t="s">
        <v>83</v>
      </c>
      <c r="D42" s="1074" t="s">
        <v>134</v>
      </c>
      <c r="E42" s="1074">
        <v>0</v>
      </c>
      <c r="F42" s="646">
        <v>5270092</v>
      </c>
      <c r="G42" s="646">
        <f>ROUND((E42*F42),0)</f>
        <v>0</v>
      </c>
      <c r="H42" s="1510"/>
      <c r="I42" s="799">
        <v>0</v>
      </c>
      <c r="J42" s="1132">
        <f t="shared" ref="J42:J43" si="29">ROUND(I42*F42,0)</f>
        <v>0</v>
      </c>
      <c r="K42" s="1133">
        <v>0</v>
      </c>
      <c r="L42" s="1134">
        <f t="shared" si="28"/>
        <v>0</v>
      </c>
      <c r="M42" s="1124">
        <f t="shared" si="8"/>
        <v>0</v>
      </c>
      <c r="N42" s="1133">
        <v>0</v>
      </c>
    </row>
    <row r="43" spans="1:14" ht="43.2" x14ac:dyDescent="0.3">
      <c r="A43" s="1510"/>
      <c r="B43" s="1510"/>
      <c r="C43" s="1074" t="s">
        <v>61</v>
      </c>
      <c r="D43" s="1074" t="s">
        <v>135</v>
      </c>
      <c r="E43" s="1074">
        <v>0</v>
      </c>
      <c r="F43" s="646">
        <v>4501536</v>
      </c>
      <c r="G43" s="646">
        <f>ROUND((E43*F43),0)</f>
        <v>0</v>
      </c>
      <c r="H43" s="1510"/>
      <c r="I43" s="799">
        <v>0</v>
      </c>
      <c r="J43" s="1132">
        <f t="shared" si="29"/>
        <v>0</v>
      </c>
      <c r="K43" s="1133">
        <v>0</v>
      </c>
      <c r="L43" s="1134">
        <f t="shared" si="28"/>
        <v>0</v>
      </c>
      <c r="M43" s="1124">
        <f t="shared" si="8"/>
        <v>0</v>
      </c>
      <c r="N43" s="1133">
        <v>0</v>
      </c>
    </row>
    <row r="44" spans="1:14" x14ac:dyDescent="0.3">
      <c r="A44" s="1510"/>
      <c r="B44" s="1510"/>
      <c r="C44" s="647"/>
      <c r="D44" s="647" t="s">
        <v>136</v>
      </c>
      <c r="E44" s="648"/>
      <c r="F44" s="648"/>
      <c r="G44" s="649">
        <f>SUM(G41:G43)</f>
        <v>3557312</v>
      </c>
      <c r="H44" s="1510"/>
      <c r="I44" s="1108"/>
      <c r="J44" s="1146">
        <f>SUM(J41:J43)</f>
        <v>0</v>
      </c>
      <c r="K44" s="1136">
        <f t="shared" ref="K44" si="30">J44/G44</f>
        <v>0</v>
      </c>
      <c r="L44" s="1137"/>
      <c r="M44" s="1138">
        <f t="shared" si="8"/>
        <v>0</v>
      </c>
      <c r="N44" s="1136">
        <f t="shared" ref="N44" si="31">M44/G44</f>
        <v>0</v>
      </c>
    </row>
    <row r="45" spans="1:14" ht="43.2" x14ac:dyDescent="0.3">
      <c r="A45" s="1510" t="s">
        <v>1326</v>
      </c>
      <c r="B45" s="1510" t="s">
        <v>392</v>
      </c>
      <c r="C45" s="1074" t="s">
        <v>59</v>
      </c>
      <c r="D45" s="1074" t="s">
        <v>60</v>
      </c>
      <c r="E45" s="1074">
        <v>0.35</v>
      </c>
      <c r="F45" s="646">
        <v>14016979</v>
      </c>
      <c r="G45" s="646">
        <f>ROUND((E45*F45),0)</f>
        <v>4905943</v>
      </c>
      <c r="H45" s="1514" t="s">
        <v>2595</v>
      </c>
      <c r="I45" s="799">
        <v>0</v>
      </c>
      <c r="J45" s="1132">
        <f>ROUND(I45*F45,0)</f>
        <v>0</v>
      </c>
      <c r="K45" s="1133">
        <f>J45/G45</f>
        <v>0</v>
      </c>
      <c r="L45" s="1134">
        <f t="shared" ref="L45:L46" si="32">I45</f>
        <v>0</v>
      </c>
      <c r="M45" s="1124">
        <f t="shared" ref="M45:M50" si="33">J45</f>
        <v>0</v>
      </c>
      <c r="N45" s="1133">
        <f>M45/G45</f>
        <v>0</v>
      </c>
    </row>
    <row r="46" spans="1:14" ht="43.2" x14ac:dyDescent="0.3">
      <c r="A46" s="1510"/>
      <c r="B46" s="1510"/>
      <c r="C46" s="1074" t="s">
        <v>61</v>
      </c>
      <c r="D46" s="1074" t="s">
        <v>62</v>
      </c>
      <c r="E46" s="1074">
        <v>0</v>
      </c>
      <c r="F46" s="646">
        <v>5306690</v>
      </c>
      <c r="G46" s="646">
        <f>ROUND((E46*F46),0)</f>
        <v>0</v>
      </c>
      <c r="H46" s="1510"/>
      <c r="I46" s="799">
        <v>0</v>
      </c>
      <c r="J46" s="1132">
        <f t="shared" ref="J46" si="34">ROUND(I46*F46,0)</f>
        <v>0</v>
      </c>
      <c r="K46" s="1133">
        <v>0</v>
      </c>
      <c r="L46" s="1134">
        <f t="shared" si="32"/>
        <v>0</v>
      </c>
      <c r="M46" s="1124">
        <f t="shared" si="33"/>
        <v>0</v>
      </c>
      <c r="N46" s="1133">
        <v>0</v>
      </c>
    </row>
    <row r="47" spans="1:14" x14ac:dyDescent="0.3">
      <c r="A47" s="1510"/>
      <c r="B47" s="1510"/>
      <c r="C47" s="647"/>
      <c r="D47" s="647" t="s">
        <v>63</v>
      </c>
      <c r="E47" s="648"/>
      <c r="F47" s="648"/>
      <c r="G47" s="649">
        <f>SUM(G45:G46)</f>
        <v>4905943</v>
      </c>
      <c r="H47" s="1510"/>
      <c r="I47" s="1108"/>
      <c r="J47" s="1146">
        <f>SUM(J45:J46)</f>
        <v>0</v>
      </c>
      <c r="K47" s="1136">
        <f>J47/G47</f>
        <v>0</v>
      </c>
      <c r="L47" s="1137"/>
      <c r="M47" s="1138">
        <f t="shared" si="33"/>
        <v>0</v>
      </c>
      <c r="N47" s="1136">
        <f t="shared" ref="N47" si="35">M47/G47</f>
        <v>0</v>
      </c>
    </row>
    <row r="48" spans="1:14" ht="43.2" x14ac:dyDescent="0.3">
      <c r="A48" s="1514" t="s">
        <v>765</v>
      </c>
      <c r="B48" s="1510" t="s">
        <v>392</v>
      </c>
      <c r="C48" s="1074" t="s">
        <v>59</v>
      </c>
      <c r="D48" s="1074" t="s">
        <v>60</v>
      </c>
      <c r="E48" s="1074">
        <v>0.35</v>
      </c>
      <c r="F48" s="646">
        <v>14016979</v>
      </c>
      <c r="G48" s="646">
        <f>ROUND((E48*F48),0)</f>
        <v>4905943</v>
      </c>
      <c r="H48" s="1514" t="s">
        <v>2596</v>
      </c>
      <c r="I48" s="799">
        <v>0</v>
      </c>
      <c r="J48" s="1132">
        <f>ROUND(I48*F48,0)</f>
        <v>0</v>
      </c>
      <c r="K48" s="1133">
        <f>J48/G48</f>
        <v>0</v>
      </c>
      <c r="L48" s="1134">
        <f t="shared" ref="L48:L49" si="36">I48</f>
        <v>0</v>
      </c>
      <c r="M48" s="1124">
        <f t="shared" si="33"/>
        <v>0</v>
      </c>
      <c r="N48" s="1133">
        <f>M48/G48</f>
        <v>0</v>
      </c>
    </row>
    <row r="49" spans="1:14" ht="43.2" x14ac:dyDescent="0.3">
      <c r="A49" s="1510"/>
      <c r="B49" s="1510"/>
      <c r="C49" s="1074" t="s">
        <v>61</v>
      </c>
      <c r="D49" s="1074" t="s">
        <v>62</v>
      </c>
      <c r="E49" s="1074">
        <v>0</v>
      </c>
      <c r="F49" s="646">
        <v>5306690</v>
      </c>
      <c r="G49" s="646">
        <f>ROUND((E49*F49),0)</f>
        <v>0</v>
      </c>
      <c r="H49" s="1510"/>
      <c r="I49" s="799">
        <v>0</v>
      </c>
      <c r="J49" s="1132">
        <f t="shared" ref="J49" si="37">ROUND(I49*F49,0)</f>
        <v>0</v>
      </c>
      <c r="K49" s="1133">
        <v>0</v>
      </c>
      <c r="L49" s="1134">
        <f t="shared" si="36"/>
        <v>0</v>
      </c>
      <c r="M49" s="1124">
        <f t="shared" si="33"/>
        <v>0</v>
      </c>
      <c r="N49" s="1133">
        <v>0</v>
      </c>
    </row>
    <row r="50" spans="1:14" x14ac:dyDescent="0.3">
      <c r="A50" s="1510"/>
      <c r="B50" s="1510"/>
      <c r="C50" s="647"/>
      <c r="D50" s="647" t="s">
        <v>63</v>
      </c>
      <c r="E50" s="648"/>
      <c r="F50" s="648"/>
      <c r="G50" s="649">
        <f>SUM(G48:G49)</f>
        <v>4905943</v>
      </c>
      <c r="H50" s="1510"/>
      <c r="I50" s="1108"/>
      <c r="J50" s="1146">
        <f>SUM(J48:J49)</f>
        <v>0</v>
      </c>
      <c r="K50" s="1136">
        <f t="shared" ref="K50:K62" si="38">J50/G50</f>
        <v>0</v>
      </c>
      <c r="L50" s="1137"/>
      <c r="M50" s="1138">
        <f t="shared" si="33"/>
        <v>0</v>
      </c>
      <c r="N50" s="1136">
        <f t="shared" ref="N50" si="39">M50/G50</f>
        <v>0</v>
      </c>
    </row>
    <row r="51" spans="1:14" ht="43.2" x14ac:dyDescent="0.3">
      <c r="A51" s="1510" t="s">
        <v>1861</v>
      </c>
      <c r="B51" s="1510" t="s">
        <v>238</v>
      </c>
      <c r="C51" s="1074" t="s">
        <v>81</v>
      </c>
      <c r="D51" s="1074" t="s">
        <v>128</v>
      </c>
      <c r="E51" s="1074">
        <v>0.35</v>
      </c>
      <c r="F51" s="646">
        <v>3806177</v>
      </c>
      <c r="G51" s="646">
        <f>ROUND((E51*F51),0)</f>
        <v>1332162</v>
      </c>
      <c r="H51" s="1514" t="s">
        <v>2597</v>
      </c>
      <c r="I51" s="799">
        <v>0</v>
      </c>
      <c r="J51" s="1132">
        <f t="shared" ref="J51" si="40">ROUND(I51*F51,0)</f>
        <v>0</v>
      </c>
      <c r="K51" s="1133">
        <f t="shared" si="38"/>
        <v>0</v>
      </c>
      <c r="L51" s="1134">
        <f t="shared" ref="L51" si="41">I51</f>
        <v>0</v>
      </c>
      <c r="M51" s="1124">
        <f t="shared" ref="M51:M62" si="42">J51</f>
        <v>0</v>
      </c>
      <c r="N51" s="1133">
        <f>M51/G51</f>
        <v>0</v>
      </c>
    </row>
    <row r="52" spans="1:14" x14ac:dyDescent="0.3">
      <c r="A52" s="1510"/>
      <c r="B52" s="1510"/>
      <c r="C52" s="647"/>
      <c r="D52" s="647" t="s">
        <v>130</v>
      </c>
      <c r="E52" s="648"/>
      <c r="F52" s="648"/>
      <c r="G52" s="1197">
        <f>G51</f>
        <v>1332162</v>
      </c>
      <c r="H52" s="1510"/>
      <c r="I52" s="1108"/>
      <c r="J52" s="1146">
        <f>SUM(J50:J51)</f>
        <v>0</v>
      </c>
      <c r="K52" s="1136">
        <f t="shared" si="38"/>
        <v>0</v>
      </c>
      <c r="L52" s="1137"/>
      <c r="M52" s="1138">
        <f t="shared" si="42"/>
        <v>0</v>
      </c>
      <c r="N52" s="1136">
        <f t="shared" ref="N52" si="43">M52/G52</f>
        <v>0</v>
      </c>
    </row>
    <row r="53" spans="1:14" ht="57.6" x14ac:dyDescent="0.3">
      <c r="A53" s="1514" t="s">
        <v>1861</v>
      </c>
      <c r="B53" s="1510" t="s">
        <v>683</v>
      </c>
      <c r="C53" s="1075" t="s">
        <v>148</v>
      </c>
      <c r="D53" s="1074" t="s">
        <v>684</v>
      </c>
      <c r="E53" s="1074">
        <v>0.84</v>
      </c>
      <c r="F53" s="646">
        <v>17237590</v>
      </c>
      <c r="G53" s="646">
        <f>ROUND((E53*F53),0)</f>
        <v>14479576</v>
      </c>
      <c r="H53" s="1566" t="s">
        <v>2598</v>
      </c>
      <c r="I53" s="799">
        <v>0</v>
      </c>
      <c r="J53" s="1132">
        <f t="shared" ref="J53" si="44">ROUND(I53*F53,0)</f>
        <v>0</v>
      </c>
      <c r="K53" s="1133">
        <f t="shared" si="38"/>
        <v>0</v>
      </c>
      <c r="L53" s="1134">
        <f t="shared" ref="L53" si="45">I53</f>
        <v>0</v>
      </c>
      <c r="M53" s="1124">
        <f t="shared" si="42"/>
        <v>0</v>
      </c>
      <c r="N53" s="1133">
        <f>M53/G53</f>
        <v>0</v>
      </c>
    </row>
    <row r="54" spans="1:14" x14ac:dyDescent="0.3">
      <c r="A54" s="1510"/>
      <c r="B54" s="1510"/>
      <c r="C54" s="647"/>
      <c r="D54" s="647" t="s">
        <v>685</v>
      </c>
      <c r="E54" s="648"/>
      <c r="F54" s="648"/>
      <c r="G54" s="649">
        <f>G53</f>
        <v>14479576</v>
      </c>
      <c r="H54" s="1567"/>
      <c r="I54" s="1108"/>
      <c r="J54" s="1146">
        <f>SUM(J52:J53)</f>
        <v>0</v>
      </c>
      <c r="K54" s="1136">
        <f t="shared" si="38"/>
        <v>0</v>
      </c>
      <c r="L54" s="1137"/>
      <c r="M54" s="1138">
        <f t="shared" si="42"/>
        <v>0</v>
      </c>
      <c r="N54" s="1136">
        <f t="shared" ref="N54" si="46">M54/G54</f>
        <v>0</v>
      </c>
    </row>
    <row r="55" spans="1:14" ht="28.8" x14ac:dyDescent="0.3">
      <c r="A55" s="1514" t="s">
        <v>1861</v>
      </c>
      <c r="B55" s="1510" t="s">
        <v>194</v>
      </c>
      <c r="C55" s="1074" t="s">
        <v>160</v>
      </c>
      <c r="D55" s="1074" t="s">
        <v>161</v>
      </c>
      <c r="E55" s="1074">
        <v>72</v>
      </c>
      <c r="F55" s="646">
        <v>73196</v>
      </c>
      <c r="G55" s="646">
        <f>ROUND((E55*F55),0)</f>
        <v>5270112</v>
      </c>
      <c r="H55" s="1514" t="s">
        <v>2599</v>
      </c>
      <c r="I55" s="799">
        <v>0</v>
      </c>
      <c r="J55" s="1132">
        <f t="shared" ref="J55" si="47">ROUND(I55*F55,0)</f>
        <v>0</v>
      </c>
      <c r="K55" s="1133">
        <f t="shared" si="38"/>
        <v>0</v>
      </c>
      <c r="L55" s="1134">
        <f t="shared" ref="L55" si="48">I55</f>
        <v>0</v>
      </c>
      <c r="M55" s="1124">
        <f t="shared" si="42"/>
        <v>0</v>
      </c>
      <c r="N55" s="1133">
        <f>M55/G55</f>
        <v>0</v>
      </c>
    </row>
    <row r="56" spans="1:14" x14ac:dyDescent="0.3">
      <c r="A56" s="1510"/>
      <c r="B56" s="1510"/>
      <c r="C56" s="647"/>
      <c r="D56" s="647" t="s">
        <v>162</v>
      </c>
      <c r="E56" s="648"/>
      <c r="F56" s="648"/>
      <c r="G56" s="649">
        <f>G55</f>
        <v>5270112</v>
      </c>
      <c r="H56" s="1510"/>
      <c r="I56" s="1108"/>
      <c r="J56" s="1146">
        <f>SUM(J54:J55)</f>
        <v>0</v>
      </c>
      <c r="K56" s="1136">
        <f t="shared" si="38"/>
        <v>0</v>
      </c>
      <c r="L56" s="1137"/>
      <c r="M56" s="1138">
        <f t="shared" si="42"/>
        <v>0</v>
      </c>
      <c r="N56" s="1136">
        <f t="shared" ref="N56" si="49">M56/G56</f>
        <v>0</v>
      </c>
    </row>
    <row r="57" spans="1:14" ht="28.8" x14ac:dyDescent="0.3">
      <c r="A57" s="1510" t="s">
        <v>2600</v>
      </c>
      <c r="B57" s="1510" t="s">
        <v>194</v>
      </c>
      <c r="C57" s="1074" t="s">
        <v>160</v>
      </c>
      <c r="D57" s="1074" t="s">
        <v>161</v>
      </c>
      <c r="E57" s="1074">
        <v>15</v>
      </c>
      <c r="F57" s="646">
        <v>73196</v>
      </c>
      <c r="G57" s="646">
        <f>ROUND((E57*F57),0)</f>
        <v>1097940</v>
      </c>
      <c r="H57" s="1514" t="s">
        <v>2601</v>
      </c>
      <c r="I57" s="799">
        <v>0</v>
      </c>
      <c r="J57" s="1132">
        <f t="shared" ref="J57" si="50">ROUND(I57*F57,0)</f>
        <v>0</v>
      </c>
      <c r="K57" s="1133">
        <f t="shared" si="38"/>
        <v>0</v>
      </c>
      <c r="L57" s="1134">
        <f t="shared" ref="L57" si="51">I57</f>
        <v>0</v>
      </c>
      <c r="M57" s="1124">
        <f t="shared" si="42"/>
        <v>0</v>
      </c>
      <c r="N57" s="1133">
        <f>M57/G57</f>
        <v>0</v>
      </c>
    </row>
    <row r="58" spans="1:14" x14ac:dyDescent="0.3">
      <c r="A58" s="1510"/>
      <c r="B58" s="1510"/>
      <c r="C58" s="647"/>
      <c r="D58" s="647" t="s">
        <v>162</v>
      </c>
      <c r="E58" s="648"/>
      <c r="F58" s="648"/>
      <c r="G58" s="649">
        <f>G57</f>
        <v>1097940</v>
      </c>
      <c r="H58" s="1510"/>
      <c r="I58" s="1108"/>
      <c r="J58" s="1146">
        <f>SUM(J56:J57)</f>
        <v>0</v>
      </c>
      <c r="K58" s="1136">
        <f t="shared" si="38"/>
        <v>0</v>
      </c>
      <c r="L58" s="1137"/>
      <c r="M58" s="1138">
        <f t="shared" si="42"/>
        <v>0</v>
      </c>
      <c r="N58" s="1136">
        <f t="shared" ref="N58" si="52">M58/G58</f>
        <v>0</v>
      </c>
    </row>
    <row r="59" spans="1:14" ht="43.2" x14ac:dyDescent="0.3">
      <c r="A59" s="1568" t="s">
        <v>2602</v>
      </c>
      <c r="B59" s="1568" t="s">
        <v>679</v>
      </c>
      <c r="C59" s="1198" t="s">
        <v>680</v>
      </c>
      <c r="D59" s="1198" t="s">
        <v>681</v>
      </c>
      <c r="E59" s="1198">
        <v>0.17499999999999999</v>
      </c>
      <c r="F59" s="1199">
        <v>5892255</v>
      </c>
      <c r="G59" s="1199">
        <f>ROUND((E59*F59),0)</f>
        <v>1031145</v>
      </c>
      <c r="H59" s="1569" t="s">
        <v>2603</v>
      </c>
      <c r="I59" s="799">
        <v>0</v>
      </c>
      <c r="J59" s="1132">
        <f t="shared" ref="J59" si="53">ROUND(I59*F59,0)</f>
        <v>0</v>
      </c>
      <c r="K59" s="1133">
        <f t="shared" si="38"/>
        <v>0</v>
      </c>
      <c r="L59" s="1134">
        <f t="shared" ref="L59" si="54">I59</f>
        <v>0</v>
      </c>
      <c r="M59" s="1124">
        <f t="shared" si="42"/>
        <v>0</v>
      </c>
      <c r="N59" s="1133">
        <f>M59/G59</f>
        <v>0</v>
      </c>
    </row>
    <row r="60" spans="1:14" x14ac:dyDescent="0.3">
      <c r="A60" s="1568"/>
      <c r="B60" s="1568"/>
      <c r="C60" s="647"/>
      <c r="D60" s="647" t="s">
        <v>682</v>
      </c>
      <c r="E60" s="648"/>
      <c r="F60" s="648"/>
      <c r="G60" s="1200">
        <f>G59</f>
        <v>1031145</v>
      </c>
      <c r="H60" s="1569"/>
      <c r="I60" s="1108"/>
      <c r="J60" s="1146">
        <f>SUM(J58:J59)</f>
        <v>0</v>
      </c>
      <c r="K60" s="1136">
        <f t="shared" si="38"/>
        <v>0</v>
      </c>
      <c r="L60" s="1137"/>
      <c r="M60" s="1138">
        <f t="shared" si="42"/>
        <v>0</v>
      </c>
      <c r="N60" s="1136">
        <f t="shared" ref="N60" si="55">M60/G60</f>
        <v>0</v>
      </c>
    </row>
    <row r="61" spans="1:14" ht="43.2" x14ac:dyDescent="0.3">
      <c r="A61" s="1510" t="s">
        <v>1861</v>
      </c>
      <c r="B61" s="1510" t="s">
        <v>2604</v>
      </c>
      <c r="C61" s="1074" t="s">
        <v>81</v>
      </c>
      <c r="D61" s="1074" t="s">
        <v>185</v>
      </c>
      <c r="E61" s="1074">
        <v>0.2</v>
      </c>
      <c r="F61" s="646">
        <v>5599472</v>
      </c>
      <c r="G61" s="646">
        <f>ROUND((E61*F61),0)</f>
        <v>1119894</v>
      </c>
      <c r="H61" s="1514" t="s">
        <v>2605</v>
      </c>
      <c r="I61" s="799">
        <v>0</v>
      </c>
      <c r="J61" s="1132">
        <f t="shared" ref="J61" si="56">ROUND(I61*F61,0)</f>
        <v>0</v>
      </c>
      <c r="K61" s="1133">
        <f t="shared" si="38"/>
        <v>0</v>
      </c>
      <c r="L61" s="1134">
        <f t="shared" ref="L61" si="57">I61</f>
        <v>0</v>
      </c>
      <c r="M61" s="1124">
        <f t="shared" si="42"/>
        <v>0</v>
      </c>
      <c r="N61" s="1133">
        <f>M61/G61</f>
        <v>0</v>
      </c>
    </row>
    <row r="62" spans="1:14" x14ac:dyDescent="0.3">
      <c r="A62" s="1510"/>
      <c r="B62" s="1510"/>
      <c r="C62" s="647"/>
      <c r="D62" s="647" t="s">
        <v>187</v>
      </c>
      <c r="E62" s="648"/>
      <c r="F62" s="648"/>
      <c r="G62" s="649">
        <f>G61</f>
        <v>1119894</v>
      </c>
      <c r="H62" s="1510"/>
      <c r="I62" s="1108"/>
      <c r="J62" s="1146">
        <f>SUM(J60:J61)</f>
        <v>0</v>
      </c>
      <c r="K62" s="1136">
        <f t="shared" si="38"/>
        <v>0</v>
      </c>
      <c r="L62" s="1137"/>
      <c r="M62" s="1138">
        <f t="shared" si="42"/>
        <v>0</v>
      </c>
      <c r="N62" s="1136">
        <f t="shared" ref="N62" si="58">M62/G62</f>
        <v>0</v>
      </c>
    </row>
    <row r="63" spans="1:14" x14ac:dyDescent="0.3">
      <c r="F63" s="836" t="s">
        <v>1740</v>
      </c>
      <c r="G63" s="650">
        <f>SUM(G14:G62)/2</f>
        <v>57899849</v>
      </c>
      <c r="I63" s="547" t="s">
        <v>64</v>
      </c>
      <c r="J63" s="855">
        <f>SUM(J14:J62)/2</f>
        <v>0</v>
      </c>
      <c r="K63" s="1073"/>
      <c r="L63" s="547" t="s">
        <v>64</v>
      </c>
      <c r="M63" s="835">
        <f>SUM(M14:M62)/2</f>
        <v>0</v>
      </c>
      <c r="N63" s="1073"/>
    </row>
    <row r="64" spans="1:14" ht="26.4" x14ac:dyDescent="0.3">
      <c r="F64" s="1118">
        <v>0.03</v>
      </c>
      <c r="G64" s="1185">
        <v>0</v>
      </c>
      <c r="I64" s="548" t="s">
        <v>65</v>
      </c>
      <c r="J64" s="677">
        <v>0</v>
      </c>
      <c r="K64" s="1073"/>
      <c r="L64" s="548" t="s">
        <v>65</v>
      </c>
      <c r="M64" s="677">
        <v>0</v>
      </c>
      <c r="N64" s="1073"/>
    </row>
    <row r="65" spans="6:14" x14ac:dyDescent="0.3">
      <c r="F65" s="1119" t="s">
        <v>64</v>
      </c>
      <c r="G65" s="1151">
        <f>G63+G64</f>
        <v>57899849</v>
      </c>
      <c r="I65" s="549" t="s">
        <v>64</v>
      </c>
      <c r="J65" s="481">
        <f>J63+J64</f>
        <v>0</v>
      </c>
      <c r="K65" s="1073"/>
      <c r="L65" s="549" t="s">
        <v>64</v>
      </c>
      <c r="M65" s="481">
        <f>M63+M64</f>
        <v>0</v>
      </c>
      <c r="N65" s="1073"/>
    </row>
    <row r="66" spans="6:14" ht="26.4" x14ac:dyDescent="0.3">
      <c r="F66" s="501" t="s">
        <v>1439</v>
      </c>
      <c r="G66" s="1116">
        <f>ROUND(G65*0.015,0)</f>
        <v>868498</v>
      </c>
      <c r="I66" s="501" t="s">
        <v>1439</v>
      </c>
      <c r="J66" s="481">
        <f>ROUND(J65*0.015,0)</f>
        <v>0</v>
      </c>
      <c r="K66" s="1073"/>
      <c r="L66" s="501" t="s">
        <v>1439</v>
      </c>
      <c r="M66" s="481">
        <f>ROUND(M65*0.015,0)</f>
        <v>0</v>
      </c>
      <c r="N66" s="1073"/>
    </row>
    <row r="67" spans="6:14" ht="39.6" x14ac:dyDescent="0.3">
      <c r="F67" s="96" t="s">
        <v>1440</v>
      </c>
      <c r="G67" s="1117">
        <f>G65+G66</f>
        <v>58768347</v>
      </c>
      <c r="I67" s="96" t="s">
        <v>1440</v>
      </c>
      <c r="J67" s="783">
        <f>J65+J66</f>
        <v>0</v>
      </c>
      <c r="K67" s="856">
        <f>J67/G63</f>
        <v>0</v>
      </c>
      <c r="L67" s="96" t="s">
        <v>1440</v>
      </c>
      <c r="M67" s="425">
        <f>M65+M66</f>
        <v>0</v>
      </c>
      <c r="N67" s="857">
        <f>M67/G63</f>
        <v>0</v>
      </c>
    </row>
    <row r="68" spans="6:14" x14ac:dyDescent="0.3">
      <c r="F68" s="1122" t="s">
        <v>66</v>
      </c>
      <c r="G68" s="783">
        <f>G67*0.19</f>
        <v>11165985.93</v>
      </c>
      <c r="I68" s="551" t="s">
        <v>66</v>
      </c>
      <c r="J68" s="672">
        <f>J67*0.19</f>
        <v>0</v>
      </c>
      <c r="K68" s="1073"/>
      <c r="L68" s="551" t="s">
        <v>66</v>
      </c>
      <c r="M68" s="672">
        <f>M67*0.19</f>
        <v>0</v>
      </c>
      <c r="N68" s="1073"/>
    </row>
    <row r="69" spans="6:14" x14ac:dyDescent="0.3">
      <c r="F69" s="1123" t="s">
        <v>69</v>
      </c>
      <c r="G69" s="672">
        <f>G67+G68</f>
        <v>69934332.930000007</v>
      </c>
      <c r="I69" s="552" t="s">
        <v>69</v>
      </c>
      <c r="J69" s="672">
        <f>J67+J68</f>
        <v>0</v>
      </c>
      <c r="K69" s="1073"/>
      <c r="L69" s="552" t="s">
        <v>69</v>
      </c>
      <c r="M69" s="672">
        <f>M67+M68</f>
        <v>0</v>
      </c>
      <c r="N69" s="1073"/>
    </row>
    <row r="70" spans="6:14" x14ac:dyDescent="0.3">
      <c r="F70" s="1073"/>
      <c r="G70" s="1073"/>
      <c r="I70" s="1073"/>
      <c r="J70" s="1073"/>
      <c r="K70" s="1073"/>
      <c r="L70" s="1073"/>
      <c r="M70" s="1073"/>
      <c r="N70" s="1073"/>
    </row>
    <row r="71" spans="6:14" ht="26.4" x14ac:dyDescent="0.3">
      <c r="I71" s="186" t="s">
        <v>70</v>
      </c>
      <c r="J71" s="187" t="s">
        <v>71</v>
      </c>
      <c r="K71" s="186" t="s">
        <v>58</v>
      </c>
      <c r="L71" s="1073"/>
      <c r="M71" s="1073"/>
      <c r="N71" s="1073"/>
    </row>
    <row r="72" spans="6:14" x14ac:dyDescent="0.3">
      <c r="I72" s="69" t="s">
        <v>72</v>
      </c>
      <c r="J72" s="70">
        <f>J67</f>
        <v>0</v>
      </c>
      <c r="K72" s="360">
        <f>K67</f>
        <v>0</v>
      </c>
      <c r="L72" s="1073"/>
      <c r="M72" s="1073"/>
      <c r="N72" s="1073"/>
    </row>
    <row r="73" spans="6:14" x14ac:dyDescent="0.3">
      <c r="I73" s="72" t="s">
        <v>1</v>
      </c>
      <c r="J73" s="105">
        <f>J72</f>
        <v>0</v>
      </c>
      <c r="K73" s="361">
        <f>K72</f>
        <v>0</v>
      </c>
      <c r="L73" s="1073"/>
      <c r="M73" s="1073"/>
      <c r="N73" s="1073"/>
    </row>
    <row r="74" spans="6:14" x14ac:dyDescent="0.3">
      <c r="I74" s="72" t="s">
        <v>9</v>
      </c>
      <c r="J74" s="1423"/>
      <c r="K74" s="1424"/>
      <c r="L74" s="1073"/>
      <c r="M74" s="1073"/>
      <c r="N74" s="1073"/>
    </row>
    <row r="75" spans="6:14" x14ac:dyDescent="0.3">
      <c r="I75" s="440" t="s">
        <v>78</v>
      </c>
      <c r="J75" s="1423"/>
      <c r="K75" s="1424"/>
      <c r="L75" s="1073"/>
      <c r="M75" s="1073"/>
      <c r="N75" s="1073"/>
    </row>
    <row r="76" spans="6:14" x14ac:dyDescent="0.3">
      <c r="I76" s="439" t="s">
        <v>8</v>
      </c>
      <c r="J76" s="1425"/>
      <c r="K76" s="1426"/>
      <c r="L76" s="1073"/>
      <c r="M76" s="1073"/>
      <c r="N76" s="1073"/>
    </row>
    <row r="77" spans="6:14" x14ac:dyDescent="0.3">
      <c r="I77" s="1073"/>
      <c r="J77" s="1073"/>
      <c r="K77" s="1073"/>
      <c r="L77" s="1073"/>
      <c r="M77" s="1073"/>
      <c r="N77" s="1073"/>
    </row>
    <row r="78" spans="6:14" x14ac:dyDescent="0.3">
      <c r="I78" s="1073"/>
      <c r="J78" s="1073"/>
      <c r="K78" s="1073"/>
      <c r="L78" s="1073"/>
      <c r="M78" s="1073"/>
      <c r="N78" s="1073"/>
    </row>
    <row r="79" spans="6:14" x14ac:dyDescent="0.3">
      <c r="I79" s="1073"/>
      <c r="J79" s="1073"/>
      <c r="K79" s="1073"/>
      <c r="L79" s="1073"/>
      <c r="M79" s="1073"/>
      <c r="N79" s="1073"/>
    </row>
  </sheetData>
  <mergeCells count="66">
    <mergeCell ref="J74:K74"/>
    <mergeCell ref="J75:K75"/>
    <mergeCell ref="J76:K76"/>
    <mergeCell ref="A59:A60"/>
    <mergeCell ref="B59:B60"/>
    <mergeCell ref="H59:H60"/>
    <mergeCell ref="A61:A62"/>
    <mergeCell ref="B61:B62"/>
    <mergeCell ref="H61:H62"/>
    <mergeCell ref="A55:A56"/>
    <mergeCell ref="B55:B56"/>
    <mergeCell ref="H55:H56"/>
    <mergeCell ref="A57:A58"/>
    <mergeCell ref="B57:B58"/>
    <mergeCell ref="H57:H58"/>
    <mergeCell ref="A51:A52"/>
    <mergeCell ref="B51:B52"/>
    <mergeCell ref="H51:H52"/>
    <mergeCell ref="A53:A54"/>
    <mergeCell ref="B53:B54"/>
    <mergeCell ref="H53:H54"/>
    <mergeCell ref="A45:A47"/>
    <mergeCell ref="B45:B47"/>
    <mergeCell ref="H45:H47"/>
    <mergeCell ref="A48:A50"/>
    <mergeCell ref="B48:B50"/>
    <mergeCell ref="H48:H50"/>
    <mergeCell ref="A37:A40"/>
    <mergeCell ref="B37:B40"/>
    <mergeCell ref="H37:H40"/>
    <mergeCell ref="A41:A44"/>
    <mergeCell ref="B41:B44"/>
    <mergeCell ref="H41:H44"/>
    <mergeCell ref="A29:A32"/>
    <mergeCell ref="B29:B32"/>
    <mergeCell ref="H29:H32"/>
    <mergeCell ref="A33:A36"/>
    <mergeCell ref="B33:B36"/>
    <mergeCell ref="H33:H36"/>
    <mergeCell ref="A21:A24"/>
    <mergeCell ref="B21:B24"/>
    <mergeCell ref="H21:H24"/>
    <mergeCell ref="A25:A28"/>
    <mergeCell ref="B25:B28"/>
    <mergeCell ref="H25:H28"/>
    <mergeCell ref="A14:A16"/>
    <mergeCell ref="B14:B16"/>
    <mergeCell ref="H14:H16"/>
    <mergeCell ref="A17:A20"/>
    <mergeCell ref="B17:B20"/>
    <mergeCell ref="H17:H20"/>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s>
  <pageMargins left="0.7" right="0.7" top="0.75" bottom="0.75" header="0.3" footer="0.3"/>
  <drawing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7"/>
  <dimension ref="A1:G49"/>
  <sheetViews>
    <sheetView topLeftCell="A10" workbookViewId="0">
      <selection activeCell="I25" sqref="I2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RESUMEN!G199</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RESUMEN!B199</f>
        <v xml:space="preserve">D00249388 </v>
      </c>
      <c r="C7" s="1265"/>
      <c r="D7" s="1177"/>
      <c r="E7" s="1266" t="s">
        <v>627</v>
      </c>
      <c r="F7" s="1267"/>
      <c r="G7" s="280" t="str">
        <f>RESUMEN!E199</f>
        <v xml:space="preserve">18-065 </v>
      </c>
    </row>
    <row r="8" spans="1:7" x14ac:dyDescent="0.25">
      <c r="A8" s="271" t="s">
        <v>628</v>
      </c>
      <c r="B8" s="1264" t="str">
        <f>RESUMEN!C199</f>
        <v>D00249388000</v>
      </c>
      <c r="C8" s="1265"/>
      <c r="D8" s="1177"/>
      <c r="E8" s="1266" t="s">
        <v>629</v>
      </c>
      <c r="F8" s="1267"/>
      <c r="G8" s="280" t="str">
        <f>RESUMEN!U199</f>
        <v>Acta N° 1: Marzo</v>
      </c>
    </row>
    <row r="9" spans="1:7" x14ac:dyDescent="0.25">
      <c r="A9" s="271" t="s">
        <v>630</v>
      </c>
      <c r="B9" s="1283" t="s">
        <v>631</v>
      </c>
      <c r="C9" s="1265"/>
      <c r="D9" s="1177"/>
      <c r="E9" s="1266" t="s">
        <v>632</v>
      </c>
      <c r="F9" s="1267"/>
      <c r="G9" s="1178">
        <f>RESUMEN!H199</f>
        <v>2126335</v>
      </c>
    </row>
    <row r="10" spans="1:7" x14ac:dyDescent="0.25">
      <c r="A10" s="271" t="s">
        <v>633</v>
      </c>
      <c r="B10" s="1283" t="str">
        <f>RESUMEN!D199</f>
        <v>SAN CAYETANO</v>
      </c>
      <c r="C10" s="1265"/>
      <c r="D10" s="1177"/>
      <c r="E10" s="1266" t="s">
        <v>634</v>
      </c>
      <c r="F10" s="1267"/>
      <c r="G10" s="1178">
        <f>RESUMEN!R199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RESUMEN!V199,"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",RESUMEN!G199)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RESUMEN!N199</f>
        <v>0</v>
      </c>
      <c r="F19" s="1248"/>
      <c r="G19" s="1177"/>
    </row>
    <row r="20" spans="1:7" ht="27" customHeight="1" x14ac:dyDescent="0.25">
      <c r="A20" s="1177"/>
      <c r="B20" s="1244" t="s">
        <v>1498</v>
      </c>
      <c r="C20" s="1245"/>
      <c r="D20" s="1246"/>
      <c r="E20" s="1247">
        <f>RESUMEN!P199</f>
        <v>0</v>
      </c>
      <c r="F20" s="1248"/>
      <c r="G20" s="1177"/>
    </row>
    <row r="21" spans="1:7" ht="27" customHeight="1" x14ac:dyDescent="0.25">
      <c r="A21" s="1177"/>
      <c r="B21" s="1244" t="s">
        <v>1499</v>
      </c>
      <c r="C21" s="1245"/>
      <c r="D21" s="1246"/>
      <c r="E21" s="1247">
        <f>RESUMEN!Q199</f>
        <v>0</v>
      </c>
      <c r="F21" s="1248"/>
      <c r="G21" s="1177"/>
    </row>
    <row r="22" spans="1:7" x14ac:dyDescent="0.25">
      <c r="A22" s="1177"/>
      <c r="B22" s="1254" t="s">
        <v>64</v>
      </c>
      <c r="C22" s="1254"/>
      <c r="D22" s="1254"/>
      <c r="E22" s="1255">
        <f>RESUMEN!R199</f>
        <v>0</v>
      </c>
      <c r="F22" s="1255"/>
      <c r="G22" s="1177"/>
    </row>
    <row r="23" spans="1:7" x14ac:dyDescent="0.25">
      <c r="A23" s="1177"/>
      <c r="B23" s="1256" t="s">
        <v>66</v>
      </c>
      <c r="C23" s="1256"/>
      <c r="D23" s="1256"/>
      <c r="E23" s="1257">
        <f>RESUMEN!S199</f>
        <v>0</v>
      </c>
      <c r="F23" s="1257"/>
      <c r="G23" s="1177"/>
    </row>
    <row r="24" spans="1:7" x14ac:dyDescent="0.25">
      <c r="A24" s="1177"/>
      <c r="B24" s="1258" t="s">
        <v>1</v>
      </c>
      <c r="C24" s="1258"/>
      <c r="D24" s="1258"/>
      <c r="E24" s="1259">
        <f>RESUMEN!T199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+'OT18-065 SAN CAYETANO'!I26</f>
        <v>ACTA 1</v>
      </c>
      <c r="C28" s="1253">
        <f>+'OT18-065 SAN CAYETANO'!J26</f>
        <v>0</v>
      </c>
      <c r="D28" s="1253"/>
      <c r="E28" s="267">
        <f>+'OT18-065 SAN CAYETANO'!K26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RESUMEN!V199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8"/>
  <dimension ref="A1:N30"/>
  <sheetViews>
    <sheetView topLeftCell="D14" workbookViewId="0">
      <selection activeCell="E31" sqref="E31"/>
    </sheetView>
  </sheetViews>
  <sheetFormatPr baseColWidth="10" defaultRowHeight="14.4" x14ac:dyDescent="0.3"/>
  <cols>
    <col min="2" max="3" width="22.88671875" customWidth="1"/>
    <col min="4" max="4" width="30.21875" customWidth="1"/>
    <col min="8" max="8" width="38.109375" customWidth="1"/>
  </cols>
  <sheetData>
    <row r="1" spans="1:14" x14ac:dyDescent="0.3">
      <c r="A1" s="169"/>
      <c r="B1" s="188"/>
      <c r="C1" s="1307" t="s">
        <v>40</v>
      </c>
      <c r="D1" s="1308"/>
      <c r="E1" s="1308"/>
      <c r="F1" s="1308"/>
      <c r="G1" s="1308"/>
      <c r="H1" s="1308"/>
      <c r="I1" s="1308"/>
      <c r="J1" s="1308"/>
      <c r="K1" s="1532" t="s">
        <v>354</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2607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2606</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280</v>
      </c>
      <c r="B14" s="1510" t="s">
        <v>243</v>
      </c>
      <c r="C14" s="1074" t="s">
        <v>59</v>
      </c>
      <c r="D14" s="1074" t="s">
        <v>141</v>
      </c>
      <c r="E14" s="1074">
        <v>0</v>
      </c>
      <c r="F14" s="646">
        <v>988142</v>
      </c>
      <c r="G14" s="646">
        <f>ROUND((E14*F14),0)</f>
        <v>0</v>
      </c>
      <c r="H14" s="1514" t="s">
        <v>2608</v>
      </c>
      <c r="I14" s="799">
        <v>0</v>
      </c>
      <c r="J14" s="1132">
        <f>ROUND(I14*F14,0)</f>
        <v>0</v>
      </c>
      <c r="K14" s="1133">
        <v>0</v>
      </c>
      <c r="L14" s="1134">
        <f t="shared" ref="L14:M16" si="0">I14</f>
        <v>0</v>
      </c>
      <c r="M14" s="1124">
        <f t="shared" si="0"/>
        <v>0</v>
      </c>
      <c r="N14" s="1133">
        <v>0</v>
      </c>
    </row>
    <row r="15" spans="1:14" ht="43.2" x14ac:dyDescent="0.3">
      <c r="A15" s="1510"/>
      <c r="B15" s="1510"/>
      <c r="C15" s="1074" t="s">
        <v>61</v>
      </c>
      <c r="D15" s="1074" t="s">
        <v>142</v>
      </c>
      <c r="E15" s="1074">
        <v>0.7</v>
      </c>
      <c r="F15" s="646">
        <v>3037622</v>
      </c>
      <c r="G15" s="646">
        <f>ROUND((E15*F15),0)</f>
        <v>2126335</v>
      </c>
      <c r="H15" s="1510"/>
      <c r="I15" s="799">
        <v>0</v>
      </c>
      <c r="J15" s="1132">
        <f t="shared" ref="J15" si="1">ROUND(I15*F15,0)</f>
        <v>0</v>
      </c>
      <c r="K15" s="1133">
        <f>J15/G15</f>
        <v>0</v>
      </c>
      <c r="L15" s="1134">
        <f t="shared" si="0"/>
        <v>0</v>
      </c>
      <c r="M15" s="1124">
        <f t="shared" si="0"/>
        <v>0</v>
      </c>
      <c r="N15" s="1133">
        <f>M15/G15</f>
        <v>0</v>
      </c>
    </row>
    <row r="16" spans="1:14" x14ac:dyDescent="0.3">
      <c r="A16" s="1510"/>
      <c r="B16" s="1510"/>
      <c r="C16" s="647"/>
      <c r="D16" s="647" t="s">
        <v>143</v>
      </c>
      <c r="E16" s="648"/>
      <c r="F16" s="648"/>
      <c r="G16" s="649">
        <f>SUM(G14:G15)</f>
        <v>2126335</v>
      </c>
      <c r="H16" s="1510"/>
      <c r="I16" s="1108"/>
      <c r="J16" s="1146">
        <f>SUM(J14:J15)</f>
        <v>0</v>
      </c>
      <c r="K16" s="1136">
        <f>J16/G16</f>
        <v>0</v>
      </c>
      <c r="L16" s="1137"/>
      <c r="M16" s="1138">
        <f t="shared" si="0"/>
        <v>0</v>
      </c>
      <c r="N16" s="1136">
        <f t="shared" ref="N16" si="2">M16/G16</f>
        <v>0</v>
      </c>
    </row>
    <row r="17" spans="6:14" x14ac:dyDescent="0.3">
      <c r="F17" s="836" t="s">
        <v>1740</v>
      </c>
      <c r="G17" s="650">
        <f>SUM(G14:G16)/2</f>
        <v>2126335</v>
      </c>
      <c r="I17" s="547" t="s">
        <v>64</v>
      </c>
      <c r="J17" s="855">
        <f>SUM(J14:J16)/2</f>
        <v>0</v>
      </c>
      <c r="K17" s="1073"/>
      <c r="L17" s="547" t="s">
        <v>64</v>
      </c>
      <c r="M17" s="835">
        <f>SUM(M14:M16)/2</f>
        <v>0</v>
      </c>
      <c r="N17" s="1073"/>
    </row>
    <row r="18" spans="6:14" ht="26.4" x14ac:dyDescent="0.3">
      <c r="F18" s="1118" t="s">
        <v>65</v>
      </c>
      <c r="G18" s="1115">
        <v>0</v>
      </c>
      <c r="I18" s="548" t="s">
        <v>65</v>
      </c>
      <c r="J18" s="677">
        <v>0</v>
      </c>
      <c r="K18" s="1073"/>
      <c r="L18" s="548" t="s">
        <v>65</v>
      </c>
      <c r="M18" s="677">
        <v>0</v>
      </c>
      <c r="N18" s="1073"/>
    </row>
    <row r="19" spans="6:14" x14ac:dyDescent="0.3">
      <c r="F19" s="1119" t="s">
        <v>64</v>
      </c>
      <c r="G19" s="1151">
        <f>G17+G18</f>
        <v>2126335</v>
      </c>
      <c r="I19" s="549" t="s">
        <v>64</v>
      </c>
      <c r="J19" s="481">
        <f>J17+J18</f>
        <v>0</v>
      </c>
      <c r="K19" s="1073"/>
      <c r="L19" s="549" t="s">
        <v>64</v>
      </c>
      <c r="M19" s="481">
        <f>M17+M18</f>
        <v>0</v>
      </c>
      <c r="N19" s="1073"/>
    </row>
    <row r="20" spans="6:14" ht="26.4" x14ac:dyDescent="0.3">
      <c r="F20" s="501" t="s">
        <v>1439</v>
      </c>
      <c r="G20" s="1116">
        <f>ROUND(G19*0.015,0)</f>
        <v>31895</v>
      </c>
      <c r="I20" s="501" t="s">
        <v>1439</v>
      </c>
      <c r="J20" s="481">
        <f>ROUND(J19*0.015,0)</f>
        <v>0</v>
      </c>
      <c r="K20" s="1073"/>
      <c r="L20" s="501" t="s">
        <v>1439</v>
      </c>
      <c r="M20" s="481">
        <f>ROUND(M19*0.015,0)</f>
        <v>0</v>
      </c>
      <c r="N20" s="1073"/>
    </row>
    <row r="21" spans="6:14" ht="39.6" x14ac:dyDescent="0.3">
      <c r="F21" s="96" t="s">
        <v>1440</v>
      </c>
      <c r="G21" s="1117">
        <f>G19+G20</f>
        <v>2158230</v>
      </c>
      <c r="I21" s="96" t="s">
        <v>1440</v>
      </c>
      <c r="J21" s="783">
        <f>J19+J20</f>
        <v>0</v>
      </c>
      <c r="K21" s="856">
        <f>J21/G17</f>
        <v>0</v>
      </c>
      <c r="L21" s="96" t="s">
        <v>1440</v>
      </c>
      <c r="M21" s="425">
        <f>M19+M20</f>
        <v>0</v>
      </c>
      <c r="N21" s="857">
        <f>M21/G17</f>
        <v>0</v>
      </c>
    </row>
    <row r="22" spans="6:14" x14ac:dyDescent="0.3">
      <c r="F22" s="1122" t="s">
        <v>66</v>
      </c>
      <c r="G22" s="783">
        <f>G21*0.19</f>
        <v>410063.7</v>
      </c>
      <c r="I22" s="551" t="s">
        <v>66</v>
      </c>
      <c r="J22" s="672">
        <f>J21*0.19</f>
        <v>0</v>
      </c>
      <c r="K22" s="1073"/>
      <c r="L22" s="551" t="s">
        <v>66</v>
      </c>
      <c r="M22" s="672">
        <f>M21*0.19</f>
        <v>0</v>
      </c>
      <c r="N22" s="1073"/>
    </row>
    <row r="23" spans="6:14" x14ac:dyDescent="0.3">
      <c r="F23" s="1123" t="s">
        <v>69</v>
      </c>
      <c r="G23" s="672">
        <f>G21+G22</f>
        <v>2568293.7000000002</v>
      </c>
      <c r="I23" s="552" t="s">
        <v>69</v>
      </c>
      <c r="J23" s="672">
        <f>J21+J22</f>
        <v>0</v>
      </c>
      <c r="K23" s="1073"/>
      <c r="L23" s="552" t="s">
        <v>69</v>
      </c>
      <c r="M23" s="672">
        <f>M21+M22</f>
        <v>0</v>
      </c>
      <c r="N23" s="1073"/>
    </row>
    <row r="24" spans="6:14" x14ac:dyDescent="0.3">
      <c r="I24" s="1073"/>
      <c r="J24" s="1073"/>
      <c r="K24" s="1073"/>
      <c r="L24" s="1073"/>
      <c r="M24" s="1073"/>
      <c r="N24" s="1073"/>
    </row>
    <row r="25" spans="6:14" ht="26.4" x14ac:dyDescent="0.3">
      <c r="I25" s="186" t="s">
        <v>70</v>
      </c>
      <c r="J25" s="187" t="s">
        <v>71</v>
      </c>
      <c r="K25" s="186" t="s">
        <v>58</v>
      </c>
      <c r="L25" s="1073"/>
      <c r="M25" s="1073"/>
      <c r="N25" s="1073"/>
    </row>
    <row r="26" spans="6:14" x14ac:dyDescent="0.3">
      <c r="I26" s="69" t="s">
        <v>72</v>
      </c>
      <c r="J26" s="70">
        <f>J21</f>
        <v>0</v>
      </c>
      <c r="K26" s="360">
        <f>K21</f>
        <v>0</v>
      </c>
      <c r="L26" s="1073"/>
      <c r="M26" s="1073"/>
      <c r="N26" s="1073"/>
    </row>
    <row r="27" spans="6:14" x14ac:dyDescent="0.3">
      <c r="I27" s="72" t="s">
        <v>1</v>
      </c>
      <c r="J27" s="105">
        <f>J26</f>
        <v>0</v>
      </c>
      <c r="K27" s="361">
        <f>K26</f>
        <v>0</v>
      </c>
      <c r="L27" s="1073"/>
      <c r="M27" s="1073"/>
      <c r="N27" s="1073"/>
    </row>
    <row r="28" spans="6:14" x14ac:dyDescent="0.3">
      <c r="I28" s="72" t="s">
        <v>9</v>
      </c>
      <c r="J28" s="1423"/>
      <c r="K28" s="1424"/>
      <c r="L28" s="1073"/>
      <c r="M28" s="1073"/>
      <c r="N28" s="1073"/>
    </row>
    <row r="29" spans="6:14" x14ac:dyDescent="0.3">
      <c r="I29" s="440" t="s">
        <v>78</v>
      </c>
      <c r="J29" s="1423" t="s">
        <v>2609</v>
      </c>
      <c r="K29" s="1424"/>
      <c r="L29" s="1073"/>
      <c r="M29" s="1073"/>
      <c r="N29" s="1073"/>
    </row>
    <row r="30" spans="6:14" x14ac:dyDescent="0.3">
      <c r="I30" s="439" t="s">
        <v>8</v>
      </c>
      <c r="J30" s="1425" t="s">
        <v>1985</v>
      </c>
      <c r="K30" s="1426"/>
      <c r="L30" s="1073"/>
      <c r="M30" s="1073"/>
      <c r="N30" s="1073"/>
    </row>
  </sheetData>
  <mergeCells count="21">
    <mergeCell ref="J30:K30"/>
    <mergeCell ref="A6:M6"/>
    <mergeCell ref="A7:M7"/>
    <mergeCell ref="A8:M8"/>
    <mergeCell ref="A9:M9"/>
    <mergeCell ref="A10:M10"/>
    <mergeCell ref="B11:F11"/>
    <mergeCell ref="I11:K12"/>
    <mergeCell ref="L11:N12"/>
    <mergeCell ref="B12:F12"/>
    <mergeCell ref="A14:A16"/>
    <mergeCell ref="B14:B16"/>
    <mergeCell ref="H14:H16"/>
    <mergeCell ref="J28:K28"/>
    <mergeCell ref="J29:K29"/>
    <mergeCell ref="A5:M5"/>
    <mergeCell ref="C1:J2"/>
    <mergeCell ref="K1:N1"/>
    <mergeCell ref="K2:N2"/>
    <mergeCell ref="A3:M3"/>
    <mergeCell ref="A4:M4"/>
  </mergeCells>
  <pageMargins left="0.7" right="0.7" top="0.75" bottom="0.75" header="0.3" footer="0.3"/>
  <drawing r:id="rId1"/>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9"/>
  <dimension ref="A1:G49"/>
  <sheetViews>
    <sheetView topLeftCell="A13" workbookViewId="0">
      <selection activeCell="H30" sqref="H30"/>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RESUMEN!G200</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RESUMEN!B200</f>
        <v xml:space="preserve">D00249388 </v>
      </c>
      <c r="C7" s="1265"/>
      <c r="D7" s="1177"/>
      <c r="E7" s="1266" t="s">
        <v>627</v>
      </c>
      <c r="F7" s="1267"/>
      <c r="G7" s="280" t="str">
        <f>RESUMEN!E200</f>
        <v xml:space="preserve">18-066 </v>
      </c>
    </row>
    <row r="8" spans="1:7" x14ac:dyDescent="0.25">
      <c r="A8" s="271" t="s">
        <v>628</v>
      </c>
      <c r="B8" s="1264" t="str">
        <f>RESUMEN!C200</f>
        <v>D00249388000</v>
      </c>
      <c r="C8" s="1265"/>
      <c r="D8" s="1177"/>
      <c r="E8" s="1266" t="s">
        <v>629</v>
      </c>
      <c r="F8" s="1267"/>
      <c r="G8" s="280" t="str">
        <f>RESUMEN!U200</f>
        <v>Acta N° 1: Marzo</v>
      </c>
    </row>
    <row r="9" spans="1:7" x14ac:dyDescent="0.25">
      <c r="A9" s="271" t="s">
        <v>630</v>
      </c>
      <c r="B9" s="1283" t="s">
        <v>631</v>
      </c>
      <c r="C9" s="1265"/>
      <c r="D9" s="1177"/>
      <c r="E9" s="1266" t="s">
        <v>632</v>
      </c>
      <c r="F9" s="1267"/>
      <c r="G9" s="1178">
        <f>RESUMEN!H200</f>
        <v>1613966</v>
      </c>
    </row>
    <row r="10" spans="1:7" x14ac:dyDescent="0.25">
      <c r="A10" s="271" t="s">
        <v>633</v>
      </c>
      <c r="B10" s="1283" t="str">
        <f>RESUMEN!D200</f>
        <v>TERRAZAS</v>
      </c>
      <c r="C10" s="1265"/>
      <c r="D10" s="1177"/>
      <c r="E10" s="1266" t="s">
        <v>634</v>
      </c>
      <c r="F10" s="1267"/>
      <c r="G10" s="1178">
        <f>RESUMEN!R200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RESUMEN!N200</f>
        <v>0</v>
      </c>
      <c r="F19" s="1248"/>
      <c r="G19" s="1177"/>
    </row>
    <row r="20" spans="1:7" ht="27" customHeight="1" x14ac:dyDescent="0.25">
      <c r="A20" s="1177"/>
      <c r="B20" s="1244" t="s">
        <v>1498</v>
      </c>
      <c r="C20" s="1245"/>
      <c r="D20" s="1246"/>
      <c r="E20" s="1247">
        <f>RESUMEN!P200</f>
        <v>0</v>
      </c>
      <c r="F20" s="1248"/>
      <c r="G20" s="1177"/>
    </row>
    <row r="21" spans="1:7" ht="27" customHeight="1" x14ac:dyDescent="0.25">
      <c r="A21" s="1177"/>
      <c r="B21" s="1244" t="s">
        <v>1499</v>
      </c>
      <c r="C21" s="1245"/>
      <c r="D21" s="1246"/>
      <c r="E21" s="1247">
        <f>RESUMEN!Q200</f>
        <v>0</v>
      </c>
      <c r="F21" s="1248"/>
      <c r="G21" s="1177"/>
    </row>
    <row r="22" spans="1:7" x14ac:dyDescent="0.25">
      <c r="A22" s="1177"/>
      <c r="B22" s="1254" t="s">
        <v>64</v>
      </c>
      <c r="C22" s="1254"/>
      <c r="D22" s="1254"/>
      <c r="E22" s="1255">
        <f>RESUMEN!R200</f>
        <v>0</v>
      </c>
      <c r="F22" s="1255"/>
      <c r="G22" s="1177"/>
    </row>
    <row r="23" spans="1:7" x14ac:dyDescent="0.25">
      <c r="A23" s="1177"/>
      <c r="B23" s="1256" t="s">
        <v>66</v>
      </c>
      <c r="C23" s="1256"/>
      <c r="D23" s="1256"/>
      <c r="E23" s="1257">
        <f>RESUMEN!S200</f>
        <v>0</v>
      </c>
      <c r="F23" s="1257"/>
      <c r="G23" s="1177"/>
    </row>
    <row r="24" spans="1:7" x14ac:dyDescent="0.25">
      <c r="A24" s="1177"/>
      <c r="B24" s="1258" t="s">
        <v>1</v>
      </c>
      <c r="C24" s="1258"/>
      <c r="D24" s="1258"/>
      <c r="E24" s="1259">
        <f>RESUMEN!T200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+'OT18-066 TERRAZAS'!I27</f>
        <v>ACTA 1</v>
      </c>
      <c r="C28" s="1253">
        <f>+'OT18-066 TERRAZAS'!J27</f>
        <v>0</v>
      </c>
      <c r="D28" s="1253"/>
      <c r="E28" s="267">
        <f>+'OT18-066 TERRAZAS'!K27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0"/>
  <dimension ref="A1:O39"/>
  <sheetViews>
    <sheetView topLeftCell="C16" workbookViewId="0">
      <selection activeCell="D32" sqref="D32"/>
    </sheetView>
  </sheetViews>
  <sheetFormatPr baseColWidth="10" defaultRowHeight="14.4" x14ac:dyDescent="0.3"/>
  <cols>
    <col min="2" max="2" width="18.33203125" customWidth="1"/>
    <col min="3" max="4" width="22.6640625" customWidth="1"/>
    <col min="6" max="7" width="15.33203125" customWidth="1"/>
    <col min="8" max="8" width="35.5546875" customWidth="1"/>
  </cols>
  <sheetData>
    <row r="1" spans="1:14" x14ac:dyDescent="0.3">
      <c r="A1" s="169"/>
      <c r="B1" s="188"/>
      <c r="C1" s="1307" t="s">
        <v>40</v>
      </c>
      <c r="D1" s="1308"/>
      <c r="E1" s="1308"/>
      <c r="F1" s="1308"/>
      <c r="G1" s="1308"/>
      <c r="H1" s="1308"/>
      <c r="I1" s="1308"/>
      <c r="J1" s="1308"/>
      <c r="K1" s="1532" t="s">
        <v>2137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1745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2610</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285</v>
      </c>
      <c r="B14" s="1510" t="s">
        <v>364</v>
      </c>
      <c r="C14" s="1074" t="s">
        <v>81</v>
      </c>
      <c r="D14" s="1074" t="s">
        <v>365</v>
      </c>
      <c r="E14" s="1074">
        <v>0</v>
      </c>
      <c r="F14" s="646">
        <v>1097936</v>
      </c>
      <c r="G14" s="646">
        <f>ROUND((E14*F14),0)</f>
        <v>0</v>
      </c>
      <c r="H14" s="1514" t="s">
        <v>2611</v>
      </c>
      <c r="I14" s="799">
        <v>0</v>
      </c>
      <c r="J14" s="1132">
        <f>ROUND(I14*F14,0)</f>
        <v>0</v>
      </c>
      <c r="K14" s="1133">
        <v>0</v>
      </c>
      <c r="L14" s="1134">
        <f t="shared" ref="L14:M15" si="0">I14</f>
        <v>0</v>
      </c>
      <c r="M14" s="1124">
        <f t="shared" si="0"/>
        <v>0</v>
      </c>
      <c r="N14" s="1133">
        <v>0</v>
      </c>
    </row>
    <row r="15" spans="1:14" ht="43.2" x14ac:dyDescent="0.3">
      <c r="A15" s="1510"/>
      <c r="B15" s="1510"/>
      <c r="C15" s="1074" t="s">
        <v>83</v>
      </c>
      <c r="D15" s="1074" t="s">
        <v>367</v>
      </c>
      <c r="E15" s="1074">
        <v>0.7</v>
      </c>
      <c r="F15" s="646">
        <v>2305665</v>
      </c>
      <c r="G15" s="646">
        <f>ROUND((E15*F15),0)</f>
        <v>1613966</v>
      </c>
      <c r="H15" s="1510"/>
      <c r="I15" s="799">
        <v>0</v>
      </c>
      <c r="J15" s="1132">
        <f t="shared" ref="J15" si="1">ROUND(I15*F15,0)</f>
        <v>0</v>
      </c>
      <c r="K15" s="1133">
        <f>J15/G15</f>
        <v>0</v>
      </c>
      <c r="L15" s="1134">
        <f t="shared" si="0"/>
        <v>0</v>
      </c>
      <c r="M15" s="1124">
        <f t="shared" si="0"/>
        <v>0</v>
      </c>
      <c r="N15" s="1133">
        <f>M15/G15</f>
        <v>0</v>
      </c>
    </row>
    <row r="16" spans="1:14" ht="43.2" x14ac:dyDescent="0.3">
      <c r="A16" s="1510"/>
      <c r="B16" s="1510"/>
      <c r="C16" s="1074" t="s">
        <v>61</v>
      </c>
      <c r="D16" s="1074" t="s">
        <v>368</v>
      </c>
      <c r="E16" s="1074">
        <v>0</v>
      </c>
      <c r="F16" s="646">
        <v>2927829</v>
      </c>
      <c r="G16" s="646">
        <f>ROUND((E16*F16),0)</f>
        <v>0</v>
      </c>
      <c r="H16" s="1510"/>
      <c r="I16" s="799">
        <v>0</v>
      </c>
      <c r="J16" s="1132">
        <f t="shared" ref="J16" si="2">ROUND(I16*F16,0)</f>
        <v>0</v>
      </c>
      <c r="K16" s="1133">
        <v>0</v>
      </c>
      <c r="L16" s="1134">
        <f t="shared" ref="L16" si="3">I16</f>
        <v>0</v>
      </c>
      <c r="M16" s="1124">
        <f t="shared" ref="M16" si="4">J16</f>
        <v>0</v>
      </c>
      <c r="N16" s="1133">
        <v>0</v>
      </c>
    </row>
    <row r="17" spans="1:15" x14ac:dyDescent="0.3">
      <c r="A17" s="1510"/>
      <c r="B17" s="1510"/>
      <c r="C17" s="647"/>
      <c r="D17" s="647" t="s">
        <v>278</v>
      </c>
      <c r="E17" s="648"/>
      <c r="F17" s="648"/>
      <c r="G17" s="649">
        <f>SUM(G14:G16)</f>
        <v>1613966</v>
      </c>
      <c r="H17" s="1510"/>
      <c r="I17" s="1108"/>
      <c r="J17" s="1146">
        <f>SUM(J14:J16)</f>
        <v>0</v>
      </c>
      <c r="K17" s="1136">
        <f>J17/G17</f>
        <v>0</v>
      </c>
      <c r="L17" s="1137"/>
      <c r="M17" s="1138">
        <f>J17</f>
        <v>0</v>
      </c>
      <c r="N17" s="1136">
        <f t="shared" ref="N17" si="5">M17/G17</f>
        <v>0</v>
      </c>
    </row>
    <row r="18" spans="1:15" x14ac:dyDescent="0.3">
      <c r="F18" s="836" t="s">
        <v>1740</v>
      </c>
      <c r="G18" s="650">
        <f>SUM(G14:G17)/2</f>
        <v>1613966</v>
      </c>
      <c r="I18" s="547" t="s">
        <v>64</v>
      </c>
      <c r="J18" s="855">
        <f>SUM(J14:J17)/2</f>
        <v>0</v>
      </c>
      <c r="K18" s="1073"/>
      <c r="L18" s="547" t="s">
        <v>64</v>
      </c>
      <c r="M18" s="835">
        <f>SUM(M14:M17)/2</f>
        <v>0</v>
      </c>
      <c r="N18" s="1073"/>
      <c r="O18" s="1073"/>
    </row>
    <row r="19" spans="1:15" ht="26.4" x14ac:dyDescent="0.3">
      <c r="F19" s="1118" t="s">
        <v>65</v>
      </c>
      <c r="G19" s="1115">
        <v>0</v>
      </c>
      <c r="I19" s="548" t="s">
        <v>65</v>
      </c>
      <c r="J19" s="677">
        <v>0</v>
      </c>
      <c r="K19" s="1073"/>
      <c r="L19" s="548" t="s">
        <v>65</v>
      </c>
      <c r="M19" s="677">
        <v>0</v>
      </c>
      <c r="N19" s="1073"/>
      <c r="O19" s="1073"/>
    </row>
    <row r="20" spans="1:15" x14ac:dyDescent="0.3">
      <c r="F20" s="1119" t="s">
        <v>64</v>
      </c>
      <c r="G20" s="1151">
        <f>G18+G19</f>
        <v>1613966</v>
      </c>
      <c r="I20" s="549" t="s">
        <v>64</v>
      </c>
      <c r="J20" s="481">
        <f>J18+J19</f>
        <v>0</v>
      </c>
      <c r="K20" s="1073"/>
      <c r="L20" s="549" t="s">
        <v>64</v>
      </c>
      <c r="M20" s="481">
        <f>M18+M19</f>
        <v>0</v>
      </c>
      <c r="N20" s="1073"/>
      <c r="O20" s="1073"/>
    </row>
    <row r="21" spans="1:15" ht="26.4" x14ac:dyDescent="0.3">
      <c r="F21" s="501" t="s">
        <v>1439</v>
      </c>
      <c r="G21" s="1116">
        <f>ROUND(G20*0.015,0)</f>
        <v>24209</v>
      </c>
      <c r="I21" s="501" t="s">
        <v>1439</v>
      </c>
      <c r="J21" s="481">
        <f>ROUND(J20*0.015,0)</f>
        <v>0</v>
      </c>
      <c r="K21" s="1073"/>
      <c r="L21" s="501" t="s">
        <v>1439</v>
      </c>
      <c r="M21" s="481">
        <f>ROUND(M20*0.015,0)</f>
        <v>0</v>
      </c>
      <c r="N21" s="1073"/>
      <c r="O21" s="1073"/>
    </row>
    <row r="22" spans="1:15" ht="39.6" x14ac:dyDescent="0.3">
      <c r="F22" s="96" t="s">
        <v>1440</v>
      </c>
      <c r="G22" s="1117">
        <f>G20+G21</f>
        <v>1638175</v>
      </c>
      <c r="I22" s="96" t="s">
        <v>1440</v>
      </c>
      <c r="J22" s="783">
        <f>J20+J21</f>
        <v>0</v>
      </c>
      <c r="K22" s="856">
        <f>J22/G18</f>
        <v>0</v>
      </c>
      <c r="L22" s="96" t="s">
        <v>1440</v>
      </c>
      <c r="M22" s="425">
        <f>M20+M21</f>
        <v>0</v>
      </c>
      <c r="N22" s="857">
        <f>M22/G18</f>
        <v>0</v>
      </c>
      <c r="O22" s="1073"/>
    </row>
    <row r="23" spans="1:15" x14ac:dyDescent="0.3">
      <c r="F23" s="1122" t="s">
        <v>66</v>
      </c>
      <c r="G23" s="783">
        <f>G22*0.19</f>
        <v>311253.25</v>
      </c>
      <c r="I23" s="551" t="s">
        <v>66</v>
      </c>
      <c r="J23" s="672">
        <f>J22*0.19</f>
        <v>0</v>
      </c>
      <c r="K23" s="1073"/>
      <c r="L23" s="551" t="s">
        <v>66</v>
      </c>
      <c r="M23" s="672">
        <f>M22*0.19</f>
        <v>0</v>
      </c>
      <c r="N23" s="1073"/>
      <c r="O23" s="1073"/>
    </row>
    <row r="24" spans="1:15" x14ac:dyDescent="0.3">
      <c r="F24" s="1123" t="s">
        <v>69</v>
      </c>
      <c r="G24" s="672">
        <f>G22+G23</f>
        <v>1949428.25</v>
      </c>
      <c r="I24" s="552" t="s">
        <v>69</v>
      </c>
      <c r="J24" s="672">
        <f>J22+J23</f>
        <v>0</v>
      </c>
      <c r="K24" s="1073"/>
      <c r="L24" s="552" t="s">
        <v>69</v>
      </c>
      <c r="M24" s="672">
        <f>M22+M23</f>
        <v>0</v>
      </c>
      <c r="N24" s="1073"/>
      <c r="O24" s="1073"/>
    </row>
    <row r="25" spans="1:15" x14ac:dyDescent="0.3">
      <c r="I25" s="1073"/>
      <c r="J25" s="1073"/>
      <c r="K25" s="1073"/>
      <c r="L25" s="1073"/>
      <c r="M25" s="1073"/>
      <c r="N25" s="1073"/>
      <c r="O25" s="1073"/>
    </row>
    <row r="26" spans="1:15" ht="26.4" x14ac:dyDescent="0.3">
      <c r="I26" s="186" t="s">
        <v>70</v>
      </c>
      <c r="J26" s="187" t="s">
        <v>71</v>
      </c>
      <c r="K26" s="186" t="s">
        <v>58</v>
      </c>
      <c r="L26" s="1073"/>
      <c r="M26" s="1073"/>
      <c r="N26" s="1073"/>
      <c r="O26" s="1073"/>
    </row>
    <row r="27" spans="1:15" x14ac:dyDescent="0.3">
      <c r="I27" s="69" t="s">
        <v>72</v>
      </c>
      <c r="J27" s="70">
        <f>J22</f>
        <v>0</v>
      </c>
      <c r="K27" s="360">
        <f>K22</f>
        <v>0</v>
      </c>
      <c r="L27" s="1073"/>
      <c r="M27" s="1073"/>
      <c r="N27" s="1073"/>
      <c r="O27" s="1073"/>
    </row>
    <row r="28" spans="1:15" x14ac:dyDescent="0.3">
      <c r="I28" s="72" t="s">
        <v>1</v>
      </c>
      <c r="J28" s="105">
        <f>J27</f>
        <v>0</v>
      </c>
      <c r="K28" s="361">
        <f>K27</f>
        <v>0</v>
      </c>
      <c r="L28" s="1073"/>
      <c r="M28" s="1073"/>
      <c r="N28" s="1073"/>
      <c r="O28" s="1073"/>
    </row>
    <row r="29" spans="1:15" x14ac:dyDescent="0.3">
      <c r="I29" s="72" t="s">
        <v>9</v>
      </c>
      <c r="J29" s="1423"/>
      <c r="K29" s="1424"/>
      <c r="L29" s="1073"/>
      <c r="M29" s="1073"/>
      <c r="N29" s="1073"/>
      <c r="O29" s="1073"/>
    </row>
    <row r="30" spans="1:15" x14ac:dyDescent="0.3">
      <c r="I30" s="440" t="s">
        <v>78</v>
      </c>
      <c r="J30" s="1423" t="s">
        <v>2609</v>
      </c>
      <c r="K30" s="1424"/>
      <c r="L30" s="1073"/>
      <c r="M30" s="1073"/>
      <c r="N30" s="1073"/>
      <c r="O30" s="1073"/>
    </row>
    <row r="31" spans="1:15" x14ac:dyDescent="0.3">
      <c r="I31" s="439" t="s">
        <v>8</v>
      </c>
      <c r="J31" s="1425" t="s">
        <v>1985</v>
      </c>
      <c r="K31" s="1426"/>
      <c r="L31" s="1073"/>
      <c r="M31" s="1073"/>
      <c r="N31" s="1073"/>
      <c r="O31" s="1073"/>
    </row>
    <row r="32" spans="1:15" x14ac:dyDescent="0.3">
      <c r="I32" s="1073"/>
      <c r="J32" s="1073"/>
      <c r="K32" s="1073"/>
      <c r="L32" s="1073"/>
      <c r="M32" s="1073"/>
      <c r="N32" s="1073"/>
      <c r="O32" s="1073"/>
    </row>
    <row r="33" spans="9:15" x14ac:dyDescent="0.3">
      <c r="I33" s="1073"/>
      <c r="J33" s="1073"/>
      <c r="K33" s="1073"/>
      <c r="L33" s="1073"/>
      <c r="M33" s="1073"/>
      <c r="N33" s="1073"/>
      <c r="O33" s="1073"/>
    </row>
    <row r="34" spans="9:15" x14ac:dyDescent="0.3">
      <c r="I34" s="1073"/>
      <c r="J34" s="1073"/>
      <c r="K34" s="1073"/>
      <c r="L34" s="1073"/>
      <c r="M34" s="1073"/>
      <c r="N34" s="1073"/>
      <c r="O34" s="1073"/>
    </row>
    <row r="35" spans="9:15" x14ac:dyDescent="0.3">
      <c r="I35" s="1073"/>
      <c r="J35" s="1073"/>
      <c r="K35" s="1073"/>
      <c r="L35" s="1073"/>
      <c r="M35" s="1073"/>
      <c r="N35" s="1073"/>
      <c r="O35" s="1073"/>
    </row>
    <row r="36" spans="9:15" x14ac:dyDescent="0.3">
      <c r="I36" s="1073"/>
      <c r="J36" s="1073"/>
      <c r="K36" s="1073"/>
      <c r="L36" s="1073"/>
      <c r="M36" s="1073"/>
      <c r="N36" s="1073"/>
      <c r="O36" s="1073"/>
    </row>
    <row r="37" spans="9:15" x14ac:dyDescent="0.3">
      <c r="I37" s="1073"/>
      <c r="J37" s="1073"/>
      <c r="K37" s="1073"/>
      <c r="L37" s="1073"/>
      <c r="M37" s="1073"/>
      <c r="N37" s="1073"/>
      <c r="O37" s="1073"/>
    </row>
    <row r="38" spans="9:15" x14ac:dyDescent="0.3">
      <c r="I38" s="1073"/>
      <c r="J38" s="1073"/>
      <c r="K38" s="1073"/>
      <c r="L38" s="1073"/>
      <c r="M38" s="1073"/>
      <c r="N38" s="1073"/>
      <c r="O38" s="1073"/>
    </row>
    <row r="39" spans="9:15" x14ac:dyDescent="0.3">
      <c r="I39" s="1073"/>
      <c r="J39" s="1073"/>
      <c r="K39" s="1073"/>
      <c r="L39" s="1073"/>
      <c r="M39" s="1073"/>
      <c r="N39" s="1073"/>
      <c r="O39" s="1073"/>
    </row>
  </sheetData>
  <mergeCells count="21">
    <mergeCell ref="J31:K31"/>
    <mergeCell ref="A6:M6"/>
    <mergeCell ref="A7:M7"/>
    <mergeCell ref="A8:M8"/>
    <mergeCell ref="A9:M9"/>
    <mergeCell ref="A10:M10"/>
    <mergeCell ref="B11:F11"/>
    <mergeCell ref="I11:K12"/>
    <mergeCell ref="L11:N12"/>
    <mergeCell ref="B12:F12"/>
    <mergeCell ref="A14:A17"/>
    <mergeCell ref="B14:B17"/>
    <mergeCell ref="H14:H17"/>
    <mergeCell ref="J29:K29"/>
    <mergeCell ref="J30:K30"/>
    <mergeCell ref="A5:M5"/>
    <mergeCell ref="C1:J2"/>
    <mergeCell ref="K1:N1"/>
    <mergeCell ref="K2:N2"/>
    <mergeCell ref="A3:M3"/>
    <mergeCell ref="A4:M4"/>
  </mergeCells>
  <pageMargins left="0.7" right="0.7" top="0.75" bottom="0.75" header="0.3" footer="0.3"/>
  <drawing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1"/>
  <dimension ref="A1:G49"/>
  <sheetViews>
    <sheetView topLeftCell="A13"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RESUMEN!B201</f>
        <v xml:space="preserve">D00249388 </v>
      </c>
      <c r="C7" s="1265"/>
      <c r="D7" s="1177"/>
      <c r="E7" s="1266" t="s">
        <v>627</v>
      </c>
      <c r="F7" s="1267"/>
      <c r="G7" s="280" t="str">
        <f>RESUMEN!E201</f>
        <v xml:space="preserve">18-067 </v>
      </c>
    </row>
    <row r="8" spans="1:7" x14ac:dyDescent="0.25">
      <c r="A8" s="271" t="s">
        <v>628</v>
      </c>
      <c r="B8" s="1264" t="str">
        <f>RESUMEN!C201</f>
        <v>D00249388000</v>
      </c>
      <c r="C8" s="1265"/>
      <c r="D8" s="1177"/>
      <c r="E8" s="1266" t="s">
        <v>629</v>
      </c>
      <c r="F8" s="1267"/>
      <c r="G8" s="280" t="str">
        <f>RESUMEN!U201</f>
        <v>Acta N° 1: Marzo</v>
      </c>
    </row>
    <row r="9" spans="1:7" x14ac:dyDescent="0.25">
      <c r="A9" s="271" t="s">
        <v>630</v>
      </c>
      <c r="B9" s="1283" t="s">
        <v>631</v>
      </c>
      <c r="C9" s="1265"/>
      <c r="D9" s="1177"/>
      <c r="E9" s="1266" t="s">
        <v>632</v>
      </c>
      <c r="F9" s="1267"/>
      <c r="G9" s="1178">
        <f>RESUMEN!H201</f>
        <v>1613966</v>
      </c>
    </row>
    <row r="10" spans="1:7" x14ac:dyDescent="0.25">
      <c r="A10" s="271" t="s">
        <v>633</v>
      </c>
      <c r="B10" s="1283" t="str">
        <f>RESUMEN!D201</f>
        <v>SAN CAYETANO</v>
      </c>
      <c r="C10" s="1265"/>
      <c r="D10" s="1177"/>
      <c r="E10" s="1266" t="s">
        <v>634</v>
      </c>
      <c r="F10" s="1267"/>
      <c r="G10" s="1178">
        <f>RESUMEN!R201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RESUMEN!N201</f>
        <v>0</v>
      </c>
      <c r="F19" s="1248"/>
      <c r="G19" s="1177"/>
    </row>
    <row r="20" spans="1:7" ht="27" customHeight="1" x14ac:dyDescent="0.25">
      <c r="A20" s="1177"/>
      <c r="B20" s="1244" t="s">
        <v>1498</v>
      </c>
      <c r="C20" s="1245"/>
      <c r="D20" s="1246"/>
      <c r="E20" s="1247">
        <f>RESUMEN!P201</f>
        <v>0</v>
      </c>
      <c r="F20" s="1248"/>
      <c r="G20" s="1177"/>
    </row>
    <row r="21" spans="1:7" ht="27" customHeight="1" x14ac:dyDescent="0.25">
      <c r="A21" s="1177"/>
      <c r="B21" s="1244" t="s">
        <v>1499</v>
      </c>
      <c r="C21" s="1245"/>
      <c r="D21" s="1246"/>
      <c r="E21" s="1247">
        <f>RESUMEN!Q201</f>
        <v>0</v>
      </c>
      <c r="F21" s="1248"/>
      <c r="G21" s="1177"/>
    </row>
    <row r="22" spans="1:7" x14ac:dyDescent="0.25">
      <c r="A22" s="1177"/>
      <c r="B22" s="1254" t="s">
        <v>64</v>
      </c>
      <c r="C22" s="1254"/>
      <c r="D22" s="1254"/>
      <c r="E22" s="1255">
        <f>RESUMEN!R201</f>
        <v>0</v>
      </c>
      <c r="F22" s="1255"/>
      <c r="G22" s="1177"/>
    </row>
    <row r="23" spans="1:7" x14ac:dyDescent="0.25">
      <c r="A23" s="1177"/>
      <c r="B23" s="1256" t="s">
        <v>66</v>
      </c>
      <c r="C23" s="1256"/>
      <c r="D23" s="1256"/>
      <c r="E23" s="1257">
        <f>RESUMEN!S201</f>
        <v>0</v>
      </c>
      <c r="F23" s="1257"/>
      <c r="G23" s="1177"/>
    </row>
    <row r="24" spans="1:7" x14ac:dyDescent="0.25">
      <c r="A24" s="1177"/>
      <c r="B24" s="1258" t="s">
        <v>1</v>
      </c>
      <c r="C24" s="1258"/>
      <c r="D24" s="1258"/>
      <c r="E24" s="1259">
        <f>RESUMEN!T201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+'OT18-067 SAN CAYETANO'!I27</f>
        <v>ACTA 1</v>
      </c>
      <c r="C28" s="1253">
        <f>+'OT18-067 SAN CAYETANO'!J27</f>
        <v>0</v>
      </c>
      <c r="D28" s="1253"/>
      <c r="E28" s="267">
        <f>+'OT18-067 SAN CAYETANO'!K27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2"/>
  <dimension ref="A1:N34"/>
  <sheetViews>
    <sheetView topLeftCell="D15" workbookViewId="0">
      <selection activeCell="I13" sqref="I13:N36"/>
    </sheetView>
  </sheetViews>
  <sheetFormatPr baseColWidth="10" defaultRowHeight="14.4" x14ac:dyDescent="0.3"/>
  <cols>
    <col min="2" max="2" width="19.88671875" customWidth="1"/>
    <col min="3" max="4" width="23.33203125" customWidth="1"/>
    <col min="6" max="7" width="17.21875" customWidth="1"/>
    <col min="8" max="8" width="34" customWidth="1"/>
  </cols>
  <sheetData>
    <row r="1" spans="1:14" x14ac:dyDescent="0.3">
      <c r="A1" s="169"/>
      <c r="B1" s="188"/>
      <c r="C1" s="1307" t="s">
        <v>40</v>
      </c>
      <c r="D1" s="1308"/>
      <c r="E1" s="1308"/>
      <c r="F1" s="1308"/>
      <c r="G1" s="1308"/>
      <c r="H1" s="1308"/>
      <c r="I1" s="1308"/>
      <c r="J1" s="1308"/>
      <c r="K1" s="1532" t="s">
        <v>2137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1745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2612</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285</v>
      </c>
      <c r="B14" s="1510" t="s">
        <v>364</v>
      </c>
      <c r="C14" s="1074" t="s">
        <v>81</v>
      </c>
      <c r="D14" s="1074" t="s">
        <v>365</v>
      </c>
      <c r="E14" s="1074">
        <v>0</v>
      </c>
      <c r="F14" s="646">
        <v>1097936</v>
      </c>
      <c r="G14" s="646">
        <f>ROUND((E14*F14),0)</f>
        <v>0</v>
      </c>
      <c r="H14" s="1514" t="s">
        <v>2613</v>
      </c>
      <c r="I14" s="799">
        <v>0</v>
      </c>
      <c r="J14" s="1132">
        <f>ROUND(I14*F14,0)</f>
        <v>0</v>
      </c>
      <c r="K14" s="1133">
        <v>0</v>
      </c>
      <c r="L14" s="1134">
        <f t="shared" ref="L14:M16" si="0">I14</f>
        <v>0</v>
      </c>
      <c r="M14" s="1124">
        <f t="shared" si="0"/>
        <v>0</v>
      </c>
      <c r="N14" s="1133">
        <v>0</v>
      </c>
    </row>
    <row r="15" spans="1:14" ht="43.2" x14ac:dyDescent="0.3">
      <c r="A15" s="1510"/>
      <c r="B15" s="1510"/>
      <c r="C15" s="1074" t="s">
        <v>83</v>
      </c>
      <c r="D15" s="1074" t="s">
        <v>367</v>
      </c>
      <c r="E15" s="1074">
        <v>0.7</v>
      </c>
      <c r="F15" s="646">
        <v>2305665</v>
      </c>
      <c r="G15" s="646">
        <f>ROUND((E15*F15),0)</f>
        <v>1613966</v>
      </c>
      <c r="H15" s="1510"/>
      <c r="I15" s="799">
        <v>0</v>
      </c>
      <c r="J15" s="1132">
        <f t="shared" ref="J15:J16" si="1">ROUND(I15*F15,0)</f>
        <v>0</v>
      </c>
      <c r="K15" s="1133">
        <f>J15/G15</f>
        <v>0</v>
      </c>
      <c r="L15" s="1134">
        <f t="shared" si="0"/>
        <v>0</v>
      </c>
      <c r="M15" s="1124">
        <f t="shared" si="0"/>
        <v>0</v>
      </c>
      <c r="N15" s="1133">
        <f>M15/G15</f>
        <v>0</v>
      </c>
    </row>
    <row r="16" spans="1:14" ht="43.2" x14ac:dyDescent="0.3">
      <c r="A16" s="1510"/>
      <c r="B16" s="1510"/>
      <c r="C16" s="1074" t="s">
        <v>61</v>
      </c>
      <c r="D16" s="1074" t="s">
        <v>368</v>
      </c>
      <c r="E16" s="1074">
        <v>0</v>
      </c>
      <c r="F16" s="646">
        <v>2927829</v>
      </c>
      <c r="G16" s="646">
        <f>ROUND((E16*F16),0)</f>
        <v>0</v>
      </c>
      <c r="H16" s="1510"/>
      <c r="I16" s="799">
        <v>0</v>
      </c>
      <c r="J16" s="1132">
        <f t="shared" si="1"/>
        <v>0</v>
      </c>
      <c r="K16" s="1133">
        <v>0</v>
      </c>
      <c r="L16" s="1134">
        <f t="shared" si="0"/>
        <v>0</v>
      </c>
      <c r="M16" s="1124">
        <f t="shared" si="0"/>
        <v>0</v>
      </c>
      <c r="N16" s="1133">
        <v>0</v>
      </c>
    </row>
    <row r="17" spans="1:14" x14ac:dyDescent="0.3">
      <c r="A17" s="1510"/>
      <c r="B17" s="1510"/>
      <c r="C17" s="647"/>
      <c r="D17" s="647" t="s">
        <v>278</v>
      </c>
      <c r="E17" s="648"/>
      <c r="F17" s="648"/>
      <c r="G17" s="649">
        <f>SUM(G14:G16)</f>
        <v>1613966</v>
      </c>
      <c r="H17" s="1510"/>
      <c r="I17" s="1108"/>
      <c r="J17" s="1146">
        <f>SUM(J14:J16)</f>
        <v>0</v>
      </c>
      <c r="K17" s="1136">
        <f>J17/G17</f>
        <v>0</v>
      </c>
      <c r="L17" s="1137"/>
      <c r="M17" s="1138">
        <f>J17</f>
        <v>0</v>
      </c>
      <c r="N17" s="1136">
        <f t="shared" ref="N17" si="2">M17/G17</f>
        <v>0</v>
      </c>
    </row>
    <row r="18" spans="1:14" x14ac:dyDescent="0.3">
      <c r="F18" s="836" t="s">
        <v>1740</v>
      </c>
      <c r="G18" s="650">
        <f>SUM(G14:G17)/2</f>
        <v>1613966</v>
      </c>
      <c r="I18" s="547" t="s">
        <v>64</v>
      </c>
      <c r="J18" s="855">
        <f>SUM(J14:J17)/2</f>
        <v>0</v>
      </c>
      <c r="K18" s="1073"/>
      <c r="L18" s="547" t="s">
        <v>64</v>
      </c>
      <c r="M18" s="835">
        <f>SUM(M14:M17)/2</f>
        <v>0</v>
      </c>
      <c r="N18" s="1073"/>
    </row>
    <row r="19" spans="1:14" ht="26.4" x14ac:dyDescent="0.3">
      <c r="F19" s="1118" t="s">
        <v>65</v>
      </c>
      <c r="G19" s="1115">
        <v>0</v>
      </c>
      <c r="I19" s="548" t="s">
        <v>65</v>
      </c>
      <c r="J19" s="677">
        <v>0</v>
      </c>
      <c r="K19" s="1073"/>
      <c r="L19" s="548" t="s">
        <v>65</v>
      </c>
      <c r="M19" s="677">
        <v>0</v>
      </c>
      <c r="N19" s="1073"/>
    </row>
    <row r="20" spans="1:14" x14ac:dyDescent="0.3">
      <c r="F20" s="1119" t="s">
        <v>64</v>
      </c>
      <c r="G20" s="1151">
        <f>G18+G19</f>
        <v>1613966</v>
      </c>
      <c r="I20" s="549" t="s">
        <v>64</v>
      </c>
      <c r="J20" s="481">
        <f>J18+J19</f>
        <v>0</v>
      </c>
      <c r="K20" s="1073"/>
      <c r="L20" s="549" t="s">
        <v>64</v>
      </c>
      <c r="M20" s="481">
        <f>M18+M19</f>
        <v>0</v>
      </c>
      <c r="N20" s="1073"/>
    </row>
    <row r="21" spans="1:14" ht="26.4" x14ac:dyDescent="0.3">
      <c r="F21" s="501" t="s">
        <v>1439</v>
      </c>
      <c r="G21" s="1116">
        <f>ROUND(G20*0.015,0)</f>
        <v>24209</v>
      </c>
      <c r="I21" s="501" t="s">
        <v>1439</v>
      </c>
      <c r="J21" s="481">
        <f>ROUND(J20*0.015,0)</f>
        <v>0</v>
      </c>
      <c r="K21" s="1073"/>
      <c r="L21" s="501" t="s">
        <v>1439</v>
      </c>
      <c r="M21" s="481">
        <f>ROUND(M20*0.015,0)</f>
        <v>0</v>
      </c>
      <c r="N21" s="1073"/>
    </row>
    <row r="22" spans="1:14" ht="39.6" x14ac:dyDescent="0.3">
      <c r="F22" s="96" t="s">
        <v>1440</v>
      </c>
      <c r="G22" s="1117">
        <f>G20+G21</f>
        <v>1638175</v>
      </c>
      <c r="I22" s="96" t="s">
        <v>1440</v>
      </c>
      <c r="J22" s="783">
        <f>J20+J21</f>
        <v>0</v>
      </c>
      <c r="K22" s="856">
        <f>J22/G18</f>
        <v>0</v>
      </c>
      <c r="L22" s="96" t="s">
        <v>1440</v>
      </c>
      <c r="M22" s="425">
        <f>M20+M21</f>
        <v>0</v>
      </c>
      <c r="N22" s="857">
        <f>M22/G18</f>
        <v>0</v>
      </c>
    </row>
    <row r="23" spans="1:14" x14ac:dyDescent="0.3">
      <c r="F23" s="1122" t="s">
        <v>66</v>
      </c>
      <c r="G23" s="783">
        <f>G22*0.19</f>
        <v>311253.25</v>
      </c>
      <c r="I23" s="551" t="s">
        <v>66</v>
      </c>
      <c r="J23" s="672">
        <f>J22*0.19</f>
        <v>0</v>
      </c>
      <c r="K23" s="1073"/>
      <c r="L23" s="551" t="s">
        <v>66</v>
      </c>
      <c r="M23" s="672">
        <f>M22*0.19</f>
        <v>0</v>
      </c>
      <c r="N23" s="1073"/>
    </row>
    <row r="24" spans="1:14" x14ac:dyDescent="0.3">
      <c r="F24" s="1123" t="s">
        <v>69</v>
      </c>
      <c r="G24" s="672">
        <f>G22+G23</f>
        <v>1949428.25</v>
      </c>
      <c r="I24" s="552" t="s">
        <v>69</v>
      </c>
      <c r="J24" s="672">
        <f>J22+J23</f>
        <v>0</v>
      </c>
      <c r="K24" s="1073"/>
      <c r="L24" s="552" t="s">
        <v>69</v>
      </c>
      <c r="M24" s="672">
        <f>M22+M23</f>
        <v>0</v>
      </c>
      <c r="N24" s="1073"/>
    </row>
    <row r="25" spans="1:14" x14ac:dyDescent="0.3">
      <c r="I25" s="1073"/>
      <c r="J25" s="1073"/>
      <c r="K25" s="1073"/>
      <c r="L25" s="1073"/>
      <c r="M25" s="1073"/>
      <c r="N25" s="1073"/>
    </row>
    <row r="26" spans="1:14" ht="26.4" x14ac:dyDescent="0.3">
      <c r="I26" s="186" t="s">
        <v>70</v>
      </c>
      <c r="J26" s="187" t="s">
        <v>71</v>
      </c>
      <c r="K26" s="186" t="s">
        <v>58</v>
      </c>
      <c r="L26" s="1073"/>
      <c r="M26" s="1073"/>
      <c r="N26" s="1073"/>
    </row>
    <row r="27" spans="1:14" x14ac:dyDescent="0.3">
      <c r="I27" s="69" t="s">
        <v>72</v>
      </c>
      <c r="J27" s="70">
        <f>J22</f>
        <v>0</v>
      </c>
      <c r="K27" s="360">
        <f>K22</f>
        <v>0</v>
      </c>
      <c r="L27" s="1073"/>
      <c r="M27" s="1073"/>
      <c r="N27" s="1073"/>
    </row>
    <row r="28" spans="1:14" x14ac:dyDescent="0.3">
      <c r="I28" s="72" t="s">
        <v>1</v>
      </c>
      <c r="J28" s="105">
        <f>J27</f>
        <v>0</v>
      </c>
      <c r="K28" s="361">
        <f>K27</f>
        <v>0</v>
      </c>
      <c r="L28" s="1073"/>
      <c r="M28" s="1073"/>
      <c r="N28" s="1073"/>
    </row>
    <row r="29" spans="1:14" x14ac:dyDescent="0.3">
      <c r="I29" s="72" t="s">
        <v>9</v>
      </c>
      <c r="J29" s="1423"/>
      <c r="K29" s="1424"/>
      <c r="L29" s="1073"/>
      <c r="M29" s="1073"/>
      <c r="N29" s="1073"/>
    </row>
    <row r="30" spans="1:14" x14ac:dyDescent="0.3">
      <c r="I30" s="440" t="s">
        <v>78</v>
      </c>
      <c r="J30" s="1423" t="s">
        <v>2609</v>
      </c>
      <c r="K30" s="1424"/>
      <c r="L30" s="1073"/>
      <c r="M30" s="1073"/>
      <c r="N30" s="1073"/>
    </row>
    <row r="31" spans="1:14" x14ac:dyDescent="0.3">
      <c r="I31" s="439" t="s">
        <v>8</v>
      </c>
      <c r="J31" s="1425" t="s">
        <v>1985</v>
      </c>
      <c r="K31" s="1426"/>
      <c r="L31" s="1073"/>
      <c r="M31" s="1073"/>
      <c r="N31" s="1073"/>
    </row>
    <row r="32" spans="1:14" x14ac:dyDescent="0.3">
      <c r="I32" s="1073"/>
      <c r="J32" s="1073"/>
      <c r="K32" s="1073"/>
      <c r="L32" s="1073"/>
      <c r="M32" s="1073"/>
      <c r="N32" s="1073"/>
    </row>
    <row r="33" spans="9:14" x14ac:dyDescent="0.3">
      <c r="I33" s="1073"/>
      <c r="J33" s="1073"/>
      <c r="K33" s="1073"/>
      <c r="L33" s="1073"/>
      <c r="M33" s="1073"/>
      <c r="N33" s="1073"/>
    </row>
    <row r="34" spans="9:14" x14ac:dyDescent="0.3">
      <c r="I34" s="1073"/>
      <c r="J34" s="1073"/>
      <c r="K34" s="1073"/>
      <c r="L34" s="1073"/>
      <c r="M34" s="1073"/>
      <c r="N34" s="1073"/>
    </row>
  </sheetData>
  <mergeCells count="21">
    <mergeCell ref="J31:K31"/>
    <mergeCell ref="A6:M6"/>
    <mergeCell ref="A7:M7"/>
    <mergeCell ref="A8:M8"/>
    <mergeCell ref="A9:M9"/>
    <mergeCell ref="A10:M10"/>
    <mergeCell ref="B11:F11"/>
    <mergeCell ref="I11:K12"/>
    <mergeCell ref="L11:N12"/>
    <mergeCell ref="B12:F12"/>
    <mergeCell ref="A14:A17"/>
    <mergeCell ref="B14:B17"/>
    <mergeCell ref="H14:H17"/>
    <mergeCell ref="J29:K29"/>
    <mergeCell ref="J30:K30"/>
    <mergeCell ref="A5:M5"/>
    <mergeCell ref="C1:J2"/>
    <mergeCell ref="K1:N1"/>
    <mergeCell ref="K2:N2"/>
    <mergeCell ref="A3:M3"/>
    <mergeCell ref="A4:M4"/>
  </mergeCells>
  <pageMargins left="0.7" right="0.7" top="0.75" bottom="0.75" header="0.3" footer="0.3"/>
  <drawing r:id="rId1"/>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3"/>
  <dimension ref="A1:G49"/>
  <sheetViews>
    <sheetView topLeftCell="A13"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RESUMEN!G202</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RESUMEN!B202</f>
        <v xml:space="preserve">D00249388 </v>
      </c>
      <c r="C7" s="1265"/>
      <c r="D7" s="1177"/>
      <c r="E7" s="1266" t="s">
        <v>627</v>
      </c>
      <c r="F7" s="1267"/>
      <c r="G7" s="280" t="str">
        <f>RESUMEN!E202</f>
        <v xml:space="preserve">18-068 </v>
      </c>
    </row>
    <row r="8" spans="1:7" x14ac:dyDescent="0.25">
      <c r="A8" s="271" t="s">
        <v>628</v>
      </c>
      <c r="B8" s="1264" t="str">
        <f>RESUMEN!C202</f>
        <v>D00249388000</v>
      </c>
      <c r="C8" s="1265"/>
      <c r="D8" s="1177"/>
      <c r="E8" s="1266" t="s">
        <v>629</v>
      </c>
      <c r="F8" s="1267"/>
      <c r="G8" s="280" t="str">
        <f>RESUMEN!U202</f>
        <v>Acta N° 1: Marzo</v>
      </c>
    </row>
    <row r="9" spans="1:7" x14ac:dyDescent="0.25">
      <c r="A9" s="271" t="s">
        <v>630</v>
      </c>
      <c r="B9" s="1283" t="s">
        <v>631</v>
      </c>
      <c r="C9" s="1265"/>
      <c r="D9" s="1177"/>
      <c r="E9" s="1266" t="s">
        <v>632</v>
      </c>
      <c r="F9" s="1267"/>
      <c r="G9" s="1178">
        <f>RESUMEN!H202</f>
        <v>2320304</v>
      </c>
    </row>
    <row r="10" spans="1:7" x14ac:dyDescent="0.25">
      <c r="A10" s="271" t="s">
        <v>633</v>
      </c>
      <c r="B10" s="1283" t="str">
        <f>RESUMEN!D202</f>
        <v>VILLA PINZÓN</v>
      </c>
      <c r="C10" s="1265"/>
      <c r="D10" s="1177"/>
      <c r="E10" s="1266" t="s">
        <v>634</v>
      </c>
      <c r="F10" s="1267"/>
      <c r="G10" s="1178">
        <f>RESUMEN!R202</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RESUMEN!V202,"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",RESUMEN!G202)</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RESUMEN!N202</f>
        <v>0</v>
      </c>
      <c r="F19" s="1248"/>
      <c r="G19" s="1177"/>
    </row>
    <row r="20" spans="1:7" ht="27" customHeight="1" x14ac:dyDescent="0.25">
      <c r="A20" s="1177"/>
      <c r="B20" s="1244" t="s">
        <v>1498</v>
      </c>
      <c r="C20" s="1245"/>
      <c r="D20" s="1246"/>
      <c r="E20" s="1247">
        <f>RESUMEN!P202</f>
        <v>0</v>
      </c>
      <c r="F20" s="1248"/>
      <c r="G20" s="1177"/>
    </row>
    <row r="21" spans="1:7" ht="27" customHeight="1" x14ac:dyDescent="0.25">
      <c r="A21" s="1177"/>
      <c r="B21" s="1244" t="s">
        <v>1499</v>
      </c>
      <c r="C21" s="1245"/>
      <c r="D21" s="1246"/>
      <c r="E21" s="1247">
        <f>RESUMEN!Q202</f>
        <v>0</v>
      </c>
      <c r="F21" s="1248"/>
      <c r="G21" s="1177"/>
    </row>
    <row r="22" spans="1:7" x14ac:dyDescent="0.25">
      <c r="A22" s="1177"/>
      <c r="B22" s="1254" t="s">
        <v>64</v>
      </c>
      <c r="C22" s="1254"/>
      <c r="D22" s="1254"/>
      <c r="E22" s="1255">
        <f>RESUMEN!R202</f>
        <v>0</v>
      </c>
      <c r="F22" s="1255"/>
      <c r="G22" s="1177"/>
    </row>
    <row r="23" spans="1:7" x14ac:dyDescent="0.25">
      <c r="A23" s="1177"/>
      <c r="B23" s="1256" t="s">
        <v>66</v>
      </c>
      <c r="C23" s="1256"/>
      <c r="D23" s="1256"/>
      <c r="E23" s="1257">
        <f>RESUMEN!S202</f>
        <v>0</v>
      </c>
      <c r="F23" s="1257"/>
      <c r="G23" s="1177"/>
    </row>
    <row r="24" spans="1:7" x14ac:dyDescent="0.25">
      <c r="A24" s="1177"/>
      <c r="B24" s="1258" t="s">
        <v>1</v>
      </c>
      <c r="C24" s="1258"/>
      <c r="D24" s="1258"/>
      <c r="E24" s="1259">
        <f>RESUMEN!T202</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+'OT18-068 VILLA PINZÓN'!I27</f>
        <v>ACTA 1</v>
      </c>
      <c r="C28" s="1253">
        <f>+'OT18-068 VILLA PINZÓN'!J27</f>
        <v>0</v>
      </c>
      <c r="D28" s="1253"/>
      <c r="E28" s="267">
        <f>+'OT18-068 VILLA PINZÓN'!K27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RESUMEN!V202</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4"/>
  <dimension ref="A1:N34"/>
  <sheetViews>
    <sheetView topLeftCell="D15" workbookViewId="0">
      <selection activeCell="I13" sqref="I13:N17"/>
    </sheetView>
  </sheetViews>
  <sheetFormatPr baseColWidth="10" defaultRowHeight="14.4" x14ac:dyDescent="0.3"/>
  <cols>
    <col min="2" max="2" width="20.5546875" customWidth="1"/>
    <col min="3" max="4" width="22.6640625" customWidth="1"/>
    <col min="5" max="6" width="14.33203125" customWidth="1"/>
    <col min="7" max="7" width="14.109375" customWidth="1"/>
    <col min="8" max="8" width="42.33203125" customWidth="1"/>
  </cols>
  <sheetData>
    <row r="1" spans="1:14" x14ac:dyDescent="0.3">
      <c r="A1" s="169"/>
      <c r="B1" s="188"/>
      <c r="C1" s="1307" t="s">
        <v>40</v>
      </c>
      <c r="D1" s="1308"/>
      <c r="E1" s="1308"/>
      <c r="F1" s="1308"/>
      <c r="G1" s="1308"/>
      <c r="H1" s="1308"/>
      <c r="I1" s="1308"/>
      <c r="J1" s="1308"/>
      <c r="K1" s="1532" t="s">
        <v>2137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1745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2614</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507</v>
      </c>
      <c r="B14" s="1510" t="s">
        <v>210</v>
      </c>
      <c r="C14" s="1074" t="s">
        <v>81</v>
      </c>
      <c r="D14" s="1074" t="s">
        <v>207</v>
      </c>
      <c r="E14" s="1074">
        <v>0</v>
      </c>
      <c r="F14" s="646">
        <v>841751</v>
      </c>
      <c r="G14" s="646">
        <f>ROUND((E14*F14),0)</f>
        <v>0</v>
      </c>
      <c r="H14" s="1510" t="s">
        <v>2615</v>
      </c>
      <c r="I14" s="799">
        <v>0</v>
      </c>
      <c r="J14" s="1132">
        <f>ROUND(I14*F14,0)</f>
        <v>0</v>
      </c>
      <c r="K14" s="1133">
        <v>0</v>
      </c>
      <c r="L14" s="1134">
        <f t="shared" ref="L14:M16" si="0">I14</f>
        <v>0</v>
      </c>
      <c r="M14" s="1124">
        <f t="shared" si="0"/>
        <v>0</v>
      </c>
      <c r="N14" s="1133">
        <v>0</v>
      </c>
    </row>
    <row r="15" spans="1:14" ht="43.2" x14ac:dyDescent="0.3">
      <c r="A15" s="1510"/>
      <c r="B15" s="1510"/>
      <c r="C15" s="1074" t="s">
        <v>83</v>
      </c>
      <c r="D15" s="1074" t="s">
        <v>208</v>
      </c>
      <c r="E15" s="1074">
        <v>0.7</v>
      </c>
      <c r="F15" s="646">
        <v>2781437</v>
      </c>
      <c r="G15" s="646">
        <f>ROUND((E15*F15),0)</f>
        <v>1947006</v>
      </c>
      <c r="H15" s="1510"/>
      <c r="I15" s="799">
        <v>0</v>
      </c>
      <c r="J15" s="1132">
        <f t="shared" ref="J15:J16" si="1">ROUND(I15*F15,0)</f>
        <v>0</v>
      </c>
      <c r="K15" s="1133">
        <f>J15/G15</f>
        <v>0</v>
      </c>
      <c r="L15" s="1134">
        <f t="shared" si="0"/>
        <v>0</v>
      </c>
      <c r="M15" s="1124">
        <f t="shared" si="0"/>
        <v>0</v>
      </c>
      <c r="N15" s="1133">
        <f>M15/G15</f>
        <v>0</v>
      </c>
    </row>
    <row r="16" spans="1:14" ht="43.2" x14ac:dyDescent="0.3">
      <c r="A16" s="1510"/>
      <c r="B16" s="1510"/>
      <c r="C16" s="1074" t="s">
        <v>61</v>
      </c>
      <c r="D16" s="1074" t="s">
        <v>209</v>
      </c>
      <c r="E16" s="1074">
        <v>0.2</v>
      </c>
      <c r="F16" s="646">
        <v>1866491</v>
      </c>
      <c r="G16" s="646">
        <f>ROUND((E16*F16),0)</f>
        <v>373298</v>
      </c>
      <c r="H16" s="1510"/>
      <c r="I16" s="799">
        <v>0</v>
      </c>
      <c r="J16" s="1132">
        <f t="shared" si="1"/>
        <v>0</v>
      </c>
      <c r="K16" s="1133">
        <f>J16/G16</f>
        <v>0</v>
      </c>
      <c r="L16" s="1134">
        <f t="shared" si="0"/>
        <v>0</v>
      </c>
      <c r="M16" s="1124">
        <f t="shared" si="0"/>
        <v>0</v>
      </c>
      <c r="N16" s="1133">
        <f>M16/G16</f>
        <v>0</v>
      </c>
    </row>
    <row r="17" spans="1:14" x14ac:dyDescent="0.3">
      <c r="A17" s="1510"/>
      <c r="B17" s="1510"/>
      <c r="C17" s="647"/>
      <c r="D17" s="647" t="s">
        <v>136</v>
      </c>
      <c r="E17" s="648"/>
      <c r="F17" s="648"/>
      <c r="G17" s="649">
        <f>SUM(G14:G16)</f>
        <v>2320304</v>
      </c>
      <c r="H17" s="1510"/>
      <c r="I17" s="1108"/>
      <c r="J17" s="1146">
        <f>SUM(J14:J16)</f>
        <v>0</v>
      </c>
      <c r="K17" s="1136">
        <f>J17/G17</f>
        <v>0</v>
      </c>
      <c r="L17" s="1137"/>
      <c r="M17" s="1138">
        <f>J17</f>
        <v>0</v>
      </c>
      <c r="N17" s="1136">
        <f t="shared" ref="N17" si="2">M17/G17</f>
        <v>0</v>
      </c>
    </row>
    <row r="18" spans="1:14" x14ac:dyDescent="0.3">
      <c r="F18" s="836" t="s">
        <v>1740</v>
      </c>
      <c r="G18" s="650">
        <f>SUM(G14:G17)/2</f>
        <v>2320304</v>
      </c>
      <c r="I18" s="547" t="s">
        <v>64</v>
      </c>
      <c r="J18" s="855">
        <f>SUM(J14:J17)/2</f>
        <v>0</v>
      </c>
      <c r="K18" s="1073"/>
      <c r="L18" s="547" t="s">
        <v>64</v>
      </c>
      <c r="M18" s="835">
        <f>SUM(M14:M17)/2</f>
        <v>0</v>
      </c>
      <c r="N18" s="1073"/>
    </row>
    <row r="19" spans="1:14" ht="26.4" x14ac:dyDescent="0.3">
      <c r="F19" s="1118" t="s">
        <v>65</v>
      </c>
      <c r="G19" s="1115">
        <v>0</v>
      </c>
      <c r="I19" s="548" t="s">
        <v>65</v>
      </c>
      <c r="J19" s="677">
        <v>0</v>
      </c>
      <c r="K19" s="1073"/>
      <c r="L19" s="548" t="s">
        <v>65</v>
      </c>
      <c r="M19" s="677">
        <v>0</v>
      </c>
      <c r="N19" s="1073"/>
    </row>
    <row r="20" spans="1:14" x14ac:dyDescent="0.3">
      <c r="F20" s="1119" t="s">
        <v>64</v>
      </c>
      <c r="G20" s="1151">
        <f>G18+G19</f>
        <v>2320304</v>
      </c>
      <c r="I20" s="549" t="s">
        <v>64</v>
      </c>
      <c r="J20" s="481">
        <f>J18+J19</f>
        <v>0</v>
      </c>
      <c r="K20" s="1073"/>
      <c r="L20" s="549" t="s">
        <v>64</v>
      </c>
      <c r="M20" s="481">
        <f>M18+M19</f>
        <v>0</v>
      </c>
      <c r="N20" s="1073"/>
    </row>
    <row r="21" spans="1:14" ht="26.4" x14ac:dyDescent="0.3">
      <c r="F21" s="501" t="s">
        <v>1439</v>
      </c>
      <c r="G21" s="1116">
        <f>ROUND(G20*0.015,0)</f>
        <v>34805</v>
      </c>
      <c r="I21" s="501" t="s">
        <v>1439</v>
      </c>
      <c r="J21" s="481">
        <f>ROUND(J20*0.015,0)</f>
        <v>0</v>
      </c>
      <c r="K21" s="1073"/>
      <c r="L21" s="501" t="s">
        <v>1439</v>
      </c>
      <c r="M21" s="481">
        <f>ROUND(M20*0.015,0)</f>
        <v>0</v>
      </c>
      <c r="N21" s="1073"/>
    </row>
    <row r="22" spans="1:14" ht="39.6" x14ac:dyDescent="0.3">
      <c r="F22" s="96" t="s">
        <v>1440</v>
      </c>
      <c r="G22" s="1117">
        <f>G20+G21</f>
        <v>2355109</v>
      </c>
      <c r="I22" s="96" t="s">
        <v>1440</v>
      </c>
      <c r="J22" s="783">
        <f>J20+J21</f>
        <v>0</v>
      </c>
      <c r="K22" s="856">
        <f>J22/G18</f>
        <v>0</v>
      </c>
      <c r="L22" s="96" t="s">
        <v>1440</v>
      </c>
      <c r="M22" s="425">
        <f>M20+M21</f>
        <v>0</v>
      </c>
      <c r="N22" s="857">
        <f>M22/G18</f>
        <v>0</v>
      </c>
    </row>
    <row r="23" spans="1:14" x14ac:dyDescent="0.3">
      <c r="F23" s="1122" t="s">
        <v>66</v>
      </c>
      <c r="G23" s="783">
        <f>G22*0.19</f>
        <v>447470.71</v>
      </c>
      <c r="I23" s="551" t="s">
        <v>66</v>
      </c>
      <c r="J23" s="672">
        <f>J22*0.19</f>
        <v>0</v>
      </c>
      <c r="K23" s="1073"/>
      <c r="L23" s="551" t="s">
        <v>66</v>
      </c>
      <c r="M23" s="672">
        <f>M22*0.19</f>
        <v>0</v>
      </c>
      <c r="N23" s="1073"/>
    </row>
    <row r="24" spans="1:14" x14ac:dyDescent="0.3">
      <c r="F24" s="1123" t="s">
        <v>69</v>
      </c>
      <c r="G24" s="672">
        <f>G22+G23</f>
        <v>2802579.71</v>
      </c>
      <c r="I24" s="552" t="s">
        <v>69</v>
      </c>
      <c r="J24" s="672">
        <f>J22+J23</f>
        <v>0</v>
      </c>
      <c r="K24" s="1073"/>
      <c r="L24" s="552" t="s">
        <v>69</v>
      </c>
      <c r="M24" s="672">
        <f>M22+M23</f>
        <v>0</v>
      </c>
      <c r="N24" s="1073"/>
    </row>
    <row r="25" spans="1:14" x14ac:dyDescent="0.3">
      <c r="I25" s="1073"/>
      <c r="J25" s="1073"/>
      <c r="K25" s="1073"/>
      <c r="L25" s="1073"/>
      <c r="M25" s="1073"/>
      <c r="N25" s="1073"/>
    </row>
    <row r="26" spans="1:14" ht="26.4" x14ac:dyDescent="0.3">
      <c r="I26" s="186" t="s">
        <v>70</v>
      </c>
      <c r="J26" s="187" t="s">
        <v>71</v>
      </c>
      <c r="K26" s="186" t="s">
        <v>58</v>
      </c>
      <c r="L26" s="1073"/>
      <c r="M26" s="1073"/>
      <c r="N26" s="1073"/>
    </row>
    <row r="27" spans="1:14" x14ac:dyDescent="0.3">
      <c r="I27" s="69" t="s">
        <v>72</v>
      </c>
      <c r="J27" s="70">
        <f>J22</f>
        <v>0</v>
      </c>
      <c r="K27" s="360">
        <f>K22</f>
        <v>0</v>
      </c>
      <c r="L27" s="1073"/>
      <c r="M27" s="1073"/>
      <c r="N27" s="1073"/>
    </row>
    <row r="28" spans="1:14" x14ac:dyDescent="0.3">
      <c r="I28" s="72" t="s">
        <v>1</v>
      </c>
      <c r="J28" s="105">
        <f>J27</f>
        <v>0</v>
      </c>
      <c r="K28" s="361">
        <f>K27</f>
        <v>0</v>
      </c>
      <c r="L28" s="1073"/>
      <c r="M28" s="1073"/>
      <c r="N28" s="1073"/>
    </row>
    <row r="29" spans="1:14" x14ac:dyDescent="0.3">
      <c r="I29" s="72" t="s">
        <v>9</v>
      </c>
      <c r="J29" s="1423"/>
      <c r="K29" s="1424"/>
      <c r="L29" s="1073"/>
      <c r="M29" s="1073"/>
      <c r="N29" s="1073"/>
    </row>
    <row r="30" spans="1:14" x14ac:dyDescent="0.3">
      <c r="I30" s="440" t="s">
        <v>78</v>
      </c>
      <c r="J30" s="1423" t="s">
        <v>2609</v>
      </c>
      <c r="K30" s="1424"/>
      <c r="L30" s="1073"/>
      <c r="M30" s="1073"/>
      <c r="N30" s="1073"/>
    </row>
    <row r="31" spans="1:14" x14ac:dyDescent="0.3">
      <c r="I31" s="439" t="s">
        <v>8</v>
      </c>
      <c r="J31" s="1425" t="s">
        <v>1985</v>
      </c>
      <c r="K31" s="1426"/>
      <c r="L31" s="1073"/>
      <c r="M31" s="1073"/>
      <c r="N31" s="1073"/>
    </row>
    <row r="32" spans="1:14" x14ac:dyDescent="0.3">
      <c r="I32" s="1073"/>
      <c r="J32" s="1073"/>
      <c r="K32" s="1073"/>
      <c r="L32" s="1073"/>
      <c r="M32" s="1073"/>
      <c r="N32" s="1073"/>
    </row>
    <row r="33" spans="9:14" x14ac:dyDescent="0.3">
      <c r="I33" s="1073"/>
      <c r="J33" s="1073"/>
      <c r="K33" s="1073"/>
      <c r="L33" s="1073"/>
      <c r="M33" s="1073"/>
      <c r="N33" s="1073"/>
    </row>
    <row r="34" spans="9:14" x14ac:dyDescent="0.3">
      <c r="I34" s="1073"/>
      <c r="J34" s="1073"/>
      <c r="K34" s="1073"/>
      <c r="L34" s="1073"/>
      <c r="M34" s="1073"/>
      <c r="N34" s="1073"/>
    </row>
  </sheetData>
  <mergeCells count="21">
    <mergeCell ref="J31:K31"/>
    <mergeCell ref="A6:M6"/>
    <mergeCell ref="A7:M7"/>
    <mergeCell ref="A8:M8"/>
    <mergeCell ref="A9:M9"/>
    <mergeCell ref="A10:M10"/>
    <mergeCell ref="B11:F11"/>
    <mergeCell ref="I11:K12"/>
    <mergeCell ref="L11:N12"/>
    <mergeCell ref="B12:F12"/>
    <mergeCell ref="A14:A17"/>
    <mergeCell ref="B14:B17"/>
    <mergeCell ref="H14:H17"/>
    <mergeCell ref="J29:K29"/>
    <mergeCell ref="J30:K30"/>
    <mergeCell ref="A5:M5"/>
    <mergeCell ref="C1:J2"/>
    <mergeCell ref="K1:N1"/>
    <mergeCell ref="K2:N2"/>
    <mergeCell ref="A3:M3"/>
    <mergeCell ref="A4:M4"/>
  </mergeCells>
  <pageMargins left="0.7" right="0.7" top="0.75" bottom="0.75" header="0.3" footer="0.3"/>
  <drawing r:id="rId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5"/>
  <dimension ref="A1:G49"/>
  <sheetViews>
    <sheetView topLeftCell="A16" workbookViewId="0">
      <selection activeCell="I38" sqref="I3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RESUMEN!G203</f>
        <v>Proyecto: CDIE_CADCSR_R0026, SUBESTACIÓN STN-115 KV NORTE.</v>
      </c>
      <c r="C5" s="1281"/>
      <c r="D5" s="1281"/>
      <c r="E5" s="1281"/>
      <c r="F5" s="1281"/>
      <c r="G5" s="1282"/>
    </row>
    <row r="6" spans="1:7" x14ac:dyDescent="0.25">
      <c r="A6" s="1177"/>
      <c r="B6" s="1177"/>
      <c r="C6" s="1177"/>
      <c r="D6" s="1177"/>
      <c r="E6" s="1177"/>
      <c r="F6" s="1177"/>
      <c r="G6" s="1177"/>
    </row>
    <row r="7" spans="1:7" x14ac:dyDescent="0.25">
      <c r="A7" s="271" t="s">
        <v>0</v>
      </c>
      <c r="B7" s="1264" t="str">
        <f>RESUMEN!B203</f>
        <v xml:space="preserve">D00248964 </v>
      </c>
      <c r="C7" s="1265"/>
      <c r="D7" s="1177"/>
      <c r="E7" s="1266" t="s">
        <v>627</v>
      </c>
      <c r="F7" s="1267"/>
      <c r="G7" s="280" t="str">
        <f>RESUMEN!E203</f>
        <v>18-069</v>
      </c>
    </row>
    <row r="8" spans="1:7" x14ac:dyDescent="0.25">
      <c r="A8" s="271" t="s">
        <v>628</v>
      </c>
      <c r="B8" s="1264" t="str">
        <f>RESUMEN!C203</f>
        <v>D00248964000</v>
      </c>
      <c r="C8" s="1265"/>
      <c r="D8" s="1177"/>
      <c r="E8" s="1266" t="s">
        <v>629</v>
      </c>
      <c r="F8" s="1267"/>
      <c r="G8" s="280" t="str">
        <f>RESUMEN!U203</f>
        <v>Acta N° 1: Marzo</v>
      </c>
    </row>
    <row r="9" spans="1:7" x14ac:dyDescent="0.25">
      <c r="A9" s="271" t="s">
        <v>630</v>
      </c>
      <c r="B9" s="1283" t="s">
        <v>631</v>
      </c>
      <c r="C9" s="1265"/>
      <c r="D9" s="1177"/>
      <c r="E9" s="1266" t="s">
        <v>632</v>
      </c>
      <c r="F9" s="1267"/>
      <c r="G9" s="1178">
        <f>RESUMEN!H203</f>
        <v>3513408</v>
      </c>
    </row>
    <row r="10" spans="1:7" x14ac:dyDescent="0.25">
      <c r="A10" s="271" t="s">
        <v>633</v>
      </c>
      <c r="B10" s="1283" t="str">
        <f>RESUMEN!D203</f>
        <v xml:space="preserve"> NORTE</v>
      </c>
      <c r="C10" s="1265"/>
      <c r="D10" s="1177"/>
      <c r="E10" s="1266" t="s">
        <v>634</v>
      </c>
      <c r="F10" s="1267"/>
      <c r="G10" s="1178">
        <f>RESUMEN!R203</f>
        <v>3566109</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RESUMEN!V203,"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",RESUMEN!G203)</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CDIE_CADCSR_R0026, SUBESTACIÓN STN-115 KV NORTE.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RESUMEN!N203</f>
        <v>0</v>
      </c>
      <c r="F19" s="1248"/>
      <c r="G19" s="1177"/>
    </row>
    <row r="20" spans="1:7" ht="27" customHeight="1" x14ac:dyDescent="0.25">
      <c r="A20" s="1177"/>
      <c r="B20" s="1244" t="s">
        <v>1498</v>
      </c>
      <c r="C20" s="1245"/>
      <c r="D20" s="1246"/>
      <c r="E20" s="1247">
        <f>RESUMEN!P203</f>
        <v>0</v>
      </c>
      <c r="F20" s="1248"/>
      <c r="G20" s="1177"/>
    </row>
    <row r="21" spans="1:7" ht="27" customHeight="1" x14ac:dyDescent="0.25">
      <c r="A21" s="1177"/>
      <c r="B21" s="1244" t="s">
        <v>1499</v>
      </c>
      <c r="C21" s="1245"/>
      <c r="D21" s="1246"/>
      <c r="E21" s="1247">
        <f>RESUMEN!Q203</f>
        <v>0</v>
      </c>
      <c r="F21" s="1248"/>
      <c r="G21" s="1177"/>
    </row>
    <row r="22" spans="1:7" x14ac:dyDescent="0.25">
      <c r="A22" s="1177"/>
      <c r="B22" s="1254" t="s">
        <v>64</v>
      </c>
      <c r="C22" s="1254"/>
      <c r="D22" s="1254"/>
      <c r="E22" s="1255">
        <f>RESUMEN!R203</f>
        <v>3566109</v>
      </c>
      <c r="F22" s="1255"/>
      <c r="G22" s="1177"/>
    </row>
    <row r="23" spans="1:7" x14ac:dyDescent="0.25">
      <c r="A23" s="1177"/>
      <c r="B23" s="1256" t="s">
        <v>66</v>
      </c>
      <c r="C23" s="1256"/>
      <c r="D23" s="1256"/>
      <c r="E23" s="1257">
        <f>RESUMEN!S203</f>
        <v>0</v>
      </c>
      <c r="F23" s="1257"/>
      <c r="G23" s="1177"/>
    </row>
    <row r="24" spans="1:7" x14ac:dyDescent="0.25">
      <c r="A24" s="1177"/>
      <c r="B24" s="1258" t="s">
        <v>1</v>
      </c>
      <c r="C24" s="1258"/>
      <c r="D24" s="1258"/>
      <c r="E24" s="1259">
        <f>RESUMEN!T203</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+'OT18-069 NORTE'!I25</f>
        <v>ACTA 1</v>
      </c>
      <c r="C28" s="1253">
        <f>+'OT18-069 NORTE'!J25</f>
        <v>0</v>
      </c>
      <c r="D28" s="1253"/>
      <c r="E28" s="267">
        <f>+'OT18-069 NORTE'!K25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RESUMEN!V203</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6"/>
  <dimension ref="A1:N33"/>
  <sheetViews>
    <sheetView topLeftCell="C13" workbookViewId="0">
      <selection activeCell="I13" sqref="I13:N31"/>
    </sheetView>
  </sheetViews>
  <sheetFormatPr baseColWidth="10" defaultRowHeight="14.4" x14ac:dyDescent="0.3"/>
  <cols>
    <col min="2" max="2" width="17.6640625" customWidth="1"/>
    <col min="3" max="4" width="24.33203125" customWidth="1"/>
    <col min="5" max="7" width="14.109375" customWidth="1"/>
    <col min="8" max="8" width="33.44140625" customWidth="1"/>
  </cols>
  <sheetData>
    <row r="1" spans="1:14" x14ac:dyDescent="0.3">
      <c r="A1" s="169"/>
      <c r="B1" s="188"/>
      <c r="C1" s="1307" t="s">
        <v>40</v>
      </c>
      <c r="D1" s="1308"/>
      <c r="E1" s="1308"/>
      <c r="F1" s="1308"/>
      <c r="G1" s="1308"/>
      <c r="H1" s="1308"/>
      <c r="I1" s="1308"/>
      <c r="J1" s="1308"/>
      <c r="K1" s="1532" t="s">
        <v>2618</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2617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2616</v>
      </c>
      <c r="B10" s="1292"/>
      <c r="C10" s="1292"/>
      <c r="D10" s="1292"/>
      <c r="E10" s="1292"/>
      <c r="F10" s="1292"/>
      <c r="G10" s="1292"/>
      <c r="H10" s="1292"/>
      <c r="I10" s="1292"/>
      <c r="J10" s="1292"/>
      <c r="K10" s="1292"/>
      <c r="L10" s="1292"/>
      <c r="M10" s="1292"/>
      <c r="N10" s="831"/>
    </row>
    <row r="11" spans="1:14" x14ac:dyDescent="0.3">
      <c r="A11" s="1072"/>
      <c r="B11" s="1301"/>
      <c r="C11" s="1313"/>
      <c r="D11" s="1313"/>
      <c r="E11" s="1313"/>
      <c r="F11" s="1313"/>
      <c r="G11" s="1073"/>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28.8" x14ac:dyDescent="0.3">
      <c r="A14" s="1510" t="s">
        <v>2541</v>
      </c>
      <c r="B14" s="1510" t="s">
        <v>194</v>
      </c>
      <c r="C14" s="1074" t="s">
        <v>160</v>
      </c>
      <c r="D14" s="1074" t="s">
        <v>161</v>
      </c>
      <c r="E14" s="1074">
        <v>48</v>
      </c>
      <c r="F14" s="646">
        <v>73196</v>
      </c>
      <c r="G14" s="646">
        <f>ROUND((E14*F14),0)</f>
        <v>3513408</v>
      </c>
      <c r="H14" s="1514" t="s">
        <v>2619</v>
      </c>
      <c r="I14" s="799">
        <v>0</v>
      </c>
      <c r="J14" s="1132">
        <f>ROUND(I14*F14,0)</f>
        <v>0</v>
      </c>
      <c r="K14" s="1133">
        <f>J14/G14</f>
        <v>0</v>
      </c>
      <c r="L14" s="1134">
        <f t="shared" ref="L14:M14" si="0">I14</f>
        <v>0</v>
      </c>
      <c r="M14" s="1124">
        <f t="shared" si="0"/>
        <v>0</v>
      </c>
      <c r="N14" s="1133">
        <f>M14/G14</f>
        <v>0</v>
      </c>
    </row>
    <row r="15" spans="1:14" x14ac:dyDescent="0.3">
      <c r="A15" s="1510"/>
      <c r="B15" s="1510"/>
      <c r="C15" s="647"/>
      <c r="D15" s="647" t="s">
        <v>162</v>
      </c>
      <c r="E15" s="648"/>
      <c r="F15" s="648"/>
      <c r="G15" s="649">
        <f>G14</f>
        <v>3513408</v>
      </c>
      <c r="H15" s="1510"/>
      <c r="I15" s="1108"/>
      <c r="J15" s="1146">
        <f>SUM(J12:J14)</f>
        <v>0</v>
      </c>
      <c r="K15" s="1136">
        <f>J15/G15</f>
        <v>0</v>
      </c>
      <c r="L15" s="1137"/>
      <c r="M15" s="1138">
        <f>J15</f>
        <v>0</v>
      </c>
      <c r="N15" s="1136">
        <f t="shared" ref="N15" si="1">M15/G15</f>
        <v>0</v>
      </c>
    </row>
    <row r="16" spans="1:14" x14ac:dyDescent="0.3">
      <c r="F16" s="836" t="s">
        <v>1740</v>
      </c>
      <c r="G16" s="650">
        <f>SUM(G12:G15)/2</f>
        <v>3513408</v>
      </c>
      <c r="I16" s="547" t="s">
        <v>64</v>
      </c>
      <c r="J16" s="855">
        <f>SUM(J14:J15)/2</f>
        <v>0</v>
      </c>
      <c r="K16" s="1073"/>
      <c r="L16" s="547" t="s">
        <v>64</v>
      </c>
      <c r="M16" s="835">
        <f>SUM(M14:M15)/2</f>
        <v>0</v>
      </c>
      <c r="N16" s="1073"/>
    </row>
    <row r="17" spans="6:14" ht="26.4" x14ac:dyDescent="0.3">
      <c r="F17" s="1118" t="s">
        <v>65</v>
      </c>
      <c r="G17" s="1115">
        <v>0</v>
      </c>
      <c r="I17" s="548" t="s">
        <v>65</v>
      </c>
      <c r="J17" s="677">
        <v>0</v>
      </c>
      <c r="K17" s="1073"/>
      <c r="L17" s="548" t="s">
        <v>65</v>
      </c>
      <c r="M17" s="677">
        <v>0</v>
      </c>
      <c r="N17" s="1073"/>
    </row>
    <row r="18" spans="6:14" x14ac:dyDescent="0.3">
      <c r="F18" s="1119" t="s">
        <v>64</v>
      </c>
      <c r="G18" s="1151">
        <f>G16+G17</f>
        <v>3513408</v>
      </c>
      <c r="I18" s="549" t="s">
        <v>64</v>
      </c>
      <c r="J18" s="481">
        <f>J16+J17</f>
        <v>0</v>
      </c>
      <c r="K18" s="1073"/>
      <c r="L18" s="549" t="s">
        <v>64</v>
      </c>
      <c r="M18" s="481">
        <f>M16+M17</f>
        <v>0</v>
      </c>
      <c r="N18" s="1073"/>
    </row>
    <row r="19" spans="6:14" ht="26.4" x14ac:dyDescent="0.3">
      <c r="F19" s="501" t="s">
        <v>1439</v>
      </c>
      <c r="G19" s="1116">
        <f>ROUND(G18*0.015,0)</f>
        <v>52701</v>
      </c>
      <c r="I19" s="501" t="s">
        <v>1439</v>
      </c>
      <c r="J19" s="481">
        <f>ROUND(J18*0.015,0)</f>
        <v>0</v>
      </c>
      <c r="K19" s="1073"/>
      <c r="L19" s="501" t="s">
        <v>1439</v>
      </c>
      <c r="M19" s="481">
        <f>ROUND(M18*0.015,0)</f>
        <v>0</v>
      </c>
      <c r="N19" s="1073"/>
    </row>
    <row r="20" spans="6:14" ht="39.6" x14ac:dyDescent="0.3">
      <c r="F20" s="96" t="s">
        <v>1440</v>
      </c>
      <c r="G20" s="1117">
        <f>G18+G19</f>
        <v>3566109</v>
      </c>
      <c r="I20" s="96" t="s">
        <v>1440</v>
      </c>
      <c r="J20" s="783">
        <f>J18+J19</f>
        <v>0</v>
      </c>
      <c r="K20" s="856">
        <f>J20/G16</f>
        <v>0</v>
      </c>
      <c r="L20" s="96" t="s">
        <v>1440</v>
      </c>
      <c r="M20" s="425">
        <f>M18+M19</f>
        <v>0</v>
      </c>
      <c r="N20" s="857">
        <f>M20/G16</f>
        <v>0</v>
      </c>
    </row>
    <row r="21" spans="6:14" x14ac:dyDescent="0.3">
      <c r="F21" s="1122" t="s">
        <v>66</v>
      </c>
      <c r="G21" s="783">
        <f>G20*0.19</f>
        <v>677560.71</v>
      </c>
      <c r="I21" s="551" t="s">
        <v>66</v>
      </c>
      <c r="J21" s="672">
        <f>J20*0.19</f>
        <v>0</v>
      </c>
      <c r="K21" s="1073"/>
      <c r="L21" s="551" t="s">
        <v>66</v>
      </c>
      <c r="M21" s="672">
        <f>M20*0.19</f>
        <v>0</v>
      </c>
      <c r="N21" s="1073"/>
    </row>
    <row r="22" spans="6:14" x14ac:dyDescent="0.3">
      <c r="F22" s="1123" t="s">
        <v>69</v>
      </c>
      <c r="G22" s="672">
        <f>G20+G21</f>
        <v>4243669.71</v>
      </c>
      <c r="I22" s="552" t="s">
        <v>69</v>
      </c>
      <c r="J22" s="672">
        <f>J20+J21</f>
        <v>0</v>
      </c>
      <c r="K22" s="1073"/>
      <c r="L22" s="552" t="s">
        <v>69</v>
      </c>
      <c r="M22" s="672">
        <f>M20+M21</f>
        <v>0</v>
      </c>
      <c r="N22" s="1073"/>
    </row>
    <row r="23" spans="6:14" x14ac:dyDescent="0.3">
      <c r="F23" s="1073"/>
      <c r="G23" s="1073"/>
      <c r="I23" s="1073"/>
      <c r="J23" s="1073"/>
      <c r="K23" s="1073"/>
      <c r="L23" s="1073"/>
      <c r="M23" s="1073"/>
      <c r="N23" s="1073"/>
    </row>
    <row r="24" spans="6:14" ht="26.4" x14ac:dyDescent="0.3">
      <c r="I24" s="186" t="s">
        <v>70</v>
      </c>
      <c r="J24" s="187" t="s">
        <v>71</v>
      </c>
      <c r="K24" s="186" t="s">
        <v>58</v>
      </c>
      <c r="L24" s="1073"/>
      <c r="M24" s="1073"/>
      <c r="N24" s="1073"/>
    </row>
    <row r="25" spans="6:14" x14ac:dyDescent="0.3">
      <c r="I25" s="69" t="s">
        <v>72</v>
      </c>
      <c r="J25" s="70">
        <f>J20</f>
        <v>0</v>
      </c>
      <c r="K25" s="360">
        <f>K20</f>
        <v>0</v>
      </c>
      <c r="L25" s="1073"/>
      <c r="M25" s="1073"/>
      <c r="N25" s="1073"/>
    </row>
    <row r="26" spans="6:14" x14ac:dyDescent="0.3">
      <c r="I26" s="72" t="s">
        <v>1</v>
      </c>
      <c r="J26" s="105">
        <f>J25</f>
        <v>0</v>
      </c>
      <c r="K26" s="361">
        <f>K25</f>
        <v>0</v>
      </c>
      <c r="L26" s="1073"/>
      <c r="M26" s="1073"/>
      <c r="N26" s="1073"/>
    </row>
    <row r="27" spans="6:14" x14ac:dyDescent="0.3">
      <c r="I27" s="72" t="s">
        <v>9</v>
      </c>
      <c r="J27" s="1423"/>
      <c r="K27" s="1424"/>
      <c r="L27" s="1073"/>
      <c r="M27" s="1073"/>
      <c r="N27" s="1073"/>
    </row>
    <row r="28" spans="6:14" x14ac:dyDescent="0.3">
      <c r="I28" s="440" t="s">
        <v>78</v>
      </c>
      <c r="J28" s="1423" t="s">
        <v>2620</v>
      </c>
      <c r="K28" s="1424"/>
      <c r="L28" s="1073"/>
      <c r="M28" s="1073"/>
      <c r="N28" s="1073"/>
    </row>
    <row r="29" spans="6:14" x14ac:dyDescent="0.3">
      <c r="I29" s="439" t="s">
        <v>8</v>
      </c>
      <c r="J29" s="1425" t="s">
        <v>1994</v>
      </c>
      <c r="K29" s="1426"/>
      <c r="L29" s="1073"/>
      <c r="M29" s="1073"/>
      <c r="N29" s="1073"/>
    </row>
    <row r="30" spans="6:14" x14ac:dyDescent="0.3">
      <c r="I30" s="1073"/>
      <c r="J30" s="1073"/>
      <c r="K30" s="1073"/>
      <c r="L30" s="1073"/>
      <c r="M30" s="1073"/>
      <c r="N30" s="1073"/>
    </row>
    <row r="31" spans="6:14" x14ac:dyDescent="0.3">
      <c r="I31" s="1073"/>
      <c r="J31" s="1073"/>
      <c r="K31" s="1073"/>
      <c r="L31" s="1073"/>
      <c r="M31" s="1073"/>
      <c r="N31" s="1073"/>
    </row>
    <row r="32" spans="6:14" x14ac:dyDescent="0.3">
      <c r="I32" s="1073"/>
      <c r="J32" s="1073"/>
      <c r="K32" s="1073"/>
      <c r="L32" s="1073"/>
      <c r="M32" s="1073"/>
      <c r="N32" s="1073"/>
    </row>
    <row r="33" spans="9:14" x14ac:dyDescent="0.3">
      <c r="I33" s="1073"/>
      <c r="J33" s="1073"/>
      <c r="K33" s="1073"/>
      <c r="L33" s="1073"/>
      <c r="M33" s="1073"/>
      <c r="N33" s="1073"/>
    </row>
  </sheetData>
  <mergeCells count="21">
    <mergeCell ref="J27:K27"/>
    <mergeCell ref="J28:K28"/>
    <mergeCell ref="J29:K29"/>
    <mergeCell ref="I11:K12"/>
    <mergeCell ref="L11:N12"/>
    <mergeCell ref="B12:F12"/>
    <mergeCell ref="A14:A15"/>
    <mergeCell ref="B14:B15"/>
    <mergeCell ref="H14:H15"/>
    <mergeCell ref="C1:J2"/>
    <mergeCell ref="A9:M9"/>
    <mergeCell ref="A10:M10"/>
    <mergeCell ref="B11:F11"/>
    <mergeCell ref="A6:M6"/>
    <mergeCell ref="A7:M7"/>
    <mergeCell ref="A8:M8"/>
    <mergeCell ref="K1:N1"/>
    <mergeCell ref="K2:N2"/>
    <mergeCell ref="A3:M3"/>
    <mergeCell ref="A4:M4"/>
    <mergeCell ref="A5:M5"/>
  </mergeCells>
  <pageMargins left="0.7" right="0.7" top="0.75" bottom="0.75" header="0.3" footer="0.3"/>
  <drawing r:id="rId1"/>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7"/>
  <dimension ref="A1:G49"/>
  <sheetViews>
    <sheetView workbookViewId="0">
      <selection activeCell="I27" sqref="I2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RESUMEN!G204</f>
        <v>Proyecto: CDIE_CADCSR_R0026, SUBESTACIÓN STN-115 KV NORTE.</v>
      </c>
      <c r="C5" s="1281"/>
      <c r="D5" s="1281"/>
      <c r="E5" s="1281"/>
      <c r="F5" s="1281"/>
      <c r="G5" s="1282"/>
    </row>
    <row r="6" spans="1:7" x14ac:dyDescent="0.25">
      <c r="A6" s="1177"/>
      <c r="B6" s="1177"/>
      <c r="C6" s="1177"/>
      <c r="D6" s="1177"/>
      <c r="E6" s="1177"/>
      <c r="F6" s="1177"/>
      <c r="G6" s="1177"/>
    </row>
    <row r="7" spans="1:7" x14ac:dyDescent="0.25">
      <c r="A7" s="271" t="s">
        <v>0</v>
      </c>
      <c r="B7" s="1264" t="str">
        <f>RESUMEN!B204</f>
        <v xml:space="preserve">D00249388 </v>
      </c>
      <c r="C7" s="1265"/>
      <c r="D7" s="1177"/>
      <c r="E7" s="1266" t="s">
        <v>627</v>
      </c>
      <c r="F7" s="1267"/>
      <c r="G7" s="280" t="str">
        <f>RESUMEN!E204</f>
        <v xml:space="preserve">18-070 </v>
      </c>
    </row>
    <row r="8" spans="1:7" x14ac:dyDescent="0.25">
      <c r="A8" s="271" t="s">
        <v>628</v>
      </c>
      <c r="B8" s="1264" t="str">
        <f>RESUMEN!C204</f>
        <v>D00249388000</v>
      </c>
      <c r="C8" s="1265"/>
      <c r="D8" s="1177"/>
      <c r="E8" s="1266" t="s">
        <v>629</v>
      </c>
      <c r="F8" s="1267"/>
      <c r="G8" s="280" t="str">
        <f>RESUMEN!U204</f>
        <v>Acta N° 1: Marzo</v>
      </c>
    </row>
    <row r="9" spans="1:7" x14ac:dyDescent="0.25">
      <c r="A9" s="271" t="s">
        <v>630</v>
      </c>
      <c r="B9" s="1283" t="s">
        <v>631</v>
      </c>
      <c r="C9" s="1265"/>
      <c r="D9" s="1177"/>
      <c r="E9" s="1266" t="s">
        <v>632</v>
      </c>
      <c r="F9" s="1267"/>
      <c r="G9" s="1178">
        <f>RESUMEN!H204</f>
        <v>7356169</v>
      </c>
    </row>
    <row r="10" spans="1:7" x14ac:dyDescent="0.25">
      <c r="A10" s="271" t="s">
        <v>633</v>
      </c>
      <c r="B10" s="1283" t="str">
        <f>RESUMEN!D204</f>
        <v>SESQUILE</v>
      </c>
      <c r="C10" s="1265"/>
      <c r="D10" s="1177"/>
      <c r="E10" s="1266" t="s">
        <v>634</v>
      </c>
      <c r="F10" s="1267"/>
      <c r="G10" s="1178">
        <f>RESUMEN!R204</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RESUMEN!V204,"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",RESUMEN!G204)</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CDIE_CADCSR_R0026, SUBESTACIÓN STN-115 KV NORTE.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RESUMEN!N204</f>
        <v>0</v>
      </c>
      <c r="F19" s="1248"/>
      <c r="G19" s="1177"/>
    </row>
    <row r="20" spans="1:7" ht="27" customHeight="1" x14ac:dyDescent="0.25">
      <c r="A20" s="1177"/>
      <c r="B20" s="1244" t="s">
        <v>1498</v>
      </c>
      <c r="C20" s="1245"/>
      <c r="D20" s="1246"/>
      <c r="E20" s="1247">
        <f>RESUMEN!P204</f>
        <v>0</v>
      </c>
      <c r="F20" s="1248"/>
      <c r="G20" s="1177"/>
    </row>
    <row r="21" spans="1:7" ht="27" customHeight="1" x14ac:dyDescent="0.25">
      <c r="A21" s="1177"/>
      <c r="B21" s="1244" t="s">
        <v>1499</v>
      </c>
      <c r="C21" s="1245"/>
      <c r="D21" s="1246"/>
      <c r="E21" s="1247">
        <f>RESUMEN!Q204</f>
        <v>0</v>
      </c>
      <c r="F21" s="1248"/>
      <c r="G21" s="1177"/>
    </row>
    <row r="22" spans="1:7" x14ac:dyDescent="0.25">
      <c r="A22" s="1177"/>
      <c r="B22" s="1254" t="s">
        <v>64</v>
      </c>
      <c r="C22" s="1254"/>
      <c r="D22" s="1254"/>
      <c r="E22" s="1255">
        <f>RESUMEN!R204</f>
        <v>0</v>
      </c>
      <c r="F22" s="1255"/>
      <c r="G22" s="1177"/>
    </row>
    <row r="23" spans="1:7" x14ac:dyDescent="0.25">
      <c r="A23" s="1177"/>
      <c r="B23" s="1256" t="s">
        <v>66</v>
      </c>
      <c r="C23" s="1256"/>
      <c r="D23" s="1256"/>
      <c r="E23" s="1257">
        <f>RESUMEN!S204</f>
        <v>0</v>
      </c>
      <c r="F23" s="1257"/>
      <c r="G23" s="1177"/>
    </row>
    <row r="24" spans="1:7" x14ac:dyDescent="0.25">
      <c r="A24" s="1177"/>
      <c r="B24" s="1258" t="s">
        <v>1</v>
      </c>
      <c r="C24" s="1258"/>
      <c r="D24" s="1258"/>
      <c r="E24" s="1259">
        <f>RESUMEN!T204</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+'OT18-070 SESQUILE'!I27</f>
        <v>ACTA 1</v>
      </c>
      <c r="C28" s="1253">
        <f>+'OT18-070 SESQUILE'!J27</f>
        <v>0</v>
      </c>
      <c r="D28" s="1253"/>
      <c r="E28" s="267">
        <f>+'OT18-070 SESQUILE'!K27</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RESUMEN!V204</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8"/>
  <dimension ref="A1:N36"/>
  <sheetViews>
    <sheetView topLeftCell="C16" workbookViewId="0">
      <selection activeCell="D25" sqref="D25"/>
    </sheetView>
  </sheetViews>
  <sheetFormatPr baseColWidth="10" defaultRowHeight="14.4" x14ac:dyDescent="0.3"/>
  <cols>
    <col min="2" max="2" width="17.77734375" customWidth="1"/>
    <col min="3" max="4" width="22.5546875" customWidth="1"/>
    <col min="5" max="7" width="15.21875" customWidth="1"/>
    <col min="8" max="8" width="31.88671875" customWidth="1"/>
  </cols>
  <sheetData>
    <row r="1" spans="1:14" x14ac:dyDescent="0.3">
      <c r="A1" s="169"/>
      <c r="B1" s="188"/>
      <c r="C1" s="1307" t="s">
        <v>40</v>
      </c>
      <c r="D1" s="1308"/>
      <c r="E1" s="1308"/>
      <c r="F1" s="1308"/>
      <c r="G1" s="1308"/>
      <c r="H1" s="1308"/>
      <c r="I1" s="1308"/>
      <c r="J1" s="1308"/>
      <c r="K1" s="1532" t="s">
        <v>2618</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2617</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2621</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1658</v>
      </c>
      <c r="B14" s="1510" t="s">
        <v>2622</v>
      </c>
      <c r="C14" s="1184" t="s">
        <v>81</v>
      </c>
      <c r="D14" s="1184" t="s">
        <v>218</v>
      </c>
      <c r="E14" s="1184">
        <v>1</v>
      </c>
      <c r="F14" s="646">
        <v>1207729</v>
      </c>
      <c r="G14" s="646">
        <f>ROUND((E14*F14),0)</f>
        <v>1207729</v>
      </c>
      <c r="H14" s="1510" t="s">
        <v>2623</v>
      </c>
      <c r="I14" s="799">
        <v>0</v>
      </c>
      <c r="J14" s="1132">
        <f>ROUND(I14*F14,0)</f>
        <v>0</v>
      </c>
      <c r="K14" s="1133">
        <f>J14/G14</f>
        <v>0</v>
      </c>
      <c r="L14" s="1134">
        <f t="shared" ref="L14:M16" si="0">I14</f>
        <v>0</v>
      </c>
      <c r="M14" s="1124">
        <f t="shared" si="0"/>
        <v>0</v>
      </c>
      <c r="N14" s="1133">
        <f>M14/G14</f>
        <v>0</v>
      </c>
    </row>
    <row r="15" spans="1:14" ht="43.2" x14ac:dyDescent="0.3">
      <c r="A15" s="1510"/>
      <c r="B15" s="1510"/>
      <c r="C15" s="1184" t="s">
        <v>83</v>
      </c>
      <c r="D15" s="1184" t="s">
        <v>219</v>
      </c>
      <c r="E15" s="1184">
        <v>1</v>
      </c>
      <c r="F15" s="646">
        <v>2781437</v>
      </c>
      <c r="G15" s="646">
        <f>ROUND((E15*F15),0)</f>
        <v>2781437</v>
      </c>
      <c r="H15" s="1510"/>
      <c r="I15" s="799">
        <v>0</v>
      </c>
      <c r="J15" s="1132">
        <f t="shared" ref="J15:J16" si="1">ROUND(I15*F15,0)</f>
        <v>0</v>
      </c>
      <c r="K15" s="1133">
        <f t="shared" ref="K15:K16" si="2">J15/G15</f>
        <v>0</v>
      </c>
      <c r="L15" s="1134">
        <f t="shared" si="0"/>
        <v>0</v>
      </c>
      <c r="M15" s="1124">
        <f t="shared" si="0"/>
        <v>0</v>
      </c>
      <c r="N15" s="1133">
        <f t="shared" ref="N15:N16" si="3">M15/G15</f>
        <v>0</v>
      </c>
    </row>
    <row r="16" spans="1:14" ht="43.2" x14ac:dyDescent="0.3">
      <c r="A16" s="1510"/>
      <c r="B16" s="1510"/>
      <c r="C16" s="1184" t="s">
        <v>61</v>
      </c>
      <c r="D16" s="1184" t="s">
        <v>220</v>
      </c>
      <c r="E16" s="1184">
        <v>1</v>
      </c>
      <c r="F16" s="646">
        <v>3367003</v>
      </c>
      <c r="G16" s="646">
        <f>ROUND((E16*F16),0)</f>
        <v>3367003</v>
      </c>
      <c r="H16" s="1510"/>
      <c r="I16" s="799">
        <v>0</v>
      </c>
      <c r="J16" s="1132">
        <f t="shared" si="1"/>
        <v>0</v>
      </c>
      <c r="K16" s="1133">
        <f t="shared" si="2"/>
        <v>0</v>
      </c>
      <c r="L16" s="1134">
        <f t="shared" si="0"/>
        <v>0</v>
      </c>
      <c r="M16" s="1124">
        <f t="shared" si="0"/>
        <v>0</v>
      </c>
      <c r="N16" s="1133">
        <f t="shared" si="3"/>
        <v>0</v>
      </c>
    </row>
    <row r="17" spans="1:14" x14ac:dyDescent="0.3">
      <c r="A17" s="1510"/>
      <c r="B17" s="1510"/>
      <c r="C17" s="647"/>
      <c r="D17" s="647" t="s">
        <v>221</v>
      </c>
      <c r="E17" s="648"/>
      <c r="F17" s="648"/>
      <c r="G17" s="649">
        <f>SUM(G14:G16)</f>
        <v>7356169</v>
      </c>
      <c r="H17" s="1510"/>
      <c r="I17" s="1108"/>
      <c r="J17" s="1146">
        <f>SUM(J14:J16)</f>
        <v>0</v>
      </c>
      <c r="K17" s="1136">
        <f>J17/G17</f>
        <v>0</v>
      </c>
      <c r="L17" s="1137"/>
      <c r="M17" s="1138">
        <f>J17</f>
        <v>0</v>
      </c>
      <c r="N17" s="1136">
        <f t="shared" ref="N17" si="4">M17/G17</f>
        <v>0</v>
      </c>
    </row>
    <row r="18" spans="1:14" x14ac:dyDescent="0.3">
      <c r="F18" s="836" t="s">
        <v>1740</v>
      </c>
      <c r="G18" s="650">
        <f>SUM(G14:G17)/2</f>
        <v>7356169</v>
      </c>
      <c r="I18" s="547" t="s">
        <v>64</v>
      </c>
      <c r="J18" s="855">
        <f>SUM(J14:J17)/2</f>
        <v>0</v>
      </c>
      <c r="K18" s="1182"/>
      <c r="L18" s="547" t="s">
        <v>64</v>
      </c>
      <c r="M18" s="835">
        <f>SUM(M14:M17)/2</f>
        <v>0</v>
      </c>
      <c r="N18" s="1182"/>
    </row>
    <row r="19" spans="1:14" ht="26.4" x14ac:dyDescent="0.3">
      <c r="F19" s="1118">
        <v>0.03</v>
      </c>
      <c r="G19" s="1185">
        <f>(G17*0.3)*F19</f>
        <v>66205.520999999993</v>
      </c>
      <c r="I19" s="548" t="s">
        <v>65</v>
      </c>
      <c r="J19" s="677">
        <f>(J17*0.3)*F19</f>
        <v>0</v>
      </c>
      <c r="K19" s="1182"/>
      <c r="L19" s="548" t="s">
        <v>65</v>
      </c>
      <c r="M19" s="677">
        <f>(M17*0.3)*F19</f>
        <v>0</v>
      </c>
      <c r="N19" s="1182"/>
    </row>
    <row r="20" spans="1:14" x14ac:dyDescent="0.3">
      <c r="F20" s="1119" t="s">
        <v>64</v>
      </c>
      <c r="G20" s="1151">
        <f>G18+G19</f>
        <v>7422374.5209999997</v>
      </c>
      <c r="I20" s="549" t="s">
        <v>64</v>
      </c>
      <c r="J20" s="481">
        <f>J18+J19</f>
        <v>0</v>
      </c>
      <c r="K20" s="1182"/>
      <c r="L20" s="549" t="s">
        <v>64</v>
      </c>
      <c r="M20" s="481">
        <f>M18+M19</f>
        <v>0</v>
      </c>
      <c r="N20" s="1182"/>
    </row>
    <row r="21" spans="1:14" ht="26.4" x14ac:dyDescent="0.3">
      <c r="F21" s="501" t="s">
        <v>1439</v>
      </c>
      <c r="G21" s="1116">
        <f>ROUND(G20*0.015,0)</f>
        <v>111336</v>
      </c>
      <c r="I21" s="501" t="s">
        <v>1439</v>
      </c>
      <c r="J21" s="481">
        <f>ROUND(J20*0.015,0)</f>
        <v>0</v>
      </c>
      <c r="K21" s="1182"/>
      <c r="L21" s="501" t="s">
        <v>1439</v>
      </c>
      <c r="M21" s="481">
        <f>ROUND(M20*0.015,0)</f>
        <v>0</v>
      </c>
      <c r="N21" s="1182"/>
    </row>
    <row r="22" spans="1:14" ht="39.6" x14ac:dyDescent="0.3">
      <c r="F22" s="96" t="s">
        <v>1440</v>
      </c>
      <c r="G22" s="1117">
        <f>G20+G21</f>
        <v>7533710.5209999997</v>
      </c>
      <c r="I22" s="96" t="s">
        <v>1440</v>
      </c>
      <c r="J22" s="783">
        <f>J20+J21</f>
        <v>0</v>
      </c>
      <c r="K22" s="856">
        <f>J22/G18</f>
        <v>0</v>
      </c>
      <c r="L22" s="96" t="s">
        <v>1440</v>
      </c>
      <c r="M22" s="425">
        <f>M20+M21</f>
        <v>0</v>
      </c>
      <c r="N22" s="857">
        <f>M22/G18</f>
        <v>0</v>
      </c>
    </row>
    <row r="23" spans="1:14" x14ac:dyDescent="0.3">
      <c r="F23" s="1122" t="s">
        <v>66</v>
      </c>
      <c r="G23" s="783">
        <f>G22*0.19</f>
        <v>1431404.99899</v>
      </c>
      <c r="I23" s="551" t="s">
        <v>66</v>
      </c>
      <c r="J23" s="672">
        <f>J22*0.19</f>
        <v>0</v>
      </c>
      <c r="K23" s="1182"/>
      <c r="L23" s="551" t="s">
        <v>66</v>
      </c>
      <c r="M23" s="672">
        <f>M22*0.19</f>
        <v>0</v>
      </c>
      <c r="N23" s="1182"/>
    </row>
    <row r="24" spans="1:14" x14ac:dyDescent="0.3">
      <c r="F24" s="1123" t="s">
        <v>69</v>
      </c>
      <c r="G24" s="672">
        <f>G22+G23</f>
        <v>8965115.519989999</v>
      </c>
      <c r="I24" s="552" t="s">
        <v>69</v>
      </c>
      <c r="J24" s="672">
        <f>J22+J23</f>
        <v>0</v>
      </c>
      <c r="K24" s="1182"/>
      <c r="L24" s="552" t="s">
        <v>69</v>
      </c>
      <c r="M24" s="672">
        <f>M22+M23</f>
        <v>0</v>
      </c>
      <c r="N24" s="1182"/>
    </row>
    <row r="25" spans="1:14" x14ac:dyDescent="0.3">
      <c r="I25" s="1182"/>
      <c r="J25" s="1182"/>
      <c r="K25" s="1182"/>
      <c r="L25" s="1182"/>
      <c r="M25" s="1182"/>
      <c r="N25" s="1182"/>
    </row>
    <row r="26" spans="1:14" ht="26.4" x14ac:dyDescent="0.3">
      <c r="I26" s="186" t="s">
        <v>70</v>
      </c>
      <c r="J26" s="187" t="s">
        <v>71</v>
      </c>
      <c r="K26" s="186" t="s">
        <v>58</v>
      </c>
      <c r="L26" s="1182"/>
      <c r="M26" s="1182"/>
      <c r="N26" s="1182"/>
    </row>
    <row r="27" spans="1:14" x14ac:dyDescent="0.3">
      <c r="I27" s="69" t="s">
        <v>72</v>
      </c>
      <c r="J27" s="70">
        <f>J22</f>
        <v>0</v>
      </c>
      <c r="K27" s="360">
        <f>K22</f>
        <v>0</v>
      </c>
      <c r="L27" s="1182"/>
      <c r="M27" s="1182"/>
      <c r="N27" s="1182"/>
    </row>
    <row r="28" spans="1:14" x14ac:dyDescent="0.3">
      <c r="I28" s="72" t="s">
        <v>1</v>
      </c>
      <c r="J28" s="105">
        <f>J27</f>
        <v>0</v>
      </c>
      <c r="K28" s="361">
        <f>K27</f>
        <v>0</v>
      </c>
      <c r="L28" s="1182"/>
      <c r="M28" s="1182"/>
      <c r="N28" s="1182"/>
    </row>
    <row r="29" spans="1:14" x14ac:dyDescent="0.3">
      <c r="I29" s="72" t="s">
        <v>9</v>
      </c>
      <c r="J29" s="1423"/>
      <c r="K29" s="1424"/>
      <c r="L29" s="1182"/>
      <c r="M29" s="1182"/>
      <c r="N29" s="1182"/>
    </row>
    <row r="30" spans="1:14" x14ac:dyDescent="0.3">
      <c r="I30" s="440" t="s">
        <v>78</v>
      </c>
      <c r="J30" s="1423" t="s">
        <v>2609</v>
      </c>
      <c r="K30" s="1424"/>
      <c r="L30" s="1182"/>
      <c r="M30" s="1182"/>
      <c r="N30" s="1182"/>
    </row>
    <row r="31" spans="1:14" x14ac:dyDescent="0.3">
      <c r="I31" s="439" t="s">
        <v>8</v>
      </c>
      <c r="J31" s="1425" t="s">
        <v>1985</v>
      </c>
      <c r="K31" s="1426"/>
      <c r="L31" s="1182"/>
      <c r="M31" s="1182"/>
      <c r="N31" s="1182"/>
    </row>
    <row r="32" spans="1:14" x14ac:dyDescent="0.3">
      <c r="I32" s="1182"/>
      <c r="J32" s="1182"/>
      <c r="K32" s="1182"/>
      <c r="L32" s="1182"/>
      <c r="M32" s="1182"/>
      <c r="N32" s="1182"/>
    </row>
    <row r="33" spans="9:14" x14ac:dyDescent="0.3">
      <c r="I33" s="1182"/>
      <c r="J33" s="1182"/>
      <c r="K33" s="1182"/>
      <c r="L33" s="1182"/>
      <c r="M33" s="1182"/>
      <c r="N33" s="1182"/>
    </row>
    <row r="34" spans="9:14" x14ac:dyDescent="0.3">
      <c r="I34" s="1182"/>
      <c r="J34" s="1182"/>
      <c r="K34" s="1182"/>
      <c r="L34" s="1182"/>
      <c r="M34" s="1182"/>
      <c r="N34" s="1182"/>
    </row>
    <row r="35" spans="9:14" x14ac:dyDescent="0.3">
      <c r="I35" s="1182"/>
      <c r="J35" s="1182"/>
      <c r="K35" s="1182"/>
      <c r="L35" s="1182"/>
      <c r="M35" s="1182"/>
      <c r="N35" s="1182"/>
    </row>
    <row r="36" spans="9:14" x14ac:dyDescent="0.3">
      <c r="I36" s="1182"/>
      <c r="J36" s="1182"/>
      <c r="K36" s="1182"/>
      <c r="L36" s="1182"/>
      <c r="M36" s="1182"/>
      <c r="N36" s="1182"/>
    </row>
  </sheetData>
  <mergeCells count="21">
    <mergeCell ref="A5:M5"/>
    <mergeCell ref="C1:J2"/>
    <mergeCell ref="K1:N1"/>
    <mergeCell ref="K2:N2"/>
    <mergeCell ref="A3:M3"/>
    <mergeCell ref="A4:M4"/>
    <mergeCell ref="J31:K31"/>
    <mergeCell ref="A6:M6"/>
    <mergeCell ref="A7:M7"/>
    <mergeCell ref="A8:M8"/>
    <mergeCell ref="A9:M9"/>
    <mergeCell ref="A10:M10"/>
    <mergeCell ref="B11:F11"/>
    <mergeCell ref="I11:K12"/>
    <mergeCell ref="L11:N12"/>
    <mergeCell ref="B12:F12"/>
    <mergeCell ref="A14:A17"/>
    <mergeCell ref="B14:B17"/>
    <mergeCell ref="H14:H17"/>
    <mergeCell ref="J29:K29"/>
    <mergeCell ref="J30:K30"/>
  </mergeCells>
  <pageMargins left="0.7" right="0.7" top="0.75" bottom="0.75" header="0.3" footer="0.3"/>
  <drawing r:id="rId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9"/>
  <dimension ref="A1:G49"/>
  <sheetViews>
    <sheetView topLeftCell="A13" workbookViewId="0">
      <selection activeCell="H35" sqref="H35"/>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RESUMEN!G205</f>
        <v>Proyecto: Confiabilidad Zona Simijaca ( LT SI-CH)</v>
      </c>
      <c r="C5" s="1281"/>
      <c r="D5" s="1281"/>
      <c r="E5" s="1281"/>
      <c r="F5" s="1281"/>
      <c r="G5" s="1282"/>
    </row>
    <row r="6" spans="1:7" x14ac:dyDescent="0.25">
      <c r="A6" s="1177"/>
      <c r="B6" s="1177"/>
      <c r="C6" s="1177"/>
      <c r="D6" s="1177"/>
      <c r="E6" s="1177"/>
      <c r="F6" s="1177"/>
      <c r="G6" s="1177"/>
    </row>
    <row r="7" spans="1:7" x14ac:dyDescent="0.25">
      <c r="A7" s="271" t="s">
        <v>0</v>
      </c>
      <c r="B7" s="1264" t="str">
        <f>RESUMEN!B205</f>
        <v xml:space="preserve">D00249112 </v>
      </c>
      <c r="C7" s="1265"/>
      <c r="D7" s="1177"/>
      <c r="E7" s="1266" t="s">
        <v>627</v>
      </c>
      <c r="F7" s="1267"/>
      <c r="G7" s="280" t="str">
        <f>RESUMEN!E205</f>
        <v xml:space="preserve">18-071 </v>
      </c>
    </row>
    <row r="8" spans="1:7" x14ac:dyDescent="0.25">
      <c r="A8" s="271" t="s">
        <v>628</v>
      </c>
      <c r="B8" s="1264">
        <f>RESUMEN!C205</f>
        <v>1620900004</v>
      </c>
      <c r="C8" s="1265"/>
      <c r="D8" s="1177"/>
      <c r="E8" s="1266" t="s">
        <v>629</v>
      </c>
      <c r="F8" s="1267"/>
      <c r="G8" s="280" t="str">
        <f>RESUMEN!U205</f>
        <v>Acta N° 1: Marzo</v>
      </c>
    </row>
    <row r="9" spans="1:7" x14ac:dyDescent="0.25">
      <c r="A9" s="271" t="s">
        <v>630</v>
      </c>
      <c r="B9" s="1283" t="s">
        <v>631</v>
      </c>
      <c r="C9" s="1265"/>
      <c r="D9" s="1177"/>
      <c r="E9" s="1266" t="s">
        <v>632</v>
      </c>
      <c r="F9" s="1267"/>
      <c r="G9" s="1178">
        <f>RESUMEN!H205</f>
        <v>28436541</v>
      </c>
    </row>
    <row r="10" spans="1:7" x14ac:dyDescent="0.25">
      <c r="A10" s="271" t="s">
        <v>633</v>
      </c>
      <c r="B10" s="1283" t="str">
        <f>RESUMEN!D205</f>
        <v xml:space="preserve">LLTT SIMIJACA </v>
      </c>
      <c r="C10" s="1265"/>
      <c r="D10" s="1177"/>
      <c r="E10" s="1266" t="s">
        <v>634</v>
      </c>
      <c r="F10" s="1267"/>
      <c r="G10" s="1178">
        <f>RESUMEN!R205</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RESUMEN!V205,"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",RESUMEN!G205)</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Confiabilidad Zona Simijaca ( LT SI-CH)</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RESUMEN!N205</f>
        <v>0</v>
      </c>
      <c r="F19" s="1248"/>
      <c r="G19" s="1177"/>
    </row>
    <row r="20" spans="1:7" ht="27" customHeight="1" x14ac:dyDescent="0.25">
      <c r="A20" s="1177"/>
      <c r="B20" s="1244" t="s">
        <v>1498</v>
      </c>
      <c r="C20" s="1245"/>
      <c r="D20" s="1246"/>
      <c r="E20" s="1247">
        <f>RESUMEN!P205</f>
        <v>0</v>
      </c>
      <c r="F20" s="1248"/>
      <c r="G20" s="1177"/>
    </row>
    <row r="21" spans="1:7" ht="27" customHeight="1" x14ac:dyDescent="0.25">
      <c r="A21" s="1177"/>
      <c r="B21" s="1244" t="s">
        <v>1499</v>
      </c>
      <c r="C21" s="1245"/>
      <c r="D21" s="1246"/>
      <c r="E21" s="1247">
        <f>RESUMEN!Q205</f>
        <v>0</v>
      </c>
      <c r="F21" s="1248"/>
      <c r="G21" s="1177"/>
    </row>
    <row r="22" spans="1:7" x14ac:dyDescent="0.25">
      <c r="A22" s="1177"/>
      <c r="B22" s="1254" t="s">
        <v>64</v>
      </c>
      <c r="C22" s="1254"/>
      <c r="D22" s="1254"/>
      <c r="E22" s="1255">
        <f>RESUMEN!R205</f>
        <v>0</v>
      </c>
      <c r="F22" s="1255"/>
      <c r="G22" s="1177"/>
    </row>
    <row r="23" spans="1:7" x14ac:dyDescent="0.25">
      <c r="A23" s="1177"/>
      <c r="B23" s="1256" t="s">
        <v>66</v>
      </c>
      <c r="C23" s="1256"/>
      <c r="D23" s="1256"/>
      <c r="E23" s="1257">
        <f>RESUMEN!S205</f>
        <v>0</v>
      </c>
      <c r="F23" s="1257"/>
      <c r="G23" s="1177"/>
    </row>
    <row r="24" spans="1:7" x14ac:dyDescent="0.25">
      <c r="A24" s="1177"/>
      <c r="B24" s="1258" t="s">
        <v>1</v>
      </c>
      <c r="C24" s="1258"/>
      <c r="D24" s="1258"/>
      <c r="E24" s="1259">
        <f>RESUMEN!T205</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+'OT18-071 LLTT SIMIJACA '!I25</f>
        <v>ACTA 1</v>
      </c>
      <c r="C28" s="1253">
        <f>+'OT18-071 LLTT SIMIJACA '!J25</f>
        <v>0</v>
      </c>
      <c r="D28" s="1253"/>
      <c r="E28" s="267">
        <f>+'OT18-071 LLTT SIMIJACA '!K25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RESUMEN!V205</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0"/>
  <dimension ref="A1:N31"/>
  <sheetViews>
    <sheetView topLeftCell="C13" workbookViewId="0">
      <selection activeCell="K20" sqref="K20"/>
    </sheetView>
  </sheetViews>
  <sheetFormatPr baseColWidth="10" defaultRowHeight="14.4" x14ac:dyDescent="0.3"/>
  <cols>
    <col min="2" max="2" width="22.21875" customWidth="1"/>
    <col min="3" max="4" width="23.109375" customWidth="1"/>
    <col min="5" max="7" width="15.21875" customWidth="1"/>
    <col min="8" max="8" width="35" customWidth="1"/>
  </cols>
  <sheetData>
    <row r="1" spans="1:14" x14ac:dyDescent="0.3">
      <c r="A1" s="169"/>
      <c r="B1" s="188"/>
      <c r="C1" s="1307" t="s">
        <v>40</v>
      </c>
      <c r="D1" s="1308"/>
      <c r="E1" s="1308"/>
      <c r="F1" s="1308"/>
      <c r="G1" s="1308"/>
      <c r="H1" s="1308"/>
      <c r="I1" s="1308"/>
      <c r="J1" s="1308"/>
      <c r="K1" s="1532" t="s">
        <v>2626</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2625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2624</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28.8" x14ac:dyDescent="0.3">
      <c r="A14" s="1510" t="s">
        <v>2627</v>
      </c>
      <c r="B14" s="1510" t="s">
        <v>2628</v>
      </c>
      <c r="C14" s="1184" t="s">
        <v>2629</v>
      </c>
      <c r="D14" s="1184" t="s">
        <v>2630</v>
      </c>
      <c r="E14" s="1143">
        <v>21</v>
      </c>
      <c r="F14" s="646">
        <v>1354121</v>
      </c>
      <c r="G14" s="646">
        <f>ROUND((E14*F14),0)</f>
        <v>28436541</v>
      </c>
      <c r="H14" s="1514" t="s">
        <v>2631</v>
      </c>
      <c r="I14" s="799">
        <v>0</v>
      </c>
      <c r="J14" s="1132">
        <f>ROUND(I14*F14,0)</f>
        <v>0</v>
      </c>
      <c r="K14" s="1133">
        <f>J14/G14</f>
        <v>0</v>
      </c>
      <c r="L14" s="1134">
        <f t="shared" ref="L14:M14" si="0">I14</f>
        <v>0</v>
      </c>
      <c r="M14" s="1124">
        <f t="shared" si="0"/>
        <v>0</v>
      </c>
      <c r="N14" s="1133">
        <f>M14/G14</f>
        <v>0</v>
      </c>
    </row>
    <row r="15" spans="1:14" x14ac:dyDescent="0.3">
      <c r="A15" s="1510"/>
      <c r="B15" s="1510"/>
      <c r="C15" s="647"/>
      <c r="D15" s="647" t="s">
        <v>221</v>
      </c>
      <c r="E15" s="648"/>
      <c r="F15" s="648"/>
      <c r="G15" s="649">
        <f>G14</f>
        <v>28436541</v>
      </c>
      <c r="H15" s="1510"/>
      <c r="I15" s="1108"/>
      <c r="J15" s="1146">
        <f>SUM(J12:J14)</f>
        <v>0</v>
      </c>
      <c r="K15" s="1136">
        <f>J15/G15</f>
        <v>0</v>
      </c>
      <c r="L15" s="1137"/>
      <c r="M15" s="1138">
        <f>J15</f>
        <v>0</v>
      </c>
      <c r="N15" s="1136">
        <f t="shared" ref="N15" si="1">M15/G15</f>
        <v>0</v>
      </c>
    </row>
    <row r="16" spans="1:14" x14ac:dyDescent="0.3">
      <c r="F16" s="836" t="s">
        <v>1740</v>
      </c>
      <c r="G16" s="650">
        <f>SUM(G12:G15)/2</f>
        <v>28436541</v>
      </c>
      <c r="I16" s="547" t="s">
        <v>64</v>
      </c>
      <c r="J16" s="855">
        <f>SUM(J14:J15)/2</f>
        <v>0</v>
      </c>
      <c r="K16" s="1182"/>
      <c r="L16" s="547" t="s">
        <v>64</v>
      </c>
      <c r="M16" s="835">
        <f>SUM(M14:M15)/2</f>
        <v>0</v>
      </c>
      <c r="N16" s="1182"/>
    </row>
    <row r="17" spans="6:14" ht="26.4" x14ac:dyDescent="0.3">
      <c r="F17" s="1118" t="s">
        <v>65</v>
      </c>
      <c r="G17" s="1115">
        <v>0</v>
      </c>
      <c r="I17" s="548" t="s">
        <v>65</v>
      </c>
      <c r="J17" s="677">
        <v>0</v>
      </c>
      <c r="K17" s="1182"/>
      <c r="L17" s="548" t="s">
        <v>65</v>
      </c>
      <c r="M17" s="677">
        <v>0</v>
      </c>
      <c r="N17" s="1182"/>
    </row>
    <row r="18" spans="6:14" x14ac:dyDescent="0.3">
      <c r="F18" s="1119" t="s">
        <v>64</v>
      </c>
      <c r="G18" s="1151">
        <f>G16+G17</f>
        <v>28436541</v>
      </c>
      <c r="I18" s="549" t="s">
        <v>64</v>
      </c>
      <c r="J18" s="481">
        <f>J16+J17</f>
        <v>0</v>
      </c>
      <c r="K18" s="1182"/>
      <c r="L18" s="549" t="s">
        <v>64</v>
      </c>
      <c r="M18" s="481">
        <f>M16+M17</f>
        <v>0</v>
      </c>
      <c r="N18" s="1182"/>
    </row>
    <row r="19" spans="6:14" ht="26.4" x14ac:dyDescent="0.3">
      <c r="F19" s="501" t="s">
        <v>1439</v>
      </c>
      <c r="G19" s="1116">
        <f>ROUND(G18*0.015,0)</f>
        <v>426548</v>
      </c>
      <c r="I19" s="501" t="s">
        <v>1439</v>
      </c>
      <c r="J19" s="481">
        <f>ROUND(J18*0.015,0)</f>
        <v>0</v>
      </c>
      <c r="K19" s="1182"/>
      <c r="L19" s="501" t="s">
        <v>1439</v>
      </c>
      <c r="M19" s="481">
        <f>ROUND(M18*0.015,0)</f>
        <v>0</v>
      </c>
      <c r="N19" s="1182"/>
    </row>
    <row r="20" spans="6:14" ht="39.6" x14ac:dyDescent="0.3">
      <c r="F20" s="96" t="s">
        <v>1440</v>
      </c>
      <c r="G20" s="1117">
        <f>G18+G19</f>
        <v>28863089</v>
      </c>
      <c r="I20" s="96" t="s">
        <v>1440</v>
      </c>
      <c r="J20" s="783">
        <f>J18+J19</f>
        <v>0</v>
      </c>
      <c r="K20" s="856">
        <f>J20/G16</f>
        <v>0</v>
      </c>
      <c r="L20" s="96" t="s">
        <v>1440</v>
      </c>
      <c r="M20" s="425">
        <f>M18+M19</f>
        <v>0</v>
      </c>
      <c r="N20" s="857">
        <f>M20/G16</f>
        <v>0</v>
      </c>
    </row>
    <row r="21" spans="6:14" x14ac:dyDescent="0.3">
      <c r="F21" s="1122" t="s">
        <v>66</v>
      </c>
      <c r="G21" s="783">
        <f>G20*0.19</f>
        <v>5483986.9100000001</v>
      </c>
      <c r="I21" s="551" t="s">
        <v>66</v>
      </c>
      <c r="J21" s="672">
        <f>J20*0.19</f>
        <v>0</v>
      </c>
      <c r="K21" s="1182"/>
      <c r="L21" s="551" t="s">
        <v>66</v>
      </c>
      <c r="M21" s="672">
        <f>M20*0.19</f>
        <v>0</v>
      </c>
      <c r="N21" s="1182"/>
    </row>
    <row r="22" spans="6:14" x14ac:dyDescent="0.3">
      <c r="F22" s="1123" t="s">
        <v>69</v>
      </c>
      <c r="G22" s="672">
        <f>G20+G21</f>
        <v>34347075.909999996</v>
      </c>
      <c r="I22" s="552" t="s">
        <v>69</v>
      </c>
      <c r="J22" s="672">
        <f>J20+J21</f>
        <v>0</v>
      </c>
      <c r="K22" s="1182"/>
      <c r="L22" s="552" t="s">
        <v>69</v>
      </c>
      <c r="M22" s="672">
        <f>M20+M21</f>
        <v>0</v>
      </c>
      <c r="N22" s="1182"/>
    </row>
    <row r="23" spans="6:14" x14ac:dyDescent="0.3">
      <c r="I23" s="1182"/>
      <c r="J23" s="1182"/>
      <c r="K23" s="1182"/>
      <c r="L23" s="1182"/>
      <c r="M23" s="1182"/>
      <c r="N23" s="1182"/>
    </row>
    <row r="24" spans="6:14" ht="26.4" x14ac:dyDescent="0.3">
      <c r="I24" s="186" t="s">
        <v>70</v>
      </c>
      <c r="J24" s="187" t="s">
        <v>71</v>
      </c>
      <c r="K24" s="186" t="s">
        <v>58</v>
      </c>
      <c r="L24" s="1182"/>
      <c r="M24" s="1182"/>
      <c r="N24" s="1182"/>
    </row>
    <row r="25" spans="6:14" x14ac:dyDescent="0.3">
      <c r="I25" s="69" t="s">
        <v>72</v>
      </c>
      <c r="J25" s="70">
        <f>J20</f>
        <v>0</v>
      </c>
      <c r="K25" s="360">
        <f>K20</f>
        <v>0</v>
      </c>
      <c r="L25" s="1182"/>
      <c r="M25" s="1182"/>
      <c r="N25" s="1182"/>
    </row>
    <row r="26" spans="6:14" x14ac:dyDescent="0.3">
      <c r="I26" s="72" t="s">
        <v>1</v>
      </c>
      <c r="J26" s="105">
        <f>J25</f>
        <v>0</v>
      </c>
      <c r="K26" s="361">
        <f>K25</f>
        <v>0</v>
      </c>
      <c r="L26" s="1182"/>
      <c r="M26" s="1182"/>
      <c r="N26" s="1182"/>
    </row>
    <row r="27" spans="6:14" x14ac:dyDescent="0.3">
      <c r="I27" s="72" t="s">
        <v>9</v>
      </c>
      <c r="J27" s="1423"/>
      <c r="K27" s="1424"/>
      <c r="L27" s="1182"/>
      <c r="M27" s="1182"/>
      <c r="N27" s="1182"/>
    </row>
    <row r="28" spans="6:14" x14ac:dyDescent="0.3">
      <c r="I28" s="440" t="s">
        <v>78</v>
      </c>
      <c r="J28" s="1423" t="s">
        <v>2632</v>
      </c>
      <c r="K28" s="1424"/>
      <c r="L28" s="1182"/>
      <c r="M28" s="1182"/>
      <c r="N28" s="1182"/>
    </row>
    <row r="29" spans="6:14" x14ac:dyDescent="0.3">
      <c r="I29" s="439" t="s">
        <v>8</v>
      </c>
      <c r="J29" s="1425">
        <v>1620900004</v>
      </c>
      <c r="K29" s="1426"/>
      <c r="L29" s="1182"/>
      <c r="M29" s="1182"/>
      <c r="N29" s="1182"/>
    </row>
    <row r="30" spans="6:14" x14ac:dyDescent="0.3">
      <c r="I30" s="1182"/>
      <c r="J30" s="1182"/>
      <c r="K30" s="1182"/>
      <c r="L30" s="1182"/>
      <c r="M30" s="1182"/>
      <c r="N30" s="1182"/>
    </row>
    <row r="31" spans="6:14" x14ac:dyDescent="0.3">
      <c r="I31" s="1182"/>
      <c r="J31" s="1182"/>
      <c r="K31" s="1182"/>
      <c r="L31" s="1182"/>
      <c r="M31" s="1182"/>
      <c r="N31" s="1182"/>
    </row>
  </sheetData>
  <mergeCells count="21">
    <mergeCell ref="A5:M5"/>
    <mergeCell ref="C1:J2"/>
    <mergeCell ref="K1:N1"/>
    <mergeCell ref="K2:N2"/>
    <mergeCell ref="A3:M3"/>
    <mergeCell ref="A4:M4"/>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s>
  <pageMargins left="0.7" right="0.7" top="0.75" bottom="0.75" header="0.3" footer="0.3"/>
  <drawing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1"/>
  <dimension ref="A1:G49"/>
  <sheetViews>
    <sheetView topLeftCell="A13" workbookViewId="0">
      <selection activeCell="I22" sqref="I22"/>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RESUMEN!G206</f>
        <v>Proyecto: LT DO GU Remplazo estructura 453 por distancias de seguridad.</v>
      </c>
      <c r="C5" s="1281"/>
      <c r="D5" s="1281"/>
      <c r="E5" s="1281"/>
      <c r="F5" s="1281"/>
      <c r="G5" s="1282"/>
    </row>
    <row r="6" spans="1:7" x14ac:dyDescent="0.25">
      <c r="A6" s="1177"/>
      <c r="B6" s="1177"/>
      <c r="C6" s="1177"/>
      <c r="D6" s="1177"/>
      <c r="E6" s="1177"/>
      <c r="F6" s="1177"/>
      <c r="G6" s="1177"/>
    </row>
    <row r="7" spans="1:7" x14ac:dyDescent="0.25">
      <c r="A7" s="271" t="s">
        <v>0</v>
      </c>
      <c r="B7" s="1264">
        <f>RESUMEN!B206</f>
        <v>0</v>
      </c>
      <c r="C7" s="1265"/>
      <c r="D7" s="1177"/>
      <c r="E7" s="1266" t="s">
        <v>627</v>
      </c>
      <c r="F7" s="1267"/>
      <c r="G7" s="280" t="str">
        <f>RESUMEN!E206</f>
        <v>18-072</v>
      </c>
    </row>
    <row r="8" spans="1:7" x14ac:dyDescent="0.25">
      <c r="A8" s="271" t="s">
        <v>628</v>
      </c>
      <c r="B8" s="1264">
        <f>RESUMEN!C206</f>
        <v>0</v>
      </c>
      <c r="C8" s="1265"/>
      <c r="D8" s="1177"/>
      <c r="E8" s="1266" t="s">
        <v>629</v>
      </c>
      <c r="F8" s="1267"/>
      <c r="G8" s="280" t="str">
        <f>RESUMEN!U206</f>
        <v>Acta N° 1: Marzo</v>
      </c>
    </row>
    <row r="9" spans="1:7" x14ac:dyDescent="0.25">
      <c r="A9" s="271" t="s">
        <v>630</v>
      </c>
      <c r="B9" s="1283" t="s">
        <v>631</v>
      </c>
      <c r="C9" s="1265"/>
      <c r="D9" s="1177"/>
      <c r="E9" s="1266" t="s">
        <v>632</v>
      </c>
      <c r="F9" s="1267"/>
      <c r="G9" s="1178">
        <f>RESUMEN!H206</f>
        <v>2653345</v>
      </c>
    </row>
    <row r="10" spans="1:7" x14ac:dyDescent="0.25">
      <c r="A10" s="271" t="s">
        <v>633</v>
      </c>
      <c r="B10" s="1283" t="str">
        <f>RESUMEN!D206</f>
        <v xml:space="preserve"> LLTT-DORADA</v>
      </c>
      <c r="C10" s="1265"/>
      <c r="D10" s="1177"/>
      <c r="E10" s="1266" t="s">
        <v>634</v>
      </c>
      <c r="F10" s="1267"/>
      <c r="G10" s="1178">
        <f>RESUMEN!R206</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RESUMEN!V206,"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",RESUMEN!G206)</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LT DO GU Remplazo estructura 453 por distancias de seguridad.</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RESUMEN!N206</f>
        <v>0</v>
      </c>
      <c r="F19" s="1248"/>
      <c r="G19" s="1177"/>
    </row>
    <row r="20" spans="1:7" ht="27" customHeight="1" x14ac:dyDescent="0.25">
      <c r="A20" s="1177"/>
      <c r="B20" s="1244" t="s">
        <v>1498</v>
      </c>
      <c r="C20" s="1245"/>
      <c r="D20" s="1246"/>
      <c r="E20" s="1247">
        <f>RESUMEN!P206</f>
        <v>0</v>
      </c>
      <c r="F20" s="1248"/>
      <c r="G20" s="1177"/>
    </row>
    <row r="21" spans="1:7" ht="27" customHeight="1" x14ac:dyDescent="0.25">
      <c r="A21" s="1177"/>
      <c r="B21" s="1244" t="s">
        <v>1499</v>
      </c>
      <c r="C21" s="1245"/>
      <c r="D21" s="1246"/>
      <c r="E21" s="1247">
        <f>RESUMEN!Q206</f>
        <v>0</v>
      </c>
      <c r="F21" s="1248"/>
      <c r="G21" s="1177"/>
    </row>
    <row r="22" spans="1:7" x14ac:dyDescent="0.25">
      <c r="A22" s="1177"/>
      <c r="B22" s="1254" t="s">
        <v>64</v>
      </c>
      <c r="C22" s="1254"/>
      <c r="D22" s="1254"/>
      <c r="E22" s="1255">
        <f>RESUMEN!R206</f>
        <v>0</v>
      </c>
      <c r="F22" s="1255"/>
      <c r="G22" s="1177"/>
    </row>
    <row r="23" spans="1:7" x14ac:dyDescent="0.25">
      <c r="A23" s="1177"/>
      <c r="B23" s="1256" t="s">
        <v>66</v>
      </c>
      <c r="C23" s="1256"/>
      <c r="D23" s="1256"/>
      <c r="E23" s="1257">
        <f>RESUMEN!S206</f>
        <v>0</v>
      </c>
      <c r="F23" s="1257"/>
      <c r="G23" s="1177"/>
    </row>
    <row r="24" spans="1:7" x14ac:dyDescent="0.25">
      <c r="A24" s="1177"/>
      <c r="B24" s="1258" t="s">
        <v>1</v>
      </c>
      <c r="C24" s="1258"/>
      <c r="D24" s="1258"/>
      <c r="E24" s="1259">
        <f>RESUMEN!T206</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+'OT18-072 LLTT-DORADA'!I25</f>
        <v>ACTA 1</v>
      </c>
      <c r="C28" s="1253">
        <f>+'OT18-072 LLTT-DORADA'!J25</f>
        <v>0</v>
      </c>
      <c r="D28" s="1253"/>
      <c r="E28" s="267">
        <f>+'OT18-072 LLTT-DORADA'!K25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RESUMEN!V206</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2"/>
  <dimension ref="A1:O29"/>
  <sheetViews>
    <sheetView topLeftCell="C14" workbookViewId="0">
      <selection activeCell="N21" sqref="N21"/>
    </sheetView>
  </sheetViews>
  <sheetFormatPr baseColWidth="10" defaultRowHeight="14.4" x14ac:dyDescent="0.3"/>
  <cols>
    <col min="2" max="2" width="20.88671875" customWidth="1"/>
    <col min="3" max="4" width="23.33203125" customWidth="1"/>
    <col min="5" max="7" width="14.44140625" customWidth="1"/>
    <col min="8" max="8" width="34.77734375" customWidth="1"/>
  </cols>
  <sheetData>
    <row r="1" spans="1:15" x14ac:dyDescent="0.3">
      <c r="A1" s="169"/>
      <c r="B1" s="188"/>
      <c r="C1" s="1307" t="s">
        <v>40</v>
      </c>
      <c r="D1" s="1308"/>
      <c r="E1" s="1308"/>
      <c r="F1" s="1308"/>
      <c r="G1" s="1308"/>
      <c r="H1" s="1308"/>
      <c r="I1" s="1308"/>
      <c r="J1" s="1308"/>
      <c r="K1" s="1532" t="s">
        <v>2635</v>
      </c>
      <c r="L1" s="1532"/>
      <c r="M1" s="1532"/>
      <c r="N1" s="1532"/>
    </row>
    <row r="2" spans="1:15" ht="15" thickBot="1" x14ac:dyDescent="0.35">
      <c r="A2" s="170"/>
      <c r="B2" s="190"/>
      <c r="C2" s="1310"/>
      <c r="D2" s="1311"/>
      <c r="E2" s="1311"/>
      <c r="F2" s="1311"/>
      <c r="G2" s="1311"/>
      <c r="H2" s="1311"/>
      <c r="I2" s="1311"/>
      <c r="J2" s="1311"/>
      <c r="K2" s="1459" t="s">
        <v>41</v>
      </c>
      <c r="L2" s="1459"/>
      <c r="M2" s="1459"/>
      <c r="N2" s="1459"/>
    </row>
    <row r="3" spans="1:15" x14ac:dyDescent="0.3">
      <c r="A3" s="1292" t="s">
        <v>42</v>
      </c>
      <c r="B3" s="1292"/>
      <c r="C3" s="1292"/>
      <c r="D3" s="1292"/>
      <c r="E3" s="1292"/>
      <c r="F3" s="1292"/>
      <c r="G3" s="1292"/>
      <c r="H3" s="1292"/>
      <c r="I3" s="1292"/>
      <c r="J3" s="1292"/>
      <c r="K3" s="1292"/>
      <c r="L3" s="1292"/>
      <c r="M3" s="1292"/>
      <c r="N3" s="831"/>
    </row>
    <row r="4" spans="1:15" x14ac:dyDescent="0.3">
      <c r="A4" s="1292" t="s">
        <v>43</v>
      </c>
      <c r="B4" s="1292"/>
      <c r="C4" s="1292"/>
      <c r="D4" s="1292"/>
      <c r="E4" s="1292"/>
      <c r="F4" s="1292"/>
      <c r="G4" s="1292"/>
      <c r="H4" s="1292"/>
      <c r="I4" s="1292"/>
      <c r="J4" s="1292"/>
      <c r="K4" s="1292"/>
      <c r="L4" s="1292"/>
      <c r="M4" s="1292"/>
      <c r="N4" s="831"/>
    </row>
    <row r="5" spans="1:15" x14ac:dyDescent="0.3">
      <c r="A5" s="1292" t="s">
        <v>44</v>
      </c>
      <c r="B5" s="1292"/>
      <c r="C5" s="1292"/>
      <c r="D5" s="1292"/>
      <c r="E5" s="1292"/>
      <c r="F5" s="1292"/>
      <c r="G5" s="1292"/>
      <c r="H5" s="1292"/>
      <c r="I5" s="1292"/>
      <c r="J5" s="1292"/>
      <c r="K5" s="1292"/>
      <c r="L5" s="1292"/>
      <c r="M5" s="1292"/>
      <c r="N5" s="831"/>
    </row>
    <row r="6" spans="1:15" x14ac:dyDescent="0.3">
      <c r="A6" s="1292" t="s">
        <v>45</v>
      </c>
      <c r="B6" s="1292"/>
      <c r="C6" s="1292"/>
      <c r="D6" s="1292"/>
      <c r="E6" s="1292"/>
      <c r="F6" s="1292"/>
      <c r="G6" s="1292"/>
      <c r="H6" s="1292"/>
      <c r="I6" s="1292"/>
      <c r="J6" s="1292"/>
      <c r="K6" s="1292"/>
      <c r="L6" s="1292"/>
      <c r="M6" s="1292"/>
      <c r="N6" s="831"/>
    </row>
    <row r="7" spans="1:15" x14ac:dyDescent="0.3">
      <c r="A7" s="1291" t="s">
        <v>2634</v>
      </c>
      <c r="B7" s="1292"/>
      <c r="C7" s="1292"/>
      <c r="D7" s="1292"/>
      <c r="E7" s="1292"/>
      <c r="F7" s="1292"/>
      <c r="G7" s="1292"/>
      <c r="H7" s="1292"/>
      <c r="I7" s="1292"/>
      <c r="J7" s="1292"/>
      <c r="K7" s="1292"/>
      <c r="L7" s="1292"/>
      <c r="M7" s="1292"/>
      <c r="N7" s="831"/>
    </row>
    <row r="8" spans="1:15" x14ac:dyDescent="0.3">
      <c r="A8" s="1292" t="s">
        <v>2312</v>
      </c>
      <c r="B8" s="1292"/>
      <c r="C8" s="1292"/>
      <c r="D8" s="1292"/>
      <c r="E8" s="1292"/>
      <c r="F8" s="1292"/>
      <c r="G8" s="1292"/>
      <c r="H8" s="1292"/>
      <c r="I8" s="1292"/>
      <c r="J8" s="1292"/>
      <c r="K8" s="1292"/>
      <c r="L8" s="1292"/>
      <c r="M8" s="1292"/>
      <c r="N8" s="831"/>
    </row>
    <row r="9" spans="1:15" x14ac:dyDescent="0.3">
      <c r="A9" s="1292" t="s">
        <v>2305</v>
      </c>
      <c r="B9" s="1292"/>
      <c r="C9" s="1292"/>
      <c r="D9" s="1292"/>
      <c r="E9" s="1292"/>
      <c r="F9" s="1292"/>
      <c r="G9" s="1292"/>
      <c r="H9" s="1292"/>
      <c r="I9" s="1292"/>
      <c r="J9" s="1292"/>
      <c r="K9" s="1292"/>
      <c r="L9" s="1292"/>
      <c r="M9" s="1292"/>
      <c r="N9" s="831"/>
    </row>
    <row r="10" spans="1:15" x14ac:dyDescent="0.3">
      <c r="A10" s="1292" t="s">
        <v>2633</v>
      </c>
      <c r="B10" s="1292"/>
      <c r="C10" s="1292"/>
      <c r="D10" s="1292"/>
      <c r="E10" s="1292"/>
      <c r="F10" s="1292"/>
      <c r="G10" s="1292"/>
      <c r="H10" s="1292"/>
      <c r="I10" s="1292"/>
      <c r="J10" s="1292"/>
      <c r="K10" s="1292"/>
      <c r="L10" s="1292"/>
      <c r="M10" s="1292"/>
      <c r="N10" s="831"/>
    </row>
    <row r="11" spans="1:15" x14ac:dyDescent="0.3">
      <c r="A11" s="1181"/>
      <c r="B11" s="1301"/>
      <c r="C11" s="1313"/>
      <c r="D11" s="1313"/>
      <c r="E11" s="1313"/>
      <c r="F11" s="1313"/>
      <c r="G11" s="1182"/>
      <c r="H11" s="831"/>
      <c r="I11" s="1470" t="s">
        <v>2313</v>
      </c>
      <c r="J11" s="1471"/>
      <c r="K11" s="1472"/>
      <c r="L11" s="1299" t="s">
        <v>49</v>
      </c>
      <c r="M11" s="1299"/>
      <c r="N11" s="1299"/>
    </row>
    <row r="12" spans="1:15" x14ac:dyDescent="0.3">
      <c r="A12" s="171"/>
      <c r="B12" s="1301"/>
      <c r="C12" s="1302"/>
      <c r="D12" s="1302"/>
      <c r="E12" s="1302"/>
      <c r="F12" s="1302"/>
      <c r="G12" s="831"/>
      <c r="H12" s="831"/>
      <c r="I12" s="1523"/>
      <c r="J12" s="1524"/>
      <c r="K12" s="1525"/>
      <c r="L12" s="1300"/>
      <c r="M12" s="1300"/>
      <c r="N12" s="1300"/>
    </row>
    <row r="13" spans="1:15" ht="28.8" x14ac:dyDescent="0.3">
      <c r="A13" s="660" t="s">
        <v>50</v>
      </c>
      <c r="B13" s="660" t="s">
        <v>51</v>
      </c>
      <c r="C13" s="660" t="s">
        <v>52</v>
      </c>
      <c r="D13" s="660" t="s">
        <v>164</v>
      </c>
      <c r="E13" s="661" t="s">
        <v>54</v>
      </c>
      <c r="F13" s="662" t="s">
        <v>2007</v>
      </c>
      <c r="G13" s="661" t="s">
        <v>56</v>
      </c>
      <c r="H13" s="660" t="s">
        <v>57</v>
      </c>
      <c r="I13" s="502" t="s">
        <v>54</v>
      </c>
      <c r="J13" s="502" t="s">
        <v>56</v>
      </c>
      <c r="K13" s="502" t="s">
        <v>58</v>
      </c>
      <c r="L13" s="502" t="s">
        <v>54</v>
      </c>
      <c r="M13" s="502" t="s">
        <v>56</v>
      </c>
      <c r="N13" s="502" t="s">
        <v>58</v>
      </c>
    </row>
    <row r="14" spans="1:15" ht="28.8" x14ac:dyDescent="0.3">
      <c r="A14" s="1290" t="s">
        <v>2636</v>
      </c>
      <c r="B14" s="1289" t="s">
        <v>258</v>
      </c>
      <c r="C14" s="1180" t="s">
        <v>259</v>
      </c>
      <c r="D14" s="1180" t="s">
        <v>260</v>
      </c>
      <c r="E14" s="1183">
        <f>0.55+0.7</f>
        <v>1.25</v>
      </c>
      <c r="F14" s="32">
        <v>2122676</v>
      </c>
      <c r="G14" s="32">
        <f>ROUND((E14*F14),0)</f>
        <v>2653345</v>
      </c>
      <c r="H14" s="1514" t="s">
        <v>2637</v>
      </c>
      <c r="I14" s="799">
        <v>0</v>
      </c>
      <c r="J14" s="1132">
        <f>ROUND(I14*F14,0)</f>
        <v>0</v>
      </c>
      <c r="K14" s="1133">
        <f>J14/G14</f>
        <v>0</v>
      </c>
      <c r="L14" s="1134">
        <f t="shared" ref="L14:M14" si="0">I14</f>
        <v>0</v>
      </c>
      <c r="M14" s="1124">
        <f t="shared" si="0"/>
        <v>0</v>
      </c>
      <c r="N14" s="1133">
        <f>M14/G14</f>
        <v>0</v>
      </c>
      <c r="O14" s="1182"/>
    </row>
    <row r="15" spans="1:15" x14ac:dyDescent="0.3">
      <c r="A15" s="1289"/>
      <c r="B15" s="1289"/>
      <c r="C15" s="39"/>
      <c r="D15" s="39" t="s">
        <v>261</v>
      </c>
      <c r="E15" s="41"/>
      <c r="F15" s="41"/>
      <c r="G15" s="42">
        <f>G14</f>
        <v>2653345</v>
      </c>
      <c r="H15" s="1510"/>
      <c r="I15" s="1108"/>
      <c r="J15" s="1146">
        <f>SUM(J13:J14)</f>
        <v>0</v>
      </c>
      <c r="K15" s="1136">
        <f>J15/G16</f>
        <v>0</v>
      </c>
      <c r="L15" s="1137"/>
      <c r="M15" s="1138">
        <f>J15</f>
        <v>0</v>
      </c>
      <c r="N15" s="1136">
        <f>M15/G16</f>
        <v>0</v>
      </c>
      <c r="O15" s="1182"/>
    </row>
    <row r="16" spans="1:15" x14ac:dyDescent="0.3">
      <c r="F16" s="836" t="s">
        <v>1740</v>
      </c>
      <c r="G16" s="650">
        <f>SUM(G12:G15)/2</f>
        <v>2653345</v>
      </c>
      <c r="I16" s="547" t="s">
        <v>64</v>
      </c>
      <c r="J16" s="855">
        <f>SUM(J14:J15)/2</f>
        <v>0</v>
      </c>
      <c r="K16" s="1182"/>
      <c r="L16" s="547" t="s">
        <v>64</v>
      </c>
      <c r="M16" s="835">
        <f>SUM(M14:M15)/2</f>
        <v>0</v>
      </c>
      <c r="N16" s="1182"/>
      <c r="O16" s="1182"/>
    </row>
    <row r="17" spans="6:15" ht="26.4" x14ac:dyDescent="0.3">
      <c r="F17" s="1118">
        <v>0.03</v>
      </c>
      <c r="G17" s="1185">
        <f>(G15)*F17</f>
        <v>79600.349999999991</v>
      </c>
      <c r="I17" s="548" t="s">
        <v>65</v>
      </c>
      <c r="J17" s="677">
        <f>(J14*0.03)</f>
        <v>0</v>
      </c>
      <c r="K17" s="1182"/>
      <c r="L17" s="548" t="s">
        <v>65</v>
      </c>
      <c r="M17" s="677">
        <f>(M14*0.03)</f>
        <v>0</v>
      </c>
      <c r="N17" s="1182"/>
      <c r="O17" s="1182"/>
    </row>
    <row r="18" spans="6:15" x14ac:dyDescent="0.3">
      <c r="F18" s="1119" t="s">
        <v>64</v>
      </c>
      <c r="G18" s="1151">
        <f>G16+G17</f>
        <v>2732945.35</v>
      </c>
      <c r="I18" s="549" t="s">
        <v>64</v>
      </c>
      <c r="J18" s="481">
        <f>J16+J17</f>
        <v>0</v>
      </c>
      <c r="K18" s="1182"/>
      <c r="L18" s="549" t="s">
        <v>64</v>
      </c>
      <c r="M18" s="481">
        <f>M16+M17</f>
        <v>0</v>
      </c>
      <c r="N18" s="1182"/>
      <c r="O18" s="1182"/>
    </row>
    <row r="19" spans="6:15" ht="26.4" x14ac:dyDescent="0.3">
      <c r="F19" s="501" t="s">
        <v>1439</v>
      </c>
      <c r="G19" s="1116">
        <f>ROUND(G18*0.015,0)</f>
        <v>40994</v>
      </c>
      <c r="I19" s="501" t="s">
        <v>1439</v>
      </c>
      <c r="J19" s="481">
        <f>ROUND(J18*0.015,0)</f>
        <v>0</v>
      </c>
      <c r="K19" s="1182"/>
      <c r="L19" s="501" t="s">
        <v>1439</v>
      </c>
      <c r="M19" s="481">
        <f>ROUND(M18*0.015,0)</f>
        <v>0</v>
      </c>
      <c r="N19" s="1182"/>
      <c r="O19" s="1182"/>
    </row>
    <row r="20" spans="6:15" ht="39.6" x14ac:dyDescent="0.3">
      <c r="F20" s="96" t="s">
        <v>1440</v>
      </c>
      <c r="G20" s="1117">
        <f>G18+G19</f>
        <v>2773939.35</v>
      </c>
      <c r="I20" s="96" t="s">
        <v>1440</v>
      </c>
      <c r="J20" s="783">
        <f>J18+J19</f>
        <v>0</v>
      </c>
      <c r="K20" s="856">
        <f>J20/G16</f>
        <v>0</v>
      </c>
      <c r="L20" s="96" t="s">
        <v>1440</v>
      </c>
      <c r="M20" s="425">
        <f>M18+M19</f>
        <v>0</v>
      </c>
      <c r="N20" s="857">
        <f>M20/G16</f>
        <v>0</v>
      </c>
      <c r="O20" s="1182"/>
    </row>
    <row r="21" spans="6:15" x14ac:dyDescent="0.3">
      <c r="F21" s="1122" t="s">
        <v>66</v>
      </c>
      <c r="G21" s="783">
        <f>G20*0.19</f>
        <v>527048.47649999999</v>
      </c>
      <c r="I21" s="551" t="s">
        <v>66</v>
      </c>
      <c r="J21" s="672">
        <f>J20*0.19</f>
        <v>0</v>
      </c>
      <c r="K21" s="1182"/>
      <c r="L21" s="551" t="s">
        <v>66</v>
      </c>
      <c r="M21" s="672">
        <f>M20*0.19</f>
        <v>0</v>
      </c>
      <c r="N21" s="1182"/>
      <c r="O21" s="1182"/>
    </row>
    <row r="22" spans="6:15" x14ac:dyDescent="0.3">
      <c r="F22" s="1123" t="s">
        <v>69</v>
      </c>
      <c r="G22" s="672">
        <f>G20+G21</f>
        <v>3300987.8265</v>
      </c>
      <c r="I22" s="552" t="s">
        <v>69</v>
      </c>
      <c r="J22" s="672">
        <f>J20+J21</f>
        <v>0</v>
      </c>
      <c r="K22" s="1182"/>
      <c r="L22" s="552" t="s">
        <v>69</v>
      </c>
      <c r="M22" s="672">
        <f>M20+M21</f>
        <v>0</v>
      </c>
      <c r="N22" s="1182"/>
      <c r="O22" s="1182"/>
    </row>
    <row r="23" spans="6:15" x14ac:dyDescent="0.3">
      <c r="I23" s="1182"/>
      <c r="J23" s="1182"/>
      <c r="K23" s="1182"/>
      <c r="L23" s="1182"/>
      <c r="M23" s="1182"/>
      <c r="N23" s="1182"/>
      <c r="O23" s="1182"/>
    </row>
    <row r="24" spans="6:15" ht="26.4" x14ac:dyDescent="0.3">
      <c r="I24" s="186" t="s">
        <v>70</v>
      </c>
      <c r="J24" s="187" t="s">
        <v>71</v>
      </c>
      <c r="K24" s="186" t="s">
        <v>58</v>
      </c>
      <c r="L24" s="1182"/>
      <c r="M24" s="1182"/>
      <c r="N24" s="1182"/>
      <c r="O24" s="1182"/>
    </row>
    <row r="25" spans="6:15" x14ac:dyDescent="0.3">
      <c r="I25" s="69" t="s">
        <v>72</v>
      </c>
      <c r="J25" s="70">
        <f>J20</f>
        <v>0</v>
      </c>
      <c r="K25" s="360">
        <f>K20</f>
        <v>0</v>
      </c>
      <c r="L25" s="1182"/>
      <c r="M25" s="1182"/>
      <c r="N25" s="1182"/>
      <c r="O25" s="1182"/>
    </row>
    <row r="26" spans="6:15" x14ac:dyDescent="0.3">
      <c r="I26" s="72" t="s">
        <v>1</v>
      </c>
      <c r="J26" s="105">
        <f>J25</f>
        <v>0</v>
      </c>
      <c r="K26" s="361">
        <f>K25</f>
        <v>0</v>
      </c>
      <c r="L26" s="1182"/>
      <c r="M26" s="1182"/>
      <c r="N26" s="1182"/>
      <c r="O26" s="1182"/>
    </row>
    <row r="27" spans="6:15" x14ac:dyDescent="0.3">
      <c r="I27" s="72" t="s">
        <v>9</v>
      </c>
      <c r="J27" s="1423"/>
      <c r="K27" s="1424"/>
      <c r="L27" s="1182"/>
      <c r="M27" s="1182"/>
      <c r="N27" s="1182"/>
      <c r="O27" s="1182"/>
    </row>
    <row r="28" spans="6:15" x14ac:dyDescent="0.3">
      <c r="I28" s="440" t="s">
        <v>78</v>
      </c>
      <c r="J28" s="1423"/>
      <c r="K28" s="1424"/>
      <c r="L28" s="1182"/>
      <c r="M28" s="1182"/>
      <c r="N28" s="1182"/>
      <c r="O28" s="1182"/>
    </row>
    <row r="29" spans="6:15" x14ac:dyDescent="0.3">
      <c r="I29" s="439" t="s">
        <v>8</v>
      </c>
      <c r="J29" s="1425"/>
      <c r="K29" s="1426"/>
      <c r="L29" s="1182"/>
      <c r="M29" s="1182"/>
      <c r="N29" s="1182"/>
      <c r="O29" s="1182"/>
    </row>
  </sheetData>
  <mergeCells count="21">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5"/>
    <mergeCell ref="B14:B15"/>
    <mergeCell ref="H14:H15"/>
    <mergeCell ref="J28:K28"/>
    <mergeCell ref="J29:K29"/>
    <mergeCell ref="J27:K27"/>
  </mergeCells>
  <pageMargins left="0.7" right="0.7" top="0.75" bottom="0.75" header="0.3" footer="0.3"/>
  <drawing r:id="rId1"/>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3"/>
  <dimension ref="A1:G49"/>
  <sheetViews>
    <sheetView topLeftCell="A1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RESUMEN!G207</f>
        <v>Proyecto:CDIM_CBSGSM_R0199 NORMALIZACIÓN SERVICIOS ESENCIALES SSEE.</v>
      </c>
      <c r="C5" s="1281"/>
      <c r="D5" s="1281"/>
      <c r="E5" s="1281"/>
      <c r="F5" s="1281"/>
      <c r="G5" s="1282"/>
    </row>
    <row r="6" spans="1:7" x14ac:dyDescent="0.25">
      <c r="A6" s="1177"/>
      <c r="B6" s="1177"/>
      <c r="C6" s="1177"/>
      <c r="D6" s="1177"/>
      <c r="E6" s="1177"/>
      <c r="F6" s="1177"/>
      <c r="G6" s="1177"/>
    </row>
    <row r="7" spans="1:7" x14ac:dyDescent="0.25">
      <c r="A7" s="271" t="s">
        <v>0</v>
      </c>
      <c r="B7" s="1264" t="str">
        <f>RESUMEN!B207</f>
        <v>D00249541</v>
      </c>
      <c r="C7" s="1265"/>
      <c r="D7" s="1177"/>
      <c r="E7" s="1266" t="s">
        <v>627</v>
      </c>
      <c r="F7" s="1267"/>
      <c r="G7" s="280" t="str">
        <f>RESUMEN!E207</f>
        <v xml:space="preserve">18-073 </v>
      </c>
    </row>
    <row r="8" spans="1:7" x14ac:dyDescent="0.25">
      <c r="A8" s="271" t="s">
        <v>628</v>
      </c>
      <c r="B8" s="1264" t="str">
        <f>RESUMEN!C207</f>
        <v>D00249541000</v>
      </c>
      <c r="C8" s="1265"/>
      <c r="D8" s="1177"/>
      <c r="E8" s="1266" t="s">
        <v>629</v>
      </c>
      <c r="F8" s="1267"/>
      <c r="G8" s="280" t="str">
        <f>RESUMEN!U207</f>
        <v>Acta N° 1: Marzo</v>
      </c>
    </row>
    <row r="9" spans="1:7" x14ac:dyDescent="0.25">
      <c r="A9" s="271" t="s">
        <v>630</v>
      </c>
      <c r="B9" s="1283" t="s">
        <v>631</v>
      </c>
      <c r="C9" s="1265"/>
      <c r="D9" s="1177"/>
      <c r="E9" s="1266" t="s">
        <v>632</v>
      </c>
      <c r="F9" s="1267"/>
      <c r="G9" s="1178">
        <f>RESUMEN!H207</f>
        <v>1665202</v>
      </c>
    </row>
    <row r="10" spans="1:7" x14ac:dyDescent="0.25">
      <c r="A10" s="271" t="s">
        <v>633</v>
      </c>
      <c r="B10" s="1283" t="str">
        <f>RESUMEN!D207</f>
        <v>CALERA</v>
      </c>
      <c r="C10" s="1265"/>
      <c r="D10" s="1177"/>
      <c r="E10" s="1266" t="s">
        <v>634</v>
      </c>
      <c r="F10" s="1267"/>
      <c r="G10" s="1178">
        <f>RESUMEN!R207</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RESUMEN!V207,"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",RESUMEN!G207)</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Proyecto:CDIM_CBSGSM_R0199 NORMALIZACIÓN SERVICIOS ESENCIALES SSEE.</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RESUMEN!N207</f>
        <v>0</v>
      </c>
      <c r="F19" s="1248"/>
      <c r="G19" s="1177"/>
    </row>
    <row r="20" spans="1:7" ht="27" customHeight="1" x14ac:dyDescent="0.25">
      <c r="A20" s="1177"/>
      <c r="B20" s="1244" t="s">
        <v>1498</v>
      </c>
      <c r="C20" s="1245"/>
      <c r="D20" s="1246"/>
      <c r="E20" s="1247">
        <f>RESUMEN!P207</f>
        <v>0</v>
      </c>
      <c r="F20" s="1248"/>
      <c r="G20" s="1177"/>
    </row>
    <row r="21" spans="1:7" ht="27" customHeight="1" x14ac:dyDescent="0.25">
      <c r="A21" s="1177"/>
      <c r="B21" s="1244" t="s">
        <v>1499</v>
      </c>
      <c r="C21" s="1245"/>
      <c r="D21" s="1246"/>
      <c r="E21" s="1247">
        <f>RESUMEN!Q207</f>
        <v>0</v>
      </c>
      <c r="F21" s="1248"/>
      <c r="G21" s="1177"/>
    </row>
    <row r="22" spans="1:7" x14ac:dyDescent="0.25">
      <c r="A22" s="1177"/>
      <c r="B22" s="1254" t="s">
        <v>64</v>
      </c>
      <c r="C22" s="1254"/>
      <c r="D22" s="1254"/>
      <c r="E22" s="1255">
        <f>RESUMEN!R207</f>
        <v>0</v>
      </c>
      <c r="F22" s="1255"/>
      <c r="G22" s="1177"/>
    </row>
    <row r="23" spans="1:7" x14ac:dyDescent="0.25">
      <c r="A23" s="1177"/>
      <c r="B23" s="1256" t="s">
        <v>66</v>
      </c>
      <c r="C23" s="1256"/>
      <c r="D23" s="1256"/>
      <c r="E23" s="1257">
        <f>RESUMEN!S207</f>
        <v>0</v>
      </c>
      <c r="F23" s="1257"/>
      <c r="G23" s="1177"/>
    </row>
    <row r="24" spans="1:7" x14ac:dyDescent="0.25">
      <c r="A24" s="1177"/>
      <c r="B24" s="1258" t="s">
        <v>1</v>
      </c>
      <c r="C24" s="1258"/>
      <c r="D24" s="1258"/>
      <c r="E24" s="1259">
        <f>RESUMEN!T207</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+'OT18-073 CALERA'!I25</f>
        <v>ACTA 1</v>
      </c>
      <c r="C28" s="1253">
        <f>+'OT18-073 CALERA'!J25</f>
        <v>0</v>
      </c>
      <c r="D28" s="1253"/>
      <c r="E28" s="267">
        <f>+'OT18-073 CALERA'!K25</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RESUMEN!V207</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4"/>
  <dimension ref="A1:N31"/>
  <sheetViews>
    <sheetView topLeftCell="D15" workbookViewId="0">
      <selection activeCell="I16" sqref="I16:N33"/>
    </sheetView>
  </sheetViews>
  <sheetFormatPr baseColWidth="10" defaultRowHeight="14.4" x14ac:dyDescent="0.3"/>
  <cols>
    <col min="2" max="2" width="17" customWidth="1"/>
    <col min="3" max="4" width="22.5546875" customWidth="1"/>
    <col min="5" max="7" width="15.77734375" customWidth="1"/>
    <col min="8" max="8" width="34" customWidth="1"/>
  </cols>
  <sheetData>
    <row r="1" spans="1:14" x14ac:dyDescent="0.3">
      <c r="A1" s="169"/>
      <c r="B1" s="188"/>
      <c r="C1" s="1307" t="s">
        <v>40</v>
      </c>
      <c r="D1" s="1308"/>
      <c r="E1" s="1308"/>
      <c r="F1" s="1308"/>
      <c r="G1" s="1308"/>
      <c r="H1" s="1308"/>
      <c r="I1" s="1308"/>
      <c r="J1" s="1308"/>
      <c r="K1" s="1532" t="s">
        <v>2528</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2639</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2638</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4" t="s">
        <v>1378</v>
      </c>
      <c r="B14" s="1510" t="s">
        <v>240</v>
      </c>
      <c r="C14" s="1184" t="s">
        <v>59</v>
      </c>
      <c r="D14" s="1184" t="s">
        <v>241</v>
      </c>
      <c r="E14" s="1184">
        <v>0.65</v>
      </c>
      <c r="F14" s="646">
        <v>2561849</v>
      </c>
      <c r="G14" s="646">
        <f>ROUND((E14*F14),0)</f>
        <v>1665202</v>
      </c>
      <c r="H14" s="1514" t="s">
        <v>2640</v>
      </c>
      <c r="I14" s="799">
        <v>0</v>
      </c>
      <c r="J14" s="1132">
        <f>ROUND(I14*F14,0)</f>
        <v>0</v>
      </c>
      <c r="K14" s="1133">
        <f>J14/G14</f>
        <v>0</v>
      </c>
      <c r="L14" s="1134">
        <f t="shared" ref="L14:M14" si="0">I14</f>
        <v>0</v>
      </c>
      <c r="M14" s="1124">
        <f t="shared" si="0"/>
        <v>0</v>
      </c>
      <c r="N14" s="1133">
        <f>M14/G14</f>
        <v>0</v>
      </c>
    </row>
    <row r="15" spans="1:14" x14ac:dyDescent="0.3">
      <c r="A15" s="1510"/>
      <c r="B15" s="1510"/>
      <c r="C15" s="647"/>
      <c r="D15" s="647" t="s">
        <v>242</v>
      </c>
      <c r="E15" s="648"/>
      <c r="F15" s="648"/>
      <c r="G15" s="649">
        <f>G14</f>
        <v>1665202</v>
      </c>
      <c r="H15" s="1510"/>
      <c r="I15" s="1108"/>
      <c r="J15" s="1146">
        <f>SUM(J13:J14)</f>
        <v>0</v>
      </c>
      <c r="K15" s="1136">
        <f>J15/G16</f>
        <v>0</v>
      </c>
      <c r="L15" s="1137"/>
      <c r="M15" s="1138">
        <f>J15</f>
        <v>0</v>
      </c>
      <c r="N15" s="1136">
        <f>M15/G16</f>
        <v>0</v>
      </c>
    </row>
    <row r="16" spans="1:14" x14ac:dyDescent="0.3">
      <c r="F16" s="836" t="s">
        <v>1740</v>
      </c>
      <c r="G16" s="650">
        <f>SUM(G12:G15)/2</f>
        <v>1665202</v>
      </c>
      <c r="I16" s="547" t="s">
        <v>64</v>
      </c>
      <c r="J16" s="855">
        <f>SUM(J14:J15)/2</f>
        <v>0</v>
      </c>
      <c r="K16" s="1182"/>
      <c r="L16" s="547" t="s">
        <v>64</v>
      </c>
      <c r="M16" s="835">
        <f>SUM(M14:M15)/2</f>
        <v>0</v>
      </c>
      <c r="N16" s="1182"/>
    </row>
    <row r="17" spans="6:14" ht="26.4" x14ac:dyDescent="0.3">
      <c r="F17" s="1118">
        <v>0.03</v>
      </c>
      <c r="G17" s="1185">
        <v>0</v>
      </c>
      <c r="I17" s="548" t="s">
        <v>65</v>
      </c>
      <c r="J17" s="677">
        <v>0</v>
      </c>
      <c r="K17" s="1182"/>
      <c r="L17" s="548" t="s">
        <v>65</v>
      </c>
      <c r="M17" s="677">
        <v>0</v>
      </c>
      <c r="N17" s="1182"/>
    </row>
    <row r="18" spans="6:14" x14ac:dyDescent="0.3">
      <c r="F18" s="1119" t="s">
        <v>64</v>
      </c>
      <c r="G18" s="1151">
        <f>G16+G17</f>
        <v>1665202</v>
      </c>
      <c r="I18" s="549" t="s">
        <v>64</v>
      </c>
      <c r="J18" s="481">
        <f>J16+J17</f>
        <v>0</v>
      </c>
      <c r="K18" s="1182"/>
      <c r="L18" s="549" t="s">
        <v>64</v>
      </c>
      <c r="M18" s="481">
        <f>M16+M17</f>
        <v>0</v>
      </c>
      <c r="N18" s="1182"/>
    </row>
    <row r="19" spans="6:14" ht="26.4" x14ac:dyDescent="0.3">
      <c r="F19" s="501" t="s">
        <v>1439</v>
      </c>
      <c r="G19" s="1116">
        <f>ROUND(G18*0.015,0)</f>
        <v>24978</v>
      </c>
      <c r="I19" s="501" t="s">
        <v>1439</v>
      </c>
      <c r="J19" s="481">
        <f>ROUND(J18*0.015,0)</f>
        <v>0</v>
      </c>
      <c r="K19" s="1182"/>
      <c r="L19" s="501" t="s">
        <v>1439</v>
      </c>
      <c r="M19" s="481">
        <f>ROUND(M18*0.015,0)</f>
        <v>0</v>
      </c>
      <c r="N19" s="1182"/>
    </row>
    <row r="20" spans="6:14" ht="39.6" x14ac:dyDescent="0.3">
      <c r="F20" s="96" t="s">
        <v>1440</v>
      </c>
      <c r="G20" s="1117">
        <f>G18+G19</f>
        <v>1690180</v>
      </c>
      <c r="I20" s="96" t="s">
        <v>1440</v>
      </c>
      <c r="J20" s="783">
        <f>J18+J19</f>
        <v>0</v>
      </c>
      <c r="K20" s="856">
        <f>J20/G16</f>
        <v>0</v>
      </c>
      <c r="L20" s="96" t="s">
        <v>1440</v>
      </c>
      <c r="M20" s="425">
        <f>M18+M19</f>
        <v>0</v>
      </c>
      <c r="N20" s="857">
        <f>M20/G16</f>
        <v>0</v>
      </c>
    </row>
    <row r="21" spans="6:14" x14ac:dyDescent="0.3">
      <c r="F21" s="1122" t="s">
        <v>66</v>
      </c>
      <c r="G21" s="783">
        <f>G20*0.19</f>
        <v>321134.2</v>
      </c>
      <c r="I21" s="551" t="s">
        <v>66</v>
      </c>
      <c r="J21" s="672">
        <f>J20*0.19</f>
        <v>0</v>
      </c>
      <c r="K21" s="1182"/>
      <c r="L21" s="551" t="s">
        <v>66</v>
      </c>
      <c r="M21" s="672">
        <f>M20*0.19</f>
        <v>0</v>
      </c>
      <c r="N21" s="1182"/>
    </row>
    <row r="22" spans="6:14" x14ac:dyDescent="0.3">
      <c r="F22" s="1123" t="s">
        <v>69</v>
      </c>
      <c r="G22" s="672">
        <f>G20+G21</f>
        <v>2011314.2</v>
      </c>
      <c r="I22" s="552" t="s">
        <v>69</v>
      </c>
      <c r="J22" s="672">
        <f>J20+J21</f>
        <v>0</v>
      </c>
      <c r="K22" s="1182"/>
      <c r="L22" s="552" t="s">
        <v>69</v>
      </c>
      <c r="M22" s="672">
        <f>M20+M21</f>
        <v>0</v>
      </c>
      <c r="N22" s="1182"/>
    </row>
    <row r="23" spans="6:14" x14ac:dyDescent="0.3">
      <c r="I23" s="1182"/>
      <c r="J23" s="1182"/>
      <c r="K23" s="1182"/>
      <c r="L23" s="1182"/>
      <c r="M23" s="1182"/>
      <c r="N23" s="1182"/>
    </row>
    <row r="24" spans="6:14" ht="26.4" x14ac:dyDescent="0.3">
      <c r="I24" s="186" t="s">
        <v>70</v>
      </c>
      <c r="J24" s="187" t="s">
        <v>71</v>
      </c>
      <c r="K24" s="186" t="s">
        <v>58</v>
      </c>
      <c r="L24" s="1182"/>
      <c r="M24" s="1182"/>
      <c r="N24" s="1182"/>
    </row>
    <row r="25" spans="6:14" x14ac:dyDescent="0.3">
      <c r="I25" s="69" t="s">
        <v>72</v>
      </c>
      <c r="J25" s="70">
        <f>J20</f>
        <v>0</v>
      </c>
      <c r="K25" s="360">
        <f>K20</f>
        <v>0</v>
      </c>
      <c r="L25" s="1182"/>
      <c r="M25" s="1182"/>
      <c r="N25" s="1182"/>
    </row>
    <row r="26" spans="6:14" x14ac:dyDescent="0.3">
      <c r="I26" s="72" t="s">
        <v>1</v>
      </c>
      <c r="J26" s="105">
        <f>J25</f>
        <v>0</v>
      </c>
      <c r="K26" s="361">
        <f>K25</f>
        <v>0</v>
      </c>
      <c r="L26" s="1182"/>
      <c r="M26" s="1182"/>
      <c r="N26" s="1182"/>
    </row>
    <row r="27" spans="6:14" x14ac:dyDescent="0.3">
      <c r="I27" s="72" t="s">
        <v>9</v>
      </c>
      <c r="J27" s="1423"/>
      <c r="K27" s="1424"/>
      <c r="L27" s="1182"/>
      <c r="M27" s="1182"/>
      <c r="N27" s="1182"/>
    </row>
    <row r="28" spans="6:14" x14ac:dyDescent="0.3">
      <c r="I28" s="440" t="s">
        <v>78</v>
      </c>
      <c r="J28" s="1423" t="s">
        <v>2533</v>
      </c>
      <c r="K28" s="1424"/>
      <c r="L28" s="1182"/>
      <c r="M28" s="1182"/>
      <c r="N28" s="1182"/>
    </row>
    <row r="29" spans="6:14" x14ac:dyDescent="0.3">
      <c r="I29" s="439" t="s">
        <v>8</v>
      </c>
      <c r="J29" s="1425" t="s">
        <v>2534</v>
      </c>
      <c r="K29" s="1426"/>
      <c r="L29" s="1182"/>
      <c r="M29" s="1182"/>
      <c r="N29" s="1182"/>
    </row>
    <row r="30" spans="6:14" x14ac:dyDescent="0.3">
      <c r="I30" s="1182"/>
      <c r="J30" s="1182"/>
      <c r="K30" s="1182"/>
      <c r="L30" s="1182"/>
      <c r="M30" s="1182"/>
      <c r="N30" s="1182"/>
    </row>
    <row r="31" spans="6:14" x14ac:dyDescent="0.3">
      <c r="I31" s="1182"/>
      <c r="J31" s="1182"/>
      <c r="K31" s="1182"/>
      <c r="L31" s="1182"/>
      <c r="M31" s="1182"/>
      <c r="N31" s="1182"/>
    </row>
  </sheetData>
  <mergeCells count="21">
    <mergeCell ref="A5:M5"/>
    <mergeCell ref="C1:J2"/>
    <mergeCell ref="K1:N1"/>
    <mergeCell ref="K2:N2"/>
    <mergeCell ref="A3:M3"/>
    <mergeCell ref="A4:M4"/>
    <mergeCell ref="J29:K29"/>
    <mergeCell ref="A6:M6"/>
    <mergeCell ref="A7:M7"/>
    <mergeCell ref="A8:M8"/>
    <mergeCell ref="A9:M9"/>
    <mergeCell ref="A10:M10"/>
    <mergeCell ref="B11:F11"/>
    <mergeCell ref="I11:K12"/>
    <mergeCell ref="L11:N12"/>
    <mergeCell ref="B12:F12"/>
    <mergeCell ref="A14:A15"/>
    <mergeCell ref="B14:B15"/>
    <mergeCell ref="H14:H15"/>
    <mergeCell ref="J27:K27"/>
    <mergeCell ref="J28:K28"/>
  </mergeCells>
  <pageMargins left="0.7" right="0.7" top="0.75" bottom="0.75" header="0.3" footer="0.3"/>
  <drawing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5"/>
  <dimension ref="A1:G49"/>
  <sheetViews>
    <sheetView topLeftCell="A10" workbookViewId="0">
      <selection activeCell="E29" sqref="E29"/>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RESUMEN!G208</f>
        <v>Proyecto:CDIE_CBCCSM_R018  100% DIGITAL REEMPLAZO DE PROTECCIÓN</v>
      </c>
      <c r="C5" s="1281"/>
      <c r="D5" s="1281"/>
      <c r="E5" s="1281"/>
      <c r="F5" s="1281"/>
      <c r="G5" s="1282"/>
    </row>
    <row r="6" spans="1:7" x14ac:dyDescent="0.25">
      <c r="A6" s="1177"/>
      <c r="B6" s="1177"/>
      <c r="C6" s="1177"/>
      <c r="D6" s="1177"/>
      <c r="E6" s="1177"/>
      <c r="F6" s="1177"/>
      <c r="G6" s="1177"/>
    </row>
    <row r="7" spans="1:7" x14ac:dyDescent="0.25">
      <c r="A7" s="271" t="s">
        <v>0</v>
      </c>
      <c r="B7" s="1264" t="str">
        <f>RESUMEN!B208</f>
        <v>D00249255</v>
      </c>
      <c r="C7" s="1265"/>
      <c r="D7" s="1177"/>
      <c r="E7" s="1266" t="s">
        <v>627</v>
      </c>
      <c r="F7" s="1267"/>
      <c r="G7" s="280" t="str">
        <f>RESUMEN!E208</f>
        <v>18-074</v>
      </c>
    </row>
    <row r="8" spans="1:7" x14ac:dyDescent="0.25">
      <c r="A8" s="271" t="s">
        <v>628</v>
      </c>
      <c r="B8" s="1264" t="str">
        <f>RESUMEN!C208</f>
        <v>D00249255000</v>
      </c>
      <c r="C8" s="1265"/>
      <c r="D8" s="1177"/>
      <c r="E8" s="1266" t="s">
        <v>629</v>
      </c>
      <c r="F8" s="1267"/>
      <c r="G8" s="280" t="str">
        <f>RESUMEN!U208</f>
        <v>Acta N° 1: Marzo</v>
      </c>
    </row>
    <row r="9" spans="1:7" x14ac:dyDescent="0.25">
      <c r="A9" s="271" t="s">
        <v>630</v>
      </c>
      <c r="B9" s="1283" t="s">
        <v>631</v>
      </c>
      <c r="C9" s="1265"/>
      <c r="D9" s="1177"/>
      <c r="E9" s="1266" t="s">
        <v>632</v>
      </c>
      <c r="F9" s="1267"/>
      <c r="G9" s="1178">
        <f>RESUMEN!H208</f>
        <v>792161</v>
      </c>
    </row>
    <row r="10" spans="1:7" x14ac:dyDescent="0.25">
      <c r="A10" s="271" t="s">
        <v>633</v>
      </c>
      <c r="B10" s="1283" t="str">
        <f>RESUMEN!D208</f>
        <v xml:space="preserve"> LA PAZ</v>
      </c>
      <c r="C10" s="1265"/>
      <c r="D10" s="1177"/>
      <c r="E10" s="1266" t="s">
        <v>634</v>
      </c>
      <c r="F10" s="1267"/>
      <c r="G10" s="1178">
        <f>RESUMEN!R208</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RESUMEN!V208,"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",RESUMEN!G208)</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Proyecto:CDIE_CBCCSM_R018  100% DIGITAL REEMPLAZO DE PROTECCIÓN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RESUMEN!N208</f>
        <v>0</v>
      </c>
      <c r="F19" s="1248"/>
      <c r="G19" s="1177"/>
    </row>
    <row r="20" spans="1:7" ht="27" customHeight="1" x14ac:dyDescent="0.25">
      <c r="A20" s="1177"/>
      <c r="B20" s="1244" t="s">
        <v>1498</v>
      </c>
      <c r="C20" s="1245"/>
      <c r="D20" s="1246"/>
      <c r="E20" s="1247">
        <f>RESUMEN!P208</f>
        <v>0</v>
      </c>
      <c r="F20" s="1248"/>
      <c r="G20" s="1177"/>
    </row>
    <row r="21" spans="1:7" ht="27" customHeight="1" x14ac:dyDescent="0.25">
      <c r="A21" s="1177"/>
      <c r="B21" s="1244" t="s">
        <v>1499</v>
      </c>
      <c r="C21" s="1245"/>
      <c r="D21" s="1246"/>
      <c r="E21" s="1247">
        <f>RESUMEN!Q208</f>
        <v>0</v>
      </c>
      <c r="F21" s="1248"/>
      <c r="G21" s="1177"/>
    </row>
    <row r="22" spans="1:7" x14ac:dyDescent="0.25">
      <c r="A22" s="1177"/>
      <c r="B22" s="1254" t="s">
        <v>64</v>
      </c>
      <c r="C22" s="1254"/>
      <c r="D22" s="1254"/>
      <c r="E22" s="1255">
        <f>RESUMEN!R208</f>
        <v>0</v>
      </c>
      <c r="F22" s="1255"/>
      <c r="G22" s="1177"/>
    </row>
    <row r="23" spans="1:7" x14ac:dyDescent="0.25">
      <c r="A23" s="1177"/>
      <c r="B23" s="1256" t="s">
        <v>66</v>
      </c>
      <c r="C23" s="1256"/>
      <c r="D23" s="1256"/>
      <c r="E23" s="1257">
        <f>RESUMEN!S208</f>
        <v>0</v>
      </c>
      <c r="F23" s="1257"/>
      <c r="G23" s="1177"/>
    </row>
    <row r="24" spans="1:7" x14ac:dyDescent="0.25">
      <c r="A24" s="1177"/>
      <c r="B24" s="1258" t="s">
        <v>1</v>
      </c>
      <c r="C24" s="1258"/>
      <c r="D24" s="1258"/>
      <c r="E24" s="1259">
        <f>RESUMEN!T208</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+'OT18-074 LA PAZ'!I29</f>
        <v>ACTA 1</v>
      </c>
      <c r="C28" s="1253">
        <f>+'OT18-074 LA PAZ'!J29</f>
        <v>0</v>
      </c>
      <c r="D28" s="1253"/>
      <c r="E28" s="267">
        <f>+'OT18-074 LA PAZ'!K29</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RESUMEN!V208</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6"/>
  <dimension ref="A1:N37"/>
  <sheetViews>
    <sheetView topLeftCell="D17" workbookViewId="0">
      <selection activeCell="H29" sqref="H29"/>
    </sheetView>
  </sheetViews>
  <sheetFormatPr baseColWidth="10" defaultRowHeight="14.4" x14ac:dyDescent="0.3"/>
  <cols>
    <col min="2" max="2" width="16.6640625" customWidth="1"/>
    <col min="3" max="4" width="24.5546875" customWidth="1"/>
    <col min="5" max="7" width="14.5546875" customWidth="1"/>
    <col min="8" max="8" width="36.33203125" customWidth="1"/>
  </cols>
  <sheetData>
    <row r="1" spans="1:14" x14ac:dyDescent="0.3">
      <c r="A1" s="169"/>
      <c r="B1" s="188"/>
      <c r="C1" s="1307" t="s">
        <v>40</v>
      </c>
      <c r="D1" s="1308"/>
      <c r="E1" s="1308"/>
      <c r="F1" s="1308"/>
      <c r="G1" s="1308"/>
      <c r="H1" s="1308"/>
      <c r="I1" s="1308"/>
      <c r="J1" s="1308"/>
      <c r="K1" s="1532" t="s">
        <v>2643</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2642</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2641</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109</v>
      </c>
      <c r="B14" s="1510" t="s">
        <v>195</v>
      </c>
      <c r="C14" s="1184" t="s">
        <v>83</v>
      </c>
      <c r="D14" s="1184" t="s">
        <v>91</v>
      </c>
      <c r="E14" s="1143">
        <v>0</v>
      </c>
      <c r="F14" s="646">
        <v>1756696</v>
      </c>
      <c r="G14" s="646">
        <f>ROUND((E14*F14),0)</f>
        <v>0</v>
      </c>
      <c r="H14" s="1555" t="s">
        <v>2644</v>
      </c>
      <c r="I14" s="799">
        <v>0</v>
      </c>
      <c r="J14" s="1132">
        <f>ROUND(I14*F14,0)</f>
        <v>0</v>
      </c>
      <c r="K14" s="1133">
        <v>0</v>
      </c>
      <c r="L14" s="1134">
        <f t="shared" ref="L14:M15" si="0">I14</f>
        <v>0</v>
      </c>
      <c r="M14" s="1124">
        <f t="shared" si="0"/>
        <v>0</v>
      </c>
      <c r="N14" s="1133">
        <v>0</v>
      </c>
    </row>
    <row r="15" spans="1:14" ht="43.2" x14ac:dyDescent="0.3">
      <c r="A15" s="1510"/>
      <c r="B15" s="1510"/>
      <c r="C15" s="1184" t="s">
        <v>61</v>
      </c>
      <c r="D15" s="1184" t="s">
        <v>92</v>
      </c>
      <c r="E15" s="1143">
        <v>4.4999999999999998E-2</v>
      </c>
      <c r="F15" s="646">
        <v>6551016</v>
      </c>
      <c r="G15" s="646">
        <f>ROUND((E15*F15),0)</f>
        <v>294796</v>
      </c>
      <c r="H15" s="1555"/>
      <c r="I15" s="799">
        <v>0</v>
      </c>
      <c r="J15" s="1132">
        <f t="shared" ref="J15" si="1">ROUND(I15*F15,0)</f>
        <v>0</v>
      </c>
      <c r="K15" s="1133">
        <f t="shared" ref="K15" si="2">J15/G15</f>
        <v>0</v>
      </c>
      <c r="L15" s="1134">
        <f t="shared" si="0"/>
        <v>0</v>
      </c>
      <c r="M15" s="1124">
        <f t="shared" si="0"/>
        <v>0</v>
      </c>
      <c r="N15" s="1133">
        <f t="shared" ref="N15" si="3">M15/G15</f>
        <v>0</v>
      </c>
    </row>
    <row r="16" spans="1:14" x14ac:dyDescent="0.3">
      <c r="A16" s="1510"/>
      <c r="B16" s="1510"/>
      <c r="C16" s="647"/>
      <c r="D16" s="647" t="s">
        <v>63</v>
      </c>
      <c r="E16" s="1155"/>
      <c r="F16" s="648"/>
      <c r="G16" s="649">
        <f>SUM(G14:G15)</f>
        <v>294796</v>
      </c>
      <c r="H16" s="1555"/>
      <c r="I16" s="1108"/>
      <c r="J16" s="1146">
        <f>SUM(J14:J15)</f>
        <v>0</v>
      </c>
      <c r="K16" s="1136">
        <f>J16/G16</f>
        <v>0</v>
      </c>
      <c r="L16" s="1137"/>
      <c r="M16" s="1138">
        <f>J16</f>
        <v>0</v>
      </c>
      <c r="N16" s="1136">
        <f>M16/G16</f>
        <v>0</v>
      </c>
    </row>
    <row r="17" spans="1:14" ht="43.2" x14ac:dyDescent="0.3">
      <c r="A17" s="1510" t="s">
        <v>109</v>
      </c>
      <c r="B17" s="1510" t="s">
        <v>692</v>
      </c>
      <c r="C17" s="1184" t="s">
        <v>83</v>
      </c>
      <c r="D17" s="1184" t="s">
        <v>693</v>
      </c>
      <c r="E17" s="1143">
        <v>0</v>
      </c>
      <c r="F17" s="646">
        <v>1390718</v>
      </c>
      <c r="G17" s="646">
        <f>ROUND((E17*F17),0)</f>
        <v>0</v>
      </c>
      <c r="H17" s="1555"/>
      <c r="I17" s="799">
        <v>0</v>
      </c>
      <c r="J17" s="1132">
        <f>ROUND(I17*F17,0)</f>
        <v>0</v>
      </c>
      <c r="K17" s="1133">
        <v>0</v>
      </c>
      <c r="L17" s="1134">
        <f t="shared" ref="L17:L18" si="4">I17</f>
        <v>0</v>
      </c>
      <c r="M17" s="1124">
        <f t="shared" ref="M17:M18" si="5">J17</f>
        <v>0</v>
      </c>
      <c r="N17" s="1133">
        <v>0</v>
      </c>
    </row>
    <row r="18" spans="1:14" ht="43.2" x14ac:dyDescent="0.3">
      <c r="A18" s="1510"/>
      <c r="B18" s="1510"/>
      <c r="C18" s="1184" t="s">
        <v>61</v>
      </c>
      <c r="D18" s="1184" t="s">
        <v>695</v>
      </c>
      <c r="E18" s="1143">
        <v>4.4999999999999998E-2</v>
      </c>
      <c r="F18" s="646">
        <v>11052553</v>
      </c>
      <c r="G18" s="646">
        <f>ROUND((E18*F18),0)</f>
        <v>497365</v>
      </c>
      <c r="H18" s="1555"/>
      <c r="I18" s="799">
        <v>0</v>
      </c>
      <c r="J18" s="1132">
        <f t="shared" ref="J18" si="6">ROUND(I18*F18,0)</f>
        <v>0</v>
      </c>
      <c r="K18" s="1133">
        <f t="shared" ref="K18" si="7">J18/G18</f>
        <v>0</v>
      </c>
      <c r="L18" s="1134">
        <f t="shared" si="4"/>
        <v>0</v>
      </c>
      <c r="M18" s="1124">
        <f t="shared" si="5"/>
        <v>0</v>
      </c>
      <c r="N18" s="1133">
        <f t="shared" ref="N18" si="8">M18/G18</f>
        <v>0</v>
      </c>
    </row>
    <row r="19" spans="1:14" x14ac:dyDescent="0.3">
      <c r="A19" s="1510"/>
      <c r="B19" s="1510"/>
      <c r="C19" s="647"/>
      <c r="D19" s="647" t="s">
        <v>696</v>
      </c>
      <c r="E19" s="648"/>
      <c r="F19" s="648"/>
      <c r="G19" s="649">
        <f>SUM(G17:G18)</f>
        <v>497365</v>
      </c>
      <c r="H19" s="1555"/>
      <c r="I19" s="1108"/>
      <c r="J19" s="1146">
        <f>SUM(J17:J18)</f>
        <v>0</v>
      </c>
      <c r="K19" s="1136">
        <f>J19/G19</f>
        <v>0</v>
      </c>
      <c r="L19" s="1137"/>
      <c r="M19" s="1138">
        <f>J19</f>
        <v>0</v>
      </c>
      <c r="N19" s="1136">
        <f>M19/G19</f>
        <v>0</v>
      </c>
    </row>
    <row r="20" spans="1:14" x14ac:dyDescent="0.3">
      <c r="F20" s="836" t="s">
        <v>1740</v>
      </c>
      <c r="G20" s="650">
        <f>SUM(G14:G19)/2</f>
        <v>792161</v>
      </c>
      <c r="I20" s="547" t="s">
        <v>64</v>
      </c>
      <c r="J20" s="855">
        <f>SUM(J14:J19)/2</f>
        <v>0</v>
      </c>
      <c r="K20" s="1182"/>
      <c r="L20" s="547" t="s">
        <v>64</v>
      </c>
      <c r="M20" s="835">
        <f>SUM(M14:M19)/2</f>
        <v>0</v>
      </c>
      <c r="N20" s="1182"/>
    </row>
    <row r="21" spans="1:14" ht="26.4" x14ac:dyDescent="0.3">
      <c r="F21" s="1118">
        <v>0.03</v>
      </c>
      <c r="G21" s="1185">
        <v>0</v>
      </c>
      <c r="I21" s="548" t="s">
        <v>65</v>
      </c>
      <c r="J21" s="677">
        <v>0</v>
      </c>
      <c r="K21" s="1182"/>
      <c r="L21" s="548" t="s">
        <v>65</v>
      </c>
      <c r="M21" s="677">
        <v>0</v>
      </c>
      <c r="N21" s="1182"/>
    </row>
    <row r="22" spans="1:14" x14ac:dyDescent="0.3">
      <c r="F22" s="1119" t="s">
        <v>64</v>
      </c>
      <c r="G22" s="1151">
        <f>G20+G21</f>
        <v>792161</v>
      </c>
      <c r="I22" s="549" t="s">
        <v>64</v>
      </c>
      <c r="J22" s="481">
        <f>J20+J21</f>
        <v>0</v>
      </c>
      <c r="K22" s="1182"/>
      <c r="L22" s="549" t="s">
        <v>64</v>
      </c>
      <c r="M22" s="481">
        <f>M20+M21</f>
        <v>0</v>
      </c>
      <c r="N22" s="1182"/>
    </row>
    <row r="23" spans="1:14" ht="26.4" x14ac:dyDescent="0.3">
      <c r="F23" s="501" t="s">
        <v>1439</v>
      </c>
      <c r="G23" s="1116">
        <f>ROUND(G22*0.015,0)</f>
        <v>11882</v>
      </c>
      <c r="I23" s="501" t="s">
        <v>1439</v>
      </c>
      <c r="J23" s="481">
        <f>ROUND(J22*0.015,0)</f>
        <v>0</v>
      </c>
      <c r="K23" s="1182"/>
      <c r="L23" s="501" t="s">
        <v>1439</v>
      </c>
      <c r="M23" s="481">
        <f>ROUND(M22*0.015,0)</f>
        <v>0</v>
      </c>
      <c r="N23" s="1182"/>
    </row>
    <row r="24" spans="1:14" ht="39.6" x14ac:dyDescent="0.3">
      <c r="F24" s="96" t="s">
        <v>1440</v>
      </c>
      <c r="G24" s="1117">
        <f>G22+G23</f>
        <v>804043</v>
      </c>
      <c r="I24" s="96" t="s">
        <v>1440</v>
      </c>
      <c r="J24" s="783">
        <f>J22+J23</f>
        <v>0</v>
      </c>
      <c r="K24" s="856">
        <f>J24/G20</f>
        <v>0</v>
      </c>
      <c r="L24" s="96" t="s">
        <v>1440</v>
      </c>
      <c r="M24" s="425">
        <f>M22+M23</f>
        <v>0</v>
      </c>
      <c r="N24" s="857">
        <f>M24/G20</f>
        <v>0</v>
      </c>
    </row>
    <row r="25" spans="1:14" x14ac:dyDescent="0.3">
      <c r="F25" s="1122" t="s">
        <v>66</v>
      </c>
      <c r="G25" s="783">
        <f>G24*0.19</f>
        <v>152768.17000000001</v>
      </c>
      <c r="I25" s="551" t="s">
        <v>66</v>
      </c>
      <c r="J25" s="672">
        <f>J24*0.19</f>
        <v>0</v>
      </c>
      <c r="K25" s="1182"/>
      <c r="L25" s="551" t="s">
        <v>66</v>
      </c>
      <c r="M25" s="672">
        <f>M24*0.19</f>
        <v>0</v>
      </c>
      <c r="N25" s="1182"/>
    </row>
    <row r="26" spans="1:14" x14ac:dyDescent="0.3">
      <c r="F26" s="1123" t="s">
        <v>69</v>
      </c>
      <c r="G26" s="672">
        <f>G24+G25</f>
        <v>956811.17</v>
      </c>
      <c r="I26" s="552" t="s">
        <v>69</v>
      </c>
      <c r="J26" s="672">
        <f>J24+J25</f>
        <v>0</v>
      </c>
      <c r="K26" s="1182"/>
      <c r="L26" s="552" t="s">
        <v>69</v>
      </c>
      <c r="M26" s="672">
        <f>M24+M25</f>
        <v>0</v>
      </c>
      <c r="N26" s="1182"/>
    </row>
    <row r="27" spans="1:14" x14ac:dyDescent="0.3">
      <c r="I27" s="1182"/>
      <c r="J27" s="1182"/>
      <c r="K27" s="1182"/>
      <c r="L27" s="1182"/>
      <c r="M27" s="1182"/>
      <c r="N27" s="1182"/>
    </row>
    <row r="28" spans="1:14" ht="26.4" x14ac:dyDescent="0.3">
      <c r="I28" s="186" t="s">
        <v>70</v>
      </c>
      <c r="J28" s="187" t="s">
        <v>71</v>
      </c>
      <c r="K28" s="186" t="s">
        <v>58</v>
      </c>
      <c r="L28" s="1182"/>
      <c r="M28" s="1182"/>
      <c r="N28" s="1182"/>
    </row>
    <row r="29" spans="1:14" x14ac:dyDescent="0.3">
      <c r="I29" s="69" t="s">
        <v>72</v>
      </c>
      <c r="J29" s="70">
        <f>J24</f>
        <v>0</v>
      </c>
      <c r="K29" s="360">
        <f>K24</f>
        <v>0</v>
      </c>
      <c r="L29" s="1182"/>
      <c r="M29" s="1182"/>
      <c r="N29" s="1182"/>
    </row>
    <row r="30" spans="1:14" x14ac:dyDescent="0.3">
      <c r="I30" s="72" t="s">
        <v>1</v>
      </c>
      <c r="J30" s="105">
        <f>J29</f>
        <v>0</v>
      </c>
      <c r="K30" s="361">
        <f>K29</f>
        <v>0</v>
      </c>
      <c r="L30" s="1182"/>
      <c r="M30" s="1182"/>
      <c r="N30" s="1182"/>
    </row>
    <row r="31" spans="1:14" x14ac:dyDescent="0.3">
      <c r="I31" s="72" t="s">
        <v>9</v>
      </c>
      <c r="J31" s="1423"/>
      <c r="K31" s="1424"/>
      <c r="L31" s="1182"/>
      <c r="M31" s="1182"/>
      <c r="N31" s="1182"/>
    </row>
    <row r="32" spans="1:14" x14ac:dyDescent="0.3">
      <c r="I32" s="440" t="s">
        <v>78</v>
      </c>
      <c r="J32" s="1423" t="s">
        <v>2455</v>
      </c>
      <c r="K32" s="1424"/>
      <c r="L32" s="1182"/>
      <c r="M32" s="1182"/>
      <c r="N32" s="1182"/>
    </row>
    <row r="33" spans="9:14" x14ac:dyDescent="0.3">
      <c r="I33" s="439" t="s">
        <v>8</v>
      </c>
      <c r="J33" s="1425" t="s">
        <v>2456</v>
      </c>
      <c r="K33" s="1426"/>
      <c r="L33" s="1182"/>
      <c r="M33" s="1182"/>
      <c r="N33" s="1182"/>
    </row>
    <row r="34" spans="9:14" x14ac:dyDescent="0.3">
      <c r="I34" s="1182"/>
      <c r="J34" s="1182"/>
      <c r="K34" s="1182"/>
      <c r="L34" s="1182"/>
      <c r="M34" s="1182"/>
      <c r="N34" s="1182"/>
    </row>
    <row r="35" spans="9:14" x14ac:dyDescent="0.3">
      <c r="I35" s="1182"/>
      <c r="J35" s="1182"/>
      <c r="K35" s="1182"/>
      <c r="L35" s="1182"/>
      <c r="M35" s="1182"/>
      <c r="N35" s="1182"/>
    </row>
    <row r="36" spans="9:14" x14ac:dyDescent="0.3">
      <c r="I36" s="1182"/>
      <c r="J36" s="1182"/>
      <c r="K36" s="1182"/>
      <c r="L36" s="1182"/>
      <c r="M36" s="1182"/>
      <c r="N36" s="1182"/>
    </row>
    <row r="37" spans="9:14" x14ac:dyDescent="0.3">
      <c r="I37" s="1182"/>
      <c r="J37" s="1182"/>
      <c r="K37" s="1182"/>
      <c r="L37" s="1182"/>
      <c r="M37" s="1182"/>
      <c r="N37" s="1182"/>
    </row>
  </sheetData>
  <mergeCells count="23">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2:K32"/>
    <mergeCell ref="J33:K33"/>
    <mergeCell ref="A14:A16"/>
    <mergeCell ref="B14:B16"/>
    <mergeCell ref="H14:H19"/>
    <mergeCell ref="A17:A19"/>
    <mergeCell ref="B17:B19"/>
    <mergeCell ref="J31:K31"/>
  </mergeCells>
  <pageMargins left="0.7" right="0.7" top="0.75" bottom="0.75" header="0.3" footer="0.3"/>
  <drawing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7"/>
  <dimension ref="A1:G49"/>
  <sheetViews>
    <sheetView topLeftCell="A10" workbookViewId="0">
      <selection activeCell="G27" sqref="G27"/>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RESUMEN!G209</f>
        <v>Proyecto: CDIE_CBCCSM_R018  100% DIGITAL REEMPLAZO DE PROTECCIÓN.</v>
      </c>
      <c r="C5" s="1281"/>
      <c r="D5" s="1281"/>
      <c r="E5" s="1281"/>
      <c r="F5" s="1281"/>
      <c r="G5" s="1282"/>
    </row>
    <row r="6" spans="1:7" x14ac:dyDescent="0.25">
      <c r="A6" s="1177"/>
      <c r="B6" s="1177"/>
      <c r="C6" s="1177"/>
      <c r="D6" s="1177"/>
      <c r="E6" s="1177"/>
      <c r="F6" s="1177"/>
      <c r="G6" s="1177"/>
    </row>
    <row r="7" spans="1:7" x14ac:dyDescent="0.25">
      <c r="A7" s="271" t="s">
        <v>0</v>
      </c>
      <c r="B7" s="1264" t="str">
        <f>RESUMEN!B209</f>
        <v>D00249255</v>
      </c>
      <c r="C7" s="1265"/>
      <c r="D7" s="1177"/>
      <c r="E7" s="1266" t="s">
        <v>627</v>
      </c>
      <c r="F7" s="1267"/>
      <c r="G7" s="280" t="str">
        <f>RESUMEN!E209</f>
        <v>18-075</v>
      </c>
    </row>
    <row r="8" spans="1:7" x14ac:dyDescent="0.25">
      <c r="A8" s="271" t="s">
        <v>628</v>
      </c>
      <c r="B8" s="1264" t="str">
        <f>RESUMEN!C209</f>
        <v>D00249255000</v>
      </c>
      <c r="C8" s="1265"/>
      <c r="D8" s="1177"/>
      <c r="E8" s="1266" t="s">
        <v>629</v>
      </c>
      <c r="F8" s="1267"/>
      <c r="G8" s="280" t="str">
        <f>RESUMEN!U209</f>
        <v>Acta N° 1: Marzo</v>
      </c>
    </row>
    <row r="9" spans="1:7" x14ac:dyDescent="0.25">
      <c r="A9" s="271" t="s">
        <v>630</v>
      </c>
      <c r="B9" s="1283" t="s">
        <v>631</v>
      </c>
      <c r="C9" s="1265"/>
      <c r="D9" s="1177"/>
      <c r="E9" s="1266" t="s">
        <v>632</v>
      </c>
      <c r="F9" s="1267"/>
      <c r="G9" s="1178">
        <f>RESUMEN!H209</f>
        <v>989788</v>
      </c>
    </row>
    <row r="10" spans="1:7" x14ac:dyDescent="0.25">
      <c r="A10" s="271" t="s">
        <v>633</v>
      </c>
      <c r="B10" s="1283" t="str">
        <f>RESUMEN!D209</f>
        <v xml:space="preserve"> BOLIVIA</v>
      </c>
      <c r="C10" s="1265"/>
      <c r="D10" s="1177"/>
      <c r="E10" s="1266" t="s">
        <v>634</v>
      </c>
      <c r="F10" s="1267"/>
      <c r="G10" s="1178">
        <f>RESUMEN!R209</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RESUMEN!V209,"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",RESUMEN!G209)</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  100% DIGITAL REEMPLAZO DE PROTECCIÓN.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RESUMEN!N209</f>
        <v>0</v>
      </c>
      <c r="F19" s="1248"/>
      <c r="G19" s="1177"/>
    </row>
    <row r="20" spans="1:7" ht="27" customHeight="1" x14ac:dyDescent="0.25">
      <c r="A20" s="1177"/>
      <c r="B20" s="1244" t="s">
        <v>1498</v>
      </c>
      <c r="C20" s="1245"/>
      <c r="D20" s="1246"/>
      <c r="E20" s="1247">
        <f>RESUMEN!P209</f>
        <v>0</v>
      </c>
      <c r="F20" s="1248"/>
      <c r="G20" s="1177"/>
    </row>
    <row r="21" spans="1:7" ht="27" customHeight="1" x14ac:dyDescent="0.25">
      <c r="A21" s="1177"/>
      <c r="B21" s="1244" t="s">
        <v>1499</v>
      </c>
      <c r="C21" s="1245"/>
      <c r="D21" s="1246"/>
      <c r="E21" s="1247">
        <f>RESUMEN!Q209</f>
        <v>0</v>
      </c>
      <c r="F21" s="1248"/>
      <c r="G21" s="1177"/>
    </row>
    <row r="22" spans="1:7" x14ac:dyDescent="0.25">
      <c r="A22" s="1177"/>
      <c r="B22" s="1254" t="s">
        <v>64</v>
      </c>
      <c r="C22" s="1254"/>
      <c r="D22" s="1254"/>
      <c r="E22" s="1255">
        <f>RESUMEN!R209</f>
        <v>0</v>
      </c>
      <c r="F22" s="1255"/>
      <c r="G22" s="1177"/>
    </row>
    <row r="23" spans="1:7" x14ac:dyDescent="0.25">
      <c r="A23" s="1177"/>
      <c r="B23" s="1256" t="s">
        <v>66</v>
      </c>
      <c r="C23" s="1256"/>
      <c r="D23" s="1256"/>
      <c r="E23" s="1257">
        <f>RESUMEN!S209</f>
        <v>0</v>
      </c>
      <c r="F23" s="1257"/>
      <c r="G23" s="1177"/>
    </row>
    <row r="24" spans="1:7" x14ac:dyDescent="0.25">
      <c r="A24" s="1177"/>
      <c r="B24" s="1258" t="s">
        <v>1</v>
      </c>
      <c r="C24" s="1258"/>
      <c r="D24" s="1258"/>
      <c r="E24" s="1259">
        <f>RESUMEN!T209</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+'OT18-075 BOLIVIA'!I32</f>
        <v>ACTA 1</v>
      </c>
      <c r="C28" s="1253">
        <f>+'OT18-075 BOLIVIA'!J32</f>
        <v>0</v>
      </c>
      <c r="D28" s="1253"/>
      <c r="E28" s="267">
        <f>+'OT18-075 BOLIVIA'!K32</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RESUMEN!V209</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8"/>
  <dimension ref="A1:N41"/>
  <sheetViews>
    <sheetView topLeftCell="D22" workbookViewId="0">
      <selection activeCell="G44" sqref="G44"/>
    </sheetView>
  </sheetViews>
  <sheetFormatPr baseColWidth="10" defaultRowHeight="14.4" x14ac:dyDescent="0.3"/>
  <cols>
    <col min="2" max="2" width="18" customWidth="1"/>
    <col min="3" max="4" width="24.109375" customWidth="1"/>
    <col min="5" max="7" width="16.33203125" customWidth="1"/>
    <col min="8" max="8" width="34" customWidth="1"/>
  </cols>
  <sheetData>
    <row r="1" spans="1:14" x14ac:dyDescent="0.3">
      <c r="A1" s="169"/>
      <c r="B1" s="188"/>
      <c r="C1" s="1307" t="s">
        <v>40</v>
      </c>
      <c r="D1" s="1308"/>
      <c r="E1" s="1308"/>
      <c r="F1" s="1308"/>
      <c r="G1" s="1308"/>
      <c r="H1" s="1308"/>
      <c r="I1" s="1308"/>
      <c r="J1" s="1308"/>
      <c r="K1" s="1532" t="s">
        <v>2647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2646</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2645</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201</v>
      </c>
      <c r="B14" s="1552" t="s">
        <v>190</v>
      </c>
      <c r="C14" s="1184" t="s">
        <v>83</v>
      </c>
      <c r="D14" s="1184" t="s">
        <v>191</v>
      </c>
      <c r="E14" s="1184">
        <v>0</v>
      </c>
      <c r="F14" s="646">
        <v>2342263</v>
      </c>
      <c r="G14" s="646">
        <f>ROUND((E14*F14),0)</f>
        <v>0</v>
      </c>
      <c r="H14" s="1555" t="s">
        <v>2648</v>
      </c>
      <c r="I14" s="799">
        <v>0</v>
      </c>
      <c r="J14" s="1132">
        <f>ROUND(I14*F14,0)</f>
        <v>0</v>
      </c>
      <c r="K14" s="1133">
        <v>0</v>
      </c>
      <c r="L14" s="1134">
        <f t="shared" ref="L14:M15" si="0">I14</f>
        <v>0</v>
      </c>
      <c r="M14" s="1124">
        <f t="shared" si="0"/>
        <v>0</v>
      </c>
      <c r="N14" s="1133">
        <v>0</v>
      </c>
    </row>
    <row r="15" spans="1:14" ht="43.2" x14ac:dyDescent="0.3">
      <c r="A15" s="1510"/>
      <c r="B15" s="1552"/>
      <c r="C15" s="1184" t="s">
        <v>61</v>
      </c>
      <c r="D15" s="1184" t="s">
        <v>192</v>
      </c>
      <c r="E15" s="1184">
        <v>4.4999999999999998E-2</v>
      </c>
      <c r="F15" s="646">
        <v>18481918</v>
      </c>
      <c r="G15" s="646">
        <f>ROUND((E15*F15),0)</f>
        <v>831686</v>
      </c>
      <c r="H15" s="1552"/>
      <c r="I15" s="799">
        <v>0</v>
      </c>
      <c r="J15" s="1132">
        <f t="shared" ref="J15" si="1">ROUND(I15*F15,0)</f>
        <v>0</v>
      </c>
      <c r="K15" s="1133">
        <f t="shared" ref="K15" si="2">J15/G15</f>
        <v>0</v>
      </c>
      <c r="L15" s="1134">
        <f t="shared" si="0"/>
        <v>0</v>
      </c>
      <c r="M15" s="1124">
        <f t="shared" si="0"/>
        <v>0</v>
      </c>
      <c r="N15" s="1133">
        <f t="shared" ref="N15" si="3">M15/G15</f>
        <v>0</v>
      </c>
    </row>
    <row r="16" spans="1:14" x14ac:dyDescent="0.3">
      <c r="A16" s="1510"/>
      <c r="B16" s="1552"/>
      <c r="C16" s="647"/>
      <c r="D16" s="647" t="s">
        <v>193</v>
      </c>
      <c r="E16" s="648"/>
      <c r="F16" s="648"/>
      <c r="G16" s="649">
        <f>SUM(G14:G15)</f>
        <v>831686</v>
      </c>
      <c r="H16" s="1552"/>
      <c r="I16" s="1108"/>
      <c r="J16" s="1146">
        <f>SUM(J14:J15)</f>
        <v>0</v>
      </c>
      <c r="K16" s="1136">
        <f>J16/G16</f>
        <v>0</v>
      </c>
      <c r="L16" s="1137"/>
      <c r="M16" s="1138">
        <f>J16</f>
        <v>0</v>
      </c>
      <c r="N16" s="1136">
        <f>M16/G16</f>
        <v>0</v>
      </c>
    </row>
    <row r="17" spans="1:14" ht="43.2" x14ac:dyDescent="0.3">
      <c r="A17" s="1510" t="s">
        <v>109</v>
      </c>
      <c r="B17" s="1510" t="s">
        <v>195</v>
      </c>
      <c r="C17" s="1184" t="s">
        <v>83</v>
      </c>
      <c r="D17" s="1184" t="s">
        <v>91</v>
      </c>
      <c r="E17" s="1184">
        <v>4.4999999999999998E-2</v>
      </c>
      <c r="F17" s="646">
        <v>1756696</v>
      </c>
      <c r="G17" s="646">
        <f>ROUND((E17*F17),0)</f>
        <v>79051</v>
      </c>
      <c r="H17" s="1514" t="s">
        <v>2649</v>
      </c>
      <c r="I17" s="799">
        <v>0</v>
      </c>
      <c r="J17" s="1132">
        <f>ROUND(I17*F17,0)</f>
        <v>0</v>
      </c>
      <c r="K17" s="1133">
        <f>J17/G17</f>
        <v>0</v>
      </c>
      <c r="L17" s="1134">
        <f t="shared" ref="L17:L18" si="4">I17</f>
        <v>0</v>
      </c>
      <c r="M17" s="1124">
        <f t="shared" ref="M17:M18" si="5">J17</f>
        <v>0</v>
      </c>
      <c r="N17" s="1133">
        <f>M17/G17</f>
        <v>0</v>
      </c>
    </row>
    <row r="18" spans="1:14" ht="43.2" x14ac:dyDescent="0.3">
      <c r="A18" s="1510"/>
      <c r="B18" s="1510"/>
      <c r="C18" s="1184" t="s">
        <v>61</v>
      </c>
      <c r="D18" s="1184" t="s">
        <v>92</v>
      </c>
      <c r="E18" s="1184">
        <v>0</v>
      </c>
      <c r="F18" s="646">
        <v>6551016</v>
      </c>
      <c r="G18" s="646">
        <f>ROUND((E18*F18),0)</f>
        <v>0</v>
      </c>
      <c r="H18" s="1510"/>
      <c r="I18" s="799">
        <v>0</v>
      </c>
      <c r="J18" s="1132">
        <f t="shared" ref="J18" si="6">ROUND(I18*F18,0)</f>
        <v>0</v>
      </c>
      <c r="K18" s="1133">
        <v>0</v>
      </c>
      <c r="L18" s="1134">
        <f t="shared" si="4"/>
        <v>0</v>
      </c>
      <c r="M18" s="1124">
        <f t="shared" si="5"/>
        <v>0</v>
      </c>
      <c r="N18" s="1133">
        <v>0</v>
      </c>
    </row>
    <row r="19" spans="1:14" x14ac:dyDescent="0.3">
      <c r="A19" s="1510"/>
      <c r="B19" s="1510"/>
      <c r="C19" s="647"/>
      <c r="D19" s="647" t="s">
        <v>63</v>
      </c>
      <c r="E19" s="648"/>
      <c r="F19" s="648"/>
      <c r="G19" s="649">
        <f>SUM(G17:G18)</f>
        <v>79051</v>
      </c>
      <c r="H19" s="1510"/>
      <c r="I19" s="1108"/>
      <c r="J19" s="1146">
        <f>SUM(J17:J18)</f>
        <v>0</v>
      </c>
      <c r="K19" s="1136">
        <f>J19/G19</f>
        <v>0</v>
      </c>
      <c r="L19" s="1137"/>
      <c r="M19" s="1138">
        <f>J19</f>
        <v>0</v>
      </c>
      <c r="N19" s="1136">
        <f>M19/G19</f>
        <v>0</v>
      </c>
    </row>
    <row r="20" spans="1:14" ht="43.2" x14ac:dyDescent="0.3">
      <c r="A20" s="1510" t="s">
        <v>922</v>
      </c>
      <c r="B20" s="1510" t="s">
        <v>1091</v>
      </c>
      <c r="C20" s="1184" t="s">
        <v>83</v>
      </c>
      <c r="D20" s="1184" t="s">
        <v>91</v>
      </c>
      <c r="E20" s="1184">
        <v>4.4999999999999998E-2</v>
      </c>
      <c r="F20" s="646">
        <v>1756696</v>
      </c>
      <c r="G20" s="646">
        <f>ROUND((E20*F20),0)</f>
        <v>79051</v>
      </c>
      <c r="H20" s="1514" t="s">
        <v>2650</v>
      </c>
      <c r="I20" s="799">
        <v>0</v>
      </c>
      <c r="J20" s="1132">
        <f>ROUND(I20*F20,0)</f>
        <v>0</v>
      </c>
      <c r="K20" s="1133">
        <f>J20/G20</f>
        <v>0</v>
      </c>
      <c r="L20" s="1134">
        <f t="shared" ref="L20:L21" si="7">I20</f>
        <v>0</v>
      </c>
      <c r="M20" s="1124">
        <f t="shared" ref="M20:M21" si="8">J20</f>
        <v>0</v>
      </c>
      <c r="N20" s="1133">
        <f>M20/G20</f>
        <v>0</v>
      </c>
    </row>
    <row r="21" spans="1:14" ht="43.2" x14ac:dyDescent="0.3">
      <c r="A21" s="1510"/>
      <c r="B21" s="1510"/>
      <c r="C21" s="1184" t="s">
        <v>61</v>
      </c>
      <c r="D21" s="1184" t="s">
        <v>92</v>
      </c>
      <c r="E21" s="1184">
        <v>0</v>
      </c>
      <c r="F21" s="646">
        <v>6551016</v>
      </c>
      <c r="G21" s="646">
        <f>ROUND((E21*F21),0)</f>
        <v>0</v>
      </c>
      <c r="H21" s="1510"/>
      <c r="I21" s="799">
        <v>0</v>
      </c>
      <c r="J21" s="1132">
        <f t="shared" ref="J21" si="9">ROUND(I21*F21,0)</f>
        <v>0</v>
      </c>
      <c r="K21" s="1133">
        <v>0</v>
      </c>
      <c r="L21" s="1134">
        <f t="shared" si="7"/>
        <v>0</v>
      </c>
      <c r="M21" s="1124">
        <f t="shared" si="8"/>
        <v>0</v>
      </c>
      <c r="N21" s="1133">
        <v>0</v>
      </c>
    </row>
    <row r="22" spans="1:14" x14ac:dyDescent="0.3">
      <c r="A22" s="1510"/>
      <c r="B22" s="1510"/>
      <c r="C22" s="647"/>
      <c r="D22" s="647" t="s">
        <v>63</v>
      </c>
      <c r="E22" s="648"/>
      <c r="F22" s="648"/>
      <c r="G22" s="649">
        <f>SUM(G20:G21)</f>
        <v>79051</v>
      </c>
      <c r="H22" s="1510"/>
      <c r="I22" s="1108"/>
      <c r="J22" s="1146">
        <f>SUM(J20:J21)</f>
        <v>0</v>
      </c>
      <c r="K22" s="1136">
        <f>J22/G22</f>
        <v>0</v>
      </c>
      <c r="L22" s="1137"/>
      <c r="M22" s="1138">
        <f>J22</f>
        <v>0</v>
      </c>
      <c r="N22" s="1136">
        <f>M22/G22</f>
        <v>0</v>
      </c>
    </row>
    <row r="23" spans="1:14" x14ac:dyDescent="0.3">
      <c r="F23" s="836" t="s">
        <v>1740</v>
      </c>
      <c r="G23" s="650">
        <f>SUM(G14:G22)/2</f>
        <v>989788</v>
      </c>
      <c r="I23" s="547" t="s">
        <v>64</v>
      </c>
      <c r="J23" s="855">
        <f>SUM(J14:J22)/2</f>
        <v>0</v>
      </c>
      <c r="K23" s="1182"/>
      <c r="L23" s="547" t="s">
        <v>64</v>
      </c>
      <c r="M23" s="835">
        <f>SUM(M14:M22)/2</f>
        <v>0</v>
      </c>
      <c r="N23" s="1182"/>
    </row>
    <row r="24" spans="1:14" ht="26.4" x14ac:dyDescent="0.3">
      <c r="F24" s="1118">
        <v>0.03</v>
      </c>
      <c r="G24" s="1185">
        <v>0</v>
      </c>
      <c r="I24" s="548" t="s">
        <v>65</v>
      </c>
      <c r="J24" s="677">
        <v>0</v>
      </c>
      <c r="K24" s="1182"/>
      <c r="L24" s="548" t="s">
        <v>65</v>
      </c>
      <c r="M24" s="677">
        <v>0</v>
      </c>
      <c r="N24" s="1182"/>
    </row>
    <row r="25" spans="1:14" x14ac:dyDescent="0.3">
      <c r="F25" s="1119" t="s">
        <v>64</v>
      </c>
      <c r="G25" s="1151">
        <f>G23+G24</f>
        <v>989788</v>
      </c>
      <c r="I25" s="549" t="s">
        <v>64</v>
      </c>
      <c r="J25" s="481">
        <f>J23+J24</f>
        <v>0</v>
      </c>
      <c r="K25" s="1182"/>
      <c r="L25" s="549" t="s">
        <v>64</v>
      </c>
      <c r="M25" s="481">
        <f>M23+M24</f>
        <v>0</v>
      </c>
      <c r="N25" s="1182"/>
    </row>
    <row r="26" spans="1:14" ht="26.4" x14ac:dyDescent="0.3">
      <c r="F26" s="501" t="s">
        <v>1439</v>
      </c>
      <c r="G26" s="1116">
        <f>ROUND(G25*0.015,0)</f>
        <v>14847</v>
      </c>
      <c r="I26" s="501" t="s">
        <v>1439</v>
      </c>
      <c r="J26" s="481">
        <f>ROUND(J25*0.015,0)</f>
        <v>0</v>
      </c>
      <c r="K26" s="1182"/>
      <c r="L26" s="501" t="s">
        <v>1439</v>
      </c>
      <c r="M26" s="481">
        <f>ROUND(M25*0.015,0)</f>
        <v>0</v>
      </c>
      <c r="N26" s="1182"/>
    </row>
    <row r="27" spans="1:14" ht="39.6" x14ac:dyDescent="0.3">
      <c r="F27" s="96" t="s">
        <v>1440</v>
      </c>
      <c r="G27" s="1117">
        <f>G25+G26</f>
        <v>1004635</v>
      </c>
      <c r="I27" s="96" t="s">
        <v>1440</v>
      </c>
      <c r="J27" s="783">
        <f>J25+J26</f>
        <v>0</v>
      </c>
      <c r="K27" s="856">
        <f>J27/G23</f>
        <v>0</v>
      </c>
      <c r="L27" s="96" t="s">
        <v>1440</v>
      </c>
      <c r="M27" s="425">
        <f>M25+M26</f>
        <v>0</v>
      </c>
      <c r="N27" s="857">
        <f>M27/G23</f>
        <v>0</v>
      </c>
    </row>
    <row r="28" spans="1:14" x14ac:dyDescent="0.3">
      <c r="F28" s="1122" t="s">
        <v>66</v>
      </c>
      <c r="G28" s="783">
        <f>G27*0.19</f>
        <v>190880.65</v>
      </c>
      <c r="I28" s="551" t="s">
        <v>66</v>
      </c>
      <c r="J28" s="672">
        <f>J27*0.19</f>
        <v>0</v>
      </c>
      <c r="K28" s="1182"/>
      <c r="L28" s="551" t="s">
        <v>66</v>
      </c>
      <c r="M28" s="672">
        <f>M27*0.19</f>
        <v>0</v>
      </c>
      <c r="N28" s="1182"/>
    </row>
    <row r="29" spans="1:14" x14ac:dyDescent="0.3">
      <c r="F29" s="1123" t="s">
        <v>69</v>
      </c>
      <c r="G29" s="672">
        <f>G27+G28</f>
        <v>1195515.6499999999</v>
      </c>
      <c r="I29" s="552" t="s">
        <v>69</v>
      </c>
      <c r="J29" s="672">
        <f>J27+J28</f>
        <v>0</v>
      </c>
      <c r="K29" s="1182"/>
      <c r="L29" s="552" t="s">
        <v>69</v>
      </c>
      <c r="M29" s="672">
        <f>M27+M28</f>
        <v>0</v>
      </c>
      <c r="N29" s="1182"/>
    </row>
    <row r="30" spans="1:14" x14ac:dyDescent="0.3">
      <c r="I30" s="1182"/>
      <c r="J30" s="1182"/>
      <c r="K30" s="1182"/>
      <c r="L30" s="1182"/>
      <c r="M30" s="1182"/>
      <c r="N30" s="1182"/>
    </row>
    <row r="31" spans="1:14" ht="26.4" x14ac:dyDescent="0.3">
      <c r="I31" s="186" t="s">
        <v>70</v>
      </c>
      <c r="J31" s="187" t="s">
        <v>71</v>
      </c>
      <c r="K31" s="186" t="s">
        <v>58</v>
      </c>
      <c r="L31" s="1182"/>
      <c r="M31" s="1182"/>
      <c r="N31" s="1182"/>
    </row>
    <row r="32" spans="1:14" x14ac:dyDescent="0.3">
      <c r="I32" s="69" t="s">
        <v>72</v>
      </c>
      <c r="J32" s="70">
        <f>J27</f>
        <v>0</v>
      </c>
      <c r="K32" s="360">
        <f>K27</f>
        <v>0</v>
      </c>
      <c r="L32" s="1182"/>
      <c r="M32" s="1182"/>
      <c r="N32" s="1182"/>
    </row>
    <row r="33" spans="9:14" x14ac:dyDescent="0.3">
      <c r="I33" s="72" t="s">
        <v>1</v>
      </c>
      <c r="J33" s="105">
        <f>J32</f>
        <v>0</v>
      </c>
      <c r="K33" s="361">
        <f>K32</f>
        <v>0</v>
      </c>
      <c r="L33" s="1182"/>
      <c r="M33" s="1182"/>
      <c r="N33" s="1182"/>
    </row>
    <row r="34" spans="9:14" x14ac:dyDescent="0.3">
      <c r="I34" s="72" t="s">
        <v>9</v>
      </c>
      <c r="J34" s="1423"/>
      <c r="K34" s="1424"/>
      <c r="L34" s="1182"/>
      <c r="M34" s="1182"/>
      <c r="N34" s="1182"/>
    </row>
    <row r="35" spans="9:14" x14ac:dyDescent="0.3">
      <c r="I35" s="440" t="s">
        <v>78</v>
      </c>
      <c r="J35" s="1423" t="s">
        <v>2455</v>
      </c>
      <c r="K35" s="1424"/>
      <c r="L35" s="1182"/>
      <c r="M35" s="1182"/>
      <c r="N35" s="1182"/>
    </row>
    <row r="36" spans="9:14" x14ac:dyDescent="0.3">
      <c r="I36" s="439" t="s">
        <v>8</v>
      </c>
      <c r="J36" s="1425" t="s">
        <v>2456</v>
      </c>
      <c r="K36" s="1426"/>
      <c r="L36" s="1182"/>
      <c r="M36" s="1182"/>
      <c r="N36" s="1182"/>
    </row>
    <row r="37" spans="9:14" x14ac:dyDescent="0.3">
      <c r="I37" s="1182"/>
      <c r="J37" s="1182"/>
      <c r="K37" s="1182"/>
      <c r="L37" s="1182"/>
      <c r="M37" s="1182"/>
      <c r="N37" s="1182"/>
    </row>
    <row r="38" spans="9:14" x14ac:dyDescent="0.3">
      <c r="I38" s="1182"/>
      <c r="J38" s="1182"/>
      <c r="K38" s="1182"/>
      <c r="L38" s="1182"/>
      <c r="M38" s="1182"/>
      <c r="N38" s="1182"/>
    </row>
    <row r="39" spans="9:14" x14ac:dyDescent="0.3">
      <c r="I39" s="1182"/>
      <c r="J39" s="1182"/>
      <c r="K39" s="1182"/>
      <c r="L39" s="1182"/>
      <c r="M39" s="1182"/>
      <c r="N39" s="1182"/>
    </row>
    <row r="40" spans="9:14" x14ac:dyDescent="0.3">
      <c r="I40" s="1182"/>
      <c r="J40" s="1182"/>
      <c r="K40" s="1182"/>
      <c r="L40" s="1182"/>
      <c r="M40" s="1182"/>
      <c r="N40" s="1182"/>
    </row>
    <row r="41" spans="9:14" x14ac:dyDescent="0.3">
      <c r="I41" s="1182"/>
      <c r="J41" s="1182"/>
      <c r="K41" s="1182"/>
      <c r="L41" s="1182"/>
      <c r="M41" s="1182"/>
      <c r="N41" s="1182"/>
    </row>
  </sheetData>
  <mergeCells count="27">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J36:K36"/>
    <mergeCell ref="A14:A16"/>
    <mergeCell ref="B14:B16"/>
    <mergeCell ref="H14:H16"/>
    <mergeCell ref="A17:A19"/>
    <mergeCell ref="B17:B19"/>
    <mergeCell ref="H17:H19"/>
    <mergeCell ref="A20:A22"/>
    <mergeCell ref="B20:B22"/>
    <mergeCell ref="H20:H22"/>
    <mergeCell ref="J34:K34"/>
    <mergeCell ref="J35:K35"/>
  </mergeCells>
  <pageMargins left="0.7" right="0.7" top="0.75" bottom="0.75" header="0.3" footer="0.3"/>
  <drawing r:id="rId1"/>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9"/>
  <dimension ref="A1:G49"/>
  <sheetViews>
    <sheetView topLeftCell="A10" workbookViewId="0">
      <selection activeCell="G28" sqref="G28"/>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RESUMEN!G210</f>
        <v>Proyecto: CDIE_CBCCSM_R018  100% DIGITAL REEMPLAZO DE PROTECCIÓN</v>
      </c>
      <c r="C5" s="1281"/>
      <c r="D5" s="1281"/>
      <c r="E5" s="1281"/>
      <c r="F5" s="1281"/>
      <c r="G5" s="1282"/>
    </row>
    <row r="6" spans="1:7" x14ac:dyDescent="0.25">
      <c r="A6" s="1177"/>
      <c r="B6" s="1177"/>
      <c r="C6" s="1177"/>
      <c r="D6" s="1177"/>
      <c r="E6" s="1177"/>
      <c r="F6" s="1177"/>
      <c r="G6" s="1177"/>
    </row>
    <row r="7" spans="1:7" x14ac:dyDescent="0.25">
      <c r="A7" s="271" t="s">
        <v>0</v>
      </c>
      <c r="B7" s="1264" t="str">
        <f>RESUMEN!B210</f>
        <v>D00249252</v>
      </c>
      <c r="C7" s="1265"/>
      <c r="D7" s="1177"/>
      <c r="E7" s="1266" t="s">
        <v>627</v>
      </c>
      <c r="F7" s="1267"/>
      <c r="G7" s="280" t="str">
        <f>RESUMEN!E210</f>
        <v xml:space="preserve">18-076 </v>
      </c>
    </row>
    <row r="8" spans="1:7" x14ac:dyDescent="0.25">
      <c r="A8" s="271" t="s">
        <v>628</v>
      </c>
      <c r="B8" s="1264" t="str">
        <f>RESUMEN!C210</f>
        <v>D00249252000</v>
      </c>
      <c r="C8" s="1265"/>
      <c r="D8" s="1177"/>
      <c r="E8" s="1266" t="s">
        <v>629</v>
      </c>
      <c r="F8" s="1267"/>
      <c r="G8" s="280" t="str">
        <f>RESUMEN!U210</f>
        <v>Acta N° 1: Marzo</v>
      </c>
    </row>
    <row r="9" spans="1:7" x14ac:dyDescent="0.25">
      <c r="A9" s="271" t="s">
        <v>630</v>
      </c>
      <c r="B9" s="1283" t="s">
        <v>631</v>
      </c>
      <c r="C9" s="1265"/>
      <c r="D9" s="1177"/>
      <c r="E9" s="1266" t="s">
        <v>632</v>
      </c>
      <c r="F9" s="1267"/>
      <c r="G9" s="1178">
        <f>RESUMEN!H210</f>
        <v>238801</v>
      </c>
    </row>
    <row r="10" spans="1:7" x14ac:dyDescent="0.25">
      <c r="A10" s="271" t="s">
        <v>633</v>
      </c>
      <c r="B10" s="1283" t="str">
        <f>RESUMEN!D210</f>
        <v>CHIA</v>
      </c>
      <c r="C10" s="1265"/>
      <c r="D10" s="1177"/>
      <c r="E10" s="1266" t="s">
        <v>634</v>
      </c>
      <c r="F10" s="1267"/>
      <c r="G10" s="1178">
        <f>RESUMEN!R210</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RESUMEN!V210,"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",RESUMEN!G210)</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CDIE_CBCCSM_R018  100% DIGITAL REEMPLAZO DE PROTECCIÓN</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RESUMEN!N210</f>
        <v>0</v>
      </c>
      <c r="F19" s="1248"/>
      <c r="G19" s="1177"/>
    </row>
    <row r="20" spans="1:7" ht="27" customHeight="1" x14ac:dyDescent="0.25">
      <c r="A20" s="1177"/>
      <c r="B20" s="1244" t="s">
        <v>1498</v>
      </c>
      <c r="C20" s="1245"/>
      <c r="D20" s="1246"/>
      <c r="E20" s="1247">
        <f>RESUMEN!P210</f>
        <v>0</v>
      </c>
      <c r="F20" s="1248"/>
      <c r="G20" s="1177"/>
    </row>
    <row r="21" spans="1:7" ht="27" customHeight="1" x14ac:dyDescent="0.25">
      <c r="A21" s="1177"/>
      <c r="B21" s="1244" t="s">
        <v>1499</v>
      </c>
      <c r="C21" s="1245"/>
      <c r="D21" s="1246"/>
      <c r="E21" s="1247">
        <f>RESUMEN!Q210</f>
        <v>0</v>
      </c>
      <c r="F21" s="1248"/>
      <c r="G21" s="1177"/>
    </row>
    <row r="22" spans="1:7" x14ac:dyDescent="0.25">
      <c r="A22" s="1177"/>
      <c r="B22" s="1254" t="s">
        <v>64</v>
      </c>
      <c r="C22" s="1254"/>
      <c r="D22" s="1254"/>
      <c r="E22" s="1255">
        <f>RESUMEN!R210</f>
        <v>0</v>
      </c>
      <c r="F22" s="1255"/>
      <c r="G22" s="1177"/>
    </row>
    <row r="23" spans="1:7" x14ac:dyDescent="0.25">
      <c r="A23" s="1177"/>
      <c r="B23" s="1256" t="s">
        <v>66</v>
      </c>
      <c r="C23" s="1256"/>
      <c r="D23" s="1256"/>
      <c r="E23" s="1257">
        <f>RESUMEN!S210</f>
        <v>0</v>
      </c>
      <c r="F23" s="1257"/>
      <c r="G23" s="1177"/>
    </row>
    <row r="24" spans="1:7" x14ac:dyDescent="0.25">
      <c r="A24" s="1177"/>
      <c r="B24" s="1258" t="s">
        <v>1</v>
      </c>
      <c r="C24" s="1258"/>
      <c r="D24" s="1258"/>
      <c r="E24" s="1259">
        <f>RESUMEN!T210</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+'OT18-076 CHIA'!I26</f>
        <v>ACTA 1</v>
      </c>
      <c r="C28" s="1253">
        <f>+'OT18-076 CHIA'!J26</f>
        <v>0</v>
      </c>
      <c r="D28" s="1253"/>
      <c r="E28" s="267">
        <f>+'OT18-076 CHIA'!K26</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RESUMEN!V210</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0"/>
  <dimension ref="A1:N30"/>
  <sheetViews>
    <sheetView topLeftCell="C13" workbookViewId="0">
      <selection activeCell="F34" sqref="F34"/>
    </sheetView>
  </sheetViews>
  <sheetFormatPr baseColWidth="10" defaultRowHeight="14.4" x14ac:dyDescent="0.3"/>
  <cols>
    <col min="2" max="2" width="15.33203125" customWidth="1"/>
    <col min="3" max="4" width="23.6640625" customWidth="1"/>
    <col min="5" max="7" width="14.77734375" customWidth="1"/>
    <col min="8" max="8" width="34.77734375" customWidth="1"/>
  </cols>
  <sheetData>
    <row r="1" spans="1:14" x14ac:dyDescent="0.3">
      <c r="A1" s="169"/>
      <c r="B1" s="188"/>
      <c r="C1" s="1307" t="s">
        <v>40</v>
      </c>
      <c r="D1" s="1308"/>
      <c r="E1" s="1308"/>
      <c r="F1" s="1308"/>
      <c r="G1" s="1308"/>
      <c r="H1" s="1308"/>
      <c r="I1" s="1308"/>
      <c r="J1" s="1308"/>
      <c r="K1" s="1532" t="s">
        <v>2643</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2652</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2651</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53</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765</v>
      </c>
      <c r="B14" s="1514" t="s">
        <v>2653</v>
      </c>
      <c r="C14" s="1184" t="s">
        <v>59</v>
      </c>
      <c r="D14" s="1184" t="s">
        <v>60</v>
      </c>
      <c r="E14" s="1184">
        <v>0</v>
      </c>
      <c r="F14" s="646">
        <v>14016979</v>
      </c>
      <c r="G14" s="646">
        <f>ROUND((E14*F14),0)</f>
        <v>0</v>
      </c>
      <c r="H14" s="1514" t="s">
        <v>2654</v>
      </c>
      <c r="I14" s="799">
        <v>0</v>
      </c>
      <c r="J14" s="1132">
        <f>ROUND(I14*F14,0)</f>
        <v>0</v>
      </c>
      <c r="K14" s="1133">
        <v>0</v>
      </c>
      <c r="L14" s="1134">
        <f t="shared" ref="L14:M15" si="0">I14</f>
        <v>0</v>
      </c>
      <c r="M14" s="1124">
        <f t="shared" si="0"/>
        <v>0</v>
      </c>
      <c r="N14" s="1133">
        <v>0</v>
      </c>
    </row>
    <row r="15" spans="1:14" ht="43.2" x14ac:dyDescent="0.3">
      <c r="A15" s="1510"/>
      <c r="B15" s="1514"/>
      <c r="C15" s="1184" t="s">
        <v>61</v>
      </c>
      <c r="D15" s="1184" t="s">
        <v>62</v>
      </c>
      <c r="E15" s="1184">
        <v>4.4999999999999998E-2</v>
      </c>
      <c r="F15" s="646">
        <v>5306690</v>
      </c>
      <c r="G15" s="646">
        <f>ROUND((E15*F15),0)</f>
        <v>238801</v>
      </c>
      <c r="H15" s="1510"/>
      <c r="I15" s="799">
        <v>0</v>
      </c>
      <c r="J15" s="1132">
        <f t="shared" ref="J15" si="1">ROUND(I15*F15,0)</f>
        <v>0</v>
      </c>
      <c r="K15" s="1133">
        <f t="shared" ref="K15" si="2">J15/G15</f>
        <v>0</v>
      </c>
      <c r="L15" s="1134">
        <f t="shared" si="0"/>
        <v>0</v>
      </c>
      <c r="M15" s="1124">
        <f t="shared" si="0"/>
        <v>0</v>
      </c>
      <c r="N15" s="1133">
        <f t="shared" ref="N15" si="3">M15/G15</f>
        <v>0</v>
      </c>
    </row>
    <row r="16" spans="1:14" x14ac:dyDescent="0.3">
      <c r="A16" s="1510"/>
      <c r="B16" s="1514"/>
      <c r="C16" s="647"/>
      <c r="D16" s="647" t="s">
        <v>63</v>
      </c>
      <c r="E16" s="648"/>
      <c r="F16" s="648"/>
      <c r="G16" s="649">
        <f>SUM(G14:G15)</f>
        <v>238801</v>
      </c>
      <c r="H16" s="1510"/>
      <c r="I16" s="1108"/>
      <c r="J16" s="1146">
        <f>SUM(J14:J15)</f>
        <v>0</v>
      </c>
      <c r="K16" s="1136">
        <f>J16/G16</f>
        <v>0</v>
      </c>
      <c r="L16" s="1137"/>
      <c r="M16" s="1138">
        <f>J16</f>
        <v>0</v>
      </c>
      <c r="N16" s="1136">
        <f>M16/G16</f>
        <v>0</v>
      </c>
    </row>
    <row r="17" spans="6:14" x14ac:dyDescent="0.3">
      <c r="F17" s="836" t="s">
        <v>1740</v>
      </c>
      <c r="G17" s="650">
        <f>SUM(G8:G16)/2</f>
        <v>238801</v>
      </c>
      <c r="I17" s="547" t="s">
        <v>64</v>
      </c>
      <c r="J17" s="855">
        <f>SUM(J14:J16)/2</f>
        <v>0</v>
      </c>
      <c r="K17" s="1182"/>
      <c r="L17" s="547" t="s">
        <v>64</v>
      </c>
      <c r="M17" s="835">
        <f>SUM(M14:M16)/2</f>
        <v>0</v>
      </c>
      <c r="N17" s="1182"/>
    </row>
    <row r="18" spans="6:14" ht="26.4" x14ac:dyDescent="0.3">
      <c r="F18" s="1118">
        <v>0.03</v>
      </c>
      <c r="G18" s="1185">
        <v>0</v>
      </c>
      <c r="I18" s="548" t="s">
        <v>65</v>
      </c>
      <c r="J18" s="677">
        <v>0</v>
      </c>
      <c r="K18" s="1182"/>
      <c r="L18" s="548" t="s">
        <v>65</v>
      </c>
      <c r="M18" s="677">
        <v>0</v>
      </c>
      <c r="N18" s="1182"/>
    </row>
    <row r="19" spans="6:14" x14ac:dyDescent="0.3">
      <c r="F19" s="1119" t="s">
        <v>64</v>
      </c>
      <c r="G19" s="1151">
        <f>G17+G18</f>
        <v>238801</v>
      </c>
      <c r="I19" s="549" t="s">
        <v>64</v>
      </c>
      <c r="J19" s="481">
        <f>J17+J18</f>
        <v>0</v>
      </c>
      <c r="K19" s="1182"/>
      <c r="L19" s="549" t="s">
        <v>64</v>
      </c>
      <c r="M19" s="481">
        <f>M17+M18</f>
        <v>0</v>
      </c>
      <c r="N19" s="1182"/>
    </row>
    <row r="20" spans="6:14" ht="26.4" x14ac:dyDescent="0.3">
      <c r="F20" s="501" t="s">
        <v>1439</v>
      </c>
      <c r="G20" s="1116">
        <f>ROUND(G19*0.015,0)</f>
        <v>3582</v>
      </c>
      <c r="I20" s="501" t="s">
        <v>1439</v>
      </c>
      <c r="J20" s="481">
        <f>ROUND(J19*0.015,0)</f>
        <v>0</v>
      </c>
      <c r="K20" s="1182"/>
      <c r="L20" s="501" t="s">
        <v>1439</v>
      </c>
      <c r="M20" s="481">
        <f>ROUND(M19*0.015,0)</f>
        <v>0</v>
      </c>
      <c r="N20" s="1182"/>
    </row>
    <row r="21" spans="6:14" ht="39.6" x14ac:dyDescent="0.3">
      <c r="F21" s="96" t="s">
        <v>1440</v>
      </c>
      <c r="G21" s="1117">
        <f>G19+G20</f>
        <v>242383</v>
      </c>
      <c r="I21" s="96" t="s">
        <v>1440</v>
      </c>
      <c r="J21" s="783">
        <f>J19+J20</f>
        <v>0</v>
      </c>
      <c r="K21" s="856">
        <f>J21/G17</f>
        <v>0</v>
      </c>
      <c r="L21" s="96" t="s">
        <v>1440</v>
      </c>
      <c r="M21" s="425">
        <f>M19+M20</f>
        <v>0</v>
      </c>
      <c r="N21" s="857">
        <f>M21/G17</f>
        <v>0</v>
      </c>
    </row>
    <row r="22" spans="6:14" x14ac:dyDescent="0.3">
      <c r="F22" s="1122" t="s">
        <v>66</v>
      </c>
      <c r="G22" s="783">
        <f>G21*0.19</f>
        <v>46052.770000000004</v>
      </c>
      <c r="I22" s="551" t="s">
        <v>66</v>
      </c>
      <c r="J22" s="672">
        <f>J21*0.19</f>
        <v>0</v>
      </c>
      <c r="K22" s="1182"/>
      <c r="L22" s="551" t="s">
        <v>66</v>
      </c>
      <c r="M22" s="672">
        <f>M21*0.19</f>
        <v>0</v>
      </c>
      <c r="N22" s="1182"/>
    </row>
    <row r="23" spans="6:14" x14ac:dyDescent="0.3">
      <c r="F23" s="1123" t="s">
        <v>69</v>
      </c>
      <c r="G23" s="672">
        <f>G21+G22</f>
        <v>288435.77</v>
      </c>
      <c r="I23" s="552" t="s">
        <v>69</v>
      </c>
      <c r="J23" s="672">
        <f>J21+J22</f>
        <v>0</v>
      </c>
      <c r="K23" s="1182"/>
      <c r="L23" s="552" t="s">
        <v>69</v>
      </c>
      <c r="M23" s="672">
        <f>M21+M22</f>
        <v>0</v>
      </c>
      <c r="N23" s="1182"/>
    </row>
    <row r="24" spans="6:14" x14ac:dyDescent="0.3">
      <c r="F24" s="1182"/>
      <c r="G24" s="1182"/>
      <c r="I24" s="1182"/>
      <c r="J24" s="1182"/>
      <c r="K24" s="1182"/>
      <c r="L24" s="1182"/>
      <c r="M24" s="1182"/>
      <c r="N24" s="1182"/>
    </row>
    <row r="25" spans="6:14" ht="26.4" x14ac:dyDescent="0.3">
      <c r="I25" s="186" t="s">
        <v>70</v>
      </c>
      <c r="J25" s="187" t="s">
        <v>71</v>
      </c>
      <c r="K25" s="186" t="s">
        <v>58</v>
      </c>
      <c r="L25" s="1182"/>
      <c r="M25" s="1182"/>
      <c r="N25" s="1182"/>
    </row>
    <row r="26" spans="6:14" x14ac:dyDescent="0.3">
      <c r="I26" s="69" t="s">
        <v>72</v>
      </c>
      <c r="J26" s="70">
        <f>J21</f>
        <v>0</v>
      </c>
      <c r="K26" s="360">
        <f>K21</f>
        <v>0</v>
      </c>
      <c r="L26" s="1182"/>
      <c r="M26" s="1182"/>
      <c r="N26" s="1182"/>
    </row>
    <row r="27" spans="6:14" x14ac:dyDescent="0.3">
      <c r="I27" s="72" t="s">
        <v>1</v>
      </c>
      <c r="J27" s="105">
        <f>J26</f>
        <v>0</v>
      </c>
      <c r="K27" s="361">
        <f>K26</f>
        <v>0</v>
      </c>
      <c r="L27" s="1182"/>
      <c r="M27" s="1182"/>
      <c r="N27" s="1182"/>
    </row>
    <row r="28" spans="6:14" x14ac:dyDescent="0.3">
      <c r="I28" s="72" t="s">
        <v>9</v>
      </c>
      <c r="J28" s="1423"/>
      <c r="K28" s="1424"/>
      <c r="L28" s="1182"/>
      <c r="M28" s="1182"/>
      <c r="N28" s="1182"/>
    </row>
    <row r="29" spans="6:14" x14ac:dyDescent="0.3">
      <c r="I29" s="440" t="s">
        <v>78</v>
      </c>
      <c r="J29" s="1423" t="s">
        <v>2220</v>
      </c>
      <c r="K29" s="1424"/>
      <c r="L29" s="1182"/>
      <c r="M29" s="1182"/>
      <c r="N29" s="1182"/>
    </row>
    <row r="30" spans="6:14" x14ac:dyDescent="0.3">
      <c r="I30" s="439" t="s">
        <v>8</v>
      </c>
      <c r="J30" s="1425" t="s">
        <v>2221</v>
      </c>
      <c r="K30" s="1426"/>
      <c r="L30" s="1182"/>
      <c r="M30" s="1182"/>
      <c r="N30" s="1182"/>
    </row>
  </sheetData>
  <mergeCells count="21">
    <mergeCell ref="A5:M5"/>
    <mergeCell ref="C1:J2"/>
    <mergeCell ref="K1:N1"/>
    <mergeCell ref="K2:N2"/>
    <mergeCell ref="A3:M3"/>
    <mergeCell ref="A4:M4"/>
    <mergeCell ref="J30:K30"/>
    <mergeCell ref="A6:M6"/>
    <mergeCell ref="A7:M7"/>
    <mergeCell ref="A8:M8"/>
    <mergeCell ref="A9:M9"/>
    <mergeCell ref="A10:M10"/>
    <mergeCell ref="B11:F11"/>
    <mergeCell ref="I11:K12"/>
    <mergeCell ref="L11:N12"/>
    <mergeCell ref="B12:F12"/>
    <mergeCell ref="A14:A16"/>
    <mergeCell ref="B14:B16"/>
    <mergeCell ref="H14:H16"/>
    <mergeCell ref="J28:K28"/>
    <mergeCell ref="J29:K29"/>
  </mergeCells>
  <pageMargins left="0.7" right="0.7" top="0.75" bottom="0.75" header="0.3" footer="0.3"/>
  <drawing r:id="rId1"/>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1"/>
  <dimension ref="A1:G49"/>
  <sheetViews>
    <sheetView topLeftCell="A4" workbookViewId="0">
      <selection activeCell="H21" sqref="H21"/>
    </sheetView>
  </sheetViews>
  <sheetFormatPr baseColWidth="10" defaultColWidth="11.44140625" defaultRowHeight="13.8" x14ac:dyDescent="0.25"/>
  <cols>
    <col min="1" max="1" width="24" style="279" customWidth="1"/>
    <col min="2" max="3" width="11.44140625" style="279"/>
    <col min="4" max="4" width="5.6640625" style="279" customWidth="1"/>
    <col min="5" max="6" width="11.44140625" style="279"/>
    <col min="7" max="7" width="23.6640625" style="279" customWidth="1"/>
    <col min="8" max="16384" width="11.44140625" style="279"/>
  </cols>
  <sheetData>
    <row r="1" spans="1:7" x14ac:dyDescent="0.25">
      <c r="A1" s="1268"/>
      <c r="B1" s="1271" t="s">
        <v>623</v>
      </c>
      <c r="C1" s="1272"/>
      <c r="D1" s="1272"/>
      <c r="E1" s="1272"/>
      <c r="F1" s="1273"/>
      <c r="G1" s="262" t="s">
        <v>1526</v>
      </c>
    </row>
    <row r="2" spans="1:7" x14ac:dyDescent="0.25">
      <c r="A2" s="1269"/>
      <c r="B2" s="1274"/>
      <c r="C2" s="1275"/>
      <c r="D2" s="1275"/>
      <c r="E2" s="1275"/>
      <c r="F2" s="1276"/>
      <c r="G2" s="285" t="s">
        <v>625</v>
      </c>
    </row>
    <row r="3" spans="1:7" ht="15" customHeight="1" x14ac:dyDescent="0.25">
      <c r="A3" s="1270"/>
      <c r="B3" s="1277"/>
      <c r="C3" s="1278"/>
      <c r="D3" s="1278"/>
      <c r="E3" s="1278"/>
      <c r="F3" s="1279"/>
      <c r="G3" s="261">
        <v>42934</v>
      </c>
    </row>
    <row r="4" spans="1:7" x14ac:dyDescent="0.25">
      <c r="A4" s="1177"/>
      <c r="B4" s="1177"/>
      <c r="C4" s="1177"/>
      <c r="D4" s="1177"/>
      <c r="E4" s="1177"/>
      <c r="F4" s="1177"/>
      <c r="G4" s="1177"/>
    </row>
    <row r="5" spans="1:7" ht="42" customHeight="1" x14ac:dyDescent="0.25">
      <c r="A5" s="280" t="s">
        <v>626</v>
      </c>
      <c r="B5" s="1280" t="str">
        <f>RESUMEN!G211</f>
        <v>Proyecto: CDIM_CAOLIG_R0078 - RES. CREG 038-14 CÓDIGO DE MEDIDA.</v>
      </c>
      <c r="C5" s="1281"/>
      <c r="D5" s="1281"/>
      <c r="E5" s="1281"/>
      <c r="F5" s="1281"/>
      <c r="G5" s="1282"/>
    </row>
    <row r="6" spans="1:7" x14ac:dyDescent="0.25">
      <c r="A6" s="1177"/>
      <c r="B6" s="1177"/>
      <c r="C6" s="1177"/>
      <c r="D6" s="1177"/>
      <c r="E6" s="1177"/>
      <c r="F6" s="1177"/>
      <c r="G6" s="1177"/>
    </row>
    <row r="7" spans="1:7" x14ac:dyDescent="0.25">
      <c r="A7" s="271" t="s">
        <v>0</v>
      </c>
      <c r="B7" s="1264" t="str">
        <f>RESUMEN!B211</f>
        <v>D00249389</v>
      </c>
      <c r="C7" s="1265"/>
      <c r="D7" s="1177"/>
      <c r="E7" s="1266" t="s">
        <v>627</v>
      </c>
      <c r="F7" s="1267"/>
      <c r="G7" s="280" t="str">
        <f>RESUMEN!E211</f>
        <v xml:space="preserve">18-077 </v>
      </c>
    </row>
    <row r="8" spans="1:7" x14ac:dyDescent="0.25">
      <c r="A8" s="271" t="s">
        <v>628</v>
      </c>
      <c r="B8" s="1264" t="str">
        <f>RESUMEN!C211</f>
        <v>D00249389000</v>
      </c>
      <c r="C8" s="1265"/>
      <c r="D8" s="1177"/>
      <c r="E8" s="1266" t="s">
        <v>629</v>
      </c>
      <c r="F8" s="1267"/>
      <c r="G8" s="280" t="str">
        <f>RESUMEN!U211</f>
        <v>Acta N° 1: Marzo</v>
      </c>
    </row>
    <row r="9" spans="1:7" x14ac:dyDescent="0.25">
      <c r="A9" s="271" t="s">
        <v>630</v>
      </c>
      <c r="B9" s="1283" t="s">
        <v>631</v>
      </c>
      <c r="C9" s="1265"/>
      <c r="D9" s="1177"/>
      <c r="E9" s="1266" t="s">
        <v>632</v>
      </c>
      <c r="F9" s="1267"/>
      <c r="G9" s="1178">
        <f>RESUMEN!H211</f>
        <v>3032865</v>
      </c>
    </row>
    <row r="10" spans="1:7" x14ac:dyDescent="0.25">
      <c r="A10" s="271" t="s">
        <v>633</v>
      </c>
      <c r="B10" s="1283" t="str">
        <f>RESUMEN!D211</f>
        <v>CONCORDIA</v>
      </c>
      <c r="C10" s="1265"/>
      <c r="D10" s="1177"/>
      <c r="E10" s="1266" t="s">
        <v>634</v>
      </c>
      <c r="F10" s="1267"/>
      <c r="G10" s="1178">
        <f>RESUMEN!R211</f>
        <v>0</v>
      </c>
    </row>
    <row r="11" spans="1:7" x14ac:dyDescent="0.25">
      <c r="A11" s="1177"/>
      <c r="B11" s="1177"/>
      <c r="C11" s="1177"/>
      <c r="D11" s="1177"/>
      <c r="E11" s="1177"/>
      <c r="F11" s="1177"/>
      <c r="G11" s="1177"/>
    </row>
    <row r="12" spans="1:7" ht="76.5" customHeight="1" x14ac:dyDescent="0.25">
      <c r="A12" s="1284" t="str">
        <f>CONCATENATE("A los 14 días del mes de Marzo se reunieron en las instalaciones"," de CODENSA S.A. E.S.P., los ingenieros ", RESUMEN!V211,"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",RESUMEN!G211)</f>
        <v>A los 14 días del mes de Marzo se reunieron en las instalaciones de CODENSA S.A. E.S.P., los ingenieros   por parte de CODENSA S.A. E.S.P. de la Unidad Operativa de Gestión y control AT, e Ing. Armando Ciendúa por parte de AC ENERGY, como firma contratista de CODENSA S.A. E.S.P, con el objeto de realizar la medición parcial de avance de la orden de trabajo para el período comprendido entre el 6 de Febrero y el 5 de Marzo de 2018 para el Proyecto: CDIM_CAOLIG_R0078 - RES. CREG 038-14 CÓDIGO DE MEDIDA.</v>
      </c>
      <c r="B12" s="1284"/>
      <c r="C12" s="1284"/>
      <c r="D12" s="1284"/>
      <c r="E12" s="1284"/>
      <c r="F12" s="1284"/>
      <c r="G12" s="1284"/>
    </row>
    <row r="13" spans="1:7" x14ac:dyDescent="0.25">
      <c r="A13" s="1177"/>
      <c r="B13" s="1177"/>
      <c r="C13" s="1177"/>
      <c r="D13" s="1177"/>
      <c r="E13" s="1177"/>
      <c r="F13" s="1177"/>
      <c r="G13" s="1177"/>
    </row>
    <row r="14" spans="1:7" ht="30" customHeight="1" x14ac:dyDescent="0.25">
      <c r="A14" s="1261" t="s">
        <v>2315</v>
      </c>
      <c r="B14" s="1261"/>
      <c r="C14" s="1261"/>
      <c r="D14" s="1261"/>
      <c r="E14" s="1261"/>
      <c r="F14" s="1261"/>
      <c r="G14" s="1261"/>
    </row>
    <row r="15" spans="1:7" x14ac:dyDescent="0.25">
      <c r="A15" s="1177"/>
      <c r="B15" s="1177"/>
      <c r="C15" s="1177"/>
      <c r="D15" s="1177"/>
      <c r="E15" s="1177"/>
      <c r="F15" s="1177"/>
      <c r="G15" s="1177"/>
    </row>
    <row r="16" spans="1:7" x14ac:dyDescent="0.25">
      <c r="A16" s="1261" t="s">
        <v>635</v>
      </c>
      <c r="B16" s="1261"/>
      <c r="C16" s="1261"/>
      <c r="D16" s="1261"/>
      <c r="E16" s="1261"/>
      <c r="F16" s="1261"/>
      <c r="G16" s="1261"/>
    </row>
    <row r="17" spans="1:7" x14ac:dyDescent="0.25">
      <c r="A17" s="1177"/>
      <c r="B17" s="1177"/>
      <c r="C17" s="1177"/>
      <c r="D17" s="1177"/>
      <c r="E17" s="1177"/>
      <c r="F17" s="1177"/>
      <c r="G17" s="1177"/>
    </row>
    <row r="18" spans="1:7" x14ac:dyDescent="0.25">
      <c r="A18" s="1177"/>
      <c r="B18" s="1262" t="s">
        <v>636</v>
      </c>
      <c r="C18" s="1262"/>
      <c r="D18" s="1262"/>
      <c r="E18" s="1262" t="s">
        <v>31</v>
      </c>
      <c r="F18" s="1262"/>
      <c r="G18" s="1177"/>
    </row>
    <row r="19" spans="1:7" x14ac:dyDescent="0.25">
      <c r="A19" s="1177"/>
      <c r="B19" s="1263" t="s">
        <v>637</v>
      </c>
      <c r="C19" s="1263"/>
      <c r="D19" s="1263"/>
      <c r="E19" s="1247">
        <f>RESUMEN!N211</f>
        <v>0</v>
      </c>
      <c r="F19" s="1248"/>
      <c r="G19" s="1177"/>
    </row>
    <row r="20" spans="1:7" ht="27" customHeight="1" x14ac:dyDescent="0.25">
      <c r="A20" s="1177"/>
      <c r="B20" s="1244" t="s">
        <v>1498</v>
      </c>
      <c r="C20" s="1245"/>
      <c r="D20" s="1246"/>
      <c r="E20" s="1247">
        <f>RESUMEN!P211</f>
        <v>0</v>
      </c>
      <c r="F20" s="1248"/>
      <c r="G20" s="1177"/>
    </row>
    <row r="21" spans="1:7" ht="27" customHeight="1" x14ac:dyDescent="0.25">
      <c r="A21" s="1177"/>
      <c r="B21" s="1244" t="s">
        <v>1499</v>
      </c>
      <c r="C21" s="1245"/>
      <c r="D21" s="1246"/>
      <c r="E21" s="1247">
        <f>RESUMEN!Q211</f>
        <v>0</v>
      </c>
      <c r="F21" s="1248"/>
      <c r="G21" s="1177"/>
    </row>
    <row r="22" spans="1:7" x14ac:dyDescent="0.25">
      <c r="A22" s="1177"/>
      <c r="B22" s="1254" t="s">
        <v>64</v>
      </c>
      <c r="C22" s="1254"/>
      <c r="D22" s="1254"/>
      <c r="E22" s="1255">
        <f>RESUMEN!R211</f>
        <v>0</v>
      </c>
      <c r="F22" s="1255"/>
      <c r="G22" s="1177"/>
    </row>
    <row r="23" spans="1:7" x14ac:dyDescent="0.25">
      <c r="A23" s="1177"/>
      <c r="B23" s="1256" t="s">
        <v>66</v>
      </c>
      <c r="C23" s="1256"/>
      <c r="D23" s="1256"/>
      <c r="E23" s="1257">
        <f>RESUMEN!S211</f>
        <v>0</v>
      </c>
      <c r="F23" s="1257"/>
      <c r="G23" s="1177"/>
    </row>
    <row r="24" spans="1:7" x14ac:dyDescent="0.25">
      <c r="A24" s="1177"/>
      <c r="B24" s="1258" t="s">
        <v>1</v>
      </c>
      <c r="C24" s="1258"/>
      <c r="D24" s="1258"/>
      <c r="E24" s="1259">
        <f>RESUMEN!T211</f>
        <v>0</v>
      </c>
      <c r="F24" s="1259"/>
      <c r="G24" s="1177"/>
    </row>
    <row r="25" spans="1:7" x14ac:dyDescent="0.25">
      <c r="A25" s="1177"/>
      <c r="B25" s="1177"/>
      <c r="C25" s="1177"/>
      <c r="D25" s="1177"/>
      <c r="E25" s="1177"/>
      <c r="F25" s="1177"/>
      <c r="G25" s="1177"/>
    </row>
    <row r="26" spans="1:7" x14ac:dyDescent="0.25">
      <c r="A26" s="260" t="s">
        <v>638</v>
      </c>
      <c r="B26" s="260"/>
      <c r="C26" s="1177"/>
      <c r="D26" s="1177"/>
      <c r="E26" s="1177"/>
      <c r="F26" s="1177"/>
      <c r="G26" s="1177"/>
    </row>
    <row r="27" spans="1:7" x14ac:dyDescent="0.25">
      <c r="A27" s="1177"/>
      <c r="B27" s="1179" t="s">
        <v>639</v>
      </c>
      <c r="C27" s="1260" t="s">
        <v>640</v>
      </c>
      <c r="D27" s="1260"/>
      <c r="E27" s="1179" t="s">
        <v>641</v>
      </c>
      <c r="F27" s="1177"/>
      <c r="G27" s="1177"/>
    </row>
    <row r="28" spans="1:7" x14ac:dyDescent="0.25">
      <c r="A28" s="1177"/>
      <c r="B28" s="280" t="str">
        <f>+'OT18-077 CONCORDIA'!I41</f>
        <v>ACTA 1</v>
      </c>
      <c r="C28" s="1253">
        <f>+'OT18-077 CONCORDIA'!J41</f>
        <v>0</v>
      </c>
      <c r="D28" s="1253"/>
      <c r="E28" s="267">
        <f>+'OT18-077 CONCORDIA'!K41</f>
        <v>0</v>
      </c>
      <c r="F28" s="1177"/>
      <c r="G28" s="1177"/>
    </row>
    <row r="29" spans="1:7" x14ac:dyDescent="0.25">
      <c r="A29" s="1177"/>
      <c r="B29" s="280"/>
      <c r="C29" s="1253"/>
      <c r="D29" s="1253"/>
      <c r="E29" s="267"/>
      <c r="F29" s="1177"/>
      <c r="G29" s="1177"/>
    </row>
    <row r="30" spans="1:7" x14ac:dyDescent="0.25">
      <c r="A30" s="1177"/>
      <c r="B30" s="280"/>
      <c r="C30" s="1253"/>
      <c r="D30" s="1253"/>
      <c r="E30" s="267"/>
      <c r="F30" s="1177"/>
      <c r="G30" s="1177"/>
    </row>
    <row r="31" spans="1:7" x14ac:dyDescent="0.25">
      <c r="A31" s="1177"/>
      <c r="B31" s="280"/>
      <c r="C31" s="1253"/>
      <c r="D31" s="1253"/>
      <c r="E31" s="267"/>
      <c r="F31" s="1177"/>
      <c r="G31" s="1177"/>
    </row>
    <row r="32" spans="1:7" x14ac:dyDescent="0.25">
      <c r="A32" s="1177"/>
      <c r="B32" s="280"/>
      <c r="C32" s="1253"/>
      <c r="D32" s="1253"/>
      <c r="E32" s="267"/>
      <c r="F32" s="1177"/>
      <c r="G32" s="1177"/>
    </row>
    <row r="33" spans="1:7" x14ac:dyDescent="0.25">
      <c r="A33" s="1177"/>
      <c r="B33" s="280"/>
      <c r="C33" s="1253"/>
      <c r="D33" s="1253"/>
      <c r="E33" s="267"/>
      <c r="F33" s="1177"/>
      <c r="G33" s="1177"/>
    </row>
    <row r="34" spans="1:7" x14ac:dyDescent="0.25">
      <c r="A34" s="1177"/>
      <c r="B34" s="263" t="s">
        <v>1</v>
      </c>
      <c r="C34" s="1251">
        <f>SUM(C28:D33)</f>
        <v>0</v>
      </c>
      <c r="D34" s="1251"/>
      <c r="E34" s="264">
        <f>SUM(E28:E33)</f>
        <v>0</v>
      </c>
      <c r="F34" s="1177"/>
      <c r="G34" s="1177"/>
    </row>
    <row r="35" spans="1:7" x14ac:dyDescent="0.25">
      <c r="A35" s="1177"/>
      <c r="B35" s="1177"/>
      <c r="C35" s="1177"/>
      <c r="D35" s="1177"/>
      <c r="E35" s="1177"/>
      <c r="F35" s="1177"/>
      <c r="G35" s="260"/>
    </row>
    <row r="36" spans="1:7" x14ac:dyDescent="0.25">
      <c r="A36" s="1252" t="s">
        <v>2872</v>
      </c>
      <c r="B36" s="1252"/>
      <c r="C36" s="1252"/>
      <c r="D36" s="1252"/>
      <c r="E36" s="1252"/>
      <c r="F36" s="1252"/>
      <c r="G36" s="1252"/>
    </row>
    <row r="37" spans="1:7" x14ac:dyDescent="0.25">
      <c r="A37" s="1177"/>
      <c r="B37" s="1177"/>
      <c r="C37" s="1177"/>
      <c r="D37" s="1177"/>
      <c r="E37" s="1177"/>
      <c r="F37" s="1177"/>
      <c r="G37" s="1177"/>
    </row>
    <row r="38" spans="1:7" x14ac:dyDescent="0.25">
      <c r="A38" s="1177"/>
      <c r="B38" s="1177"/>
      <c r="C38" s="1177"/>
      <c r="D38" s="1177"/>
      <c r="E38" s="1177"/>
      <c r="F38" s="1177"/>
      <c r="G38" s="1177"/>
    </row>
    <row r="39" spans="1:7" x14ac:dyDescent="0.25">
      <c r="A39" s="266"/>
      <c r="B39" s="266"/>
      <c r="C39" s="266"/>
      <c r="D39" s="1177"/>
      <c r="E39" s="266"/>
      <c r="F39" s="266"/>
      <c r="G39" s="266"/>
    </row>
    <row r="40" spans="1:7" x14ac:dyDescent="0.25">
      <c r="A40" s="1250">
        <f>RESUMEN!V211</f>
        <v>0</v>
      </c>
      <c r="B40" s="1250"/>
      <c r="C40" s="1250"/>
      <c r="D40" s="1177"/>
      <c r="E40" s="1250" t="s">
        <v>642</v>
      </c>
      <c r="F40" s="1250"/>
      <c r="G40" s="1250"/>
    </row>
    <row r="41" spans="1:7" x14ac:dyDescent="0.25">
      <c r="A41" s="1249" t="s">
        <v>643</v>
      </c>
      <c r="B41" s="1249"/>
      <c r="C41" s="1249"/>
      <c r="D41" s="1177"/>
      <c r="E41" s="1249" t="s">
        <v>644</v>
      </c>
      <c r="F41" s="1249"/>
      <c r="G41" s="1249"/>
    </row>
    <row r="42" spans="1:7" x14ac:dyDescent="0.25">
      <c r="A42" s="1249" t="s">
        <v>645</v>
      </c>
      <c r="B42" s="1249"/>
      <c r="C42" s="1249"/>
      <c r="D42" s="1177"/>
      <c r="E42" s="1249" t="s">
        <v>645</v>
      </c>
      <c r="F42" s="1249"/>
      <c r="G42" s="1249"/>
    </row>
    <row r="43" spans="1:7" x14ac:dyDescent="0.25">
      <c r="A43" s="1177"/>
      <c r="B43" s="1177"/>
      <c r="C43" s="1177"/>
      <c r="D43" s="1177"/>
      <c r="E43" s="1177"/>
      <c r="F43" s="1177"/>
      <c r="G43" s="1177"/>
    </row>
    <row r="44" spans="1:7" x14ac:dyDescent="0.25">
      <c r="A44" s="1177"/>
      <c r="B44" s="1177"/>
      <c r="C44" s="1177"/>
      <c r="D44" s="1177"/>
      <c r="E44" s="1177"/>
      <c r="F44" s="1177"/>
      <c r="G44" s="1177"/>
    </row>
    <row r="45" spans="1:7" x14ac:dyDescent="0.25">
      <c r="A45" s="1177"/>
      <c r="B45" s="1177"/>
      <c r="C45" s="1177"/>
      <c r="D45" s="1177"/>
      <c r="E45" s="1177"/>
      <c r="F45" s="1177"/>
      <c r="G45" s="1177"/>
    </row>
    <row r="46" spans="1:7" x14ac:dyDescent="0.25">
      <c r="A46" s="266"/>
      <c r="B46" s="266"/>
      <c r="C46" s="266"/>
      <c r="D46" s="1177"/>
      <c r="E46" s="266"/>
      <c r="F46" s="266"/>
      <c r="G46" s="266"/>
    </row>
    <row r="47" spans="1:7" x14ac:dyDescent="0.25">
      <c r="A47" s="1250" t="s">
        <v>646</v>
      </c>
      <c r="B47" s="1250"/>
      <c r="C47" s="1250"/>
      <c r="D47" s="1177"/>
      <c r="E47" s="1250" t="s">
        <v>647</v>
      </c>
      <c r="F47" s="1250"/>
      <c r="G47" s="1250"/>
    </row>
    <row r="48" spans="1:7" x14ac:dyDescent="0.25">
      <c r="A48" s="1249" t="s">
        <v>648</v>
      </c>
      <c r="B48" s="1249"/>
      <c r="C48" s="1249"/>
      <c r="D48" s="1177"/>
      <c r="E48" s="1249" t="s">
        <v>763</v>
      </c>
      <c r="F48" s="1249"/>
      <c r="G48" s="1249"/>
    </row>
    <row r="49" spans="1:7" x14ac:dyDescent="0.25">
      <c r="A49" s="1249" t="s">
        <v>645</v>
      </c>
      <c r="B49" s="1249"/>
      <c r="C49" s="1249"/>
      <c r="D49" s="1177"/>
      <c r="E49" s="1249" t="s">
        <v>764</v>
      </c>
      <c r="F49" s="1249"/>
      <c r="G49" s="1249"/>
    </row>
  </sheetData>
  <mergeCells count="49">
    <mergeCell ref="B8:C8"/>
    <mergeCell ref="E8:F8"/>
    <mergeCell ref="A1:A3"/>
    <mergeCell ref="B1:F3"/>
    <mergeCell ref="B5:G5"/>
    <mergeCell ref="B7:C7"/>
    <mergeCell ref="E7:F7"/>
    <mergeCell ref="B20:D20"/>
    <mergeCell ref="E20:F20"/>
    <mergeCell ref="B9:C9"/>
    <mergeCell ref="E9:F9"/>
    <mergeCell ref="B10:C10"/>
    <mergeCell ref="E10:F10"/>
    <mergeCell ref="A12:G12"/>
    <mergeCell ref="A14:G14"/>
    <mergeCell ref="A16:G16"/>
    <mergeCell ref="B18:D18"/>
    <mergeCell ref="E18:F18"/>
    <mergeCell ref="B19:D19"/>
    <mergeCell ref="E19:F19"/>
    <mergeCell ref="B21:D21"/>
    <mergeCell ref="E21:F21"/>
    <mergeCell ref="B22:D22"/>
    <mergeCell ref="E22:F22"/>
    <mergeCell ref="B23:D23"/>
    <mergeCell ref="E23:F23"/>
    <mergeCell ref="A40:C40"/>
    <mergeCell ref="E40:G40"/>
    <mergeCell ref="B24:D24"/>
    <mergeCell ref="E24:F24"/>
    <mergeCell ref="C27:D27"/>
    <mergeCell ref="C28:D28"/>
    <mergeCell ref="C29:D29"/>
    <mergeCell ref="C30:D30"/>
    <mergeCell ref="C31:D31"/>
    <mergeCell ref="C32:D32"/>
    <mergeCell ref="C33:D33"/>
    <mergeCell ref="C34:D34"/>
    <mergeCell ref="A36:G36"/>
    <mergeCell ref="A48:C48"/>
    <mergeCell ref="E48:G48"/>
    <mergeCell ref="A49:C49"/>
    <mergeCell ref="E49:G49"/>
    <mergeCell ref="A41:C41"/>
    <mergeCell ref="E41:G41"/>
    <mergeCell ref="A42:C42"/>
    <mergeCell ref="E42:G42"/>
    <mergeCell ref="A47:C47"/>
    <mergeCell ref="E47:G47"/>
  </mergeCells>
  <pageMargins left="0.7" right="0.7" top="0.75" bottom="0.75" header="0.3" footer="0.3"/>
  <drawing r:id="rId1"/>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2"/>
  <dimension ref="A1:O48"/>
  <sheetViews>
    <sheetView topLeftCell="B17" workbookViewId="0">
      <selection activeCell="F48" sqref="F48"/>
    </sheetView>
  </sheetViews>
  <sheetFormatPr baseColWidth="10" defaultRowHeight="14.4" x14ac:dyDescent="0.3"/>
  <cols>
    <col min="2" max="2" width="18.44140625" customWidth="1"/>
    <col min="3" max="4" width="23.77734375" customWidth="1"/>
    <col min="8" max="8" width="34.77734375" customWidth="1"/>
  </cols>
  <sheetData>
    <row r="1" spans="1:14" x14ac:dyDescent="0.3">
      <c r="A1" s="169"/>
      <c r="B1" s="188"/>
      <c r="C1" s="1307" t="s">
        <v>40</v>
      </c>
      <c r="D1" s="1308"/>
      <c r="E1" s="1308"/>
      <c r="F1" s="1308"/>
      <c r="G1" s="1308"/>
      <c r="H1" s="1308"/>
      <c r="I1" s="1308"/>
      <c r="J1" s="1308"/>
      <c r="K1" s="1532" t="s">
        <v>2137</v>
      </c>
      <c r="L1" s="1532"/>
      <c r="M1" s="1532"/>
      <c r="N1" s="1532"/>
    </row>
    <row r="2" spans="1:14" ht="15" thickBot="1" x14ac:dyDescent="0.35">
      <c r="A2" s="170"/>
      <c r="B2" s="190"/>
      <c r="C2" s="1310"/>
      <c r="D2" s="1311"/>
      <c r="E2" s="1311"/>
      <c r="F2" s="1311"/>
      <c r="G2" s="1311"/>
      <c r="H2" s="1311"/>
      <c r="I2" s="1311"/>
      <c r="J2" s="1311"/>
      <c r="K2" s="1459" t="s">
        <v>41</v>
      </c>
      <c r="L2" s="1459"/>
      <c r="M2" s="1459"/>
      <c r="N2" s="1459"/>
    </row>
    <row r="3" spans="1:14" x14ac:dyDescent="0.3">
      <c r="A3" s="1292" t="s">
        <v>42</v>
      </c>
      <c r="B3" s="1292"/>
      <c r="C3" s="1292"/>
      <c r="D3" s="1292"/>
      <c r="E3" s="1292"/>
      <c r="F3" s="1292"/>
      <c r="G3" s="1292"/>
      <c r="H3" s="1292"/>
      <c r="I3" s="1292"/>
      <c r="J3" s="1292"/>
      <c r="K3" s="1292"/>
      <c r="L3" s="1292"/>
      <c r="M3" s="1292"/>
      <c r="N3" s="831"/>
    </row>
    <row r="4" spans="1:14" x14ac:dyDescent="0.3">
      <c r="A4" s="1292" t="s">
        <v>43</v>
      </c>
      <c r="B4" s="1292"/>
      <c r="C4" s="1292"/>
      <c r="D4" s="1292"/>
      <c r="E4" s="1292"/>
      <c r="F4" s="1292"/>
      <c r="G4" s="1292"/>
      <c r="H4" s="1292"/>
      <c r="I4" s="1292"/>
      <c r="J4" s="1292"/>
      <c r="K4" s="1292"/>
      <c r="L4" s="1292"/>
      <c r="M4" s="1292"/>
      <c r="N4" s="831"/>
    </row>
    <row r="5" spans="1:14" x14ac:dyDescent="0.3">
      <c r="A5" s="1292" t="s">
        <v>44</v>
      </c>
      <c r="B5" s="1292"/>
      <c r="C5" s="1292"/>
      <c r="D5" s="1292"/>
      <c r="E5" s="1292"/>
      <c r="F5" s="1292"/>
      <c r="G5" s="1292"/>
      <c r="H5" s="1292"/>
      <c r="I5" s="1292"/>
      <c r="J5" s="1292"/>
      <c r="K5" s="1292"/>
      <c r="L5" s="1292"/>
      <c r="M5" s="1292"/>
      <c r="N5" s="831"/>
    </row>
    <row r="6" spans="1:14" x14ac:dyDescent="0.3">
      <c r="A6" s="1292" t="s">
        <v>45</v>
      </c>
      <c r="B6" s="1292"/>
      <c r="C6" s="1292"/>
      <c r="D6" s="1292"/>
      <c r="E6" s="1292"/>
      <c r="F6" s="1292"/>
      <c r="G6" s="1292"/>
      <c r="H6" s="1292"/>
      <c r="I6" s="1292"/>
      <c r="J6" s="1292"/>
      <c r="K6" s="1292"/>
      <c r="L6" s="1292"/>
      <c r="M6" s="1292"/>
      <c r="N6" s="831"/>
    </row>
    <row r="7" spans="1:14" x14ac:dyDescent="0.3">
      <c r="A7" s="1291" t="s">
        <v>1745</v>
      </c>
      <c r="B7" s="1292"/>
      <c r="C7" s="1292"/>
      <c r="D7" s="1292"/>
      <c r="E7" s="1292"/>
      <c r="F7" s="1292"/>
      <c r="G7" s="1292"/>
      <c r="H7" s="1292"/>
      <c r="I7" s="1292"/>
      <c r="J7" s="1292"/>
      <c r="K7" s="1292"/>
      <c r="L7" s="1292"/>
      <c r="M7" s="1292"/>
      <c r="N7" s="831"/>
    </row>
    <row r="8" spans="1:14" x14ac:dyDescent="0.3">
      <c r="A8" s="1292" t="s">
        <v>2312</v>
      </c>
      <c r="B8" s="1292"/>
      <c r="C8" s="1292"/>
      <c r="D8" s="1292"/>
      <c r="E8" s="1292"/>
      <c r="F8" s="1292"/>
      <c r="G8" s="1292"/>
      <c r="H8" s="1292"/>
      <c r="I8" s="1292"/>
      <c r="J8" s="1292"/>
      <c r="K8" s="1292"/>
      <c r="L8" s="1292"/>
      <c r="M8" s="1292"/>
      <c r="N8" s="831"/>
    </row>
    <row r="9" spans="1:14" x14ac:dyDescent="0.3">
      <c r="A9" s="1292" t="s">
        <v>2305</v>
      </c>
      <c r="B9" s="1292"/>
      <c r="C9" s="1292"/>
      <c r="D9" s="1292"/>
      <c r="E9" s="1292"/>
      <c r="F9" s="1292"/>
      <c r="G9" s="1292"/>
      <c r="H9" s="1292"/>
      <c r="I9" s="1292"/>
      <c r="J9" s="1292"/>
      <c r="K9" s="1292"/>
      <c r="L9" s="1292"/>
      <c r="M9" s="1292"/>
      <c r="N9" s="831"/>
    </row>
    <row r="10" spans="1:14" x14ac:dyDescent="0.3">
      <c r="A10" s="1292" t="s">
        <v>2655</v>
      </c>
      <c r="B10" s="1292"/>
      <c r="C10" s="1292"/>
      <c r="D10" s="1292"/>
      <c r="E10" s="1292"/>
      <c r="F10" s="1292"/>
      <c r="G10" s="1292"/>
      <c r="H10" s="1292"/>
      <c r="I10" s="1292"/>
      <c r="J10" s="1292"/>
      <c r="K10" s="1292"/>
      <c r="L10" s="1292"/>
      <c r="M10" s="1292"/>
      <c r="N10" s="831"/>
    </row>
    <row r="11" spans="1:14" x14ac:dyDescent="0.3">
      <c r="A11" s="1181"/>
      <c r="B11" s="1301"/>
      <c r="C11" s="1313"/>
      <c r="D11" s="1313"/>
      <c r="E11" s="1313"/>
      <c r="F11" s="1313"/>
      <c r="G11" s="1182"/>
      <c r="H11" s="831"/>
      <c r="I11" s="1470" t="s">
        <v>2313</v>
      </c>
      <c r="J11" s="1471"/>
      <c r="K11" s="1472"/>
      <c r="L11" s="1299" t="s">
        <v>49</v>
      </c>
      <c r="M11" s="1299"/>
      <c r="N11" s="1299"/>
    </row>
    <row r="12" spans="1:14" x14ac:dyDescent="0.3">
      <c r="A12" s="171"/>
      <c r="B12" s="1301"/>
      <c r="C12" s="1302"/>
      <c r="D12" s="1302"/>
      <c r="E12" s="1302"/>
      <c r="F12" s="1302"/>
      <c r="G12" s="831"/>
      <c r="H12" s="831"/>
      <c r="I12" s="1523"/>
      <c r="J12" s="1524"/>
      <c r="K12" s="1525"/>
      <c r="L12" s="1300"/>
      <c r="M12" s="1300"/>
      <c r="N12" s="1300"/>
    </row>
    <row r="13" spans="1:14" ht="28.8" x14ac:dyDescent="0.3">
      <c r="A13" s="1147" t="s">
        <v>50</v>
      </c>
      <c r="B13" s="1147" t="s">
        <v>51</v>
      </c>
      <c r="C13" s="1147" t="s">
        <v>52</v>
      </c>
      <c r="D13" s="1147" t="s">
        <v>164</v>
      </c>
      <c r="E13" s="1148" t="s">
        <v>54</v>
      </c>
      <c r="F13" s="1149" t="s">
        <v>2007</v>
      </c>
      <c r="G13" s="1148" t="s">
        <v>56</v>
      </c>
      <c r="H13" s="1147" t="s">
        <v>57</v>
      </c>
      <c r="I13" s="502" t="s">
        <v>54</v>
      </c>
      <c r="J13" s="502" t="s">
        <v>56</v>
      </c>
      <c r="K13" s="502" t="s">
        <v>58</v>
      </c>
      <c r="L13" s="502" t="s">
        <v>54</v>
      </c>
      <c r="M13" s="502" t="s">
        <v>56</v>
      </c>
      <c r="N13" s="502" t="s">
        <v>58</v>
      </c>
    </row>
    <row r="14" spans="1:14" ht="43.2" x14ac:dyDescent="0.3">
      <c r="A14" s="1510" t="s">
        <v>1580</v>
      </c>
      <c r="B14" s="1510" t="s">
        <v>165</v>
      </c>
      <c r="C14" s="1184" t="s">
        <v>81</v>
      </c>
      <c r="D14" s="1184" t="s">
        <v>166</v>
      </c>
      <c r="E14" s="1184">
        <v>0</v>
      </c>
      <c r="F14" s="646">
        <v>1207729</v>
      </c>
      <c r="G14" s="646">
        <f>ROUND((E14*F14),0)</f>
        <v>0</v>
      </c>
      <c r="H14" s="1514" t="s">
        <v>2656</v>
      </c>
      <c r="I14" s="799">
        <v>0</v>
      </c>
      <c r="J14" s="1132">
        <f>ROUND(I14*F14,0)</f>
        <v>0</v>
      </c>
      <c r="K14" s="1133">
        <v>0</v>
      </c>
      <c r="L14" s="1134">
        <f t="shared" ref="L14:M16" si="0">I14</f>
        <v>0</v>
      </c>
      <c r="M14" s="1124">
        <f t="shared" si="0"/>
        <v>0</v>
      </c>
      <c r="N14" s="1133">
        <v>0</v>
      </c>
    </row>
    <row r="15" spans="1:14" ht="43.2" x14ac:dyDescent="0.3">
      <c r="A15" s="1510"/>
      <c r="B15" s="1510"/>
      <c r="C15" s="1184" t="s">
        <v>83</v>
      </c>
      <c r="D15" s="1184" t="s">
        <v>167</v>
      </c>
      <c r="E15" s="1184">
        <v>0</v>
      </c>
      <c r="F15" s="646">
        <v>2781437</v>
      </c>
      <c r="G15" s="646">
        <f>ROUND((E15*F15),0)</f>
        <v>0</v>
      </c>
      <c r="H15" s="1510"/>
      <c r="I15" s="799">
        <v>0</v>
      </c>
      <c r="J15" s="1132">
        <f t="shared" ref="J15:J16" si="1">ROUND(I15*F15,0)</f>
        <v>0</v>
      </c>
      <c r="K15" s="1133">
        <v>0</v>
      </c>
      <c r="L15" s="1134">
        <f t="shared" si="0"/>
        <v>0</v>
      </c>
      <c r="M15" s="1124">
        <f t="shared" si="0"/>
        <v>0</v>
      </c>
      <c r="N15" s="1133">
        <v>0</v>
      </c>
    </row>
    <row r="16" spans="1:14" ht="43.2" x14ac:dyDescent="0.3">
      <c r="A16" s="1510"/>
      <c r="B16" s="1510"/>
      <c r="C16" s="1184" t="s">
        <v>61</v>
      </c>
      <c r="D16" s="1184" t="s">
        <v>168</v>
      </c>
      <c r="E16" s="1184">
        <v>0.35</v>
      </c>
      <c r="F16" s="646">
        <v>2671643</v>
      </c>
      <c r="G16" s="646">
        <f>ROUND((E16*F16),0)</f>
        <v>935075</v>
      </c>
      <c r="H16" s="1510"/>
      <c r="I16" s="799">
        <v>0</v>
      </c>
      <c r="J16" s="1132">
        <f t="shared" si="1"/>
        <v>0</v>
      </c>
      <c r="K16" s="1133">
        <f>J16/G16</f>
        <v>0</v>
      </c>
      <c r="L16" s="1134">
        <f t="shared" si="0"/>
        <v>0</v>
      </c>
      <c r="M16" s="1124">
        <f t="shared" si="0"/>
        <v>0</v>
      </c>
      <c r="N16" s="1133">
        <f>M16/G16</f>
        <v>0</v>
      </c>
    </row>
    <row r="17" spans="1:15" x14ac:dyDescent="0.3">
      <c r="A17" s="1510"/>
      <c r="B17" s="1510"/>
      <c r="C17" s="647"/>
      <c r="D17" s="647" t="s">
        <v>169</v>
      </c>
      <c r="E17" s="648"/>
      <c r="F17" s="648"/>
      <c r="G17" s="649">
        <f>SUM(G14:G16)</f>
        <v>935075</v>
      </c>
      <c r="H17" s="1510"/>
      <c r="I17" s="1108"/>
      <c r="J17" s="1146">
        <f>SUM(J14:J16)</f>
        <v>0</v>
      </c>
      <c r="K17" s="1136">
        <f>J17/G17</f>
        <v>0</v>
      </c>
      <c r="L17" s="1137"/>
      <c r="M17" s="1138">
        <f>J17</f>
        <v>0</v>
      </c>
      <c r="N17" s="1136">
        <f t="shared" ref="N17" si="2">M17/G17</f>
        <v>0</v>
      </c>
    </row>
    <row r="18" spans="1:15" ht="43.2" x14ac:dyDescent="0.3">
      <c r="A18" s="1510" t="s">
        <v>151</v>
      </c>
      <c r="B18" s="1510" t="s">
        <v>217</v>
      </c>
      <c r="C18" s="1184" t="s">
        <v>81</v>
      </c>
      <c r="D18" s="1184" t="s">
        <v>218</v>
      </c>
      <c r="E18" s="1184">
        <v>0</v>
      </c>
      <c r="F18" s="646">
        <v>1207729</v>
      </c>
      <c r="G18" s="646">
        <f>ROUND((E18*F18),0)</f>
        <v>0</v>
      </c>
      <c r="H18" s="1514" t="s">
        <v>2657</v>
      </c>
      <c r="I18" s="799">
        <v>0</v>
      </c>
      <c r="J18" s="1132">
        <f>ROUND(I18*F18,0)</f>
        <v>0</v>
      </c>
      <c r="K18" s="1133">
        <v>0</v>
      </c>
      <c r="L18" s="1134">
        <f t="shared" ref="L18:L20" si="3">I18</f>
        <v>0</v>
      </c>
      <c r="M18" s="1124">
        <f t="shared" ref="M18:M20" si="4">J18</f>
        <v>0</v>
      </c>
      <c r="N18" s="1133">
        <v>0</v>
      </c>
    </row>
    <row r="19" spans="1:15" ht="43.2" x14ac:dyDescent="0.3">
      <c r="A19" s="1510"/>
      <c r="B19" s="1510"/>
      <c r="C19" s="1184" t="s">
        <v>83</v>
      </c>
      <c r="D19" s="1184" t="s">
        <v>219</v>
      </c>
      <c r="E19" s="1184">
        <v>0</v>
      </c>
      <c r="F19" s="646">
        <v>2781437</v>
      </c>
      <c r="G19" s="646">
        <f>ROUND((E19*F19),0)</f>
        <v>0</v>
      </c>
      <c r="H19" s="1510"/>
      <c r="I19" s="799">
        <v>0</v>
      </c>
      <c r="J19" s="1132">
        <f t="shared" ref="J19:J20" si="5">ROUND(I19*F19,0)</f>
        <v>0</v>
      </c>
      <c r="K19" s="1133">
        <v>0</v>
      </c>
      <c r="L19" s="1134">
        <f t="shared" si="3"/>
        <v>0</v>
      </c>
      <c r="M19" s="1124">
        <f t="shared" si="4"/>
        <v>0</v>
      </c>
      <c r="N19" s="1133">
        <v>0</v>
      </c>
    </row>
    <row r="20" spans="1:15" ht="43.2" x14ac:dyDescent="0.3">
      <c r="A20" s="1510"/>
      <c r="B20" s="1510"/>
      <c r="C20" s="1184" t="s">
        <v>61</v>
      </c>
      <c r="D20" s="1184" t="s">
        <v>220</v>
      </c>
      <c r="E20" s="1184">
        <v>0.28000000000000003</v>
      </c>
      <c r="F20" s="646">
        <v>3367003</v>
      </c>
      <c r="G20" s="646">
        <f>ROUND((E20*F20),0)</f>
        <v>942761</v>
      </c>
      <c r="H20" s="1510"/>
      <c r="I20" s="799">
        <v>0</v>
      </c>
      <c r="J20" s="1132">
        <f t="shared" si="5"/>
        <v>0</v>
      </c>
      <c r="K20" s="1133">
        <f>J20/G20</f>
        <v>0</v>
      </c>
      <c r="L20" s="1134">
        <f t="shared" si="3"/>
        <v>0</v>
      </c>
      <c r="M20" s="1124">
        <f t="shared" si="4"/>
        <v>0</v>
      </c>
      <c r="N20" s="1133">
        <f>M20/G20</f>
        <v>0</v>
      </c>
    </row>
    <row r="21" spans="1:15" x14ac:dyDescent="0.3">
      <c r="A21" s="1510"/>
      <c r="B21" s="1510"/>
      <c r="C21" s="647"/>
      <c r="D21" s="647" t="s">
        <v>221</v>
      </c>
      <c r="E21" s="648"/>
      <c r="F21" s="648"/>
      <c r="G21" s="649">
        <f>SUM(G18:G20)</f>
        <v>942761</v>
      </c>
      <c r="H21" s="1510"/>
      <c r="I21" s="1108"/>
      <c r="J21" s="1146">
        <f>SUM(J18:J20)</f>
        <v>0</v>
      </c>
      <c r="K21" s="1136">
        <f>J21/G21</f>
        <v>0</v>
      </c>
      <c r="L21" s="1137"/>
      <c r="M21" s="1138">
        <f>J21</f>
        <v>0</v>
      </c>
      <c r="N21" s="1136">
        <f t="shared" ref="N21" si="6">M21/G21</f>
        <v>0</v>
      </c>
    </row>
    <row r="22" spans="1:15" ht="43.2" x14ac:dyDescent="0.3">
      <c r="A22" s="1510" t="s">
        <v>151</v>
      </c>
      <c r="B22" s="1510" t="s">
        <v>170</v>
      </c>
      <c r="C22" s="1184" t="s">
        <v>83</v>
      </c>
      <c r="D22" s="1184" t="s">
        <v>123</v>
      </c>
      <c r="E22" s="1184">
        <v>0</v>
      </c>
      <c r="F22" s="646">
        <v>1097936</v>
      </c>
      <c r="G22" s="646">
        <f>ROUND((E22*F22),0)</f>
        <v>0</v>
      </c>
      <c r="H22" s="1514" t="s">
        <v>2658</v>
      </c>
      <c r="I22" s="799">
        <v>0</v>
      </c>
      <c r="J22" s="1132">
        <f t="shared" ref="J22:J23" si="7">ROUND(I22*F22,0)</f>
        <v>0</v>
      </c>
      <c r="K22" s="1133">
        <v>0</v>
      </c>
      <c r="L22" s="1134">
        <f t="shared" ref="L22:L23" si="8">I22</f>
        <v>0</v>
      </c>
      <c r="M22" s="1124">
        <f t="shared" ref="M22:M23" si="9">J22</f>
        <v>0</v>
      </c>
      <c r="N22" s="1133">
        <v>0</v>
      </c>
      <c r="O22" s="1182"/>
    </row>
    <row r="23" spans="1:15" ht="43.2" x14ac:dyDescent="0.3">
      <c r="A23" s="1510"/>
      <c r="B23" s="1510"/>
      <c r="C23" s="1184" t="s">
        <v>61</v>
      </c>
      <c r="D23" s="1184" t="s">
        <v>125</v>
      </c>
      <c r="E23" s="1184">
        <v>0.1</v>
      </c>
      <c r="F23" s="646">
        <v>1061338</v>
      </c>
      <c r="G23" s="646">
        <f>ROUND((E23*F23),0)</f>
        <v>106134</v>
      </c>
      <c r="H23" s="1510"/>
      <c r="I23" s="799">
        <v>0</v>
      </c>
      <c r="J23" s="1132">
        <f t="shared" si="7"/>
        <v>0</v>
      </c>
      <c r="K23" s="1133">
        <f>J23/G23</f>
        <v>0</v>
      </c>
      <c r="L23" s="1134">
        <f t="shared" si="8"/>
        <v>0</v>
      </c>
      <c r="M23" s="1124">
        <f t="shared" si="9"/>
        <v>0</v>
      </c>
      <c r="N23" s="1133">
        <f>M23/G23</f>
        <v>0</v>
      </c>
      <c r="O23" s="1182"/>
    </row>
    <row r="24" spans="1:15" x14ac:dyDescent="0.3">
      <c r="A24" s="1510"/>
      <c r="B24" s="1510"/>
      <c r="C24" s="647"/>
      <c r="D24" s="647" t="s">
        <v>126</v>
      </c>
      <c r="E24" s="648"/>
      <c r="F24" s="648"/>
      <c r="G24" s="649">
        <f>SUM(G22:G23)</f>
        <v>106134</v>
      </c>
      <c r="H24" s="1510"/>
      <c r="I24" s="1108"/>
      <c r="J24" s="1146">
        <f>SUM(J21:J23)</f>
        <v>0</v>
      </c>
      <c r="K24" s="1136">
        <f>J24/G24</f>
        <v>0</v>
      </c>
      <c r="L24" s="1137"/>
      <c r="M24" s="1138">
        <f>J24</f>
        <v>0</v>
      </c>
      <c r="N24" s="1136">
        <f t="shared" ref="N24" si="10">M24/G24</f>
        <v>0</v>
      </c>
      <c r="O24" s="1182"/>
    </row>
    <row r="25" spans="1:15" ht="43.2" x14ac:dyDescent="0.3">
      <c r="A25" s="1510" t="s">
        <v>1204</v>
      </c>
      <c r="B25" s="1510" t="s">
        <v>217</v>
      </c>
      <c r="C25" s="1184" t="s">
        <v>81</v>
      </c>
      <c r="D25" s="1184" t="s">
        <v>218</v>
      </c>
      <c r="E25" s="1184">
        <v>0</v>
      </c>
      <c r="F25" s="646">
        <v>1207729</v>
      </c>
      <c r="G25" s="646">
        <f>ROUND((E25*F25),0)</f>
        <v>0</v>
      </c>
      <c r="H25" s="1514" t="s">
        <v>2659</v>
      </c>
      <c r="I25" s="799">
        <v>0</v>
      </c>
      <c r="J25" s="1132">
        <f>ROUND(I25*F25,0)</f>
        <v>0</v>
      </c>
      <c r="K25" s="1133">
        <v>0</v>
      </c>
      <c r="L25" s="1134">
        <f t="shared" ref="L25:L27" si="11">I25</f>
        <v>0</v>
      </c>
      <c r="M25" s="1124">
        <f t="shared" ref="M25:M27" si="12">J25</f>
        <v>0</v>
      </c>
      <c r="N25" s="1133">
        <v>0</v>
      </c>
    </row>
    <row r="26" spans="1:15" ht="43.2" x14ac:dyDescent="0.3">
      <c r="A26" s="1510"/>
      <c r="B26" s="1510"/>
      <c r="C26" s="1184" t="s">
        <v>83</v>
      </c>
      <c r="D26" s="1184" t="s">
        <v>219</v>
      </c>
      <c r="E26" s="1184">
        <v>0</v>
      </c>
      <c r="F26" s="646">
        <v>2781437</v>
      </c>
      <c r="G26" s="646">
        <f>ROUND((E26*F26),0)</f>
        <v>0</v>
      </c>
      <c r="H26" s="1510"/>
      <c r="I26" s="799">
        <v>0</v>
      </c>
      <c r="J26" s="1132">
        <f t="shared" ref="J26:J27" si="13">ROUND(I26*F26,0)</f>
        <v>0</v>
      </c>
      <c r="K26" s="1133">
        <v>0</v>
      </c>
      <c r="L26" s="1134">
        <f t="shared" si="11"/>
        <v>0</v>
      </c>
      <c r="M26" s="1124">
        <f t="shared" si="12"/>
        <v>0</v>
      </c>
      <c r="N26" s="1133">
        <v>0</v>
      </c>
    </row>
    <row r="27" spans="1:15" ht="43.2" x14ac:dyDescent="0.3">
      <c r="A27" s="1510"/>
      <c r="B27" s="1510"/>
      <c r="C27" s="1184" t="s">
        <v>61</v>
      </c>
      <c r="D27" s="1184" t="s">
        <v>220</v>
      </c>
      <c r="E27" s="1184">
        <v>0.28000000000000003</v>
      </c>
      <c r="F27" s="646">
        <v>3367003</v>
      </c>
      <c r="G27" s="646">
        <f>ROUND((E27*F27),0)</f>
        <v>942761</v>
      </c>
      <c r="H27" s="1510"/>
      <c r="I27" s="799">
        <v>0</v>
      </c>
      <c r="J27" s="1132">
        <f t="shared" si="13"/>
        <v>0</v>
      </c>
      <c r="K27" s="1133">
        <f>J27/G27</f>
        <v>0</v>
      </c>
      <c r="L27" s="1134">
        <f t="shared" si="11"/>
        <v>0</v>
      </c>
      <c r="M27" s="1124">
        <f t="shared" si="12"/>
        <v>0</v>
      </c>
      <c r="N27" s="1133">
        <f>M27/G27</f>
        <v>0</v>
      </c>
    </row>
    <row r="28" spans="1:15" x14ac:dyDescent="0.3">
      <c r="A28" s="1510"/>
      <c r="B28" s="1510"/>
      <c r="C28" s="647"/>
      <c r="D28" s="647" t="s">
        <v>221</v>
      </c>
      <c r="E28" s="648"/>
      <c r="F28" s="648"/>
      <c r="G28" s="649">
        <f>SUM(G25:G27)</f>
        <v>942761</v>
      </c>
      <c r="H28" s="1510"/>
      <c r="I28" s="1108"/>
      <c r="J28" s="1146">
        <f>SUM(J25:J27)</f>
        <v>0</v>
      </c>
      <c r="K28" s="1136">
        <f>J28/G28</f>
        <v>0</v>
      </c>
      <c r="L28" s="1137"/>
      <c r="M28" s="1138">
        <f>J28</f>
        <v>0</v>
      </c>
      <c r="N28" s="1136">
        <f t="shared" ref="N28" si="14">M28/G28</f>
        <v>0</v>
      </c>
    </row>
    <row r="29" spans="1:15" ht="43.2" x14ac:dyDescent="0.3">
      <c r="A29" s="1510" t="s">
        <v>1204</v>
      </c>
      <c r="B29" s="1510" t="s">
        <v>170</v>
      </c>
      <c r="C29" s="1184" t="s">
        <v>83</v>
      </c>
      <c r="D29" s="1184" t="s">
        <v>123</v>
      </c>
      <c r="E29" s="1184">
        <v>0</v>
      </c>
      <c r="F29" s="646">
        <v>1097936</v>
      </c>
      <c r="G29" s="646">
        <f>ROUND((E29*F29),0)</f>
        <v>0</v>
      </c>
      <c r="H29" s="1514" t="s">
        <v>2658</v>
      </c>
      <c r="I29" s="799">
        <v>0</v>
      </c>
      <c r="J29" s="1132">
        <f t="shared" ref="J29:J30" si="15">ROUND(I29*F29,0)</f>
        <v>0</v>
      </c>
      <c r="K29" s="1133">
        <v>0</v>
      </c>
      <c r="L29" s="1134">
        <f t="shared" ref="L29:L30" si="16">I29</f>
        <v>0</v>
      </c>
      <c r="M29" s="1124">
        <f t="shared" ref="M29:M30" si="17">J29</f>
        <v>0</v>
      </c>
      <c r="N29" s="1133">
        <v>0</v>
      </c>
      <c r="O29" s="1182"/>
    </row>
    <row r="30" spans="1:15" ht="43.2" x14ac:dyDescent="0.3">
      <c r="A30" s="1510"/>
      <c r="B30" s="1510"/>
      <c r="C30" s="1184" t="s">
        <v>61</v>
      </c>
      <c r="D30" s="1184" t="s">
        <v>125</v>
      </c>
      <c r="E30" s="1184">
        <v>0.1</v>
      </c>
      <c r="F30" s="646">
        <v>1061338</v>
      </c>
      <c r="G30" s="646">
        <f>ROUND((E30*F30),0)</f>
        <v>106134</v>
      </c>
      <c r="H30" s="1510"/>
      <c r="I30" s="799">
        <v>0</v>
      </c>
      <c r="J30" s="1132">
        <f t="shared" si="15"/>
        <v>0</v>
      </c>
      <c r="K30" s="1133">
        <f>J30/G30</f>
        <v>0</v>
      </c>
      <c r="L30" s="1134">
        <f t="shared" si="16"/>
        <v>0</v>
      </c>
      <c r="M30" s="1124">
        <f t="shared" si="17"/>
        <v>0</v>
      </c>
      <c r="N30" s="1133">
        <f>M30/G30</f>
        <v>0</v>
      </c>
      <c r="O30" s="1182"/>
    </row>
    <row r="31" spans="1:15" x14ac:dyDescent="0.3">
      <c r="A31" s="1510"/>
      <c r="B31" s="1510"/>
      <c r="C31" s="647"/>
      <c r="D31" s="647" t="s">
        <v>126</v>
      </c>
      <c r="E31" s="648"/>
      <c r="F31" s="648"/>
      <c r="G31" s="649">
        <f>SUM(G29:G30)</f>
        <v>106134</v>
      </c>
      <c r="H31" s="1510"/>
      <c r="I31" s="1108"/>
      <c r="J31" s="1146">
        <f>SUM(J28:J30)</f>
        <v>0</v>
      </c>
      <c r="K31" s="1136">
        <f>J31/G31</f>
        <v>0</v>
      </c>
      <c r="L31" s="1137"/>
      <c r="M31" s="1138">
        <f>J31</f>
        <v>0</v>
      </c>
      <c r="N31" s="1136">
        <f t="shared" ref="N31" si="18">M31/G31</f>
        <v>0</v>
      </c>
      <c r="O31" s="1182"/>
    </row>
    <row r="32" spans="1:15" x14ac:dyDescent="0.3">
      <c r="F32" s="836" t="s">
        <v>1740</v>
      </c>
      <c r="G32" s="650">
        <f>SUM(G14:G31)/2</f>
        <v>3032865</v>
      </c>
      <c r="I32" s="547" t="s">
        <v>64</v>
      </c>
      <c r="J32" s="855">
        <f>SUM(J14:J31)/2</f>
        <v>0</v>
      </c>
      <c r="K32" s="1182"/>
      <c r="L32" s="547" t="s">
        <v>64</v>
      </c>
      <c r="M32" s="835">
        <f>SUM(M14:M31)/2</f>
        <v>0</v>
      </c>
      <c r="N32" s="1182"/>
    </row>
    <row r="33" spans="6:14" ht="26.4" x14ac:dyDescent="0.3">
      <c r="F33" s="1118">
        <v>0.03</v>
      </c>
      <c r="G33" s="1185">
        <v>0</v>
      </c>
      <c r="I33" s="548" t="s">
        <v>65</v>
      </c>
      <c r="J33" s="677">
        <v>0</v>
      </c>
      <c r="K33" s="1182"/>
      <c r="L33" s="548" t="s">
        <v>65</v>
      </c>
      <c r="M33" s="677">
        <v>0</v>
      </c>
      <c r="N33" s="1182"/>
    </row>
    <row r="34" spans="6:14" x14ac:dyDescent="0.3">
      <c r="F34" s="1119" t="s">
        <v>64</v>
      </c>
      <c r="G34" s="1151">
        <f>G32+G33</f>
        <v>3032865</v>
      </c>
      <c r="I34" s="549" t="s">
        <v>64</v>
      </c>
      <c r="J34" s="481">
        <f>J32+J33</f>
        <v>0</v>
      </c>
      <c r="K34" s="1182"/>
      <c r="L34" s="549" t="s">
        <v>64</v>
      </c>
      <c r="M34" s="481">
        <f>M32+M33</f>
        <v>0</v>
      </c>
      <c r="N34" s="1182"/>
    </row>
    <row r="35" spans="6:14" ht="26.4" x14ac:dyDescent="0.3">
      <c r="F35" s="501" t="s">
        <v>1439</v>
      </c>
      <c r="G35" s="1116">
        <f>ROUND(G34*0.015,0)</f>
        <v>45493</v>
      </c>
      <c r="I35" s="501" t="s">
        <v>1439</v>
      </c>
      <c r="J35" s="481">
        <f>ROUND(J34*0.015,0)</f>
        <v>0</v>
      </c>
      <c r="K35" s="1182"/>
      <c r="L35" s="501" t="s">
        <v>1439</v>
      </c>
      <c r="M35" s="481">
        <f>ROUND(M34*0.015,0)</f>
        <v>0</v>
      </c>
      <c r="N35" s="1182"/>
    </row>
    <row r="36" spans="6:14" ht="39.6" x14ac:dyDescent="0.3">
      <c r="F36" s="96" t="s">
        <v>1440</v>
      </c>
      <c r="G36" s="1117">
        <f>G34+G35</f>
        <v>3078358</v>
      </c>
      <c r="I36" s="96" t="s">
        <v>1440</v>
      </c>
      <c r="J36" s="783">
        <f>J34+J35</f>
        <v>0</v>
      </c>
      <c r="K36" s="856">
        <f>J36/G32</f>
        <v>0</v>
      </c>
      <c r="L36" s="96" t="s">
        <v>1440</v>
      </c>
      <c r="M36" s="425">
        <f>M34+M35</f>
        <v>0</v>
      </c>
      <c r="N36" s="857">
        <f>M36/G32</f>
        <v>0</v>
      </c>
    </row>
    <row r="37" spans="6:14" x14ac:dyDescent="0.3">
      <c r="F37" s="1122" t="s">
        <v>66</v>
      </c>
      <c r="G37" s="783">
        <f>G36*0.19</f>
        <v>584888.02</v>
      </c>
      <c r="I37" s="551" t="s">
        <v>66</v>
      </c>
      <c r="J37" s="672">
        <f>J36*0.19</f>
        <v>0</v>
      </c>
      <c r="K37" s="1182"/>
      <c r="L37" s="551" t="s">
        <v>66</v>
      </c>
      <c r="M37" s="672">
        <f>M36*0.19</f>
        <v>0</v>
      </c>
      <c r="N37" s="1182"/>
    </row>
    <row r="38" spans="6:14" x14ac:dyDescent="0.3">
      <c r="F38" s="1123" t="s">
        <v>69</v>
      </c>
      <c r="G38" s="672">
        <f>G36+G37</f>
        <v>3663246.02</v>
      </c>
      <c r="I38" s="552" t="s">
        <v>69</v>
      </c>
      <c r="J38" s="672">
        <f>J36+J37</f>
        <v>0</v>
      </c>
      <c r="K38" s="1182"/>
      <c r="L38" s="552" t="s">
        <v>69</v>
      </c>
      <c r="M38" s="672">
        <f>M36+M37</f>
        <v>0</v>
      </c>
      <c r="N38" s="1182"/>
    </row>
    <row r="39" spans="6:14" x14ac:dyDescent="0.3">
      <c r="I39" s="1182"/>
      <c r="J39" s="1182"/>
      <c r="K39" s="1182"/>
      <c r="L39" s="1182"/>
      <c r="M39" s="1182"/>
      <c r="N39" s="1182"/>
    </row>
    <row r="40" spans="6:14" ht="26.4" x14ac:dyDescent="0.3">
      <c r="I40" s="186" t="s">
        <v>70</v>
      </c>
      <c r="J40" s="187" t="s">
        <v>71</v>
      </c>
      <c r="K40" s="186" t="s">
        <v>58</v>
      </c>
      <c r="L40" s="1182"/>
      <c r="M40" s="1182"/>
      <c r="N40" s="1182"/>
    </row>
    <row r="41" spans="6:14" x14ac:dyDescent="0.3">
      <c r="I41" s="69" t="s">
        <v>72</v>
      </c>
      <c r="J41" s="70">
        <f>J36</f>
        <v>0</v>
      </c>
      <c r="K41" s="360">
        <f>K36</f>
        <v>0</v>
      </c>
      <c r="L41" s="1182"/>
      <c r="M41" s="1182"/>
      <c r="N41" s="1182"/>
    </row>
    <row r="42" spans="6:14" x14ac:dyDescent="0.3">
      <c r="I42" s="72" t="s">
        <v>1</v>
      </c>
      <c r="J42" s="105">
        <f>J41</f>
        <v>0</v>
      </c>
      <c r="K42" s="361">
        <f>K41</f>
        <v>0</v>
      </c>
      <c r="L42" s="1182"/>
      <c r="M42" s="1182"/>
      <c r="N42" s="1182"/>
    </row>
    <row r="43" spans="6:14" x14ac:dyDescent="0.3">
      <c r="I43" s="72" t="s">
        <v>9</v>
      </c>
      <c r="J43" s="1423"/>
      <c r="K43" s="1424"/>
      <c r="L43" s="1182"/>
      <c r="M43" s="1182"/>
      <c r="N43" s="1182"/>
    </row>
    <row r="44" spans="6:14" x14ac:dyDescent="0.3">
      <c r="I44" s="440" t="s">
        <v>78</v>
      </c>
      <c r="J44" s="1423" t="s">
        <v>1986</v>
      </c>
      <c r="K44" s="1424"/>
      <c r="L44" s="1182"/>
      <c r="M44" s="1182"/>
      <c r="N44" s="1182"/>
    </row>
    <row r="45" spans="6:14" x14ac:dyDescent="0.3">
      <c r="I45" s="439" t="s">
        <v>8</v>
      </c>
      <c r="J45" s="1425" t="s">
        <v>1987</v>
      </c>
      <c r="K45" s="1426"/>
      <c r="L45" s="1182"/>
      <c r="M45" s="1182"/>
      <c r="N45" s="1182"/>
    </row>
    <row r="46" spans="6:14" x14ac:dyDescent="0.3">
      <c r="I46" s="1182"/>
      <c r="J46" s="1182"/>
      <c r="K46" s="1182"/>
      <c r="L46" s="1182"/>
      <c r="M46" s="1182"/>
      <c r="N46" s="1182"/>
    </row>
    <row r="47" spans="6:14" x14ac:dyDescent="0.3">
      <c r="I47" s="1182"/>
      <c r="J47" s="1182"/>
      <c r="K47" s="1182"/>
      <c r="L47" s="1182"/>
      <c r="M47" s="1182"/>
      <c r="N47" s="1182"/>
    </row>
    <row r="48" spans="6:14" x14ac:dyDescent="0.3">
      <c r="I48" s="1182"/>
      <c r="J48" s="1182"/>
      <c r="K48" s="1182"/>
      <c r="L48" s="1182"/>
      <c r="M48" s="1182"/>
      <c r="N48" s="1182"/>
    </row>
  </sheetData>
  <mergeCells count="33">
    <mergeCell ref="B11:F11"/>
    <mergeCell ref="I11:K12"/>
    <mergeCell ref="L11:N12"/>
    <mergeCell ref="B12:F12"/>
    <mergeCell ref="C1:J2"/>
    <mergeCell ref="K1:N1"/>
    <mergeCell ref="K2:N2"/>
    <mergeCell ref="A3:M3"/>
    <mergeCell ref="A4:M4"/>
    <mergeCell ref="A5:M5"/>
    <mergeCell ref="A6:M6"/>
    <mergeCell ref="A7:M7"/>
    <mergeCell ref="A8:M8"/>
    <mergeCell ref="A9:M9"/>
    <mergeCell ref="A10:M10"/>
    <mergeCell ref="A14:A17"/>
    <mergeCell ref="B14:B17"/>
    <mergeCell ref="H14:H17"/>
    <mergeCell ref="A18:A21"/>
    <mergeCell ref="B18:B21"/>
    <mergeCell ref="H18:H21"/>
    <mergeCell ref="J45:K45"/>
    <mergeCell ref="A22:A24"/>
    <mergeCell ref="B22:B24"/>
    <mergeCell ref="H22:H24"/>
    <mergeCell ref="A25:A28"/>
    <mergeCell ref="B25:B28"/>
    <mergeCell ref="H25:H28"/>
    <mergeCell ref="A29:A31"/>
    <mergeCell ref="B29:B31"/>
    <mergeCell ref="H29:H31"/>
    <mergeCell ref="J43:K43"/>
    <mergeCell ref="J44:K44"/>
  </mergeCells>
  <pageMargins left="0.7" right="0.7" top="0.75" bottom="0.75" header="0.3" footer="0.3"/>
  <drawing r:id="rId1"/>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9"/>
  <dimension ref="A1:O137"/>
  <sheetViews>
    <sheetView topLeftCell="A67" zoomScaleNormal="100" workbookViewId="0">
      <selection activeCell="F94" sqref="F94"/>
    </sheetView>
  </sheetViews>
  <sheetFormatPr baseColWidth="10" defaultRowHeight="14.4" x14ac:dyDescent="0.3"/>
  <cols>
    <col min="1" max="1" width="14.5546875" style="1035" customWidth="1"/>
    <col min="2" max="4" width="11.44140625" style="1035"/>
    <col min="5" max="5" width="13.109375" style="1035" customWidth="1"/>
    <col min="6" max="6" width="15.33203125" style="1035" customWidth="1"/>
    <col min="7" max="256" width="11.44140625" style="1035"/>
    <col min="257" max="257" width="14.5546875" style="1035" customWidth="1"/>
    <col min="258" max="260" width="11.44140625" style="1035"/>
    <col min="261" max="261" width="13.109375" style="1035" customWidth="1"/>
    <col min="262" max="262" width="15.33203125" style="1035" customWidth="1"/>
    <col min="263" max="512" width="11.44140625" style="1035"/>
    <col min="513" max="513" width="14.5546875" style="1035" customWidth="1"/>
    <col min="514" max="516" width="11.44140625" style="1035"/>
    <col min="517" max="517" width="13.109375" style="1035" customWidth="1"/>
    <col min="518" max="518" width="15.33203125" style="1035" customWidth="1"/>
    <col min="519" max="768" width="11.44140625" style="1035"/>
    <col min="769" max="769" width="14.5546875" style="1035" customWidth="1"/>
    <col min="770" max="772" width="11.44140625" style="1035"/>
    <col min="773" max="773" width="13.109375" style="1035" customWidth="1"/>
    <col min="774" max="774" width="15.33203125" style="1035" customWidth="1"/>
    <col min="775" max="1024" width="11.44140625" style="1035"/>
    <col min="1025" max="1025" width="14.5546875" style="1035" customWidth="1"/>
    <col min="1026" max="1028" width="11.44140625" style="1035"/>
    <col min="1029" max="1029" width="13.109375" style="1035" customWidth="1"/>
    <col min="1030" max="1030" width="15.33203125" style="1035" customWidth="1"/>
    <col min="1031" max="1280" width="11.44140625" style="1035"/>
    <col min="1281" max="1281" width="14.5546875" style="1035" customWidth="1"/>
    <col min="1282" max="1284" width="11.44140625" style="1035"/>
    <col min="1285" max="1285" width="13.109375" style="1035" customWidth="1"/>
    <col min="1286" max="1286" width="15.33203125" style="1035" customWidth="1"/>
    <col min="1287" max="1536" width="11.44140625" style="1035"/>
    <col min="1537" max="1537" width="14.5546875" style="1035" customWidth="1"/>
    <col min="1538" max="1540" width="11.44140625" style="1035"/>
    <col min="1541" max="1541" width="13.109375" style="1035" customWidth="1"/>
    <col min="1542" max="1542" width="15.33203125" style="1035" customWidth="1"/>
    <col min="1543" max="1792" width="11.44140625" style="1035"/>
    <col min="1793" max="1793" width="14.5546875" style="1035" customWidth="1"/>
    <col min="1794" max="1796" width="11.44140625" style="1035"/>
    <col min="1797" max="1797" width="13.109375" style="1035" customWidth="1"/>
    <col min="1798" max="1798" width="15.33203125" style="1035" customWidth="1"/>
    <col min="1799" max="2048" width="11.44140625" style="1035"/>
    <col min="2049" max="2049" width="14.5546875" style="1035" customWidth="1"/>
    <col min="2050" max="2052" width="11.44140625" style="1035"/>
    <col min="2053" max="2053" width="13.109375" style="1035" customWidth="1"/>
    <col min="2054" max="2054" width="15.33203125" style="1035" customWidth="1"/>
    <col min="2055" max="2304" width="11.44140625" style="1035"/>
    <col min="2305" max="2305" width="14.5546875" style="1035" customWidth="1"/>
    <col min="2306" max="2308" width="11.44140625" style="1035"/>
    <col min="2309" max="2309" width="13.109375" style="1035" customWidth="1"/>
    <col min="2310" max="2310" width="15.33203125" style="1035" customWidth="1"/>
    <col min="2311" max="2560" width="11.44140625" style="1035"/>
    <col min="2561" max="2561" width="14.5546875" style="1035" customWidth="1"/>
    <col min="2562" max="2564" width="11.44140625" style="1035"/>
    <col min="2565" max="2565" width="13.109375" style="1035" customWidth="1"/>
    <col min="2566" max="2566" width="15.33203125" style="1035" customWidth="1"/>
    <col min="2567" max="2816" width="11.44140625" style="1035"/>
    <col min="2817" max="2817" width="14.5546875" style="1035" customWidth="1"/>
    <col min="2818" max="2820" width="11.44140625" style="1035"/>
    <col min="2821" max="2821" width="13.109375" style="1035" customWidth="1"/>
    <col min="2822" max="2822" width="15.33203125" style="1035" customWidth="1"/>
    <col min="2823" max="3072" width="11.44140625" style="1035"/>
    <col min="3073" max="3073" width="14.5546875" style="1035" customWidth="1"/>
    <col min="3074" max="3076" width="11.44140625" style="1035"/>
    <col min="3077" max="3077" width="13.109375" style="1035" customWidth="1"/>
    <col min="3078" max="3078" width="15.33203125" style="1035" customWidth="1"/>
    <col min="3079" max="3328" width="11.44140625" style="1035"/>
    <col min="3329" max="3329" width="14.5546875" style="1035" customWidth="1"/>
    <col min="3330" max="3332" width="11.44140625" style="1035"/>
    <col min="3333" max="3333" width="13.109375" style="1035" customWidth="1"/>
    <col min="3334" max="3334" width="15.33203125" style="1035" customWidth="1"/>
    <col min="3335" max="3584" width="11.44140625" style="1035"/>
    <col min="3585" max="3585" width="14.5546875" style="1035" customWidth="1"/>
    <col min="3586" max="3588" width="11.44140625" style="1035"/>
    <col min="3589" max="3589" width="13.109375" style="1035" customWidth="1"/>
    <col min="3590" max="3590" width="15.33203125" style="1035" customWidth="1"/>
    <col min="3591" max="3840" width="11.44140625" style="1035"/>
    <col min="3841" max="3841" width="14.5546875" style="1035" customWidth="1"/>
    <col min="3842" max="3844" width="11.44140625" style="1035"/>
    <col min="3845" max="3845" width="13.109375" style="1035" customWidth="1"/>
    <col min="3846" max="3846" width="15.33203125" style="1035" customWidth="1"/>
    <col min="3847" max="4096" width="11.44140625" style="1035"/>
    <col min="4097" max="4097" width="14.5546875" style="1035" customWidth="1"/>
    <col min="4098" max="4100" width="11.44140625" style="1035"/>
    <col min="4101" max="4101" width="13.109375" style="1035" customWidth="1"/>
    <col min="4102" max="4102" width="15.33203125" style="1035" customWidth="1"/>
    <col min="4103" max="4352" width="11.44140625" style="1035"/>
    <col min="4353" max="4353" width="14.5546875" style="1035" customWidth="1"/>
    <col min="4354" max="4356" width="11.44140625" style="1035"/>
    <col min="4357" max="4357" width="13.109375" style="1035" customWidth="1"/>
    <col min="4358" max="4358" width="15.33203125" style="1035" customWidth="1"/>
    <col min="4359" max="4608" width="11.44140625" style="1035"/>
    <col min="4609" max="4609" width="14.5546875" style="1035" customWidth="1"/>
    <col min="4610" max="4612" width="11.44140625" style="1035"/>
    <col min="4613" max="4613" width="13.109375" style="1035" customWidth="1"/>
    <col min="4614" max="4614" width="15.33203125" style="1035" customWidth="1"/>
    <col min="4615" max="4864" width="11.44140625" style="1035"/>
    <col min="4865" max="4865" width="14.5546875" style="1035" customWidth="1"/>
    <col min="4866" max="4868" width="11.44140625" style="1035"/>
    <col min="4869" max="4869" width="13.109375" style="1035" customWidth="1"/>
    <col min="4870" max="4870" width="15.33203125" style="1035" customWidth="1"/>
    <col min="4871" max="5120" width="11.44140625" style="1035"/>
    <col min="5121" max="5121" width="14.5546875" style="1035" customWidth="1"/>
    <col min="5122" max="5124" width="11.44140625" style="1035"/>
    <col min="5125" max="5125" width="13.109375" style="1035" customWidth="1"/>
    <col min="5126" max="5126" width="15.33203125" style="1035" customWidth="1"/>
    <col min="5127" max="5376" width="11.44140625" style="1035"/>
    <col min="5377" max="5377" width="14.5546875" style="1035" customWidth="1"/>
    <col min="5378" max="5380" width="11.44140625" style="1035"/>
    <col min="5381" max="5381" width="13.109375" style="1035" customWidth="1"/>
    <col min="5382" max="5382" width="15.33203125" style="1035" customWidth="1"/>
    <col min="5383" max="5632" width="11.44140625" style="1035"/>
    <col min="5633" max="5633" width="14.5546875" style="1035" customWidth="1"/>
    <col min="5634" max="5636" width="11.44140625" style="1035"/>
    <col min="5637" max="5637" width="13.109375" style="1035" customWidth="1"/>
    <col min="5638" max="5638" width="15.33203125" style="1035" customWidth="1"/>
    <col min="5639" max="5888" width="11.44140625" style="1035"/>
    <col min="5889" max="5889" width="14.5546875" style="1035" customWidth="1"/>
    <col min="5890" max="5892" width="11.44140625" style="1035"/>
    <col min="5893" max="5893" width="13.109375" style="1035" customWidth="1"/>
    <col min="5894" max="5894" width="15.33203125" style="1035" customWidth="1"/>
    <col min="5895" max="6144" width="11.44140625" style="1035"/>
    <col min="6145" max="6145" width="14.5546875" style="1035" customWidth="1"/>
    <col min="6146" max="6148" width="11.44140625" style="1035"/>
    <col min="6149" max="6149" width="13.109375" style="1035" customWidth="1"/>
    <col min="6150" max="6150" width="15.33203125" style="1035" customWidth="1"/>
    <col min="6151" max="6400" width="11.44140625" style="1035"/>
    <col min="6401" max="6401" width="14.5546875" style="1035" customWidth="1"/>
    <col min="6402" max="6404" width="11.44140625" style="1035"/>
    <col min="6405" max="6405" width="13.109375" style="1035" customWidth="1"/>
    <col min="6406" max="6406" width="15.33203125" style="1035" customWidth="1"/>
    <col min="6407" max="6656" width="11.44140625" style="1035"/>
    <col min="6657" max="6657" width="14.5546875" style="1035" customWidth="1"/>
    <col min="6658" max="6660" width="11.44140625" style="1035"/>
    <col min="6661" max="6661" width="13.109375" style="1035" customWidth="1"/>
    <col min="6662" max="6662" width="15.33203125" style="1035" customWidth="1"/>
    <col min="6663" max="6912" width="11.44140625" style="1035"/>
    <col min="6913" max="6913" width="14.5546875" style="1035" customWidth="1"/>
    <col min="6914" max="6916" width="11.44140625" style="1035"/>
    <col min="6917" max="6917" width="13.109375" style="1035" customWidth="1"/>
    <col min="6918" max="6918" width="15.33203125" style="1035" customWidth="1"/>
    <col min="6919" max="7168" width="11.44140625" style="1035"/>
    <col min="7169" max="7169" width="14.5546875" style="1035" customWidth="1"/>
    <col min="7170" max="7172" width="11.44140625" style="1035"/>
    <col min="7173" max="7173" width="13.109375" style="1035" customWidth="1"/>
    <col min="7174" max="7174" width="15.33203125" style="1035" customWidth="1"/>
    <col min="7175" max="7424" width="11.44140625" style="1035"/>
    <col min="7425" max="7425" width="14.5546875" style="1035" customWidth="1"/>
    <col min="7426" max="7428" width="11.44140625" style="1035"/>
    <col min="7429" max="7429" width="13.109375" style="1035" customWidth="1"/>
    <col min="7430" max="7430" width="15.33203125" style="1035" customWidth="1"/>
    <col min="7431" max="7680" width="11.44140625" style="1035"/>
    <col min="7681" max="7681" width="14.5546875" style="1035" customWidth="1"/>
    <col min="7682" max="7684" width="11.44140625" style="1035"/>
    <col min="7685" max="7685" width="13.109375" style="1035" customWidth="1"/>
    <col min="7686" max="7686" width="15.33203125" style="1035" customWidth="1"/>
    <col min="7687" max="7936" width="11.44140625" style="1035"/>
    <col min="7937" max="7937" width="14.5546875" style="1035" customWidth="1"/>
    <col min="7938" max="7940" width="11.44140625" style="1035"/>
    <col min="7941" max="7941" width="13.109375" style="1035" customWidth="1"/>
    <col min="7942" max="7942" width="15.33203125" style="1035" customWidth="1"/>
    <col min="7943" max="8192" width="11.44140625" style="1035"/>
    <col min="8193" max="8193" width="14.5546875" style="1035" customWidth="1"/>
    <col min="8194" max="8196" width="11.44140625" style="1035"/>
    <col min="8197" max="8197" width="13.109375" style="1035" customWidth="1"/>
    <col min="8198" max="8198" width="15.33203125" style="1035" customWidth="1"/>
    <col min="8199" max="8448" width="11.44140625" style="1035"/>
    <col min="8449" max="8449" width="14.5546875" style="1035" customWidth="1"/>
    <col min="8450" max="8452" width="11.44140625" style="1035"/>
    <col min="8453" max="8453" width="13.109375" style="1035" customWidth="1"/>
    <col min="8454" max="8454" width="15.33203125" style="1035" customWidth="1"/>
    <col min="8455" max="8704" width="11.44140625" style="1035"/>
    <col min="8705" max="8705" width="14.5546875" style="1035" customWidth="1"/>
    <col min="8706" max="8708" width="11.44140625" style="1035"/>
    <col min="8709" max="8709" width="13.109375" style="1035" customWidth="1"/>
    <col min="8710" max="8710" width="15.33203125" style="1035" customWidth="1"/>
    <col min="8711" max="8960" width="11.44140625" style="1035"/>
    <col min="8961" max="8961" width="14.5546875" style="1035" customWidth="1"/>
    <col min="8962" max="8964" width="11.44140625" style="1035"/>
    <col min="8965" max="8965" width="13.109375" style="1035" customWidth="1"/>
    <col min="8966" max="8966" width="15.33203125" style="1035" customWidth="1"/>
    <col min="8967" max="9216" width="11.44140625" style="1035"/>
    <col min="9217" max="9217" width="14.5546875" style="1035" customWidth="1"/>
    <col min="9218" max="9220" width="11.44140625" style="1035"/>
    <col min="9221" max="9221" width="13.109375" style="1035" customWidth="1"/>
    <col min="9222" max="9222" width="15.33203125" style="1035" customWidth="1"/>
    <col min="9223" max="9472" width="11.44140625" style="1035"/>
    <col min="9473" max="9473" width="14.5546875" style="1035" customWidth="1"/>
    <col min="9474" max="9476" width="11.44140625" style="1035"/>
    <col min="9477" max="9477" width="13.109375" style="1035" customWidth="1"/>
    <col min="9478" max="9478" width="15.33203125" style="1035" customWidth="1"/>
    <col min="9479" max="9728" width="11.44140625" style="1035"/>
    <col min="9729" max="9729" width="14.5546875" style="1035" customWidth="1"/>
    <col min="9730" max="9732" width="11.44140625" style="1035"/>
    <col min="9733" max="9733" width="13.109375" style="1035" customWidth="1"/>
    <col min="9734" max="9734" width="15.33203125" style="1035" customWidth="1"/>
    <col min="9735" max="9984" width="11.44140625" style="1035"/>
    <col min="9985" max="9985" width="14.5546875" style="1035" customWidth="1"/>
    <col min="9986" max="9988" width="11.44140625" style="1035"/>
    <col min="9989" max="9989" width="13.109375" style="1035" customWidth="1"/>
    <col min="9990" max="9990" width="15.33203125" style="1035" customWidth="1"/>
    <col min="9991" max="10240" width="11.44140625" style="1035"/>
    <col min="10241" max="10241" width="14.5546875" style="1035" customWidth="1"/>
    <col min="10242" max="10244" width="11.44140625" style="1035"/>
    <col min="10245" max="10245" width="13.109375" style="1035" customWidth="1"/>
    <col min="10246" max="10246" width="15.33203125" style="1035" customWidth="1"/>
    <col min="10247" max="10496" width="11.44140625" style="1035"/>
    <col min="10497" max="10497" width="14.5546875" style="1035" customWidth="1"/>
    <col min="10498" max="10500" width="11.44140625" style="1035"/>
    <col min="10501" max="10501" width="13.109375" style="1035" customWidth="1"/>
    <col min="10502" max="10502" width="15.33203125" style="1035" customWidth="1"/>
    <col min="10503" max="10752" width="11.44140625" style="1035"/>
    <col min="10753" max="10753" width="14.5546875" style="1035" customWidth="1"/>
    <col min="10754" max="10756" width="11.44140625" style="1035"/>
    <col min="10757" max="10757" width="13.109375" style="1035" customWidth="1"/>
    <col min="10758" max="10758" width="15.33203125" style="1035" customWidth="1"/>
    <col min="10759" max="11008" width="11.44140625" style="1035"/>
    <col min="11009" max="11009" width="14.5546875" style="1035" customWidth="1"/>
    <col min="11010" max="11012" width="11.44140625" style="1035"/>
    <col min="11013" max="11013" width="13.109375" style="1035" customWidth="1"/>
    <col min="11014" max="11014" width="15.33203125" style="1035" customWidth="1"/>
    <col min="11015" max="11264" width="11.44140625" style="1035"/>
    <col min="11265" max="11265" width="14.5546875" style="1035" customWidth="1"/>
    <col min="11266" max="11268" width="11.44140625" style="1035"/>
    <col min="11269" max="11269" width="13.109375" style="1035" customWidth="1"/>
    <col min="11270" max="11270" width="15.33203125" style="1035" customWidth="1"/>
    <col min="11271" max="11520" width="11.44140625" style="1035"/>
    <col min="11521" max="11521" width="14.5546875" style="1035" customWidth="1"/>
    <col min="11522" max="11524" width="11.44140625" style="1035"/>
    <col min="11525" max="11525" width="13.109375" style="1035" customWidth="1"/>
    <col min="11526" max="11526" width="15.33203125" style="1035" customWidth="1"/>
    <col min="11527" max="11776" width="11.44140625" style="1035"/>
    <col min="11777" max="11777" width="14.5546875" style="1035" customWidth="1"/>
    <col min="11778" max="11780" width="11.44140625" style="1035"/>
    <col min="11781" max="11781" width="13.109375" style="1035" customWidth="1"/>
    <col min="11782" max="11782" width="15.33203125" style="1035" customWidth="1"/>
    <col min="11783" max="12032" width="11.44140625" style="1035"/>
    <col min="12033" max="12033" width="14.5546875" style="1035" customWidth="1"/>
    <col min="12034" max="12036" width="11.44140625" style="1035"/>
    <col min="12037" max="12037" width="13.109375" style="1035" customWidth="1"/>
    <col min="12038" max="12038" width="15.33203125" style="1035" customWidth="1"/>
    <col min="12039" max="12288" width="11.44140625" style="1035"/>
    <col min="12289" max="12289" width="14.5546875" style="1035" customWidth="1"/>
    <col min="12290" max="12292" width="11.44140625" style="1035"/>
    <col min="12293" max="12293" width="13.109375" style="1035" customWidth="1"/>
    <col min="12294" max="12294" width="15.33203125" style="1035" customWidth="1"/>
    <col min="12295" max="12544" width="11.44140625" style="1035"/>
    <col min="12545" max="12545" width="14.5546875" style="1035" customWidth="1"/>
    <col min="12546" max="12548" width="11.44140625" style="1035"/>
    <col min="12549" max="12549" width="13.109375" style="1035" customWidth="1"/>
    <col min="12550" max="12550" width="15.33203125" style="1035" customWidth="1"/>
    <col min="12551" max="12800" width="11.44140625" style="1035"/>
    <col min="12801" max="12801" width="14.5546875" style="1035" customWidth="1"/>
    <col min="12802" max="12804" width="11.44140625" style="1035"/>
    <col min="12805" max="12805" width="13.109375" style="1035" customWidth="1"/>
    <col min="12806" max="12806" width="15.33203125" style="1035" customWidth="1"/>
    <col min="12807" max="13056" width="11.44140625" style="1035"/>
    <col min="13057" max="13057" width="14.5546875" style="1035" customWidth="1"/>
    <col min="13058" max="13060" width="11.44140625" style="1035"/>
    <col min="13061" max="13061" width="13.109375" style="1035" customWidth="1"/>
    <col min="13062" max="13062" width="15.33203125" style="1035" customWidth="1"/>
    <col min="13063" max="13312" width="11.44140625" style="1035"/>
    <col min="13313" max="13313" width="14.5546875" style="1035" customWidth="1"/>
    <col min="13314" max="13316" width="11.44140625" style="1035"/>
    <col min="13317" max="13317" width="13.109375" style="1035" customWidth="1"/>
    <col min="13318" max="13318" width="15.33203125" style="1035" customWidth="1"/>
    <col min="13319" max="13568" width="11.44140625" style="1035"/>
    <col min="13569" max="13569" width="14.5546875" style="1035" customWidth="1"/>
    <col min="13570" max="13572" width="11.44140625" style="1035"/>
    <col min="13573" max="13573" width="13.109375" style="1035" customWidth="1"/>
    <col min="13574" max="13574" width="15.33203125" style="1035" customWidth="1"/>
    <col min="13575" max="13824" width="11.44140625" style="1035"/>
    <col min="13825" max="13825" width="14.5546875" style="1035" customWidth="1"/>
    <col min="13826" max="13828" width="11.44140625" style="1035"/>
    <col min="13829" max="13829" width="13.109375" style="1035" customWidth="1"/>
    <col min="13830" max="13830" width="15.33203125" style="1035" customWidth="1"/>
    <col min="13831" max="14080" width="11.44140625" style="1035"/>
    <col min="14081" max="14081" width="14.5546875" style="1035" customWidth="1"/>
    <col min="14082" max="14084" width="11.44140625" style="1035"/>
    <col min="14085" max="14085" width="13.109375" style="1035" customWidth="1"/>
    <col min="14086" max="14086" width="15.33203125" style="1035" customWidth="1"/>
    <col min="14087" max="14336" width="11.44140625" style="1035"/>
    <col min="14337" max="14337" width="14.5546875" style="1035" customWidth="1"/>
    <col min="14338" max="14340" width="11.44140625" style="1035"/>
    <col min="14341" max="14341" width="13.109375" style="1035" customWidth="1"/>
    <col min="14342" max="14342" width="15.33203125" style="1035" customWidth="1"/>
    <col min="14343" max="14592" width="11.44140625" style="1035"/>
    <col min="14593" max="14593" width="14.5546875" style="1035" customWidth="1"/>
    <col min="14594" max="14596" width="11.44140625" style="1035"/>
    <col min="14597" max="14597" width="13.109375" style="1035" customWidth="1"/>
    <col min="14598" max="14598" width="15.33203125" style="1035" customWidth="1"/>
    <col min="14599" max="14848" width="11.44140625" style="1035"/>
    <col min="14849" max="14849" width="14.5546875" style="1035" customWidth="1"/>
    <col min="14850" max="14852" width="11.44140625" style="1035"/>
    <col min="14853" max="14853" width="13.109375" style="1035" customWidth="1"/>
    <col min="14854" max="14854" width="15.33203125" style="1035" customWidth="1"/>
    <col min="14855" max="15104" width="11.44140625" style="1035"/>
    <col min="15105" max="15105" width="14.5546875" style="1035" customWidth="1"/>
    <col min="15106" max="15108" width="11.44140625" style="1035"/>
    <col min="15109" max="15109" width="13.109375" style="1035" customWidth="1"/>
    <col min="15110" max="15110" width="15.33203125" style="1035" customWidth="1"/>
    <col min="15111" max="15360" width="11.44140625" style="1035"/>
    <col min="15361" max="15361" width="14.5546875" style="1035" customWidth="1"/>
    <col min="15362" max="15364" width="11.44140625" style="1035"/>
    <col min="15365" max="15365" width="13.109375" style="1035" customWidth="1"/>
    <col min="15366" max="15366" width="15.33203125" style="1035" customWidth="1"/>
    <col min="15367" max="15616" width="11.44140625" style="1035"/>
    <col min="15617" max="15617" width="14.5546875" style="1035" customWidth="1"/>
    <col min="15618" max="15620" width="11.44140625" style="1035"/>
    <col min="15621" max="15621" width="13.109375" style="1035" customWidth="1"/>
    <col min="15622" max="15622" width="15.33203125" style="1035" customWidth="1"/>
    <col min="15623" max="15872" width="11.44140625" style="1035"/>
    <col min="15873" max="15873" width="14.5546875" style="1035" customWidth="1"/>
    <col min="15874" max="15876" width="11.44140625" style="1035"/>
    <col min="15877" max="15877" width="13.109375" style="1035" customWidth="1"/>
    <col min="15878" max="15878" width="15.33203125" style="1035" customWidth="1"/>
    <col min="15879" max="16128" width="11.44140625" style="1035"/>
    <col min="16129" max="16129" width="14.5546875" style="1035" customWidth="1"/>
    <col min="16130" max="16132" width="11.44140625" style="1035"/>
    <col min="16133" max="16133" width="13.109375" style="1035" customWidth="1"/>
    <col min="16134" max="16134" width="15.33203125" style="1035" customWidth="1"/>
    <col min="16135" max="16384" width="11.44140625" style="1035"/>
  </cols>
  <sheetData>
    <row r="1" spans="1:10" s="991" customFormat="1" ht="18.75" customHeight="1" x14ac:dyDescent="0.25">
      <c r="A1" s="1645"/>
      <c r="B1" s="1646"/>
      <c r="C1" s="1651" t="s">
        <v>2240</v>
      </c>
      <c r="D1" s="1652"/>
      <c r="E1" s="1652"/>
      <c r="F1" s="1652"/>
      <c r="G1" s="1652"/>
      <c r="H1" s="1652"/>
      <c r="I1" s="1653"/>
      <c r="J1" s="990" t="s">
        <v>2241</v>
      </c>
    </row>
    <row r="2" spans="1:10" s="991" customFormat="1" ht="24.9" customHeight="1" x14ac:dyDescent="0.25">
      <c r="A2" s="1647"/>
      <c r="B2" s="1648"/>
      <c r="C2" s="1654" t="s">
        <v>2242</v>
      </c>
      <c r="D2" s="1655"/>
      <c r="E2" s="1655"/>
      <c r="F2" s="1655"/>
      <c r="G2" s="1655"/>
      <c r="H2" s="1655"/>
      <c r="I2" s="1656"/>
      <c r="J2" s="992" t="s">
        <v>2243</v>
      </c>
    </row>
    <row r="3" spans="1:10" s="991" customFormat="1" ht="16.5" customHeight="1" x14ac:dyDescent="0.25">
      <c r="A3" s="1649"/>
      <c r="B3" s="1650"/>
      <c r="C3" s="1657"/>
      <c r="D3" s="1658"/>
      <c r="E3" s="1658"/>
      <c r="F3" s="1658"/>
      <c r="G3" s="1658"/>
      <c r="H3" s="1658"/>
      <c r="I3" s="1659"/>
      <c r="J3" s="993" t="s">
        <v>2244</v>
      </c>
    </row>
    <row r="4" spans="1:10" s="991" customFormat="1" ht="16.5" customHeight="1" x14ac:dyDescent="0.25">
      <c r="A4" s="994" t="s">
        <v>2245</v>
      </c>
      <c r="B4" s="1660">
        <v>5700014501</v>
      </c>
      <c r="C4" s="1660"/>
      <c r="D4" s="995"/>
      <c r="E4" s="995"/>
      <c r="F4" s="995"/>
      <c r="G4" s="995"/>
      <c r="H4" s="995"/>
      <c r="I4" s="995"/>
      <c r="J4" s="996"/>
    </row>
    <row r="5" spans="1:10" s="991" customFormat="1" ht="13.8" thickBot="1" x14ac:dyDescent="0.3">
      <c r="A5" s="997"/>
      <c r="B5" s="997"/>
      <c r="C5" s="997"/>
      <c r="D5" s="997"/>
      <c r="E5" s="997"/>
      <c r="F5" s="997"/>
      <c r="G5" s="997"/>
      <c r="H5" s="997"/>
      <c r="I5" s="998"/>
      <c r="J5" s="999"/>
    </row>
    <row r="6" spans="1:10" s="991" customFormat="1" ht="13.8" thickBot="1" x14ac:dyDescent="0.3">
      <c r="A6" s="1000"/>
      <c r="B6" s="1000"/>
      <c r="C6" s="1000"/>
      <c r="D6" s="1000"/>
      <c r="E6" s="1000"/>
      <c r="F6" s="1001"/>
      <c r="G6" s="1001"/>
      <c r="H6" s="1000"/>
      <c r="I6" s="1000"/>
      <c r="J6" s="1002"/>
    </row>
    <row r="7" spans="1:10" s="991" customFormat="1" ht="38.25" customHeight="1" x14ac:dyDescent="0.25">
      <c r="A7" s="1661" t="s">
        <v>2246</v>
      </c>
      <c r="B7" s="1662"/>
      <c r="C7" s="1662"/>
      <c r="D7" s="1662"/>
      <c r="E7" s="1662"/>
      <c r="F7" s="1662"/>
      <c r="G7" s="1662"/>
      <c r="H7" s="1662"/>
      <c r="I7" s="1662"/>
      <c r="J7" s="1663"/>
    </row>
    <row r="8" spans="1:10" s="991" customFormat="1" ht="20.100000000000001" customHeight="1" x14ac:dyDescent="0.25">
      <c r="A8" s="1629" t="s">
        <v>2247</v>
      </c>
      <c r="B8" s="1631" t="s">
        <v>2248</v>
      </c>
      <c r="C8" s="1632"/>
      <c r="D8" s="1632"/>
      <c r="E8" s="1632"/>
      <c r="F8" s="1633"/>
      <c r="G8" s="1634"/>
      <c r="H8" s="1643" t="s">
        <v>2249</v>
      </c>
      <c r="I8" s="1643"/>
      <c r="J8" s="1644"/>
    </row>
    <row r="9" spans="1:10" s="991" customFormat="1" ht="13.2" x14ac:dyDescent="0.25">
      <c r="A9" s="1630"/>
      <c r="B9" s="1635"/>
      <c r="C9" s="1636"/>
      <c r="D9" s="1636"/>
      <c r="E9" s="1636"/>
      <c r="F9" s="1637"/>
      <c r="G9" s="1638"/>
      <c r="H9" s="1003" t="s">
        <v>2250</v>
      </c>
      <c r="I9" s="1003" t="s">
        <v>2251</v>
      </c>
      <c r="J9" s="1003" t="s">
        <v>2252</v>
      </c>
    </row>
    <row r="10" spans="1:10" s="991" customFormat="1" ht="13.2" x14ac:dyDescent="0.25">
      <c r="A10" s="1630"/>
      <c r="B10" s="1639"/>
      <c r="C10" s="1640"/>
      <c r="D10" s="1640"/>
      <c r="E10" s="1640"/>
      <c r="F10" s="1641"/>
      <c r="G10" s="1642"/>
      <c r="H10" s="1003">
        <v>15</v>
      </c>
      <c r="I10" s="1003">
        <v>2</v>
      </c>
      <c r="J10" s="1003">
        <v>2018</v>
      </c>
    </row>
    <row r="11" spans="1:10" s="991" customFormat="1" ht="13.8" thickBot="1" x14ac:dyDescent="0.3">
      <c r="A11" s="1618"/>
      <c r="B11" s="1619"/>
      <c r="C11" s="1619"/>
      <c r="D11" s="1619"/>
      <c r="E11" s="1619"/>
      <c r="F11" s="1619"/>
      <c r="G11" s="1619"/>
      <c r="H11" s="1619"/>
      <c r="I11" s="1620"/>
      <c r="J11" s="1620"/>
    </row>
    <row r="12" spans="1:10" s="991" customFormat="1" ht="13.2" x14ac:dyDescent="0.25">
      <c r="A12" s="1004"/>
      <c r="B12" s="1004"/>
      <c r="C12" s="1004"/>
      <c r="D12" s="1004"/>
      <c r="E12" s="1004"/>
      <c r="F12" s="1004"/>
      <c r="G12" s="1621"/>
      <c r="H12" s="1621"/>
      <c r="I12" s="1004"/>
      <c r="J12" s="999"/>
    </row>
    <row r="13" spans="1:10" s="991" customFormat="1" ht="18" customHeight="1" x14ac:dyDescent="0.25">
      <c r="A13" s="1622" t="s">
        <v>2253</v>
      </c>
      <c r="B13" s="1623"/>
      <c r="C13" s="1624"/>
      <c r="D13" s="1005"/>
      <c r="E13" s="1622" t="s">
        <v>2254</v>
      </c>
      <c r="F13" s="1625"/>
      <c r="G13" s="1626"/>
      <c r="H13" s="1005"/>
      <c r="I13" s="1622" t="s">
        <v>2255</v>
      </c>
      <c r="J13" s="1626"/>
    </row>
    <row r="14" spans="1:10" s="991" customFormat="1" ht="12.75" customHeight="1" x14ac:dyDescent="0.25">
      <c r="A14" s="1004"/>
      <c r="B14" s="1004"/>
      <c r="C14" s="1004"/>
      <c r="D14" s="1004"/>
      <c r="E14" s="1004"/>
      <c r="F14" s="1004"/>
      <c r="G14" s="1006"/>
      <c r="H14" s="1006"/>
      <c r="I14" s="1004"/>
      <c r="J14" s="999"/>
    </row>
    <row r="15" spans="1:10" s="991" customFormat="1" ht="18" customHeight="1" x14ac:dyDescent="0.25">
      <c r="A15" s="1627" t="s">
        <v>2256</v>
      </c>
      <c r="B15" s="1627"/>
      <c r="C15" s="1627"/>
      <c r="D15" s="1004"/>
      <c r="E15" s="1627" t="s">
        <v>2257</v>
      </c>
      <c r="F15" s="1627"/>
      <c r="G15" s="1627"/>
      <c r="H15" s="1004"/>
      <c r="I15" s="1007"/>
      <c r="J15" s="1008"/>
    </row>
    <row r="16" spans="1:10" s="991" customFormat="1" ht="18" customHeight="1" x14ac:dyDescent="0.25">
      <c r="A16" s="1628" t="s">
        <v>2258</v>
      </c>
      <c r="B16" s="1628"/>
      <c r="C16" s="1628"/>
      <c r="D16" s="1004"/>
      <c r="E16" s="1628" t="s">
        <v>764</v>
      </c>
      <c r="F16" s="1628"/>
      <c r="G16" s="1628"/>
      <c r="H16" s="1004"/>
      <c r="I16" s="1007"/>
      <c r="J16" s="1008"/>
    </row>
    <row r="17" spans="1:15" s="991" customFormat="1" ht="18" customHeight="1" x14ac:dyDescent="0.25">
      <c r="A17" s="1628"/>
      <c r="B17" s="1628"/>
      <c r="C17" s="1628"/>
      <c r="D17" s="1004"/>
      <c r="E17" s="1628"/>
      <c r="F17" s="1628"/>
      <c r="G17" s="1628"/>
      <c r="H17" s="1004"/>
      <c r="I17" s="1007"/>
      <c r="J17" s="1008"/>
    </row>
    <row r="18" spans="1:15" s="991" customFormat="1" ht="18" customHeight="1" x14ac:dyDescent="0.25">
      <c r="A18" s="1004"/>
      <c r="B18" s="1004"/>
      <c r="C18" s="1004"/>
      <c r="D18" s="1004"/>
      <c r="E18" s="1004"/>
      <c r="F18" s="1004"/>
      <c r="G18" s="1004"/>
      <c r="H18" s="1004"/>
      <c r="I18" s="1004"/>
      <c r="J18" s="999"/>
    </row>
    <row r="19" spans="1:15" s="991" customFormat="1" ht="20.100000000000001" customHeight="1" x14ac:dyDescent="0.25">
      <c r="A19" s="1588" t="s">
        <v>2259</v>
      </c>
      <c r="B19" s="1598"/>
      <c r="C19" s="1598"/>
      <c r="D19" s="1598"/>
      <c r="E19" s="1598"/>
      <c r="F19" s="1598"/>
      <c r="G19" s="1598"/>
      <c r="H19" s="1598"/>
      <c r="I19" s="1598"/>
      <c r="J19" s="1599"/>
    </row>
    <row r="20" spans="1:15" s="991" customFormat="1" ht="13.2" x14ac:dyDescent="0.25">
      <c r="A20" s="1004"/>
      <c r="B20" s="1004"/>
      <c r="C20" s="1004"/>
      <c r="D20" s="1004"/>
      <c r="E20" s="1004"/>
      <c r="F20" s="1004"/>
      <c r="G20" s="1004"/>
      <c r="H20" s="1004"/>
      <c r="I20" s="1004"/>
      <c r="J20" s="999"/>
    </row>
    <row r="21" spans="1:15" s="991" customFormat="1" ht="13.2" x14ac:dyDescent="0.25">
      <c r="A21" s="1600" t="s">
        <v>2260</v>
      </c>
      <c r="B21" s="1613"/>
      <c r="C21" s="1613"/>
      <c r="D21" s="1613"/>
      <c r="E21" s="1613"/>
      <c r="F21" s="1613"/>
      <c r="G21" s="1613"/>
      <c r="H21" s="1613"/>
      <c r="I21" s="1613"/>
      <c r="J21" s="1614"/>
    </row>
    <row r="22" spans="1:15" s="991" customFormat="1" ht="13.2" x14ac:dyDescent="0.25">
      <c r="A22" s="1615"/>
      <c r="B22" s="1616"/>
      <c r="C22" s="1616"/>
      <c r="D22" s="1616"/>
      <c r="E22" s="1616"/>
      <c r="F22" s="1616"/>
      <c r="G22" s="1616"/>
      <c r="H22" s="1616"/>
      <c r="I22" s="1616"/>
      <c r="J22" s="1617"/>
    </row>
    <row r="23" spans="1:15" s="991" customFormat="1" ht="13.2" x14ac:dyDescent="0.25">
      <c r="A23" s="998"/>
      <c r="B23" s="998"/>
      <c r="C23" s="998"/>
      <c r="D23" s="998"/>
      <c r="E23" s="998"/>
      <c r="F23" s="998"/>
      <c r="G23" s="998"/>
      <c r="H23" s="1004"/>
      <c r="I23" s="1004"/>
      <c r="J23" s="999"/>
    </row>
    <row r="24" spans="1:15" s="991" customFormat="1" ht="20.100000000000001" customHeight="1" x14ac:dyDescent="0.25">
      <c r="A24" s="1588" t="s">
        <v>2261</v>
      </c>
      <c r="B24" s="1598"/>
      <c r="C24" s="1598"/>
      <c r="D24" s="1598"/>
      <c r="E24" s="1598"/>
      <c r="F24" s="1598"/>
      <c r="G24" s="1598"/>
      <c r="H24" s="1598"/>
      <c r="I24" s="1598"/>
      <c r="J24" s="1599"/>
    </row>
    <row r="25" spans="1:15" s="991" customFormat="1" ht="13.2" x14ac:dyDescent="0.25">
      <c r="A25" s="1004"/>
      <c r="B25" s="1004"/>
      <c r="C25" s="1004"/>
      <c r="D25" s="1004"/>
      <c r="E25" s="1004"/>
      <c r="F25" s="1004"/>
      <c r="G25" s="1004"/>
      <c r="H25" s="1004"/>
      <c r="I25" s="1004"/>
      <c r="J25" s="999"/>
    </row>
    <row r="26" spans="1:15" s="991" customFormat="1" ht="12.75" customHeight="1" x14ac:dyDescent="0.25">
      <c r="A26" s="1600" t="s">
        <v>2262</v>
      </c>
      <c r="B26" s="1601"/>
      <c r="C26" s="1601"/>
      <c r="D26" s="1601"/>
      <c r="E26" s="1601"/>
      <c r="F26" s="1601"/>
      <c r="G26" s="1601"/>
      <c r="H26" s="1601"/>
      <c r="I26" s="1601"/>
      <c r="J26" s="1602"/>
    </row>
    <row r="27" spans="1:15" s="991" customFormat="1" ht="13.2" x14ac:dyDescent="0.25">
      <c r="A27" s="1603"/>
      <c r="B27" s="1604"/>
      <c r="C27" s="1604"/>
      <c r="D27" s="1604"/>
      <c r="E27" s="1604"/>
      <c r="F27" s="1604"/>
      <c r="G27" s="1604"/>
      <c r="H27" s="1604"/>
      <c r="I27" s="1604"/>
      <c r="J27" s="1605"/>
    </row>
    <row r="28" spans="1:15" s="991" customFormat="1" ht="24.75" customHeight="1" x14ac:dyDescent="0.25">
      <c r="A28" s="1603"/>
      <c r="B28" s="1604"/>
      <c r="C28" s="1604"/>
      <c r="D28" s="1604"/>
      <c r="E28" s="1604"/>
      <c r="F28" s="1604"/>
      <c r="G28" s="1604"/>
      <c r="H28" s="1604"/>
      <c r="I28" s="1604"/>
      <c r="J28" s="1605"/>
    </row>
    <row r="29" spans="1:15" s="991" customFormat="1" ht="13.2" x14ac:dyDescent="0.25">
      <c r="A29" s="1603"/>
      <c r="B29" s="1604"/>
      <c r="C29" s="1604"/>
      <c r="D29" s="1604"/>
      <c r="E29" s="1604"/>
      <c r="F29" s="1604"/>
      <c r="G29" s="1604"/>
      <c r="H29" s="1604"/>
      <c r="I29" s="1604"/>
      <c r="J29" s="1605"/>
    </row>
    <row r="30" spans="1:15" s="991" customFormat="1" ht="27" customHeight="1" x14ac:dyDescent="0.25">
      <c r="A30" s="1603"/>
      <c r="B30" s="1604"/>
      <c r="C30" s="1604"/>
      <c r="D30" s="1604"/>
      <c r="E30" s="1604"/>
      <c r="F30" s="1604"/>
      <c r="G30" s="1604"/>
      <c r="H30" s="1604"/>
      <c r="I30" s="1604"/>
      <c r="J30" s="1605"/>
    </row>
    <row r="31" spans="1:15" s="991" customFormat="1" ht="20.25" customHeight="1" x14ac:dyDescent="0.25">
      <c r="A31" s="1603"/>
      <c r="B31" s="1604"/>
      <c r="C31" s="1604"/>
      <c r="D31" s="1604"/>
      <c r="E31" s="1604"/>
      <c r="F31" s="1604"/>
      <c r="G31" s="1604"/>
      <c r="H31" s="1604"/>
      <c r="I31" s="1604"/>
      <c r="J31" s="1605"/>
    </row>
    <row r="32" spans="1:15" s="991" customFormat="1" ht="12.75" customHeight="1" x14ac:dyDescent="0.25">
      <c r="A32" s="1603"/>
      <c r="B32" s="1604"/>
      <c r="C32" s="1604"/>
      <c r="D32" s="1604"/>
      <c r="E32" s="1604"/>
      <c r="F32" s="1604"/>
      <c r="G32" s="1604"/>
      <c r="H32" s="1604"/>
      <c r="I32" s="1604"/>
      <c r="J32" s="1605"/>
      <c r="L32" s="1009"/>
      <c r="M32" s="1009"/>
      <c r="N32" s="1009"/>
      <c r="O32" s="1009"/>
    </row>
    <row r="33" spans="1:15" s="991" customFormat="1" ht="22.5" customHeight="1" x14ac:dyDescent="0.25">
      <c r="A33" s="1010"/>
      <c r="B33" s="1011"/>
      <c r="C33" s="1011"/>
      <c r="D33" s="1011"/>
      <c r="E33" s="1011"/>
      <c r="F33" s="1011"/>
      <c r="G33" s="1011"/>
      <c r="H33" s="1011"/>
      <c r="I33" s="1011"/>
      <c r="J33" s="1012"/>
      <c r="L33" s="1009"/>
      <c r="M33" s="1009"/>
      <c r="N33" s="1009"/>
      <c r="O33" s="1009"/>
    </row>
    <row r="34" spans="1:15" s="1013" customFormat="1" ht="12" customHeight="1" x14ac:dyDescent="0.3">
      <c r="A34" s="1010"/>
      <c r="B34" s="1011"/>
      <c r="C34" s="1011"/>
      <c r="D34" s="1011"/>
      <c r="E34" s="1011"/>
      <c r="F34" s="1011"/>
      <c r="G34" s="1011"/>
      <c r="H34" s="1011"/>
      <c r="I34" s="1011"/>
      <c r="J34" s="1012"/>
    </row>
    <row r="35" spans="1:15" s="1009" customFormat="1" ht="44.25" customHeight="1" x14ac:dyDescent="0.3">
      <c r="A35" s="1010"/>
      <c r="B35" s="1011"/>
      <c r="C35" s="1011"/>
      <c r="D35" s="1011"/>
      <c r="E35" s="1011"/>
      <c r="F35" s="1011"/>
      <c r="G35" s="1011"/>
      <c r="H35" s="1011"/>
      <c r="I35" s="1011"/>
      <c r="J35" s="1012"/>
    </row>
    <row r="36" spans="1:15" s="1009" customFormat="1" ht="24" customHeight="1" x14ac:dyDescent="0.3">
      <c r="A36" s="1010"/>
      <c r="B36" s="1011"/>
      <c r="C36" s="1011"/>
      <c r="D36" s="1011"/>
      <c r="E36" s="1011"/>
      <c r="F36" s="1011"/>
      <c r="G36" s="1011"/>
      <c r="H36" s="1011"/>
      <c r="I36" s="1011"/>
      <c r="J36" s="1012"/>
    </row>
    <row r="37" spans="1:15" s="1009" customFormat="1" ht="24" customHeight="1" x14ac:dyDescent="0.3">
      <c r="A37" s="1010"/>
      <c r="B37" s="1011"/>
      <c r="C37" s="1011"/>
      <c r="D37" s="1011"/>
      <c r="E37" s="1011"/>
      <c r="F37" s="1011"/>
      <c r="G37" s="1011"/>
      <c r="H37" s="1011"/>
      <c r="I37" s="1011"/>
      <c r="J37" s="1012"/>
    </row>
    <row r="38" spans="1:15" s="1009" customFormat="1" ht="24" customHeight="1" x14ac:dyDescent="0.3">
      <c r="A38" s="1010"/>
      <c r="B38" s="1011"/>
      <c r="C38" s="1011"/>
      <c r="D38" s="1011" t="s">
        <v>2263</v>
      </c>
      <c r="E38" s="1011"/>
      <c r="F38" s="1011"/>
      <c r="G38" s="1011"/>
      <c r="H38" s="1011"/>
      <c r="I38" s="1011"/>
      <c r="J38" s="1012"/>
    </row>
    <row r="39" spans="1:15" s="1009" customFormat="1" ht="29.1" customHeight="1" x14ac:dyDescent="0.3">
      <c r="A39" s="1014" t="s">
        <v>2264</v>
      </c>
      <c r="B39" s="1011"/>
      <c r="C39" s="1011"/>
      <c r="D39" s="1011"/>
      <c r="E39" s="1011"/>
      <c r="F39" s="1011"/>
      <c r="G39" s="1011"/>
      <c r="H39" s="1011"/>
      <c r="I39" s="1011"/>
      <c r="J39" s="1012"/>
    </row>
    <row r="40" spans="1:15" s="1009" customFormat="1" ht="29.1" customHeight="1" x14ac:dyDescent="0.3">
      <c r="A40" s="1010"/>
      <c r="B40" s="1011"/>
      <c r="C40" s="1011"/>
      <c r="D40" s="1011"/>
      <c r="E40" s="1011"/>
      <c r="F40" s="1011"/>
      <c r="G40" s="1011"/>
      <c r="H40" s="1011"/>
      <c r="I40" s="1011"/>
      <c r="J40" s="1012"/>
    </row>
    <row r="41" spans="1:15" s="1009" customFormat="1" ht="29.1" customHeight="1" x14ac:dyDescent="0.3">
      <c r="A41" s="1010"/>
      <c r="B41" s="1011"/>
      <c r="C41" s="1011"/>
      <c r="D41" s="1011"/>
      <c r="E41" s="1011"/>
      <c r="F41" s="1011"/>
      <c r="G41" s="1011"/>
      <c r="H41" s="1011"/>
      <c r="I41" s="1011"/>
      <c r="J41" s="1012"/>
    </row>
    <row r="42" spans="1:15" s="1009" customFormat="1" ht="29.1" customHeight="1" x14ac:dyDescent="0.3">
      <c r="A42" s="1010"/>
      <c r="B42" s="1011"/>
      <c r="C42" s="1011"/>
      <c r="D42" s="1011"/>
      <c r="E42" s="1011"/>
      <c r="F42" s="1011"/>
      <c r="G42" s="1011"/>
      <c r="H42" s="1011"/>
      <c r="I42" s="1011"/>
      <c r="J42" s="1012"/>
    </row>
    <row r="43" spans="1:15" s="1009" customFormat="1" ht="29.1" customHeight="1" x14ac:dyDescent="0.3">
      <c r="A43" s="1010"/>
      <c r="B43" s="1011"/>
      <c r="C43" s="1011"/>
      <c r="D43" s="1011"/>
      <c r="E43" s="1011"/>
      <c r="F43" s="1011"/>
      <c r="G43" s="1011"/>
      <c r="H43" s="1011"/>
      <c r="I43" s="1011"/>
      <c r="J43" s="1012"/>
    </row>
    <row r="44" spans="1:15" s="1009" customFormat="1" ht="29.1" customHeight="1" x14ac:dyDescent="0.3">
      <c r="A44" s="1010"/>
      <c r="B44" s="1011"/>
      <c r="C44" s="1011"/>
      <c r="D44" s="1011"/>
      <c r="E44" s="1011"/>
      <c r="F44" s="1011"/>
      <c r="G44" s="1011"/>
      <c r="H44" s="1011"/>
      <c r="I44" s="1011"/>
      <c r="J44" s="1012"/>
    </row>
    <row r="45" spans="1:15" s="1009" customFormat="1" ht="29.1" customHeight="1" x14ac:dyDescent="0.3">
      <c r="A45" s="1010"/>
      <c r="B45" s="1011"/>
      <c r="C45" s="1011"/>
      <c r="D45" s="1011"/>
      <c r="E45" s="1011"/>
      <c r="F45" s="1011"/>
      <c r="G45" s="1011"/>
      <c r="H45" s="1011"/>
      <c r="I45" s="1011"/>
      <c r="J45" s="1012"/>
    </row>
    <row r="46" spans="1:15" s="1009" customFormat="1" ht="29.1" customHeight="1" x14ac:dyDescent="0.3">
      <c r="A46" s="1010"/>
      <c r="B46" s="1011"/>
      <c r="C46" s="1011"/>
      <c r="D46" s="1011"/>
      <c r="E46" s="1011"/>
      <c r="F46" s="1011"/>
      <c r="G46" s="1011"/>
      <c r="H46" s="1011"/>
      <c r="I46" s="1011"/>
      <c r="J46" s="1012"/>
    </row>
    <row r="47" spans="1:15" s="1009" customFormat="1" ht="29.1" customHeight="1" x14ac:dyDescent="0.3">
      <c r="A47" s="1010"/>
      <c r="B47" s="1011"/>
      <c r="C47" s="1011"/>
      <c r="D47" s="1011"/>
      <c r="E47" s="1011"/>
      <c r="F47" s="1011"/>
      <c r="G47" s="1011"/>
      <c r="H47" s="1011"/>
      <c r="I47" s="1011"/>
      <c r="J47" s="1012"/>
    </row>
    <row r="48" spans="1:15" s="1009" customFormat="1" ht="29.1" customHeight="1" x14ac:dyDescent="0.3">
      <c r="A48" s="1010"/>
      <c r="B48" s="1011"/>
      <c r="C48" s="1011"/>
      <c r="D48" s="1011"/>
      <c r="E48" s="1011"/>
      <c r="F48" s="1011"/>
      <c r="G48" s="1011"/>
      <c r="H48" s="1011"/>
      <c r="I48" s="1011"/>
      <c r="J48" s="1012"/>
    </row>
    <row r="49" spans="1:10" s="1009" customFormat="1" ht="29.1" customHeight="1" x14ac:dyDescent="0.3">
      <c r="A49" s="1010"/>
      <c r="B49" s="1011"/>
      <c r="C49" s="1011"/>
      <c r="D49" s="1011"/>
      <c r="E49" s="1011"/>
      <c r="F49" s="1011"/>
      <c r="G49" s="1011"/>
      <c r="H49" s="1011"/>
      <c r="I49" s="1011"/>
      <c r="J49" s="1012"/>
    </row>
    <row r="50" spans="1:10" s="1009" customFormat="1" ht="29.1" customHeight="1" x14ac:dyDescent="0.3">
      <c r="A50" s="1010"/>
      <c r="B50" s="1011"/>
      <c r="C50" s="1011"/>
      <c r="D50" s="1011"/>
      <c r="E50" s="1011"/>
      <c r="F50" s="1011"/>
      <c r="G50" s="1011"/>
      <c r="H50" s="1011"/>
      <c r="I50" s="1011"/>
      <c r="J50" s="1012"/>
    </row>
    <row r="51" spans="1:10" s="1009" customFormat="1" ht="29.1" customHeight="1" x14ac:dyDescent="0.3">
      <c r="A51" s="1010"/>
      <c r="B51" s="1011"/>
      <c r="C51" s="1011"/>
      <c r="D51" s="1011"/>
      <c r="E51" s="1011"/>
      <c r="F51" s="1011"/>
      <c r="G51" s="1011"/>
      <c r="H51" s="1011"/>
      <c r="I51" s="1011"/>
      <c r="J51" s="1012"/>
    </row>
    <row r="52" spans="1:10" s="1009" customFormat="1" ht="24" customHeight="1" x14ac:dyDescent="0.3">
      <c r="A52" s="1606" t="s">
        <v>2265</v>
      </c>
      <c r="B52" s="1607"/>
      <c r="C52" s="1607"/>
      <c r="D52" s="1607"/>
      <c r="E52" s="1607"/>
      <c r="F52" s="1607"/>
      <c r="G52" s="1607"/>
      <c r="H52" s="1607"/>
      <c r="I52" s="1607"/>
      <c r="J52" s="1608"/>
    </row>
    <row r="53" spans="1:10" s="1009" customFormat="1" ht="24" customHeight="1" x14ac:dyDescent="0.3">
      <c r="A53" s="1606"/>
      <c r="B53" s="1607"/>
      <c r="C53" s="1607"/>
      <c r="D53" s="1607"/>
      <c r="E53" s="1607"/>
      <c r="F53" s="1607"/>
      <c r="G53" s="1607"/>
      <c r="H53" s="1607"/>
      <c r="I53" s="1607"/>
      <c r="J53" s="1608"/>
    </row>
    <row r="54" spans="1:10" s="1009" customFormat="1" ht="24" customHeight="1" x14ac:dyDescent="0.3">
      <c r="A54" s="1014" t="s">
        <v>2266</v>
      </c>
      <c r="B54" s="1011"/>
      <c r="C54" s="1011"/>
      <c r="D54" s="1011"/>
      <c r="E54" s="1011"/>
      <c r="F54" s="1011"/>
      <c r="G54" s="1011"/>
      <c r="H54" s="1011"/>
      <c r="I54" s="1011"/>
      <c r="J54" s="1012"/>
    </row>
    <row r="55" spans="1:10" s="1009" customFormat="1" ht="12.75" customHeight="1" x14ac:dyDescent="0.3">
      <c r="A55" s="1014"/>
      <c r="B55" s="1011"/>
      <c r="C55" s="1011"/>
      <c r="D55" s="1011"/>
      <c r="E55" s="1011"/>
      <c r="F55" s="1011"/>
      <c r="G55" s="1011"/>
      <c r="H55" s="1011"/>
      <c r="I55" s="1011"/>
      <c r="J55" s="1012"/>
    </row>
    <row r="56" spans="1:10" s="1009" customFormat="1" ht="12.75" customHeight="1" x14ac:dyDescent="0.3">
      <c r="A56" s="1014"/>
      <c r="B56" s="1011"/>
      <c r="C56" s="1011"/>
      <c r="D56" s="1011"/>
      <c r="E56" s="1011"/>
      <c r="F56" s="1011"/>
      <c r="G56" s="1011"/>
      <c r="H56" s="1011"/>
      <c r="I56" s="1011"/>
      <c r="J56" s="1012"/>
    </row>
    <row r="57" spans="1:10" s="1009" customFormat="1" ht="15.75" customHeight="1" x14ac:dyDescent="0.3">
      <c r="A57" s="1014"/>
      <c r="B57" s="1609" t="s">
        <v>2267</v>
      </c>
      <c r="C57" s="1609" t="s">
        <v>2268</v>
      </c>
      <c r="D57" s="1015" t="s">
        <v>2269</v>
      </c>
      <c r="E57" s="1015" t="s">
        <v>2270</v>
      </c>
      <c r="F57" s="1609" t="s">
        <v>2271</v>
      </c>
      <c r="G57" s="1011"/>
      <c r="H57" s="1011"/>
      <c r="I57" s="1011"/>
      <c r="J57" s="1012"/>
    </row>
    <row r="58" spans="1:10" s="1009" customFormat="1" ht="11.25" customHeight="1" x14ac:dyDescent="0.3">
      <c r="A58" s="1014"/>
      <c r="B58" s="1609"/>
      <c r="C58" s="1609"/>
      <c r="D58" s="1015" t="s">
        <v>2272</v>
      </c>
      <c r="E58" s="1015" t="s">
        <v>2273</v>
      </c>
      <c r="F58" s="1609"/>
      <c r="G58" s="1011"/>
      <c r="H58" s="1011"/>
      <c r="I58" s="1011"/>
      <c r="J58" s="1012"/>
    </row>
    <row r="59" spans="1:10" s="1009" customFormat="1" ht="18" customHeight="1" x14ac:dyDescent="0.3">
      <c r="A59" s="1014"/>
      <c r="B59" s="1016">
        <v>580</v>
      </c>
      <c r="C59" s="1597">
        <v>42933</v>
      </c>
      <c r="D59" s="1017">
        <v>42933</v>
      </c>
      <c r="E59" s="1018">
        <v>100076529</v>
      </c>
      <c r="F59" s="1019">
        <v>27121135</v>
      </c>
      <c r="G59" s="1011"/>
      <c r="H59" s="1011"/>
      <c r="I59" s="1011"/>
      <c r="J59" s="1012"/>
    </row>
    <row r="60" spans="1:10" s="1009" customFormat="1" ht="18" customHeight="1" x14ac:dyDescent="0.3">
      <c r="A60" s="1014"/>
      <c r="B60" s="1016">
        <v>583</v>
      </c>
      <c r="C60" s="1597"/>
      <c r="D60" s="1017">
        <v>42933</v>
      </c>
      <c r="E60" s="1018">
        <v>100076531</v>
      </c>
      <c r="F60" s="1019">
        <v>33080840</v>
      </c>
      <c r="G60" s="1011"/>
      <c r="H60" s="1011"/>
      <c r="I60" s="1011"/>
      <c r="J60" s="1012"/>
    </row>
    <row r="61" spans="1:10" s="1009" customFormat="1" ht="18" customHeight="1" x14ac:dyDescent="0.3">
      <c r="A61" s="1014"/>
      <c r="B61" s="1016">
        <v>586</v>
      </c>
      <c r="C61" s="1597"/>
      <c r="D61" s="1610">
        <v>42933</v>
      </c>
      <c r="E61" s="1611">
        <v>100076532</v>
      </c>
      <c r="F61" s="1612">
        <v>366254342</v>
      </c>
      <c r="G61" s="1011"/>
      <c r="H61" s="1011"/>
      <c r="I61" s="1011"/>
      <c r="J61" s="1012"/>
    </row>
    <row r="62" spans="1:10" s="1009" customFormat="1" ht="18" customHeight="1" x14ac:dyDescent="0.3">
      <c r="A62" s="1014"/>
      <c r="B62" s="1016">
        <v>587</v>
      </c>
      <c r="C62" s="1597"/>
      <c r="D62" s="1610"/>
      <c r="E62" s="1611"/>
      <c r="F62" s="1612"/>
      <c r="G62" s="1011"/>
      <c r="H62" s="1011"/>
      <c r="I62" s="1011"/>
      <c r="J62" s="1012"/>
    </row>
    <row r="63" spans="1:10" s="1009" customFormat="1" ht="18" customHeight="1" x14ac:dyDescent="0.3">
      <c r="A63" s="1014"/>
      <c r="B63" s="1016">
        <v>588</v>
      </c>
      <c r="C63" s="1597">
        <v>42951</v>
      </c>
      <c r="D63" s="1017">
        <v>42951</v>
      </c>
      <c r="E63" s="1018">
        <v>100077809</v>
      </c>
      <c r="F63" s="1019">
        <v>21659253</v>
      </c>
      <c r="G63" s="1011"/>
      <c r="H63" s="1011"/>
      <c r="I63" s="1011"/>
      <c r="J63" s="1012"/>
    </row>
    <row r="64" spans="1:10" s="1009" customFormat="1" ht="18" customHeight="1" x14ac:dyDescent="0.3">
      <c r="A64" s="1014"/>
      <c r="B64" s="1016">
        <v>589</v>
      </c>
      <c r="C64" s="1597"/>
      <c r="D64" s="1017">
        <v>42951</v>
      </c>
      <c r="E64" s="1018">
        <v>100077810</v>
      </c>
      <c r="F64" s="1019">
        <v>2507180</v>
      </c>
      <c r="G64" s="1011"/>
      <c r="H64" s="1011"/>
      <c r="I64" s="1011"/>
      <c r="J64" s="1012"/>
    </row>
    <row r="65" spans="1:10" s="1009" customFormat="1" ht="18" customHeight="1" x14ac:dyDescent="0.3">
      <c r="A65" s="1014"/>
      <c r="B65" s="1016">
        <v>592</v>
      </c>
      <c r="C65" s="1597"/>
      <c r="D65" s="1017">
        <v>42951</v>
      </c>
      <c r="E65" s="1018">
        <v>100077811</v>
      </c>
      <c r="F65" s="1019">
        <v>10931306</v>
      </c>
      <c r="G65" s="1011"/>
      <c r="H65" s="1011"/>
      <c r="I65" s="1011"/>
      <c r="J65" s="1012"/>
    </row>
    <row r="66" spans="1:10" s="1009" customFormat="1" ht="18" customHeight="1" x14ac:dyDescent="0.3">
      <c r="A66" s="1014"/>
      <c r="B66" s="1016">
        <v>593</v>
      </c>
      <c r="C66" s="1597"/>
      <c r="D66" s="1017">
        <v>42951</v>
      </c>
      <c r="E66" s="1018">
        <v>100077812</v>
      </c>
      <c r="F66" s="1019">
        <v>17968120</v>
      </c>
      <c r="G66" s="1011"/>
      <c r="H66" s="1011"/>
      <c r="I66" s="1011"/>
      <c r="J66" s="1012"/>
    </row>
    <row r="67" spans="1:10" s="1009" customFormat="1" ht="18" customHeight="1" x14ac:dyDescent="0.3">
      <c r="A67" s="1014"/>
      <c r="B67" s="1016">
        <v>594</v>
      </c>
      <c r="C67" s="1597"/>
      <c r="D67" s="1017">
        <v>42958</v>
      </c>
      <c r="E67" s="1018">
        <v>100078099</v>
      </c>
      <c r="F67" s="1019">
        <v>27411832</v>
      </c>
      <c r="G67" s="1011"/>
      <c r="H67" s="1011"/>
      <c r="I67" s="1011"/>
      <c r="J67" s="1012"/>
    </row>
    <row r="68" spans="1:10" s="1009" customFormat="1" ht="18" customHeight="1" x14ac:dyDescent="0.3">
      <c r="A68" s="1014"/>
      <c r="B68" s="1016">
        <v>595</v>
      </c>
      <c r="C68" s="1597"/>
      <c r="D68" s="1017">
        <v>42958</v>
      </c>
      <c r="E68" s="1018">
        <v>100078100</v>
      </c>
      <c r="F68" s="1019">
        <v>66535667</v>
      </c>
      <c r="G68" s="1011"/>
      <c r="H68" s="1011"/>
      <c r="I68" s="1011"/>
      <c r="J68" s="1012"/>
    </row>
    <row r="69" spans="1:10" s="1009" customFormat="1" ht="18" customHeight="1" x14ac:dyDescent="0.3">
      <c r="A69" s="1014"/>
      <c r="B69" s="1016">
        <v>596</v>
      </c>
      <c r="C69" s="1597"/>
      <c r="D69" s="1017">
        <v>42958</v>
      </c>
      <c r="E69" s="1018">
        <v>100078101</v>
      </c>
      <c r="F69" s="1019">
        <v>38483775</v>
      </c>
      <c r="G69" s="1011"/>
      <c r="H69" s="1011"/>
      <c r="I69" s="1011"/>
      <c r="J69" s="1012"/>
    </row>
    <row r="70" spans="1:10" s="1009" customFormat="1" ht="18" customHeight="1" x14ac:dyDescent="0.3">
      <c r="A70" s="1014"/>
      <c r="B70" s="1016">
        <v>597</v>
      </c>
      <c r="C70" s="1597"/>
      <c r="D70" s="1017">
        <v>42958</v>
      </c>
      <c r="E70" s="1018">
        <v>100078102</v>
      </c>
      <c r="F70" s="1019">
        <v>171759491</v>
      </c>
      <c r="G70" s="1011"/>
      <c r="H70" s="1011"/>
      <c r="I70" s="1011"/>
      <c r="J70" s="1012"/>
    </row>
    <row r="71" spans="1:10" s="1009" customFormat="1" ht="18" customHeight="1" x14ac:dyDescent="0.3">
      <c r="A71" s="1014"/>
      <c r="B71" s="1016">
        <v>600</v>
      </c>
      <c r="C71" s="1597"/>
      <c r="D71" s="1017">
        <v>42965</v>
      </c>
      <c r="E71" s="1018">
        <v>100078929</v>
      </c>
      <c r="F71" s="1019">
        <v>88854461</v>
      </c>
      <c r="G71" s="1011"/>
      <c r="H71" s="1011"/>
      <c r="I71" s="1011"/>
      <c r="J71" s="1012"/>
    </row>
    <row r="72" spans="1:10" s="1009" customFormat="1" ht="18" customHeight="1" x14ac:dyDescent="0.3">
      <c r="A72" s="1014"/>
      <c r="B72" s="1016">
        <v>601</v>
      </c>
      <c r="C72" s="1597">
        <v>42979</v>
      </c>
      <c r="D72" s="1017">
        <v>42984</v>
      </c>
      <c r="E72" s="1018">
        <v>100079938</v>
      </c>
      <c r="F72" s="1019">
        <v>3764494</v>
      </c>
      <c r="G72" s="1011"/>
      <c r="H72" s="1011"/>
      <c r="I72" s="1011"/>
      <c r="J72" s="1012"/>
    </row>
    <row r="73" spans="1:10" s="1009" customFormat="1" ht="18" customHeight="1" x14ac:dyDescent="0.3">
      <c r="A73" s="1014"/>
      <c r="B73" s="1016">
        <v>602</v>
      </c>
      <c r="C73" s="1597"/>
      <c r="D73" s="1017">
        <v>42984</v>
      </c>
      <c r="E73" s="1018">
        <v>100079939</v>
      </c>
      <c r="F73" s="1019">
        <v>7262918</v>
      </c>
      <c r="G73" s="1011"/>
      <c r="H73" s="1011"/>
      <c r="I73" s="1011"/>
      <c r="J73" s="1012"/>
    </row>
    <row r="74" spans="1:10" s="1009" customFormat="1" ht="18" customHeight="1" x14ac:dyDescent="0.3">
      <c r="A74" s="1014"/>
      <c r="B74" s="1016">
        <v>603</v>
      </c>
      <c r="C74" s="1597"/>
      <c r="D74" s="1017">
        <v>42984</v>
      </c>
      <c r="E74" s="1018">
        <v>100079940</v>
      </c>
      <c r="F74" s="1019">
        <v>3834860</v>
      </c>
      <c r="G74" s="1011"/>
      <c r="H74" s="1011"/>
      <c r="I74" s="1011"/>
      <c r="J74" s="1012"/>
    </row>
    <row r="75" spans="1:10" s="1009" customFormat="1" ht="18" customHeight="1" x14ac:dyDescent="0.3">
      <c r="A75" s="1014"/>
      <c r="B75" s="1016">
        <v>604</v>
      </c>
      <c r="C75" s="1597"/>
      <c r="D75" s="1017">
        <v>42984</v>
      </c>
      <c r="E75" s="1018">
        <v>100079941</v>
      </c>
      <c r="F75" s="1019">
        <v>2256463</v>
      </c>
      <c r="G75" s="1011"/>
      <c r="H75" s="1011"/>
      <c r="I75" s="1011"/>
      <c r="J75" s="1012"/>
    </row>
    <row r="76" spans="1:10" s="1009" customFormat="1" ht="18" customHeight="1" x14ac:dyDescent="0.3">
      <c r="A76" s="1014"/>
      <c r="B76" s="1016">
        <v>605</v>
      </c>
      <c r="C76" s="1597"/>
      <c r="D76" s="1017">
        <v>42984</v>
      </c>
      <c r="E76" s="1018">
        <v>100079942</v>
      </c>
      <c r="F76" s="1019">
        <v>15278477</v>
      </c>
      <c r="G76" s="1011"/>
      <c r="H76" s="1011"/>
      <c r="I76" s="1011"/>
      <c r="J76" s="1012"/>
    </row>
    <row r="77" spans="1:10" s="1009" customFormat="1" ht="18" customHeight="1" x14ac:dyDescent="0.3">
      <c r="A77" s="1014"/>
      <c r="B77" s="1016">
        <v>606</v>
      </c>
      <c r="C77" s="1597"/>
      <c r="D77" s="1017">
        <v>42990</v>
      </c>
      <c r="E77" s="1018">
        <v>100080242</v>
      </c>
      <c r="F77" s="1019">
        <v>55532987</v>
      </c>
      <c r="G77" s="1011"/>
      <c r="H77" s="1011"/>
      <c r="I77" s="1011"/>
      <c r="J77" s="1012"/>
    </row>
    <row r="78" spans="1:10" s="1009" customFormat="1" ht="18" customHeight="1" x14ac:dyDescent="0.3">
      <c r="A78" s="1014"/>
      <c r="B78" s="1016">
        <v>607</v>
      </c>
      <c r="C78" s="1597"/>
      <c r="D78" s="1017">
        <v>42990</v>
      </c>
      <c r="E78" s="1018">
        <v>100080243</v>
      </c>
      <c r="F78" s="1019">
        <v>30576459</v>
      </c>
      <c r="G78" s="1011"/>
      <c r="H78" s="1011"/>
      <c r="I78" s="1011"/>
      <c r="J78" s="1012"/>
    </row>
    <row r="79" spans="1:10" s="1009" customFormat="1" ht="18" customHeight="1" x14ac:dyDescent="0.3">
      <c r="A79" s="1014"/>
      <c r="B79" s="1016">
        <v>608</v>
      </c>
      <c r="C79" s="1597"/>
      <c r="D79" s="1017">
        <v>42990</v>
      </c>
      <c r="E79" s="1018">
        <v>100080244</v>
      </c>
      <c r="F79" s="1019">
        <v>33557566</v>
      </c>
      <c r="G79" s="1011"/>
      <c r="H79" s="1011"/>
      <c r="I79" s="1011"/>
      <c r="J79" s="1012"/>
    </row>
    <row r="80" spans="1:10" s="1009" customFormat="1" ht="18" customHeight="1" x14ac:dyDescent="0.3">
      <c r="A80" s="1014"/>
      <c r="B80" s="1016">
        <v>609</v>
      </c>
      <c r="C80" s="1597"/>
      <c r="D80" s="1017">
        <v>42990</v>
      </c>
      <c r="E80" s="1018">
        <v>100080245</v>
      </c>
      <c r="F80" s="1019">
        <v>55345925</v>
      </c>
      <c r="G80" s="1011"/>
      <c r="H80" s="1011"/>
      <c r="I80" s="1011"/>
      <c r="J80" s="1012"/>
    </row>
    <row r="81" spans="1:10" s="1009" customFormat="1" ht="18" customHeight="1" x14ac:dyDescent="0.3">
      <c r="A81" s="1014"/>
      <c r="B81" s="1016">
        <v>610</v>
      </c>
      <c r="C81" s="1597"/>
      <c r="D81" s="1017">
        <v>42990</v>
      </c>
      <c r="E81" s="1018">
        <v>100080246</v>
      </c>
      <c r="F81" s="1019">
        <v>6309736</v>
      </c>
      <c r="G81" s="1011"/>
      <c r="H81" s="1011"/>
      <c r="I81" s="1011"/>
      <c r="J81" s="1012"/>
    </row>
    <row r="82" spans="1:10" s="1009" customFormat="1" ht="18" customHeight="1" x14ac:dyDescent="0.3">
      <c r="A82" s="1014"/>
      <c r="B82" s="1016">
        <v>611</v>
      </c>
      <c r="C82" s="1597"/>
      <c r="D82" s="1017">
        <v>42990</v>
      </c>
      <c r="E82" s="1018">
        <v>100080247</v>
      </c>
      <c r="F82" s="1019">
        <v>28672490</v>
      </c>
      <c r="G82" s="1011"/>
      <c r="H82" s="1011"/>
      <c r="I82" s="1011"/>
      <c r="J82" s="1012"/>
    </row>
    <row r="83" spans="1:10" s="1009" customFormat="1" ht="18" customHeight="1" x14ac:dyDescent="0.3">
      <c r="A83" s="1014"/>
      <c r="B83" s="1016">
        <v>612</v>
      </c>
      <c r="C83" s="1597"/>
      <c r="D83" s="1017">
        <v>42990</v>
      </c>
      <c r="E83" s="1018">
        <v>100080248</v>
      </c>
      <c r="F83" s="1019">
        <v>48480258</v>
      </c>
      <c r="G83" s="1011"/>
      <c r="H83" s="1011"/>
      <c r="I83" s="1011"/>
      <c r="J83" s="1012"/>
    </row>
    <row r="84" spans="1:10" s="1009" customFormat="1" ht="18" customHeight="1" x14ac:dyDescent="0.3">
      <c r="A84" s="1014"/>
      <c r="B84" s="1016">
        <v>613</v>
      </c>
      <c r="C84" s="1597"/>
      <c r="D84" s="1017">
        <v>42993</v>
      </c>
      <c r="E84" s="1018">
        <v>100080593</v>
      </c>
      <c r="F84" s="1019">
        <v>24594736</v>
      </c>
      <c r="G84" s="1011"/>
      <c r="H84" s="1011"/>
      <c r="I84" s="1011"/>
      <c r="J84" s="1012"/>
    </row>
    <row r="85" spans="1:10" s="1009" customFormat="1" ht="18" customHeight="1" x14ac:dyDescent="0.3">
      <c r="A85" s="1014"/>
      <c r="B85" s="1016">
        <v>614</v>
      </c>
      <c r="C85" s="1597"/>
      <c r="D85" s="1017">
        <v>42993</v>
      </c>
      <c r="E85" s="1018">
        <v>100080592</v>
      </c>
      <c r="F85" s="1019">
        <v>16830079</v>
      </c>
      <c r="G85" s="1011"/>
      <c r="H85" s="1011"/>
      <c r="I85" s="1011"/>
      <c r="J85" s="1012"/>
    </row>
    <row r="86" spans="1:10" s="1009" customFormat="1" ht="18" customHeight="1" x14ac:dyDescent="0.3">
      <c r="A86" s="1014"/>
      <c r="B86" s="1016">
        <v>616</v>
      </c>
      <c r="C86" s="1597"/>
      <c r="D86" s="1017">
        <v>42993</v>
      </c>
      <c r="E86" s="1018">
        <v>100080591</v>
      </c>
      <c r="F86" s="1019">
        <v>15908468</v>
      </c>
      <c r="G86" s="1011"/>
      <c r="H86" s="1011"/>
      <c r="I86" s="1011"/>
      <c r="J86" s="1012"/>
    </row>
    <row r="87" spans="1:10" s="1009" customFormat="1" ht="24" customHeight="1" x14ac:dyDescent="0.3">
      <c r="A87" s="1014"/>
      <c r="B87" s="1020"/>
      <c r="C87" s="1020"/>
      <c r="D87" s="1591" t="s">
        <v>2274</v>
      </c>
      <c r="E87" s="1592"/>
      <c r="F87" s="1021">
        <f>SUM(F59:F86)</f>
        <v>1220773318</v>
      </c>
      <c r="G87" s="1011"/>
      <c r="H87" s="1011"/>
      <c r="I87" s="1011"/>
      <c r="J87" s="1012"/>
    </row>
    <row r="88" spans="1:10" s="1009" customFormat="1" ht="12.75" customHeight="1" x14ac:dyDescent="0.3">
      <c r="A88" s="1010"/>
      <c r="B88" s="1020"/>
      <c r="C88" s="1020"/>
      <c r="D88" s="1593" t="s">
        <v>2275</v>
      </c>
      <c r="E88" s="1594"/>
      <c r="F88" s="1022">
        <v>0.01</v>
      </c>
      <c r="G88" s="1011"/>
      <c r="H88" s="1011"/>
      <c r="I88" s="1011"/>
      <c r="J88" s="1012"/>
    </row>
    <row r="89" spans="1:10" s="991" customFormat="1" ht="16.5" customHeight="1" x14ac:dyDescent="0.25">
      <c r="A89" s="1014"/>
      <c r="B89" s="1020"/>
      <c r="C89" s="1020"/>
      <c r="D89" s="1586" t="s">
        <v>2276</v>
      </c>
      <c r="E89" s="1587"/>
      <c r="F89" s="1019">
        <f>+F87*F88</f>
        <v>12207733.18</v>
      </c>
      <c r="G89" s="1020"/>
      <c r="H89" s="1020"/>
      <c r="I89" s="1020"/>
      <c r="J89" s="1023"/>
    </row>
    <row r="90" spans="1:10" s="991" customFormat="1" ht="16.5" customHeight="1" x14ac:dyDescent="0.25">
      <c r="A90" s="1014"/>
      <c r="B90" s="1020"/>
      <c r="C90" s="1020"/>
      <c r="D90" s="1584" t="s">
        <v>1439</v>
      </c>
      <c r="E90" s="1585"/>
      <c r="F90" s="1019">
        <f>+F89*1.5%</f>
        <v>183115.99769999998</v>
      </c>
      <c r="G90" s="1020"/>
      <c r="H90" s="1020"/>
      <c r="I90" s="1020"/>
      <c r="J90" s="1023"/>
    </row>
    <row r="91" spans="1:10" s="991" customFormat="1" ht="16.5" customHeight="1" x14ac:dyDescent="0.25">
      <c r="A91" s="1014"/>
      <c r="B91" s="1020"/>
      <c r="C91" s="1020"/>
      <c r="D91" s="1586" t="s">
        <v>2276</v>
      </c>
      <c r="E91" s="1587"/>
      <c r="F91" s="1019">
        <f>+F90+F89</f>
        <v>12390849.1777</v>
      </c>
      <c r="G91" s="1020"/>
      <c r="H91" s="1020"/>
      <c r="I91" s="1020"/>
      <c r="J91" s="1023"/>
    </row>
    <row r="92" spans="1:10" s="991" customFormat="1" ht="17.25" customHeight="1" x14ac:dyDescent="0.25">
      <c r="A92" s="1014"/>
      <c r="B92" s="1020"/>
      <c r="C92" s="1020"/>
      <c r="D92" s="1586" t="s">
        <v>66</v>
      </c>
      <c r="E92" s="1587"/>
      <c r="F92" s="1019">
        <f>+F89*19%</f>
        <v>2319469.3042000001</v>
      </c>
      <c r="G92" s="1020"/>
      <c r="H92" s="1020"/>
      <c r="I92" s="1020"/>
      <c r="J92" s="1023"/>
    </row>
    <row r="93" spans="1:10" s="991" customFormat="1" ht="22.5" customHeight="1" x14ac:dyDescent="0.25">
      <c r="A93" s="1014"/>
      <c r="B93" s="1020"/>
      <c r="C93" s="1020"/>
      <c r="D93" s="1595" t="s">
        <v>2277</v>
      </c>
      <c r="E93" s="1596"/>
      <c r="F93" s="1024">
        <f>SUM(F91:F92)</f>
        <v>14710318.481899999</v>
      </c>
      <c r="G93" s="1020"/>
      <c r="H93" s="1020"/>
      <c r="I93" s="1020"/>
      <c r="J93" s="1023"/>
    </row>
    <row r="94" spans="1:10" s="991" customFormat="1" ht="22.5" customHeight="1" x14ac:dyDescent="0.25">
      <c r="A94" s="1014"/>
      <c r="B94" s="1020"/>
      <c r="C94" s="1020"/>
      <c r="D94" s="1020"/>
      <c r="E94" s="1020"/>
      <c r="F94" s="1020"/>
      <c r="G94" s="1020"/>
      <c r="H94" s="1020"/>
      <c r="I94" s="1020"/>
      <c r="J94" s="1023"/>
    </row>
    <row r="95" spans="1:10" s="991" customFormat="1" ht="22.5" customHeight="1" x14ac:dyDescent="0.25">
      <c r="A95" s="1014"/>
      <c r="B95" s="1020"/>
      <c r="C95" s="1020"/>
      <c r="D95" s="1020"/>
      <c r="E95" s="1020"/>
      <c r="F95" s="1020"/>
      <c r="G95" s="1020"/>
      <c r="H95" s="1020"/>
      <c r="I95" s="1020"/>
      <c r="J95" s="1023"/>
    </row>
    <row r="96" spans="1:10" s="991" customFormat="1" ht="22.5" customHeight="1" x14ac:dyDescent="0.25">
      <c r="A96" s="1014"/>
      <c r="B96" s="1020"/>
      <c r="C96" s="1020"/>
      <c r="D96" s="1020"/>
      <c r="E96" s="1020"/>
      <c r="F96" s="1020"/>
      <c r="G96" s="1020"/>
      <c r="H96" s="1020"/>
      <c r="I96" s="1020"/>
      <c r="J96" s="1023"/>
    </row>
    <row r="97" spans="1:10" s="991" customFormat="1" ht="22.5" customHeight="1" x14ac:dyDescent="0.25">
      <c r="A97" s="1014"/>
      <c r="B97" s="1020"/>
      <c r="C97" s="1020"/>
      <c r="D97" s="1020"/>
      <c r="E97" s="1020"/>
      <c r="F97" s="1020"/>
      <c r="G97" s="1020"/>
      <c r="H97" s="1020"/>
      <c r="I97" s="1020"/>
      <c r="J97" s="1023"/>
    </row>
    <row r="98" spans="1:10" s="991" customFormat="1" ht="22.5" customHeight="1" x14ac:dyDescent="0.25">
      <c r="A98" s="1014"/>
      <c r="B98" s="1020"/>
      <c r="C98" s="1020"/>
      <c r="D98" s="1020"/>
      <c r="E98" s="1020"/>
      <c r="F98" s="1020"/>
      <c r="G98" s="1020"/>
      <c r="H98" s="1020"/>
      <c r="I98" s="1020"/>
      <c r="J98" s="1023"/>
    </row>
    <row r="99" spans="1:10" s="991" customFormat="1" ht="22.5" customHeight="1" x14ac:dyDescent="0.25">
      <c r="A99" s="1014"/>
      <c r="B99" s="1020"/>
      <c r="C99" s="1020"/>
      <c r="D99" s="1020"/>
      <c r="E99" s="1020"/>
      <c r="F99" s="1020"/>
      <c r="G99" s="1020"/>
      <c r="H99" s="1020"/>
      <c r="I99" s="1020"/>
      <c r="J99" s="1023"/>
    </row>
    <row r="100" spans="1:10" s="991" customFormat="1" ht="22.5" customHeight="1" x14ac:dyDescent="0.25">
      <c r="A100" s="1014"/>
      <c r="B100" s="1020"/>
      <c r="C100" s="1020"/>
      <c r="D100" s="1020"/>
      <c r="E100" s="1020"/>
      <c r="F100" s="1020"/>
      <c r="G100" s="1020"/>
      <c r="H100" s="1020"/>
      <c r="I100" s="1020"/>
      <c r="J100" s="1023"/>
    </row>
    <row r="101" spans="1:10" s="991" customFormat="1" ht="22.5" customHeight="1" x14ac:dyDescent="0.25">
      <c r="A101" s="1025"/>
      <c r="B101" s="1026"/>
      <c r="C101" s="1026"/>
      <c r="D101" s="1026"/>
      <c r="E101" s="1026"/>
      <c r="F101" s="1026"/>
      <c r="G101" s="1026"/>
      <c r="H101" s="1026"/>
      <c r="I101" s="1026"/>
      <c r="J101" s="1027"/>
    </row>
    <row r="102" spans="1:10" s="991" customFormat="1" ht="6.75" customHeight="1" x14ac:dyDescent="0.25">
      <c r="A102" s="998"/>
      <c r="B102" s="998"/>
      <c r="C102" s="998"/>
      <c r="D102" s="998"/>
      <c r="E102" s="998"/>
      <c r="F102" s="998"/>
      <c r="G102" s="998"/>
      <c r="H102" s="998"/>
      <c r="I102" s="998"/>
      <c r="J102" s="999"/>
    </row>
    <row r="103" spans="1:10" s="991" customFormat="1" ht="18" customHeight="1" x14ac:dyDescent="0.25">
      <c r="A103" s="1588" t="s">
        <v>2278</v>
      </c>
      <c r="B103" s="1589"/>
      <c r="C103" s="1589"/>
      <c r="D103" s="1589"/>
      <c r="E103" s="1589"/>
      <c r="F103" s="1589"/>
      <c r="G103" s="1589"/>
      <c r="H103" s="1589"/>
      <c r="I103" s="1589"/>
      <c r="J103" s="1590"/>
    </row>
    <row r="104" spans="1:10" s="991" customFormat="1" ht="8.25" customHeight="1" thickBot="1" x14ac:dyDescent="0.3">
      <c r="A104" s="1028"/>
      <c r="B104" s="1028"/>
      <c r="C104" s="1029"/>
      <c r="D104" s="1004"/>
      <c r="E104" s="1004"/>
      <c r="F104" s="1004"/>
      <c r="G104" s="1004"/>
      <c r="H104" s="1004"/>
      <c r="I104" s="1004"/>
      <c r="J104" s="999"/>
    </row>
    <row r="105" spans="1:10" s="991" customFormat="1" ht="19.5" customHeight="1" thickBot="1" x14ac:dyDescent="0.3">
      <c r="A105" s="1570" t="s">
        <v>2249</v>
      </c>
      <c r="B105" s="1571"/>
      <c r="C105" s="1572"/>
      <c r="D105" s="1004"/>
      <c r="E105" s="1573" t="s">
        <v>2279</v>
      </c>
      <c r="F105" s="1574"/>
      <c r="G105" s="1575"/>
      <c r="H105" s="1576"/>
      <c r="I105" s="1576"/>
      <c r="J105" s="1577"/>
    </row>
    <row r="106" spans="1:10" s="991" customFormat="1" ht="13.2" x14ac:dyDescent="0.25">
      <c r="A106" s="1030" t="s">
        <v>2250</v>
      </c>
      <c r="B106" s="1031" t="s">
        <v>2251</v>
      </c>
      <c r="C106" s="1032" t="s">
        <v>2252</v>
      </c>
      <c r="D106" s="1004"/>
      <c r="E106" s="1578" t="s">
        <v>2280</v>
      </c>
      <c r="F106" s="1579"/>
      <c r="G106" s="1579"/>
      <c r="H106" s="1579"/>
      <c r="I106" s="1579"/>
      <c r="J106" s="1580"/>
    </row>
    <row r="107" spans="1:10" s="991" customFormat="1" ht="24" customHeight="1" thickBot="1" x14ac:dyDescent="0.3">
      <c r="A107" s="1033" t="s">
        <v>2281</v>
      </c>
      <c r="B107" s="1033" t="s">
        <v>2281</v>
      </c>
      <c r="C107" s="1033" t="s">
        <v>2281</v>
      </c>
      <c r="D107" s="1004"/>
      <c r="E107" s="1581"/>
      <c r="F107" s="1582"/>
      <c r="G107" s="1582"/>
      <c r="H107" s="1582"/>
      <c r="I107" s="1582"/>
      <c r="J107" s="1583"/>
    </row>
    <row r="108" spans="1:10" s="991" customFormat="1" ht="13.2" x14ac:dyDescent="0.25">
      <c r="A108" s="1007"/>
      <c r="B108" s="1007"/>
      <c r="C108" s="1007"/>
      <c r="D108" s="1007"/>
      <c r="E108" s="1007"/>
      <c r="F108" s="1007"/>
      <c r="G108" s="1007"/>
      <c r="H108" s="1007"/>
      <c r="I108" s="1007"/>
      <c r="J108" s="1008"/>
    </row>
    <row r="109" spans="1:10" s="991" customFormat="1" ht="13.2" x14ac:dyDescent="0.25">
      <c r="A109" s="1034"/>
      <c r="B109" s="1034"/>
      <c r="C109" s="1034"/>
      <c r="D109" s="1034"/>
      <c r="E109" s="1034"/>
      <c r="F109" s="1034"/>
      <c r="G109" s="1034"/>
      <c r="H109" s="1034"/>
      <c r="I109" s="1034"/>
    </row>
    <row r="110" spans="1:10" s="991" customFormat="1" ht="13.2" x14ac:dyDescent="0.25">
      <c r="A110" s="1034"/>
      <c r="B110" s="1034"/>
      <c r="C110" s="1034"/>
      <c r="D110" s="1034"/>
      <c r="E110" s="1034"/>
      <c r="F110" s="1034"/>
      <c r="G110" s="1034"/>
      <c r="H110" s="1034"/>
      <c r="I110" s="1034"/>
    </row>
    <row r="111" spans="1:10" s="991" customFormat="1" ht="13.2" x14ac:dyDescent="0.25"/>
    <row r="112" spans="1:10" s="991" customFormat="1" ht="13.2" x14ac:dyDescent="0.25"/>
    <row r="113" spans="1:9" s="991" customFormat="1" ht="13.2" x14ac:dyDescent="0.25"/>
    <row r="114" spans="1:9" s="991" customFormat="1" ht="13.2" x14ac:dyDescent="0.25"/>
    <row r="115" spans="1:9" s="991" customFormat="1" ht="13.2" x14ac:dyDescent="0.25"/>
    <row r="116" spans="1:9" s="991" customFormat="1" ht="13.2" x14ac:dyDescent="0.25"/>
    <row r="117" spans="1:9" s="991" customFormat="1" ht="13.2" x14ac:dyDescent="0.25">
      <c r="A117" s="1034"/>
      <c r="B117" s="1034"/>
      <c r="C117" s="1034"/>
      <c r="D117" s="1034"/>
      <c r="E117" s="1034"/>
      <c r="F117" s="1034"/>
      <c r="G117" s="1034"/>
      <c r="H117" s="1034"/>
      <c r="I117" s="1034"/>
    </row>
    <row r="118" spans="1:9" s="991" customFormat="1" ht="13.2" x14ac:dyDescent="0.25">
      <c r="A118" s="1034"/>
      <c r="B118" s="1034"/>
      <c r="C118" s="1034"/>
      <c r="D118" s="1034"/>
      <c r="E118" s="1034"/>
      <c r="F118" s="1034"/>
      <c r="G118" s="1034"/>
      <c r="H118" s="1034"/>
      <c r="I118" s="1034"/>
    </row>
    <row r="119" spans="1:9" s="991" customFormat="1" ht="13.2" x14ac:dyDescent="0.25">
      <c r="A119" s="1034"/>
      <c r="B119" s="1034"/>
      <c r="C119" s="1034"/>
      <c r="D119" s="1034"/>
      <c r="E119" s="1034"/>
      <c r="F119" s="1034"/>
      <c r="G119" s="1034"/>
      <c r="H119" s="1034"/>
      <c r="I119" s="1034"/>
    </row>
    <row r="120" spans="1:9" s="991" customFormat="1" ht="13.2" x14ac:dyDescent="0.25">
      <c r="A120" s="1034"/>
      <c r="B120" s="1034"/>
      <c r="C120" s="1034"/>
      <c r="D120" s="1034"/>
      <c r="E120" s="1034"/>
      <c r="F120" s="1034"/>
      <c r="G120" s="1034"/>
      <c r="H120" s="1034"/>
      <c r="I120" s="1034"/>
    </row>
    <row r="121" spans="1:9" s="991" customFormat="1" ht="13.2" x14ac:dyDescent="0.25">
      <c r="A121" s="1034"/>
      <c r="B121" s="1034"/>
      <c r="C121" s="1034"/>
      <c r="D121" s="1034"/>
      <c r="E121" s="1034"/>
      <c r="F121" s="1034"/>
      <c r="G121" s="1034"/>
      <c r="H121" s="1034"/>
      <c r="I121" s="1034"/>
    </row>
    <row r="122" spans="1:9" s="991" customFormat="1" ht="13.2" x14ac:dyDescent="0.25">
      <c r="A122" s="1034"/>
      <c r="B122" s="1034"/>
      <c r="C122" s="1034"/>
      <c r="D122" s="1034"/>
      <c r="E122" s="1034"/>
      <c r="F122" s="1034"/>
      <c r="G122" s="1034"/>
      <c r="H122" s="1034"/>
      <c r="I122" s="1034"/>
    </row>
    <row r="123" spans="1:9" s="991" customFormat="1" ht="13.2" x14ac:dyDescent="0.25">
      <c r="A123" s="1034"/>
      <c r="B123" s="1034"/>
      <c r="C123" s="1034"/>
      <c r="D123" s="1034"/>
      <c r="E123" s="1034"/>
      <c r="F123" s="1034"/>
      <c r="G123" s="1034"/>
      <c r="H123" s="1034"/>
      <c r="I123" s="1034"/>
    </row>
    <row r="124" spans="1:9" s="991" customFormat="1" ht="13.2" x14ac:dyDescent="0.25">
      <c r="A124" s="1034"/>
      <c r="B124" s="1034"/>
      <c r="C124" s="1034"/>
      <c r="D124" s="1034"/>
      <c r="E124" s="1034"/>
      <c r="F124" s="1034"/>
      <c r="G124" s="1034"/>
      <c r="H124" s="1034"/>
      <c r="I124" s="1034"/>
    </row>
    <row r="125" spans="1:9" s="991" customFormat="1" ht="13.2" x14ac:dyDescent="0.25">
      <c r="A125" s="1034"/>
      <c r="B125" s="1034"/>
      <c r="C125" s="1034"/>
      <c r="D125" s="1034"/>
      <c r="E125" s="1034"/>
      <c r="F125" s="1034"/>
      <c r="G125" s="1034"/>
      <c r="H125" s="1034"/>
      <c r="I125" s="1034"/>
    </row>
    <row r="126" spans="1:9" s="991" customFormat="1" ht="13.2" x14ac:dyDescent="0.25">
      <c r="A126" s="1034"/>
      <c r="B126" s="1034"/>
      <c r="C126" s="1034"/>
      <c r="D126" s="1034"/>
      <c r="E126" s="1034"/>
      <c r="F126" s="1034"/>
      <c r="G126" s="1034"/>
      <c r="H126" s="1034"/>
      <c r="I126" s="1034"/>
    </row>
    <row r="127" spans="1:9" s="991" customFormat="1" ht="13.2" x14ac:dyDescent="0.25">
      <c r="A127" s="1034"/>
      <c r="B127" s="1034"/>
      <c r="C127" s="1034"/>
      <c r="D127" s="1034"/>
      <c r="E127" s="1034"/>
      <c r="F127" s="1034"/>
      <c r="G127" s="1034"/>
      <c r="H127" s="1034"/>
      <c r="I127" s="1034"/>
    </row>
    <row r="128" spans="1:9" s="991" customFormat="1" ht="13.2" x14ac:dyDescent="0.25">
      <c r="A128" s="1034"/>
      <c r="B128" s="1034"/>
      <c r="C128" s="1034"/>
      <c r="D128" s="1034"/>
      <c r="E128" s="1034"/>
      <c r="F128" s="1034"/>
      <c r="G128" s="1034"/>
      <c r="H128" s="1034"/>
      <c r="I128" s="1034"/>
    </row>
    <row r="129" spans="1:9" s="991" customFormat="1" ht="13.2" x14ac:dyDescent="0.25">
      <c r="A129" s="1034"/>
      <c r="B129" s="1034"/>
      <c r="C129" s="1034"/>
      <c r="D129" s="1034"/>
      <c r="E129" s="1034"/>
      <c r="F129" s="1034"/>
      <c r="G129" s="1034"/>
      <c r="H129" s="1034"/>
      <c r="I129" s="1034"/>
    </row>
    <row r="130" spans="1:9" s="991" customFormat="1" ht="13.2" x14ac:dyDescent="0.25">
      <c r="A130" s="1034"/>
      <c r="B130" s="1034"/>
      <c r="C130" s="1034"/>
      <c r="D130" s="1034"/>
      <c r="E130" s="1034"/>
      <c r="F130" s="1034"/>
      <c r="G130" s="1034"/>
      <c r="H130" s="1034"/>
      <c r="I130" s="1034"/>
    </row>
    <row r="131" spans="1:9" s="991" customFormat="1" ht="13.2" x14ac:dyDescent="0.25">
      <c r="A131" s="1034"/>
      <c r="B131" s="1034"/>
      <c r="C131" s="1034"/>
      <c r="D131" s="1034"/>
      <c r="E131" s="1034"/>
      <c r="F131" s="1034"/>
      <c r="G131" s="1034"/>
      <c r="H131" s="1034"/>
      <c r="I131" s="1034"/>
    </row>
    <row r="132" spans="1:9" s="991" customFormat="1" ht="13.2" x14ac:dyDescent="0.25">
      <c r="A132" s="1034"/>
      <c r="B132" s="1034"/>
      <c r="C132" s="1034"/>
      <c r="D132" s="1034"/>
      <c r="E132" s="1034"/>
      <c r="F132" s="1034"/>
      <c r="G132" s="1034"/>
      <c r="H132" s="1034"/>
      <c r="I132" s="1034"/>
    </row>
    <row r="133" spans="1:9" s="991" customFormat="1" ht="13.2" x14ac:dyDescent="0.25">
      <c r="A133" s="1034"/>
      <c r="B133" s="1034"/>
      <c r="C133" s="1034"/>
      <c r="D133" s="1034"/>
      <c r="E133" s="1034"/>
      <c r="F133" s="1034"/>
      <c r="G133" s="1034"/>
      <c r="H133" s="1034"/>
      <c r="I133" s="1034"/>
    </row>
    <row r="134" spans="1:9" s="991" customFormat="1" ht="13.2" x14ac:dyDescent="0.25">
      <c r="A134" s="1034"/>
      <c r="B134" s="1034"/>
      <c r="C134" s="1034"/>
      <c r="D134" s="1034"/>
      <c r="E134" s="1034"/>
      <c r="F134" s="1034"/>
      <c r="G134" s="1034"/>
      <c r="H134" s="1034"/>
      <c r="I134" s="1034"/>
    </row>
    <row r="135" spans="1:9" s="991" customFormat="1" ht="13.2" x14ac:dyDescent="0.25">
      <c r="A135" s="1034"/>
      <c r="B135" s="1034"/>
      <c r="C135" s="1034"/>
      <c r="D135" s="1034"/>
      <c r="E135" s="1034"/>
      <c r="F135" s="1034"/>
      <c r="G135" s="1034"/>
      <c r="H135" s="1034"/>
      <c r="I135" s="1034"/>
    </row>
    <row r="136" spans="1:9" s="991" customFormat="1" ht="13.2" x14ac:dyDescent="0.25">
      <c r="A136" s="1034"/>
      <c r="B136" s="1034"/>
      <c r="C136" s="1034"/>
      <c r="D136" s="1034"/>
      <c r="E136" s="1034"/>
      <c r="F136" s="1034"/>
      <c r="G136" s="1034"/>
      <c r="H136" s="1034"/>
      <c r="I136" s="1034"/>
    </row>
    <row r="137" spans="1:9" s="991" customFormat="1" ht="13.2" x14ac:dyDescent="0.25">
      <c r="A137" s="1034"/>
      <c r="B137" s="1034"/>
      <c r="C137" s="1034"/>
      <c r="D137" s="1034"/>
      <c r="E137" s="1034"/>
      <c r="F137" s="1034"/>
      <c r="G137" s="1034"/>
      <c r="H137" s="1034"/>
      <c r="I137" s="1034"/>
    </row>
  </sheetData>
  <mergeCells count="44">
    <mergeCell ref="A8:A10"/>
    <mergeCell ref="B8:G10"/>
    <mergeCell ref="H8:J8"/>
    <mergeCell ref="A1:B3"/>
    <mergeCell ref="C1:I1"/>
    <mergeCell ref="C2:I3"/>
    <mergeCell ref="B4:C4"/>
    <mergeCell ref="A7:J7"/>
    <mergeCell ref="A21:J22"/>
    <mergeCell ref="A11:J11"/>
    <mergeCell ref="G12:H12"/>
    <mergeCell ref="A13:C13"/>
    <mergeCell ref="E13:G13"/>
    <mergeCell ref="I13:J13"/>
    <mergeCell ref="A15:C15"/>
    <mergeCell ref="E15:G15"/>
    <mergeCell ref="A16:C16"/>
    <mergeCell ref="E16:G16"/>
    <mergeCell ref="A17:C17"/>
    <mergeCell ref="E17:G17"/>
    <mergeCell ref="A19:J19"/>
    <mergeCell ref="C72:C86"/>
    <mergeCell ref="A24:J24"/>
    <mergeCell ref="A26:J32"/>
    <mergeCell ref="A52:J53"/>
    <mergeCell ref="B57:B58"/>
    <mergeCell ref="C57:C58"/>
    <mergeCell ref="F57:F58"/>
    <mergeCell ref="C59:C62"/>
    <mergeCell ref="D61:D62"/>
    <mergeCell ref="E61:E62"/>
    <mergeCell ref="F61:F62"/>
    <mergeCell ref="C63:C71"/>
    <mergeCell ref="D87:E87"/>
    <mergeCell ref="D88:E88"/>
    <mergeCell ref="D89:E89"/>
    <mergeCell ref="D92:E92"/>
    <mergeCell ref="D93:E93"/>
    <mergeCell ref="A105:C105"/>
    <mergeCell ref="E105:J105"/>
    <mergeCell ref="E106:J107"/>
    <mergeCell ref="D90:E90"/>
    <mergeCell ref="D91:E91"/>
    <mergeCell ref="A103:J103"/>
  </mergeCells>
  <pageMargins left="0.7" right="0.7" top="0.75" bottom="0.75" header="0.3" footer="0.3"/>
  <pageSetup paperSize="9" scale="70" orientation="portrait" r:id="rId1"/>
  <rowBreaks count="1" manualBreakCount="1">
    <brk id="51" max="9" man="1"/>
  </rowBreaks>
  <drawing r:id="rId2"/>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0"/>
  <dimension ref="A1:O156"/>
  <sheetViews>
    <sheetView topLeftCell="A19" zoomScaleNormal="100" workbookViewId="0">
      <selection activeCell="F120" sqref="F120"/>
    </sheetView>
  </sheetViews>
  <sheetFormatPr baseColWidth="10" defaultRowHeight="14.4" x14ac:dyDescent="0.3"/>
  <cols>
    <col min="1" max="1" width="14.5546875" style="1035" customWidth="1"/>
    <col min="2" max="4" width="11.44140625" style="1035"/>
    <col min="5" max="5" width="13.109375" style="1035" customWidth="1"/>
    <col min="6" max="6" width="15.33203125" style="1035" customWidth="1"/>
    <col min="7" max="256" width="11.44140625" style="1035"/>
    <col min="257" max="257" width="14.5546875" style="1035" customWidth="1"/>
    <col min="258" max="260" width="11.44140625" style="1035"/>
    <col min="261" max="261" width="13.109375" style="1035" customWidth="1"/>
    <col min="262" max="262" width="15.33203125" style="1035" customWidth="1"/>
    <col min="263" max="512" width="11.44140625" style="1035"/>
    <col min="513" max="513" width="14.5546875" style="1035" customWidth="1"/>
    <col min="514" max="516" width="11.44140625" style="1035"/>
    <col min="517" max="517" width="13.109375" style="1035" customWidth="1"/>
    <col min="518" max="518" width="15.33203125" style="1035" customWidth="1"/>
    <col min="519" max="768" width="11.44140625" style="1035"/>
    <col min="769" max="769" width="14.5546875" style="1035" customWidth="1"/>
    <col min="770" max="772" width="11.44140625" style="1035"/>
    <col min="773" max="773" width="13.109375" style="1035" customWidth="1"/>
    <col min="774" max="774" width="15.33203125" style="1035" customWidth="1"/>
    <col min="775" max="1024" width="11.44140625" style="1035"/>
    <col min="1025" max="1025" width="14.5546875" style="1035" customWidth="1"/>
    <col min="1026" max="1028" width="11.44140625" style="1035"/>
    <col min="1029" max="1029" width="13.109375" style="1035" customWidth="1"/>
    <col min="1030" max="1030" width="15.33203125" style="1035" customWidth="1"/>
    <col min="1031" max="1280" width="11.44140625" style="1035"/>
    <col min="1281" max="1281" width="14.5546875" style="1035" customWidth="1"/>
    <col min="1282" max="1284" width="11.44140625" style="1035"/>
    <col min="1285" max="1285" width="13.109375" style="1035" customWidth="1"/>
    <col min="1286" max="1286" width="15.33203125" style="1035" customWidth="1"/>
    <col min="1287" max="1536" width="11.44140625" style="1035"/>
    <col min="1537" max="1537" width="14.5546875" style="1035" customWidth="1"/>
    <col min="1538" max="1540" width="11.44140625" style="1035"/>
    <col min="1541" max="1541" width="13.109375" style="1035" customWidth="1"/>
    <col min="1542" max="1542" width="15.33203125" style="1035" customWidth="1"/>
    <col min="1543" max="1792" width="11.44140625" style="1035"/>
    <col min="1793" max="1793" width="14.5546875" style="1035" customWidth="1"/>
    <col min="1794" max="1796" width="11.44140625" style="1035"/>
    <col min="1797" max="1797" width="13.109375" style="1035" customWidth="1"/>
    <col min="1798" max="1798" width="15.33203125" style="1035" customWidth="1"/>
    <col min="1799" max="2048" width="11.44140625" style="1035"/>
    <col min="2049" max="2049" width="14.5546875" style="1035" customWidth="1"/>
    <col min="2050" max="2052" width="11.44140625" style="1035"/>
    <col min="2053" max="2053" width="13.109375" style="1035" customWidth="1"/>
    <col min="2054" max="2054" width="15.33203125" style="1035" customWidth="1"/>
    <col min="2055" max="2304" width="11.44140625" style="1035"/>
    <col min="2305" max="2305" width="14.5546875" style="1035" customWidth="1"/>
    <col min="2306" max="2308" width="11.44140625" style="1035"/>
    <col min="2309" max="2309" width="13.109375" style="1035" customWidth="1"/>
    <col min="2310" max="2310" width="15.33203125" style="1035" customWidth="1"/>
    <col min="2311" max="2560" width="11.44140625" style="1035"/>
    <col min="2561" max="2561" width="14.5546875" style="1035" customWidth="1"/>
    <col min="2562" max="2564" width="11.44140625" style="1035"/>
    <col min="2565" max="2565" width="13.109375" style="1035" customWidth="1"/>
    <col min="2566" max="2566" width="15.33203125" style="1035" customWidth="1"/>
    <col min="2567" max="2816" width="11.44140625" style="1035"/>
    <col min="2817" max="2817" width="14.5546875" style="1035" customWidth="1"/>
    <col min="2818" max="2820" width="11.44140625" style="1035"/>
    <col min="2821" max="2821" width="13.109375" style="1035" customWidth="1"/>
    <col min="2822" max="2822" width="15.33203125" style="1035" customWidth="1"/>
    <col min="2823" max="3072" width="11.44140625" style="1035"/>
    <col min="3073" max="3073" width="14.5546875" style="1035" customWidth="1"/>
    <col min="3074" max="3076" width="11.44140625" style="1035"/>
    <col min="3077" max="3077" width="13.109375" style="1035" customWidth="1"/>
    <col min="3078" max="3078" width="15.33203125" style="1035" customWidth="1"/>
    <col min="3079" max="3328" width="11.44140625" style="1035"/>
    <col min="3329" max="3329" width="14.5546875" style="1035" customWidth="1"/>
    <col min="3330" max="3332" width="11.44140625" style="1035"/>
    <col min="3333" max="3333" width="13.109375" style="1035" customWidth="1"/>
    <col min="3334" max="3334" width="15.33203125" style="1035" customWidth="1"/>
    <col min="3335" max="3584" width="11.44140625" style="1035"/>
    <col min="3585" max="3585" width="14.5546875" style="1035" customWidth="1"/>
    <col min="3586" max="3588" width="11.44140625" style="1035"/>
    <col min="3589" max="3589" width="13.109375" style="1035" customWidth="1"/>
    <col min="3590" max="3590" width="15.33203125" style="1035" customWidth="1"/>
    <col min="3591" max="3840" width="11.44140625" style="1035"/>
    <col min="3841" max="3841" width="14.5546875" style="1035" customWidth="1"/>
    <col min="3842" max="3844" width="11.44140625" style="1035"/>
    <col min="3845" max="3845" width="13.109375" style="1035" customWidth="1"/>
    <col min="3846" max="3846" width="15.33203125" style="1035" customWidth="1"/>
    <col min="3847" max="4096" width="11.44140625" style="1035"/>
    <col min="4097" max="4097" width="14.5546875" style="1035" customWidth="1"/>
    <col min="4098" max="4100" width="11.44140625" style="1035"/>
    <col min="4101" max="4101" width="13.109375" style="1035" customWidth="1"/>
    <col min="4102" max="4102" width="15.33203125" style="1035" customWidth="1"/>
    <col min="4103" max="4352" width="11.44140625" style="1035"/>
    <col min="4353" max="4353" width="14.5546875" style="1035" customWidth="1"/>
    <col min="4354" max="4356" width="11.44140625" style="1035"/>
    <col min="4357" max="4357" width="13.109375" style="1035" customWidth="1"/>
    <col min="4358" max="4358" width="15.33203125" style="1035" customWidth="1"/>
    <col min="4359" max="4608" width="11.44140625" style="1035"/>
    <col min="4609" max="4609" width="14.5546875" style="1035" customWidth="1"/>
    <col min="4610" max="4612" width="11.44140625" style="1035"/>
    <col min="4613" max="4613" width="13.109375" style="1035" customWidth="1"/>
    <col min="4614" max="4614" width="15.33203125" style="1035" customWidth="1"/>
    <col min="4615" max="4864" width="11.44140625" style="1035"/>
    <col min="4865" max="4865" width="14.5546875" style="1035" customWidth="1"/>
    <col min="4866" max="4868" width="11.44140625" style="1035"/>
    <col min="4869" max="4869" width="13.109375" style="1035" customWidth="1"/>
    <col min="4870" max="4870" width="15.33203125" style="1035" customWidth="1"/>
    <col min="4871" max="5120" width="11.44140625" style="1035"/>
    <col min="5121" max="5121" width="14.5546875" style="1035" customWidth="1"/>
    <col min="5122" max="5124" width="11.44140625" style="1035"/>
    <col min="5125" max="5125" width="13.109375" style="1035" customWidth="1"/>
    <col min="5126" max="5126" width="15.33203125" style="1035" customWidth="1"/>
    <col min="5127" max="5376" width="11.44140625" style="1035"/>
    <col min="5377" max="5377" width="14.5546875" style="1035" customWidth="1"/>
    <col min="5378" max="5380" width="11.44140625" style="1035"/>
    <col min="5381" max="5381" width="13.109375" style="1035" customWidth="1"/>
    <col min="5382" max="5382" width="15.33203125" style="1035" customWidth="1"/>
    <col min="5383" max="5632" width="11.44140625" style="1035"/>
    <col min="5633" max="5633" width="14.5546875" style="1035" customWidth="1"/>
    <col min="5634" max="5636" width="11.44140625" style="1035"/>
    <col min="5637" max="5637" width="13.109375" style="1035" customWidth="1"/>
    <col min="5638" max="5638" width="15.33203125" style="1035" customWidth="1"/>
    <col min="5639" max="5888" width="11.44140625" style="1035"/>
    <col min="5889" max="5889" width="14.5546875" style="1035" customWidth="1"/>
    <col min="5890" max="5892" width="11.44140625" style="1035"/>
    <col min="5893" max="5893" width="13.109375" style="1035" customWidth="1"/>
    <col min="5894" max="5894" width="15.33203125" style="1035" customWidth="1"/>
    <col min="5895" max="6144" width="11.44140625" style="1035"/>
    <col min="6145" max="6145" width="14.5546875" style="1035" customWidth="1"/>
    <col min="6146" max="6148" width="11.44140625" style="1035"/>
    <col min="6149" max="6149" width="13.109375" style="1035" customWidth="1"/>
    <col min="6150" max="6150" width="15.33203125" style="1035" customWidth="1"/>
    <col min="6151" max="6400" width="11.44140625" style="1035"/>
    <col min="6401" max="6401" width="14.5546875" style="1035" customWidth="1"/>
    <col min="6402" max="6404" width="11.44140625" style="1035"/>
    <col min="6405" max="6405" width="13.109375" style="1035" customWidth="1"/>
    <col min="6406" max="6406" width="15.33203125" style="1035" customWidth="1"/>
    <col min="6407" max="6656" width="11.44140625" style="1035"/>
    <col min="6657" max="6657" width="14.5546875" style="1035" customWidth="1"/>
    <col min="6658" max="6660" width="11.44140625" style="1035"/>
    <col min="6661" max="6661" width="13.109375" style="1035" customWidth="1"/>
    <col min="6662" max="6662" width="15.33203125" style="1035" customWidth="1"/>
    <col min="6663" max="6912" width="11.44140625" style="1035"/>
    <col min="6913" max="6913" width="14.5546875" style="1035" customWidth="1"/>
    <col min="6914" max="6916" width="11.44140625" style="1035"/>
    <col min="6917" max="6917" width="13.109375" style="1035" customWidth="1"/>
    <col min="6918" max="6918" width="15.33203125" style="1035" customWidth="1"/>
    <col min="6919" max="7168" width="11.44140625" style="1035"/>
    <col min="7169" max="7169" width="14.5546875" style="1035" customWidth="1"/>
    <col min="7170" max="7172" width="11.44140625" style="1035"/>
    <col min="7173" max="7173" width="13.109375" style="1035" customWidth="1"/>
    <col min="7174" max="7174" width="15.33203125" style="1035" customWidth="1"/>
    <col min="7175" max="7424" width="11.44140625" style="1035"/>
    <col min="7425" max="7425" width="14.5546875" style="1035" customWidth="1"/>
    <col min="7426" max="7428" width="11.44140625" style="1035"/>
    <col min="7429" max="7429" width="13.109375" style="1035" customWidth="1"/>
    <col min="7430" max="7430" width="15.33203125" style="1035" customWidth="1"/>
    <col min="7431" max="7680" width="11.44140625" style="1035"/>
    <col min="7681" max="7681" width="14.5546875" style="1035" customWidth="1"/>
    <col min="7682" max="7684" width="11.44140625" style="1035"/>
    <col min="7685" max="7685" width="13.109375" style="1035" customWidth="1"/>
    <col min="7686" max="7686" width="15.33203125" style="1035" customWidth="1"/>
    <col min="7687" max="7936" width="11.44140625" style="1035"/>
    <col min="7937" max="7937" width="14.5546875" style="1035" customWidth="1"/>
    <col min="7938" max="7940" width="11.44140625" style="1035"/>
    <col min="7941" max="7941" width="13.109375" style="1035" customWidth="1"/>
    <col min="7942" max="7942" width="15.33203125" style="1035" customWidth="1"/>
    <col min="7943" max="8192" width="11.44140625" style="1035"/>
    <col min="8193" max="8193" width="14.5546875" style="1035" customWidth="1"/>
    <col min="8194" max="8196" width="11.44140625" style="1035"/>
    <col min="8197" max="8197" width="13.109375" style="1035" customWidth="1"/>
    <col min="8198" max="8198" width="15.33203125" style="1035" customWidth="1"/>
    <col min="8199" max="8448" width="11.44140625" style="1035"/>
    <col min="8449" max="8449" width="14.5546875" style="1035" customWidth="1"/>
    <col min="8450" max="8452" width="11.44140625" style="1035"/>
    <col min="8453" max="8453" width="13.109375" style="1035" customWidth="1"/>
    <col min="8454" max="8454" width="15.33203125" style="1035" customWidth="1"/>
    <col min="8455" max="8704" width="11.44140625" style="1035"/>
    <col min="8705" max="8705" width="14.5546875" style="1035" customWidth="1"/>
    <col min="8706" max="8708" width="11.44140625" style="1035"/>
    <col min="8709" max="8709" width="13.109375" style="1035" customWidth="1"/>
    <col min="8710" max="8710" width="15.33203125" style="1035" customWidth="1"/>
    <col min="8711" max="8960" width="11.44140625" style="1035"/>
    <col min="8961" max="8961" width="14.5546875" style="1035" customWidth="1"/>
    <col min="8962" max="8964" width="11.44140625" style="1035"/>
    <col min="8965" max="8965" width="13.109375" style="1035" customWidth="1"/>
    <col min="8966" max="8966" width="15.33203125" style="1035" customWidth="1"/>
    <col min="8967" max="9216" width="11.44140625" style="1035"/>
    <col min="9217" max="9217" width="14.5546875" style="1035" customWidth="1"/>
    <col min="9218" max="9220" width="11.44140625" style="1035"/>
    <col min="9221" max="9221" width="13.109375" style="1035" customWidth="1"/>
    <col min="9222" max="9222" width="15.33203125" style="1035" customWidth="1"/>
    <col min="9223" max="9472" width="11.44140625" style="1035"/>
    <col min="9473" max="9473" width="14.5546875" style="1035" customWidth="1"/>
    <col min="9474" max="9476" width="11.44140625" style="1035"/>
    <col min="9477" max="9477" width="13.109375" style="1035" customWidth="1"/>
    <col min="9478" max="9478" width="15.33203125" style="1035" customWidth="1"/>
    <col min="9479" max="9728" width="11.44140625" style="1035"/>
    <col min="9729" max="9729" width="14.5546875" style="1035" customWidth="1"/>
    <col min="9730" max="9732" width="11.44140625" style="1035"/>
    <col min="9733" max="9733" width="13.109375" style="1035" customWidth="1"/>
    <col min="9734" max="9734" width="15.33203125" style="1035" customWidth="1"/>
    <col min="9735" max="9984" width="11.44140625" style="1035"/>
    <col min="9985" max="9985" width="14.5546875" style="1035" customWidth="1"/>
    <col min="9986" max="9988" width="11.44140625" style="1035"/>
    <col min="9989" max="9989" width="13.109375" style="1035" customWidth="1"/>
    <col min="9990" max="9990" width="15.33203125" style="1035" customWidth="1"/>
    <col min="9991" max="10240" width="11.44140625" style="1035"/>
    <col min="10241" max="10241" width="14.5546875" style="1035" customWidth="1"/>
    <col min="10242" max="10244" width="11.44140625" style="1035"/>
    <col min="10245" max="10245" width="13.109375" style="1035" customWidth="1"/>
    <col min="10246" max="10246" width="15.33203125" style="1035" customWidth="1"/>
    <col min="10247" max="10496" width="11.44140625" style="1035"/>
    <col min="10497" max="10497" width="14.5546875" style="1035" customWidth="1"/>
    <col min="10498" max="10500" width="11.44140625" style="1035"/>
    <col min="10501" max="10501" width="13.109375" style="1035" customWidth="1"/>
    <col min="10502" max="10502" width="15.33203125" style="1035" customWidth="1"/>
    <col min="10503" max="10752" width="11.44140625" style="1035"/>
    <col min="10753" max="10753" width="14.5546875" style="1035" customWidth="1"/>
    <col min="10754" max="10756" width="11.44140625" style="1035"/>
    <col min="10757" max="10757" width="13.109375" style="1035" customWidth="1"/>
    <col min="10758" max="10758" width="15.33203125" style="1035" customWidth="1"/>
    <col min="10759" max="11008" width="11.44140625" style="1035"/>
    <col min="11009" max="11009" width="14.5546875" style="1035" customWidth="1"/>
    <col min="11010" max="11012" width="11.44140625" style="1035"/>
    <col min="11013" max="11013" width="13.109375" style="1035" customWidth="1"/>
    <col min="11014" max="11014" width="15.33203125" style="1035" customWidth="1"/>
    <col min="11015" max="11264" width="11.44140625" style="1035"/>
    <col min="11265" max="11265" width="14.5546875" style="1035" customWidth="1"/>
    <col min="11266" max="11268" width="11.44140625" style="1035"/>
    <col min="11269" max="11269" width="13.109375" style="1035" customWidth="1"/>
    <col min="11270" max="11270" width="15.33203125" style="1035" customWidth="1"/>
    <col min="11271" max="11520" width="11.44140625" style="1035"/>
    <col min="11521" max="11521" width="14.5546875" style="1035" customWidth="1"/>
    <col min="11522" max="11524" width="11.44140625" style="1035"/>
    <col min="11525" max="11525" width="13.109375" style="1035" customWidth="1"/>
    <col min="11526" max="11526" width="15.33203125" style="1035" customWidth="1"/>
    <col min="11527" max="11776" width="11.44140625" style="1035"/>
    <col min="11777" max="11777" width="14.5546875" style="1035" customWidth="1"/>
    <col min="11778" max="11780" width="11.44140625" style="1035"/>
    <col min="11781" max="11781" width="13.109375" style="1035" customWidth="1"/>
    <col min="11782" max="11782" width="15.33203125" style="1035" customWidth="1"/>
    <col min="11783" max="12032" width="11.44140625" style="1035"/>
    <col min="12033" max="12033" width="14.5546875" style="1035" customWidth="1"/>
    <col min="12034" max="12036" width="11.44140625" style="1035"/>
    <col min="12037" max="12037" width="13.109375" style="1035" customWidth="1"/>
    <col min="12038" max="12038" width="15.33203125" style="1035" customWidth="1"/>
    <col min="12039" max="12288" width="11.44140625" style="1035"/>
    <col min="12289" max="12289" width="14.5546875" style="1035" customWidth="1"/>
    <col min="12290" max="12292" width="11.44140625" style="1035"/>
    <col min="12293" max="12293" width="13.109375" style="1035" customWidth="1"/>
    <col min="12294" max="12294" width="15.33203125" style="1035" customWidth="1"/>
    <col min="12295" max="12544" width="11.44140625" style="1035"/>
    <col min="12545" max="12545" width="14.5546875" style="1035" customWidth="1"/>
    <col min="12546" max="12548" width="11.44140625" style="1035"/>
    <col min="12549" max="12549" width="13.109375" style="1035" customWidth="1"/>
    <col min="12550" max="12550" width="15.33203125" style="1035" customWidth="1"/>
    <col min="12551" max="12800" width="11.44140625" style="1035"/>
    <col min="12801" max="12801" width="14.5546875" style="1035" customWidth="1"/>
    <col min="12802" max="12804" width="11.44140625" style="1035"/>
    <col min="12805" max="12805" width="13.109375" style="1035" customWidth="1"/>
    <col min="12806" max="12806" width="15.33203125" style="1035" customWidth="1"/>
    <col min="12807" max="13056" width="11.44140625" style="1035"/>
    <col min="13057" max="13057" width="14.5546875" style="1035" customWidth="1"/>
    <col min="13058" max="13060" width="11.44140625" style="1035"/>
    <col min="13061" max="13061" width="13.109375" style="1035" customWidth="1"/>
    <col min="13062" max="13062" width="15.33203125" style="1035" customWidth="1"/>
    <col min="13063" max="13312" width="11.44140625" style="1035"/>
    <col min="13313" max="13313" width="14.5546875" style="1035" customWidth="1"/>
    <col min="13314" max="13316" width="11.44140625" style="1035"/>
    <col min="13317" max="13317" width="13.109375" style="1035" customWidth="1"/>
    <col min="13318" max="13318" width="15.33203125" style="1035" customWidth="1"/>
    <col min="13319" max="13568" width="11.44140625" style="1035"/>
    <col min="13569" max="13569" width="14.5546875" style="1035" customWidth="1"/>
    <col min="13570" max="13572" width="11.44140625" style="1035"/>
    <col min="13573" max="13573" width="13.109375" style="1035" customWidth="1"/>
    <col min="13574" max="13574" width="15.33203125" style="1035" customWidth="1"/>
    <col min="13575" max="13824" width="11.44140625" style="1035"/>
    <col min="13825" max="13825" width="14.5546875" style="1035" customWidth="1"/>
    <col min="13826" max="13828" width="11.44140625" style="1035"/>
    <col min="13829" max="13829" width="13.109375" style="1035" customWidth="1"/>
    <col min="13830" max="13830" width="15.33203125" style="1035" customWidth="1"/>
    <col min="13831" max="14080" width="11.44140625" style="1035"/>
    <col min="14081" max="14081" width="14.5546875" style="1035" customWidth="1"/>
    <col min="14082" max="14084" width="11.44140625" style="1035"/>
    <col min="14085" max="14085" width="13.109375" style="1035" customWidth="1"/>
    <col min="14086" max="14086" width="15.33203125" style="1035" customWidth="1"/>
    <col min="14087" max="14336" width="11.44140625" style="1035"/>
    <col min="14337" max="14337" width="14.5546875" style="1035" customWidth="1"/>
    <col min="14338" max="14340" width="11.44140625" style="1035"/>
    <col min="14341" max="14341" width="13.109375" style="1035" customWidth="1"/>
    <col min="14342" max="14342" width="15.33203125" style="1035" customWidth="1"/>
    <col min="14343" max="14592" width="11.44140625" style="1035"/>
    <col min="14593" max="14593" width="14.5546875" style="1035" customWidth="1"/>
    <col min="14594" max="14596" width="11.44140625" style="1035"/>
    <col min="14597" max="14597" width="13.109375" style="1035" customWidth="1"/>
    <col min="14598" max="14598" width="15.33203125" style="1035" customWidth="1"/>
    <col min="14599" max="14848" width="11.44140625" style="1035"/>
    <col min="14849" max="14849" width="14.5546875" style="1035" customWidth="1"/>
    <col min="14850" max="14852" width="11.44140625" style="1035"/>
    <col min="14853" max="14853" width="13.109375" style="1035" customWidth="1"/>
    <col min="14854" max="14854" width="15.33203125" style="1035" customWidth="1"/>
    <col min="14855" max="15104" width="11.44140625" style="1035"/>
    <col min="15105" max="15105" width="14.5546875" style="1035" customWidth="1"/>
    <col min="15106" max="15108" width="11.44140625" style="1035"/>
    <col min="15109" max="15109" width="13.109375" style="1035" customWidth="1"/>
    <col min="15110" max="15110" width="15.33203125" style="1035" customWidth="1"/>
    <col min="15111" max="15360" width="11.44140625" style="1035"/>
    <col min="15361" max="15361" width="14.5546875" style="1035" customWidth="1"/>
    <col min="15362" max="15364" width="11.44140625" style="1035"/>
    <col min="15365" max="15365" width="13.109375" style="1035" customWidth="1"/>
    <col min="15366" max="15366" width="15.33203125" style="1035" customWidth="1"/>
    <col min="15367" max="15616" width="11.44140625" style="1035"/>
    <col min="15617" max="15617" width="14.5546875" style="1035" customWidth="1"/>
    <col min="15618" max="15620" width="11.44140625" style="1035"/>
    <col min="15621" max="15621" width="13.109375" style="1035" customWidth="1"/>
    <col min="15622" max="15622" width="15.33203125" style="1035" customWidth="1"/>
    <col min="15623" max="15872" width="11.44140625" style="1035"/>
    <col min="15873" max="15873" width="14.5546875" style="1035" customWidth="1"/>
    <col min="15874" max="15876" width="11.44140625" style="1035"/>
    <col min="15877" max="15877" width="13.109375" style="1035" customWidth="1"/>
    <col min="15878" max="15878" width="15.33203125" style="1035" customWidth="1"/>
    <col min="15879" max="16128" width="11.44140625" style="1035"/>
    <col min="16129" max="16129" width="14.5546875" style="1035" customWidth="1"/>
    <col min="16130" max="16132" width="11.44140625" style="1035"/>
    <col min="16133" max="16133" width="13.109375" style="1035" customWidth="1"/>
    <col min="16134" max="16134" width="15.33203125" style="1035" customWidth="1"/>
    <col min="16135" max="16384" width="11.44140625" style="1035"/>
  </cols>
  <sheetData>
    <row r="1" spans="1:10" s="991" customFormat="1" ht="18.75" customHeight="1" x14ac:dyDescent="0.25">
      <c r="A1" s="1645"/>
      <c r="B1" s="1646"/>
      <c r="C1" s="1651" t="s">
        <v>2240</v>
      </c>
      <c r="D1" s="1652"/>
      <c r="E1" s="1652"/>
      <c r="F1" s="1652"/>
      <c r="G1" s="1652"/>
      <c r="H1" s="1652"/>
      <c r="I1" s="1653"/>
      <c r="J1" s="990" t="s">
        <v>2241</v>
      </c>
    </row>
    <row r="2" spans="1:10" s="991" customFormat="1" ht="24.9" customHeight="1" x14ac:dyDescent="0.25">
      <c r="A2" s="1647"/>
      <c r="B2" s="1648"/>
      <c r="C2" s="1654" t="s">
        <v>2242</v>
      </c>
      <c r="D2" s="1655"/>
      <c r="E2" s="1655"/>
      <c r="F2" s="1655"/>
      <c r="G2" s="1655"/>
      <c r="H2" s="1655"/>
      <c r="I2" s="1656"/>
      <c r="J2" s="992" t="s">
        <v>2243</v>
      </c>
    </row>
    <row r="3" spans="1:10" s="991" customFormat="1" ht="16.5" customHeight="1" x14ac:dyDescent="0.25">
      <c r="A3" s="1649"/>
      <c r="B3" s="1650"/>
      <c r="C3" s="1657"/>
      <c r="D3" s="1658"/>
      <c r="E3" s="1658"/>
      <c r="F3" s="1658"/>
      <c r="G3" s="1658"/>
      <c r="H3" s="1658"/>
      <c r="I3" s="1659"/>
      <c r="J3" s="993" t="s">
        <v>2244</v>
      </c>
    </row>
    <row r="4" spans="1:10" s="991" customFormat="1" ht="16.5" customHeight="1" x14ac:dyDescent="0.25">
      <c r="A4" s="994" t="s">
        <v>2245</v>
      </c>
      <c r="B4" s="1660">
        <v>5700014501</v>
      </c>
      <c r="C4" s="1660"/>
      <c r="D4" s="995"/>
      <c r="E4" s="995"/>
      <c r="F4" s="995"/>
      <c r="G4" s="995"/>
      <c r="H4" s="995"/>
      <c r="I4" s="995"/>
      <c r="J4" s="996"/>
    </row>
    <row r="5" spans="1:10" s="991" customFormat="1" ht="13.8" thickBot="1" x14ac:dyDescent="0.3">
      <c r="A5" s="997"/>
      <c r="B5" s="997"/>
      <c r="C5" s="997"/>
      <c r="D5" s="997"/>
      <c r="E5" s="997"/>
      <c r="F5" s="997"/>
      <c r="G5" s="997"/>
      <c r="H5" s="997"/>
      <c r="I5" s="998"/>
      <c r="J5" s="999"/>
    </row>
    <row r="6" spans="1:10" s="991" customFormat="1" ht="13.8" thickBot="1" x14ac:dyDescent="0.3">
      <c r="A6" s="1000"/>
      <c r="B6" s="1000"/>
      <c r="C6" s="1000"/>
      <c r="D6" s="1000"/>
      <c r="E6" s="1000"/>
      <c r="F6" s="1001"/>
      <c r="G6" s="1001"/>
      <c r="H6" s="1000"/>
      <c r="I6" s="1000"/>
      <c r="J6" s="1002"/>
    </row>
    <row r="7" spans="1:10" s="991" customFormat="1" ht="38.25" customHeight="1" x14ac:dyDescent="0.25">
      <c r="A7" s="1661" t="s">
        <v>2246</v>
      </c>
      <c r="B7" s="1662"/>
      <c r="C7" s="1662"/>
      <c r="D7" s="1662"/>
      <c r="E7" s="1662"/>
      <c r="F7" s="1662"/>
      <c r="G7" s="1662"/>
      <c r="H7" s="1662"/>
      <c r="I7" s="1662"/>
      <c r="J7" s="1663"/>
    </row>
    <row r="8" spans="1:10" s="991" customFormat="1" ht="20.100000000000001" customHeight="1" x14ac:dyDescent="0.25">
      <c r="A8" s="1629" t="s">
        <v>2247</v>
      </c>
      <c r="B8" s="1631" t="s">
        <v>2282</v>
      </c>
      <c r="C8" s="1632"/>
      <c r="D8" s="1632"/>
      <c r="E8" s="1632"/>
      <c r="F8" s="1633"/>
      <c r="G8" s="1634"/>
      <c r="H8" s="1643" t="s">
        <v>2249</v>
      </c>
      <c r="I8" s="1643"/>
      <c r="J8" s="1644"/>
    </row>
    <row r="9" spans="1:10" s="991" customFormat="1" ht="13.2" x14ac:dyDescent="0.25">
      <c r="A9" s="1630"/>
      <c r="B9" s="1635"/>
      <c r="C9" s="1636"/>
      <c r="D9" s="1636"/>
      <c r="E9" s="1636"/>
      <c r="F9" s="1637"/>
      <c r="G9" s="1638"/>
      <c r="H9" s="1003" t="s">
        <v>2250</v>
      </c>
      <c r="I9" s="1003" t="s">
        <v>2251</v>
      </c>
      <c r="J9" s="1003" t="s">
        <v>2252</v>
      </c>
    </row>
    <row r="10" spans="1:10" s="991" customFormat="1" ht="13.2" x14ac:dyDescent="0.25">
      <c r="A10" s="1630"/>
      <c r="B10" s="1639"/>
      <c r="C10" s="1640"/>
      <c r="D10" s="1640"/>
      <c r="E10" s="1640"/>
      <c r="F10" s="1641"/>
      <c r="G10" s="1642"/>
      <c r="H10" s="1003">
        <v>15</v>
      </c>
      <c r="I10" s="1003">
        <v>2</v>
      </c>
      <c r="J10" s="1003">
        <v>2018</v>
      </c>
    </row>
    <row r="11" spans="1:10" s="991" customFormat="1" ht="13.8" thickBot="1" x14ac:dyDescent="0.3">
      <c r="A11" s="1618"/>
      <c r="B11" s="1619"/>
      <c r="C11" s="1619"/>
      <c r="D11" s="1619"/>
      <c r="E11" s="1619"/>
      <c r="F11" s="1619"/>
      <c r="G11" s="1619"/>
      <c r="H11" s="1619"/>
      <c r="I11" s="1620"/>
      <c r="J11" s="1620"/>
    </row>
    <row r="12" spans="1:10" s="991" customFormat="1" ht="13.2" x14ac:dyDescent="0.25">
      <c r="A12" s="1004"/>
      <c r="B12" s="1004"/>
      <c r="C12" s="1004"/>
      <c r="D12" s="1004"/>
      <c r="E12" s="1004"/>
      <c r="F12" s="1004"/>
      <c r="G12" s="1621"/>
      <c r="H12" s="1621"/>
      <c r="I12" s="1004"/>
      <c r="J12" s="999"/>
    </row>
    <row r="13" spans="1:10" s="991" customFormat="1" ht="18" customHeight="1" x14ac:dyDescent="0.25">
      <c r="A13" s="1622" t="s">
        <v>2253</v>
      </c>
      <c r="B13" s="1623"/>
      <c r="C13" s="1624"/>
      <c r="D13" s="1005"/>
      <c r="E13" s="1622" t="s">
        <v>2254</v>
      </c>
      <c r="F13" s="1625"/>
      <c r="G13" s="1626"/>
      <c r="H13" s="1005"/>
      <c r="I13" s="1622" t="s">
        <v>2255</v>
      </c>
      <c r="J13" s="1626"/>
    </row>
    <row r="14" spans="1:10" s="991" customFormat="1" ht="12.75" customHeight="1" x14ac:dyDescent="0.25">
      <c r="A14" s="1004"/>
      <c r="B14" s="1004"/>
      <c r="C14" s="1004"/>
      <c r="D14" s="1004"/>
      <c r="E14" s="1004"/>
      <c r="F14" s="1004"/>
      <c r="G14" s="1006"/>
      <c r="H14" s="1006"/>
      <c r="I14" s="1004"/>
      <c r="J14" s="999"/>
    </row>
    <row r="15" spans="1:10" s="991" customFormat="1" ht="18" customHeight="1" x14ac:dyDescent="0.25">
      <c r="A15" s="1627" t="s">
        <v>2256</v>
      </c>
      <c r="B15" s="1627"/>
      <c r="C15" s="1627"/>
      <c r="D15" s="1004"/>
      <c r="E15" s="1627" t="s">
        <v>2257</v>
      </c>
      <c r="F15" s="1627"/>
      <c r="G15" s="1627"/>
      <c r="H15" s="1004"/>
      <c r="I15" s="1007"/>
      <c r="J15" s="1008"/>
    </row>
    <row r="16" spans="1:10" s="991" customFormat="1" ht="18" customHeight="1" x14ac:dyDescent="0.25">
      <c r="A16" s="1628" t="s">
        <v>2258</v>
      </c>
      <c r="B16" s="1628"/>
      <c r="C16" s="1628"/>
      <c r="D16" s="1004"/>
      <c r="E16" s="1628" t="s">
        <v>764</v>
      </c>
      <c r="F16" s="1628"/>
      <c r="G16" s="1628"/>
      <c r="H16" s="1004"/>
      <c r="I16" s="1007"/>
      <c r="J16" s="1008"/>
    </row>
    <row r="17" spans="1:15" s="991" customFormat="1" ht="18" customHeight="1" x14ac:dyDescent="0.25">
      <c r="A17" s="1628"/>
      <c r="B17" s="1628"/>
      <c r="C17" s="1628"/>
      <c r="D17" s="1004"/>
      <c r="E17" s="1628"/>
      <c r="F17" s="1628"/>
      <c r="G17" s="1628"/>
      <c r="H17" s="1004"/>
      <c r="I17" s="1007"/>
      <c r="J17" s="1008"/>
    </row>
    <row r="18" spans="1:15" s="991" customFormat="1" ht="18" customHeight="1" x14ac:dyDescent="0.25">
      <c r="A18" s="1004"/>
      <c r="B18" s="1004"/>
      <c r="C18" s="1004"/>
      <c r="D18" s="1004"/>
      <c r="E18" s="1004"/>
      <c r="F18" s="1004"/>
      <c r="G18" s="1004"/>
      <c r="H18" s="1004"/>
      <c r="I18" s="1004"/>
      <c r="J18" s="999"/>
    </row>
    <row r="19" spans="1:15" s="991" customFormat="1" ht="20.100000000000001" customHeight="1" x14ac:dyDescent="0.25">
      <c r="A19" s="1588" t="s">
        <v>2259</v>
      </c>
      <c r="B19" s="1598"/>
      <c r="C19" s="1598"/>
      <c r="D19" s="1598"/>
      <c r="E19" s="1598"/>
      <c r="F19" s="1598"/>
      <c r="G19" s="1598"/>
      <c r="H19" s="1598"/>
      <c r="I19" s="1598"/>
      <c r="J19" s="1599"/>
    </row>
    <row r="20" spans="1:15" s="991" customFormat="1" ht="13.2" x14ac:dyDescent="0.25">
      <c r="A20" s="1004"/>
      <c r="B20" s="1004"/>
      <c r="C20" s="1004"/>
      <c r="D20" s="1004"/>
      <c r="E20" s="1004"/>
      <c r="F20" s="1004"/>
      <c r="G20" s="1004"/>
      <c r="H20" s="1004"/>
      <c r="I20" s="1004"/>
      <c r="J20" s="999"/>
    </row>
    <row r="21" spans="1:15" s="991" customFormat="1" ht="13.2" x14ac:dyDescent="0.25">
      <c r="A21" s="1600" t="s">
        <v>2260</v>
      </c>
      <c r="B21" s="1613"/>
      <c r="C21" s="1613"/>
      <c r="D21" s="1613"/>
      <c r="E21" s="1613"/>
      <c r="F21" s="1613"/>
      <c r="G21" s="1613"/>
      <c r="H21" s="1613"/>
      <c r="I21" s="1613"/>
      <c r="J21" s="1614"/>
    </row>
    <row r="22" spans="1:15" s="991" customFormat="1" ht="13.2" x14ac:dyDescent="0.25">
      <c r="A22" s="1615"/>
      <c r="B22" s="1616"/>
      <c r="C22" s="1616"/>
      <c r="D22" s="1616"/>
      <c r="E22" s="1616"/>
      <c r="F22" s="1616"/>
      <c r="G22" s="1616"/>
      <c r="H22" s="1616"/>
      <c r="I22" s="1616"/>
      <c r="J22" s="1617"/>
    </row>
    <row r="23" spans="1:15" s="991" customFormat="1" ht="13.2" x14ac:dyDescent="0.25">
      <c r="A23" s="998"/>
      <c r="B23" s="998"/>
      <c r="C23" s="998"/>
      <c r="D23" s="998"/>
      <c r="E23" s="998"/>
      <c r="F23" s="998"/>
      <c r="G23" s="998"/>
      <c r="H23" s="1004"/>
      <c r="I23" s="1004"/>
      <c r="J23" s="999"/>
    </row>
    <row r="24" spans="1:15" s="991" customFormat="1" ht="20.100000000000001" customHeight="1" x14ac:dyDescent="0.25">
      <c r="A24" s="1588" t="s">
        <v>2261</v>
      </c>
      <c r="B24" s="1598"/>
      <c r="C24" s="1598"/>
      <c r="D24" s="1598"/>
      <c r="E24" s="1598"/>
      <c r="F24" s="1598"/>
      <c r="G24" s="1598"/>
      <c r="H24" s="1598"/>
      <c r="I24" s="1598"/>
      <c r="J24" s="1599"/>
    </row>
    <row r="25" spans="1:15" s="991" customFormat="1" ht="13.2" x14ac:dyDescent="0.25">
      <c r="A25" s="1004"/>
      <c r="B25" s="1004"/>
      <c r="C25" s="1004"/>
      <c r="D25" s="1004"/>
      <c r="E25" s="1004"/>
      <c r="F25" s="1004"/>
      <c r="G25" s="1004"/>
      <c r="H25" s="1004"/>
      <c r="I25" s="1004"/>
      <c r="J25" s="999"/>
    </row>
    <row r="26" spans="1:15" s="991" customFormat="1" ht="12.75" customHeight="1" x14ac:dyDescent="0.25">
      <c r="A26" s="1600" t="s">
        <v>2262</v>
      </c>
      <c r="B26" s="1601"/>
      <c r="C26" s="1601"/>
      <c r="D26" s="1601"/>
      <c r="E26" s="1601"/>
      <c r="F26" s="1601"/>
      <c r="G26" s="1601"/>
      <c r="H26" s="1601"/>
      <c r="I26" s="1601"/>
      <c r="J26" s="1602"/>
    </row>
    <row r="27" spans="1:15" s="991" customFormat="1" ht="13.2" x14ac:dyDescent="0.25">
      <c r="A27" s="1603"/>
      <c r="B27" s="1604"/>
      <c r="C27" s="1604"/>
      <c r="D27" s="1604"/>
      <c r="E27" s="1604"/>
      <c r="F27" s="1604"/>
      <c r="G27" s="1604"/>
      <c r="H27" s="1604"/>
      <c r="I27" s="1604"/>
      <c r="J27" s="1605"/>
    </row>
    <row r="28" spans="1:15" s="991" customFormat="1" ht="24.75" customHeight="1" x14ac:dyDescent="0.25">
      <c r="A28" s="1603"/>
      <c r="B28" s="1604"/>
      <c r="C28" s="1604"/>
      <c r="D28" s="1604"/>
      <c r="E28" s="1604"/>
      <c r="F28" s="1604"/>
      <c r="G28" s="1604"/>
      <c r="H28" s="1604"/>
      <c r="I28" s="1604"/>
      <c r="J28" s="1605"/>
    </row>
    <row r="29" spans="1:15" s="991" customFormat="1" ht="13.2" x14ac:dyDescent="0.25">
      <c r="A29" s="1603"/>
      <c r="B29" s="1604"/>
      <c r="C29" s="1604"/>
      <c r="D29" s="1604"/>
      <c r="E29" s="1604"/>
      <c r="F29" s="1604"/>
      <c r="G29" s="1604"/>
      <c r="H29" s="1604"/>
      <c r="I29" s="1604"/>
      <c r="J29" s="1605"/>
    </row>
    <row r="30" spans="1:15" s="991" customFormat="1" ht="27" customHeight="1" x14ac:dyDescent="0.25">
      <c r="A30" s="1603"/>
      <c r="B30" s="1604"/>
      <c r="C30" s="1604"/>
      <c r="D30" s="1604"/>
      <c r="E30" s="1604"/>
      <c r="F30" s="1604"/>
      <c r="G30" s="1604"/>
      <c r="H30" s="1604"/>
      <c r="I30" s="1604"/>
      <c r="J30" s="1605"/>
    </row>
    <row r="31" spans="1:15" s="991" customFormat="1" ht="20.25" customHeight="1" x14ac:dyDescent="0.25">
      <c r="A31" s="1603"/>
      <c r="B31" s="1604"/>
      <c r="C31" s="1604"/>
      <c r="D31" s="1604"/>
      <c r="E31" s="1604"/>
      <c r="F31" s="1604"/>
      <c r="G31" s="1604"/>
      <c r="H31" s="1604"/>
      <c r="I31" s="1604"/>
      <c r="J31" s="1605"/>
    </row>
    <row r="32" spans="1:15" s="991" customFormat="1" ht="12.75" customHeight="1" x14ac:dyDescent="0.25">
      <c r="A32" s="1603"/>
      <c r="B32" s="1604"/>
      <c r="C32" s="1604"/>
      <c r="D32" s="1604"/>
      <c r="E32" s="1604"/>
      <c r="F32" s="1604"/>
      <c r="G32" s="1604"/>
      <c r="H32" s="1604"/>
      <c r="I32" s="1604"/>
      <c r="J32" s="1605"/>
      <c r="L32" s="1009"/>
      <c r="M32" s="1009"/>
      <c r="N32" s="1009"/>
      <c r="O32" s="1009"/>
    </row>
    <row r="33" spans="1:15" s="991" customFormat="1" ht="22.5" customHeight="1" x14ac:dyDescent="0.25">
      <c r="A33" s="1010"/>
      <c r="B33" s="1011"/>
      <c r="C33" s="1011"/>
      <c r="D33" s="1011"/>
      <c r="E33" s="1011"/>
      <c r="F33" s="1011"/>
      <c r="G33" s="1011"/>
      <c r="H33" s="1011"/>
      <c r="I33" s="1011"/>
      <c r="J33" s="1012"/>
      <c r="L33" s="1009"/>
      <c r="M33" s="1009"/>
      <c r="N33" s="1009"/>
      <c r="O33" s="1009"/>
    </row>
    <row r="34" spans="1:15" s="1013" customFormat="1" ht="12" customHeight="1" x14ac:dyDescent="0.3">
      <c r="A34" s="1010"/>
      <c r="B34" s="1011"/>
      <c r="C34" s="1011"/>
      <c r="D34" s="1011"/>
      <c r="E34" s="1011"/>
      <c r="F34" s="1011"/>
      <c r="G34" s="1011"/>
      <c r="H34" s="1011"/>
      <c r="I34" s="1011"/>
      <c r="J34" s="1012"/>
    </row>
    <row r="35" spans="1:15" s="1009" customFormat="1" ht="44.25" customHeight="1" x14ac:dyDescent="0.3">
      <c r="A35" s="1010"/>
      <c r="B35" s="1011"/>
      <c r="C35" s="1011"/>
      <c r="D35" s="1011"/>
      <c r="E35" s="1011"/>
      <c r="F35" s="1011"/>
      <c r="G35" s="1011"/>
      <c r="H35" s="1011"/>
      <c r="I35" s="1011"/>
      <c r="J35" s="1012"/>
    </row>
    <row r="36" spans="1:15" s="1009" customFormat="1" ht="24" customHeight="1" x14ac:dyDescent="0.3">
      <c r="A36" s="1010"/>
      <c r="B36" s="1011"/>
      <c r="C36" s="1011"/>
      <c r="D36" s="1011"/>
      <c r="E36" s="1011"/>
      <c r="F36" s="1011"/>
      <c r="G36" s="1011"/>
      <c r="H36" s="1011"/>
      <c r="I36" s="1011"/>
      <c r="J36" s="1012"/>
    </row>
    <row r="37" spans="1:15" s="1009" customFormat="1" ht="24" customHeight="1" x14ac:dyDescent="0.3">
      <c r="A37" s="1010"/>
      <c r="B37" s="1011"/>
      <c r="C37" s="1011"/>
      <c r="D37" s="1011"/>
      <c r="E37" s="1011"/>
      <c r="F37" s="1011"/>
      <c r="G37" s="1011"/>
      <c r="H37" s="1011"/>
      <c r="I37" s="1011"/>
      <c r="J37" s="1012"/>
    </row>
    <row r="38" spans="1:15" s="1009" customFormat="1" ht="24" customHeight="1" x14ac:dyDescent="0.3">
      <c r="A38" s="1010"/>
      <c r="B38" s="1011"/>
      <c r="C38" s="1011"/>
      <c r="D38" s="1011" t="s">
        <v>2263</v>
      </c>
      <c r="E38" s="1011"/>
      <c r="F38" s="1011"/>
      <c r="G38" s="1011"/>
      <c r="H38" s="1011"/>
      <c r="I38" s="1011"/>
      <c r="J38" s="1012"/>
    </row>
    <row r="39" spans="1:15" s="1009" customFormat="1" ht="29.1" customHeight="1" x14ac:dyDescent="0.3">
      <c r="A39" s="1014" t="s">
        <v>2283</v>
      </c>
      <c r="B39" s="1011"/>
      <c r="C39" s="1011"/>
      <c r="D39" s="1011"/>
      <c r="E39" s="1011"/>
      <c r="F39" s="1011"/>
      <c r="G39" s="1011"/>
      <c r="H39" s="1011"/>
      <c r="I39" s="1011"/>
      <c r="J39" s="1012"/>
    </row>
    <row r="40" spans="1:15" s="1009" customFormat="1" ht="29.1" customHeight="1" x14ac:dyDescent="0.3">
      <c r="A40" s="1010"/>
      <c r="B40" s="1011"/>
      <c r="C40" s="1011"/>
      <c r="D40" s="1011"/>
      <c r="E40" s="1011"/>
      <c r="F40" s="1011"/>
      <c r="G40" s="1011"/>
      <c r="H40" s="1011"/>
      <c r="I40" s="1011"/>
      <c r="J40" s="1012"/>
    </row>
    <row r="41" spans="1:15" s="1009" customFormat="1" ht="29.1" customHeight="1" x14ac:dyDescent="0.3">
      <c r="A41" s="1010"/>
      <c r="B41" s="1011"/>
      <c r="C41" s="1011"/>
      <c r="D41" s="1011"/>
      <c r="E41" s="1011"/>
      <c r="F41" s="1011"/>
      <c r="G41" s="1011"/>
      <c r="H41" s="1011"/>
      <c r="I41" s="1011"/>
      <c r="J41" s="1012"/>
    </row>
    <row r="42" spans="1:15" s="1009" customFormat="1" ht="29.1" customHeight="1" x14ac:dyDescent="0.3">
      <c r="A42" s="1010"/>
      <c r="B42" s="1011"/>
      <c r="C42" s="1011"/>
      <c r="D42" s="1011"/>
      <c r="E42" s="1011"/>
      <c r="F42" s="1011"/>
      <c r="G42" s="1011"/>
      <c r="H42" s="1011"/>
      <c r="I42" s="1011"/>
      <c r="J42" s="1012"/>
    </row>
    <row r="43" spans="1:15" s="1009" customFormat="1" ht="29.1" customHeight="1" x14ac:dyDescent="0.3">
      <c r="A43" s="1010"/>
      <c r="B43" s="1011"/>
      <c r="C43" s="1011"/>
      <c r="D43" s="1011"/>
      <c r="E43" s="1011"/>
      <c r="F43" s="1011"/>
      <c r="G43" s="1011"/>
      <c r="H43" s="1011"/>
      <c r="I43" s="1011"/>
      <c r="J43" s="1012"/>
    </row>
    <row r="44" spans="1:15" s="1009" customFormat="1" ht="29.1" customHeight="1" x14ac:dyDescent="0.3">
      <c r="A44" s="1010"/>
      <c r="B44" s="1011"/>
      <c r="C44" s="1011"/>
      <c r="D44" s="1011"/>
      <c r="E44" s="1011"/>
      <c r="F44" s="1011"/>
      <c r="G44" s="1011"/>
      <c r="H44" s="1011"/>
      <c r="I44" s="1011"/>
      <c r="J44" s="1012"/>
    </row>
    <row r="45" spans="1:15" s="1009" customFormat="1" ht="29.1" customHeight="1" x14ac:dyDescent="0.3">
      <c r="A45" s="1010"/>
      <c r="B45" s="1011"/>
      <c r="C45" s="1011"/>
      <c r="D45" s="1011"/>
      <c r="E45" s="1011"/>
      <c r="F45" s="1011"/>
      <c r="G45" s="1011"/>
      <c r="H45" s="1011"/>
      <c r="I45" s="1011"/>
      <c r="J45" s="1012"/>
    </row>
    <row r="46" spans="1:15" s="1009" customFormat="1" ht="29.1" customHeight="1" x14ac:dyDescent="0.3">
      <c r="A46" s="1010"/>
      <c r="B46" s="1011"/>
      <c r="C46" s="1011"/>
      <c r="D46" s="1011"/>
      <c r="E46" s="1011"/>
      <c r="F46" s="1011"/>
      <c r="G46" s="1011"/>
      <c r="H46" s="1011"/>
      <c r="I46" s="1011"/>
      <c r="J46" s="1012"/>
    </row>
    <row r="47" spans="1:15" s="1009" customFormat="1" ht="29.1" customHeight="1" x14ac:dyDescent="0.3">
      <c r="A47" s="1010"/>
      <c r="B47" s="1011"/>
      <c r="C47" s="1011"/>
      <c r="D47" s="1011"/>
      <c r="E47" s="1011"/>
      <c r="F47" s="1011"/>
      <c r="G47" s="1011"/>
      <c r="H47" s="1011"/>
      <c r="I47" s="1011"/>
      <c r="J47" s="1012"/>
    </row>
    <row r="48" spans="1:15" s="1009" customFormat="1" ht="29.1" customHeight="1" x14ac:dyDescent="0.3">
      <c r="A48" s="1010"/>
      <c r="B48" s="1011"/>
      <c r="C48" s="1011"/>
      <c r="D48" s="1011"/>
      <c r="E48" s="1011"/>
      <c r="F48" s="1011"/>
      <c r="G48" s="1011"/>
      <c r="H48" s="1011"/>
      <c r="I48" s="1011"/>
      <c r="J48" s="1012"/>
    </row>
    <row r="49" spans="1:10" s="1009" customFormat="1" ht="29.1" customHeight="1" x14ac:dyDescent="0.3">
      <c r="A49" s="1010"/>
      <c r="B49" s="1011"/>
      <c r="C49" s="1011"/>
      <c r="D49" s="1011"/>
      <c r="E49" s="1011"/>
      <c r="F49" s="1011"/>
      <c r="G49" s="1011"/>
      <c r="H49" s="1011"/>
      <c r="I49" s="1011"/>
      <c r="J49" s="1012"/>
    </row>
    <row r="50" spans="1:10" s="1009" customFormat="1" ht="29.1" customHeight="1" x14ac:dyDescent="0.3">
      <c r="A50" s="1010"/>
      <c r="B50" s="1011"/>
      <c r="C50" s="1011"/>
      <c r="D50" s="1011"/>
      <c r="E50" s="1011"/>
      <c r="F50" s="1011"/>
      <c r="G50" s="1011"/>
      <c r="H50" s="1011"/>
      <c r="I50" s="1011"/>
      <c r="J50" s="1012"/>
    </row>
    <row r="51" spans="1:10" s="1009" customFormat="1" ht="29.1" customHeight="1" x14ac:dyDescent="0.3">
      <c r="A51" s="1010"/>
      <c r="B51" s="1011"/>
      <c r="C51" s="1011"/>
      <c r="D51" s="1011"/>
      <c r="E51" s="1011"/>
      <c r="F51" s="1011"/>
      <c r="G51" s="1011"/>
      <c r="H51" s="1011"/>
      <c r="I51" s="1011"/>
      <c r="J51" s="1012"/>
    </row>
    <row r="52" spans="1:10" s="1009" customFormat="1" ht="24" customHeight="1" x14ac:dyDescent="0.3">
      <c r="A52" s="1606" t="s">
        <v>2265</v>
      </c>
      <c r="B52" s="1607"/>
      <c r="C52" s="1607"/>
      <c r="D52" s="1607"/>
      <c r="E52" s="1607"/>
      <c r="F52" s="1607"/>
      <c r="G52" s="1607"/>
      <c r="H52" s="1607"/>
      <c r="I52" s="1607"/>
      <c r="J52" s="1608"/>
    </row>
    <row r="53" spans="1:10" s="1009" customFormat="1" ht="24" customHeight="1" x14ac:dyDescent="0.3">
      <c r="A53" s="1606"/>
      <c r="B53" s="1607"/>
      <c r="C53" s="1607"/>
      <c r="D53" s="1607"/>
      <c r="E53" s="1607"/>
      <c r="F53" s="1607"/>
      <c r="G53" s="1607"/>
      <c r="H53" s="1607"/>
      <c r="I53" s="1607"/>
      <c r="J53" s="1608"/>
    </row>
    <row r="54" spans="1:10" s="1009" customFormat="1" ht="24" customHeight="1" x14ac:dyDescent="0.3">
      <c r="A54" s="1014" t="s">
        <v>2266</v>
      </c>
      <c r="B54" s="1011"/>
      <c r="C54" s="1011"/>
      <c r="D54" s="1011"/>
      <c r="E54" s="1011"/>
      <c r="F54" s="1011"/>
      <c r="G54" s="1011"/>
      <c r="H54" s="1011"/>
      <c r="I54" s="1011"/>
      <c r="J54" s="1012"/>
    </row>
    <row r="55" spans="1:10" s="1009" customFormat="1" ht="12.75" customHeight="1" x14ac:dyDescent="0.3">
      <c r="A55" s="1014"/>
      <c r="B55" s="1011"/>
      <c r="C55" s="1011"/>
      <c r="D55" s="1011"/>
      <c r="E55" s="1011"/>
      <c r="F55" s="1011"/>
      <c r="G55" s="1011"/>
      <c r="H55" s="1011"/>
      <c r="I55" s="1011"/>
      <c r="J55" s="1012"/>
    </row>
    <row r="56" spans="1:10" s="1009" customFormat="1" ht="15.75" customHeight="1" x14ac:dyDescent="0.3">
      <c r="A56" s="1014"/>
      <c r="B56" s="1609" t="s">
        <v>2267</v>
      </c>
      <c r="C56" s="1609" t="s">
        <v>2268</v>
      </c>
      <c r="D56" s="1015" t="s">
        <v>2269</v>
      </c>
      <c r="E56" s="1015" t="s">
        <v>2270</v>
      </c>
      <c r="F56" s="1609" t="s">
        <v>2271</v>
      </c>
      <c r="G56" s="1011"/>
      <c r="H56" s="1011"/>
      <c r="I56" s="1011"/>
      <c r="J56" s="1012"/>
    </row>
    <row r="57" spans="1:10" s="1009" customFormat="1" ht="11.25" customHeight="1" x14ac:dyDescent="0.3">
      <c r="A57" s="1014"/>
      <c r="B57" s="1609"/>
      <c r="C57" s="1609"/>
      <c r="D57" s="1015" t="s">
        <v>2272</v>
      </c>
      <c r="E57" s="1015" t="s">
        <v>2273</v>
      </c>
      <c r="F57" s="1609"/>
      <c r="G57" s="1011"/>
      <c r="H57" s="1011"/>
      <c r="I57" s="1011"/>
      <c r="J57" s="1012"/>
    </row>
    <row r="58" spans="1:10" s="1009" customFormat="1" ht="17.100000000000001" customHeight="1" x14ac:dyDescent="0.3">
      <c r="A58" s="1014"/>
      <c r="B58" s="1016">
        <v>618</v>
      </c>
      <c r="C58" s="1597">
        <v>43009</v>
      </c>
      <c r="D58" s="1017">
        <v>43014</v>
      </c>
      <c r="E58" s="1018">
        <v>100081872</v>
      </c>
      <c r="F58" s="1019">
        <v>5776959</v>
      </c>
      <c r="G58" s="1011"/>
      <c r="H58" s="1011"/>
      <c r="I58" s="1011"/>
      <c r="J58" s="1012"/>
    </row>
    <row r="59" spans="1:10" s="1009" customFormat="1" ht="17.100000000000001" customHeight="1" x14ac:dyDescent="0.3">
      <c r="A59" s="1014"/>
      <c r="B59" s="1016">
        <v>619</v>
      </c>
      <c r="C59" s="1597"/>
      <c r="D59" s="1017">
        <v>43028</v>
      </c>
      <c r="E59" s="1018">
        <v>100083255</v>
      </c>
      <c r="F59" s="1019">
        <v>34028544</v>
      </c>
      <c r="G59" s="1011"/>
      <c r="H59" s="1011"/>
      <c r="I59" s="1011"/>
      <c r="J59" s="1012"/>
    </row>
    <row r="60" spans="1:10" s="1009" customFormat="1" ht="17.100000000000001" customHeight="1" x14ac:dyDescent="0.3">
      <c r="A60" s="1014"/>
      <c r="B60" s="1016">
        <v>620</v>
      </c>
      <c r="C60" s="1597"/>
      <c r="D60" s="1017">
        <v>43028</v>
      </c>
      <c r="E60" s="1018">
        <v>100083262</v>
      </c>
      <c r="F60" s="1019">
        <v>56021285</v>
      </c>
      <c r="G60" s="1011"/>
      <c r="H60" s="1011"/>
      <c r="I60" s="1011"/>
      <c r="J60" s="1012"/>
    </row>
    <row r="61" spans="1:10" s="1009" customFormat="1" ht="17.100000000000001" customHeight="1" x14ac:dyDescent="0.3">
      <c r="A61" s="1014"/>
      <c r="B61" s="1016">
        <v>621</v>
      </c>
      <c r="C61" s="1597"/>
      <c r="D61" s="1017">
        <v>43028</v>
      </c>
      <c r="E61" s="1018">
        <v>100083260</v>
      </c>
      <c r="F61" s="1019">
        <v>63833649</v>
      </c>
      <c r="G61" s="1011"/>
      <c r="H61" s="1011"/>
      <c r="I61" s="1011"/>
      <c r="J61" s="1012"/>
    </row>
    <row r="62" spans="1:10" s="1009" customFormat="1" ht="17.100000000000001" customHeight="1" x14ac:dyDescent="0.3">
      <c r="A62" s="1014"/>
      <c r="B62" s="1016">
        <v>622</v>
      </c>
      <c r="C62" s="1597"/>
      <c r="D62" s="1017">
        <v>43028</v>
      </c>
      <c r="E62" s="1018">
        <v>100083258</v>
      </c>
      <c r="F62" s="1019">
        <v>53776396</v>
      </c>
      <c r="G62" s="1011"/>
      <c r="H62" s="1011"/>
      <c r="I62" s="1011"/>
      <c r="J62" s="1012"/>
    </row>
    <row r="63" spans="1:10" s="1009" customFormat="1" ht="17.100000000000001" customHeight="1" x14ac:dyDescent="0.3">
      <c r="A63" s="1014"/>
      <c r="B63" s="1016">
        <v>623</v>
      </c>
      <c r="C63" s="1597"/>
      <c r="D63" s="1017">
        <v>43028</v>
      </c>
      <c r="E63" s="1018">
        <v>100083257</v>
      </c>
      <c r="F63" s="1019">
        <v>34978704</v>
      </c>
      <c r="G63" s="1011"/>
      <c r="H63" s="1011"/>
      <c r="I63" s="1011"/>
      <c r="J63" s="1012"/>
    </row>
    <row r="64" spans="1:10" s="1009" customFormat="1" ht="17.100000000000001" customHeight="1" x14ac:dyDescent="0.3">
      <c r="A64" s="1014"/>
      <c r="B64" s="1016">
        <v>624</v>
      </c>
      <c r="C64" s="1597">
        <v>43040</v>
      </c>
      <c r="D64" s="1017">
        <v>43042</v>
      </c>
      <c r="E64" s="1018">
        <v>100083684</v>
      </c>
      <c r="F64" s="1019">
        <v>69768194</v>
      </c>
      <c r="G64" s="1011"/>
      <c r="H64" s="1011"/>
      <c r="I64" s="1011"/>
      <c r="J64" s="1012"/>
    </row>
    <row r="65" spans="1:10" s="1009" customFormat="1" ht="17.100000000000001" customHeight="1" x14ac:dyDescent="0.3">
      <c r="A65" s="1014"/>
      <c r="B65" s="1016">
        <v>625</v>
      </c>
      <c r="C65" s="1597"/>
      <c r="D65" s="1017">
        <v>43042</v>
      </c>
      <c r="E65" s="1018">
        <v>100083683</v>
      </c>
      <c r="F65" s="1019">
        <v>2019676</v>
      </c>
      <c r="G65" s="1011"/>
      <c r="H65" s="1011"/>
      <c r="I65" s="1011"/>
      <c r="J65" s="1012"/>
    </row>
    <row r="66" spans="1:10" s="1009" customFormat="1" ht="17.100000000000001" customHeight="1" x14ac:dyDescent="0.3">
      <c r="A66" s="1014"/>
      <c r="B66" s="1016">
        <v>626</v>
      </c>
      <c r="C66" s="1597"/>
      <c r="D66" s="1017">
        <v>43042</v>
      </c>
      <c r="E66" s="1018">
        <v>100083685</v>
      </c>
      <c r="F66" s="1019">
        <v>52771230</v>
      </c>
      <c r="G66" s="1011"/>
      <c r="H66" s="1011"/>
      <c r="I66" s="1011"/>
      <c r="J66" s="1012"/>
    </row>
    <row r="67" spans="1:10" s="1009" customFormat="1" ht="17.100000000000001" customHeight="1" x14ac:dyDescent="0.3">
      <c r="A67" s="1014"/>
      <c r="B67" s="1016">
        <v>631</v>
      </c>
      <c r="C67" s="1597"/>
      <c r="D67" s="1017">
        <v>43048</v>
      </c>
      <c r="E67" s="1018">
        <v>100084016</v>
      </c>
      <c r="F67" s="1019">
        <v>28744470</v>
      </c>
      <c r="G67" s="1011"/>
      <c r="H67" s="1011"/>
      <c r="I67" s="1011"/>
      <c r="J67" s="1012"/>
    </row>
    <row r="68" spans="1:10" s="1009" customFormat="1" ht="17.100000000000001" customHeight="1" x14ac:dyDescent="0.3">
      <c r="A68" s="1014"/>
      <c r="B68" s="1016">
        <v>632</v>
      </c>
      <c r="C68" s="1597"/>
      <c r="D68" s="1017">
        <v>43048</v>
      </c>
      <c r="E68" s="1018">
        <v>100084017</v>
      </c>
      <c r="F68" s="1019">
        <v>10463296</v>
      </c>
      <c r="G68" s="1011"/>
      <c r="H68" s="1011"/>
      <c r="I68" s="1011"/>
      <c r="J68" s="1012"/>
    </row>
    <row r="69" spans="1:10" s="1009" customFormat="1" ht="17.100000000000001" customHeight="1" x14ac:dyDescent="0.3">
      <c r="A69" s="1014"/>
      <c r="B69" s="1016">
        <v>633</v>
      </c>
      <c r="C69" s="1597"/>
      <c r="D69" s="1017">
        <v>43048</v>
      </c>
      <c r="E69" s="1018">
        <v>10084019</v>
      </c>
      <c r="F69" s="1019">
        <v>37249728</v>
      </c>
      <c r="G69" s="1011"/>
      <c r="H69" s="1011"/>
      <c r="I69" s="1011"/>
      <c r="J69" s="1012"/>
    </row>
    <row r="70" spans="1:10" s="1009" customFormat="1" ht="17.100000000000001" customHeight="1" x14ac:dyDescent="0.3">
      <c r="A70" s="1014"/>
      <c r="B70" s="1016">
        <v>635</v>
      </c>
      <c r="C70" s="1597"/>
      <c r="D70" s="1017">
        <v>43048</v>
      </c>
      <c r="E70" s="1018">
        <v>100084021</v>
      </c>
      <c r="F70" s="1019">
        <v>58826475</v>
      </c>
      <c r="G70" s="1011"/>
      <c r="H70" s="1011"/>
      <c r="I70" s="1011"/>
      <c r="J70" s="1012"/>
    </row>
    <row r="71" spans="1:10" s="1009" customFormat="1" ht="17.100000000000001" customHeight="1" x14ac:dyDescent="0.3">
      <c r="A71" s="1014"/>
      <c r="B71" s="1016">
        <v>638</v>
      </c>
      <c r="C71" s="1597"/>
      <c r="D71" s="1017">
        <v>43054</v>
      </c>
      <c r="E71" s="1018">
        <v>100084395</v>
      </c>
      <c r="F71" s="1019">
        <v>226336551</v>
      </c>
      <c r="G71" s="1011"/>
      <c r="H71" s="1011"/>
      <c r="I71" s="1011"/>
      <c r="J71" s="1012"/>
    </row>
    <row r="72" spans="1:10" s="1009" customFormat="1" ht="17.100000000000001" customHeight="1" x14ac:dyDescent="0.3">
      <c r="A72" s="1014"/>
      <c r="B72" s="1016">
        <v>639</v>
      </c>
      <c r="C72" s="1597"/>
      <c r="D72" s="1017">
        <v>43054</v>
      </c>
      <c r="E72" s="1018">
        <v>100084396</v>
      </c>
      <c r="F72" s="1019">
        <v>2625575</v>
      </c>
      <c r="G72" s="1011"/>
      <c r="H72" s="1011"/>
      <c r="I72" s="1011"/>
      <c r="J72" s="1012"/>
    </row>
    <row r="73" spans="1:10" s="1009" customFormat="1" ht="17.100000000000001" customHeight="1" x14ac:dyDescent="0.3">
      <c r="A73" s="1014"/>
      <c r="B73" s="1016">
        <v>640</v>
      </c>
      <c r="C73" s="1597"/>
      <c r="D73" s="1017">
        <v>43054</v>
      </c>
      <c r="E73" s="1018">
        <v>100084398</v>
      </c>
      <c r="F73" s="1019">
        <v>5682941</v>
      </c>
      <c r="G73" s="1011"/>
      <c r="H73" s="1011"/>
      <c r="I73" s="1011"/>
      <c r="J73" s="1012"/>
    </row>
    <row r="74" spans="1:10" s="1009" customFormat="1" ht="17.100000000000001" customHeight="1" x14ac:dyDescent="0.3">
      <c r="A74" s="1014"/>
      <c r="B74" s="1016">
        <v>641</v>
      </c>
      <c r="C74" s="1597"/>
      <c r="D74" s="1017">
        <v>43054</v>
      </c>
      <c r="E74" s="1018">
        <v>100084400</v>
      </c>
      <c r="F74" s="1019">
        <v>6627311</v>
      </c>
      <c r="G74" s="1011"/>
      <c r="H74" s="1011"/>
      <c r="I74" s="1011"/>
      <c r="J74" s="1012"/>
    </row>
    <row r="75" spans="1:10" s="1009" customFormat="1" ht="17.100000000000001" customHeight="1" x14ac:dyDescent="0.3">
      <c r="A75" s="1014"/>
      <c r="B75" s="1016">
        <v>642</v>
      </c>
      <c r="C75" s="1597"/>
      <c r="D75" s="1017">
        <v>43054</v>
      </c>
      <c r="E75" s="1018">
        <v>100084401</v>
      </c>
      <c r="F75" s="1019">
        <v>8191374</v>
      </c>
      <c r="G75" s="1011"/>
      <c r="H75" s="1011"/>
      <c r="I75" s="1011"/>
      <c r="J75" s="1012"/>
    </row>
    <row r="76" spans="1:10" s="1009" customFormat="1" ht="17.100000000000001" customHeight="1" x14ac:dyDescent="0.3">
      <c r="A76" s="1014"/>
      <c r="B76" s="1016">
        <v>643</v>
      </c>
      <c r="C76" s="1597"/>
      <c r="D76" s="1017">
        <v>43054</v>
      </c>
      <c r="E76" s="1018">
        <v>100084402</v>
      </c>
      <c r="F76" s="1019">
        <v>19165994</v>
      </c>
      <c r="G76" s="1011"/>
      <c r="H76" s="1011"/>
      <c r="I76" s="1011"/>
      <c r="J76" s="1012"/>
    </row>
    <row r="77" spans="1:10" s="1009" customFormat="1" ht="17.100000000000001" customHeight="1" x14ac:dyDescent="0.3">
      <c r="A77" s="1014"/>
      <c r="B77" s="1016">
        <v>644</v>
      </c>
      <c r="C77" s="1597"/>
      <c r="D77" s="1017">
        <v>43054</v>
      </c>
      <c r="E77" s="1018">
        <v>100084403</v>
      </c>
      <c r="F77" s="1019">
        <v>1291198</v>
      </c>
      <c r="G77" s="1011"/>
      <c r="H77" s="1011"/>
      <c r="I77" s="1011"/>
      <c r="J77" s="1012"/>
    </row>
    <row r="78" spans="1:10" s="1009" customFormat="1" ht="17.100000000000001" customHeight="1" x14ac:dyDescent="0.3">
      <c r="A78" s="1014"/>
      <c r="B78" s="1016">
        <v>645</v>
      </c>
      <c r="C78" s="1597"/>
      <c r="D78" s="1017">
        <v>43056</v>
      </c>
      <c r="E78" s="1018">
        <v>100084740</v>
      </c>
      <c r="F78" s="1019">
        <v>14579969</v>
      </c>
      <c r="G78" s="1011"/>
      <c r="H78" s="1011"/>
      <c r="I78" s="1011"/>
      <c r="J78" s="1012"/>
    </row>
    <row r="79" spans="1:10" s="1009" customFormat="1" ht="17.100000000000001" customHeight="1" x14ac:dyDescent="0.3">
      <c r="A79" s="1014"/>
      <c r="B79" s="1016">
        <v>646</v>
      </c>
      <c r="C79" s="1597"/>
      <c r="D79" s="1017">
        <v>43056</v>
      </c>
      <c r="E79" s="1018">
        <v>100084742</v>
      </c>
      <c r="F79" s="1019">
        <v>18260631</v>
      </c>
      <c r="G79" s="1011"/>
      <c r="H79" s="1011"/>
      <c r="I79" s="1011"/>
      <c r="J79" s="1012"/>
    </row>
    <row r="80" spans="1:10" s="1009" customFormat="1" ht="17.100000000000001" customHeight="1" x14ac:dyDescent="0.3">
      <c r="A80" s="1014"/>
      <c r="B80" s="1016">
        <v>650</v>
      </c>
      <c r="C80" s="1597">
        <v>43070</v>
      </c>
      <c r="D80" s="1017">
        <v>43074</v>
      </c>
      <c r="E80" s="1018">
        <v>100086016</v>
      </c>
      <c r="F80" s="1019">
        <v>5889783</v>
      </c>
      <c r="G80" s="1011"/>
      <c r="H80" s="1011"/>
      <c r="I80" s="1011"/>
      <c r="J80" s="1012"/>
    </row>
    <row r="81" spans="1:10" s="1009" customFormat="1" ht="17.100000000000001" customHeight="1" x14ac:dyDescent="0.3">
      <c r="A81" s="1014"/>
      <c r="B81" s="1016">
        <v>651</v>
      </c>
      <c r="C81" s="1597"/>
      <c r="D81" s="1017">
        <v>43074</v>
      </c>
      <c r="E81" s="1018">
        <v>100086015</v>
      </c>
      <c r="F81" s="1019">
        <v>84999613</v>
      </c>
      <c r="G81" s="1011"/>
      <c r="H81" s="1011"/>
      <c r="I81" s="1011"/>
      <c r="J81" s="1012"/>
    </row>
    <row r="82" spans="1:10" s="1009" customFormat="1" ht="17.100000000000001" customHeight="1" x14ac:dyDescent="0.3">
      <c r="A82" s="1014"/>
      <c r="B82" s="1016">
        <v>652</v>
      </c>
      <c r="C82" s="1597"/>
      <c r="D82" s="1017">
        <v>43074</v>
      </c>
      <c r="E82" s="1018">
        <v>100086014</v>
      </c>
      <c r="F82" s="1019">
        <v>19673677</v>
      </c>
      <c r="G82" s="1011"/>
      <c r="H82" s="1011"/>
      <c r="I82" s="1011"/>
      <c r="J82" s="1012"/>
    </row>
    <row r="83" spans="1:10" s="1009" customFormat="1" ht="17.100000000000001" customHeight="1" x14ac:dyDescent="0.3">
      <c r="A83" s="1014"/>
      <c r="B83" s="1016">
        <v>654</v>
      </c>
      <c r="C83" s="1597"/>
      <c r="D83" s="1017">
        <v>43074</v>
      </c>
      <c r="E83" s="1018">
        <v>100086013</v>
      </c>
      <c r="F83" s="1019">
        <v>47465432</v>
      </c>
      <c r="G83" s="1011"/>
      <c r="H83" s="1011"/>
      <c r="I83" s="1011"/>
      <c r="J83" s="1012"/>
    </row>
    <row r="84" spans="1:10" s="1009" customFormat="1" ht="17.100000000000001" customHeight="1" x14ac:dyDescent="0.3">
      <c r="A84" s="1014"/>
      <c r="B84" s="1016">
        <v>655</v>
      </c>
      <c r="C84" s="1597"/>
      <c r="D84" s="1017">
        <v>43074</v>
      </c>
      <c r="E84" s="1018">
        <v>100086012</v>
      </c>
      <c r="F84" s="1019">
        <v>47745704</v>
      </c>
      <c r="G84" s="1011"/>
      <c r="H84" s="1011"/>
      <c r="I84" s="1011"/>
      <c r="J84" s="1012"/>
    </row>
    <row r="85" spans="1:10" s="1009" customFormat="1" ht="17.100000000000001" customHeight="1" x14ac:dyDescent="0.3">
      <c r="A85" s="1014"/>
      <c r="B85" s="1016">
        <v>656</v>
      </c>
      <c r="C85" s="1597"/>
      <c r="D85" s="1017">
        <v>43074</v>
      </c>
      <c r="E85" s="1018">
        <v>100086011</v>
      </c>
      <c r="F85" s="1019">
        <v>23842392</v>
      </c>
      <c r="G85" s="1011"/>
      <c r="H85" s="1011"/>
      <c r="I85" s="1011"/>
      <c r="J85" s="1012"/>
    </row>
    <row r="86" spans="1:10" s="1009" customFormat="1" ht="17.100000000000001" customHeight="1" x14ac:dyDescent="0.3">
      <c r="A86" s="1014"/>
      <c r="B86" s="1016">
        <v>658</v>
      </c>
      <c r="C86" s="1597"/>
      <c r="D86" s="1017">
        <v>43074</v>
      </c>
      <c r="E86" s="1018">
        <v>100086010</v>
      </c>
      <c r="F86" s="1019">
        <v>3426482</v>
      </c>
      <c r="G86" s="1011"/>
      <c r="H86" s="1011"/>
      <c r="I86" s="1011"/>
      <c r="J86" s="1012"/>
    </row>
    <row r="87" spans="1:10" s="1009" customFormat="1" ht="17.100000000000001" customHeight="1" x14ac:dyDescent="0.3">
      <c r="A87" s="1014"/>
      <c r="B87" s="1016">
        <v>659</v>
      </c>
      <c r="C87" s="1597"/>
      <c r="D87" s="1017">
        <v>43074</v>
      </c>
      <c r="E87" s="1018">
        <v>100086009</v>
      </c>
      <c r="F87" s="1019">
        <v>8624697</v>
      </c>
      <c r="G87" s="1011"/>
      <c r="H87" s="1011"/>
      <c r="I87" s="1011"/>
      <c r="J87" s="1012"/>
    </row>
    <row r="88" spans="1:10" s="1009" customFormat="1" ht="17.100000000000001" customHeight="1" x14ac:dyDescent="0.3">
      <c r="A88" s="1014"/>
      <c r="B88" s="1016">
        <v>660</v>
      </c>
      <c r="C88" s="1597"/>
      <c r="D88" s="1017">
        <v>43083</v>
      </c>
      <c r="E88" s="1018">
        <v>100087287</v>
      </c>
      <c r="F88" s="1019">
        <v>21475176</v>
      </c>
      <c r="G88" s="1011"/>
      <c r="H88" s="1011"/>
      <c r="I88" s="1011"/>
      <c r="J88" s="1012"/>
    </row>
    <row r="89" spans="1:10" s="1009" customFormat="1" ht="17.100000000000001" customHeight="1" x14ac:dyDescent="0.3">
      <c r="A89" s="1014"/>
      <c r="B89" s="1016">
        <v>661</v>
      </c>
      <c r="C89" s="1597"/>
      <c r="D89" s="1017">
        <v>43083</v>
      </c>
      <c r="E89" s="1018">
        <v>100087289</v>
      </c>
      <c r="F89" s="1019">
        <v>21475176</v>
      </c>
      <c r="G89" s="1011"/>
      <c r="H89" s="1011"/>
      <c r="I89" s="1011"/>
      <c r="J89" s="1012"/>
    </row>
    <row r="90" spans="1:10" s="1009" customFormat="1" ht="17.100000000000001" customHeight="1" x14ac:dyDescent="0.3">
      <c r="A90" s="1014"/>
      <c r="B90" s="1016">
        <v>662</v>
      </c>
      <c r="C90" s="1597"/>
      <c r="D90" s="1017">
        <v>43083</v>
      </c>
      <c r="E90" s="1018">
        <v>200057595</v>
      </c>
      <c r="F90" s="1019">
        <v>44334220</v>
      </c>
      <c r="G90" s="1011"/>
      <c r="H90" s="1011"/>
      <c r="I90" s="1011"/>
      <c r="J90" s="1012"/>
    </row>
    <row r="91" spans="1:10" s="1009" customFormat="1" ht="17.100000000000001" customHeight="1" x14ac:dyDescent="0.3">
      <c r="A91" s="1014"/>
      <c r="B91" s="1016">
        <v>664</v>
      </c>
      <c r="C91" s="1597"/>
      <c r="D91" s="1017">
        <v>43083</v>
      </c>
      <c r="E91" s="1018">
        <v>100087283</v>
      </c>
      <c r="F91" s="1019">
        <v>63331942</v>
      </c>
      <c r="G91" s="1011"/>
      <c r="H91" s="1011"/>
      <c r="I91" s="1011"/>
      <c r="J91" s="1012"/>
    </row>
    <row r="92" spans="1:10" s="1009" customFormat="1" ht="17.100000000000001" customHeight="1" x14ac:dyDescent="0.3">
      <c r="A92" s="1014"/>
      <c r="B92" s="1016">
        <v>665</v>
      </c>
      <c r="C92" s="1597"/>
      <c r="D92" s="1017">
        <v>43083</v>
      </c>
      <c r="E92" s="1018">
        <v>100087281</v>
      </c>
      <c r="F92" s="1019">
        <v>21564800</v>
      </c>
      <c r="G92" s="1011"/>
      <c r="H92" s="1011"/>
      <c r="I92" s="1011"/>
      <c r="J92" s="1012"/>
    </row>
    <row r="93" spans="1:10" s="1009" customFormat="1" ht="17.100000000000001" customHeight="1" x14ac:dyDescent="0.3">
      <c r="A93" s="1014"/>
      <c r="B93" s="1016">
        <v>666</v>
      </c>
      <c r="C93" s="1597"/>
      <c r="D93" s="1017">
        <v>43083</v>
      </c>
      <c r="E93" s="1018">
        <v>100087278</v>
      </c>
      <c r="F93" s="1019">
        <v>26776087</v>
      </c>
      <c r="G93" s="1011"/>
      <c r="H93" s="1011"/>
      <c r="I93" s="1011"/>
      <c r="J93" s="1012"/>
    </row>
    <row r="94" spans="1:10" s="1009" customFormat="1" ht="17.100000000000001" customHeight="1" x14ac:dyDescent="0.3">
      <c r="A94" s="1014"/>
      <c r="B94" s="1016">
        <v>668</v>
      </c>
      <c r="C94" s="1597"/>
      <c r="D94" s="1017">
        <v>43083</v>
      </c>
      <c r="E94" s="1018">
        <v>100087279</v>
      </c>
      <c r="F94" s="1019">
        <v>71155853</v>
      </c>
      <c r="G94" s="1011"/>
      <c r="H94" s="1011"/>
      <c r="I94" s="1011"/>
      <c r="J94" s="1012"/>
    </row>
    <row r="95" spans="1:10" s="1009" customFormat="1" ht="17.100000000000001" customHeight="1" x14ac:dyDescent="0.3">
      <c r="A95" s="1014"/>
      <c r="B95" s="1016">
        <v>669</v>
      </c>
      <c r="C95" s="1597"/>
      <c r="D95" s="1017">
        <v>43084</v>
      </c>
      <c r="E95" s="1018">
        <v>100088004</v>
      </c>
      <c r="F95" s="1019">
        <v>3154868</v>
      </c>
      <c r="G95" s="1011"/>
      <c r="H95" s="1011"/>
      <c r="I95" s="1011"/>
      <c r="J95" s="1012"/>
    </row>
    <row r="96" spans="1:10" s="1009" customFormat="1" ht="17.100000000000001" customHeight="1" x14ac:dyDescent="0.3">
      <c r="A96" s="1014"/>
      <c r="B96" s="1016">
        <v>670</v>
      </c>
      <c r="C96" s="1597"/>
      <c r="D96" s="1017">
        <v>43084</v>
      </c>
      <c r="E96" s="1018">
        <v>100088007</v>
      </c>
      <c r="F96" s="1019">
        <v>6420121</v>
      </c>
      <c r="G96" s="1011"/>
      <c r="H96" s="1011"/>
      <c r="I96" s="1011"/>
      <c r="J96" s="1012"/>
    </row>
    <row r="97" spans="1:10" s="1009" customFormat="1" ht="17.100000000000001" customHeight="1" x14ac:dyDescent="0.3">
      <c r="A97" s="1014"/>
      <c r="B97" s="1016">
        <v>671</v>
      </c>
      <c r="C97" s="1597"/>
      <c r="D97" s="1017">
        <v>43084</v>
      </c>
      <c r="E97" s="1018">
        <v>100088002</v>
      </c>
      <c r="F97" s="1019">
        <v>9203647</v>
      </c>
      <c r="G97" s="1011"/>
      <c r="H97" s="1011"/>
      <c r="I97" s="1011"/>
      <c r="J97" s="1012"/>
    </row>
    <row r="98" spans="1:10" s="1009" customFormat="1" ht="17.100000000000001" customHeight="1" x14ac:dyDescent="0.3">
      <c r="A98" s="1014"/>
      <c r="B98" s="1016">
        <v>672</v>
      </c>
      <c r="C98" s="1597"/>
      <c r="D98" s="1017">
        <v>43084</v>
      </c>
      <c r="E98" s="1018">
        <v>100088008</v>
      </c>
      <c r="F98" s="1019">
        <v>30678824</v>
      </c>
      <c r="G98" s="1011"/>
      <c r="H98" s="1011"/>
      <c r="I98" s="1011"/>
      <c r="J98" s="1012"/>
    </row>
    <row r="99" spans="1:10" s="1009" customFormat="1" ht="17.100000000000001" customHeight="1" x14ac:dyDescent="0.3">
      <c r="A99" s="1014"/>
      <c r="B99" s="1016">
        <v>675</v>
      </c>
      <c r="C99" s="1597"/>
      <c r="D99" s="1017">
        <v>43084</v>
      </c>
      <c r="E99" s="1018">
        <v>100088009</v>
      </c>
      <c r="F99" s="1019">
        <v>15293068</v>
      </c>
      <c r="G99" s="1011"/>
      <c r="H99" s="1011"/>
      <c r="I99" s="1011"/>
      <c r="J99" s="1012"/>
    </row>
    <row r="100" spans="1:10" s="1009" customFormat="1" ht="17.100000000000001" customHeight="1" x14ac:dyDescent="0.3">
      <c r="A100" s="1014"/>
      <c r="B100" s="1016">
        <v>676</v>
      </c>
      <c r="C100" s="1597"/>
      <c r="D100" s="1017">
        <v>43084</v>
      </c>
      <c r="E100" s="1018">
        <v>100088010</v>
      </c>
      <c r="F100" s="1019">
        <v>14087219</v>
      </c>
      <c r="G100" s="1011"/>
      <c r="H100" s="1011"/>
      <c r="I100" s="1011"/>
      <c r="J100" s="1012"/>
    </row>
    <row r="101" spans="1:10" s="1009" customFormat="1" ht="17.100000000000001" customHeight="1" x14ac:dyDescent="0.3">
      <c r="A101" s="1014"/>
      <c r="B101" s="1016">
        <v>677</v>
      </c>
      <c r="C101" s="1597"/>
      <c r="D101" s="1017">
        <v>43084</v>
      </c>
      <c r="E101" s="1018">
        <v>100088005</v>
      </c>
      <c r="F101" s="1019">
        <v>24657417</v>
      </c>
      <c r="G101" s="1011"/>
      <c r="H101" s="1011"/>
      <c r="I101" s="1011"/>
      <c r="J101" s="1012"/>
    </row>
    <row r="102" spans="1:10" s="1009" customFormat="1" ht="17.100000000000001" customHeight="1" x14ac:dyDescent="0.3">
      <c r="A102" s="1014"/>
      <c r="B102" s="1016">
        <v>678</v>
      </c>
      <c r="C102" s="1597"/>
      <c r="D102" s="1017">
        <v>43084</v>
      </c>
      <c r="E102" s="1018">
        <v>100088012</v>
      </c>
      <c r="F102" s="1019">
        <v>209932502</v>
      </c>
      <c r="G102" s="1011"/>
      <c r="H102" s="1011"/>
      <c r="I102" s="1011"/>
      <c r="J102" s="1012"/>
    </row>
    <row r="103" spans="1:10" s="1009" customFormat="1" ht="17.100000000000001" customHeight="1" x14ac:dyDescent="0.3">
      <c r="A103" s="1014"/>
      <c r="B103" s="1016">
        <v>679</v>
      </c>
      <c r="C103" s="1597"/>
      <c r="D103" s="1017">
        <v>43084</v>
      </c>
      <c r="E103" s="1018">
        <v>100088014</v>
      </c>
      <c r="F103" s="1019">
        <v>14755495</v>
      </c>
      <c r="G103" s="1011"/>
      <c r="H103" s="1011"/>
      <c r="I103" s="1011"/>
      <c r="J103" s="1012"/>
    </row>
    <row r="104" spans="1:10" s="1009" customFormat="1" ht="17.100000000000001" customHeight="1" x14ac:dyDescent="0.3">
      <c r="A104" s="1014"/>
      <c r="B104" s="1016">
        <v>680</v>
      </c>
      <c r="C104" s="1597"/>
      <c r="D104" s="1017">
        <v>43084</v>
      </c>
      <c r="E104" s="1018">
        <v>100088015</v>
      </c>
      <c r="F104" s="1019">
        <v>15983287</v>
      </c>
      <c r="G104" s="1011"/>
      <c r="H104" s="1011"/>
      <c r="I104" s="1011"/>
      <c r="J104" s="1012"/>
    </row>
    <row r="105" spans="1:10" s="1009" customFormat="1" ht="17.100000000000001" customHeight="1" x14ac:dyDescent="0.3">
      <c r="A105" s="1014"/>
      <c r="B105" s="1016">
        <v>681</v>
      </c>
      <c r="C105" s="1597"/>
      <c r="D105" s="1017">
        <v>43084</v>
      </c>
      <c r="E105" s="1018">
        <v>100088017</v>
      </c>
      <c r="F105" s="1019">
        <v>9203647</v>
      </c>
      <c r="G105" s="1011"/>
      <c r="H105" s="1011"/>
      <c r="I105" s="1011"/>
      <c r="J105" s="1012"/>
    </row>
    <row r="106" spans="1:10" s="1009" customFormat="1" ht="17.100000000000001" customHeight="1" x14ac:dyDescent="0.3">
      <c r="A106" s="1014"/>
      <c r="B106" s="1016">
        <v>682</v>
      </c>
      <c r="C106" s="1597"/>
      <c r="D106" s="1017">
        <v>43084</v>
      </c>
      <c r="E106" s="1018">
        <v>100088019</v>
      </c>
      <c r="F106" s="1019">
        <v>438756</v>
      </c>
      <c r="G106" s="1011"/>
      <c r="H106" s="1011"/>
      <c r="I106" s="1011"/>
      <c r="J106" s="1012"/>
    </row>
    <row r="107" spans="1:10" s="1009" customFormat="1" ht="17.100000000000001" customHeight="1" x14ac:dyDescent="0.3">
      <c r="A107" s="1014"/>
      <c r="B107" s="1016">
        <v>683</v>
      </c>
      <c r="C107" s="1597"/>
      <c r="D107" s="1017">
        <v>43084</v>
      </c>
      <c r="E107" s="1018">
        <v>100088020</v>
      </c>
      <c r="F107" s="1019">
        <v>14192034</v>
      </c>
      <c r="G107" s="1011"/>
      <c r="H107" s="1011"/>
      <c r="I107" s="1011"/>
      <c r="J107" s="1012"/>
    </row>
    <row r="108" spans="1:10" s="1009" customFormat="1" ht="17.100000000000001" customHeight="1" x14ac:dyDescent="0.3">
      <c r="A108" s="1014"/>
      <c r="B108" s="1016">
        <v>684</v>
      </c>
      <c r="C108" s="1597"/>
      <c r="D108" s="1017">
        <v>43084</v>
      </c>
      <c r="E108" s="1018">
        <v>100088018</v>
      </c>
      <c r="F108" s="1019">
        <v>424132</v>
      </c>
      <c r="G108" s="1011"/>
      <c r="H108" s="1011"/>
      <c r="I108" s="1011"/>
      <c r="J108" s="1012"/>
    </row>
    <row r="109" spans="1:10" s="1009" customFormat="1" ht="17.100000000000001" customHeight="1" x14ac:dyDescent="0.3">
      <c r="A109" s="1014"/>
      <c r="B109" s="1016">
        <v>686</v>
      </c>
      <c r="C109" s="1597"/>
      <c r="D109" s="1017">
        <v>43084</v>
      </c>
      <c r="E109" s="1018">
        <v>100088215</v>
      </c>
      <c r="F109" s="1019">
        <v>20510379</v>
      </c>
      <c r="G109" s="1011"/>
      <c r="H109" s="1011"/>
      <c r="I109" s="1011"/>
      <c r="J109" s="1012"/>
    </row>
    <row r="110" spans="1:10" s="1009" customFormat="1" ht="17.100000000000001" customHeight="1" x14ac:dyDescent="0.3">
      <c r="A110" s="1014"/>
      <c r="B110" s="1016">
        <v>687</v>
      </c>
      <c r="C110" s="1597"/>
      <c r="D110" s="1017">
        <v>43084</v>
      </c>
      <c r="E110" s="1018">
        <v>100088406</v>
      </c>
      <c r="F110" s="1019">
        <v>18682184</v>
      </c>
      <c r="G110" s="1011"/>
      <c r="H110" s="1011"/>
      <c r="I110" s="1011"/>
      <c r="J110" s="1012"/>
    </row>
    <row r="111" spans="1:10" s="1009" customFormat="1" ht="17.100000000000001" customHeight="1" x14ac:dyDescent="0.3">
      <c r="A111" s="1014"/>
      <c r="B111" s="1016">
        <v>689</v>
      </c>
      <c r="C111" s="1597"/>
      <c r="D111" s="1017">
        <v>43084</v>
      </c>
      <c r="E111" s="1018">
        <v>100088409</v>
      </c>
      <c r="F111" s="1019">
        <v>6487335</v>
      </c>
      <c r="G111" s="1011"/>
      <c r="H111" s="1011"/>
      <c r="I111" s="1011"/>
      <c r="J111" s="1012"/>
    </row>
    <row r="112" spans="1:10" s="1009" customFormat="1" ht="17.100000000000001" customHeight="1" x14ac:dyDescent="0.3">
      <c r="A112" s="1014"/>
      <c r="B112" s="1016">
        <v>690</v>
      </c>
      <c r="C112" s="1597"/>
      <c r="D112" s="1017">
        <v>43084</v>
      </c>
      <c r="E112" s="1018">
        <v>100088407</v>
      </c>
      <c r="F112" s="1019">
        <v>2827541</v>
      </c>
      <c r="G112" s="1011"/>
      <c r="H112" s="1011"/>
      <c r="I112" s="1011"/>
      <c r="J112" s="1012"/>
    </row>
    <row r="113" spans="1:10" s="1009" customFormat="1" ht="24" customHeight="1" x14ac:dyDescent="0.3">
      <c r="A113" s="1014"/>
      <c r="B113" s="1020"/>
      <c r="C113" s="1020"/>
      <c r="D113" s="1591" t="s">
        <v>2274</v>
      </c>
      <c r="E113" s="1592"/>
      <c r="F113" s="1021">
        <f>SUM(F58:F112)</f>
        <v>1739733640</v>
      </c>
      <c r="G113" s="1011"/>
      <c r="H113" s="1011"/>
      <c r="I113" s="1011"/>
      <c r="J113" s="1012"/>
    </row>
    <row r="114" spans="1:10" s="1009" customFormat="1" ht="12.75" customHeight="1" x14ac:dyDescent="0.3">
      <c r="A114" s="1010"/>
      <c r="B114" s="1020"/>
      <c r="C114" s="1020"/>
      <c r="D114" s="1593" t="s">
        <v>2275</v>
      </c>
      <c r="E114" s="1594"/>
      <c r="F114" s="1022">
        <v>1.4999999999999999E-2</v>
      </c>
      <c r="G114" s="1011"/>
      <c r="H114" s="1011"/>
      <c r="I114" s="1011"/>
      <c r="J114" s="1012"/>
    </row>
    <row r="115" spans="1:10" s="991" customFormat="1" ht="16.5" customHeight="1" x14ac:dyDescent="0.25">
      <c r="A115" s="1014"/>
      <c r="B115" s="1020"/>
      <c r="C115" s="1020"/>
      <c r="D115" s="1586" t="s">
        <v>2276</v>
      </c>
      <c r="E115" s="1587"/>
      <c r="F115" s="1019">
        <f>+F113*F114</f>
        <v>26096004.599999998</v>
      </c>
      <c r="G115" s="1020"/>
      <c r="H115" s="1020"/>
      <c r="I115" s="1020"/>
      <c r="J115" s="1023"/>
    </row>
    <row r="116" spans="1:10" s="991" customFormat="1" ht="16.5" customHeight="1" x14ac:dyDescent="0.25">
      <c r="A116" s="1014"/>
      <c r="B116" s="1020"/>
      <c r="C116" s="1020"/>
      <c r="D116" s="1584" t="s">
        <v>1439</v>
      </c>
      <c r="E116" s="1585"/>
      <c r="F116" s="1019">
        <f>+F115*1.5%</f>
        <v>391440.06899999996</v>
      </c>
      <c r="G116" s="1020"/>
      <c r="H116" s="1020"/>
      <c r="I116" s="1020"/>
      <c r="J116" s="1023"/>
    </row>
    <row r="117" spans="1:10" s="991" customFormat="1" ht="16.5" customHeight="1" x14ac:dyDescent="0.25">
      <c r="A117" s="1014"/>
      <c r="B117" s="1020"/>
      <c r="C117" s="1020"/>
      <c r="D117" s="1586" t="s">
        <v>2276</v>
      </c>
      <c r="E117" s="1587"/>
      <c r="F117" s="1019">
        <f>+F116+F115</f>
        <v>26487444.668999996</v>
      </c>
      <c r="G117" s="1020"/>
      <c r="H117" s="1020"/>
      <c r="I117" s="1020"/>
      <c r="J117" s="1023"/>
    </row>
    <row r="118" spans="1:10" s="991" customFormat="1" ht="17.25" customHeight="1" x14ac:dyDescent="0.25">
      <c r="A118" s="1014"/>
      <c r="B118" s="1020"/>
      <c r="C118" s="1020"/>
      <c r="D118" s="1586" t="s">
        <v>66</v>
      </c>
      <c r="E118" s="1587"/>
      <c r="F118" s="1019">
        <f>+F117*19%</f>
        <v>5032614.4871099992</v>
      </c>
      <c r="G118" s="1020"/>
      <c r="H118" s="1020"/>
      <c r="I118" s="1020"/>
      <c r="J118" s="1023"/>
    </row>
    <row r="119" spans="1:10" s="991" customFormat="1" ht="22.5" customHeight="1" x14ac:dyDescent="0.25">
      <c r="A119" s="1014"/>
      <c r="B119" s="1020"/>
      <c r="C119" s="1020"/>
      <c r="D119" s="1595" t="s">
        <v>2277</v>
      </c>
      <c r="E119" s="1596"/>
      <c r="F119" s="1024">
        <f>SUM(F117:F118)</f>
        <v>31520059.156109996</v>
      </c>
      <c r="G119" s="1020"/>
      <c r="H119" s="1020"/>
      <c r="I119" s="1020"/>
      <c r="J119" s="1023"/>
    </row>
    <row r="120" spans="1:10" s="991" customFormat="1" ht="22.5" customHeight="1" x14ac:dyDescent="0.25">
      <c r="A120" s="1025"/>
      <c r="B120" s="1026"/>
      <c r="C120" s="1026"/>
      <c r="D120" s="1026"/>
      <c r="E120" s="1026"/>
      <c r="F120" s="1026"/>
      <c r="G120" s="1026"/>
      <c r="H120" s="1026"/>
      <c r="I120" s="1026"/>
      <c r="J120" s="1027"/>
    </row>
    <row r="121" spans="1:10" s="991" customFormat="1" ht="6.75" customHeight="1" x14ac:dyDescent="0.25">
      <c r="A121" s="998"/>
      <c r="B121" s="998"/>
      <c r="C121" s="998"/>
      <c r="D121" s="998"/>
      <c r="E121" s="998"/>
      <c r="F121" s="998"/>
      <c r="G121" s="998"/>
      <c r="H121" s="998"/>
      <c r="I121" s="998"/>
      <c r="J121" s="999"/>
    </row>
    <row r="122" spans="1:10" s="991" customFormat="1" ht="18" customHeight="1" x14ac:dyDescent="0.25">
      <c r="A122" s="1588" t="s">
        <v>2278</v>
      </c>
      <c r="B122" s="1589"/>
      <c r="C122" s="1589"/>
      <c r="D122" s="1589"/>
      <c r="E122" s="1589"/>
      <c r="F122" s="1589"/>
      <c r="G122" s="1589"/>
      <c r="H122" s="1589"/>
      <c r="I122" s="1589"/>
      <c r="J122" s="1590"/>
    </row>
    <row r="123" spans="1:10" s="991" customFormat="1" ht="8.25" customHeight="1" thickBot="1" x14ac:dyDescent="0.3">
      <c r="A123" s="1028"/>
      <c r="B123" s="1028"/>
      <c r="C123" s="1029"/>
      <c r="D123" s="1004"/>
      <c r="E123" s="1004"/>
      <c r="F123" s="1004"/>
      <c r="G123" s="1004"/>
      <c r="H123" s="1004"/>
      <c r="I123" s="1004"/>
      <c r="J123" s="999"/>
    </row>
    <row r="124" spans="1:10" s="991" customFormat="1" ht="19.5" customHeight="1" thickBot="1" x14ac:dyDescent="0.3">
      <c r="A124" s="1570" t="s">
        <v>2249</v>
      </c>
      <c r="B124" s="1571"/>
      <c r="C124" s="1572"/>
      <c r="D124" s="1004"/>
      <c r="E124" s="1573" t="s">
        <v>2279</v>
      </c>
      <c r="F124" s="1574"/>
      <c r="G124" s="1575"/>
      <c r="H124" s="1576"/>
      <c r="I124" s="1576"/>
      <c r="J124" s="1577"/>
    </row>
    <row r="125" spans="1:10" s="991" customFormat="1" ht="13.2" x14ac:dyDescent="0.25">
      <c r="A125" s="1030" t="s">
        <v>2250</v>
      </c>
      <c r="B125" s="1031" t="s">
        <v>2251</v>
      </c>
      <c r="C125" s="1032" t="s">
        <v>2252</v>
      </c>
      <c r="D125" s="1004"/>
      <c r="E125" s="1578" t="s">
        <v>2280</v>
      </c>
      <c r="F125" s="1579"/>
      <c r="G125" s="1579"/>
      <c r="H125" s="1579"/>
      <c r="I125" s="1579"/>
      <c r="J125" s="1580"/>
    </row>
    <row r="126" spans="1:10" s="991" customFormat="1" ht="24" customHeight="1" thickBot="1" x14ac:dyDescent="0.3">
      <c r="A126" s="1033" t="s">
        <v>2281</v>
      </c>
      <c r="B126" s="1033" t="s">
        <v>2281</v>
      </c>
      <c r="C126" s="1033" t="s">
        <v>2281</v>
      </c>
      <c r="D126" s="1004"/>
      <c r="E126" s="1581"/>
      <c r="F126" s="1582"/>
      <c r="G126" s="1582"/>
      <c r="H126" s="1582"/>
      <c r="I126" s="1582"/>
      <c r="J126" s="1583"/>
    </row>
    <row r="127" spans="1:10" s="991" customFormat="1" ht="13.2" x14ac:dyDescent="0.25">
      <c r="A127" s="1007"/>
      <c r="B127" s="1007"/>
      <c r="C127" s="1007"/>
      <c r="D127" s="1007"/>
      <c r="E127" s="1007"/>
      <c r="F127" s="1007"/>
      <c r="G127" s="1007"/>
      <c r="H127" s="1007"/>
      <c r="I127" s="1007"/>
      <c r="J127" s="1008"/>
    </row>
    <row r="128" spans="1:10" s="991" customFormat="1" ht="13.2" x14ac:dyDescent="0.25">
      <c r="A128" s="1034"/>
      <c r="B128" s="1034"/>
      <c r="C128" s="1034"/>
      <c r="D128" s="1034"/>
      <c r="E128" s="1034"/>
      <c r="F128" s="1034"/>
      <c r="G128" s="1034"/>
      <c r="H128" s="1034"/>
      <c r="I128" s="1034"/>
    </row>
    <row r="129" spans="1:9" s="991" customFormat="1" ht="13.2" x14ac:dyDescent="0.25">
      <c r="A129" s="1034"/>
      <c r="B129" s="1034"/>
      <c r="C129" s="1034"/>
      <c r="D129" s="1034"/>
      <c r="E129" s="1034"/>
      <c r="F129" s="1034"/>
      <c r="G129" s="1034"/>
      <c r="H129" s="1034"/>
      <c r="I129" s="1034"/>
    </row>
    <row r="130" spans="1:9" s="991" customFormat="1" ht="13.2" x14ac:dyDescent="0.25"/>
    <row r="131" spans="1:9" s="991" customFormat="1" ht="13.2" x14ac:dyDescent="0.25"/>
    <row r="132" spans="1:9" s="991" customFormat="1" ht="13.2" x14ac:dyDescent="0.25"/>
    <row r="133" spans="1:9" s="991" customFormat="1" ht="13.2" x14ac:dyDescent="0.25"/>
    <row r="134" spans="1:9" s="991" customFormat="1" ht="13.2" x14ac:dyDescent="0.25"/>
    <row r="135" spans="1:9" s="991" customFormat="1" ht="13.2" x14ac:dyDescent="0.25"/>
    <row r="136" spans="1:9" s="991" customFormat="1" ht="13.2" x14ac:dyDescent="0.25">
      <c r="A136" s="1034"/>
      <c r="B136" s="1034"/>
      <c r="C136" s="1034"/>
      <c r="D136" s="1034"/>
      <c r="E136" s="1034"/>
      <c r="F136" s="1034"/>
      <c r="G136" s="1034"/>
      <c r="H136" s="1034"/>
      <c r="I136" s="1034"/>
    </row>
    <row r="137" spans="1:9" s="991" customFormat="1" ht="13.2" x14ac:dyDescent="0.25">
      <c r="A137" s="1034"/>
      <c r="B137" s="1034"/>
      <c r="C137" s="1034"/>
      <c r="D137" s="1034"/>
      <c r="E137" s="1034"/>
      <c r="F137" s="1034"/>
      <c r="G137" s="1034"/>
      <c r="H137" s="1034"/>
      <c r="I137" s="1034"/>
    </row>
    <row r="138" spans="1:9" s="991" customFormat="1" ht="13.2" x14ac:dyDescent="0.25">
      <c r="A138" s="1034"/>
      <c r="B138" s="1034"/>
      <c r="C138" s="1034"/>
      <c r="D138" s="1034"/>
      <c r="E138" s="1034"/>
      <c r="F138" s="1034"/>
      <c r="G138" s="1034"/>
      <c r="H138" s="1034"/>
      <c r="I138" s="1034"/>
    </row>
    <row r="139" spans="1:9" s="991" customFormat="1" ht="13.2" x14ac:dyDescent="0.25">
      <c r="A139" s="1034"/>
      <c r="B139" s="1034"/>
      <c r="C139" s="1034"/>
      <c r="D139" s="1034"/>
      <c r="E139" s="1034"/>
      <c r="F139" s="1034"/>
      <c r="G139" s="1034"/>
      <c r="H139" s="1034"/>
      <c r="I139" s="1034"/>
    </row>
    <row r="140" spans="1:9" s="991" customFormat="1" ht="13.2" x14ac:dyDescent="0.25">
      <c r="A140" s="1034"/>
      <c r="B140" s="1034"/>
      <c r="C140" s="1034"/>
      <c r="D140" s="1034"/>
      <c r="E140" s="1034"/>
      <c r="F140" s="1034"/>
      <c r="G140" s="1034"/>
      <c r="H140" s="1034"/>
      <c r="I140" s="1034"/>
    </row>
    <row r="141" spans="1:9" s="991" customFormat="1" ht="13.2" x14ac:dyDescent="0.25">
      <c r="A141" s="1034"/>
      <c r="B141" s="1034"/>
      <c r="C141" s="1034"/>
      <c r="D141" s="1034"/>
      <c r="E141" s="1034"/>
      <c r="F141" s="1034"/>
      <c r="G141" s="1034"/>
      <c r="H141" s="1034"/>
      <c r="I141" s="1034"/>
    </row>
    <row r="142" spans="1:9" s="991" customFormat="1" ht="13.2" x14ac:dyDescent="0.25">
      <c r="A142" s="1034"/>
      <c r="B142" s="1034"/>
      <c r="C142" s="1034"/>
      <c r="D142" s="1034"/>
      <c r="E142" s="1034"/>
      <c r="F142" s="1034"/>
      <c r="G142" s="1034"/>
      <c r="H142" s="1034"/>
      <c r="I142" s="1034"/>
    </row>
    <row r="143" spans="1:9" s="991" customFormat="1" ht="13.2" x14ac:dyDescent="0.25">
      <c r="A143" s="1034"/>
      <c r="B143" s="1034"/>
      <c r="C143" s="1034"/>
      <c r="D143" s="1034"/>
      <c r="E143" s="1034"/>
      <c r="F143" s="1034"/>
      <c r="G143" s="1034"/>
      <c r="H143" s="1034"/>
      <c r="I143" s="1034"/>
    </row>
    <row r="144" spans="1:9" s="991" customFormat="1" ht="13.2" x14ac:dyDescent="0.25">
      <c r="A144" s="1034"/>
      <c r="B144" s="1034"/>
      <c r="C144" s="1034"/>
      <c r="D144" s="1034"/>
      <c r="E144" s="1034"/>
      <c r="F144" s="1034"/>
      <c r="G144" s="1034"/>
      <c r="H144" s="1034"/>
      <c r="I144" s="1034"/>
    </row>
    <row r="145" spans="1:9" s="991" customFormat="1" ht="13.2" x14ac:dyDescent="0.25">
      <c r="A145" s="1034"/>
      <c r="B145" s="1034"/>
      <c r="C145" s="1034"/>
      <c r="D145" s="1034"/>
      <c r="E145" s="1034"/>
      <c r="F145" s="1034"/>
      <c r="G145" s="1034"/>
      <c r="H145" s="1034"/>
      <c r="I145" s="1034"/>
    </row>
    <row r="146" spans="1:9" s="991" customFormat="1" ht="13.2" x14ac:dyDescent="0.25">
      <c r="A146" s="1034"/>
      <c r="B146" s="1034"/>
      <c r="C146" s="1034"/>
      <c r="D146" s="1034"/>
      <c r="E146" s="1034"/>
      <c r="F146" s="1034"/>
      <c r="G146" s="1034"/>
      <c r="H146" s="1034"/>
      <c r="I146" s="1034"/>
    </row>
    <row r="147" spans="1:9" s="991" customFormat="1" ht="13.2" x14ac:dyDescent="0.25">
      <c r="A147" s="1034"/>
      <c r="B147" s="1034"/>
      <c r="C147" s="1034"/>
      <c r="D147" s="1034"/>
      <c r="E147" s="1034"/>
      <c r="F147" s="1034"/>
      <c r="G147" s="1034"/>
      <c r="H147" s="1034"/>
      <c r="I147" s="1034"/>
    </row>
    <row r="148" spans="1:9" s="991" customFormat="1" ht="13.2" x14ac:dyDescent="0.25">
      <c r="A148" s="1034"/>
      <c r="B148" s="1034"/>
      <c r="C148" s="1034"/>
      <c r="D148" s="1034"/>
      <c r="E148" s="1034"/>
      <c r="F148" s="1034"/>
      <c r="G148" s="1034"/>
      <c r="H148" s="1034"/>
      <c r="I148" s="1034"/>
    </row>
    <row r="149" spans="1:9" s="991" customFormat="1" ht="13.2" x14ac:dyDescent="0.25">
      <c r="A149" s="1034"/>
      <c r="B149" s="1034"/>
      <c r="C149" s="1034"/>
      <c r="D149" s="1034"/>
      <c r="E149" s="1034"/>
      <c r="F149" s="1034"/>
      <c r="G149" s="1034"/>
      <c r="H149" s="1034"/>
      <c r="I149" s="1034"/>
    </row>
    <row r="150" spans="1:9" s="991" customFormat="1" ht="13.2" x14ac:dyDescent="0.25">
      <c r="A150" s="1034"/>
      <c r="B150" s="1034"/>
      <c r="C150" s="1034"/>
      <c r="D150" s="1034"/>
      <c r="E150" s="1034"/>
      <c r="F150" s="1034"/>
      <c r="G150" s="1034"/>
      <c r="H150" s="1034"/>
      <c r="I150" s="1034"/>
    </row>
    <row r="151" spans="1:9" s="991" customFormat="1" ht="13.2" x14ac:dyDescent="0.25">
      <c r="A151" s="1034"/>
      <c r="B151" s="1034"/>
      <c r="C151" s="1034"/>
      <c r="D151" s="1034"/>
      <c r="E151" s="1034"/>
      <c r="F151" s="1034"/>
      <c r="G151" s="1034"/>
      <c r="H151" s="1034"/>
      <c r="I151" s="1034"/>
    </row>
    <row r="152" spans="1:9" s="991" customFormat="1" ht="13.2" x14ac:dyDescent="0.25">
      <c r="A152" s="1034"/>
      <c r="B152" s="1034"/>
      <c r="C152" s="1034"/>
      <c r="D152" s="1034"/>
      <c r="E152" s="1034"/>
      <c r="F152" s="1034"/>
      <c r="G152" s="1034"/>
      <c r="H152" s="1034"/>
      <c r="I152" s="1034"/>
    </row>
    <row r="153" spans="1:9" s="991" customFormat="1" ht="13.2" x14ac:dyDescent="0.25">
      <c r="A153" s="1034"/>
      <c r="B153" s="1034"/>
      <c r="C153" s="1034"/>
      <c r="D153" s="1034"/>
      <c r="E153" s="1034"/>
      <c r="F153" s="1034"/>
      <c r="G153" s="1034"/>
      <c r="H153" s="1034"/>
      <c r="I153" s="1034"/>
    </row>
    <row r="154" spans="1:9" s="991" customFormat="1" ht="13.2" x14ac:dyDescent="0.25">
      <c r="A154" s="1034"/>
      <c r="B154" s="1034"/>
      <c r="C154" s="1034"/>
      <c r="D154" s="1034"/>
      <c r="E154" s="1034"/>
      <c r="F154" s="1034"/>
      <c r="G154" s="1034"/>
      <c r="H154" s="1034"/>
      <c r="I154" s="1034"/>
    </row>
    <row r="155" spans="1:9" s="991" customFormat="1" ht="13.2" x14ac:dyDescent="0.25">
      <c r="A155" s="1034"/>
      <c r="B155" s="1034"/>
      <c r="C155" s="1034"/>
      <c r="D155" s="1034"/>
      <c r="E155" s="1034"/>
      <c r="F155" s="1034"/>
      <c r="G155" s="1034"/>
      <c r="H155" s="1034"/>
      <c r="I155" s="1034"/>
    </row>
    <row r="156" spans="1:9" s="991" customFormat="1" ht="13.2" x14ac:dyDescent="0.25">
      <c r="A156" s="1034"/>
      <c r="B156" s="1034"/>
      <c r="C156" s="1034"/>
      <c r="D156" s="1034"/>
      <c r="E156" s="1034"/>
      <c r="F156" s="1034"/>
      <c r="G156" s="1034"/>
      <c r="H156" s="1034"/>
      <c r="I156" s="1034"/>
    </row>
  </sheetData>
  <mergeCells count="41">
    <mergeCell ref="A8:A10"/>
    <mergeCell ref="B8:G10"/>
    <mergeCell ref="H8:J8"/>
    <mergeCell ref="A1:B3"/>
    <mergeCell ref="C1:I1"/>
    <mergeCell ref="C2:I3"/>
    <mergeCell ref="B4:C4"/>
    <mergeCell ref="A7:J7"/>
    <mergeCell ref="A21:J22"/>
    <mergeCell ref="A11:J11"/>
    <mergeCell ref="G12:H12"/>
    <mergeCell ref="A13:C13"/>
    <mergeCell ref="E13:G13"/>
    <mergeCell ref="I13:J13"/>
    <mergeCell ref="A15:C15"/>
    <mergeCell ref="E15:G15"/>
    <mergeCell ref="A16:C16"/>
    <mergeCell ref="E16:G16"/>
    <mergeCell ref="A17:C17"/>
    <mergeCell ref="E17:G17"/>
    <mergeCell ref="A19:J19"/>
    <mergeCell ref="A24:J24"/>
    <mergeCell ref="A26:J32"/>
    <mergeCell ref="A52:J53"/>
    <mergeCell ref="B56:B57"/>
    <mergeCell ref="C56:C57"/>
    <mergeCell ref="F56:F57"/>
    <mergeCell ref="A124:C124"/>
    <mergeCell ref="E124:J124"/>
    <mergeCell ref="E125:J126"/>
    <mergeCell ref="C58:C63"/>
    <mergeCell ref="C64:C79"/>
    <mergeCell ref="C80:C112"/>
    <mergeCell ref="D113:E113"/>
    <mergeCell ref="D114:E114"/>
    <mergeCell ref="D115:E115"/>
    <mergeCell ref="D116:E116"/>
    <mergeCell ref="D117:E117"/>
    <mergeCell ref="D118:E118"/>
    <mergeCell ref="D119:E119"/>
    <mergeCell ref="A122:J122"/>
  </mergeCells>
  <pageMargins left="0.7" right="0.7" top="0.75" bottom="0.75" header="0.3" footer="0.3"/>
  <pageSetup paperSize="9" scale="59" orientation="portrait" r:id="rId1"/>
  <rowBreaks count="1" manualBreakCount="1">
    <brk id="51" max="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436</vt:i4>
      </vt:variant>
      <vt:variant>
        <vt:lpstr>Rangos con nombre</vt:lpstr>
      </vt:variant>
      <vt:variant>
        <vt:i4>40</vt:i4>
      </vt:variant>
    </vt:vector>
  </HeadingPairs>
  <TitlesOfParts>
    <vt:vector size="476" baseType="lpstr">
      <vt:lpstr>MEDICION EJECUCION</vt:lpstr>
      <vt:lpstr>BASE DATOS</vt:lpstr>
      <vt:lpstr>gestores</vt:lpstr>
      <vt:lpstr>RESUMEN</vt:lpstr>
      <vt:lpstr>17-013</vt:lpstr>
      <vt:lpstr>OT17-013  CHÍA AMPLIACIÓN</vt:lpstr>
      <vt:lpstr>17-021</vt:lpstr>
      <vt:lpstr>OT17-021 CONCORDIA DR Y CN</vt:lpstr>
      <vt:lpstr>17-031</vt:lpstr>
      <vt:lpstr>OT17-031 CALLE 67 REP PROT</vt:lpstr>
      <vt:lpstr>17-043</vt:lpstr>
      <vt:lpstr>OT17-043 VICTORIA PTES D1 D2</vt:lpstr>
      <vt:lpstr>17-045</vt:lpstr>
      <vt:lpstr>OT17-045 VICTORIA CONT Y PR</vt:lpstr>
      <vt:lpstr>17-046</vt:lpstr>
      <vt:lpstr>OT17-046 VICTORIA POTENCIA</vt:lpstr>
      <vt:lpstr>17-047</vt:lpstr>
      <vt:lpstr>OT-047 MORATO AS BUILT</vt:lpstr>
      <vt:lpstr>17-048</vt:lpstr>
      <vt:lpstr>OT17-048 TECHO PLANOS AS BUILT</vt:lpstr>
      <vt:lpstr>17-098</vt:lpstr>
      <vt:lpstr>OT17-098 LA PAZ CTO TELAS</vt:lpstr>
      <vt:lpstr>17-108</vt:lpstr>
      <vt:lpstr>OT17-108 TOCANCIPÁ AMPLIACIÓN</vt:lpstr>
      <vt:lpstr>17-120</vt:lpstr>
      <vt:lpstr>OT17-120 GRAN SABANA COD MED</vt:lpstr>
      <vt:lpstr>17-111</vt:lpstr>
      <vt:lpstr>OT17-111 CIRCO COD MED TOP</vt:lpstr>
      <vt:lpstr>17-129</vt:lpstr>
      <vt:lpstr>OT17-129 BALSILLAS COD MEDIDA</vt:lpstr>
      <vt:lpstr>17-136</vt:lpstr>
      <vt:lpstr>OT17-136 ZIPAQUIRÁ</vt:lpstr>
      <vt:lpstr>17-139</vt:lpstr>
      <vt:lpstr>OT17-139 EL SOL CIVILES</vt:lpstr>
      <vt:lpstr>17-142</vt:lpstr>
      <vt:lpstr>OT17-142 LT SAN JOSÉ-CONCOR</vt:lpstr>
      <vt:lpstr>17-152</vt:lpstr>
      <vt:lpstr>OT17-152 SATÉLITE SIMP ROSARIO</vt:lpstr>
      <vt:lpstr>17-153</vt:lpstr>
      <vt:lpstr>OT17-153 SATÉLITE SIMP MAGDALEN</vt:lpstr>
      <vt:lpstr>17-155</vt:lpstr>
      <vt:lpstr>OT17-155 TOCANCIPÁ PROVISIONAL</vt:lpstr>
      <vt:lpstr>17-157</vt:lpstr>
      <vt:lpstr>OT17-157 ESPERANZA</vt:lpstr>
      <vt:lpstr>17-158</vt:lpstr>
      <vt:lpstr>OT17-158 JURATENA</vt:lpstr>
      <vt:lpstr>17-169</vt:lpstr>
      <vt:lpstr>OT17-169 LLANOS COD MEDIDA</vt:lpstr>
      <vt:lpstr>17-170</vt:lpstr>
      <vt:lpstr>OT17-170 INDUMIL- NVA ESPERANZA</vt:lpstr>
      <vt:lpstr>17-172</vt:lpstr>
      <vt:lpstr>OT17-172 - NORTE</vt:lpstr>
      <vt:lpstr>17-173</vt:lpstr>
      <vt:lpstr>OT17-173 MORATO ING BÁSICA</vt:lpstr>
      <vt:lpstr>17-174</vt:lpstr>
      <vt:lpstr>OT17-174 USAQUEN ING BÁSICA</vt:lpstr>
      <vt:lpstr>17-178</vt:lpstr>
      <vt:lpstr>OT17-178 BALSILLAS COD MEDIDA</vt:lpstr>
      <vt:lpstr>17-179</vt:lpstr>
      <vt:lpstr>OT17-179 EL SOL REV DE ING</vt:lpstr>
      <vt:lpstr>17-184</vt:lpstr>
      <vt:lpstr>OT17-184 LLTT TERMINAL</vt:lpstr>
      <vt:lpstr>17-186</vt:lpstr>
      <vt:lpstr>OT17-186 MUÑA III</vt:lpstr>
      <vt:lpstr>17-187</vt:lpstr>
      <vt:lpstr>OT17-187 GUACA</vt:lpstr>
      <vt:lpstr>17-189</vt:lpstr>
      <vt:lpstr>OT17-189 CUCUNUBÁ</vt:lpstr>
      <vt:lpstr>17-198</vt:lpstr>
      <vt:lpstr>OT17-198 SESQUILE AS BUILT</vt:lpstr>
      <vt:lpstr>17-199</vt:lpstr>
      <vt:lpstr>OT17-199 VILLETA REP PROTEC</vt:lpstr>
      <vt:lpstr>17-200</vt:lpstr>
      <vt:lpstr>OT17-200 LA PAZ REP PROTEC</vt:lpstr>
      <vt:lpstr>17-207</vt:lpstr>
      <vt:lpstr>OT17-207 INDUMIL</vt:lpstr>
      <vt:lpstr>17-225</vt:lpstr>
      <vt:lpstr>OT17-225 LT DOR GUA CONEX GUAD </vt:lpstr>
      <vt:lpstr>17-227</vt:lpstr>
      <vt:lpstr>OT17-227 BACATÁ VALIDA DISEÑO</vt:lpstr>
      <vt:lpstr>17-232</vt:lpstr>
      <vt:lpstr>OT17-232 NOROESTE</vt:lpstr>
      <vt:lpstr>17-236</vt:lpstr>
      <vt:lpstr>OT17-236 MUÑA AS BUILT</vt:lpstr>
      <vt:lpstr>17-237</vt:lpstr>
      <vt:lpstr>OT17-237 FONTIBÓN AS BUILT</vt:lpstr>
      <vt:lpstr>17-238</vt:lpstr>
      <vt:lpstr>OT17-238 LT SJ CN CIM ESP</vt:lpstr>
      <vt:lpstr>17-243</vt:lpstr>
      <vt:lpstr>OT17-243 VICTORIA 34,5 kV</vt:lpstr>
      <vt:lpstr>17-250</vt:lpstr>
      <vt:lpstr>OT17-250 VILLA PINZON</vt:lpstr>
      <vt:lpstr>17-258</vt:lpstr>
      <vt:lpstr>OT17-258 VILLA PINZON</vt:lpstr>
      <vt:lpstr>17-259</vt:lpstr>
      <vt:lpstr>OT17-259 CAJICA</vt:lpstr>
      <vt:lpstr>17-260</vt:lpstr>
      <vt:lpstr>OT17-260 LT COMPARTIR</vt:lpstr>
      <vt:lpstr>17-263</vt:lpstr>
      <vt:lpstr>OT17-263 CALLE 51</vt:lpstr>
      <vt:lpstr>17-265</vt:lpstr>
      <vt:lpstr>OT17-265 CHARQUITO ADIC</vt:lpstr>
      <vt:lpstr>17-269</vt:lpstr>
      <vt:lpstr>OT17-269 ESPERANZA</vt:lpstr>
      <vt:lpstr>17-270</vt:lpstr>
      <vt:lpstr>OT17-270 JURATENA</vt:lpstr>
      <vt:lpstr>17-279</vt:lpstr>
      <vt:lpstr>OT17-279 SANTANDERCITO</vt:lpstr>
      <vt:lpstr>17-280</vt:lpstr>
      <vt:lpstr>OT17-280 CÁQUEZA ILUMINA INTER</vt:lpstr>
      <vt:lpstr>17-282</vt:lpstr>
      <vt:lpstr>OT17-282 LA DORADA IN-OUT</vt:lpstr>
      <vt:lpstr>17-283</vt:lpstr>
      <vt:lpstr>OT17-283 NAMAY ENTRADA SALID</vt:lpstr>
      <vt:lpstr>17-284</vt:lpstr>
      <vt:lpstr>OT17-284 PARAMO ALTO ENTRA SALI</vt:lpstr>
      <vt:lpstr>17-285</vt:lpstr>
      <vt:lpstr>OT17-285 TRES ESQUINAS</vt:lpstr>
      <vt:lpstr>17-286</vt:lpstr>
      <vt:lpstr>OT17-286 VIANÍ ENTRADA SALID</vt:lpstr>
      <vt:lpstr>17-287</vt:lpstr>
      <vt:lpstr>OT17-287 EL PEÑON IN-OUT</vt:lpstr>
      <vt:lpstr>17-288</vt:lpstr>
      <vt:lpstr>OT17-288 CAPARRAPÍ</vt:lpstr>
      <vt:lpstr>17-290</vt:lpstr>
      <vt:lpstr>OT17-290 LT ZP UB PELDAR</vt:lpstr>
      <vt:lpstr>17-292</vt:lpstr>
      <vt:lpstr>OT17-292 SAN MATEO</vt:lpstr>
      <vt:lpstr>17-298</vt:lpstr>
      <vt:lpstr>OT17-298 ANOLAIMA </vt:lpstr>
      <vt:lpstr>17-299</vt:lpstr>
      <vt:lpstr>OT17-299 ALBÁN</vt:lpstr>
      <vt:lpstr>17-300</vt:lpstr>
      <vt:lpstr>OT17-300 SAN JORGE</vt:lpstr>
      <vt:lpstr>17-301</vt:lpstr>
      <vt:lpstr>OT17-301 CHINAUTA</vt:lpstr>
      <vt:lpstr>17-302</vt:lpstr>
      <vt:lpstr>OT17-302 TOCAIMA</vt:lpstr>
      <vt:lpstr>17-303</vt:lpstr>
      <vt:lpstr>OT17-303 TAMARINDO</vt:lpstr>
      <vt:lpstr>17-304</vt:lpstr>
      <vt:lpstr>OT17-304 MESA</vt:lpstr>
      <vt:lpstr>17-305</vt:lpstr>
      <vt:lpstr>OT17-305 JMCÓRDOBA</vt:lpstr>
      <vt:lpstr>17-306</vt:lpstr>
      <vt:lpstr>OT17-306 EL HOBAL</vt:lpstr>
      <vt:lpstr>17-307</vt:lpstr>
      <vt:lpstr>OT17-307 APULO</vt:lpstr>
      <vt:lpstr>17-308</vt:lpstr>
      <vt:lpstr>OT17-308 TORIBA</vt:lpstr>
      <vt:lpstr>17-309</vt:lpstr>
      <vt:lpstr>OT17-309 PTO SALGAR</vt:lpstr>
      <vt:lpstr>17-310</vt:lpstr>
      <vt:lpstr>OT17-310 GUADUAS</vt:lpstr>
      <vt:lpstr>17-311</vt:lpstr>
      <vt:lpstr>OT17-311 RIONEGRITO</vt:lpstr>
      <vt:lpstr>17-312</vt:lpstr>
      <vt:lpstr>OT17-312 FONTIBÓN</vt:lpstr>
      <vt:lpstr>17-313</vt:lpstr>
      <vt:lpstr>OT17-313 BOLIVIA</vt:lpstr>
      <vt:lpstr>17-318</vt:lpstr>
      <vt:lpstr>OT17-318 FONTIBÓN </vt:lpstr>
      <vt:lpstr>17-332</vt:lpstr>
      <vt:lpstr>OT17-332 CÁQUEZA</vt:lpstr>
      <vt:lpstr>17-333</vt:lpstr>
      <vt:lpstr>OT17-333 CONCORDIA</vt:lpstr>
      <vt:lpstr>17-334</vt:lpstr>
      <vt:lpstr>OT17-334 VICTORIA </vt:lpstr>
      <vt:lpstr>17-335</vt:lpstr>
      <vt:lpstr>OT17-335 VICTORIA TAB REG</vt:lpstr>
      <vt:lpstr>17-337</vt:lpstr>
      <vt:lpstr>OT17-337 LLTT TERMOZIPA - AGAFA</vt:lpstr>
      <vt:lpstr>17-339</vt:lpstr>
      <vt:lpstr>OT17-339 CALLE 51</vt:lpstr>
      <vt:lpstr>17-341</vt:lpstr>
      <vt:lpstr>OT17-341 BOLIVIA</vt:lpstr>
      <vt:lpstr>17-342</vt:lpstr>
      <vt:lpstr>OT17-342 TORCA</vt:lpstr>
      <vt:lpstr>17-349</vt:lpstr>
      <vt:lpstr>OT17-349 TERMOZIPA</vt:lpstr>
      <vt:lpstr>17-359</vt:lpstr>
      <vt:lpstr>OT17-359 LA PITALA</vt:lpstr>
      <vt:lpstr>17-365</vt:lpstr>
      <vt:lpstr>OT17-365 LA SALADA</vt:lpstr>
      <vt:lpstr>17-367</vt:lpstr>
      <vt:lpstr>OT17-367 VICTORIA</vt:lpstr>
      <vt:lpstr>17-370</vt:lpstr>
      <vt:lpstr>OT17-370 - LLTT GUAVIO - UBALA</vt:lpstr>
      <vt:lpstr>17-371</vt:lpstr>
      <vt:lpstr>OT17-371 VICTORIA</vt:lpstr>
      <vt:lpstr>17-372</vt:lpstr>
      <vt:lpstr>OT17-372 IN CH</vt:lpstr>
      <vt:lpstr>17-377</vt:lpstr>
      <vt:lpstr>OT17-377 VIOTA IN-OUT</vt:lpstr>
      <vt:lpstr>17-378</vt:lpstr>
      <vt:lpstr>OT17-378 AUTOPISTA</vt:lpstr>
      <vt:lpstr>17-379</vt:lpstr>
      <vt:lpstr>OT17-379 EL SOL</vt:lpstr>
      <vt:lpstr>17-382</vt:lpstr>
      <vt:lpstr>OT17-382 CASTELLANA</vt:lpstr>
      <vt:lpstr>17-383</vt:lpstr>
      <vt:lpstr>OT17-383 BALMORAL</vt:lpstr>
      <vt:lpstr>17-384</vt:lpstr>
      <vt:lpstr>OT17-384 LOS MANGOS</vt:lpstr>
      <vt:lpstr>17-385</vt:lpstr>
      <vt:lpstr>OT17-385 EL PEÑÓN </vt:lpstr>
      <vt:lpstr>17-386</vt:lpstr>
      <vt:lpstr>OT17-386 CHOACHÍ</vt:lpstr>
      <vt:lpstr>17-387</vt:lpstr>
      <vt:lpstr>OT17-387 MOSQUERA </vt:lpstr>
      <vt:lpstr>17-390</vt:lpstr>
      <vt:lpstr>OT17-390 FONTIBÓN </vt:lpstr>
      <vt:lpstr>17-391</vt:lpstr>
      <vt:lpstr>OT17-391 LA GUACA</vt:lpstr>
      <vt:lpstr>17-393</vt:lpstr>
      <vt:lpstr>OT 17-393 EL SOL R1</vt:lpstr>
      <vt:lpstr>17-394</vt:lpstr>
      <vt:lpstr>OT17-394 BACATÁ</vt:lpstr>
      <vt:lpstr>17-395</vt:lpstr>
      <vt:lpstr>OT 17-395 TECHO</vt:lpstr>
      <vt:lpstr>17-396</vt:lpstr>
      <vt:lpstr>OT 17-396 VICTORIA</vt:lpstr>
      <vt:lpstr>17-397</vt:lpstr>
      <vt:lpstr>OT17-397 FLORIDA ASBUILT</vt:lpstr>
      <vt:lpstr>17-398</vt:lpstr>
      <vt:lpstr>OT17-398 CASTELLANA AS BUILT</vt:lpstr>
      <vt:lpstr>17-399</vt:lpstr>
      <vt:lpstr>OT17-399 CHICALA AS BUILT</vt:lpstr>
      <vt:lpstr>17-400</vt:lpstr>
      <vt:lpstr>OT17-400 CALLE PRIMERA AS BUIL</vt:lpstr>
      <vt:lpstr>17-401</vt:lpstr>
      <vt:lpstr>OT17-401 BOSA DIS. INT.</vt:lpstr>
      <vt:lpstr>17-402</vt:lpstr>
      <vt:lpstr>OT17-402 CALLE51</vt:lpstr>
      <vt:lpstr>17-403</vt:lpstr>
      <vt:lpstr>OT17-403 FONTIBÓN INT</vt:lpstr>
      <vt:lpstr>17-404</vt:lpstr>
      <vt:lpstr>OT17-404 MOSQUERA INT</vt:lpstr>
      <vt:lpstr>17-405</vt:lpstr>
      <vt:lpstr>OT17-405 MUÑA INT.</vt:lpstr>
      <vt:lpstr>17-406</vt:lpstr>
      <vt:lpstr>OT17-406 DIAMANTE SSAA</vt:lpstr>
      <vt:lpstr>17-407</vt:lpstr>
      <vt:lpstr>OT17-407 DIAMANTE MEDIDA SSAA</vt:lpstr>
      <vt:lpstr>17-408</vt:lpstr>
      <vt:lpstr>OT17-408 LA ISLA SSAA</vt:lpstr>
      <vt:lpstr>17-409</vt:lpstr>
      <vt:lpstr>OT117-409 LA ISLA MEDIDA</vt:lpstr>
      <vt:lpstr>17-410</vt:lpstr>
      <vt:lpstr>OT17-410 FACA MINI MANTIS</vt:lpstr>
      <vt:lpstr>17-411</vt:lpstr>
      <vt:lpstr>OT17-411 SAUCES MINI MANTIS</vt:lpstr>
      <vt:lpstr>17-412</vt:lpstr>
      <vt:lpstr>OT17-412 TENJO MINI MANTIS</vt:lpstr>
      <vt:lpstr>17-413</vt:lpstr>
      <vt:lpstr>OT17-413 SALITRE MEDIDA </vt:lpstr>
      <vt:lpstr>17-414</vt:lpstr>
      <vt:lpstr>OT17-414 SUBA MINI  MANTIS</vt:lpstr>
      <vt:lpstr>17-415</vt:lpstr>
      <vt:lpstr>OT17-415 CASTELLANA AS BUILT</vt:lpstr>
      <vt:lpstr>17-419</vt:lpstr>
      <vt:lpstr>OT17-419 SALTO I </vt:lpstr>
      <vt:lpstr>17-421</vt:lpstr>
      <vt:lpstr>OT17-421 CIRCO ADICIONALES</vt:lpstr>
      <vt:lpstr>17-422</vt:lpstr>
      <vt:lpstr>OT17-422 SESQUILE REP. INT</vt:lpstr>
      <vt:lpstr>17-423</vt:lpstr>
      <vt:lpstr>OT17-423 BALSILLAS ADICIONAL </vt:lpstr>
      <vt:lpstr>17-425</vt:lpstr>
      <vt:lpstr>OT17-425 SAN JOSÉ MIN </vt:lpstr>
      <vt:lpstr>17-427</vt:lpstr>
      <vt:lpstr>OT17-427 LT BALSILLAS FACA </vt:lpstr>
      <vt:lpstr>17-428</vt:lpstr>
      <vt:lpstr>OT17-428 BALSILLAS AS BUILT</vt:lpstr>
      <vt:lpstr>OT17-429 LA GUACA AS BUILT</vt:lpstr>
      <vt:lpstr>OT17-431 VERGUAS AS BUILT</vt:lpstr>
      <vt:lpstr>OT17-432 USQUEN AS BUILT</vt:lpstr>
      <vt:lpstr>OT17-433 SIMIJACA AS BUILT</vt:lpstr>
      <vt:lpstr>OT17-434 MOSQUERA AS BUILT</vt:lpstr>
      <vt:lpstr>OT17-435 UBATE ASBUILT</vt:lpstr>
      <vt:lpstr>OT17-436 LA PAZ ASBUILT</vt:lpstr>
      <vt:lpstr>OT17-437 SALITRE ASBUILT</vt:lpstr>
      <vt:lpstr>17-438</vt:lpstr>
      <vt:lpstr>OT17-438 CÓDIGO ZONA SUR</vt:lpstr>
      <vt:lpstr>17-439</vt:lpstr>
      <vt:lpstr>OT17-439 CÓDIGO ZONA NORTE</vt:lpstr>
      <vt:lpstr>17-440</vt:lpstr>
      <vt:lpstr>OT17-440 LLTT DO GU EST 533</vt:lpstr>
      <vt:lpstr>17-441</vt:lpstr>
      <vt:lpstr>OT17-441 GUACHETA</vt:lpstr>
      <vt:lpstr>18-001</vt:lpstr>
      <vt:lpstr>OT18-001 FONTIBÓN</vt:lpstr>
      <vt:lpstr>18-002</vt:lpstr>
      <vt:lpstr>OT18-002 VIANÍ</vt:lpstr>
      <vt:lpstr>18-003</vt:lpstr>
      <vt:lpstr>OT18-003 REP PROT DES NOCT</vt:lpstr>
      <vt:lpstr>18-004</vt:lpstr>
      <vt:lpstr>OT18-004 AUTOPISTA</vt:lpstr>
      <vt:lpstr>18-005</vt:lpstr>
      <vt:lpstr>OT18-005 VERAGUAS</vt:lpstr>
      <vt:lpstr>18-006</vt:lpstr>
      <vt:lpstr>OT18-006 BOLIVIA </vt:lpstr>
      <vt:lpstr>18-007</vt:lpstr>
      <vt:lpstr>OT18-007 TECHO</vt:lpstr>
      <vt:lpstr>18-008</vt:lpstr>
      <vt:lpstr>OT18-008 TUNAL</vt:lpstr>
      <vt:lpstr>18-009</vt:lpstr>
      <vt:lpstr>OT18-009 EL SOL R2</vt:lpstr>
      <vt:lpstr>18-010</vt:lpstr>
      <vt:lpstr>OT18-010 SIBERIA</vt:lpstr>
      <vt:lpstr>18-011</vt:lpstr>
      <vt:lpstr>OT18-011 SIBERIA</vt:lpstr>
      <vt:lpstr>18-012</vt:lpstr>
      <vt:lpstr>OT18-012 SUBACHOQUE</vt:lpstr>
      <vt:lpstr>18-013</vt:lpstr>
      <vt:lpstr>OT18-013 SUBACHOQUE</vt:lpstr>
      <vt:lpstr>18-014</vt:lpstr>
      <vt:lpstr>OT18-014 BALSILLAS</vt:lpstr>
      <vt:lpstr>18-015</vt:lpstr>
      <vt:lpstr>OT18-015 SAN CARLOS</vt:lpstr>
      <vt:lpstr>18-016</vt:lpstr>
      <vt:lpstr>OT18-016 TUNAL</vt:lpstr>
      <vt:lpstr>18-017</vt:lpstr>
      <vt:lpstr>OT18-017 LLTT GUADUERO</vt:lpstr>
      <vt:lpstr>18-018</vt:lpstr>
      <vt:lpstr>OT18-018 TUNAL</vt:lpstr>
      <vt:lpstr>18-019</vt:lpstr>
      <vt:lpstr>OT18-019 SAN CARLOS AS BUILT  </vt:lpstr>
      <vt:lpstr>18-020</vt:lpstr>
      <vt:lpstr>OT18-020 LT COMPARTIR</vt:lpstr>
      <vt:lpstr>17-024</vt:lpstr>
      <vt:lpstr>OT18-024 CENTRO CHÍA</vt:lpstr>
      <vt:lpstr>OT18-025</vt:lpstr>
      <vt:lpstr>OT18-025 NAMAY </vt:lpstr>
      <vt:lpstr>OT18-026</vt:lpstr>
      <vt:lpstr>OT18-026 SESQUILE</vt:lpstr>
      <vt:lpstr>OT18-027</vt:lpstr>
      <vt:lpstr>OT18-027 CHINAUTA</vt:lpstr>
      <vt:lpstr>OT18-028</vt:lpstr>
      <vt:lpstr>OT18-028 EL HOBAL</vt:lpstr>
      <vt:lpstr>OT18-029</vt:lpstr>
      <vt:lpstr>OT18-029 TAUSA</vt:lpstr>
      <vt:lpstr>OT18-030</vt:lpstr>
      <vt:lpstr>OT18-030 CONCORDIA</vt:lpstr>
      <vt:lpstr>OT18-031</vt:lpstr>
      <vt:lpstr>OT18-031 LA PAZ</vt:lpstr>
      <vt:lpstr>OT18-032</vt:lpstr>
      <vt:lpstr>OT18-032 SALITRE</vt:lpstr>
      <vt:lpstr>OT18-033</vt:lpstr>
      <vt:lpstr>OT18-033 SUBA</vt:lpstr>
      <vt:lpstr>OT18-034</vt:lpstr>
      <vt:lpstr>OT18-034 EL SOL</vt:lpstr>
      <vt:lpstr>OT18-035</vt:lpstr>
      <vt:lpstr>OT18-035 ZIPAQUIRA</vt:lpstr>
      <vt:lpstr>OT18-036</vt:lpstr>
      <vt:lpstr>OT18-036 NOROESTE</vt:lpstr>
      <vt:lpstr>OT18-037</vt:lpstr>
      <vt:lpstr>OT18-037 COMPARTIR</vt:lpstr>
      <vt:lpstr>OT18-038</vt:lpstr>
      <vt:lpstr>OT18-038 CAQUEZA</vt:lpstr>
      <vt:lpstr>OT18-039</vt:lpstr>
      <vt:lpstr>OT18-039 TECHO</vt:lpstr>
      <vt:lpstr>OT18-040</vt:lpstr>
      <vt:lpstr>OT18-040 AUTOPISTA</vt:lpstr>
      <vt:lpstr>OT18-041</vt:lpstr>
      <vt:lpstr>OT18-041 BOSANOVA</vt:lpstr>
      <vt:lpstr>OT18-042</vt:lpstr>
      <vt:lpstr>OT18-042 CASTELLANA</vt:lpstr>
      <vt:lpstr>OT18-043</vt:lpstr>
      <vt:lpstr>OT18-043 BOLIVIA</vt:lpstr>
      <vt:lpstr>OT18-044</vt:lpstr>
      <vt:lpstr>OT18-044 MORATO</vt:lpstr>
      <vt:lpstr>OT18-045</vt:lpstr>
      <vt:lpstr>OT18-045 VERAGUAS</vt:lpstr>
      <vt:lpstr>OT18-046</vt:lpstr>
      <vt:lpstr>OT18-046 BOLIVIA</vt:lpstr>
      <vt:lpstr>OT18-047</vt:lpstr>
      <vt:lpstr>OT18-047 FONTIBÓN</vt:lpstr>
      <vt:lpstr>OT18-048</vt:lpstr>
      <vt:lpstr>OT18-048 SALITRE</vt:lpstr>
      <vt:lpstr>OT18-049</vt:lpstr>
      <vt:lpstr>OT18-049 VARIAS</vt:lpstr>
      <vt:lpstr>OT18-051</vt:lpstr>
      <vt:lpstr>OT18-051 EL HOBAL</vt:lpstr>
      <vt:lpstr>OT18-052</vt:lpstr>
      <vt:lpstr>OT18-052 CABRERA</vt:lpstr>
      <vt:lpstr>OT18-053</vt:lpstr>
      <vt:lpstr>OT18-053 SIBERIA</vt:lpstr>
      <vt:lpstr>OT18-054</vt:lpstr>
      <vt:lpstr>OT18-054 CHINAUTA</vt:lpstr>
      <vt:lpstr>OT18-055</vt:lpstr>
      <vt:lpstr>OT18-055 SALITRE</vt:lpstr>
      <vt:lpstr>OT18-056</vt:lpstr>
      <vt:lpstr>OT18-056 FACATATIVÁ</vt:lpstr>
      <vt:lpstr>OT18-057</vt:lpstr>
      <vt:lpstr>OT18-057 SUBA</vt:lpstr>
      <vt:lpstr>OT18-058</vt:lpstr>
      <vt:lpstr>OT18-058 TERMINAL</vt:lpstr>
      <vt:lpstr>OT18-059</vt:lpstr>
      <vt:lpstr>OT18-059 LOS MANGOS</vt:lpstr>
      <vt:lpstr>OT18-060</vt:lpstr>
      <vt:lpstr>OT18-060 LLTT ZIPAQUIRA -UP </vt:lpstr>
      <vt:lpstr>OT18-061</vt:lpstr>
      <vt:lpstr>OT18-061 GUACHETA</vt:lpstr>
      <vt:lpstr>OT18-063</vt:lpstr>
      <vt:lpstr>OT18-063 FONTIBÓN</vt:lpstr>
      <vt:lpstr>OT18-064</vt:lpstr>
      <vt:lpstr>OT18-064 COMPARTIR</vt:lpstr>
      <vt:lpstr>OT18-065</vt:lpstr>
      <vt:lpstr>OT18-065 SAN CAYETANO</vt:lpstr>
      <vt:lpstr>OT18-066</vt:lpstr>
      <vt:lpstr>OT18-066 TERRAZAS</vt:lpstr>
      <vt:lpstr>OT18-067</vt:lpstr>
      <vt:lpstr>OT18-067 SAN CAYETANO</vt:lpstr>
      <vt:lpstr>OT18-068</vt:lpstr>
      <vt:lpstr>OT18-068 VILLA PINZÓN</vt:lpstr>
      <vt:lpstr>OT18-069</vt:lpstr>
      <vt:lpstr>OT18-069 NORTE</vt:lpstr>
      <vt:lpstr>OT18-070</vt:lpstr>
      <vt:lpstr>OT18-070 SESQUILE</vt:lpstr>
      <vt:lpstr>OT18-071</vt:lpstr>
      <vt:lpstr>OT18-071 LLTT SIMIJACA </vt:lpstr>
      <vt:lpstr>OT18-072</vt:lpstr>
      <vt:lpstr>OT18-072 LLTT-DORADA</vt:lpstr>
      <vt:lpstr>OT18-073</vt:lpstr>
      <vt:lpstr>OT18-073 CALERA</vt:lpstr>
      <vt:lpstr>OT18-074</vt:lpstr>
      <vt:lpstr>OT18-074 LA PAZ</vt:lpstr>
      <vt:lpstr>OT18-075</vt:lpstr>
      <vt:lpstr>OT18-075 BOLIVIA</vt:lpstr>
      <vt:lpstr>OT18-076</vt:lpstr>
      <vt:lpstr>OT18-076 CHIA</vt:lpstr>
      <vt:lpstr>OT18-077</vt:lpstr>
      <vt:lpstr>OT18-077 CONCORDIA</vt:lpstr>
      <vt:lpstr>INCENTIVOS JUL - SEP 17</vt:lpstr>
      <vt:lpstr>INCENTIVOS OCT - DIC 17</vt:lpstr>
      <vt:lpstr>'INCENTIVOS JUL - SEP 17'!Área_de_impresión</vt:lpstr>
      <vt:lpstr>'INCENTIVOS OCT - DIC 17'!Área_de_impresión</vt:lpstr>
      <vt:lpstr>'OT 17-396 VICTORIA'!Área_de_impresión</vt:lpstr>
      <vt:lpstr>'OT17-013  CHÍA AMPLIACIÓN'!Área_de_impresión</vt:lpstr>
      <vt:lpstr>'OT17-152 SATÉLITE SIMP ROSARIO'!Área_de_impresión</vt:lpstr>
      <vt:lpstr>'OT17-153 SATÉLITE SIMP MAGDALEN'!Área_de_impresión</vt:lpstr>
      <vt:lpstr>'OT17-172 - NORTE'!Área_de_impresión</vt:lpstr>
      <vt:lpstr>'OT17-250 VILLA PINZON'!Área_de_impresión</vt:lpstr>
      <vt:lpstr>'OT17-280 CÁQUEZA ILUMINA INTER'!Área_de_impresión</vt:lpstr>
      <vt:lpstr>'OT17-334 VICTORIA '!Área_de_impresión</vt:lpstr>
      <vt:lpstr>'OT17-337 LLTT TERMOZIPA - AGAFA'!Área_de_impresión</vt:lpstr>
      <vt:lpstr>'OT17-365 LA SALADA'!Área_de_impresión</vt:lpstr>
      <vt:lpstr>'OT17-367 VICTORIA'!Área_de_impresión</vt:lpstr>
      <vt:lpstr>'OT17-386 CHOACHÍ'!Área_de_impresión</vt:lpstr>
      <vt:lpstr>'OT18-003 REP PROT DES NOCT'!Área_de_impresión</vt:lpstr>
      <vt:lpstr>gestores_1110</vt:lpstr>
      <vt:lpstr>gestores_xxx</vt:lpstr>
      <vt:lpstr>MARELITA</vt:lpstr>
      <vt:lpstr>ots111111111</vt:lpstr>
      <vt:lpstr>POR_AHORA</vt:lpstr>
      <vt:lpstr>'OT-047 MORATO AS BUILT'!Títulos_a_imprimir</vt:lpstr>
      <vt:lpstr>'OT17-013  CHÍA AMPLIACIÓN'!Títulos_a_imprimir</vt:lpstr>
      <vt:lpstr>'OT17-046 VICTORIA POTENCIA'!Títulos_a_imprimir</vt:lpstr>
      <vt:lpstr>'OT17-048 TECHO PLANOS AS BUILT'!Títulos_a_imprimir</vt:lpstr>
      <vt:lpstr>'OT17-108 TOCANCIPÁ AMPLIACIÓN'!Títulos_a_imprimir</vt:lpstr>
      <vt:lpstr>'OT17-139 EL SOL CIVILES'!Títulos_a_imprimir</vt:lpstr>
      <vt:lpstr>'OT17-172 - NORTE'!Títulos_a_imprimir</vt:lpstr>
      <vt:lpstr>'OT17-178 BALSILLAS COD MEDIDA'!Títulos_a_imprimir</vt:lpstr>
      <vt:lpstr>'OT17-225 LT DOR GUA CONEX GUAD '!Títulos_a_imprimir</vt:lpstr>
      <vt:lpstr>'OT17-236 MUÑA AS BUILT'!Títulos_a_imprimir</vt:lpstr>
      <vt:lpstr>'OT17-237 FONTIBÓN AS BUILT'!Títulos_a_imprimir</vt:lpstr>
      <vt:lpstr>'OT17-243 VICTORIA 34,5 kV'!Títulos_a_imprimir</vt:lpstr>
      <vt:lpstr>'OT17-334 VICTORIA '!Títulos_a_imprimir</vt:lpstr>
      <vt:lpstr>'OT17-365 LA SALADA'!Títulos_a_imprimir</vt:lpstr>
      <vt:lpstr>'OT17-383 BALMORAL'!Títulos_a_imprimir</vt:lpstr>
      <vt:lpstr>'OT17-384 LOS MANGOS'!Títulos_a_imprimir</vt:lpstr>
      <vt:lpstr>'OT17-385 EL PEÑÓN '!Títulos_a_imprimir</vt:lpstr>
      <vt:lpstr>'OT17-386 CHOACHÍ'!Títulos_a_imprimir</vt:lpstr>
      <vt:lpstr>'OT17-387 MOSQUERA '!Títulos_a_imprimir</vt:lpstr>
      <vt:lpstr>'OT18-010 SIBERIA'!Títulos_a_imprimir</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Presupuesto</dc:title>
  <dc:subject>_</dc:subject>
  <dc:creator>Casai</dc:creator>
  <cp:keywords>presupuesto</cp:keywords>
  <dc:description>_</dc:description>
  <cp:lastModifiedBy>Usuario de Windows</cp:lastModifiedBy>
  <cp:lastPrinted>2018-02-27T14:18:52Z</cp:lastPrinted>
  <dcterms:created xsi:type="dcterms:W3CDTF">2016-12-20T14:16:32Z</dcterms:created>
  <dcterms:modified xsi:type="dcterms:W3CDTF">2018-03-12T20:26:38Z</dcterms:modified>
  <cp:category>excel</cp:category>
</cp:coreProperties>
</file>